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hidePivotFieldList="1"/>
  <mc:AlternateContent xmlns:mc="http://schemas.openxmlformats.org/markup-compatibility/2006">
    <mc:Choice Requires="x15">
      <x15ac:absPath xmlns:x15ac="http://schemas.microsoft.com/office/spreadsheetml/2010/11/ac" url="C:\matric\"/>
    </mc:Choice>
  </mc:AlternateContent>
  <xr:revisionPtr revIDLastSave="0" documentId="13_ncr:1_{9025B531-FC0B-4B05-BA82-98382C0D1499}" xr6:coauthVersionLast="47" xr6:coauthVersionMax="47" xr10:uidLastSave="{00000000-0000-0000-0000-000000000000}"/>
  <bookViews>
    <workbookView xWindow="-110" yWindow="-110" windowWidth="19420" windowHeight="10420" tabRatio="989" firstSheet="2" activeTab="2" xr2:uid="{00000000-000D-0000-FFFF-FFFF00000000}"/>
  </bookViews>
  <sheets>
    <sheet name="Introduction" sheetId="101" r:id="rId1"/>
    <sheet name="Start" sheetId="96" r:id="rId2"/>
    <sheet name="Instructions" sheetId="89" r:id="rId3"/>
    <sheet name="Unit shortfall calculations" sheetId="110" state="hidden" r:id="rId4"/>
    <sheet name="Unit shortfall summary" sheetId="109" state="hidden" r:id="rId5"/>
    <sheet name="Trading Summary Hedgerows" sheetId="104" state="hidden" r:id="rId6"/>
    <sheet name="Trading Summary WaterC's" sheetId="105" state="hidden" r:id="rId7"/>
    <sheet name="Off-site gain site summary" sheetId="107" state="hidden" r:id="rId8"/>
    <sheet name="Irreplaceable Habitats" sheetId="108" state="hidden" r:id="rId9"/>
    <sheet name="A-1 On-Site Habitat Baseline" sheetId="11" state="hidden" r:id="rId10"/>
    <sheet name="A-2 On-Site Habitat Creation" sheetId="46" state="hidden" r:id="rId11"/>
    <sheet name="A-3 On-Site Habitat Enhancement" sheetId="32" state="hidden" r:id="rId12"/>
    <sheet name="B-1 On-Site Hedge Baseline" sheetId="52" state="hidden" r:id="rId13"/>
    <sheet name="B-2 On-Site Hedge Creation" sheetId="42" state="hidden" r:id="rId14"/>
    <sheet name="B-3 On-Site Hedge Enhancement" sheetId="53" state="hidden" r:id="rId15"/>
    <sheet name="C-1 On-Site WaterC' Baseline" sheetId="63" state="hidden" r:id="rId16"/>
    <sheet name="C-2 On-Site WaterC' Creation" sheetId="64" state="hidden" r:id="rId17"/>
    <sheet name="C-3 On-Site WaterC' Enhancement" sheetId="65" state="hidden" r:id="rId18"/>
    <sheet name="G-1 All Habitats" sheetId="29" state="hidden" r:id="rId19"/>
    <sheet name="G-2 Habitat groups" sheetId="22" state="hidden" r:id="rId20"/>
    <sheet name="G-3 Multipliers" sheetId="28" state="hidden" r:id="rId21"/>
    <sheet name="G-4 Temporal multipliers" sheetId="20" state="hidden" r:id="rId22"/>
    <sheet name="G-5 Enhancement Temporal" sheetId="33" state="hidden" r:id="rId23"/>
    <sheet name="G-6 Hedgerow Data" sheetId="39" state="hidden" r:id="rId24"/>
    <sheet name="G-7 WaterC' Data" sheetId="66" state="hidden" r:id="rId25"/>
    <sheet name="G-8 Condition Look up" sheetId="99" state="hidden" r:id="rId26"/>
    <sheet name="Phase 1 Translation Tool" sheetId="103" state="hidden" r:id="rId27"/>
    <sheet name="Technical Data" sheetId="95" state="hidden" r:id="rId28"/>
    <sheet name="Lists" sheetId="61" state="hidden" r:id="rId29"/>
  </sheets>
  <functionGroups builtInGroupCount="19"/>
  <externalReferences>
    <externalReference r:id="rId30"/>
    <externalReference r:id="rId31"/>
    <externalReference r:id="rId32"/>
  </externalReferences>
  <definedNames>
    <definedName name="_xlnm._FilterDatabase" localSheetId="9" hidden="1">'A-1 On-Site Habitat Baseline'!$E$10:$Q$259</definedName>
    <definedName name="_xlnm._FilterDatabase" localSheetId="10" hidden="1">'A-2 On-Site Habitat Creation'!$F$10:$AA$257</definedName>
    <definedName name="_xlnm._FilterDatabase" localSheetId="11" hidden="1">'A-3 On-Site Habitat Enhancement'!$E$11:$AP$261</definedName>
    <definedName name="_xlnm._FilterDatabase" localSheetId="12" hidden="1">'B-1 On-Site Hedge Baseline'!$C$9:$N$258</definedName>
    <definedName name="_xlnm._FilterDatabase" localSheetId="13" hidden="1">'B-2 On-Site Hedge Creation'!$B$11:$S$11</definedName>
    <definedName name="_xlnm._FilterDatabase" localSheetId="14" hidden="1">'B-3 On-Site Hedge Enhancement'!$B$11:$AD$261</definedName>
    <definedName name="_xlnm._FilterDatabase" localSheetId="15" hidden="1">'C-1 On-Site WaterC'' Baseline'!$C$9:$N$258</definedName>
    <definedName name="_xlnm._FilterDatabase" localSheetId="16" hidden="1">'C-2 On-Site WaterC'' Creation'!$C$11:$X$261</definedName>
    <definedName name="_xlnm._FilterDatabase" localSheetId="17" hidden="1">'C-3 On-Site WaterC'' Enhancement'!$B$11:$M$11</definedName>
    <definedName name="_xlnm._FilterDatabase" localSheetId="18" hidden="1">'G-1 All Habitats'!$B$2:$S$134</definedName>
    <definedName name="_xlnm._FilterDatabase" localSheetId="19" hidden="1">'G-2 Habitat groups'!$A$3:$R$81</definedName>
    <definedName name="_xlnm._FilterDatabase" localSheetId="20" hidden="1">'G-3 Multipliers'!$A$2:$E$124</definedName>
    <definedName name="_xlnm._FilterDatabase" localSheetId="21" hidden="1">'G-4 Temporal multipliers'!$F$3:$M$130</definedName>
    <definedName name="_xlnm._FilterDatabase" localSheetId="22" hidden="1">'G-5 Enhancement Temporal'!$C$3:$Y$134</definedName>
    <definedName name="_xlnm._FilterDatabase" localSheetId="25" hidden="1">'G-8 Condition Look up'!$A$3:$H$81</definedName>
    <definedName name="_xlnm._FilterDatabase" localSheetId="28" hidden="1">Lists!$D$1:$D$140</definedName>
    <definedName name="_xlnm._FilterDatabase" localSheetId="26" hidden="1">'Phase 1 Translation Tool'!$B$3:$D$154</definedName>
    <definedName name="_xlnm._FilterDatabase" localSheetId="5" hidden="1">'Trading Summary Hedgerows'!#REF!</definedName>
    <definedName name="_xlnm._FilterDatabase" localSheetId="6" hidden="1">'Trading Summary WaterC''s'!$B$12:$D$17</definedName>
    <definedName name="AA">'G-7 WaterC'' Data'!$B$4</definedName>
    <definedName name="AllHabsSummaryData" localSheetId="3">'G-2 Habitat groups'!$A$3:$AF$135</definedName>
    <definedName name="AllHabsSummaryData">'G-2 Habitat groups'!$A$3:$AF$135</definedName>
    <definedName name="BaselineHabOffsite" localSheetId="3">#REF!</definedName>
    <definedName name="BaselineHabOffsite">#REF!</definedName>
    <definedName name="BaselineHabSite" localSheetId="3">'A-1 On-Site Habitat Baseline'!$D$11:$X$258</definedName>
    <definedName name="BaselineHabSite">'A-1 On-Site Habitat Baseline'!$D$11:$X$258</definedName>
    <definedName name="baselineimage">Start!$D$39:$G$53</definedName>
    <definedName name="baselineimageOS" localSheetId="1">Start!$D$60:$G$65</definedName>
    <definedName name="Coastal_lagoons">'G-1 All Habitats'!$A$104</definedName>
    <definedName name="Coastal_saltmarsh">'G-1 All Habitats'!$A$113:$A$114</definedName>
    <definedName name="Cond1">'G-8 Condition Look up'!$J$5</definedName>
    <definedName name="Cond2">'G-8 Condition Look up'!$K$5</definedName>
    <definedName name="Cond3">'G-8 Condition Look up'!$L$5</definedName>
    <definedName name="Cond4">'G-8 Condition Look up'!$M$5:$M$9</definedName>
    <definedName name="Cond5">'G-8 Condition Look up'!$N$5</definedName>
    <definedName name="Condition" localSheetId="25">'G-8 Condition Look up'!$B$3:$H$3</definedName>
    <definedName name="ConditionData" localSheetId="25">'G-8 Condition Look up'!$A$4:$H$102</definedName>
    <definedName name="ConditionHabitats" localSheetId="25">'G-8 Condition Look up'!$A$4:$A$128</definedName>
    <definedName name="Cropland">'G-1 All Habitats'!$A$3:$A$12</definedName>
    <definedName name="Difficulty" localSheetId="3">'G-3 Multipliers'!$P$3:$Q$6</definedName>
    <definedName name="Difficulty">'G-3 Multipliers'!$P$3:$Q$6</definedName>
    <definedName name="Encroachment1" localSheetId="3">'G-7 WaterC'' Data'!$AD$4:$AD$13</definedName>
    <definedName name="Encroachment1">'G-7 WaterC'' Data'!$AD$4:$AD$13</definedName>
    <definedName name="Encroachment2" localSheetId="3">'G-7 WaterC'' Data'!$AD$14</definedName>
    <definedName name="Encroachment2">'G-7 WaterC'' Data'!$AD$14</definedName>
    <definedName name="EnhanceCondition" localSheetId="3">'G-5 Enhancement Temporal'!$C$4:$X$4</definedName>
    <definedName name="EnhanceCondition">'G-5 Enhancement Temporal'!$C$4:$X$4</definedName>
    <definedName name="EnhanceHabitat" localSheetId="3">'G-5 Enhancement Temporal'!$C$4:$C$136</definedName>
    <definedName name="EnhanceHabitat">'G-5 Enhancement Temporal'!$C$4:$C$136</definedName>
    <definedName name="EnhanceTemporal" localSheetId="3">'G-5 Enhancement Temporal'!$C$4:$X$136</definedName>
    <definedName name="EnhanceTemporal">'G-5 Enhancement Temporal'!$C$4:$X$136</definedName>
    <definedName name="Grassland">'G-1 All Habitats'!$A$13:$A$25</definedName>
    <definedName name="Heathland_and_shrub">'G-1 All Habitats'!$A$26:$A$38</definedName>
    <definedName name="HedgeCond">'G-6 Hedgerow Data'!$B$2:$T$2</definedName>
    <definedName name="Hedgecond1">'G-6 Hedgerow Data'!$BK$3:$BK$5</definedName>
    <definedName name="Hedgecond2">'G-6 Hedgerow Data'!$BL$3</definedName>
    <definedName name="HedgeData">'G-6 Hedgerow Data'!$B$2:$T$15</definedName>
    <definedName name="HedgeType">'G-6 Hedgerow Data'!$B$2:$B$15</definedName>
    <definedName name="Individual_trees">'G-1 All Habitats'!$A$80:$A$81</definedName>
    <definedName name="Individualtrees">'G-1 All Habitats'!$A$79:$A$80</definedName>
    <definedName name="Intertidal_hard_structures">'G-1 All Habitats'!$A$132:$A$134</definedName>
    <definedName name="Intertidal_sediment">'G-1 All Habitats'!$A$115:$A$131</definedName>
    <definedName name="Lakes">'G-1 All Habitats'!$A$39:$A$49</definedName>
    <definedName name="LPAList">Lists!$A$1:$A$378</definedName>
    <definedName name="postdevelopmentimage">Start!$I$39:$O$53</definedName>
    <definedName name="postdevelopmentimageOS">Start!$I$60:$O$65</definedName>
    <definedName name="RetCatChecks">'A-1 On-Site Habitat Baseline'!$AE$11:$AH$258</definedName>
    <definedName name="riparianencroachment1" localSheetId="3">'G-7 WaterC'' Data'!$AA$4:$AA$6</definedName>
    <definedName name="riparianencroachment1">'G-7 WaterC'' Data'!$AA$4:$AA$6</definedName>
    <definedName name="riparianencroachment2" localSheetId="3">'G-7 WaterC'' Data'!$AA$7</definedName>
    <definedName name="riparianencroachment2">'G-7 WaterC'' Data'!$AA$7</definedName>
    <definedName name="Rivercond1">'G-7 WaterC'' Data'!$BB$3:$BB$7</definedName>
    <definedName name="Rivercond2">'G-7 WaterC'' Data'!$BC$3</definedName>
    <definedName name="RiverCondition">'G-7 WaterC'' Data'!$B$3:$X$3</definedName>
    <definedName name="RiverEnhanceTemporal">'G-7 WaterC'' Data'!$B$4:$X$12</definedName>
    <definedName name="RiverHabitat">'G-7 WaterC'' Data'!$B$4:$B$14</definedName>
    <definedName name="RiversEnhancment">'G-7 WaterC'' Data'!$O$3:$X$5</definedName>
    <definedName name="Rocky_shore">'G-1 All Habitats'!$A$105:$A$112</definedName>
    <definedName name="Sheetname">REPLACE(GET.WORKBOOK(1),1,FIND("]",GET.WORKBOOK(1)),"")</definedName>
    <definedName name="Sparsely_vegetated_land">'G-1 All Habitats'!$A$50:$A$58</definedName>
    <definedName name="TemporalConditions" localSheetId="3">'G-4 Temporal multipliers'!$F$3:$M$3</definedName>
    <definedName name="TemporalConditions">'G-4 Temporal multipliers'!$F$3:$M$3</definedName>
    <definedName name="TemporalData" localSheetId="3">'G-4 Temporal multipliers'!$F$3:$M$135</definedName>
    <definedName name="TemporalData">'G-4 Temporal multipliers'!$F$3:$M$135</definedName>
    <definedName name="TemporalHabitats" localSheetId="3">'G-4 Temporal multipliers'!$F$3:$F$135</definedName>
    <definedName name="TemporalHabitats">'G-4 Temporal multipliers'!$F$3:$F$135</definedName>
    <definedName name="TemporalMultipliers" localSheetId="3">'G-4 Temporal multipliers'!$A$4:$C$36</definedName>
    <definedName name="TemporalMultipliers">'G-4 Temporal multipliers'!$A$4:$C$36</definedName>
    <definedName name="Urban">'G-1 All Habitats'!$A$59:$A$79</definedName>
    <definedName name="Watercourse_footprint">'G-1 All Habitats'!$A$135</definedName>
    <definedName name="Wetland">'G-1 All Habitats'!$A$82:$A$89</definedName>
    <definedName name="Woodland_and_forest">'G-1 All Habitats'!$A$90:$A$102</definedName>
    <definedName name="Woodland_and_forest_2">'G-1 All Habitats'!$A$91:$A$103</definedName>
    <definedName name="Woodland_and_forest_3">'G-1 All Habitats'!$A$91:$A$102</definedName>
  </definedNames>
  <calcPr calcId="191028"/>
  <customWorkbookViews>
    <customWorkbookView name="h" guid="{8BDA793C-C9C5-4FC6-A0A5-F1109F6D4F22}" includePrintSettings="0" includeHiddenRowCol="0" maximized="1" xWindow="-1928" yWindow="-314" windowWidth="1936" windowHeight="1056" tabRatio="760" activeSheetId="78"/>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4" i="22" l="1"/>
  <c r="W12" i="46"/>
  <c r="W13" i="46"/>
  <c r="W14" i="46"/>
  <c r="W15" i="46"/>
  <c r="W16" i="46"/>
  <c r="W17" i="46"/>
  <c r="W18" i="46"/>
  <c r="W19" i="46"/>
  <c r="W20" i="46"/>
  <c r="W21" i="46"/>
  <c r="W22" i="46"/>
  <c r="W23" i="46"/>
  <c r="W24" i="46"/>
  <c r="W25" i="46"/>
  <c r="W26" i="46"/>
  <c r="W27" i="46"/>
  <c r="W28" i="46"/>
  <c r="W29" i="46"/>
  <c r="W30" i="46"/>
  <c r="W31" i="46"/>
  <c r="W32" i="46"/>
  <c r="W33" i="46"/>
  <c r="W34" i="46"/>
  <c r="W35" i="46"/>
  <c r="W36" i="46"/>
  <c r="W37" i="46"/>
  <c r="W38" i="46"/>
  <c r="W39" i="46"/>
  <c r="W40" i="46"/>
  <c r="W41" i="46"/>
  <c r="W42" i="46"/>
  <c r="W43" i="46"/>
  <c r="W44" i="46"/>
  <c r="W45" i="46"/>
  <c r="W46" i="46"/>
  <c r="W47" i="46"/>
  <c r="W48" i="46"/>
  <c r="W49" i="46"/>
  <c r="W50" i="46"/>
  <c r="W51" i="46"/>
  <c r="W52" i="46"/>
  <c r="W53" i="46"/>
  <c r="W54" i="46"/>
  <c r="W55" i="46"/>
  <c r="W56" i="46"/>
  <c r="W57" i="46"/>
  <c r="W58" i="46"/>
  <c r="W59" i="46"/>
  <c r="W60" i="46"/>
  <c r="W61" i="46"/>
  <c r="W62" i="46"/>
  <c r="W63" i="46"/>
  <c r="W64" i="46"/>
  <c r="W65" i="46"/>
  <c r="W66" i="46"/>
  <c r="W67" i="46"/>
  <c r="W68" i="46"/>
  <c r="W69" i="46"/>
  <c r="W70" i="46"/>
  <c r="W71" i="46"/>
  <c r="W72" i="46"/>
  <c r="W73" i="46"/>
  <c r="W74" i="46"/>
  <c r="W75" i="46"/>
  <c r="W76" i="46"/>
  <c r="W77" i="46"/>
  <c r="W78" i="46"/>
  <c r="W79" i="46"/>
  <c r="W80" i="46"/>
  <c r="W81" i="46"/>
  <c r="W82" i="46"/>
  <c r="W83" i="46"/>
  <c r="W84" i="46"/>
  <c r="W85" i="46"/>
  <c r="W86" i="46"/>
  <c r="W87" i="46"/>
  <c r="W88" i="46"/>
  <c r="W89" i="46"/>
  <c r="W90" i="46"/>
  <c r="W91" i="46"/>
  <c r="W92" i="46"/>
  <c r="W93" i="46"/>
  <c r="W94" i="46"/>
  <c r="W95" i="46"/>
  <c r="W96" i="46"/>
  <c r="W97" i="46"/>
  <c r="W98" i="46"/>
  <c r="W99" i="46"/>
  <c r="W100" i="46"/>
  <c r="W101" i="46"/>
  <c r="W102" i="46"/>
  <c r="W103" i="46"/>
  <c r="W104" i="46"/>
  <c r="W105" i="46"/>
  <c r="W106" i="46"/>
  <c r="W107" i="46"/>
  <c r="W108" i="46"/>
  <c r="W109" i="46"/>
  <c r="W110" i="46"/>
  <c r="W111" i="46"/>
  <c r="W112" i="46"/>
  <c r="W113" i="46"/>
  <c r="W114" i="46"/>
  <c r="W115" i="46"/>
  <c r="W116" i="46"/>
  <c r="W117" i="46"/>
  <c r="W118" i="46"/>
  <c r="W119" i="46"/>
  <c r="W120" i="46"/>
  <c r="W121" i="46"/>
  <c r="W122" i="46"/>
  <c r="W123" i="46"/>
  <c r="W124" i="46"/>
  <c r="W125" i="46"/>
  <c r="W126" i="46"/>
  <c r="W127" i="46"/>
  <c r="W128" i="46"/>
  <c r="W129" i="46"/>
  <c r="W130" i="46"/>
  <c r="W131" i="46"/>
  <c r="W132" i="46"/>
  <c r="W133" i="46"/>
  <c r="W134" i="46"/>
  <c r="W135" i="46"/>
  <c r="W136" i="46"/>
  <c r="W137" i="46"/>
  <c r="W138" i="46"/>
  <c r="W139" i="46"/>
  <c r="W140" i="46"/>
  <c r="W141" i="46"/>
  <c r="W142" i="46"/>
  <c r="W143" i="46"/>
  <c r="W144" i="46"/>
  <c r="W145" i="46"/>
  <c r="W146" i="46"/>
  <c r="W147" i="46"/>
  <c r="W148" i="46"/>
  <c r="W149" i="46"/>
  <c r="W150" i="46"/>
  <c r="W151" i="46"/>
  <c r="W152" i="46"/>
  <c r="W153" i="46"/>
  <c r="W154" i="46"/>
  <c r="W155" i="46"/>
  <c r="W156" i="46"/>
  <c r="W157" i="46"/>
  <c r="W158" i="46"/>
  <c r="W159" i="46"/>
  <c r="W160" i="46"/>
  <c r="W161" i="46"/>
  <c r="W162" i="46"/>
  <c r="W163" i="46"/>
  <c r="W164" i="46"/>
  <c r="W165" i="46"/>
  <c r="W166" i="46"/>
  <c r="W167" i="46"/>
  <c r="W168" i="46"/>
  <c r="W169" i="46"/>
  <c r="W170" i="46"/>
  <c r="W171" i="46"/>
  <c r="W172" i="46"/>
  <c r="W173" i="46"/>
  <c r="W174" i="46"/>
  <c r="W175" i="46"/>
  <c r="W176" i="46"/>
  <c r="W177" i="46"/>
  <c r="W178" i="46"/>
  <c r="W179" i="46"/>
  <c r="W180" i="46"/>
  <c r="W181" i="46"/>
  <c r="W182" i="46"/>
  <c r="W183" i="46"/>
  <c r="W184" i="46"/>
  <c r="W185" i="46"/>
  <c r="W186" i="46"/>
  <c r="W187" i="46"/>
  <c r="W188" i="46"/>
  <c r="W189" i="46"/>
  <c r="W190" i="46"/>
  <c r="W191" i="46"/>
  <c r="W192" i="46"/>
  <c r="W193" i="46"/>
  <c r="W194" i="46"/>
  <c r="W195" i="46"/>
  <c r="W196" i="46"/>
  <c r="W197" i="46"/>
  <c r="W198" i="46"/>
  <c r="W199" i="46"/>
  <c r="W200" i="46"/>
  <c r="W201" i="46"/>
  <c r="W202" i="46"/>
  <c r="W203" i="46"/>
  <c r="W204" i="46"/>
  <c r="W205" i="46"/>
  <c r="W206" i="46"/>
  <c r="W207" i="46"/>
  <c r="W208" i="46"/>
  <c r="W209" i="46"/>
  <c r="W210" i="46"/>
  <c r="W211" i="46"/>
  <c r="W212" i="46"/>
  <c r="W213" i="46"/>
  <c r="W214" i="46"/>
  <c r="W215" i="46"/>
  <c r="W216" i="46"/>
  <c r="W217" i="46"/>
  <c r="W218" i="46"/>
  <c r="W219" i="46"/>
  <c r="W220" i="46"/>
  <c r="W221" i="46"/>
  <c r="W222" i="46"/>
  <c r="W223" i="46"/>
  <c r="W224" i="46"/>
  <c r="W225" i="46"/>
  <c r="W226" i="46"/>
  <c r="W227" i="46"/>
  <c r="W228" i="46"/>
  <c r="W229" i="46"/>
  <c r="W230" i="46"/>
  <c r="W231" i="46"/>
  <c r="W232" i="46"/>
  <c r="W233" i="46"/>
  <c r="W234" i="46"/>
  <c r="W235" i="46"/>
  <c r="W236" i="46"/>
  <c r="W237" i="46"/>
  <c r="W238" i="46"/>
  <c r="W239" i="46"/>
  <c r="W240" i="46"/>
  <c r="W241" i="46"/>
  <c r="W242" i="46"/>
  <c r="W243" i="46"/>
  <c r="W244" i="46"/>
  <c r="W245" i="46"/>
  <c r="W246" i="46"/>
  <c r="W247" i="46"/>
  <c r="W248" i="46"/>
  <c r="W249" i="46"/>
  <c r="W250" i="46"/>
  <c r="W251" i="46"/>
  <c r="W252" i="46"/>
  <c r="W253" i="46"/>
  <c r="W254" i="46"/>
  <c r="W255" i="46"/>
  <c r="W256" i="46"/>
  <c r="AC8" i="107"/>
  <c r="AC9" i="107"/>
  <c r="AC10" i="107"/>
  <c r="AC11" i="107"/>
  <c r="AC12" i="107"/>
  <c r="AC13" i="107"/>
  <c r="AC14" i="107"/>
  <c r="AC15" i="107"/>
  <c r="AC16" i="107"/>
  <c r="AC17" i="107"/>
  <c r="AC18" i="107"/>
  <c r="AC19" i="107"/>
  <c r="AC20" i="107"/>
  <c r="AC21" i="107"/>
  <c r="AC22" i="107"/>
  <c r="AC23" i="107"/>
  <c r="AC24" i="107"/>
  <c r="AC25" i="107"/>
  <c r="AC26" i="107"/>
  <c r="AC27" i="107"/>
  <c r="AC28" i="107"/>
  <c r="AC29" i="107"/>
  <c r="AC30" i="107"/>
  <c r="AC31" i="107"/>
  <c r="AC32" i="107"/>
  <c r="AC33" i="107"/>
  <c r="AC34" i="107"/>
  <c r="AC35" i="107"/>
  <c r="AC36" i="107"/>
  <c r="AC37" i="107"/>
  <c r="AC38" i="107"/>
  <c r="AC39" i="107"/>
  <c r="AC40" i="107"/>
  <c r="AC41" i="107"/>
  <c r="AC42" i="107"/>
  <c r="AC43" i="107"/>
  <c r="AC44" i="107"/>
  <c r="AC45" i="107"/>
  <c r="AC46" i="107"/>
  <c r="AC47" i="107"/>
  <c r="AC48" i="107"/>
  <c r="AC49" i="107"/>
  <c r="AC50" i="107"/>
  <c r="AC51" i="107"/>
  <c r="AC52" i="107"/>
  <c r="AC53" i="107"/>
  <c r="AC54" i="107"/>
  <c r="AC55" i="107"/>
  <c r="AC56" i="107"/>
  <c r="AC57" i="107"/>
  <c r="AC58" i="107"/>
  <c r="AC59" i="107"/>
  <c r="AC60" i="107"/>
  <c r="AC61" i="107"/>
  <c r="AC62" i="107"/>
  <c r="AC63" i="107"/>
  <c r="AC64" i="107"/>
  <c r="AC65" i="107"/>
  <c r="AC66" i="107"/>
  <c r="AC67" i="107"/>
  <c r="AC68" i="107"/>
  <c r="AC69" i="107"/>
  <c r="AC70" i="107"/>
  <c r="AC71" i="107"/>
  <c r="AC72" i="107"/>
  <c r="AC73" i="107"/>
  <c r="AC74" i="107"/>
  <c r="AC75" i="107"/>
  <c r="AC76" i="107"/>
  <c r="AC77" i="107"/>
  <c r="AC78" i="107"/>
  <c r="AC79" i="107"/>
  <c r="AC80" i="107"/>
  <c r="AC81" i="107"/>
  <c r="AC82" i="107"/>
  <c r="AC83" i="107"/>
  <c r="AC84" i="107"/>
  <c r="AC85" i="107"/>
  <c r="AC86" i="107"/>
  <c r="AC87" i="107"/>
  <c r="AC88" i="107"/>
  <c r="AC89" i="107"/>
  <c r="AC90" i="107"/>
  <c r="AC91" i="107"/>
  <c r="AC92" i="107"/>
  <c r="AC93" i="107"/>
  <c r="AC94" i="107"/>
  <c r="AC95" i="107"/>
  <c r="AC96" i="107"/>
  <c r="AC97" i="107"/>
  <c r="AC98" i="107"/>
  <c r="AC99" i="107"/>
  <c r="AC100" i="107"/>
  <c r="AC101" i="107"/>
  <c r="AC102" i="107"/>
  <c r="AC103" i="107"/>
  <c r="AC104" i="107"/>
  <c r="AC105" i="107"/>
  <c r="AC106" i="107"/>
  <c r="AC107" i="107"/>
  <c r="T10" i="107"/>
  <c r="T11" i="107"/>
  <c r="T12" i="107"/>
  <c r="T13" i="107"/>
  <c r="T14" i="107"/>
  <c r="T15" i="107"/>
  <c r="T16" i="107"/>
  <c r="T17" i="107"/>
  <c r="T18" i="107"/>
  <c r="T19" i="107"/>
  <c r="T20" i="107"/>
  <c r="T21" i="107"/>
  <c r="T22" i="107"/>
  <c r="T23" i="107"/>
  <c r="T24" i="107"/>
  <c r="T25" i="107"/>
  <c r="T26" i="107"/>
  <c r="T27" i="107"/>
  <c r="T28" i="107"/>
  <c r="T29" i="107"/>
  <c r="T30" i="107"/>
  <c r="T31" i="107"/>
  <c r="T32" i="107"/>
  <c r="T33" i="107"/>
  <c r="T34" i="107"/>
  <c r="T35" i="107"/>
  <c r="T36" i="107"/>
  <c r="T37" i="107"/>
  <c r="T38" i="107"/>
  <c r="T39" i="107"/>
  <c r="T40" i="107"/>
  <c r="T41" i="107"/>
  <c r="T42" i="107"/>
  <c r="T43" i="107"/>
  <c r="T44" i="107"/>
  <c r="T45" i="107"/>
  <c r="T46" i="107"/>
  <c r="T47" i="107"/>
  <c r="T48" i="107"/>
  <c r="T49" i="107"/>
  <c r="T50" i="107"/>
  <c r="T51" i="107"/>
  <c r="T52" i="107"/>
  <c r="T53" i="107"/>
  <c r="T54" i="107"/>
  <c r="T55" i="107"/>
  <c r="T56" i="107"/>
  <c r="T57" i="107"/>
  <c r="T58" i="107"/>
  <c r="T59" i="107"/>
  <c r="T60" i="107"/>
  <c r="T61" i="107"/>
  <c r="T62" i="107"/>
  <c r="T63" i="107"/>
  <c r="T64" i="107"/>
  <c r="T65" i="107"/>
  <c r="T66" i="107"/>
  <c r="T67" i="107"/>
  <c r="T68" i="107"/>
  <c r="T69" i="107"/>
  <c r="T70" i="107"/>
  <c r="T71" i="107"/>
  <c r="T72" i="107"/>
  <c r="T73" i="107"/>
  <c r="T74" i="107"/>
  <c r="T75" i="107"/>
  <c r="T76" i="107"/>
  <c r="T77" i="107"/>
  <c r="T78" i="107"/>
  <c r="T79" i="107"/>
  <c r="T80" i="107"/>
  <c r="T81" i="107"/>
  <c r="T82" i="107"/>
  <c r="T83" i="107"/>
  <c r="T84" i="107"/>
  <c r="T85" i="107"/>
  <c r="T86" i="107"/>
  <c r="T87" i="107"/>
  <c r="T88" i="107"/>
  <c r="T89" i="107"/>
  <c r="T90" i="107"/>
  <c r="T91" i="107"/>
  <c r="T92" i="107"/>
  <c r="T93" i="107"/>
  <c r="T94" i="107"/>
  <c r="T95" i="107"/>
  <c r="T96" i="107"/>
  <c r="T97" i="107"/>
  <c r="T98" i="107"/>
  <c r="T99" i="107"/>
  <c r="T100" i="107"/>
  <c r="T101" i="107"/>
  <c r="T102" i="107"/>
  <c r="T103" i="107"/>
  <c r="T104" i="107"/>
  <c r="T105" i="107"/>
  <c r="T106" i="107"/>
  <c r="T107" i="107"/>
  <c r="K11" i="107"/>
  <c r="K12" i="107"/>
  <c r="K13" i="107"/>
  <c r="K14" i="107"/>
  <c r="K15" i="107"/>
  <c r="K16" i="107"/>
  <c r="K17" i="107"/>
  <c r="K18" i="107"/>
  <c r="K19" i="107"/>
  <c r="K20" i="107"/>
  <c r="K21" i="107"/>
  <c r="K22" i="107"/>
  <c r="K23" i="107"/>
  <c r="K24" i="107"/>
  <c r="K25" i="107"/>
  <c r="K26" i="107"/>
  <c r="K27" i="107"/>
  <c r="K28" i="107"/>
  <c r="K29" i="107"/>
  <c r="K30" i="107"/>
  <c r="K31" i="107"/>
  <c r="K32" i="107"/>
  <c r="K33" i="107"/>
  <c r="K34" i="107"/>
  <c r="K35" i="107"/>
  <c r="K36" i="107"/>
  <c r="K37" i="107"/>
  <c r="K38" i="107"/>
  <c r="K39" i="107"/>
  <c r="K40" i="107"/>
  <c r="K41" i="107"/>
  <c r="K42" i="107"/>
  <c r="K43" i="107"/>
  <c r="K44" i="107"/>
  <c r="K45" i="107"/>
  <c r="K46" i="107"/>
  <c r="K47" i="107"/>
  <c r="K48" i="107"/>
  <c r="K49" i="107"/>
  <c r="K50" i="107"/>
  <c r="K51" i="107"/>
  <c r="K52" i="107"/>
  <c r="K53" i="107"/>
  <c r="K54" i="107"/>
  <c r="K55" i="107"/>
  <c r="K56" i="107"/>
  <c r="K57" i="107"/>
  <c r="K58" i="107"/>
  <c r="K59" i="107"/>
  <c r="K60" i="107"/>
  <c r="K61" i="107"/>
  <c r="K62" i="107"/>
  <c r="K63" i="107"/>
  <c r="K64" i="107"/>
  <c r="K65" i="107"/>
  <c r="K66" i="107"/>
  <c r="K67" i="107"/>
  <c r="K68" i="107"/>
  <c r="K69" i="107"/>
  <c r="K70" i="107"/>
  <c r="K71" i="107"/>
  <c r="K72" i="107"/>
  <c r="K73" i="107"/>
  <c r="K74" i="107"/>
  <c r="K75" i="107"/>
  <c r="K76" i="107"/>
  <c r="K77" i="107"/>
  <c r="K78" i="107"/>
  <c r="K79" i="107"/>
  <c r="K80" i="107"/>
  <c r="K81" i="107"/>
  <c r="K82" i="107"/>
  <c r="K83" i="107"/>
  <c r="K84" i="107"/>
  <c r="K85" i="107"/>
  <c r="K86" i="107"/>
  <c r="K87" i="107"/>
  <c r="K88" i="107"/>
  <c r="K89" i="107"/>
  <c r="K90" i="107"/>
  <c r="K91" i="107"/>
  <c r="K92" i="107"/>
  <c r="K93" i="107"/>
  <c r="K94" i="107"/>
  <c r="K95" i="107"/>
  <c r="K96" i="107"/>
  <c r="K97" i="107"/>
  <c r="K98" i="107"/>
  <c r="K99" i="107"/>
  <c r="K100" i="107"/>
  <c r="K101" i="107"/>
  <c r="K102" i="107"/>
  <c r="K103" i="107"/>
  <c r="K104" i="107"/>
  <c r="K105" i="107"/>
  <c r="K106" i="107"/>
  <c r="K107" i="107"/>
  <c r="E8" i="96"/>
  <c r="I13" i="42"/>
  <c r="I14" i="42"/>
  <c r="I15" i="42"/>
  <c r="I16" i="42"/>
  <c r="I17" i="42"/>
  <c r="I18" i="42"/>
  <c r="I19" i="42"/>
  <c r="I20" i="42"/>
  <c r="I21" i="42"/>
  <c r="I22" i="42"/>
  <c r="I23" i="42"/>
  <c r="I24" i="42"/>
  <c r="I25" i="42"/>
  <c r="I26" i="42"/>
  <c r="I27" i="42"/>
  <c r="I28" i="42"/>
  <c r="I29" i="42"/>
  <c r="I30" i="42"/>
  <c r="I31" i="42"/>
  <c r="I32" i="42"/>
  <c r="I33" i="42"/>
  <c r="I34" i="42"/>
  <c r="I35" i="42"/>
  <c r="I36" i="42"/>
  <c r="I37" i="42"/>
  <c r="I38" i="42"/>
  <c r="I39" i="42"/>
  <c r="I40" i="42"/>
  <c r="I41" i="42"/>
  <c r="I42" i="42"/>
  <c r="I43" i="42"/>
  <c r="I44" i="42"/>
  <c r="I45" i="42"/>
  <c r="I46" i="42"/>
  <c r="I47" i="42"/>
  <c r="I48" i="42"/>
  <c r="I49" i="42"/>
  <c r="I50" i="42"/>
  <c r="I51" i="42"/>
  <c r="I52" i="42"/>
  <c r="I53" i="42"/>
  <c r="I54" i="42"/>
  <c r="I55" i="42"/>
  <c r="I56" i="42"/>
  <c r="I57" i="42"/>
  <c r="I58" i="42"/>
  <c r="I59" i="42"/>
  <c r="I60" i="42"/>
  <c r="I61" i="42"/>
  <c r="I62" i="42"/>
  <c r="I63" i="42"/>
  <c r="I64" i="42"/>
  <c r="I65" i="42"/>
  <c r="I66" i="42"/>
  <c r="I67" i="42"/>
  <c r="I68" i="42"/>
  <c r="I69" i="42"/>
  <c r="I70" i="42"/>
  <c r="I71" i="42"/>
  <c r="I72" i="42"/>
  <c r="I73" i="42"/>
  <c r="I74" i="42"/>
  <c r="I75" i="42"/>
  <c r="I76" i="42"/>
  <c r="I77" i="42"/>
  <c r="I78" i="42"/>
  <c r="I79" i="42"/>
  <c r="I80" i="42"/>
  <c r="I81" i="42"/>
  <c r="I82" i="42"/>
  <c r="I83" i="42"/>
  <c r="I84" i="42"/>
  <c r="I85" i="42"/>
  <c r="I86" i="42"/>
  <c r="I87" i="42"/>
  <c r="I88" i="42"/>
  <c r="I89" i="42"/>
  <c r="I90" i="42"/>
  <c r="I91" i="42"/>
  <c r="I92" i="42"/>
  <c r="I93" i="42"/>
  <c r="I94" i="42"/>
  <c r="I95" i="42"/>
  <c r="I96" i="42"/>
  <c r="I97" i="42"/>
  <c r="I98" i="42"/>
  <c r="I99" i="42"/>
  <c r="I100" i="42"/>
  <c r="I101" i="42"/>
  <c r="I102" i="42"/>
  <c r="I103" i="42"/>
  <c r="I104" i="42"/>
  <c r="I105" i="42"/>
  <c r="I106" i="42"/>
  <c r="I107" i="42"/>
  <c r="I108" i="42"/>
  <c r="I109" i="42"/>
  <c r="I110" i="42"/>
  <c r="I111" i="42"/>
  <c r="I112" i="42"/>
  <c r="I113" i="42"/>
  <c r="I114" i="42"/>
  <c r="I115" i="42"/>
  <c r="I116" i="42"/>
  <c r="I117" i="42"/>
  <c r="I118" i="42"/>
  <c r="I119" i="42"/>
  <c r="I120" i="42"/>
  <c r="I121" i="42"/>
  <c r="I122" i="42"/>
  <c r="I123" i="42"/>
  <c r="I124" i="42"/>
  <c r="I125" i="42"/>
  <c r="I126" i="42"/>
  <c r="I127" i="42"/>
  <c r="I128" i="42"/>
  <c r="I129" i="42"/>
  <c r="I130" i="42"/>
  <c r="I131" i="42"/>
  <c r="I132" i="42"/>
  <c r="I133" i="42"/>
  <c r="I134" i="42"/>
  <c r="I135" i="42"/>
  <c r="I136" i="42"/>
  <c r="I137" i="42"/>
  <c r="I138" i="42"/>
  <c r="I139" i="42"/>
  <c r="I140" i="42"/>
  <c r="I141" i="42"/>
  <c r="I142" i="42"/>
  <c r="I143" i="42"/>
  <c r="I144" i="42"/>
  <c r="I145" i="42"/>
  <c r="I146" i="42"/>
  <c r="I147" i="42"/>
  <c r="I148" i="42"/>
  <c r="I149" i="42"/>
  <c r="I150" i="42"/>
  <c r="I151" i="42"/>
  <c r="I152" i="42"/>
  <c r="I153" i="42"/>
  <c r="I154" i="42"/>
  <c r="I155" i="42"/>
  <c r="I156" i="42"/>
  <c r="I157" i="42"/>
  <c r="I158" i="42"/>
  <c r="I159" i="42"/>
  <c r="I160" i="42"/>
  <c r="I161" i="42"/>
  <c r="I162" i="42"/>
  <c r="I163" i="42"/>
  <c r="I164" i="42"/>
  <c r="I165" i="42"/>
  <c r="I166" i="42"/>
  <c r="I167" i="42"/>
  <c r="I168" i="42"/>
  <c r="I169" i="42"/>
  <c r="I170" i="42"/>
  <c r="I171" i="42"/>
  <c r="I172" i="42"/>
  <c r="I173" i="42"/>
  <c r="I174" i="42"/>
  <c r="I175" i="42"/>
  <c r="I176" i="42"/>
  <c r="I177" i="42"/>
  <c r="I178" i="42"/>
  <c r="I179" i="42"/>
  <c r="I180" i="42"/>
  <c r="I181" i="42"/>
  <c r="I182" i="42"/>
  <c r="I183" i="42"/>
  <c r="I184" i="42"/>
  <c r="I185" i="42"/>
  <c r="I186" i="42"/>
  <c r="I187" i="42"/>
  <c r="I188" i="42"/>
  <c r="I189" i="42"/>
  <c r="I190" i="42"/>
  <c r="I191" i="42"/>
  <c r="I192" i="42"/>
  <c r="I193" i="42"/>
  <c r="I194" i="42"/>
  <c r="I195" i="42"/>
  <c r="I196" i="42"/>
  <c r="I197" i="42"/>
  <c r="I198" i="42"/>
  <c r="I199" i="42"/>
  <c r="I200" i="42"/>
  <c r="I201" i="42"/>
  <c r="I202" i="42"/>
  <c r="I203" i="42"/>
  <c r="I204" i="42"/>
  <c r="I205" i="42"/>
  <c r="I206" i="42"/>
  <c r="I207" i="42"/>
  <c r="I208" i="42"/>
  <c r="I209" i="42"/>
  <c r="I210" i="42"/>
  <c r="I211" i="42"/>
  <c r="I212" i="42"/>
  <c r="I213" i="42"/>
  <c r="I214" i="42"/>
  <c r="I215" i="42"/>
  <c r="I216" i="42"/>
  <c r="I217" i="42"/>
  <c r="I218" i="42"/>
  <c r="I219" i="42"/>
  <c r="I220" i="42"/>
  <c r="I221" i="42"/>
  <c r="I222" i="42"/>
  <c r="I223" i="42"/>
  <c r="I224" i="42"/>
  <c r="I225" i="42"/>
  <c r="I226" i="42"/>
  <c r="I227" i="42"/>
  <c r="I228" i="42"/>
  <c r="I229" i="42"/>
  <c r="I230" i="42"/>
  <c r="I231" i="42"/>
  <c r="I232" i="42"/>
  <c r="I233" i="42"/>
  <c r="I234" i="42"/>
  <c r="I235" i="42"/>
  <c r="I236" i="42"/>
  <c r="I237" i="42"/>
  <c r="I238" i="42"/>
  <c r="I239" i="42"/>
  <c r="I240" i="42"/>
  <c r="I241" i="42"/>
  <c r="I242" i="42"/>
  <c r="I243" i="42"/>
  <c r="I244" i="42"/>
  <c r="I245" i="42"/>
  <c r="I246" i="42"/>
  <c r="I247" i="42"/>
  <c r="I248" i="42"/>
  <c r="I249" i="42"/>
  <c r="I250" i="42"/>
  <c r="I251" i="42"/>
  <c r="I252" i="42"/>
  <c r="I253" i="42"/>
  <c r="I254" i="42"/>
  <c r="I255" i="42"/>
  <c r="I256" i="42"/>
  <c r="I257" i="42"/>
  <c r="I258" i="42"/>
  <c r="I259" i="42"/>
  <c r="I12" i="42"/>
  <c r="I11" i="52"/>
  <c r="I12" i="52"/>
  <c r="I13" i="52"/>
  <c r="I14" i="52"/>
  <c r="I15" i="52"/>
  <c r="I16" i="52"/>
  <c r="I17" i="52"/>
  <c r="I18" i="52"/>
  <c r="I19" i="52"/>
  <c r="I20" i="52"/>
  <c r="I21" i="52"/>
  <c r="I22" i="52"/>
  <c r="I23" i="52"/>
  <c r="I24" i="52"/>
  <c r="I25" i="52"/>
  <c r="I26" i="52"/>
  <c r="I27" i="52"/>
  <c r="I28" i="52"/>
  <c r="I29" i="52"/>
  <c r="I30" i="52"/>
  <c r="I31" i="52"/>
  <c r="I32" i="52"/>
  <c r="I33" i="52"/>
  <c r="I34" i="52"/>
  <c r="I35" i="52"/>
  <c r="I36" i="52"/>
  <c r="I37" i="52"/>
  <c r="I38" i="52"/>
  <c r="I39" i="52"/>
  <c r="I40" i="52"/>
  <c r="I41" i="52"/>
  <c r="I42" i="52"/>
  <c r="I43" i="52"/>
  <c r="I44" i="52"/>
  <c r="I45" i="52"/>
  <c r="I46" i="52"/>
  <c r="I47" i="52"/>
  <c r="I48" i="52"/>
  <c r="I49" i="52"/>
  <c r="I50" i="52"/>
  <c r="I51" i="52"/>
  <c r="I52" i="52"/>
  <c r="I53" i="52"/>
  <c r="I54" i="52"/>
  <c r="I55" i="52"/>
  <c r="I56" i="52"/>
  <c r="I57" i="52"/>
  <c r="I58" i="52"/>
  <c r="I59" i="52"/>
  <c r="I60" i="52"/>
  <c r="I61" i="52"/>
  <c r="I62" i="52"/>
  <c r="I63" i="52"/>
  <c r="I64" i="52"/>
  <c r="I65" i="52"/>
  <c r="I66" i="52"/>
  <c r="I67" i="52"/>
  <c r="I68" i="52"/>
  <c r="I69" i="52"/>
  <c r="I70" i="52"/>
  <c r="I71" i="52"/>
  <c r="I72" i="52"/>
  <c r="I73" i="52"/>
  <c r="I74" i="52"/>
  <c r="I75" i="52"/>
  <c r="I76" i="52"/>
  <c r="I77" i="52"/>
  <c r="I78" i="52"/>
  <c r="I79" i="52"/>
  <c r="I80" i="52"/>
  <c r="I81" i="52"/>
  <c r="I82" i="52"/>
  <c r="I83" i="52"/>
  <c r="I84" i="52"/>
  <c r="I85" i="52"/>
  <c r="I86" i="52"/>
  <c r="I87" i="52"/>
  <c r="I88" i="52"/>
  <c r="I89" i="52"/>
  <c r="I90" i="52"/>
  <c r="I91" i="52"/>
  <c r="I92" i="52"/>
  <c r="I93" i="52"/>
  <c r="I94" i="52"/>
  <c r="I95" i="52"/>
  <c r="I96" i="52"/>
  <c r="I97" i="52"/>
  <c r="I98" i="52"/>
  <c r="I99" i="52"/>
  <c r="I100" i="52"/>
  <c r="I101" i="52"/>
  <c r="I102" i="52"/>
  <c r="I103" i="52"/>
  <c r="I104" i="52"/>
  <c r="I105" i="52"/>
  <c r="I106" i="52"/>
  <c r="I107" i="52"/>
  <c r="I108" i="52"/>
  <c r="I109" i="52"/>
  <c r="I110" i="52"/>
  <c r="I111" i="52"/>
  <c r="I112" i="52"/>
  <c r="I113" i="52"/>
  <c r="I114" i="52"/>
  <c r="I115" i="52"/>
  <c r="I116" i="52"/>
  <c r="I117" i="52"/>
  <c r="I118" i="52"/>
  <c r="I119" i="52"/>
  <c r="I120" i="52"/>
  <c r="I121" i="52"/>
  <c r="I122" i="52"/>
  <c r="I123" i="52"/>
  <c r="I124" i="52"/>
  <c r="I125" i="52"/>
  <c r="I126" i="52"/>
  <c r="I127" i="52"/>
  <c r="I128" i="52"/>
  <c r="I129" i="52"/>
  <c r="I130" i="52"/>
  <c r="I131" i="52"/>
  <c r="I132" i="52"/>
  <c r="I133" i="52"/>
  <c r="I134" i="52"/>
  <c r="I135" i="52"/>
  <c r="I136" i="52"/>
  <c r="I137" i="52"/>
  <c r="I138" i="52"/>
  <c r="I139" i="52"/>
  <c r="I140" i="52"/>
  <c r="I141" i="52"/>
  <c r="I142" i="52"/>
  <c r="I143" i="52"/>
  <c r="I144" i="52"/>
  <c r="I145" i="52"/>
  <c r="I146" i="52"/>
  <c r="I147" i="52"/>
  <c r="I148" i="52"/>
  <c r="I149" i="52"/>
  <c r="I150" i="52"/>
  <c r="I151" i="52"/>
  <c r="I152" i="52"/>
  <c r="I153" i="52"/>
  <c r="I154" i="52"/>
  <c r="I155" i="52"/>
  <c r="I156" i="52"/>
  <c r="I157" i="52"/>
  <c r="I158" i="52"/>
  <c r="I159" i="52"/>
  <c r="I160" i="52"/>
  <c r="I161" i="52"/>
  <c r="I162" i="52"/>
  <c r="I163" i="52"/>
  <c r="I164" i="52"/>
  <c r="I165" i="52"/>
  <c r="I166" i="52"/>
  <c r="I167" i="52"/>
  <c r="I168" i="52"/>
  <c r="I169" i="52"/>
  <c r="I170" i="52"/>
  <c r="I171" i="52"/>
  <c r="I172" i="52"/>
  <c r="I173" i="52"/>
  <c r="I174" i="52"/>
  <c r="I175" i="52"/>
  <c r="I176" i="52"/>
  <c r="I177" i="52"/>
  <c r="I178" i="52"/>
  <c r="I179" i="52"/>
  <c r="I180" i="52"/>
  <c r="I181" i="52"/>
  <c r="I182" i="52"/>
  <c r="I183" i="52"/>
  <c r="I184" i="52"/>
  <c r="I185" i="52"/>
  <c r="I186" i="52"/>
  <c r="I187" i="52"/>
  <c r="I188" i="52"/>
  <c r="I189" i="52"/>
  <c r="I190" i="52"/>
  <c r="I191" i="52"/>
  <c r="I192" i="52"/>
  <c r="I193" i="52"/>
  <c r="I194" i="52"/>
  <c r="I195" i="52"/>
  <c r="I196" i="52"/>
  <c r="I197" i="52"/>
  <c r="I198" i="52"/>
  <c r="I199" i="52"/>
  <c r="I200" i="52"/>
  <c r="I201" i="52"/>
  <c r="I202" i="52"/>
  <c r="I203" i="52"/>
  <c r="I204" i="52"/>
  <c r="I205" i="52"/>
  <c r="I206" i="52"/>
  <c r="I207" i="52"/>
  <c r="I208" i="52"/>
  <c r="I209" i="52"/>
  <c r="I210" i="52"/>
  <c r="I211" i="52"/>
  <c r="I212" i="52"/>
  <c r="I213" i="52"/>
  <c r="I214" i="52"/>
  <c r="I215" i="52"/>
  <c r="I216" i="52"/>
  <c r="I217" i="52"/>
  <c r="I218" i="52"/>
  <c r="I219" i="52"/>
  <c r="I220" i="52"/>
  <c r="I221" i="52"/>
  <c r="I222" i="52"/>
  <c r="I223" i="52"/>
  <c r="I224" i="52"/>
  <c r="I225" i="52"/>
  <c r="I226" i="52"/>
  <c r="I227" i="52"/>
  <c r="I228" i="52"/>
  <c r="I229" i="52"/>
  <c r="I230" i="52"/>
  <c r="I231" i="52"/>
  <c r="I232" i="52"/>
  <c r="I233" i="52"/>
  <c r="I234" i="52"/>
  <c r="I235" i="52"/>
  <c r="I236" i="52"/>
  <c r="I237" i="52"/>
  <c r="I238" i="52"/>
  <c r="I239" i="52"/>
  <c r="I240" i="52"/>
  <c r="I241" i="52"/>
  <c r="I242" i="52"/>
  <c r="I243" i="52"/>
  <c r="I244" i="52"/>
  <c r="I245" i="52"/>
  <c r="I246" i="52"/>
  <c r="I247" i="52"/>
  <c r="I248" i="52"/>
  <c r="I249" i="52"/>
  <c r="I250" i="52"/>
  <c r="I251" i="52"/>
  <c r="I252" i="52"/>
  <c r="I253" i="52"/>
  <c r="I254" i="52"/>
  <c r="I255" i="52"/>
  <c r="I256" i="52"/>
  <c r="I257" i="52"/>
  <c r="I10" i="52"/>
  <c r="AF12" i="65"/>
  <c r="O14" i="11"/>
  <c r="T13" i="53"/>
  <c r="T14" i="53"/>
  <c r="T15" i="53"/>
  <c r="T16" i="53"/>
  <c r="T17" i="53"/>
  <c r="T18" i="53"/>
  <c r="T19" i="53"/>
  <c r="T20" i="53"/>
  <c r="T21" i="53"/>
  <c r="T22" i="53"/>
  <c r="T23" i="53"/>
  <c r="T24" i="53"/>
  <c r="T25" i="53"/>
  <c r="T26" i="53"/>
  <c r="T27" i="53"/>
  <c r="T28" i="53"/>
  <c r="T29" i="53"/>
  <c r="T30" i="53"/>
  <c r="T31" i="53"/>
  <c r="T32" i="53"/>
  <c r="T33" i="53"/>
  <c r="T34" i="53"/>
  <c r="T35" i="53"/>
  <c r="T36" i="53"/>
  <c r="T37" i="53"/>
  <c r="T38" i="53"/>
  <c r="T39" i="53"/>
  <c r="T40" i="53"/>
  <c r="T41" i="53"/>
  <c r="T42" i="53"/>
  <c r="T43" i="53"/>
  <c r="T44" i="53"/>
  <c r="T45" i="53"/>
  <c r="T46" i="53"/>
  <c r="T47" i="53"/>
  <c r="T48" i="53"/>
  <c r="T49" i="53"/>
  <c r="T50" i="53"/>
  <c r="T51" i="53"/>
  <c r="T52" i="53"/>
  <c r="T53" i="53"/>
  <c r="T54" i="53"/>
  <c r="T55" i="53"/>
  <c r="T56" i="53"/>
  <c r="T57" i="53"/>
  <c r="T58" i="53"/>
  <c r="T59" i="53"/>
  <c r="T60" i="53"/>
  <c r="T61" i="53"/>
  <c r="T62" i="53"/>
  <c r="T63" i="53"/>
  <c r="T64" i="53"/>
  <c r="T65" i="53"/>
  <c r="T66" i="53"/>
  <c r="T67" i="53"/>
  <c r="T68" i="53"/>
  <c r="T69" i="53"/>
  <c r="T70" i="53"/>
  <c r="T71" i="53"/>
  <c r="T72" i="53"/>
  <c r="T73" i="53"/>
  <c r="T74" i="53"/>
  <c r="T75" i="53"/>
  <c r="T76" i="53"/>
  <c r="T77" i="53"/>
  <c r="T78" i="53"/>
  <c r="T79" i="53"/>
  <c r="T80" i="53"/>
  <c r="T81" i="53"/>
  <c r="T82" i="53"/>
  <c r="T83" i="53"/>
  <c r="T84" i="53"/>
  <c r="T85" i="53"/>
  <c r="T86" i="53"/>
  <c r="T87" i="53"/>
  <c r="T88" i="53"/>
  <c r="T89" i="53"/>
  <c r="T90" i="53"/>
  <c r="T91" i="53"/>
  <c r="T92" i="53"/>
  <c r="T93" i="53"/>
  <c r="T94" i="53"/>
  <c r="T95" i="53"/>
  <c r="T96" i="53"/>
  <c r="T97" i="53"/>
  <c r="T98" i="53"/>
  <c r="T99" i="53"/>
  <c r="T100" i="53"/>
  <c r="T101" i="53"/>
  <c r="T102" i="53"/>
  <c r="T103" i="53"/>
  <c r="T104" i="53"/>
  <c r="T105" i="53"/>
  <c r="T106" i="53"/>
  <c r="T107" i="53"/>
  <c r="T108" i="53"/>
  <c r="T109" i="53"/>
  <c r="T110" i="53"/>
  <c r="T111" i="53"/>
  <c r="T112" i="53"/>
  <c r="T113" i="53"/>
  <c r="T114" i="53"/>
  <c r="T115" i="53"/>
  <c r="T116" i="53"/>
  <c r="T117" i="53"/>
  <c r="T118" i="53"/>
  <c r="T119" i="53"/>
  <c r="T120" i="53"/>
  <c r="T121" i="53"/>
  <c r="T122" i="53"/>
  <c r="T123" i="53"/>
  <c r="T124" i="53"/>
  <c r="T125" i="53"/>
  <c r="T126" i="53"/>
  <c r="T127" i="53"/>
  <c r="T128" i="53"/>
  <c r="T129" i="53"/>
  <c r="T130" i="53"/>
  <c r="T131" i="53"/>
  <c r="T132" i="53"/>
  <c r="T133" i="53"/>
  <c r="T134" i="53"/>
  <c r="T135" i="53"/>
  <c r="T136" i="53"/>
  <c r="T137" i="53"/>
  <c r="T138" i="53"/>
  <c r="T139" i="53"/>
  <c r="T140" i="53"/>
  <c r="T141" i="53"/>
  <c r="T142" i="53"/>
  <c r="T143" i="53"/>
  <c r="T144" i="53"/>
  <c r="T145" i="53"/>
  <c r="T146" i="53"/>
  <c r="T147" i="53"/>
  <c r="T148" i="53"/>
  <c r="T149" i="53"/>
  <c r="T150" i="53"/>
  <c r="T151" i="53"/>
  <c r="T152" i="53"/>
  <c r="T153" i="53"/>
  <c r="T154" i="53"/>
  <c r="T155" i="53"/>
  <c r="T156" i="53"/>
  <c r="T157" i="53"/>
  <c r="T158" i="53"/>
  <c r="T159" i="53"/>
  <c r="T160" i="53"/>
  <c r="T161" i="53"/>
  <c r="T162" i="53"/>
  <c r="T163" i="53"/>
  <c r="T164" i="53"/>
  <c r="T165" i="53"/>
  <c r="T166" i="53"/>
  <c r="T167" i="53"/>
  <c r="T168" i="53"/>
  <c r="T169" i="53"/>
  <c r="T170" i="53"/>
  <c r="T171" i="53"/>
  <c r="T172" i="53"/>
  <c r="T173" i="53"/>
  <c r="T174" i="53"/>
  <c r="T175" i="53"/>
  <c r="T176" i="53"/>
  <c r="T177" i="53"/>
  <c r="T178" i="53"/>
  <c r="T179" i="53"/>
  <c r="T180" i="53"/>
  <c r="T181" i="53"/>
  <c r="T182" i="53"/>
  <c r="T183" i="53"/>
  <c r="T184" i="53"/>
  <c r="T185" i="53"/>
  <c r="T186" i="53"/>
  <c r="T187" i="53"/>
  <c r="T188" i="53"/>
  <c r="T189" i="53"/>
  <c r="T190" i="53"/>
  <c r="T191" i="53"/>
  <c r="T192" i="53"/>
  <c r="T193" i="53"/>
  <c r="T194" i="53"/>
  <c r="T195" i="53"/>
  <c r="T196" i="53"/>
  <c r="T197" i="53"/>
  <c r="T198" i="53"/>
  <c r="T199" i="53"/>
  <c r="T200" i="53"/>
  <c r="T201" i="53"/>
  <c r="T202" i="53"/>
  <c r="T203" i="53"/>
  <c r="T204" i="53"/>
  <c r="T205" i="53"/>
  <c r="T206" i="53"/>
  <c r="T207" i="53"/>
  <c r="T208" i="53"/>
  <c r="T209" i="53"/>
  <c r="T210" i="53"/>
  <c r="T211" i="53"/>
  <c r="T212" i="53"/>
  <c r="T213" i="53"/>
  <c r="T214" i="53"/>
  <c r="T215" i="53"/>
  <c r="T216" i="53"/>
  <c r="T217" i="53"/>
  <c r="T218" i="53"/>
  <c r="T219" i="53"/>
  <c r="T220" i="53"/>
  <c r="T221" i="53"/>
  <c r="T222" i="53"/>
  <c r="T223" i="53"/>
  <c r="T224" i="53"/>
  <c r="T225" i="53"/>
  <c r="T226" i="53"/>
  <c r="T227" i="53"/>
  <c r="T228" i="53"/>
  <c r="T229" i="53"/>
  <c r="T230" i="53"/>
  <c r="T231" i="53"/>
  <c r="T232" i="53"/>
  <c r="T233" i="53"/>
  <c r="T234" i="53"/>
  <c r="T235" i="53"/>
  <c r="T236" i="53"/>
  <c r="T237" i="53"/>
  <c r="T238" i="53"/>
  <c r="T239" i="53"/>
  <c r="T240" i="53"/>
  <c r="T241" i="53"/>
  <c r="T242" i="53"/>
  <c r="T243" i="53"/>
  <c r="T244" i="53"/>
  <c r="T245" i="53"/>
  <c r="T246" i="53"/>
  <c r="T247" i="53"/>
  <c r="T248" i="53"/>
  <c r="T249" i="53"/>
  <c r="T250" i="53"/>
  <c r="T251" i="53"/>
  <c r="T252" i="53"/>
  <c r="T253" i="53"/>
  <c r="T254" i="53"/>
  <c r="T255" i="53"/>
  <c r="T256" i="53"/>
  <c r="T257" i="53"/>
  <c r="T12" i="53"/>
  <c r="AL13" i="65"/>
  <c r="AL14" i="65"/>
  <c r="AL15" i="65"/>
  <c r="AL16" i="65"/>
  <c r="AL17" i="65"/>
  <c r="AL18" i="65"/>
  <c r="AL19" i="65"/>
  <c r="AL20" i="65"/>
  <c r="AL21" i="65"/>
  <c r="AL22" i="65"/>
  <c r="AL23" i="65"/>
  <c r="AL24" i="65"/>
  <c r="AL25" i="65"/>
  <c r="AL26" i="65"/>
  <c r="AL27" i="65"/>
  <c r="AL28" i="65"/>
  <c r="AL29" i="65"/>
  <c r="AL30" i="65"/>
  <c r="AL31" i="65"/>
  <c r="AL32" i="65"/>
  <c r="AL33" i="65"/>
  <c r="AL34" i="65"/>
  <c r="AL35" i="65"/>
  <c r="AL36" i="65"/>
  <c r="AL37" i="65"/>
  <c r="AL38" i="65"/>
  <c r="AL39" i="65"/>
  <c r="AL40" i="65"/>
  <c r="AL41" i="65"/>
  <c r="AL42" i="65"/>
  <c r="AL43" i="65"/>
  <c r="AL44" i="65"/>
  <c r="AL45" i="65"/>
  <c r="AL46" i="65"/>
  <c r="AL47" i="65"/>
  <c r="AL48" i="65"/>
  <c r="AL49" i="65"/>
  <c r="AL50" i="65"/>
  <c r="AL51" i="65"/>
  <c r="AL52" i="65"/>
  <c r="AL53" i="65"/>
  <c r="AL54" i="65"/>
  <c r="AL55" i="65"/>
  <c r="AL56" i="65"/>
  <c r="AL57" i="65"/>
  <c r="AL58" i="65"/>
  <c r="AL59" i="65"/>
  <c r="AL60" i="65"/>
  <c r="AL61" i="65"/>
  <c r="AL62" i="65"/>
  <c r="AL63" i="65"/>
  <c r="AL64" i="65"/>
  <c r="AL65" i="65"/>
  <c r="AL66" i="65"/>
  <c r="AL67" i="65"/>
  <c r="AL68" i="65"/>
  <c r="AL69" i="65"/>
  <c r="AL70" i="65"/>
  <c r="AL71" i="65"/>
  <c r="AL72" i="65"/>
  <c r="AL73" i="65"/>
  <c r="AL74" i="65"/>
  <c r="AL75" i="65"/>
  <c r="AL76" i="65"/>
  <c r="AL77" i="65"/>
  <c r="AL78" i="65"/>
  <c r="AL79" i="65"/>
  <c r="AL80" i="65"/>
  <c r="AL81" i="65"/>
  <c r="AL82" i="65"/>
  <c r="AL83" i="65"/>
  <c r="AL84" i="65"/>
  <c r="AL85" i="65"/>
  <c r="AL86" i="65"/>
  <c r="AL87" i="65"/>
  <c r="AL88" i="65"/>
  <c r="AL89" i="65"/>
  <c r="AL90" i="65"/>
  <c r="AL91" i="65"/>
  <c r="AL92" i="65"/>
  <c r="AL93" i="65"/>
  <c r="AL94" i="65"/>
  <c r="AL95" i="65"/>
  <c r="AL96" i="65"/>
  <c r="AL97" i="65"/>
  <c r="AL98" i="65"/>
  <c r="AL99" i="65"/>
  <c r="AL100" i="65"/>
  <c r="AL101" i="65"/>
  <c r="AL102" i="65"/>
  <c r="AL103" i="65"/>
  <c r="AL104" i="65"/>
  <c r="AL105" i="65"/>
  <c r="AL106" i="65"/>
  <c r="AL107" i="65"/>
  <c r="AL108" i="65"/>
  <c r="AL109" i="65"/>
  <c r="AL110" i="65"/>
  <c r="AL111" i="65"/>
  <c r="AL112" i="65"/>
  <c r="AL113" i="65"/>
  <c r="AL114" i="65"/>
  <c r="AL115" i="65"/>
  <c r="AL116" i="65"/>
  <c r="AL117" i="65"/>
  <c r="AL118" i="65"/>
  <c r="AL119" i="65"/>
  <c r="AL120" i="65"/>
  <c r="AL121" i="65"/>
  <c r="AL122" i="65"/>
  <c r="AL123" i="65"/>
  <c r="AL124" i="65"/>
  <c r="AL125" i="65"/>
  <c r="AL126" i="65"/>
  <c r="AL127" i="65"/>
  <c r="AL128" i="65"/>
  <c r="AL129" i="65"/>
  <c r="AL130" i="65"/>
  <c r="AL131" i="65"/>
  <c r="AL132" i="65"/>
  <c r="AL133" i="65"/>
  <c r="AL134" i="65"/>
  <c r="AL135" i="65"/>
  <c r="AL136" i="65"/>
  <c r="AL137" i="65"/>
  <c r="AL138" i="65"/>
  <c r="AL139" i="65"/>
  <c r="AL140" i="65"/>
  <c r="AL141" i="65"/>
  <c r="AL142" i="65"/>
  <c r="AL143" i="65"/>
  <c r="AL144" i="65"/>
  <c r="AL145" i="65"/>
  <c r="AL146" i="65"/>
  <c r="AL147" i="65"/>
  <c r="AL148" i="65"/>
  <c r="AL149" i="65"/>
  <c r="AL150" i="65"/>
  <c r="AL151" i="65"/>
  <c r="AL152" i="65"/>
  <c r="AL153" i="65"/>
  <c r="AL154" i="65"/>
  <c r="AL155" i="65"/>
  <c r="AL156" i="65"/>
  <c r="AL157" i="65"/>
  <c r="AL158" i="65"/>
  <c r="AL159" i="65"/>
  <c r="AL160" i="65"/>
  <c r="AL161" i="65"/>
  <c r="AL162" i="65"/>
  <c r="AL163" i="65"/>
  <c r="AL164" i="65"/>
  <c r="AL165" i="65"/>
  <c r="AL166" i="65"/>
  <c r="AL167" i="65"/>
  <c r="AL168" i="65"/>
  <c r="AL169" i="65"/>
  <c r="AL170" i="65"/>
  <c r="AL171" i="65"/>
  <c r="AL172" i="65"/>
  <c r="AL173" i="65"/>
  <c r="AL174" i="65"/>
  <c r="AL175" i="65"/>
  <c r="AL176" i="65"/>
  <c r="AL177" i="65"/>
  <c r="AL178" i="65"/>
  <c r="AL179" i="65"/>
  <c r="AL180" i="65"/>
  <c r="AL181" i="65"/>
  <c r="AL182" i="65"/>
  <c r="AL183" i="65"/>
  <c r="AL184" i="65"/>
  <c r="AL185" i="65"/>
  <c r="AL186" i="65"/>
  <c r="AL187" i="65"/>
  <c r="AL188" i="65"/>
  <c r="AL189" i="65"/>
  <c r="AL190" i="65"/>
  <c r="AL191" i="65"/>
  <c r="AL192" i="65"/>
  <c r="AL193" i="65"/>
  <c r="AL194" i="65"/>
  <c r="AL195" i="65"/>
  <c r="AL196" i="65"/>
  <c r="AL197" i="65"/>
  <c r="AL198" i="65"/>
  <c r="AL199" i="65"/>
  <c r="AL200" i="65"/>
  <c r="AL201" i="65"/>
  <c r="AL202" i="65"/>
  <c r="AL203" i="65"/>
  <c r="AL204" i="65"/>
  <c r="AL205" i="65"/>
  <c r="AL206" i="65"/>
  <c r="AL207" i="65"/>
  <c r="AL208" i="65"/>
  <c r="AL209" i="65"/>
  <c r="AL210" i="65"/>
  <c r="AL211" i="65"/>
  <c r="AL212" i="65"/>
  <c r="AL213" i="65"/>
  <c r="AL214" i="65"/>
  <c r="AL215" i="65"/>
  <c r="AL216" i="65"/>
  <c r="AL217" i="65"/>
  <c r="AL218" i="65"/>
  <c r="AL219" i="65"/>
  <c r="AL220" i="65"/>
  <c r="AL221" i="65"/>
  <c r="AL222" i="65"/>
  <c r="AL223" i="65"/>
  <c r="AL224" i="65"/>
  <c r="AL225" i="65"/>
  <c r="AL226" i="65"/>
  <c r="AL227" i="65"/>
  <c r="AL228" i="65"/>
  <c r="AL229" i="65"/>
  <c r="AL230" i="65"/>
  <c r="AL231" i="65"/>
  <c r="AL232" i="65"/>
  <c r="AL233" i="65"/>
  <c r="AL234" i="65"/>
  <c r="AL235" i="65"/>
  <c r="AL236" i="65"/>
  <c r="AL237" i="65"/>
  <c r="AL238" i="65"/>
  <c r="AL239" i="65"/>
  <c r="AL240" i="65"/>
  <c r="AL241" i="65"/>
  <c r="AL242" i="65"/>
  <c r="AL243" i="65"/>
  <c r="AL244" i="65"/>
  <c r="AL245" i="65"/>
  <c r="AL246" i="65"/>
  <c r="AL247" i="65"/>
  <c r="AL248" i="65"/>
  <c r="AL249" i="65"/>
  <c r="AL250" i="65"/>
  <c r="AL251" i="65"/>
  <c r="AL252" i="65"/>
  <c r="AL253" i="65"/>
  <c r="AL254" i="65"/>
  <c r="AL255" i="65"/>
  <c r="AL256" i="65"/>
  <c r="AL257" i="65"/>
  <c r="AL12" i="65"/>
  <c r="Y13" i="64"/>
  <c r="Y14" i="64"/>
  <c r="Y15" i="64"/>
  <c r="Y16" i="64"/>
  <c r="Y17" i="64"/>
  <c r="Y18" i="64"/>
  <c r="Y19" i="64"/>
  <c r="Y20" i="64"/>
  <c r="Y21" i="64"/>
  <c r="Y22" i="64"/>
  <c r="Y23" i="64"/>
  <c r="Y24" i="64"/>
  <c r="Y25" i="64"/>
  <c r="Y26" i="64"/>
  <c r="Y27" i="64"/>
  <c r="Y28" i="64"/>
  <c r="Y29" i="64"/>
  <c r="Y30" i="64"/>
  <c r="Y31" i="64"/>
  <c r="Y32" i="64"/>
  <c r="Y33" i="64"/>
  <c r="Y34" i="64"/>
  <c r="Y35" i="64"/>
  <c r="Y36" i="64"/>
  <c r="Y37" i="64"/>
  <c r="Y38" i="64"/>
  <c r="Y39" i="64"/>
  <c r="Y40" i="64"/>
  <c r="Y41" i="64"/>
  <c r="Y42" i="64"/>
  <c r="Y43" i="64"/>
  <c r="Y44" i="64"/>
  <c r="Y45" i="64"/>
  <c r="Y46" i="64"/>
  <c r="Y47" i="64"/>
  <c r="Y48" i="64"/>
  <c r="Y49" i="64"/>
  <c r="Y50" i="64"/>
  <c r="Y51" i="64"/>
  <c r="Y52" i="64"/>
  <c r="Y53" i="64"/>
  <c r="Y54" i="64"/>
  <c r="Y55" i="64"/>
  <c r="Y56" i="64"/>
  <c r="Y57" i="64"/>
  <c r="Y58" i="64"/>
  <c r="Y59" i="64"/>
  <c r="Y60" i="64"/>
  <c r="Y61" i="64"/>
  <c r="Y62" i="64"/>
  <c r="Y63" i="64"/>
  <c r="Y64" i="64"/>
  <c r="Y65" i="64"/>
  <c r="Y66" i="64"/>
  <c r="Y67" i="64"/>
  <c r="Y68" i="64"/>
  <c r="Y69" i="64"/>
  <c r="Y70" i="64"/>
  <c r="Y71" i="64"/>
  <c r="Y72" i="64"/>
  <c r="Y73" i="64"/>
  <c r="Y74" i="64"/>
  <c r="Y75" i="64"/>
  <c r="Y76" i="64"/>
  <c r="Y77" i="64"/>
  <c r="Y78" i="64"/>
  <c r="Y79" i="64"/>
  <c r="Y80" i="64"/>
  <c r="Y81" i="64"/>
  <c r="Y82" i="64"/>
  <c r="Y83" i="64"/>
  <c r="Y84" i="64"/>
  <c r="Y85" i="64"/>
  <c r="Y86" i="64"/>
  <c r="Y87" i="64"/>
  <c r="Y88" i="64"/>
  <c r="Y89" i="64"/>
  <c r="Y90" i="64"/>
  <c r="Y91" i="64"/>
  <c r="Y92" i="64"/>
  <c r="Y93" i="64"/>
  <c r="Y94" i="64"/>
  <c r="Y95" i="64"/>
  <c r="Y96" i="64"/>
  <c r="Y97" i="64"/>
  <c r="Y98" i="64"/>
  <c r="Y99" i="64"/>
  <c r="Y100" i="64"/>
  <c r="Y101" i="64"/>
  <c r="Y102" i="64"/>
  <c r="Y103" i="64"/>
  <c r="Y104" i="64"/>
  <c r="Y105" i="64"/>
  <c r="Y106" i="64"/>
  <c r="Y107" i="64"/>
  <c r="Y108" i="64"/>
  <c r="Y109" i="64"/>
  <c r="Y110" i="64"/>
  <c r="Y111" i="64"/>
  <c r="Y112" i="64"/>
  <c r="Y113" i="64"/>
  <c r="Y114" i="64"/>
  <c r="Y115" i="64"/>
  <c r="Y116" i="64"/>
  <c r="Y117" i="64"/>
  <c r="Y118" i="64"/>
  <c r="Y119" i="64"/>
  <c r="Y120" i="64"/>
  <c r="Y121" i="64"/>
  <c r="Y122" i="64"/>
  <c r="Y123" i="64"/>
  <c r="Y124" i="64"/>
  <c r="Y125" i="64"/>
  <c r="Y126" i="64"/>
  <c r="Y127" i="64"/>
  <c r="Y128" i="64"/>
  <c r="Y129" i="64"/>
  <c r="Y130" i="64"/>
  <c r="Y131" i="64"/>
  <c r="Y132" i="64"/>
  <c r="Y133" i="64"/>
  <c r="Y134" i="64"/>
  <c r="Y135" i="64"/>
  <c r="Y136" i="64"/>
  <c r="Y137" i="64"/>
  <c r="Y138" i="64"/>
  <c r="Y139" i="64"/>
  <c r="Y140" i="64"/>
  <c r="Y141" i="64"/>
  <c r="Y142" i="64"/>
  <c r="Y143" i="64"/>
  <c r="Y144" i="64"/>
  <c r="Y145" i="64"/>
  <c r="Y146" i="64"/>
  <c r="Y147" i="64"/>
  <c r="Y148" i="64"/>
  <c r="Y149" i="64"/>
  <c r="Y150" i="64"/>
  <c r="Y151" i="64"/>
  <c r="Y152" i="64"/>
  <c r="Y153" i="64"/>
  <c r="Y154" i="64"/>
  <c r="Y155" i="64"/>
  <c r="Y156" i="64"/>
  <c r="Y157" i="64"/>
  <c r="Y158" i="64"/>
  <c r="Y159" i="64"/>
  <c r="Y160" i="64"/>
  <c r="Y161" i="64"/>
  <c r="Y162" i="64"/>
  <c r="Y163" i="64"/>
  <c r="Y164" i="64"/>
  <c r="Y165" i="64"/>
  <c r="Y166" i="64"/>
  <c r="Y167" i="64"/>
  <c r="Y168" i="64"/>
  <c r="Y169" i="64"/>
  <c r="Y170" i="64"/>
  <c r="Y171" i="64"/>
  <c r="Y172" i="64"/>
  <c r="Y173" i="64"/>
  <c r="Y174" i="64"/>
  <c r="Y175" i="64"/>
  <c r="Y176" i="64"/>
  <c r="Y177" i="64"/>
  <c r="Y178" i="64"/>
  <c r="Y179" i="64"/>
  <c r="Y180" i="64"/>
  <c r="Y181" i="64"/>
  <c r="Y182" i="64"/>
  <c r="Y183" i="64"/>
  <c r="Y184" i="64"/>
  <c r="Y185" i="64"/>
  <c r="Y186" i="64"/>
  <c r="Y187" i="64"/>
  <c r="Y188" i="64"/>
  <c r="Y189" i="64"/>
  <c r="Y190" i="64"/>
  <c r="Y191" i="64"/>
  <c r="Y192" i="64"/>
  <c r="Y193" i="64"/>
  <c r="Y194" i="64"/>
  <c r="Y195" i="64"/>
  <c r="Y196" i="64"/>
  <c r="Y197" i="64"/>
  <c r="Y198" i="64"/>
  <c r="Y199" i="64"/>
  <c r="Y200" i="64"/>
  <c r="Y201" i="64"/>
  <c r="Y202" i="64"/>
  <c r="Y203" i="64"/>
  <c r="Y204" i="64"/>
  <c r="Y205" i="64"/>
  <c r="Y206" i="64"/>
  <c r="Y207" i="64"/>
  <c r="Y208" i="64"/>
  <c r="Y209" i="64"/>
  <c r="Y210" i="64"/>
  <c r="Y211" i="64"/>
  <c r="Y212" i="64"/>
  <c r="Y213" i="64"/>
  <c r="Y214" i="64"/>
  <c r="Y215" i="64"/>
  <c r="Y216" i="64"/>
  <c r="Y217" i="64"/>
  <c r="Y218" i="64"/>
  <c r="Y219" i="64"/>
  <c r="Y220" i="64"/>
  <c r="Y221" i="64"/>
  <c r="Y222" i="64"/>
  <c r="Y223" i="64"/>
  <c r="Y224" i="64"/>
  <c r="Y225" i="64"/>
  <c r="Y226" i="64"/>
  <c r="Y227" i="64"/>
  <c r="Y228" i="64"/>
  <c r="Y229" i="64"/>
  <c r="Y230" i="64"/>
  <c r="Y231" i="64"/>
  <c r="Y232" i="64"/>
  <c r="Y233" i="64"/>
  <c r="Y234" i="64"/>
  <c r="Y235" i="64"/>
  <c r="Y236" i="64"/>
  <c r="Y237" i="64"/>
  <c r="Y238" i="64"/>
  <c r="Y239" i="64"/>
  <c r="Y240" i="64"/>
  <c r="Y241" i="64"/>
  <c r="Y242" i="64"/>
  <c r="Y243" i="64"/>
  <c r="Y244" i="64"/>
  <c r="Y245" i="64"/>
  <c r="Y246" i="64"/>
  <c r="Y247" i="64"/>
  <c r="Y248" i="64"/>
  <c r="Y249" i="64"/>
  <c r="Y250" i="64"/>
  <c r="Y251" i="64"/>
  <c r="Y252" i="64"/>
  <c r="Y253" i="64"/>
  <c r="Y254" i="64"/>
  <c r="Y255" i="64"/>
  <c r="Y256" i="64"/>
  <c r="Y257" i="64"/>
  <c r="Y258" i="64"/>
  <c r="Y259" i="64"/>
  <c r="Y12" i="64"/>
  <c r="W13" i="65" l="1"/>
  <c r="W14" i="65"/>
  <c r="W15" i="65"/>
  <c r="W16" i="65"/>
  <c r="W17" i="65"/>
  <c r="W18" i="65"/>
  <c r="W19" i="65"/>
  <c r="W20" i="65"/>
  <c r="W21" i="65"/>
  <c r="W22" i="65"/>
  <c r="W23" i="65"/>
  <c r="W24" i="65"/>
  <c r="W25" i="65"/>
  <c r="W26" i="65"/>
  <c r="W27" i="65"/>
  <c r="W28" i="65"/>
  <c r="W29" i="65"/>
  <c r="W30" i="65"/>
  <c r="W31" i="65"/>
  <c r="W32" i="65"/>
  <c r="W33" i="65"/>
  <c r="W34" i="65"/>
  <c r="W35" i="65"/>
  <c r="W36" i="65"/>
  <c r="W37" i="65"/>
  <c r="W38" i="65"/>
  <c r="W39" i="65"/>
  <c r="W40" i="65"/>
  <c r="W41" i="65"/>
  <c r="W42" i="65"/>
  <c r="W43" i="65"/>
  <c r="W44" i="65"/>
  <c r="W45" i="65"/>
  <c r="W46" i="65"/>
  <c r="W47" i="65"/>
  <c r="W48" i="65"/>
  <c r="W49" i="65"/>
  <c r="W50" i="65"/>
  <c r="W51" i="65"/>
  <c r="W52" i="65"/>
  <c r="W53" i="65"/>
  <c r="W54" i="65"/>
  <c r="W55" i="65"/>
  <c r="W56" i="65"/>
  <c r="W57" i="65"/>
  <c r="W58" i="65"/>
  <c r="W59" i="65"/>
  <c r="W60" i="65"/>
  <c r="W61" i="65"/>
  <c r="W62" i="65"/>
  <c r="W63" i="65"/>
  <c r="W64" i="65"/>
  <c r="W65" i="65"/>
  <c r="W66" i="65"/>
  <c r="W67" i="65"/>
  <c r="W68" i="65"/>
  <c r="W69" i="65"/>
  <c r="W70" i="65"/>
  <c r="W71" i="65"/>
  <c r="W72" i="65"/>
  <c r="W73" i="65"/>
  <c r="W74" i="65"/>
  <c r="W75" i="65"/>
  <c r="W76" i="65"/>
  <c r="W77" i="65"/>
  <c r="W78" i="65"/>
  <c r="W79" i="65"/>
  <c r="W80" i="65"/>
  <c r="W81" i="65"/>
  <c r="W82" i="65"/>
  <c r="W83" i="65"/>
  <c r="W84" i="65"/>
  <c r="W85" i="65"/>
  <c r="W86" i="65"/>
  <c r="W87" i="65"/>
  <c r="W88" i="65"/>
  <c r="W89" i="65"/>
  <c r="W90" i="65"/>
  <c r="W91" i="65"/>
  <c r="W92" i="65"/>
  <c r="W93" i="65"/>
  <c r="W94" i="65"/>
  <c r="W95" i="65"/>
  <c r="W96" i="65"/>
  <c r="W97" i="65"/>
  <c r="W98" i="65"/>
  <c r="W99" i="65"/>
  <c r="W100" i="65"/>
  <c r="W101" i="65"/>
  <c r="W102" i="65"/>
  <c r="W103" i="65"/>
  <c r="W104" i="65"/>
  <c r="W105" i="65"/>
  <c r="W106" i="65"/>
  <c r="W107" i="65"/>
  <c r="W108" i="65"/>
  <c r="W109" i="65"/>
  <c r="W110" i="65"/>
  <c r="W111" i="65"/>
  <c r="W112" i="65"/>
  <c r="W113" i="65"/>
  <c r="W114" i="65"/>
  <c r="W115" i="65"/>
  <c r="W116" i="65"/>
  <c r="W117" i="65"/>
  <c r="W118" i="65"/>
  <c r="W119" i="65"/>
  <c r="W120" i="65"/>
  <c r="W121" i="65"/>
  <c r="W122" i="65"/>
  <c r="W123" i="65"/>
  <c r="W124" i="65"/>
  <c r="W125" i="65"/>
  <c r="W126" i="65"/>
  <c r="W127" i="65"/>
  <c r="W128" i="65"/>
  <c r="W129" i="65"/>
  <c r="W130" i="65"/>
  <c r="W131" i="65"/>
  <c r="W132" i="65"/>
  <c r="W133" i="65"/>
  <c r="W134" i="65"/>
  <c r="W135" i="65"/>
  <c r="W136" i="65"/>
  <c r="W137" i="65"/>
  <c r="W138" i="65"/>
  <c r="W139" i="65"/>
  <c r="W140" i="65"/>
  <c r="W141" i="65"/>
  <c r="W142" i="65"/>
  <c r="W143" i="65"/>
  <c r="W144" i="65"/>
  <c r="W145" i="65"/>
  <c r="W146" i="65"/>
  <c r="W147" i="65"/>
  <c r="W148" i="65"/>
  <c r="W149" i="65"/>
  <c r="W150" i="65"/>
  <c r="W151" i="65"/>
  <c r="W152" i="65"/>
  <c r="W153" i="65"/>
  <c r="W154" i="65"/>
  <c r="W155" i="65"/>
  <c r="W156" i="65"/>
  <c r="W157" i="65"/>
  <c r="W158" i="65"/>
  <c r="W159" i="65"/>
  <c r="W160" i="65"/>
  <c r="W161" i="65"/>
  <c r="W162" i="65"/>
  <c r="W163" i="65"/>
  <c r="W164" i="65"/>
  <c r="W165" i="65"/>
  <c r="W166" i="65"/>
  <c r="W167" i="65"/>
  <c r="W168" i="65"/>
  <c r="W169" i="65"/>
  <c r="W170" i="65"/>
  <c r="W171" i="65"/>
  <c r="W172" i="65"/>
  <c r="W173" i="65"/>
  <c r="W174" i="65"/>
  <c r="W175" i="65"/>
  <c r="W176" i="65"/>
  <c r="W177" i="65"/>
  <c r="W178" i="65"/>
  <c r="W179" i="65"/>
  <c r="W180" i="65"/>
  <c r="W181" i="65"/>
  <c r="W182" i="65"/>
  <c r="W183" i="65"/>
  <c r="W184" i="65"/>
  <c r="W185" i="65"/>
  <c r="W186" i="65"/>
  <c r="W187" i="65"/>
  <c r="W188" i="65"/>
  <c r="W189" i="65"/>
  <c r="W190" i="65"/>
  <c r="W191" i="65"/>
  <c r="W192" i="65"/>
  <c r="W193" i="65"/>
  <c r="W194" i="65"/>
  <c r="W195" i="65"/>
  <c r="W196" i="65"/>
  <c r="W197" i="65"/>
  <c r="W198" i="65"/>
  <c r="W199" i="65"/>
  <c r="W200" i="65"/>
  <c r="W201" i="65"/>
  <c r="W202" i="65"/>
  <c r="W203" i="65"/>
  <c r="W204" i="65"/>
  <c r="W205" i="65"/>
  <c r="W206" i="65"/>
  <c r="W207" i="65"/>
  <c r="W208" i="65"/>
  <c r="W209" i="65"/>
  <c r="W210" i="65"/>
  <c r="W211" i="65"/>
  <c r="W212" i="65"/>
  <c r="W213" i="65"/>
  <c r="W214" i="65"/>
  <c r="W215" i="65"/>
  <c r="W216" i="65"/>
  <c r="W217" i="65"/>
  <c r="W218" i="65"/>
  <c r="W219" i="65"/>
  <c r="W220" i="65"/>
  <c r="W221" i="65"/>
  <c r="W222" i="65"/>
  <c r="W223" i="65"/>
  <c r="W224" i="65"/>
  <c r="W225" i="65"/>
  <c r="W226" i="65"/>
  <c r="W227" i="65"/>
  <c r="W228" i="65"/>
  <c r="W229" i="65"/>
  <c r="W230" i="65"/>
  <c r="W231" i="65"/>
  <c r="W232" i="65"/>
  <c r="W233" i="65"/>
  <c r="W234" i="65"/>
  <c r="W235" i="65"/>
  <c r="W236" i="65"/>
  <c r="W237" i="65"/>
  <c r="W238" i="65"/>
  <c r="W239" i="65"/>
  <c r="W240" i="65"/>
  <c r="W241" i="65"/>
  <c r="W242" i="65"/>
  <c r="W243" i="65"/>
  <c r="W244" i="65"/>
  <c r="W245" i="65"/>
  <c r="W246" i="65"/>
  <c r="W247" i="65"/>
  <c r="W248" i="65"/>
  <c r="W249" i="65"/>
  <c r="W250" i="65"/>
  <c r="W251" i="65"/>
  <c r="W252" i="65"/>
  <c r="W253" i="65"/>
  <c r="W254" i="65"/>
  <c r="W255" i="65"/>
  <c r="W256" i="65"/>
  <c r="W257" i="65"/>
  <c r="W12" i="65"/>
  <c r="J13" i="64"/>
  <c r="J14" i="64"/>
  <c r="J15" i="64"/>
  <c r="J16" i="64"/>
  <c r="J17" i="64"/>
  <c r="J18" i="64"/>
  <c r="J19" i="64"/>
  <c r="J20" i="64"/>
  <c r="J21" i="64"/>
  <c r="J22" i="64"/>
  <c r="J23" i="64"/>
  <c r="J24" i="64"/>
  <c r="J25" i="64"/>
  <c r="J26" i="64"/>
  <c r="J27" i="64"/>
  <c r="J28" i="64"/>
  <c r="J29" i="64"/>
  <c r="J30" i="64"/>
  <c r="J31" i="64"/>
  <c r="J32" i="64"/>
  <c r="J33" i="64"/>
  <c r="J34" i="64"/>
  <c r="J35" i="64"/>
  <c r="J36" i="64"/>
  <c r="J37" i="64"/>
  <c r="J38" i="64"/>
  <c r="J39" i="64"/>
  <c r="J40" i="64"/>
  <c r="J41" i="64"/>
  <c r="J42" i="64"/>
  <c r="J43" i="64"/>
  <c r="J44" i="64"/>
  <c r="J45" i="64"/>
  <c r="J46" i="64"/>
  <c r="J47" i="64"/>
  <c r="J48" i="64"/>
  <c r="J49" i="64"/>
  <c r="J50" i="64"/>
  <c r="J51" i="64"/>
  <c r="J52" i="64"/>
  <c r="J53" i="64"/>
  <c r="J54" i="64"/>
  <c r="J55" i="64"/>
  <c r="J56" i="64"/>
  <c r="J57" i="64"/>
  <c r="J58" i="64"/>
  <c r="J59" i="64"/>
  <c r="J60" i="64"/>
  <c r="J61" i="64"/>
  <c r="J62" i="64"/>
  <c r="J63" i="64"/>
  <c r="J64" i="64"/>
  <c r="J65" i="64"/>
  <c r="J66" i="64"/>
  <c r="J67" i="64"/>
  <c r="J68" i="64"/>
  <c r="J69" i="64"/>
  <c r="J70" i="64"/>
  <c r="J71" i="64"/>
  <c r="J72" i="64"/>
  <c r="J73" i="64"/>
  <c r="J74" i="64"/>
  <c r="J75" i="64"/>
  <c r="J76" i="64"/>
  <c r="J77" i="64"/>
  <c r="J78" i="64"/>
  <c r="J79" i="64"/>
  <c r="J80" i="64"/>
  <c r="J81" i="64"/>
  <c r="J82" i="64"/>
  <c r="J83" i="64"/>
  <c r="J84" i="64"/>
  <c r="J85" i="64"/>
  <c r="J86" i="64"/>
  <c r="J87" i="64"/>
  <c r="J88" i="64"/>
  <c r="J89" i="64"/>
  <c r="J90" i="64"/>
  <c r="J91" i="64"/>
  <c r="J92" i="64"/>
  <c r="J93" i="64"/>
  <c r="J94" i="64"/>
  <c r="J95" i="64"/>
  <c r="J96" i="64"/>
  <c r="J97" i="64"/>
  <c r="J98" i="64"/>
  <c r="J99" i="64"/>
  <c r="J100" i="64"/>
  <c r="J101" i="64"/>
  <c r="J102" i="64"/>
  <c r="J103" i="64"/>
  <c r="J104" i="64"/>
  <c r="J105" i="64"/>
  <c r="J106" i="64"/>
  <c r="J107" i="64"/>
  <c r="J108" i="64"/>
  <c r="J109" i="64"/>
  <c r="J110" i="64"/>
  <c r="J111" i="64"/>
  <c r="J112" i="64"/>
  <c r="J113" i="64"/>
  <c r="J114" i="64"/>
  <c r="J115" i="64"/>
  <c r="J116" i="64"/>
  <c r="J117" i="64"/>
  <c r="J118" i="64"/>
  <c r="J119" i="64"/>
  <c r="J120" i="64"/>
  <c r="J121" i="64"/>
  <c r="J122" i="64"/>
  <c r="J123" i="64"/>
  <c r="J124" i="64"/>
  <c r="J125" i="64"/>
  <c r="J126" i="64"/>
  <c r="J127" i="64"/>
  <c r="J128" i="64"/>
  <c r="J129" i="64"/>
  <c r="J130" i="64"/>
  <c r="J131" i="64"/>
  <c r="J132" i="64"/>
  <c r="J133" i="64"/>
  <c r="J134" i="64"/>
  <c r="J135" i="64"/>
  <c r="J136" i="64"/>
  <c r="J137" i="64"/>
  <c r="J138" i="64"/>
  <c r="J139" i="64"/>
  <c r="J140" i="64"/>
  <c r="J141" i="64"/>
  <c r="J142" i="64"/>
  <c r="J143" i="64"/>
  <c r="J144" i="64"/>
  <c r="J145" i="64"/>
  <c r="J146" i="64"/>
  <c r="J147" i="64"/>
  <c r="J148" i="64"/>
  <c r="J149" i="64"/>
  <c r="J150" i="64"/>
  <c r="J151" i="64"/>
  <c r="J152" i="64"/>
  <c r="J153" i="64"/>
  <c r="J154" i="64"/>
  <c r="J155" i="64"/>
  <c r="J156" i="64"/>
  <c r="J157" i="64"/>
  <c r="J158" i="64"/>
  <c r="J159" i="64"/>
  <c r="J160" i="64"/>
  <c r="J161" i="64"/>
  <c r="J162" i="64"/>
  <c r="J163" i="64"/>
  <c r="J164" i="64"/>
  <c r="J165" i="64"/>
  <c r="J166" i="64"/>
  <c r="J167" i="64"/>
  <c r="J168" i="64"/>
  <c r="J169" i="64"/>
  <c r="J170" i="64"/>
  <c r="J171" i="64"/>
  <c r="J172" i="64"/>
  <c r="J173" i="64"/>
  <c r="J174" i="64"/>
  <c r="J175" i="64"/>
  <c r="J176" i="64"/>
  <c r="J177" i="64"/>
  <c r="J178" i="64"/>
  <c r="J179" i="64"/>
  <c r="J180" i="64"/>
  <c r="J181" i="64"/>
  <c r="J182" i="64"/>
  <c r="J183" i="64"/>
  <c r="J184" i="64"/>
  <c r="J185" i="64"/>
  <c r="J186" i="64"/>
  <c r="J187" i="64"/>
  <c r="J188" i="64"/>
  <c r="J189" i="64"/>
  <c r="J190" i="64"/>
  <c r="J191" i="64"/>
  <c r="J192" i="64"/>
  <c r="J193" i="64"/>
  <c r="J194" i="64"/>
  <c r="J195" i="64"/>
  <c r="J196" i="64"/>
  <c r="J197" i="64"/>
  <c r="J198" i="64"/>
  <c r="J199" i="64"/>
  <c r="J200" i="64"/>
  <c r="J201" i="64"/>
  <c r="J202" i="64"/>
  <c r="J203" i="64"/>
  <c r="J204" i="64"/>
  <c r="J205" i="64"/>
  <c r="J206" i="64"/>
  <c r="J207" i="64"/>
  <c r="J208" i="64"/>
  <c r="J209" i="64"/>
  <c r="J210" i="64"/>
  <c r="J211" i="64"/>
  <c r="J212" i="64"/>
  <c r="J213" i="64"/>
  <c r="J214" i="64"/>
  <c r="J215" i="64"/>
  <c r="J216" i="64"/>
  <c r="J217" i="64"/>
  <c r="J218" i="64"/>
  <c r="J219" i="64"/>
  <c r="J220" i="64"/>
  <c r="J221" i="64"/>
  <c r="J222" i="64"/>
  <c r="J223" i="64"/>
  <c r="J224" i="64"/>
  <c r="J225" i="64"/>
  <c r="J226" i="64"/>
  <c r="J227" i="64"/>
  <c r="J228" i="64"/>
  <c r="J229" i="64"/>
  <c r="J230" i="64"/>
  <c r="J231" i="64"/>
  <c r="J232" i="64"/>
  <c r="J233" i="64"/>
  <c r="J234" i="64"/>
  <c r="J235" i="64"/>
  <c r="J236" i="64"/>
  <c r="J237" i="64"/>
  <c r="J238" i="64"/>
  <c r="J239" i="64"/>
  <c r="J240" i="64"/>
  <c r="J241" i="64"/>
  <c r="J242" i="64"/>
  <c r="J243" i="64"/>
  <c r="J244" i="64"/>
  <c r="J245" i="64"/>
  <c r="J246" i="64"/>
  <c r="J247" i="64"/>
  <c r="J248" i="64"/>
  <c r="J249" i="64"/>
  <c r="J250" i="64"/>
  <c r="J251" i="64"/>
  <c r="J252" i="64"/>
  <c r="J253" i="64"/>
  <c r="J254" i="64"/>
  <c r="J255" i="64"/>
  <c r="J256" i="64"/>
  <c r="J257" i="64"/>
  <c r="J258" i="64"/>
  <c r="J259" i="64"/>
  <c r="J12" i="64"/>
  <c r="AI11" i="63"/>
  <c r="K11" i="63"/>
  <c r="K12" i="63"/>
  <c r="K13" i="63"/>
  <c r="K14" i="63"/>
  <c r="K15" i="63"/>
  <c r="K16" i="63"/>
  <c r="K17" i="63"/>
  <c r="K18" i="63"/>
  <c r="K19" i="63"/>
  <c r="K20" i="63"/>
  <c r="K21" i="63"/>
  <c r="K22" i="63"/>
  <c r="K23" i="63"/>
  <c r="K24" i="63"/>
  <c r="K25" i="63"/>
  <c r="K26" i="63"/>
  <c r="K27" i="63"/>
  <c r="K28" i="63"/>
  <c r="K29" i="63"/>
  <c r="K30" i="63"/>
  <c r="K31" i="63"/>
  <c r="K32" i="63"/>
  <c r="K33" i="63"/>
  <c r="K34" i="63"/>
  <c r="K35" i="63"/>
  <c r="K36" i="63"/>
  <c r="K37" i="63"/>
  <c r="K38" i="63"/>
  <c r="K39" i="63"/>
  <c r="K40" i="63"/>
  <c r="K41" i="63"/>
  <c r="K42" i="63"/>
  <c r="K43" i="63"/>
  <c r="K44" i="63"/>
  <c r="K45" i="63"/>
  <c r="K46" i="63"/>
  <c r="K47" i="63"/>
  <c r="K48" i="63"/>
  <c r="K49" i="63"/>
  <c r="K50" i="63"/>
  <c r="K51" i="63"/>
  <c r="K52" i="63"/>
  <c r="K53" i="63"/>
  <c r="K54" i="63"/>
  <c r="K55" i="63"/>
  <c r="K56" i="63"/>
  <c r="K57" i="63"/>
  <c r="K58" i="63"/>
  <c r="K59" i="63"/>
  <c r="K60" i="63"/>
  <c r="K61" i="63"/>
  <c r="K62" i="63"/>
  <c r="K63" i="63"/>
  <c r="K64" i="63"/>
  <c r="K65" i="63"/>
  <c r="K66" i="63"/>
  <c r="K67" i="63"/>
  <c r="K68" i="63"/>
  <c r="K69" i="63"/>
  <c r="K70" i="63"/>
  <c r="K71" i="63"/>
  <c r="K72" i="63"/>
  <c r="K73" i="63"/>
  <c r="K74" i="63"/>
  <c r="K75" i="63"/>
  <c r="K76" i="63"/>
  <c r="K77" i="63"/>
  <c r="K78" i="63"/>
  <c r="K79" i="63"/>
  <c r="K80" i="63"/>
  <c r="K81" i="63"/>
  <c r="K82" i="63"/>
  <c r="K83" i="63"/>
  <c r="K84" i="63"/>
  <c r="K85" i="63"/>
  <c r="K86" i="63"/>
  <c r="K87" i="63"/>
  <c r="K88" i="63"/>
  <c r="K89" i="63"/>
  <c r="K90" i="63"/>
  <c r="K91" i="63"/>
  <c r="K92" i="63"/>
  <c r="K93" i="63"/>
  <c r="K94" i="63"/>
  <c r="K95" i="63"/>
  <c r="K96" i="63"/>
  <c r="K97" i="63"/>
  <c r="K98" i="63"/>
  <c r="K99" i="63"/>
  <c r="K100" i="63"/>
  <c r="K101" i="63"/>
  <c r="K102" i="63"/>
  <c r="K103" i="63"/>
  <c r="K104" i="63"/>
  <c r="K105" i="63"/>
  <c r="K106" i="63"/>
  <c r="K107" i="63"/>
  <c r="K108" i="63"/>
  <c r="K109" i="63"/>
  <c r="K110" i="63"/>
  <c r="K111" i="63"/>
  <c r="K112" i="63"/>
  <c r="K113" i="63"/>
  <c r="K114" i="63"/>
  <c r="K115" i="63"/>
  <c r="K116" i="63"/>
  <c r="K117" i="63"/>
  <c r="K118" i="63"/>
  <c r="K119" i="63"/>
  <c r="K120" i="63"/>
  <c r="K121" i="63"/>
  <c r="K122" i="63"/>
  <c r="K123" i="63"/>
  <c r="K124" i="63"/>
  <c r="K125" i="63"/>
  <c r="K126" i="63"/>
  <c r="K127" i="63"/>
  <c r="K128" i="63"/>
  <c r="K129" i="63"/>
  <c r="K130" i="63"/>
  <c r="K131" i="63"/>
  <c r="K132" i="63"/>
  <c r="K133" i="63"/>
  <c r="K134" i="63"/>
  <c r="K135" i="63"/>
  <c r="K136" i="63"/>
  <c r="K137" i="63"/>
  <c r="K138" i="63"/>
  <c r="K139" i="63"/>
  <c r="K140" i="63"/>
  <c r="K141" i="63"/>
  <c r="K142" i="63"/>
  <c r="K143" i="63"/>
  <c r="K144" i="63"/>
  <c r="K145" i="63"/>
  <c r="K146" i="63"/>
  <c r="K147" i="63"/>
  <c r="K148" i="63"/>
  <c r="K149" i="63"/>
  <c r="K150" i="63"/>
  <c r="K151" i="63"/>
  <c r="K152" i="63"/>
  <c r="K153" i="63"/>
  <c r="K154" i="63"/>
  <c r="K155" i="63"/>
  <c r="K156" i="63"/>
  <c r="K157" i="63"/>
  <c r="K158" i="63"/>
  <c r="K159" i="63"/>
  <c r="K160" i="63"/>
  <c r="K161" i="63"/>
  <c r="K162" i="63"/>
  <c r="K163" i="63"/>
  <c r="K164" i="63"/>
  <c r="K165" i="63"/>
  <c r="K166" i="63"/>
  <c r="K167" i="63"/>
  <c r="K168" i="63"/>
  <c r="K169" i="63"/>
  <c r="K170" i="63"/>
  <c r="K171" i="63"/>
  <c r="K172" i="63"/>
  <c r="K173" i="63"/>
  <c r="K174" i="63"/>
  <c r="K175" i="63"/>
  <c r="K176" i="63"/>
  <c r="K177" i="63"/>
  <c r="K178" i="63"/>
  <c r="K179" i="63"/>
  <c r="K180" i="63"/>
  <c r="K181" i="63"/>
  <c r="K182" i="63"/>
  <c r="K183" i="63"/>
  <c r="K184" i="63"/>
  <c r="K185" i="63"/>
  <c r="K186" i="63"/>
  <c r="K187" i="63"/>
  <c r="K188" i="63"/>
  <c r="K189" i="63"/>
  <c r="K190" i="63"/>
  <c r="K191" i="63"/>
  <c r="K192" i="63"/>
  <c r="K193" i="63"/>
  <c r="K194" i="63"/>
  <c r="K195" i="63"/>
  <c r="K196" i="63"/>
  <c r="K197" i="63"/>
  <c r="K198" i="63"/>
  <c r="K199" i="63"/>
  <c r="K200" i="63"/>
  <c r="K201" i="63"/>
  <c r="K202" i="63"/>
  <c r="K203" i="63"/>
  <c r="K204" i="63"/>
  <c r="K205" i="63"/>
  <c r="K206" i="63"/>
  <c r="K207" i="63"/>
  <c r="K208" i="63"/>
  <c r="K209" i="63"/>
  <c r="K210" i="63"/>
  <c r="K211" i="63"/>
  <c r="K212" i="63"/>
  <c r="K213" i="63"/>
  <c r="K214" i="63"/>
  <c r="K215" i="63"/>
  <c r="K216" i="63"/>
  <c r="K217" i="63"/>
  <c r="K218" i="63"/>
  <c r="K219" i="63"/>
  <c r="K220" i="63"/>
  <c r="K221" i="63"/>
  <c r="K222" i="63"/>
  <c r="K223" i="63"/>
  <c r="K224" i="63"/>
  <c r="K225" i="63"/>
  <c r="K226" i="63"/>
  <c r="K227" i="63"/>
  <c r="K228" i="63"/>
  <c r="K229" i="63"/>
  <c r="K230" i="63"/>
  <c r="K231" i="63"/>
  <c r="K232" i="63"/>
  <c r="K233" i="63"/>
  <c r="K234" i="63"/>
  <c r="K235" i="63"/>
  <c r="K236" i="63"/>
  <c r="K237" i="63"/>
  <c r="K238" i="63"/>
  <c r="K239" i="63"/>
  <c r="K240" i="63"/>
  <c r="K241" i="63"/>
  <c r="K242" i="63"/>
  <c r="K243" i="63"/>
  <c r="K244" i="63"/>
  <c r="K245" i="63"/>
  <c r="K246" i="63"/>
  <c r="K247" i="63"/>
  <c r="K248" i="63"/>
  <c r="K249" i="63"/>
  <c r="K250" i="63"/>
  <c r="K251" i="63"/>
  <c r="K252" i="63"/>
  <c r="K253" i="63"/>
  <c r="K254" i="63"/>
  <c r="K255" i="63"/>
  <c r="K256" i="63"/>
  <c r="K257" i="63"/>
  <c r="K10" i="63"/>
  <c r="Z11" i="63"/>
  <c r="Z12" i="63"/>
  <c r="Z13" i="63"/>
  <c r="Z14" i="63"/>
  <c r="Z15" i="63"/>
  <c r="Z16" i="63"/>
  <c r="Z17" i="63"/>
  <c r="Z18" i="63"/>
  <c r="Z19" i="63"/>
  <c r="Z20" i="63"/>
  <c r="Z21" i="63"/>
  <c r="Z22" i="63"/>
  <c r="Z23" i="63"/>
  <c r="Z24" i="63"/>
  <c r="Z25" i="63"/>
  <c r="Z26" i="63"/>
  <c r="Z27" i="63"/>
  <c r="Z28" i="63"/>
  <c r="Z29" i="63"/>
  <c r="Z30" i="63"/>
  <c r="Z31" i="63"/>
  <c r="Z32" i="63"/>
  <c r="Z33" i="63"/>
  <c r="Z34" i="63"/>
  <c r="Z35" i="63"/>
  <c r="Z36" i="63"/>
  <c r="Z37" i="63"/>
  <c r="Z38" i="63"/>
  <c r="Z39" i="63"/>
  <c r="Z40" i="63"/>
  <c r="Z41" i="63"/>
  <c r="Z42" i="63"/>
  <c r="Z43" i="63"/>
  <c r="Z44" i="63"/>
  <c r="Z45" i="63"/>
  <c r="Z46" i="63"/>
  <c r="Z47" i="63"/>
  <c r="Z48" i="63"/>
  <c r="Z49" i="63"/>
  <c r="Z50" i="63"/>
  <c r="Z51" i="63"/>
  <c r="Z52" i="63"/>
  <c r="Z53" i="63"/>
  <c r="Z54" i="63"/>
  <c r="Z55" i="63"/>
  <c r="Z56" i="63"/>
  <c r="Z57" i="63"/>
  <c r="Z58" i="63"/>
  <c r="Z59" i="63"/>
  <c r="Z60" i="63"/>
  <c r="Z61" i="63"/>
  <c r="Z62" i="63"/>
  <c r="Z63" i="63"/>
  <c r="Z64" i="63"/>
  <c r="Z65" i="63"/>
  <c r="Z66" i="63"/>
  <c r="Z67" i="63"/>
  <c r="Z68" i="63"/>
  <c r="Z69" i="63"/>
  <c r="Z70" i="63"/>
  <c r="Z71" i="63"/>
  <c r="Z72" i="63"/>
  <c r="Z73" i="63"/>
  <c r="Z74" i="63"/>
  <c r="Z75" i="63"/>
  <c r="Z76" i="63"/>
  <c r="Z77" i="63"/>
  <c r="Z78" i="63"/>
  <c r="Z79" i="63"/>
  <c r="Z80" i="63"/>
  <c r="Z81" i="63"/>
  <c r="Z82" i="63"/>
  <c r="Z83" i="63"/>
  <c r="Z84" i="63"/>
  <c r="Z85" i="63"/>
  <c r="Z86" i="63"/>
  <c r="Z87" i="63"/>
  <c r="Z88" i="63"/>
  <c r="Z89" i="63"/>
  <c r="Z90" i="63"/>
  <c r="Z91" i="63"/>
  <c r="Z92" i="63"/>
  <c r="Z93" i="63"/>
  <c r="Z94" i="63"/>
  <c r="Z95" i="63"/>
  <c r="Z96" i="63"/>
  <c r="Z97" i="63"/>
  <c r="Z98" i="63"/>
  <c r="Z99" i="63"/>
  <c r="Z100" i="63"/>
  <c r="Z101" i="63"/>
  <c r="Z102" i="63"/>
  <c r="Z103" i="63"/>
  <c r="Z104" i="63"/>
  <c r="Z105" i="63"/>
  <c r="Z106" i="63"/>
  <c r="Z107" i="63"/>
  <c r="Z108" i="63"/>
  <c r="Z109" i="63"/>
  <c r="Z110" i="63"/>
  <c r="Z111" i="63"/>
  <c r="Z112" i="63"/>
  <c r="Z113" i="63"/>
  <c r="Z114" i="63"/>
  <c r="Z115" i="63"/>
  <c r="Z116" i="63"/>
  <c r="Z117" i="63"/>
  <c r="Z118" i="63"/>
  <c r="Z119" i="63"/>
  <c r="Z120" i="63"/>
  <c r="Z121" i="63"/>
  <c r="Z122" i="63"/>
  <c r="Z123" i="63"/>
  <c r="Z124" i="63"/>
  <c r="Z125" i="63"/>
  <c r="Z126" i="63"/>
  <c r="Z127" i="63"/>
  <c r="Z128" i="63"/>
  <c r="Z129" i="63"/>
  <c r="Z130" i="63"/>
  <c r="Z131" i="63"/>
  <c r="Z132" i="63"/>
  <c r="Z133" i="63"/>
  <c r="Z134" i="63"/>
  <c r="Z135" i="63"/>
  <c r="Z136" i="63"/>
  <c r="Z137" i="63"/>
  <c r="Z138" i="63"/>
  <c r="Z139" i="63"/>
  <c r="Z140" i="63"/>
  <c r="Z141" i="63"/>
  <c r="Z142" i="63"/>
  <c r="Z143" i="63"/>
  <c r="Z144" i="63"/>
  <c r="Z145" i="63"/>
  <c r="Z146" i="63"/>
  <c r="Z147" i="63"/>
  <c r="Z148" i="63"/>
  <c r="Z149" i="63"/>
  <c r="Z150" i="63"/>
  <c r="Z151" i="63"/>
  <c r="Z152" i="63"/>
  <c r="Z153" i="63"/>
  <c r="Z154" i="63"/>
  <c r="Z155" i="63"/>
  <c r="Z156" i="63"/>
  <c r="Z157" i="63"/>
  <c r="Z158" i="63"/>
  <c r="Z159" i="63"/>
  <c r="Z160" i="63"/>
  <c r="Z161" i="63"/>
  <c r="Z162" i="63"/>
  <c r="Z163" i="63"/>
  <c r="Z164" i="63"/>
  <c r="Z165" i="63"/>
  <c r="Z166" i="63"/>
  <c r="Z167" i="63"/>
  <c r="Z168" i="63"/>
  <c r="Z169" i="63"/>
  <c r="Z170" i="63"/>
  <c r="Z171" i="63"/>
  <c r="Z172" i="63"/>
  <c r="Z173" i="63"/>
  <c r="Z174" i="63"/>
  <c r="Z175" i="63"/>
  <c r="Z176" i="63"/>
  <c r="Z177" i="63"/>
  <c r="Z178" i="63"/>
  <c r="Z179" i="63"/>
  <c r="Z180" i="63"/>
  <c r="Z181" i="63"/>
  <c r="Z182" i="63"/>
  <c r="Z183" i="63"/>
  <c r="Z184" i="63"/>
  <c r="Z185" i="63"/>
  <c r="Z186" i="63"/>
  <c r="Z187" i="63"/>
  <c r="Z188" i="63"/>
  <c r="Z189" i="63"/>
  <c r="Z190" i="63"/>
  <c r="Z191" i="63"/>
  <c r="Z192" i="63"/>
  <c r="Z193" i="63"/>
  <c r="Z194" i="63"/>
  <c r="Z195" i="63"/>
  <c r="Z196" i="63"/>
  <c r="Z197" i="63"/>
  <c r="Z198" i="63"/>
  <c r="Z199" i="63"/>
  <c r="Z200" i="63"/>
  <c r="Z201" i="63"/>
  <c r="Z202" i="63"/>
  <c r="Z203" i="63"/>
  <c r="Z204" i="63"/>
  <c r="Z205" i="63"/>
  <c r="Z206" i="63"/>
  <c r="Z207" i="63"/>
  <c r="Z208" i="63"/>
  <c r="Z209" i="63"/>
  <c r="Z210" i="63"/>
  <c r="Z211" i="63"/>
  <c r="Z212" i="63"/>
  <c r="Z213" i="63"/>
  <c r="Z214" i="63"/>
  <c r="Z215" i="63"/>
  <c r="Z216" i="63"/>
  <c r="Z217" i="63"/>
  <c r="Z218" i="63"/>
  <c r="Z219" i="63"/>
  <c r="Z220" i="63"/>
  <c r="Z221" i="63"/>
  <c r="Z222" i="63"/>
  <c r="Z223" i="63"/>
  <c r="Z224" i="63"/>
  <c r="Z225" i="63"/>
  <c r="Z226" i="63"/>
  <c r="Z227" i="63"/>
  <c r="Z228" i="63"/>
  <c r="Z229" i="63"/>
  <c r="Z230" i="63"/>
  <c r="Z231" i="63"/>
  <c r="Z232" i="63"/>
  <c r="Z233" i="63"/>
  <c r="Z234" i="63"/>
  <c r="Z235" i="63"/>
  <c r="Z236" i="63"/>
  <c r="Z237" i="63"/>
  <c r="Z238" i="63"/>
  <c r="Z239" i="63"/>
  <c r="Z240" i="63"/>
  <c r="Z241" i="63"/>
  <c r="Z242" i="63"/>
  <c r="Z243" i="63"/>
  <c r="Z244" i="63"/>
  <c r="Z245" i="63"/>
  <c r="Z246" i="63"/>
  <c r="Z247" i="63"/>
  <c r="Z248" i="63"/>
  <c r="Z249" i="63"/>
  <c r="Z250" i="63"/>
  <c r="Z251" i="63"/>
  <c r="Z252" i="63"/>
  <c r="Z253" i="63"/>
  <c r="Z254" i="63"/>
  <c r="Z255" i="63"/>
  <c r="Z256" i="63"/>
  <c r="Z257" i="63"/>
  <c r="AJ13" i="65" l="1"/>
  <c r="AJ14" i="65"/>
  <c r="AJ15" i="65"/>
  <c r="AJ16" i="65"/>
  <c r="AJ17" i="65"/>
  <c r="AJ18" i="65"/>
  <c r="AJ19" i="65"/>
  <c r="AJ20" i="65"/>
  <c r="AJ21" i="65"/>
  <c r="AJ22" i="65"/>
  <c r="AJ23" i="65"/>
  <c r="AJ24" i="65"/>
  <c r="AJ25" i="65"/>
  <c r="AJ26" i="65"/>
  <c r="AJ27" i="65"/>
  <c r="AJ28" i="65"/>
  <c r="AJ29" i="65"/>
  <c r="AJ30" i="65"/>
  <c r="AJ31" i="65"/>
  <c r="AJ32" i="65"/>
  <c r="AJ33" i="65"/>
  <c r="AJ34" i="65"/>
  <c r="AJ35" i="65"/>
  <c r="AJ36" i="65"/>
  <c r="AJ37" i="65"/>
  <c r="AJ38" i="65"/>
  <c r="AJ39" i="65"/>
  <c r="AJ40" i="65"/>
  <c r="AJ41" i="65"/>
  <c r="AJ42" i="65"/>
  <c r="AJ43" i="65"/>
  <c r="AJ44" i="65"/>
  <c r="AJ45" i="65"/>
  <c r="AJ46" i="65"/>
  <c r="AJ47" i="65"/>
  <c r="AJ48" i="65"/>
  <c r="AJ49" i="65"/>
  <c r="AJ50" i="65"/>
  <c r="AJ51" i="65"/>
  <c r="AJ52" i="65"/>
  <c r="AJ53" i="65"/>
  <c r="AJ54" i="65"/>
  <c r="AJ55" i="65"/>
  <c r="AJ56" i="65"/>
  <c r="AJ57" i="65"/>
  <c r="AJ58" i="65"/>
  <c r="AJ59" i="65"/>
  <c r="AJ60" i="65"/>
  <c r="AJ61" i="65"/>
  <c r="AJ62" i="65"/>
  <c r="AJ63" i="65"/>
  <c r="AJ64" i="65"/>
  <c r="AJ65" i="65"/>
  <c r="AJ66" i="65"/>
  <c r="AJ67" i="65"/>
  <c r="AJ68" i="65"/>
  <c r="AJ69" i="65"/>
  <c r="AJ70" i="65"/>
  <c r="AJ71" i="65"/>
  <c r="AJ72" i="65"/>
  <c r="AJ73" i="65"/>
  <c r="AJ74" i="65"/>
  <c r="AJ75" i="65"/>
  <c r="AJ76" i="65"/>
  <c r="AJ77" i="65"/>
  <c r="AJ78" i="65"/>
  <c r="AJ79" i="65"/>
  <c r="AJ80" i="65"/>
  <c r="AJ81" i="65"/>
  <c r="AJ82" i="65"/>
  <c r="AJ83" i="65"/>
  <c r="AJ84" i="65"/>
  <c r="AJ85" i="65"/>
  <c r="AJ86" i="65"/>
  <c r="AJ87" i="65"/>
  <c r="AJ88" i="65"/>
  <c r="AJ89" i="65"/>
  <c r="AJ90" i="65"/>
  <c r="AJ91" i="65"/>
  <c r="AJ92" i="65"/>
  <c r="AJ93" i="65"/>
  <c r="AJ94" i="65"/>
  <c r="AJ95" i="65"/>
  <c r="AJ96" i="65"/>
  <c r="AJ97" i="65"/>
  <c r="AJ98" i="65"/>
  <c r="AJ99" i="65"/>
  <c r="AJ100" i="65"/>
  <c r="AJ101" i="65"/>
  <c r="AJ102" i="65"/>
  <c r="AJ103" i="65"/>
  <c r="AJ104" i="65"/>
  <c r="AJ105" i="65"/>
  <c r="AJ106" i="65"/>
  <c r="AJ107" i="65"/>
  <c r="AJ108" i="65"/>
  <c r="AJ109" i="65"/>
  <c r="AJ110" i="65"/>
  <c r="AJ111" i="65"/>
  <c r="AJ112" i="65"/>
  <c r="AJ113" i="65"/>
  <c r="AJ114" i="65"/>
  <c r="AJ115" i="65"/>
  <c r="AJ116" i="65"/>
  <c r="AJ117" i="65"/>
  <c r="AJ118" i="65"/>
  <c r="AJ119" i="65"/>
  <c r="AJ120" i="65"/>
  <c r="AJ121" i="65"/>
  <c r="AJ122" i="65"/>
  <c r="AJ123" i="65"/>
  <c r="AJ124" i="65"/>
  <c r="AJ125" i="65"/>
  <c r="AJ126" i="65"/>
  <c r="AJ127" i="65"/>
  <c r="AJ128" i="65"/>
  <c r="AJ129" i="65"/>
  <c r="AJ130" i="65"/>
  <c r="AJ131" i="65"/>
  <c r="AJ132" i="65"/>
  <c r="AJ133" i="65"/>
  <c r="AJ134" i="65"/>
  <c r="AJ135" i="65"/>
  <c r="AJ136" i="65"/>
  <c r="AJ137" i="65"/>
  <c r="AJ138" i="65"/>
  <c r="AJ139" i="65"/>
  <c r="AJ140" i="65"/>
  <c r="AJ141" i="65"/>
  <c r="AJ142" i="65"/>
  <c r="AJ143" i="65"/>
  <c r="AJ144" i="65"/>
  <c r="AJ145" i="65"/>
  <c r="AJ146" i="65"/>
  <c r="AJ147" i="65"/>
  <c r="AJ148" i="65"/>
  <c r="AJ149" i="65"/>
  <c r="AJ150" i="65"/>
  <c r="AJ151" i="65"/>
  <c r="AJ152" i="65"/>
  <c r="AJ153" i="65"/>
  <c r="AJ154" i="65"/>
  <c r="AJ155" i="65"/>
  <c r="AJ156" i="65"/>
  <c r="AJ157" i="65"/>
  <c r="AJ158" i="65"/>
  <c r="AJ159" i="65"/>
  <c r="AJ160" i="65"/>
  <c r="AJ161" i="65"/>
  <c r="AJ162" i="65"/>
  <c r="AJ163" i="65"/>
  <c r="AJ164" i="65"/>
  <c r="AJ165" i="65"/>
  <c r="AJ166" i="65"/>
  <c r="AJ167" i="65"/>
  <c r="AJ168" i="65"/>
  <c r="AJ169" i="65"/>
  <c r="AJ170" i="65"/>
  <c r="AJ171" i="65"/>
  <c r="AJ172" i="65"/>
  <c r="AJ173" i="65"/>
  <c r="AJ174" i="65"/>
  <c r="AJ175" i="65"/>
  <c r="AJ176" i="65"/>
  <c r="AJ177" i="65"/>
  <c r="AJ178" i="65"/>
  <c r="AJ179" i="65"/>
  <c r="AJ180" i="65"/>
  <c r="AJ181" i="65"/>
  <c r="AJ182" i="65"/>
  <c r="AJ183" i="65"/>
  <c r="AJ184" i="65"/>
  <c r="AJ185" i="65"/>
  <c r="AJ186" i="65"/>
  <c r="AJ187" i="65"/>
  <c r="AJ188" i="65"/>
  <c r="AJ189" i="65"/>
  <c r="AJ190" i="65"/>
  <c r="AJ191" i="65"/>
  <c r="AJ192" i="65"/>
  <c r="AJ193" i="65"/>
  <c r="AJ194" i="65"/>
  <c r="AJ195" i="65"/>
  <c r="AJ196" i="65"/>
  <c r="AJ197" i="65"/>
  <c r="AJ198" i="65"/>
  <c r="AJ199" i="65"/>
  <c r="AJ200" i="65"/>
  <c r="AJ201" i="65"/>
  <c r="AJ202" i="65"/>
  <c r="AJ203" i="65"/>
  <c r="AJ204" i="65"/>
  <c r="AJ205" i="65"/>
  <c r="AJ206" i="65"/>
  <c r="AJ207" i="65"/>
  <c r="AJ208" i="65"/>
  <c r="AJ209" i="65"/>
  <c r="AJ210" i="65"/>
  <c r="AJ211" i="65"/>
  <c r="AJ212" i="65"/>
  <c r="AJ213" i="65"/>
  <c r="AJ214" i="65"/>
  <c r="AJ215" i="65"/>
  <c r="AJ216" i="65"/>
  <c r="AJ217" i="65"/>
  <c r="AJ218" i="65"/>
  <c r="AJ219" i="65"/>
  <c r="AJ220" i="65"/>
  <c r="AJ221" i="65"/>
  <c r="AJ222" i="65"/>
  <c r="AJ223" i="65"/>
  <c r="AJ224" i="65"/>
  <c r="AJ225" i="65"/>
  <c r="AJ226" i="65"/>
  <c r="AJ227" i="65"/>
  <c r="AJ228" i="65"/>
  <c r="AJ229" i="65"/>
  <c r="AJ230" i="65"/>
  <c r="AJ231" i="65"/>
  <c r="AJ232" i="65"/>
  <c r="AJ233" i="65"/>
  <c r="AJ234" i="65"/>
  <c r="AJ235" i="65"/>
  <c r="AJ236" i="65"/>
  <c r="AJ237" i="65"/>
  <c r="AJ238" i="65"/>
  <c r="AJ239" i="65"/>
  <c r="AJ240" i="65"/>
  <c r="AJ241" i="65"/>
  <c r="AJ242" i="65"/>
  <c r="AJ243" i="65"/>
  <c r="AJ244" i="65"/>
  <c r="AJ245" i="65"/>
  <c r="AJ246" i="65"/>
  <c r="AJ247" i="65"/>
  <c r="AJ248" i="65"/>
  <c r="AJ249" i="65"/>
  <c r="AJ250" i="65"/>
  <c r="AJ251" i="65"/>
  <c r="AJ252" i="65"/>
  <c r="AJ253" i="65"/>
  <c r="AJ254" i="65"/>
  <c r="AJ255" i="65"/>
  <c r="AJ256" i="65"/>
  <c r="AJ257" i="65"/>
  <c r="AJ12" i="65"/>
  <c r="Q2" i="11" l="1" a="1"/>
  <c r="Q2" i="11" s="1"/>
  <c r="Z5" i="28" l="1"/>
  <c r="Z6" i="28"/>
  <c r="F115" i="110" l="1"/>
  <c r="F114" i="110"/>
  <c r="E114" i="110"/>
  <c r="F113" i="110"/>
  <c r="E113" i="110"/>
  <c r="F112" i="110"/>
  <c r="E112" i="110"/>
  <c r="F111" i="110"/>
  <c r="E111" i="110"/>
  <c r="F110" i="110"/>
  <c r="E110" i="110"/>
  <c r="F109" i="110"/>
  <c r="E109" i="110"/>
  <c r="F108" i="110"/>
  <c r="E108" i="110"/>
  <c r="F107" i="110"/>
  <c r="E107" i="110"/>
  <c r="F106" i="110"/>
  <c r="E106" i="110"/>
  <c r="F105" i="110"/>
  <c r="E105" i="110"/>
  <c r="F104" i="110"/>
  <c r="E104" i="110"/>
  <c r="F103" i="110"/>
  <c r="E103" i="110"/>
  <c r="F102" i="110"/>
  <c r="E102" i="110"/>
  <c r="F101" i="110"/>
  <c r="E101" i="110"/>
  <c r="F100" i="110"/>
  <c r="E100" i="110"/>
  <c r="F99" i="110"/>
  <c r="E99" i="110"/>
  <c r="F98" i="110"/>
  <c r="E98" i="110"/>
  <c r="F97" i="110"/>
  <c r="E97" i="110"/>
  <c r="F96" i="110"/>
  <c r="E96" i="110"/>
  <c r="F95" i="110"/>
  <c r="F94" i="110"/>
  <c r="E94" i="110"/>
  <c r="F93" i="110"/>
  <c r="E93" i="110"/>
  <c r="F92" i="110"/>
  <c r="E92" i="110"/>
  <c r="F91" i="110"/>
  <c r="E91" i="110"/>
  <c r="F90" i="110"/>
  <c r="E90" i="110"/>
  <c r="F89" i="110"/>
  <c r="E89" i="110"/>
  <c r="F88" i="110"/>
  <c r="E88" i="110"/>
  <c r="F87" i="110"/>
  <c r="E87" i="110"/>
  <c r="F86" i="110"/>
  <c r="E86" i="110"/>
  <c r="F85" i="110"/>
  <c r="E85" i="110"/>
  <c r="F84" i="110"/>
  <c r="E84" i="110"/>
  <c r="F83" i="110"/>
  <c r="E83" i="110"/>
  <c r="F82" i="110"/>
  <c r="E82" i="110"/>
  <c r="F81" i="110"/>
  <c r="E81" i="110"/>
  <c r="F80" i="110"/>
  <c r="E80" i="110"/>
  <c r="F79" i="110"/>
  <c r="E79" i="110"/>
  <c r="F78" i="110"/>
  <c r="E78" i="110"/>
  <c r="F77" i="110"/>
  <c r="E77" i="110"/>
  <c r="F76" i="110"/>
  <c r="E76" i="110"/>
  <c r="F75" i="110"/>
  <c r="E75" i="110"/>
  <c r="F74" i="110"/>
  <c r="E74" i="110"/>
  <c r="E5" i="110"/>
  <c r="E4" i="110"/>
  <c r="E3" i="110"/>
  <c r="BM39" i="108" l="1"/>
  <c r="BM40" i="108"/>
  <c r="BM41" i="108"/>
  <c r="BL39" i="108"/>
  <c r="BL40" i="108"/>
  <c r="BL41" i="108"/>
  <c r="X246" i="11"/>
  <c r="AQ246" i="11" s="1"/>
  <c r="N10" i="63"/>
  <c r="W13" i="64"/>
  <c r="W14" i="64"/>
  <c r="W15" i="64"/>
  <c r="W16" i="64"/>
  <c r="W17" i="64"/>
  <c r="W18" i="64"/>
  <c r="W19" i="64"/>
  <c r="W20" i="64"/>
  <c r="W21" i="64"/>
  <c r="W22" i="64"/>
  <c r="W23" i="64"/>
  <c r="W24" i="64"/>
  <c r="W25" i="64"/>
  <c r="W26" i="64"/>
  <c r="W27" i="64"/>
  <c r="W28" i="64"/>
  <c r="W29" i="64"/>
  <c r="W30" i="64"/>
  <c r="W31" i="64"/>
  <c r="W32" i="64"/>
  <c r="W33" i="64"/>
  <c r="W34" i="64"/>
  <c r="W35" i="64"/>
  <c r="W36" i="64"/>
  <c r="W37" i="64"/>
  <c r="W38" i="64"/>
  <c r="W39" i="64"/>
  <c r="W40" i="64"/>
  <c r="W41" i="64"/>
  <c r="W42" i="64"/>
  <c r="W43" i="64"/>
  <c r="W44" i="64"/>
  <c r="W45" i="64"/>
  <c r="W46" i="64"/>
  <c r="W47" i="64"/>
  <c r="W48" i="64"/>
  <c r="W49" i="64"/>
  <c r="W50" i="64"/>
  <c r="W51" i="64"/>
  <c r="W52" i="64"/>
  <c r="W53" i="64"/>
  <c r="W54" i="64"/>
  <c r="W55" i="64"/>
  <c r="W56" i="64"/>
  <c r="W57" i="64"/>
  <c r="W58" i="64"/>
  <c r="W59" i="64"/>
  <c r="W60" i="64"/>
  <c r="W61" i="64"/>
  <c r="W62" i="64"/>
  <c r="W63" i="64"/>
  <c r="W64" i="64"/>
  <c r="W65" i="64"/>
  <c r="W66" i="64"/>
  <c r="W67" i="64"/>
  <c r="W68" i="64"/>
  <c r="W69" i="64"/>
  <c r="W70" i="64"/>
  <c r="W71" i="64"/>
  <c r="W72" i="64"/>
  <c r="W73" i="64"/>
  <c r="W74" i="64"/>
  <c r="W75" i="64"/>
  <c r="W76" i="64"/>
  <c r="W77" i="64"/>
  <c r="W78" i="64"/>
  <c r="W79" i="64"/>
  <c r="W80" i="64"/>
  <c r="W81" i="64"/>
  <c r="W82" i="64"/>
  <c r="W83" i="64"/>
  <c r="W84" i="64"/>
  <c r="W85" i="64"/>
  <c r="W86" i="64"/>
  <c r="W87" i="64"/>
  <c r="W88" i="64"/>
  <c r="W89" i="64"/>
  <c r="W90" i="64"/>
  <c r="W91" i="64"/>
  <c r="W92" i="64"/>
  <c r="W93" i="64"/>
  <c r="W94" i="64"/>
  <c r="W95" i="64"/>
  <c r="W96" i="64"/>
  <c r="W97" i="64"/>
  <c r="W98" i="64"/>
  <c r="W99" i="64"/>
  <c r="W100" i="64"/>
  <c r="W101" i="64"/>
  <c r="W102" i="64"/>
  <c r="W103" i="64"/>
  <c r="W104" i="64"/>
  <c r="W105" i="64"/>
  <c r="W106" i="64"/>
  <c r="W107" i="64"/>
  <c r="W108" i="64"/>
  <c r="W109" i="64"/>
  <c r="W110" i="64"/>
  <c r="W111" i="64"/>
  <c r="W112" i="64"/>
  <c r="W113" i="64"/>
  <c r="W114" i="64"/>
  <c r="W115" i="64"/>
  <c r="W116" i="64"/>
  <c r="W117" i="64"/>
  <c r="W118" i="64"/>
  <c r="W119" i="64"/>
  <c r="W120" i="64"/>
  <c r="W121" i="64"/>
  <c r="W122" i="64"/>
  <c r="W123" i="64"/>
  <c r="W124" i="64"/>
  <c r="W125" i="64"/>
  <c r="W126" i="64"/>
  <c r="W127" i="64"/>
  <c r="W128" i="64"/>
  <c r="W129" i="64"/>
  <c r="W130" i="64"/>
  <c r="W131" i="64"/>
  <c r="W132" i="64"/>
  <c r="W133" i="64"/>
  <c r="W134" i="64"/>
  <c r="W135" i="64"/>
  <c r="W136" i="64"/>
  <c r="W137" i="64"/>
  <c r="W138" i="64"/>
  <c r="W139" i="64"/>
  <c r="W140" i="64"/>
  <c r="W141" i="64"/>
  <c r="W142" i="64"/>
  <c r="W143" i="64"/>
  <c r="W144" i="64"/>
  <c r="W145" i="64"/>
  <c r="W146" i="64"/>
  <c r="W147" i="64"/>
  <c r="W148" i="64"/>
  <c r="W149" i="64"/>
  <c r="W150" i="64"/>
  <c r="W151" i="64"/>
  <c r="W152" i="64"/>
  <c r="W153" i="64"/>
  <c r="W154" i="64"/>
  <c r="W155" i="64"/>
  <c r="W156" i="64"/>
  <c r="W157" i="64"/>
  <c r="W158" i="64"/>
  <c r="W159" i="64"/>
  <c r="W160" i="64"/>
  <c r="W161" i="64"/>
  <c r="W162" i="64"/>
  <c r="W163" i="64"/>
  <c r="W164" i="64"/>
  <c r="W165" i="64"/>
  <c r="W166" i="64"/>
  <c r="W167" i="64"/>
  <c r="W168" i="64"/>
  <c r="W169" i="64"/>
  <c r="W170" i="64"/>
  <c r="W171" i="64"/>
  <c r="W172" i="64"/>
  <c r="W173" i="64"/>
  <c r="W174" i="64"/>
  <c r="W175" i="64"/>
  <c r="W176" i="64"/>
  <c r="W177" i="64"/>
  <c r="W178" i="64"/>
  <c r="W179" i="64"/>
  <c r="W180" i="64"/>
  <c r="W181" i="64"/>
  <c r="W182" i="64"/>
  <c r="W183" i="64"/>
  <c r="W184" i="64"/>
  <c r="W185" i="64"/>
  <c r="W186" i="64"/>
  <c r="W187" i="64"/>
  <c r="W188" i="64"/>
  <c r="W189" i="64"/>
  <c r="W190" i="64"/>
  <c r="W191" i="64"/>
  <c r="W192" i="64"/>
  <c r="W193" i="64"/>
  <c r="W194" i="64"/>
  <c r="W195" i="64"/>
  <c r="W196" i="64"/>
  <c r="W197" i="64"/>
  <c r="W198" i="64"/>
  <c r="W199" i="64"/>
  <c r="W200" i="64"/>
  <c r="W201" i="64"/>
  <c r="W202" i="64"/>
  <c r="W203" i="64"/>
  <c r="W204" i="64"/>
  <c r="W205" i="64"/>
  <c r="W206" i="64"/>
  <c r="W207" i="64"/>
  <c r="W208" i="64"/>
  <c r="W209" i="64"/>
  <c r="W210" i="64"/>
  <c r="W211" i="64"/>
  <c r="W212" i="64"/>
  <c r="W213" i="64"/>
  <c r="W214" i="64"/>
  <c r="W215" i="64"/>
  <c r="W216" i="64"/>
  <c r="W217" i="64"/>
  <c r="W218" i="64"/>
  <c r="W219" i="64"/>
  <c r="W220" i="64"/>
  <c r="W221" i="64"/>
  <c r="W222" i="64"/>
  <c r="W223" i="64"/>
  <c r="W224" i="64"/>
  <c r="W225" i="64"/>
  <c r="W226" i="64"/>
  <c r="W227" i="64"/>
  <c r="W228" i="64"/>
  <c r="W229" i="64"/>
  <c r="W230" i="64"/>
  <c r="W231" i="64"/>
  <c r="W232" i="64"/>
  <c r="W233" i="64"/>
  <c r="W234" i="64"/>
  <c r="W235" i="64"/>
  <c r="W236" i="64"/>
  <c r="W237" i="64"/>
  <c r="W238" i="64"/>
  <c r="W239" i="64"/>
  <c r="W240" i="64"/>
  <c r="W241" i="64"/>
  <c r="W242" i="64"/>
  <c r="W243" i="64"/>
  <c r="W244" i="64"/>
  <c r="W245" i="64"/>
  <c r="W246" i="64"/>
  <c r="W247" i="64"/>
  <c r="W248" i="64"/>
  <c r="W249" i="64"/>
  <c r="W250" i="64"/>
  <c r="W251" i="64"/>
  <c r="W252" i="64"/>
  <c r="W253" i="64"/>
  <c r="W254" i="64"/>
  <c r="W255" i="64"/>
  <c r="W256" i="64"/>
  <c r="W257" i="64"/>
  <c r="W258" i="64"/>
  <c r="W259" i="64"/>
  <c r="W12" i="64"/>
  <c r="P11" i="63"/>
  <c r="P12" i="63"/>
  <c r="P13" i="63"/>
  <c r="P14" i="63"/>
  <c r="P15" i="63"/>
  <c r="P16" i="63"/>
  <c r="P17" i="63"/>
  <c r="P18" i="63"/>
  <c r="P19" i="63"/>
  <c r="P20" i="63"/>
  <c r="P21" i="63"/>
  <c r="P22" i="63"/>
  <c r="P23" i="63"/>
  <c r="P24" i="63"/>
  <c r="P25" i="63"/>
  <c r="P26" i="63"/>
  <c r="P27" i="63"/>
  <c r="P28" i="63"/>
  <c r="P29" i="63"/>
  <c r="P30" i="63"/>
  <c r="P31" i="63"/>
  <c r="P32" i="63"/>
  <c r="P33" i="63"/>
  <c r="P34" i="63"/>
  <c r="P35" i="63"/>
  <c r="P36" i="63"/>
  <c r="P37" i="63"/>
  <c r="P38" i="63"/>
  <c r="P39" i="63"/>
  <c r="P40" i="63"/>
  <c r="P41" i="63"/>
  <c r="P42" i="63"/>
  <c r="P43" i="63"/>
  <c r="P44" i="63"/>
  <c r="P45" i="63"/>
  <c r="P46" i="63"/>
  <c r="P47" i="63"/>
  <c r="P48" i="63"/>
  <c r="P49" i="63"/>
  <c r="P50" i="63"/>
  <c r="P51" i="63"/>
  <c r="P52" i="63"/>
  <c r="P53" i="63"/>
  <c r="P54" i="63"/>
  <c r="P55" i="63"/>
  <c r="P56" i="63"/>
  <c r="P57" i="63"/>
  <c r="P58" i="63"/>
  <c r="P59" i="63"/>
  <c r="P60" i="63"/>
  <c r="P61" i="63"/>
  <c r="P62" i="63"/>
  <c r="P63" i="63"/>
  <c r="P64" i="63"/>
  <c r="P65" i="63"/>
  <c r="P66" i="63"/>
  <c r="P67" i="63"/>
  <c r="P68" i="63"/>
  <c r="P69" i="63"/>
  <c r="P70" i="63"/>
  <c r="P71" i="63"/>
  <c r="P72" i="63"/>
  <c r="P73" i="63"/>
  <c r="P74" i="63"/>
  <c r="P75" i="63"/>
  <c r="P76" i="63"/>
  <c r="P77" i="63"/>
  <c r="P78" i="63"/>
  <c r="P79" i="63"/>
  <c r="P80" i="63"/>
  <c r="P81" i="63"/>
  <c r="P82" i="63"/>
  <c r="P83" i="63"/>
  <c r="P84" i="63"/>
  <c r="P85" i="63"/>
  <c r="P86" i="63"/>
  <c r="P87" i="63"/>
  <c r="P88" i="63"/>
  <c r="P89" i="63"/>
  <c r="P90" i="63"/>
  <c r="P91" i="63"/>
  <c r="P92" i="63"/>
  <c r="P93" i="63"/>
  <c r="P94" i="63"/>
  <c r="P95" i="63"/>
  <c r="P96" i="63"/>
  <c r="P97" i="63"/>
  <c r="P98" i="63"/>
  <c r="P99" i="63"/>
  <c r="P100" i="63"/>
  <c r="P101" i="63"/>
  <c r="P102" i="63"/>
  <c r="P103" i="63"/>
  <c r="P104" i="63"/>
  <c r="P105" i="63"/>
  <c r="P106" i="63"/>
  <c r="P107" i="63"/>
  <c r="P108" i="63"/>
  <c r="P109" i="63"/>
  <c r="P110" i="63"/>
  <c r="P111" i="63"/>
  <c r="P112" i="63"/>
  <c r="P113" i="63"/>
  <c r="P114" i="63"/>
  <c r="P115" i="63"/>
  <c r="P116" i="63"/>
  <c r="P117" i="63"/>
  <c r="P118" i="63"/>
  <c r="P119" i="63"/>
  <c r="P120" i="63"/>
  <c r="P121" i="63"/>
  <c r="P122" i="63"/>
  <c r="P123" i="63"/>
  <c r="P124" i="63"/>
  <c r="P125" i="63"/>
  <c r="P126" i="63"/>
  <c r="P127" i="63"/>
  <c r="P128" i="63"/>
  <c r="P129" i="63"/>
  <c r="P130" i="63"/>
  <c r="P131" i="63"/>
  <c r="P132" i="63"/>
  <c r="P133" i="63"/>
  <c r="P134" i="63"/>
  <c r="P135" i="63"/>
  <c r="P136" i="63"/>
  <c r="P137" i="63"/>
  <c r="P138" i="63"/>
  <c r="P139" i="63"/>
  <c r="P140" i="63"/>
  <c r="P141" i="63"/>
  <c r="P142" i="63"/>
  <c r="P143" i="63"/>
  <c r="P144" i="63"/>
  <c r="P145" i="63"/>
  <c r="P146" i="63"/>
  <c r="P147" i="63"/>
  <c r="P148" i="63"/>
  <c r="P149" i="63"/>
  <c r="P150" i="63"/>
  <c r="P151" i="63"/>
  <c r="P152" i="63"/>
  <c r="P153" i="63"/>
  <c r="P154" i="63"/>
  <c r="P155" i="63"/>
  <c r="P156" i="63"/>
  <c r="P157" i="63"/>
  <c r="P158" i="63"/>
  <c r="P159" i="63"/>
  <c r="P160" i="63"/>
  <c r="P161" i="63"/>
  <c r="P162" i="63"/>
  <c r="P163" i="63"/>
  <c r="P164" i="63"/>
  <c r="P165" i="63"/>
  <c r="P166" i="63"/>
  <c r="P167" i="63"/>
  <c r="P168" i="63"/>
  <c r="P169" i="63"/>
  <c r="P170" i="63"/>
  <c r="P171" i="63"/>
  <c r="P172" i="63"/>
  <c r="P173" i="63"/>
  <c r="P174" i="63"/>
  <c r="P175" i="63"/>
  <c r="P176" i="63"/>
  <c r="P177" i="63"/>
  <c r="P178" i="63"/>
  <c r="P179" i="63"/>
  <c r="P180" i="63"/>
  <c r="P181" i="63"/>
  <c r="P182" i="63"/>
  <c r="P183" i="63"/>
  <c r="P184" i="63"/>
  <c r="P185" i="63"/>
  <c r="P186" i="63"/>
  <c r="P187" i="63"/>
  <c r="P188" i="63"/>
  <c r="P189" i="63"/>
  <c r="P190" i="63"/>
  <c r="P191" i="63"/>
  <c r="P192" i="63"/>
  <c r="P193" i="63"/>
  <c r="P194" i="63"/>
  <c r="P195" i="63"/>
  <c r="P196" i="63"/>
  <c r="P197" i="63"/>
  <c r="P198" i="63"/>
  <c r="P199" i="63"/>
  <c r="P200" i="63"/>
  <c r="P201" i="63"/>
  <c r="P202" i="63"/>
  <c r="P203" i="63"/>
  <c r="P204" i="63"/>
  <c r="P205" i="63"/>
  <c r="P206" i="63"/>
  <c r="P207" i="63"/>
  <c r="P208" i="63"/>
  <c r="P209" i="63"/>
  <c r="P210" i="63"/>
  <c r="P211" i="63"/>
  <c r="P212" i="63"/>
  <c r="P213" i="63"/>
  <c r="P214" i="63"/>
  <c r="P215" i="63"/>
  <c r="P216" i="63"/>
  <c r="P217" i="63"/>
  <c r="P218" i="63"/>
  <c r="P219" i="63"/>
  <c r="P220" i="63"/>
  <c r="P221" i="63"/>
  <c r="P222" i="63"/>
  <c r="P223" i="63"/>
  <c r="P224" i="63"/>
  <c r="P225" i="63"/>
  <c r="P226" i="63"/>
  <c r="P227" i="63"/>
  <c r="P228" i="63"/>
  <c r="P229" i="63"/>
  <c r="P230" i="63"/>
  <c r="P231" i="63"/>
  <c r="P232" i="63"/>
  <c r="P233" i="63"/>
  <c r="P234" i="63"/>
  <c r="P235" i="63"/>
  <c r="P236" i="63"/>
  <c r="P237" i="63"/>
  <c r="P238" i="63"/>
  <c r="P239" i="63"/>
  <c r="P240" i="63"/>
  <c r="P241" i="63"/>
  <c r="P242" i="63"/>
  <c r="P243" i="63"/>
  <c r="P244" i="63"/>
  <c r="P245" i="63"/>
  <c r="P246" i="63"/>
  <c r="P247" i="63"/>
  <c r="P248" i="63"/>
  <c r="P249" i="63"/>
  <c r="P250" i="63"/>
  <c r="P251" i="63"/>
  <c r="P252" i="63"/>
  <c r="P253" i="63"/>
  <c r="P254" i="63"/>
  <c r="P255" i="63"/>
  <c r="P256" i="63"/>
  <c r="P257" i="63"/>
  <c r="P10" i="63"/>
  <c r="N11" i="63"/>
  <c r="N12" i="63"/>
  <c r="N13" i="63"/>
  <c r="N14" i="63"/>
  <c r="N15" i="63"/>
  <c r="N16" i="63"/>
  <c r="N17" i="63"/>
  <c r="N18" i="63"/>
  <c r="N19" i="63"/>
  <c r="N20" i="63"/>
  <c r="N21" i="63"/>
  <c r="N22" i="63"/>
  <c r="N23" i="63"/>
  <c r="N24" i="63"/>
  <c r="N25" i="63"/>
  <c r="N26" i="63"/>
  <c r="N27" i="63"/>
  <c r="N28" i="63"/>
  <c r="N29" i="63"/>
  <c r="N30" i="63"/>
  <c r="N31" i="63"/>
  <c r="N32" i="63"/>
  <c r="N33" i="63"/>
  <c r="N34" i="63"/>
  <c r="N35" i="63"/>
  <c r="N36" i="63"/>
  <c r="N37" i="63"/>
  <c r="N38" i="63"/>
  <c r="N39" i="63"/>
  <c r="N40" i="63"/>
  <c r="N41" i="63"/>
  <c r="N42" i="63"/>
  <c r="N43" i="63"/>
  <c r="N44" i="63"/>
  <c r="N45" i="63"/>
  <c r="N46" i="63"/>
  <c r="N47" i="63"/>
  <c r="N48" i="63"/>
  <c r="N49" i="63"/>
  <c r="N50" i="63"/>
  <c r="N51" i="63"/>
  <c r="N52" i="63"/>
  <c r="N53" i="63"/>
  <c r="N54" i="63"/>
  <c r="N55" i="63"/>
  <c r="N56" i="63"/>
  <c r="N57" i="63"/>
  <c r="N58" i="63"/>
  <c r="N59" i="63"/>
  <c r="N60" i="63"/>
  <c r="N61" i="63"/>
  <c r="N62" i="63"/>
  <c r="N63" i="63"/>
  <c r="N64" i="63"/>
  <c r="N65" i="63"/>
  <c r="N66" i="63"/>
  <c r="N67" i="63"/>
  <c r="N68" i="63"/>
  <c r="N69" i="63"/>
  <c r="N70" i="63"/>
  <c r="N71" i="63"/>
  <c r="N72" i="63"/>
  <c r="N73" i="63"/>
  <c r="N74" i="63"/>
  <c r="N75" i="63"/>
  <c r="N76" i="63"/>
  <c r="N77" i="63"/>
  <c r="N78" i="63"/>
  <c r="N79" i="63"/>
  <c r="N80" i="63"/>
  <c r="N81" i="63"/>
  <c r="N82" i="63"/>
  <c r="N83" i="63"/>
  <c r="N84" i="63"/>
  <c r="N85" i="63"/>
  <c r="N86" i="63"/>
  <c r="N87" i="63"/>
  <c r="N88" i="63"/>
  <c r="N89" i="63"/>
  <c r="N90" i="63"/>
  <c r="N91" i="63"/>
  <c r="N92" i="63"/>
  <c r="N93" i="63"/>
  <c r="N94" i="63"/>
  <c r="N95" i="63"/>
  <c r="N96" i="63"/>
  <c r="N97" i="63"/>
  <c r="N98" i="63"/>
  <c r="N99" i="63"/>
  <c r="N100" i="63"/>
  <c r="N101" i="63"/>
  <c r="N102" i="63"/>
  <c r="N103" i="63"/>
  <c r="N104" i="63"/>
  <c r="N105" i="63"/>
  <c r="N106" i="63"/>
  <c r="N107" i="63"/>
  <c r="N108" i="63"/>
  <c r="N109" i="63"/>
  <c r="N110" i="63"/>
  <c r="N111" i="63"/>
  <c r="N112" i="63"/>
  <c r="N113" i="63"/>
  <c r="N114" i="63"/>
  <c r="N115" i="63"/>
  <c r="N116" i="63"/>
  <c r="N117" i="63"/>
  <c r="N118" i="63"/>
  <c r="N119" i="63"/>
  <c r="N120" i="63"/>
  <c r="N121" i="63"/>
  <c r="N122" i="63"/>
  <c r="N123" i="63"/>
  <c r="N124" i="63"/>
  <c r="N125" i="63"/>
  <c r="N126" i="63"/>
  <c r="N127" i="63"/>
  <c r="N128" i="63"/>
  <c r="N129" i="63"/>
  <c r="N130" i="63"/>
  <c r="N131" i="63"/>
  <c r="N132" i="63"/>
  <c r="N133" i="63"/>
  <c r="N134" i="63"/>
  <c r="N135" i="63"/>
  <c r="N136" i="63"/>
  <c r="N137" i="63"/>
  <c r="N138" i="63"/>
  <c r="N139" i="63"/>
  <c r="N140" i="63"/>
  <c r="N141" i="63"/>
  <c r="N142" i="63"/>
  <c r="N143" i="63"/>
  <c r="N144" i="63"/>
  <c r="N145" i="63"/>
  <c r="N146" i="63"/>
  <c r="N147" i="63"/>
  <c r="N148" i="63"/>
  <c r="N149" i="63"/>
  <c r="N150" i="63"/>
  <c r="N151" i="63"/>
  <c r="N152" i="63"/>
  <c r="N153" i="63"/>
  <c r="N154" i="63"/>
  <c r="N155" i="63"/>
  <c r="N156" i="63"/>
  <c r="N157" i="63"/>
  <c r="N158" i="63"/>
  <c r="N159" i="63"/>
  <c r="N160" i="63"/>
  <c r="N161" i="63"/>
  <c r="N162" i="63"/>
  <c r="N163" i="63"/>
  <c r="N164" i="63"/>
  <c r="N165" i="63"/>
  <c r="N166" i="63"/>
  <c r="N167" i="63"/>
  <c r="N168" i="63"/>
  <c r="N169" i="63"/>
  <c r="N170" i="63"/>
  <c r="N171" i="63"/>
  <c r="N172" i="63"/>
  <c r="N173" i="63"/>
  <c r="N174" i="63"/>
  <c r="N175" i="63"/>
  <c r="N176" i="63"/>
  <c r="N177" i="63"/>
  <c r="N178" i="63"/>
  <c r="N179" i="63"/>
  <c r="N180" i="63"/>
  <c r="N181" i="63"/>
  <c r="N182" i="63"/>
  <c r="N183" i="63"/>
  <c r="N184" i="63"/>
  <c r="N185" i="63"/>
  <c r="N186" i="63"/>
  <c r="N187" i="63"/>
  <c r="N188" i="63"/>
  <c r="N189" i="63"/>
  <c r="N190" i="63"/>
  <c r="N191" i="63"/>
  <c r="N192" i="63"/>
  <c r="N193" i="63"/>
  <c r="N194" i="63"/>
  <c r="N195" i="63"/>
  <c r="N196" i="63"/>
  <c r="N197" i="63"/>
  <c r="N198" i="63"/>
  <c r="N199" i="63"/>
  <c r="N200" i="63"/>
  <c r="N201" i="63"/>
  <c r="N202" i="63"/>
  <c r="N203" i="63"/>
  <c r="N204" i="63"/>
  <c r="N205" i="63"/>
  <c r="N206" i="63"/>
  <c r="N207" i="63"/>
  <c r="N208" i="63"/>
  <c r="N209" i="63"/>
  <c r="N210" i="63"/>
  <c r="N211" i="63"/>
  <c r="N212" i="63"/>
  <c r="N213" i="63"/>
  <c r="N214" i="63"/>
  <c r="N215" i="63"/>
  <c r="N216" i="63"/>
  <c r="N217" i="63"/>
  <c r="N218" i="63"/>
  <c r="N219" i="63"/>
  <c r="N220" i="63"/>
  <c r="N221" i="63"/>
  <c r="N222" i="63"/>
  <c r="N223" i="63"/>
  <c r="N224" i="63"/>
  <c r="N225" i="63"/>
  <c r="N226" i="63"/>
  <c r="N227" i="63"/>
  <c r="N228" i="63"/>
  <c r="N229" i="63"/>
  <c r="N230" i="63"/>
  <c r="N231" i="63"/>
  <c r="N232" i="63"/>
  <c r="N233" i="63"/>
  <c r="N234" i="63"/>
  <c r="N235" i="63"/>
  <c r="N236" i="63"/>
  <c r="N237" i="63"/>
  <c r="N238" i="63"/>
  <c r="N239" i="63"/>
  <c r="N240" i="63"/>
  <c r="N241" i="63"/>
  <c r="N242" i="63"/>
  <c r="N243" i="63"/>
  <c r="N244" i="63"/>
  <c r="N245" i="63"/>
  <c r="N246" i="63"/>
  <c r="N247" i="63"/>
  <c r="N248" i="63"/>
  <c r="N249" i="63"/>
  <c r="N250" i="63"/>
  <c r="N251" i="63"/>
  <c r="N252" i="63"/>
  <c r="N253" i="63"/>
  <c r="N254" i="63"/>
  <c r="N255" i="63"/>
  <c r="N256" i="63"/>
  <c r="N257" i="63"/>
  <c r="K11" i="52"/>
  <c r="K12" i="52"/>
  <c r="K13" i="52"/>
  <c r="K14" i="52"/>
  <c r="K15" i="52"/>
  <c r="K16" i="52"/>
  <c r="K17" i="52"/>
  <c r="K18" i="52"/>
  <c r="K19" i="52"/>
  <c r="K20" i="52"/>
  <c r="K21" i="52"/>
  <c r="K22" i="52"/>
  <c r="K23" i="52"/>
  <c r="K24" i="52"/>
  <c r="K25" i="52"/>
  <c r="K26" i="52"/>
  <c r="K27" i="52"/>
  <c r="K28" i="52"/>
  <c r="K29" i="52"/>
  <c r="K30" i="52"/>
  <c r="K31" i="52"/>
  <c r="K32" i="52"/>
  <c r="K33" i="52"/>
  <c r="K34" i="52"/>
  <c r="K35" i="52"/>
  <c r="K36" i="52"/>
  <c r="K37" i="52"/>
  <c r="K38" i="52"/>
  <c r="K39" i="52"/>
  <c r="K40" i="52"/>
  <c r="K41" i="52"/>
  <c r="K42" i="52"/>
  <c r="K43" i="52"/>
  <c r="K44" i="52"/>
  <c r="K45" i="52"/>
  <c r="K46" i="52"/>
  <c r="K47" i="52"/>
  <c r="K48" i="52"/>
  <c r="K49" i="52"/>
  <c r="K50" i="52"/>
  <c r="K51" i="52"/>
  <c r="K52" i="52"/>
  <c r="K53" i="52"/>
  <c r="K54" i="52"/>
  <c r="K55" i="52"/>
  <c r="K56" i="52"/>
  <c r="K57" i="52"/>
  <c r="K58" i="52"/>
  <c r="K59" i="52"/>
  <c r="K60" i="52"/>
  <c r="K61" i="52"/>
  <c r="K62" i="52"/>
  <c r="K63" i="52"/>
  <c r="K64" i="52"/>
  <c r="K65" i="52"/>
  <c r="K66" i="52"/>
  <c r="K67" i="52"/>
  <c r="K68" i="52"/>
  <c r="K69" i="52"/>
  <c r="K70" i="52"/>
  <c r="K71" i="52"/>
  <c r="K72" i="52"/>
  <c r="K73" i="52"/>
  <c r="K74" i="52"/>
  <c r="K75" i="52"/>
  <c r="K76" i="52"/>
  <c r="K77" i="52"/>
  <c r="K78" i="52"/>
  <c r="K79" i="52"/>
  <c r="K80" i="52"/>
  <c r="K81" i="52"/>
  <c r="K82" i="52"/>
  <c r="K83" i="52"/>
  <c r="K84" i="52"/>
  <c r="K85" i="52"/>
  <c r="K86" i="52"/>
  <c r="K87" i="52"/>
  <c r="K88" i="52"/>
  <c r="K89" i="52"/>
  <c r="K90" i="52"/>
  <c r="K91" i="52"/>
  <c r="K92" i="52"/>
  <c r="K93" i="52"/>
  <c r="K94" i="52"/>
  <c r="K95" i="52"/>
  <c r="K96" i="52"/>
  <c r="K97" i="52"/>
  <c r="K98" i="52"/>
  <c r="K99" i="52"/>
  <c r="K100" i="52"/>
  <c r="K101" i="52"/>
  <c r="K102" i="52"/>
  <c r="K103" i="52"/>
  <c r="K104" i="52"/>
  <c r="K105" i="52"/>
  <c r="K106" i="52"/>
  <c r="K107" i="52"/>
  <c r="K108" i="52"/>
  <c r="K109" i="52"/>
  <c r="K110" i="52"/>
  <c r="K111" i="52"/>
  <c r="K112" i="52"/>
  <c r="K113" i="52"/>
  <c r="K114" i="52"/>
  <c r="K115" i="52"/>
  <c r="K116" i="52"/>
  <c r="K117" i="52"/>
  <c r="K118" i="52"/>
  <c r="K119" i="52"/>
  <c r="K120" i="52"/>
  <c r="K121" i="52"/>
  <c r="K122" i="52"/>
  <c r="K123" i="52"/>
  <c r="K124" i="52"/>
  <c r="K125" i="52"/>
  <c r="K126" i="52"/>
  <c r="K127" i="52"/>
  <c r="K128" i="52"/>
  <c r="K129" i="52"/>
  <c r="K130" i="52"/>
  <c r="K131" i="52"/>
  <c r="K132" i="52"/>
  <c r="K133" i="52"/>
  <c r="K134" i="52"/>
  <c r="K135" i="52"/>
  <c r="K136" i="52"/>
  <c r="K137" i="52"/>
  <c r="K138" i="52"/>
  <c r="K139" i="52"/>
  <c r="K140" i="52"/>
  <c r="K141" i="52"/>
  <c r="K142" i="52"/>
  <c r="K143" i="52"/>
  <c r="K144" i="52"/>
  <c r="K145" i="52"/>
  <c r="K146" i="52"/>
  <c r="K147" i="52"/>
  <c r="K148" i="52"/>
  <c r="K149" i="52"/>
  <c r="K150" i="52"/>
  <c r="K151" i="52"/>
  <c r="K152" i="52"/>
  <c r="K153" i="52"/>
  <c r="K154" i="52"/>
  <c r="K155" i="52"/>
  <c r="K156" i="52"/>
  <c r="K157" i="52"/>
  <c r="K158" i="52"/>
  <c r="K159" i="52"/>
  <c r="K160" i="52"/>
  <c r="K161" i="52"/>
  <c r="K162" i="52"/>
  <c r="K163" i="52"/>
  <c r="K164" i="52"/>
  <c r="K165" i="52"/>
  <c r="K166" i="52"/>
  <c r="K167" i="52"/>
  <c r="K168" i="52"/>
  <c r="K169" i="52"/>
  <c r="K170" i="52"/>
  <c r="K171" i="52"/>
  <c r="K172" i="52"/>
  <c r="K173" i="52"/>
  <c r="K174" i="52"/>
  <c r="K175" i="52"/>
  <c r="K176" i="52"/>
  <c r="K177" i="52"/>
  <c r="K178" i="52"/>
  <c r="K179" i="52"/>
  <c r="K180" i="52"/>
  <c r="K181" i="52"/>
  <c r="K182" i="52"/>
  <c r="K183" i="52"/>
  <c r="K184" i="52"/>
  <c r="K185" i="52"/>
  <c r="K186" i="52"/>
  <c r="K187" i="52"/>
  <c r="K188" i="52"/>
  <c r="K189" i="52"/>
  <c r="K190" i="52"/>
  <c r="K191" i="52"/>
  <c r="K192" i="52"/>
  <c r="K193" i="52"/>
  <c r="K194" i="52"/>
  <c r="K195" i="52"/>
  <c r="K196" i="52"/>
  <c r="K197" i="52"/>
  <c r="K198" i="52"/>
  <c r="K199" i="52"/>
  <c r="K200" i="52"/>
  <c r="K201" i="52"/>
  <c r="K202" i="52"/>
  <c r="K203" i="52"/>
  <c r="K204" i="52"/>
  <c r="K205" i="52"/>
  <c r="K206" i="52"/>
  <c r="K207" i="52"/>
  <c r="K208" i="52"/>
  <c r="K209" i="52"/>
  <c r="K210" i="52"/>
  <c r="K211" i="52"/>
  <c r="K212" i="52"/>
  <c r="K213" i="52"/>
  <c r="K214" i="52"/>
  <c r="K215" i="52"/>
  <c r="K216" i="52"/>
  <c r="K217" i="52"/>
  <c r="K218" i="52"/>
  <c r="K219" i="52"/>
  <c r="K220" i="52"/>
  <c r="K221" i="52"/>
  <c r="K222" i="52"/>
  <c r="K223" i="52"/>
  <c r="K224" i="52"/>
  <c r="K225" i="52"/>
  <c r="K226" i="52"/>
  <c r="K227" i="52"/>
  <c r="K228" i="52"/>
  <c r="K229" i="52"/>
  <c r="K230" i="52"/>
  <c r="K231" i="52"/>
  <c r="K232" i="52"/>
  <c r="K233" i="52"/>
  <c r="K234" i="52"/>
  <c r="K235" i="52"/>
  <c r="K236" i="52"/>
  <c r="K237" i="52"/>
  <c r="K238" i="52"/>
  <c r="K239" i="52"/>
  <c r="K240" i="52"/>
  <c r="K241" i="52"/>
  <c r="K242" i="52"/>
  <c r="K243" i="52"/>
  <c r="K244" i="52"/>
  <c r="K245" i="52"/>
  <c r="K246" i="52"/>
  <c r="K247" i="52"/>
  <c r="K248" i="52"/>
  <c r="K249" i="52"/>
  <c r="K250" i="52"/>
  <c r="K251" i="52"/>
  <c r="K252" i="52"/>
  <c r="K253" i="52"/>
  <c r="K254" i="52"/>
  <c r="K255" i="52"/>
  <c r="K256" i="52"/>
  <c r="K257" i="52"/>
  <c r="K10" i="52"/>
  <c r="L10" i="52"/>
  <c r="Y11" i="63" l="1"/>
  <c r="Y12" i="63"/>
  <c r="Y13" i="63"/>
  <c r="Y14" i="63"/>
  <c r="Y15" i="63"/>
  <c r="Y16" i="63"/>
  <c r="Y17" i="63"/>
  <c r="Y18" i="63"/>
  <c r="Y19" i="63"/>
  <c r="Y20" i="63"/>
  <c r="Y21" i="63"/>
  <c r="Y22" i="63"/>
  <c r="Y23" i="63"/>
  <c r="Y24" i="63"/>
  <c r="Y25" i="63"/>
  <c r="Y26" i="63"/>
  <c r="Y27" i="63"/>
  <c r="Y28" i="63"/>
  <c r="Y29" i="63"/>
  <c r="Y30" i="63"/>
  <c r="Y31" i="63"/>
  <c r="Y32" i="63"/>
  <c r="Y33" i="63"/>
  <c r="Y34" i="63"/>
  <c r="Y35" i="63"/>
  <c r="Y36" i="63"/>
  <c r="Y37" i="63"/>
  <c r="Y38" i="63"/>
  <c r="Y39" i="63"/>
  <c r="Y40" i="63"/>
  <c r="Y41" i="63"/>
  <c r="Y42" i="63"/>
  <c r="Y43" i="63"/>
  <c r="Y44" i="63"/>
  <c r="Y45" i="63"/>
  <c r="Y46" i="63"/>
  <c r="Y47" i="63"/>
  <c r="Y48" i="63"/>
  <c r="Y49" i="63"/>
  <c r="Y50" i="63"/>
  <c r="Y51" i="63"/>
  <c r="Y52" i="63"/>
  <c r="Y53" i="63"/>
  <c r="Y54" i="63"/>
  <c r="Y55" i="63"/>
  <c r="Y56" i="63"/>
  <c r="Y57" i="63"/>
  <c r="Y58" i="63"/>
  <c r="Y59" i="63"/>
  <c r="Y60" i="63"/>
  <c r="Y61" i="63"/>
  <c r="Y62" i="63"/>
  <c r="Y63" i="63"/>
  <c r="Y64" i="63"/>
  <c r="Y65" i="63"/>
  <c r="Y66" i="63"/>
  <c r="Y67" i="63"/>
  <c r="Y68" i="63"/>
  <c r="Y69" i="63"/>
  <c r="Y70" i="63"/>
  <c r="Y71" i="63"/>
  <c r="Y72" i="63"/>
  <c r="Y73" i="63"/>
  <c r="Y74" i="63"/>
  <c r="Y75" i="63"/>
  <c r="Y76" i="63"/>
  <c r="Y77" i="63"/>
  <c r="Y78" i="63"/>
  <c r="Y79" i="63"/>
  <c r="Y80" i="63"/>
  <c r="Y81" i="63"/>
  <c r="Y82" i="63"/>
  <c r="Y83" i="63"/>
  <c r="Y84" i="63"/>
  <c r="Y85" i="63"/>
  <c r="Y86" i="63"/>
  <c r="Y87" i="63"/>
  <c r="Y88" i="63"/>
  <c r="Y89" i="63"/>
  <c r="Y90" i="63"/>
  <c r="Y91" i="63"/>
  <c r="Y92" i="63"/>
  <c r="Y93" i="63"/>
  <c r="Y94" i="63"/>
  <c r="Y95" i="63"/>
  <c r="Y96" i="63"/>
  <c r="Y97" i="63"/>
  <c r="Y98" i="63"/>
  <c r="Y99" i="63"/>
  <c r="Y100" i="63"/>
  <c r="Y101" i="63"/>
  <c r="Y102" i="63"/>
  <c r="Y103" i="63"/>
  <c r="Y104" i="63"/>
  <c r="Y105" i="63"/>
  <c r="Y106" i="63"/>
  <c r="Y107" i="63"/>
  <c r="Y108" i="63"/>
  <c r="Y109" i="63"/>
  <c r="Y110" i="63"/>
  <c r="Y111" i="63"/>
  <c r="Y112" i="63"/>
  <c r="Y113" i="63"/>
  <c r="Y114" i="63"/>
  <c r="Y115" i="63"/>
  <c r="Y116" i="63"/>
  <c r="Y117" i="63"/>
  <c r="Y118" i="63"/>
  <c r="Y119" i="63"/>
  <c r="Y120" i="63"/>
  <c r="Y121" i="63"/>
  <c r="Y122" i="63"/>
  <c r="Y123" i="63"/>
  <c r="Y124" i="63"/>
  <c r="Y125" i="63"/>
  <c r="Y126" i="63"/>
  <c r="Y127" i="63"/>
  <c r="Y128" i="63"/>
  <c r="Y129" i="63"/>
  <c r="Y130" i="63"/>
  <c r="Y131" i="63"/>
  <c r="Y132" i="63"/>
  <c r="Y133" i="63"/>
  <c r="Y134" i="63"/>
  <c r="Y135" i="63"/>
  <c r="Y136" i="63"/>
  <c r="Y137" i="63"/>
  <c r="Y138" i="63"/>
  <c r="Y139" i="63"/>
  <c r="Y140" i="63"/>
  <c r="Y141" i="63"/>
  <c r="Y142" i="63"/>
  <c r="Y143" i="63"/>
  <c r="Y144" i="63"/>
  <c r="Y145" i="63"/>
  <c r="Y146" i="63"/>
  <c r="Y147" i="63"/>
  <c r="Y148" i="63"/>
  <c r="Y149" i="63"/>
  <c r="Y150" i="63"/>
  <c r="Y151" i="63"/>
  <c r="Y152" i="63"/>
  <c r="Y153" i="63"/>
  <c r="Y154" i="63"/>
  <c r="Y155" i="63"/>
  <c r="Y156" i="63"/>
  <c r="Y157" i="63"/>
  <c r="Y158" i="63"/>
  <c r="Y159" i="63"/>
  <c r="Y160" i="63"/>
  <c r="Y161" i="63"/>
  <c r="Y162" i="63"/>
  <c r="Y163" i="63"/>
  <c r="Y164" i="63"/>
  <c r="Y165" i="63"/>
  <c r="Y166" i="63"/>
  <c r="Y167" i="63"/>
  <c r="Y168" i="63"/>
  <c r="Y169" i="63"/>
  <c r="Y170" i="63"/>
  <c r="Y171" i="63"/>
  <c r="Y172" i="63"/>
  <c r="Y173" i="63"/>
  <c r="Y174" i="63"/>
  <c r="Y175" i="63"/>
  <c r="Y176" i="63"/>
  <c r="Y177" i="63"/>
  <c r="Y178" i="63"/>
  <c r="Y179" i="63"/>
  <c r="Y180" i="63"/>
  <c r="Y181" i="63"/>
  <c r="Y182" i="63"/>
  <c r="Y183" i="63"/>
  <c r="Y184" i="63"/>
  <c r="Y185" i="63"/>
  <c r="Y186" i="63"/>
  <c r="Y187" i="63"/>
  <c r="Y188" i="63"/>
  <c r="Y189" i="63"/>
  <c r="Y190" i="63"/>
  <c r="Y191" i="63"/>
  <c r="Y192" i="63"/>
  <c r="Y193" i="63"/>
  <c r="Y194" i="63"/>
  <c r="Y195" i="63"/>
  <c r="Y196" i="63"/>
  <c r="Y197" i="63"/>
  <c r="Y198" i="63"/>
  <c r="Y199" i="63"/>
  <c r="Y200" i="63"/>
  <c r="Y201" i="63"/>
  <c r="Y202" i="63"/>
  <c r="Y203" i="63"/>
  <c r="Y204" i="63"/>
  <c r="Y205" i="63"/>
  <c r="Y206" i="63"/>
  <c r="Y207" i="63"/>
  <c r="Y208" i="63"/>
  <c r="Y209" i="63"/>
  <c r="Y210" i="63"/>
  <c r="Y211" i="63"/>
  <c r="Y212" i="63"/>
  <c r="Y213" i="63"/>
  <c r="Y214" i="63"/>
  <c r="Y215" i="63"/>
  <c r="Y216" i="63"/>
  <c r="Y217" i="63"/>
  <c r="Y218" i="63"/>
  <c r="Y219" i="63"/>
  <c r="Y220" i="63"/>
  <c r="Y221" i="63"/>
  <c r="Y222" i="63"/>
  <c r="Y223" i="63"/>
  <c r="Y224" i="63"/>
  <c r="Y225" i="63"/>
  <c r="Y226" i="63"/>
  <c r="Y227" i="63"/>
  <c r="Y228" i="63"/>
  <c r="Y229" i="63"/>
  <c r="Y230" i="63"/>
  <c r="Y231" i="63"/>
  <c r="Y232" i="63"/>
  <c r="Y233" i="63"/>
  <c r="Y234" i="63"/>
  <c r="Y235" i="63"/>
  <c r="Y236" i="63"/>
  <c r="Y237" i="63"/>
  <c r="Y238" i="63"/>
  <c r="Y239" i="63"/>
  <c r="Y240" i="63"/>
  <c r="Y241" i="63"/>
  <c r="Y242" i="63"/>
  <c r="Y243" i="63"/>
  <c r="Y244" i="63"/>
  <c r="Y245" i="63"/>
  <c r="Y246" i="63"/>
  <c r="Y247" i="63"/>
  <c r="Y248" i="63"/>
  <c r="Y249" i="63"/>
  <c r="Y250" i="63"/>
  <c r="Y251" i="63"/>
  <c r="Y252" i="63"/>
  <c r="Y253" i="63"/>
  <c r="Y254" i="63"/>
  <c r="Y255" i="63"/>
  <c r="Y256" i="63"/>
  <c r="Y257" i="63"/>
  <c r="Y10" i="63"/>
  <c r="AD9" i="107"/>
  <c r="AD10" i="107"/>
  <c r="AD11" i="107"/>
  <c r="AD12" i="107"/>
  <c r="AD13" i="107"/>
  <c r="AD14" i="107"/>
  <c r="AD15" i="107"/>
  <c r="AD16" i="107"/>
  <c r="AD17" i="107"/>
  <c r="AD18" i="107"/>
  <c r="AD19" i="107"/>
  <c r="AD20" i="107"/>
  <c r="AD21" i="107"/>
  <c r="AD22" i="107"/>
  <c r="AD23" i="107"/>
  <c r="AD24" i="107"/>
  <c r="AD25" i="107"/>
  <c r="AD26" i="107"/>
  <c r="AD27" i="107"/>
  <c r="AD28" i="107"/>
  <c r="AD29" i="107"/>
  <c r="AD30" i="107"/>
  <c r="AD31" i="107"/>
  <c r="AD32" i="107"/>
  <c r="AD33" i="107"/>
  <c r="AD34" i="107"/>
  <c r="AD35" i="107"/>
  <c r="AD36" i="107"/>
  <c r="AD37" i="107"/>
  <c r="AD38" i="107"/>
  <c r="AD39" i="107"/>
  <c r="AD40" i="107"/>
  <c r="AD41" i="107"/>
  <c r="AD42" i="107"/>
  <c r="AD43" i="107"/>
  <c r="AD44" i="107"/>
  <c r="AD45" i="107"/>
  <c r="AD46" i="107"/>
  <c r="AD47" i="107"/>
  <c r="AD48" i="107"/>
  <c r="AD49" i="107"/>
  <c r="AD50" i="107"/>
  <c r="AD51" i="107"/>
  <c r="AD52" i="107"/>
  <c r="AD53" i="107"/>
  <c r="AD54" i="107"/>
  <c r="AD55" i="107"/>
  <c r="AD56" i="107"/>
  <c r="AD57" i="107"/>
  <c r="AD58" i="107"/>
  <c r="AD59" i="107"/>
  <c r="AD60" i="107"/>
  <c r="AD61" i="107"/>
  <c r="AD62" i="107"/>
  <c r="AD63" i="107"/>
  <c r="AD64" i="107"/>
  <c r="AD65" i="107"/>
  <c r="AD66" i="107"/>
  <c r="AD67" i="107"/>
  <c r="AD68" i="107"/>
  <c r="AD69" i="107"/>
  <c r="AD70" i="107"/>
  <c r="AD71" i="107"/>
  <c r="AD72" i="107"/>
  <c r="AD73" i="107"/>
  <c r="AD74" i="107"/>
  <c r="AD75" i="107"/>
  <c r="AD76" i="107"/>
  <c r="AD77" i="107"/>
  <c r="AD78" i="107"/>
  <c r="AD79" i="107"/>
  <c r="AD80" i="107"/>
  <c r="AD81" i="107"/>
  <c r="AD82" i="107"/>
  <c r="AD83" i="107"/>
  <c r="AD84" i="107"/>
  <c r="AD85" i="107"/>
  <c r="AD86" i="107"/>
  <c r="AD87" i="107"/>
  <c r="AD88" i="107"/>
  <c r="AD89" i="107"/>
  <c r="AD90" i="107"/>
  <c r="AD91" i="107"/>
  <c r="AD92" i="107"/>
  <c r="AD93" i="107"/>
  <c r="AD94" i="107"/>
  <c r="AD95" i="107"/>
  <c r="AD96" i="107"/>
  <c r="AD97" i="107"/>
  <c r="AD98" i="107"/>
  <c r="AD99" i="107"/>
  <c r="AD100" i="107"/>
  <c r="AD101" i="107"/>
  <c r="AD102" i="107"/>
  <c r="AD103" i="107"/>
  <c r="AD104" i="107"/>
  <c r="AD105" i="107"/>
  <c r="AD106" i="107"/>
  <c r="AD107" i="107"/>
  <c r="AB9" i="107"/>
  <c r="AB10" i="107"/>
  <c r="AB11" i="107"/>
  <c r="AB12" i="107"/>
  <c r="AB13" i="107"/>
  <c r="AB14" i="107"/>
  <c r="AB15" i="107"/>
  <c r="AB16" i="107"/>
  <c r="AB17" i="107"/>
  <c r="AB18" i="107"/>
  <c r="AB19" i="107"/>
  <c r="AB20" i="107"/>
  <c r="AB21" i="107"/>
  <c r="AB22" i="107"/>
  <c r="AB23" i="107"/>
  <c r="AB24" i="107"/>
  <c r="AB25" i="107"/>
  <c r="AB26" i="107"/>
  <c r="AB27" i="107"/>
  <c r="AB28" i="107"/>
  <c r="AB29" i="107"/>
  <c r="AB30" i="107"/>
  <c r="AB31" i="107"/>
  <c r="AB32" i="107"/>
  <c r="AB33" i="107"/>
  <c r="AB34" i="107"/>
  <c r="AB35" i="107"/>
  <c r="AB36" i="107"/>
  <c r="AB37" i="107"/>
  <c r="AB38" i="107"/>
  <c r="AB39" i="107"/>
  <c r="AB40" i="107"/>
  <c r="AB41" i="107"/>
  <c r="AB42" i="107"/>
  <c r="AB43" i="107"/>
  <c r="AB44" i="107"/>
  <c r="AB45" i="107"/>
  <c r="AB46" i="107"/>
  <c r="AB47" i="107"/>
  <c r="AB48" i="107"/>
  <c r="AB49" i="107"/>
  <c r="AB50" i="107"/>
  <c r="AB51" i="107"/>
  <c r="AB52" i="107"/>
  <c r="AB53" i="107"/>
  <c r="AB54" i="107"/>
  <c r="AB55" i="107"/>
  <c r="AB56" i="107"/>
  <c r="AB57" i="107"/>
  <c r="AB58" i="107"/>
  <c r="AB59" i="107"/>
  <c r="AB60" i="107"/>
  <c r="AB61" i="107"/>
  <c r="AB62" i="107"/>
  <c r="AB63" i="107"/>
  <c r="AB64" i="107"/>
  <c r="AB65" i="107"/>
  <c r="AB66" i="107"/>
  <c r="AB67" i="107"/>
  <c r="AB68" i="107"/>
  <c r="AB69" i="107"/>
  <c r="AB70" i="107"/>
  <c r="AB71" i="107"/>
  <c r="AB72" i="107"/>
  <c r="AB73" i="107"/>
  <c r="AB74" i="107"/>
  <c r="AB75" i="107"/>
  <c r="AB76" i="107"/>
  <c r="AB77" i="107"/>
  <c r="AB78" i="107"/>
  <c r="AB79" i="107"/>
  <c r="AB80" i="107"/>
  <c r="AB81" i="107"/>
  <c r="AB82" i="107"/>
  <c r="AB83" i="107"/>
  <c r="AB84" i="107"/>
  <c r="AB85" i="107"/>
  <c r="AB86" i="107"/>
  <c r="AB87" i="107"/>
  <c r="AB88" i="107"/>
  <c r="AB89" i="107"/>
  <c r="AB90" i="107"/>
  <c r="AB91" i="107"/>
  <c r="AB92" i="107"/>
  <c r="AB93" i="107"/>
  <c r="AB94" i="107"/>
  <c r="AB95" i="107"/>
  <c r="AB96" i="107"/>
  <c r="AB97" i="107"/>
  <c r="AB98" i="107"/>
  <c r="AB99" i="107"/>
  <c r="AB100" i="107"/>
  <c r="AB101" i="107"/>
  <c r="AB102" i="107"/>
  <c r="AB103" i="107"/>
  <c r="AB104" i="107"/>
  <c r="AB105" i="107"/>
  <c r="AB106" i="107"/>
  <c r="AB107" i="107"/>
  <c r="AA9" i="107"/>
  <c r="AA10" i="107"/>
  <c r="AA11" i="107"/>
  <c r="AA12" i="107"/>
  <c r="AA13" i="107"/>
  <c r="AA14" i="107"/>
  <c r="AA15" i="107"/>
  <c r="AA16" i="107"/>
  <c r="AA17" i="107"/>
  <c r="AA18" i="107"/>
  <c r="AA19" i="107"/>
  <c r="AA20" i="107"/>
  <c r="AA21" i="107"/>
  <c r="AA22" i="107"/>
  <c r="AA23" i="107"/>
  <c r="AA24" i="107"/>
  <c r="AA25" i="107"/>
  <c r="AA26" i="107"/>
  <c r="AA27" i="107"/>
  <c r="AA28" i="107"/>
  <c r="AA29" i="107"/>
  <c r="AA30" i="107"/>
  <c r="AA31" i="107"/>
  <c r="AA32" i="107"/>
  <c r="AA33" i="107"/>
  <c r="AA34" i="107"/>
  <c r="AA35" i="107"/>
  <c r="AA36" i="107"/>
  <c r="AA37" i="107"/>
  <c r="AA38" i="107"/>
  <c r="AA39" i="107"/>
  <c r="AA40" i="107"/>
  <c r="AA41" i="107"/>
  <c r="AA42" i="107"/>
  <c r="AA43" i="107"/>
  <c r="AA44" i="107"/>
  <c r="AA45" i="107"/>
  <c r="AA46" i="107"/>
  <c r="AA47" i="107"/>
  <c r="AA48" i="107"/>
  <c r="AA49" i="107"/>
  <c r="AA50" i="107"/>
  <c r="AA51" i="107"/>
  <c r="AA52" i="107"/>
  <c r="AA53" i="107"/>
  <c r="AA54" i="107"/>
  <c r="AA55" i="107"/>
  <c r="AA56" i="107"/>
  <c r="AA57" i="107"/>
  <c r="AA58" i="107"/>
  <c r="AA59" i="107"/>
  <c r="AA60" i="107"/>
  <c r="AA61" i="107"/>
  <c r="AA62" i="107"/>
  <c r="AA63" i="107"/>
  <c r="AA64" i="107"/>
  <c r="AA65" i="107"/>
  <c r="AA66" i="107"/>
  <c r="AA67" i="107"/>
  <c r="AA68" i="107"/>
  <c r="AA69" i="107"/>
  <c r="AA70" i="107"/>
  <c r="AA71" i="107"/>
  <c r="AA72" i="107"/>
  <c r="AA73" i="107"/>
  <c r="AA74" i="107"/>
  <c r="AA75" i="107"/>
  <c r="AA76" i="107"/>
  <c r="AA77" i="107"/>
  <c r="AA78" i="107"/>
  <c r="AA79" i="107"/>
  <c r="AA80" i="107"/>
  <c r="AA81" i="107"/>
  <c r="AA82" i="107"/>
  <c r="AA83" i="107"/>
  <c r="AA84" i="107"/>
  <c r="AA85" i="107"/>
  <c r="AA86" i="107"/>
  <c r="AA87" i="107"/>
  <c r="AA88" i="107"/>
  <c r="AA89" i="107"/>
  <c r="AA90" i="107"/>
  <c r="AA91" i="107"/>
  <c r="AA92" i="107"/>
  <c r="AA93" i="107"/>
  <c r="AA94" i="107"/>
  <c r="AA95" i="107"/>
  <c r="AA96" i="107"/>
  <c r="AA97" i="107"/>
  <c r="AA98" i="107"/>
  <c r="AA99" i="107"/>
  <c r="AA100" i="107"/>
  <c r="AA101" i="107"/>
  <c r="AA102" i="107"/>
  <c r="AA103" i="107"/>
  <c r="AA104" i="107"/>
  <c r="AA105" i="107"/>
  <c r="AA106" i="107"/>
  <c r="AA107" i="107"/>
  <c r="Z9" i="107"/>
  <c r="Z10" i="107"/>
  <c r="Z11" i="107"/>
  <c r="Z12" i="107"/>
  <c r="Z13" i="107"/>
  <c r="Z14" i="107"/>
  <c r="Z15" i="107"/>
  <c r="Z16" i="107"/>
  <c r="Z17" i="107"/>
  <c r="Z18" i="107"/>
  <c r="Z19" i="107"/>
  <c r="Z20" i="107"/>
  <c r="Z21" i="107"/>
  <c r="Z22" i="107"/>
  <c r="Z23" i="107"/>
  <c r="Z24" i="107"/>
  <c r="Z25" i="107"/>
  <c r="Z26" i="107"/>
  <c r="Z27" i="107"/>
  <c r="Z28" i="107"/>
  <c r="Z29" i="107"/>
  <c r="Z30" i="107"/>
  <c r="Z31" i="107"/>
  <c r="Z32" i="107"/>
  <c r="Z33" i="107"/>
  <c r="Z34" i="107"/>
  <c r="Z35" i="107"/>
  <c r="Z36" i="107"/>
  <c r="Z37" i="107"/>
  <c r="Z38" i="107"/>
  <c r="Z39" i="107"/>
  <c r="Z40" i="107"/>
  <c r="Z41" i="107"/>
  <c r="Z42" i="107"/>
  <c r="Z43" i="107"/>
  <c r="Z44" i="107"/>
  <c r="Z45" i="107"/>
  <c r="Z46" i="107"/>
  <c r="Z47" i="107"/>
  <c r="Z48" i="107"/>
  <c r="Z49" i="107"/>
  <c r="Z50" i="107"/>
  <c r="Z51" i="107"/>
  <c r="Z52" i="107"/>
  <c r="Z53" i="107"/>
  <c r="Z54" i="107"/>
  <c r="Z55" i="107"/>
  <c r="Z56" i="107"/>
  <c r="Z57" i="107"/>
  <c r="Z58" i="107"/>
  <c r="Z59" i="107"/>
  <c r="Z60" i="107"/>
  <c r="Z61" i="107"/>
  <c r="Z62" i="107"/>
  <c r="Z63" i="107"/>
  <c r="Z64" i="107"/>
  <c r="Z65" i="107"/>
  <c r="Z66" i="107"/>
  <c r="Z67" i="107"/>
  <c r="Z68" i="107"/>
  <c r="Z69" i="107"/>
  <c r="Z70" i="107"/>
  <c r="Z71" i="107"/>
  <c r="Z72" i="107"/>
  <c r="Z73" i="107"/>
  <c r="Z74" i="107"/>
  <c r="Z75" i="107"/>
  <c r="Z76" i="107"/>
  <c r="Z77" i="107"/>
  <c r="Z78" i="107"/>
  <c r="Z79" i="107"/>
  <c r="Z80" i="107"/>
  <c r="Z81" i="107"/>
  <c r="Z82" i="107"/>
  <c r="Z83" i="107"/>
  <c r="Z84" i="107"/>
  <c r="Z85" i="107"/>
  <c r="Z86" i="107"/>
  <c r="Z87" i="107"/>
  <c r="Z88" i="107"/>
  <c r="Z89" i="107"/>
  <c r="Z90" i="107"/>
  <c r="Z91" i="107"/>
  <c r="Z92" i="107"/>
  <c r="Z93" i="107"/>
  <c r="Z94" i="107"/>
  <c r="Z95" i="107"/>
  <c r="Z96" i="107"/>
  <c r="Z97" i="107"/>
  <c r="Z98" i="107"/>
  <c r="Z99" i="107"/>
  <c r="Z100" i="107"/>
  <c r="Z101" i="107"/>
  <c r="Z102" i="107"/>
  <c r="Z103" i="107"/>
  <c r="Z104" i="107"/>
  <c r="Z105" i="107"/>
  <c r="Z106" i="107"/>
  <c r="Z107" i="107"/>
  <c r="Y9" i="107"/>
  <c r="Y10" i="107"/>
  <c r="Y11" i="107"/>
  <c r="Y12" i="107"/>
  <c r="Y13" i="107"/>
  <c r="Y14" i="107"/>
  <c r="Y15" i="107"/>
  <c r="Y16" i="107"/>
  <c r="Y17" i="107"/>
  <c r="Y18" i="107"/>
  <c r="Y19" i="107"/>
  <c r="Y20" i="107"/>
  <c r="Y21" i="107"/>
  <c r="Y22" i="107"/>
  <c r="Y23" i="107"/>
  <c r="Y24" i="107"/>
  <c r="Y25" i="107"/>
  <c r="Y26" i="107"/>
  <c r="Y27" i="107"/>
  <c r="Y28" i="107"/>
  <c r="Y29" i="107"/>
  <c r="Y30" i="107"/>
  <c r="Y31" i="107"/>
  <c r="Y32" i="107"/>
  <c r="Y33" i="107"/>
  <c r="Y34" i="107"/>
  <c r="Y35" i="107"/>
  <c r="Y36" i="107"/>
  <c r="Y37" i="107"/>
  <c r="Y38" i="107"/>
  <c r="Y39" i="107"/>
  <c r="Y40" i="107"/>
  <c r="Y41" i="107"/>
  <c r="Y42" i="107"/>
  <c r="Y43" i="107"/>
  <c r="Y44" i="107"/>
  <c r="Y45" i="107"/>
  <c r="Y46" i="107"/>
  <c r="Y47" i="107"/>
  <c r="Y48" i="107"/>
  <c r="Y49" i="107"/>
  <c r="Y50" i="107"/>
  <c r="Y51" i="107"/>
  <c r="Y52" i="107"/>
  <c r="Y53" i="107"/>
  <c r="Y54" i="107"/>
  <c r="Y55" i="107"/>
  <c r="Y56" i="107"/>
  <c r="Y57" i="107"/>
  <c r="Y58" i="107"/>
  <c r="Y59" i="107"/>
  <c r="Y60" i="107"/>
  <c r="Y61" i="107"/>
  <c r="Y62" i="107"/>
  <c r="Y63" i="107"/>
  <c r="Y64" i="107"/>
  <c r="Y65" i="107"/>
  <c r="Y66" i="107"/>
  <c r="Y67" i="107"/>
  <c r="Y68" i="107"/>
  <c r="Y69" i="107"/>
  <c r="Y70" i="107"/>
  <c r="Y71" i="107"/>
  <c r="Y72" i="107"/>
  <c r="Y73" i="107"/>
  <c r="Y74" i="107"/>
  <c r="Y75" i="107"/>
  <c r="Y76" i="107"/>
  <c r="Y77" i="107"/>
  <c r="Y78" i="107"/>
  <c r="Y79" i="107"/>
  <c r="Y80" i="107"/>
  <c r="Y81" i="107"/>
  <c r="Y82" i="107"/>
  <c r="Y83" i="107"/>
  <c r="Y84" i="107"/>
  <c r="Y85" i="107"/>
  <c r="Y86" i="107"/>
  <c r="Y87" i="107"/>
  <c r="Y88" i="107"/>
  <c r="Y89" i="107"/>
  <c r="Y90" i="107"/>
  <c r="Y91" i="107"/>
  <c r="Y92" i="107"/>
  <c r="Y93" i="107"/>
  <c r="Y94" i="107"/>
  <c r="Y95" i="107"/>
  <c r="Y96" i="107"/>
  <c r="Y97" i="107"/>
  <c r="Y98" i="107"/>
  <c r="Y99" i="107"/>
  <c r="Y100" i="107"/>
  <c r="Y101" i="107"/>
  <c r="Y102" i="107"/>
  <c r="Y103" i="107"/>
  <c r="Y104" i="107"/>
  <c r="Y105" i="107"/>
  <c r="Y106" i="107"/>
  <c r="Y107" i="107"/>
  <c r="X9" i="107"/>
  <c r="X10" i="107"/>
  <c r="X11" i="107"/>
  <c r="X12" i="107"/>
  <c r="X13" i="107"/>
  <c r="X14" i="107"/>
  <c r="X15" i="107"/>
  <c r="X16" i="107"/>
  <c r="X17" i="107"/>
  <c r="X18" i="107"/>
  <c r="X19" i="107"/>
  <c r="X20" i="107"/>
  <c r="X21" i="107"/>
  <c r="X22" i="107"/>
  <c r="X23" i="107"/>
  <c r="X24" i="107"/>
  <c r="X25" i="107"/>
  <c r="X26" i="107"/>
  <c r="X27" i="107"/>
  <c r="X28" i="107"/>
  <c r="X29" i="107"/>
  <c r="X30" i="107"/>
  <c r="X31" i="107"/>
  <c r="X32" i="107"/>
  <c r="X33" i="107"/>
  <c r="X34" i="107"/>
  <c r="X35" i="107"/>
  <c r="X36" i="107"/>
  <c r="X37" i="107"/>
  <c r="X38" i="107"/>
  <c r="X39" i="107"/>
  <c r="X40" i="107"/>
  <c r="X41" i="107"/>
  <c r="X42" i="107"/>
  <c r="X43" i="107"/>
  <c r="X44" i="107"/>
  <c r="X45" i="107"/>
  <c r="X46" i="107"/>
  <c r="X47" i="107"/>
  <c r="X48" i="107"/>
  <c r="X49" i="107"/>
  <c r="X50" i="107"/>
  <c r="X51" i="107"/>
  <c r="X52" i="107"/>
  <c r="X53" i="107"/>
  <c r="X54" i="107"/>
  <c r="X55" i="107"/>
  <c r="X56" i="107"/>
  <c r="X57" i="107"/>
  <c r="X58" i="107"/>
  <c r="X59" i="107"/>
  <c r="X60" i="107"/>
  <c r="X61" i="107"/>
  <c r="X62" i="107"/>
  <c r="X63" i="107"/>
  <c r="X64" i="107"/>
  <c r="X65" i="107"/>
  <c r="X66" i="107"/>
  <c r="X67" i="107"/>
  <c r="X68" i="107"/>
  <c r="X69" i="107"/>
  <c r="X70" i="107"/>
  <c r="X71" i="107"/>
  <c r="X72" i="107"/>
  <c r="X73" i="107"/>
  <c r="X74" i="107"/>
  <c r="X75" i="107"/>
  <c r="X76" i="107"/>
  <c r="X77" i="107"/>
  <c r="X78" i="107"/>
  <c r="X79" i="107"/>
  <c r="X80" i="107"/>
  <c r="X81" i="107"/>
  <c r="X82" i="107"/>
  <c r="X83" i="107"/>
  <c r="X84" i="107"/>
  <c r="X85" i="107"/>
  <c r="X86" i="107"/>
  <c r="X87" i="107"/>
  <c r="X88" i="107"/>
  <c r="X89" i="107"/>
  <c r="X90" i="107"/>
  <c r="X91" i="107"/>
  <c r="X92" i="107"/>
  <c r="X93" i="107"/>
  <c r="X94" i="107"/>
  <c r="X95" i="107"/>
  <c r="X96" i="107"/>
  <c r="X97" i="107"/>
  <c r="X98" i="107"/>
  <c r="X99" i="107"/>
  <c r="X100" i="107"/>
  <c r="X101" i="107"/>
  <c r="X102" i="107"/>
  <c r="X103" i="107"/>
  <c r="X104" i="107"/>
  <c r="X105" i="107"/>
  <c r="X106" i="107"/>
  <c r="X107" i="107"/>
  <c r="L11" i="107"/>
  <c r="L12" i="107"/>
  <c r="L13" i="107"/>
  <c r="L14" i="107"/>
  <c r="L15" i="107"/>
  <c r="L16" i="107"/>
  <c r="L17" i="107"/>
  <c r="L18" i="107"/>
  <c r="L19" i="107"/>
  <c r="L20" i="107"/>
  <c r="L21" i="107"/>
  <c r="L22" i="107"/>
  <c r="L23" i="107"/>
  <c r="L24" i="107"/>
  <c r="L25" i="107"/>
  <c r="L26" i="107"/>
  <c r="L27" i="107"/>
  <c r="L28" i="107"/>
  <c r="L29" i="107"/>
  <c r="L30" i="107"/>
  <c r="L31" i="107"/>
  <c r="L32" i="107"/>
  <c r="L33" i="107"/>
  <c r="L34" i="107"/>
  <c r="L35" i="107"/>
  <c r="L36" i="107"/>
  <c r="L37" i="107"/>
  <c r="L38" i="107"/>
  <c r="L39" i="107"/>
  <c r="L40" i="107"/>
  <c r="L41" i="107"/>
  <c r="L42" i="107"/>
  <c r="L43" i="107"/>
  <c r="L44" i="107"/>
  <c r="L45" i="107"/>
  <c r="L46" i="107"/>
  <c r="L47" i="107"/>
  <c r="L48" i="107"/>
  <c r="L49" i="107"/>
  <c r="L50" i="107"/>
  <c r="L51" i="107"/>
  <c r="L52" i="107"/>
  <c r="L53" i="107"/>
  <c r="L54" i="107"/>
  <c r="L55" i="107"/>
  <c r="L56" i="107"/>
  <c r="L57" i="107"/>
  <c r="L58" i="107"/>
  <c r="L59" i="107"/>
  <c r="L60" i="107"/>
  <c r="L61" i="107"/>
  <c r="L62" i="107"/>
  <c r="L63" i="107"/>
  <c r="L64" i="107"/>
  <c r="L65" i="107"/>
  <c r="L66" i="107"/>
  <c r="L67" i="107"/>
  <c r="L68" i="107"/>
  <c r="L69" i="107"/>
  <c r="L70" i="107"/>
  <c r="L71" i="107"/>
  <c r="L72" i="107"/>
  <c r="L73" i="107"/>
  <c r="L74" i="107"/>
  <c r="L75" i="107"/>
  <c r="L76" i="107"/>
  <c r="L77" i="107"/>
  <c r="L78" i="107"/>
  <c r="L79" i="107"/>
  <c r="L80" i="107"/>
  <c r="L81" i="107"/>
  <c r="L82" i="107"/>
  <c r="L83" i="107"/>
  <c r="L84" i="107"/>
  <c r="L85" i="107"/>
  <c r="L86" i="107"/>
  <c r="L87" i="107"/>
  <c r="L88" i="107"/>
  <c r="L89" i="107"/>
  <c r="L90" i="107"/>
  <c r="L91" i="107"/>
  <c r="L92" i="107"/>
  <c r="L93" i="107"/>
  <c r="L94" i="107"/>
  <c r="L95" i="107"/>
  <c r="L96" i="107"/>
  <c r="L97" i="107"/>
  <c r="L98" i="107"/>
  <c r="L99" i="107"/>
  <c r="L100" i="107"/>
  <c r="L101" i="107"/>
  <c r="L102" i="107"/>
  <c r="L103" i="107"/>
  <c r="L104" i="107"/>
  <c r="L105" i="107"/>
  <c r="L106" i="107"/>
  <c r="L107" i="107"/>
  <c r="J11" i="107"/>
  <c r="J12" i="107"/>
  <c r="J13" i="107"/>
  <c r="J14" i="107"/>
  <c r="J15" i="107"/>
  <c r="J16" i="107"/>
  <c r="J17" i="107"/>
  <c r="J18" i="107"/>
  <c r="J19" i="107"/>
  <c r="J20" i="107"/>
  <c r="J21" i="107"/>
  <c r="J22" i="107"/>
  <c r="J23" i="107"/>
  <c r="J24" i="107"/>
  <c r="J25" i="107"/>
  <c r="J26" i="107"/>
  <c r="J27" i="107"/>
  <c r="J28" i="107"/>
  <c r="J29" i="107"/>
  <c r="J30" i="107"/>
  <c r="J31" i="107"/>
  <c r="J32" i="107"/>
  <c r="J33" i="107"/>
  <c r="J34" i="107"/>
  <c r="J35" i="107"/>
  <c r="J36" i="107"/>
  <c r="J37" i="107"/>
  <c r="J38" i="107"/>
  <c r="J39" i="107"/>
  <c r="J40" i="107"/>
  <c r="J41" i="107"/>
  <c r="J42" i="107"/>
  <c r="J43" i="107"/>
  <c r="J44" i="107"/>
  <c r="J45" i="107"/>
  <c r="J46" i="107"/>
  <c r="J47" i="107"/>
  <c r="J48" i="107"/>
  <c r="J49" i="107"/>
  <c r="J50" i="107"/>
  <c r="J51" i="107"/>
  <c r="J52" i="107"/>
  <c r="J53" i="107"/>
  <c r="J54" i="107"/>
  <c r="J55" i="107"/>
  <c r="J56" i="107"/>
  <c r="J57" i="107"/>
  <c r="J58" i="107"/>
  <c r="J59" i="107"/>
  <c r="J60" i="107"/>
  <c r="J61" i="107"/>
  <c r="J62" i="107"/>
  <c r="J63" i="107"/>
  <c r="J64" i="107"/>
  <c r="J65" i="107"/>
  <c r="J66" i="107"/>
  <c r="J67" i="107"/>
  <c r="J68" i="107"/>
  <c r="J69" i="107"/>
  <c r="J70" i="107"/>
  <c r="J71" i="107"/>
  <c r="J72" i="107"/>
  <c r="J73" i="107"/>
  <c r="J74" i="107"/>
  <c r="J75" i="107"/>
  <c r="J76" i="107"/>
  <c r="J77" i="107"/>
  <c r="J78" i="107"/>
  <c r="J79" i="107"/>
  <c r="J80" i="107"/>
  <c r="J81" i="107"/>
  <c r="J82" i="107"/>
  <c r="J83" i="107"/>
  <c r="J84" i="107"/>
  <c r="J85" i="107"/>
  <c r="J86" i="107"/>
  <c r="J87" i="107"/>
  <c r="J88" i="107"/>
  <c r="J89" i="107"/>
  <c r="J90" i="107"/>
  <c r="J91" i="107"/>
  <c r="J92" i="107"/>
  <c r="J93" i="107"/>
  <c r="J94" i="107"/>
  <c r="J95" i="107"/>
  <c r="J96" i="107"/>
  <c r="J97" i="107"/>
  <c r="J98" i="107"/>
  <c r="J99" i="107"/>
  <c r="J100" i="107"/>
  <c r="J101" i="107"/>
  <c r="J102" i="107"/>
  <c r="J103" i="107"/>
  <c r="J104" i="107"/>
  <c r="J105" i="107"/>
  <c r="J106" i="107"/>
  <c r="J107" i="107"/>
  <c r="H11" i="107"/>
  <c r="H12" i="107"/>
  <c r="H13" i="107"/>
  <c r="H14" i="107"/>
  <c r="H15" i="107"/>
  <c r="H16" i="107"/>
  <c r="H17" i="107"/>
  <c r="H18" i="107"/>
  <c r="H19" i="107"/>
  <c r="H20" i="107"/>
  <c r="H21" i="107"/>
  <c r="H22" i="107"/>
  <c r="H23" i="107"/>
  <c r="H24" i="107"/>
  <c r="H25" i="107"/>
  <c r="H26" i="107"/>
  <c r="H27" i="107"/>
  <c r="H28" i="107"/>
  <c r="H29" i="107"/>
  <c r="H30" i="107"/>
  <c r="H31" i="107"/>
  <c r="H32" i="107"/>
  <c r="H33" i="107"/>
  <c r="H34" i="107"/>
  <c r="H35" i="107"/>
  <c r="H36" i="107"/>
  <c r="H37" i="107"/>
  <c r="H38" i="107"/>
  <c r="H39" i="107"/>
  <c r="H40" i="107"/>
  <c r="H41" i="107"/>
  <c r="H42" i="107"/>
  <c r="H43" i="107"/>
  <c r="H44" i="107"/>
  <c r="H45" i="107"/>
  <c r="H46" i="107"/>
  <c r="H47" i="107"/>
  <c r="H48" i="107"/>
  <c r="H49" i="107"/>
  <c r="H50" i="107"/>
  <c r="H51" i="107"/>
  <c r="H52" i="107"/>
  <c r="H53" i="107"/>
  <c r="H54" i="107"/>
  <c r="H55" i="107"/>
  <c r="H56" i="107"/>
  <c r="H57" i="107"/>
  <c r="H58" i="107"/>
  <c r="H59" i="107"/>
  <c r="H60" i="107"/>
  <c r="H61" i="107"/>
  <c r="H62" i="107"/>
  <c r="H63" i="107"/>
  <c r="H64" i="107"/>
  <c r="H65" i="107"/>
  <c r="H66" i="107"/>
  <c r="H67" i="107"/>
  <c r="H68" i="107"/>
  <c r="H69" i="107"/>
  <c r="H70" i="107"/>
  <c r="H71" i="107"/>
  <c r="H72" i="107"/>
  <c r="H73" i="107"/>
  <c r="H74" i="107"/>
  <c r="H75" i="107"/>
  <c r="H76" i="107"/>
  <c r="H77" i="107"/>
  <c r="H78" i="107"/>
  <c r="H79" i="107"/>
  <c r="H80" i="107"/>
  <c r="H81" i="107"/>
  <c r="H82" i="107"/>
  <c r="H83" i="107"/>
  <c r="H84" i="107"/>
  <c r="H85" i="107"/>
  <c r="H86" i="107"/>
  <c r="H87" i="107"/>
  <c r="H88" i="107"/>
  <c r="H89" i="107"/>
  <c r="H90" i="107"/>
  <c r="H91" i="107"/>
  <c r="H92" i="107"/>
  <c r="H93" i="107"/>
  <c r="H94" i="107"/>
  <c r="H95" i="107"/>
  <c r="H96" i="107"/>
  <c r="H97" i="107"/>
  <c r="H98" i="107"/>
  <c r="H99" i="107"/>
  <c r="H100" i="107"/>
  <c r="H101" i="107"/>
  <c r="H102" i="107"/>
  <c r="H103" i="107"/>
  <c r="H104" i="107"/>
  <c r="H105" i="107"/>
  <c r="H106" i="107"/>
  <c r="H107" i="107"/>
  <c r="F11" i="107"/>
  <c r="F12" i="107"/>
  <c r="F13" i="107"/>
  <c r="F14" i="107"/>
  <c r="F15" i="107"/>
  <c r="F16" i="107"/>
  <c r="F17" i="107"/>
  <c r="F18" i="107"/>
  <c r="F19" i="107"/>
  <c r="F20" i="107"/>
  <c r="F21" i="107"/>
  <c r="F22" i="107"/>
  <c r="F23" i="107"/>
  <c r="F24" i="107"/>
  <c r="F25" i="107"/>
  <c r="F26" i="107"/>
  <c r="F27" i="107"/>
  <c r="F28" i="107"/>
  <c r="F29" i="107"/>
  <c r="F30" i="107"/>
  <c r="F31" i="107"/>
  <c r="F32" i="107"/>
  <c r="F33" i="107"/>
  <c r="F34" i="107"/>
  <c r="F35" i="107"/>
  <c r="F36" i="107"/>
  <c r="F37" i="107"/>
  <c r="F38" i="107"/>
  <c r="F39" i="107"/>
  <c r="F40" i="107"/>
  <c r="F41" i="107"/>
  <c r="F42" i="107"/>
  <c r="F43" i="107"/>
  <c r="F44" i="107"/>
  <c r="F45" i="107"/>
  <c r="F46" i="107"/>
  <c r="F47" i="107"/>
  <c r="F48" i="107"/>
  <c r="F49" i="107"/>
  <c r="F50" i="107"/>
  <c r="F51" i="107"/>
  <c r="F52" i="107"/>
  <c r="F53" i="107"/>
  <c r="F54" i="107"/>
  <c r="F55" i="107"/>
  <c r="F56" i="107"/>
  <c r="F57" i="107"/>
  <c r="F58" i="107"/>
  <c r="F59" i="107"/>
  <c r="F60" i="107"/>
  <c r="F61" i="107"/>
  <c r="F62" i="107"/>
  <c r="F63" i="107"/>
  <c r="F64" i="107"/>
  <c r="F65" i="107"/>
  <c r="F66" i="107"/>
  <c r="F67" i="107"/>
  <c r="F68" i="107"/>
  <c r="F69" i="107"/>
  <c r="F70" i="107"/>
  <c r="F71" i="107"/>
  <c r="F72" i="107"/>
  <c r="F73" i="107"/>
  <c r="F74" i="107"/>
  <c r="F75" i="107"/>
  <c r="F76" i="107"/>
  <c r="F77" i="107"/>
  <c r="F78" i="107"/>
  <c r="F79" i="107"/>
  <c r="F80" i="107"/>
  <c r="F81" i="107"/>
  <c r="F82" i="107"/>
  <c r="F83" i="107"/>
  <c r="F84" i="107"/>
  <c r="F85" i="107"/>
  <c r="F86" i="107"/>
  <c r="F87" i="107"/>
  <c r="F88" i="107"/>
  <c r="F89" i="107"/>
  <c r="F90" i="107"/>
  <c r="F91" i="107"/>
  <c r="F92" i="107"/>
  <c r="F93" i="107"/>
  <c r="F94" i="107"/>
  <c r="F95" i="107"/>
  <c r="F96" i="107"/>
  <c r="F97" i="107"/>
  <c r="F98" i="107"/>
  <c r="F99" i="107"/>
  <c r="F100" i="107"/>
  <c r="F101" i="107"/>
  <c r="F102" i="107"/>
  <c r="F103" i="107"/>
  <c r="F104" i="107"/>
  <c r="F105" i="107"/>
  <c r="F106" i="107"/>
  <c r="F107" i="107"/>
  <c r="D11" i="107"/>
  <c r="D12" i="107"/>
  <c r="D13" i="107"/>
  <c r="D14" i="107"/>
  <c r="D15" i="107"/>
  <c r="D16" i="107"/>
  <c r="D17" i="107"/>
  <c r="D18" i="107"/>
  <c r="D19" i="107"/>
  <c r="D20" i="107"/>
  <c r="D21" i="107"/>
  <c r="D22" i="107"/>
  <c r="D23" i="107"/>
  <c r="D24" i="107"/>
  <c r="D25" i="107"/>
  <c r="D26" i="107"/>
  <c r="D27" i="107"/>
  <c r="D28" i="107"/>
  <c r="D29" i="107"/>
  <c r="D30" i="107"/>
  <c r="D31" i="107"/>
  <c r="D32" i="107"/>
  <c r="D33" i="107"/>
  <c r="D34" i="107"/>
  <c r="D35" i="107"/>
  <c r="D36" i="107"/>
  <c r="D37" i="107"/>
  <c r="D38" i="107"/>
  <c r="D39" i="107"/>
  <c r="D40" i="107"/>
  <c r="D41" i="107"/>
  <c r="D42" i="107"/>
  <c r="D43" i="107"/>
  <c r="D44" i="107"/>
  <c r="D45" i="107"/>
  <c r="D46" i="107"/>
  <c r="D47" i="107"/>
  <c r="D48" i="107"/>
  <c r="D49" i="107"/>
  <c r="D50" i="107"/>
  <c r="D51" i="107"/>
  <c r="D52" i="107"/>
  <c r="D53" i="107"/>
  <c r="D54" i="107"/>
  <c r="D55" i="107"/>
  <c r="D56" i="107"/>
  <c r="D57" i="107"/>
  <c r="D58" i="107"/>
  <c r="D59" i="107"/>
  <c r="D60" i="107"/>
  <c r="D61" i="107"/>
  <c r="D62" i="107"/>
  <c r="D63" i="107"/>
  <c r="D64" i="107"/>
  <c r="D65" i="107"/>
  <c r="D66" i="107"/>
  <c r="D67" i="107"/>
  <c r="D68" i="107"/>
  <c r="D69" i="107"/>
  <c r="D70" i="107"/>
  <c r="D71" i="107"/>
  <c r="D72" i="107"/>
  <c r="D73" i="107"/>
  <c r="D74" i="107"/>
  <c r="D75" i="107"/>
  <c r="D76" i="107"/>
  <c r="D77" i="107"/>
  <c r="D78" i="107"/>
  <c r="D79" i="107"/>
  <c r="D80" i="107"/>
  <c r="D81" i="107"/>
  <c r="D82" i="107"/>
  <c r="D83" i="107"/>
  <c r="D84" i="107"/>
  <c r="D85" i="107"/>
  <c r="D86" i="107"/>
  <c r="D87" i="107"/>
  <c r="D88" i="107"/>
  <c r="D89" i="107"/>
  <c r="D90" i="107"/>
  <c r="D91" i="107"/>
  <c r="D92" i="107"/>
  <c r="D93" i="107"/>
  <c r="D94" i="107"/>
  <c r="D95" i="107"/>
  <c r="D96" i="107"/>
  <c r="D97" i="107"/>
  <c r="D98" i="107"/>
  <c r="D99" i="107"/>
  <c r="D100" i="107"/>
  <c r="D101" i="107"/>
  <c r="D102" i="107"/>
  <c r="D103" i="107"/>
  <c r="D104" i="107"/>
  <c r="D105" i="107"/>
  <c r="D106" i="107"/>
  <c r="D107" i="107"/>
  <c r="C11" i="107"/>
  <c r="C12" i="107"/>
  <c r="C13" i="107"/>
  <c r="C14" i="107"/>
  <c r="C15" i="107"/>
  <c r="C16" i="107"/>
  <c r="C17" i="107"/>
  <c r="C18" i="107"/>
  <c r="C19" i="107"/>
  <c r="C20" i="107"/>
  <c r="C21" i="107"/>
  <c r="C22" i="107"/>
  <c r="C23" i="107"/>
  <c r="C24" i="107"/>
  <c r="C25" i="107"/>
  <c r="C26" i="107"/>
  <c r="C27" i="107"/>
  <c r="C28" i="107"/>
  <c r="C29" i="107"/>
  <c r="C30" i="107"/>
  <c r="C31" i="107"/>
  <c r="C32" i="107"/>
  <c r="C33" i="107"/>
  <c r="C34" i="107"/>
  <c r="C35" i="107"/>
  <c r="C36" i="107"/>
  <c r="C37" i="107"/>
  <c r="C38" i="107"/>
  <c r="C39" i="107"/>
  <c r="C40" i="107"/>
  <c r="C41" i="107"/>
  <c r="C42" i="107"/>
  <c r="C43" i="107"/>
  <c r="C44" i="107"/>
  <c r="C45" i="107"/>
  <c r="C46" i="107"/>
  <c r="C47" i="107"/>
  <c r="C48" i="107"/>
  <c r="C49" i="107"/>
  <c r="C50" i="107"/>
  <c r="C51" i="107"/>
  <c r="C52" i="107"/>
  <c r="C53" i="107"/>
  <c r="C54" i="107"/>
  <c r="C55" i="107"/>
  <c r="C56" i="107"/>
  <c r="C57" i="107"/>
  <c r="C58" i="107"/>
  <c r="C59" i="107"/>
  <c r="C60" i="107"/>
  <c r="C61" i="107"/>
  <c r="C62" i="107"/>
  <c r="C63" i="107"/>
  <c r="C64" i="107"/>
  <c r="C65" i="107"/>
  <c r="C66" i="107"/>
  <c r="C67" i="107"/>
  <c r="C68" i="107"/>
  <c r="C69" i="107"/>
  <c r="C70" i="107"/>
  <c r="C71" i="107"/>
  <c r="C72" i="107"/>
  <c r="C73" i="107"/>
  <c r="C74" i="107"/>
  <c r="C75" i="107"/>
  <c r="C76" i="107"/>
  <c r="C77" i="107"/>
  <c r="C78" i="107"/>
  <c r="C79" i="107"/>
  <c r="C80" i="107"/>
  <c r="C81" i="107"/>
  <c r="C82" i="107"/>
  <c r="C83" i="107"/>
  <c r="C84" i="107"/>
  <c r="C85" i="107"/>
  <c r="C86" i="107"/>
  <c r="C87" i="107"/>
  <c r="C88" i="107"/>
  <c r="C89" i="107"/>
  <c r="C90" i="107"/>
  <c r="C91" i="107"/>
  <c r="C92" i="107"/>
  <c r="C93" i="107"/>
  <c r="C94" i="107"/>
  <c r="C95" i="107"/>
  <c r="C96" i="107"/>
  <c r="C97" i="107"/>
  <c r="C98" i="107"/>
  <c r="C99" i="107"/>
  <c r="C100" i="107"/>
  <c r="C101" i="107"/>
  <c r="C102" i="107"/>
  <c r="C103" i="107"/>
  <c r="C104" i="107"/>
  <c r="C105" i="107"/>
  <c r="C106" i="107"/>
  <c r="C107" i="107"/>
  <c r="M7" i="107"/>
  <c r="BK39" i="108"/>
  <c r="BK40" i="108"/>
  <c r="BK41" i="108"/>
  <c r="V258" i="63"/>
  <c r="U258" i="63"/>
  <c r="E258" i="63"/>
  <c r="W17" i="11" l="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60" i="11"/>
  <c r="W61" i="11"/>
  <c r="W62" i="11"/>
  <c r="W63" i="11"/>
  <c r="W64" i="11"/>
  <c r="W65" i="11"/>
  <c r="W66" i="11"/>
  <c r="W67" i="11"/>
  <c r="W68" i="11"/>
  <c r="W69" i="11"/>
  <c r="W70" i="11"/>
  <c r="W71" i="11"/>
  <c r="W72" i="11"/>
  <c r="W73" i="11"/>
  <c r="W74" i="11"/>
  <c r="W75" i="11"/>
  <c r="W76" i="11"/>
  <c r="W77" i="11"/>
  <c r="W78" i="11"/>
  <c r="W79" i="11"/>
  <c r="W80" i="11"/>
  <c r="W81" i="11"/>
  <c r="W82" i="11"/>
  <c r="W83" i="11"/>
  <c r="W84" i="11"/>
  <c r="W85" i="11"/>
  <c r="W86" i="11"/>
  <c r="W87" i="11"/>
  <c r="W88" i="11"/>
  <c r="W89" i="11"/>
  <c r="W90" i="11"/>
  <c r="W91" i="11"/>
  <c r="W92" i="11"/>
  <c r="W93" i="11"/>
  <c r="W94" i="11"/>
  <c r="W95" i="11"/>
  <c r="W96" i="11"/>
  <c r="W97" i="11"/>
  <c r="W98" i="11"/>
  <c r="W99" i="11"/>
  <c r="W100" i="11"/>
  <c r="W101" i="11"/>
  <c r="W102" i="11"/>
  <c r="W103" i="11"/>
  <c r="W104" i="11"/>
  <c r="W105" i="11"/>
  <c r="W106" i="11"/>
  <c r="W107" i="11"/>
  <c r="W108" i="11"/>
  <c r="W109" i="11"/>
  <c r="W110" i="11"/>
  <c r="W111" i="11"/>
  <c r="W112" i="11"/>
  <c r="W113" i="11"/>
  <c r="W114" i="11"/>
  <c r="W115" i="11"/>
  <c r="W116" i="11"/>
  <c r="W117" i="11"/>
  <c r="W118" i="11"/>
  <c r="W119" i="11"/>
  <c r="W120" i="11"/>
  <c r="W121" i="11"/>
  <c r="W122" i="11"/>
  <c r="W123" i="11"/>
  <c r="W124" i="11"/>
  <c r="W125" i="11"/>
  <c r="W126" i="11"/>
  <c r="W127" i="11"/>
  <c r="W128" i="11"/>
  <c r="W129" i="11"/>
  <c r="W130" i="11"/>
  <c r="W131" i="11"/>
  <c r="W132" i="11"/>
  <c r="W133" i="11"/>
  <c r="W134" i="11"/>
  <c r="W135" i="11"/>
  <c r="W136" i="11"/>
  <c r="W137" i="11"/>
  <c r="W138" i="11"/>
  <c r="W139" i="11"/>
  <c r="W140" i="11"/>
  <c r="W141" i="11"/>
  <c r="W142" i="11"/>
  <c r="W143" i="11"/>
  <c r="W144" i="11"/>
  <c r="W145" i="11"/>
  <c r="W146" i="11"/>
  <c r="W147" i="11"/>
  <c r="W148" i="11"/>
  <c r="W149" i="11"/>
  <c r="W150" i="11"/>
  <c r="W151" i="11"/>
  <c r="W152" i="11"/>
  <c r="W153" i="11"/>
  <c r="W154" i="11"/>
  <c r="W155" i="11"/>
  <c r="W156" i="11"/>
  <c r="W157" i="11"/>
  <c r="W158" i="11"/>
  <c r="W159" i="11"/>
  <c r="W160" i="11"/>
  <c r="W161" i="11"/>
  <c r="W162" i="11"/>
  <c r="W163" i="11"/>
  <c r="W164" i="11"/>
  <c r="W165" i="11"/>
  <c r="W166" i="11"/>
  <c r="W167" i="11"/>
  <c r="W168" i="11"/>
  <c r="W169" i="11"/>
  <c r="W170" i="11"/>
  <c r="W171" i="11"/>
  <c r="W172" i="11"/>
  <c r="W173" i="11"/>
  <c r="W174" i="11"/>
  <c r="W175" i="11"/>
  <c r="W176" i="11"/>
  <c r="W177" i="11"/>
  <c r="W178" i="11"/>
  <c r="W179" i="11"/>
  <c r="W180" i="11"/>
  <c r="W181" i="11"/>
  <c r="W182" i="11"/>
  <c r="W183" i="11"/>
  <c r="W184" i="11"/>
  <c r="W185" i="11"/>
  <c r="W186" i="11"/>
  <c r="W187" i="11"/>
  <c r="W188" i="11"/>
  <c r="W189" i="11"/>
  <c r="W190" i="11"/>
  <c r="W191" i="11"/>
  <c r="W192" i="11"/>
  <c r="W193" i="11"/>
  <c r="W194" i="11"/>
  <c r="W195" i="11"/>
  <c r="W196" i="11"/>
  <c r="W197" i="11"/>
  <c r="W198" i="11"/>
  <c r="W199" i="11"/>
  <c r="W200" i="11"/>
  <c r="W201" i="11"/>
  <c r="W202" i="11"/>
  <c r="W203" i="11"/>
  <c r="W204" i="11"/>
  <c r="W205" i="11"/>
  <c r="W206" i="11"/>
  <c r="W207" i="11"/>
  <c r="W208" i="11"/>
  <c r="W209" i="11"/>
  <c r="W210" i="11"/>
  <c r="W211" i="11"/>
  <c r="W212" i="11"/>
  <c r="W213" i="11"/>
  <c r="W214" i="11"/>
  <c r="W215" i="11"/>
  <c r="W216" i="11"/>
  <c r="W217" i="11"/>
  <c r="W218" i="11"/>
  <c r="W219" i="11"/>
  <c r="W220" i="11"/>
  <c r="W221" i="11"/>
  <c r="W222" i="11"/>
  <c r="W223" i="11"/>
  <c r="W224" i="11"/>
  <c r="W225" i="11"/>
  <c r="W226" i="11"/>
  <c r="W227" i="11"/>
  <c r="W228" i="11"/>
  <c r="W229" i="11"/>
  <c r="W230" i="11"/>
  <c r="W231" i="11"/>
  <c r="W232" i="11"/>
  <c r="W233" i="11"/>
  <c r="W234" i="11"/>
  <c r="W235" i="11"/>
  <c r="W236" i="11"/>
  <c r="W237" i="11"/>
  <c r="W238" i="11"/>
  <c r="W239" i="11"/>
  <c r="W240" i="11"/>
  <c r="W241" i="11"/>
  <c r="W242" i="11"/>
  <c r="W243" i="11"/>
  <c r="W244" i="11"/>
  <c r="W245" i="11"/>
  <c r="W246" i="11"/>
  <c r="W247" i="11"/>
  <c r="W248" i="11"/>
  <c r="W249" i="11"/>
  <c r="W250" i="11"/>
  <c r="W251" i="11"/>
  <c r="W252" i="11"/>
  <c r="W253" i="11"/>
  <c r="W254" i="11"/>
  <c r="W255" i="11"/>
  <c r="W256" i="11"/>
  <c r="W257" i="11"/>
  <c r="W258" i="11"/>
  <c r="H259" i="11" l="1"/>
  <c r="T259" i="11"/>
  <c r="S259" i="11"/>
  <c r="AU11" i="63"/>
  <c r="AU12" i="63"/>
  <c r="AU13" i="63"/>
  <c r="AU14" i="63"/>
  <c r="AU15" i="63"/>
  <c r="AU16" i="63"/>
  <c r="AU17" i="63"/>
  <c r="AU18" i="63"/>
  <c r="AU19" i="63"/>
  <c r="AU20" i="63"/>
  <c r="AU21" i="63"/>
  <c r="AU22" i="63"/>
  <c r="AU23" i="63"/>
  <c r="AU24" i="63"/>
  <c r="AU25" i="63"/>
  <c r="AU26" i="63"/>
  <c r="AU27" i="63"/>
  <c r="AU28" i="63"/>
  <c r="AU29" i="63"/>
  <c r="AU30" i="63"/>
  <c r="AU31" i="63"/>
  <c r="AU32" i="63"/>
  <c r="AU33" i="63"/>
  <c r="AU34" i="63"/>
  <c r="AU35" i="63"/>
  <c r="AU36" i="63"/>
  <c r="AU37" i="63"/>
  <c r="AU38" i="63"/>
  <c r="AU39" i="63"/>
  <c r="AU40" i="63"/>
  <c r="AU41" i="63"/>
  <c r="AU42" i="63"/>
  <c r="AU43" i="63"/>
  <c r="AU44" i="63"/>
  <c r="AU45" i="63"/>
  <c r="AU46" i="63"/>
  <c r="BH46" i="108" s="1"/>
  <c r="AU47" i="63"/>
  <c r="AU48" i="63"/>
  <c r="AU49" i="63"/>
  <c r="AU50" i="63"/>
  <c r="AU51" i="63"/>
  <c r="AU52" i="63"/>
  <c r="AU53" i="63"/>
  <c r="AU54" i="63"/>
  <c r="AU55" i="63"/>
  <c r="AU56" i="63"/>
  <c r="AU57" i="63"/>
  <c r="AU58" i="63"/>
  <c r="AU59" i="63"/>
  <c r="AU60" i="63"/>
  <c r="AU61" i="63"/>
  <c r="AU62" i="63"/>
  <c r="AU63" i="63"/>
  <c r="AU64" i="63"/>
  <c r="AU65" i="63"/>
  <c r="AU66" i="63"/>
  <c r="AU67" i="63"/>
  <c r="AU68" i="63"/>
  <c r="AU69" i="63"/>
  <c r="AU70" i="63"/>
  <c r="AU71" i="63"/>
  <c r="AU72" i="63"/>
  <c r="AU73" i="63"/>
  <c r="AU74" i="63"/>
  <c r="AU75" i="63"/>
  <c r="AU76" i="63"/>
  <c r="AU77" i="63"/>
  <c r="AU78" i="63"/>
  <c r="AU79" i="63"/>
  <c r="AU80" i="63"/>
  <c r="AU81" i="63"/>
  <c r="AU82" i="63"/>
  <c r="AU83" i="63"/>
  <c r="AU84" i="63"/>
  <c r="AU85" i="63"/>
  <c r="AU86" i="63"/>
  <c r="AU87" i="63"/>
  <c r="AU88" i="63"/>
  <c r="AU89" i="63"/>
  <c r="AU90" i="63"/>
  <c r="AU91" i="63"/>
  <c r="AU92" i="63"/>
  <c r="AU93" i="63"/>
  <c r="AU94" i="63"/>
  <c r="AU95" i="63"/>
  <c r="AU96" i="63"/>
  <c r="AU97" i="63"/>
  <c r="AU98" i="63"/>
  <c r="AU99" i="63"/>
  <c r="AU100" i="63"/>
  <c r="AU101" i="63"/>
  <c r="AU102" i="63"/>
  <c r="AU103" i="63"/>
  <c r="AU104" i="63"/>
  <c r="AU105" i="63"/>
  <c r="AU106" i="63"/>
  <c r="AU107" i="63"/>
  <c r="AU108" i="63"/>
  <c r="AU109" i="63"/>
  <c r="AU110" i="63"/>
  <c r="AU111" i="63"/>
  <c r="AU112" i="63"/>
  <c r="AU113" i="63"/>
  <c r="AU114" i="63"/>
  <c r="AU115" i="63"/>
  <c r="AU116" i="63"/>
  <c r="AU117" i="63"/>
  <c r="AU118" i="63"/>
  <c r="AU119" i="63"/>
  <c r="AU120" i="63"/>
  <c r="AU121" i="63"/>
  <c r="AU122" i="63"/>
  <c r="AU123" i="63"/>
  <c r="AU124" i="63"/>
  <c r="AU125" i="63"/>
  <c r="AU126" i="63"/>
  <c r="AU127" i="63"/>
  <c r="AU128" i="63"/>
  <c r="AU129" i="63"/>
  <c r="AU130" i="63"/>
  <c r="AU131" i="63"/>
  <c r="AU132" i="63"/>
  <c r="AU133" i="63"/>
  <c r="AU134" i="63"/>
  <c r="AU135" i="63"/>
  <c r="AU136" i="63"/>
  <c r="AU137" i="63"/>
  <c r="AU138" i="63"/>
  <c r="AU139" i="63"/>
  <c r="AU140" i="63"/>
  <c r="AU141" i="63"/>
  <c r="AU142" i="63"/>
  <c r="AU143" i="63"/>
  <c r="AU144" i="63"/>
  <c r="AU145" i="63"/>
  <c r="AU146" i="63"/>
  <c r="AU147" i="63"/>
  <c r="AU148" i="63"/>
  <c r="AU149" i="63"/>
  <c r="AU150" i="63"/>
  <c r="AU151" i="63"/>
  <c r="AU152" i="63"/>
  <c r="AU153" i="63"/>
  <c r="AU154" i="63"/>
  <c r="AU155" i="63"/>
  <c r="AU156" i="63"/>
  <c r="AU157" i="63"/>
  <c r="AU158" i="63"/>
  <c r="AU159" i="63"/>
  <c r="AU160" i="63"/>
  <c r="AU161" i="63"/>
  <c r="AU162" i="63"/>
  <c r="AU163" i="63"/>
  <c r="AU164" i="63"/>
  <c r="AU165" i="63"/>
  <c r="AU166" i="63"/>
  <c r="AU167" i="63"/>
  <c r="AU168" i="63"/>
  <c r="AU169" i="63"/>
  <c r="AU170" i="63"/>
  <c r="AU171" i="63"/>
  <c r="AU172" i="63"/>
  <c r="AU173" i="63"/>
  <c r="AU174" i="63"/>
  <c r="AU175" i="63"/>
  <c r="AU176" i="63"/>
  <c r="AU177" i="63"/>
  <c r="AU178" i="63"/>
  <c r="AU179" i="63"/>
  <c r="AU180" i="63"/>
  <c r="AU181" i="63"/>
  <c r="AU182" i="63"/>
  <c r="AU183" i="63"/>
  <c r="AU184" i="63"/>
  <c r="AU185" i="63"/>
  <c r="AU186" i="63"/>
  <c r="AU187" i="63"/>
  <c r="AU188" i="63"/>
  <c r="AU189" i="63"/>
  <c r="AU190" i="63"/>
  <c r="AU191" i="63"/>
  <c r="AU192" i="63"/>
  <c r="AU193" i="63"/>
  <c r="AU194" i="63"/>
  <c r="AU195" i="63"/>
  <c r="AU196" i="63"/>
  <c r="AU197" i="63"/>
  <c r="AU198" i="63"/>
  <c r="AU199" i="63"/>
  <c r="AU200" i="63"/>
  <c r="AU201" i="63"/>
  <c r="AU202" i="63"/>
  <c r="AU203" i="63"/>
  <c r="AU204" i="63"/>
  <c r="AU205" i="63"/>
  <c r="AU206" i="63"/>
  <c r="AU207" i="63"/>
  <c r="AU208" i="63"/>
  <c r="AU209" i="63"/>
  <c r="AU210" i="63"/>
  <c r="AU211" i="63"/>
  <c r="AU212" i="63"/>
  <c r="AU213" i="63"/>
  <c r="AU214" i="63"/>
  <c r="AU215" i="63"/>
  <c r="AU216" i="63"/>
  <c r="AU217" i="63"/>
  <c r="AU218" i="63"/>
  <c r="AU219" i="63"/>
  <c r="AU220" i="63"/>
  <c r="AU221" i="63"/>
  <c r="AU222" i="63"/>
  <c r="AU223" i="63"/>
  <c r="AU224" i="63"/>
  <c r="AU225" i="63"/>
  <c r="AU226" i="63"/>
  <c r="AU227" i="63"/>
  <c r="AU228" i="63"/>
  <c r="AU229" i="63"/>
  <c r="AU230" i="63"/>
  <c r="AU231" i="63"/>
  <c r="AU232" i="63"/>
  <c r="AU233" i="63"/>
  <c r="AU234" i="63"/>
  <c r="AU235" i="63"/>
  <c r="AU236" i="63"/>
  <c r="AU237" i="63"/>
  <c r="AU238" i="63"/>
  <c r="AU239" i="63"/>
  <c r="AU240" i="63"/>
  <c r="AU241" i="63"/>
  <c r="AU242" i="63"/>
  <c r="AU243" i="63"/>
  <c r="AU244" i="63"/>
  <c r="AU245" i="63"/>
  <c r="AU246" i="63"/>
  <c r="AU247" i="63"/>
  <c r="AU248" i="63"/>
  <c r="AU249" i="63"/>
  <c r="AU250" i="63"/>
  <c r="AU251" i="63"/>
  <c r="AU252" i="63"/>
  <c r="AU253" i="63"/>
  <c r="AU254" i="63"/>
  <c r="AU255" i="63"/>
  <c r="AU256" i="63"/>
  <c r="AU257" i="63"/>
  <c r="AU258" i="63"/>
  <c r="AU10" i="63"/>
  <c r="AB23" i="32" l="1"/>
  <c r="O101" i="11"/>
  <c r="O102" i="11"/>
  <c r="O103" i="11"/>
  <c r="O104" i="11"/>
  <c r="O105" i="11"/>
  <c r="O106" i="11"/>
  <c r="O107" i="11"/>
  <c r="O108" i="11"/>
  <c r="O109" i="11"/>
  <c r="O110" i="11"/>
  <c r="O111" i="11"/>
  <c r="O112" i="11"/>
  <c r="O113" i="11"/>
  <c r="O114" i="11"/>
  <c r="O115" i="11"/>
  <c r="O116" i="11"/>
  <c r="O117" i="11"/>
  <c r="O118" i="11"/>
  <c r="O119" i="11"/>
  <c r="O120" i="11"/>
  <c r="O121" i="11"/>
  <c r="O122" i="11"/>
  <c r="O123" i="11"/>
  <c r="O124" i="11"/>
  <c r="O125" i="11"/>
  <c r="O126" i="11"/>
  <c r="O127" i="11"/>
  <c r="O128" i="11"/>
  <c r="O129" i="11"/>
  <c r="O130" i="11"/>
  <c r="O131" i="11"/>
  <c r="O132" i="11"/>
  <c r="O133" i="11"/>
  <c r="O134" i="11"/>
  <c r="O135" i="11"/>
  <c r="O136" i="11"/>
  <c r="O137" i="11"/>
  <c r="O138" i="11"/>
  <c r="O139" i="11"/>
  <c r="O140" i="11"/>
  <c r="O141" i="11"/>
  <c r="O142" i="11"/>
  <c r="O143" i="11"/>
  <c r="O144" i="11"/>
  <c r="O145" i="11"/>
  <c r="O146" i="11"/>
  <c r="O147" i="11"/>
  <c r="O148" i="11"/>
  <c r="O149" i="11"/>
  <c r="O150" i="11"/>
  <c r="O151" i="11"/>
  <c r="O152" i="11"/>
  <c r="O153" i="11"/>
  <c r="O154" i="11"/>
  <c r="O155" i="11"/>
  <c r="O156" i="11"/>
  <c r="O157" i="11"/>
  <c r="O158" i="11"/>
  <c r="O159" i="11"/>
  <c r="O160" i="11"/>
  <c r="O161" i="11"/>
  <c r="O162" i="11"/>
  <c r="O163" i="11"/>
  <c r="O164" i="11"/>
  <c r="O165" i="11"/>
  <c r="O166" i="11"/>
  <c r="O167" i="11"/>
  <c r="O168" i="11"/>
  <c r="O169" i="11"/>
  <c r="O170" i="11"/>
  <c r="O171" i="11"/>
  <c r="O172" i="11"/>
  <c r="O173" i="11"/>
  <c r="O174" i="11"/>
  <c r="O175" i="11"/>
  <c r="O176" i="11"/>
  <c r="O177" i="11"/>
  <c r="O178" i="11"/>
  <c r="O179" i="11"/>
  <c r="O180" i="11"/>
  <c r="O181" i="11"/>
  <c r="O182" i="11"/>
  <c r="O183" i="11"/>
  <c r="O184" i="11"/>
  <c r="O185" i="11"/>
  <c r="O186" i="11"/>
  <c r="O187" i="11"/>
  <c r="O188" i="11"/>
  <c r="O189" i="11"/>
  <c r="O190" i="11"/>
  <c r="O191" i="11"/>
  <c r="O192" i="11"/>
  <c r="O193" i="11"/>
  <c r="O194" i="11"/>
  <c r="O195" i="11"/>
  <c r="O196" i="11"/>
  <c r="O197" i="11"/>
  <c r="O198" i="11"/>
  <c r="O199" i="11"/>
  <c r="O200" i="11"/>
  <c r="O201" i="11"/>
  <c r="O202" i="11"/>
  <c r="O203" i="11"/>
  <c r="O204" i="11"/>
  <c r="O205" i="11"/>
  <c r="O206" i="11"/>
  <c r="O207" i="11"/>
  <c r="O208" i="11"/>
  <c r="O209" i="11"/>
  <c r="O210" i="11"/>
  <c r="O211" i="11"/>
  <c r="O212" i="11"/>
  <c r="O213" i="11"/>
  <c r="O214" i="11"/>
  <c r="O215" i="11"/>
  <c r="O216" i="11"/>
  <c r="O217" i="11"/>
  <c r="O218" i="11"/>
  <c r="O219" i="11"/>
  <c r="O220" i="11"/>
  <c r="O221" i="11"/>
  <c r="O222" i="11"/>
  <c r="O223" i="11"/>
  <c r="O224" i="11"/>
  <c r="O225" i="11"/>
  <c r="O226" i="11"/>
  <c r="O227" i="11"/>
  <c r="O228" i="11"/>
  <c r="O229" i="11"/>
  <c r="O230" i="11"/>
  <c r="O231" i="11"/>
  <c r="O232" i="11"/>
  <c r="O233" i="11"/>
  <c r="O234" i="11"/>
  <c r="O235"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I265" i="11"/>
  <c r="C11" i="46" l="1"/>
  <c r="Q103" i="29"/>
  <c r="O103" i="29"/>
  <c r="M103" i="29"/>
  <c r="L103" i="29"/>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52" i="46"/>
  <c r="C53" i="46"/>
  <c r="C54" i="46"/>
  <c r="C55" i="46"/>
  <c r="C56" i="46"/>
  <c r="C57" i="46"/>
  <c r="C58" i="46"/>
  <c r="C59" i="46"/>
  <c r="C60" i="46"/>
  <c r="C61" i="46"/>
  <c r="C62" i="46"/>
  <c r="C63" i="46"/>
  <c r="C64" i="46"/>
  <c r="C65" i="46"/>
  <c r="C66" i="46"/>
  <c r="C67" i="46"/>
  <c r="C68" i="46"/>
  <c r="C69" i="46"/>
  <c r="C70" i="46"/>
  <c r="C71" i="46"/>
  <c r="C72" i="46"/>
  <c r="C73" i="46"/>
  <c r="C74" i="46"/>
  <c r="C75" i="46"/>
  <c r="C76" i="46"/>
  <c r="C77" i="46"/>
  <c r="C78" i="46"/>
  <c r="C79" i="46"/>
  <c r="C80" i="46"/>
  <c r="C81" i="46"/>
  <c r="C82" i="46"/>
  <c r="C83" i="46"/>
  <c r="C84" i="46"/>
  <c r="C85" i="46"/>
  <c r="C86" i="46"/>
  <c r="C87" i="46"/>
  <c r="C88" i="46"/>
  <c r="C89" i="46"/>
  <c r="C90" i="46"/>
  <c r="C91" i="46"/>
  <c r="C92" i="46"/>
  <c r="C93" i="46"/>
  <c r="C94" i="46"/>
  <c r="C95" i="46"/>
  <c r="C96" i="46"/>
  <c r="C97" i="46"/>
  <c r="C98" i="46"/>
  <c r="C99" i="46"/>
  <c r="C100" i="46"/>
  <c r="C101" i="46"/>
  <c r="C102" i="46"/>
  <c r="C103" i="46"/>
  <c r="C104" i="46"/>
  <c r="C105" i="46"/>
  <c r="C106" i="46"/>
  <c r="C107" i="46"/>
  <c r="C108" i="46"/>
  <c r="C109" i="46"/>
  <c r="C110" i="46"/>
  <c r="C111" i="46"/>
  <c r="C112" i="46"/>
  <c r="C113" i="46"/>
  <c r="C114" i="46"/>
  <c r="C115" i="46"/>
  <c r="C116" i="46"/>
  <c r="C117" i="46"/>
  <c r="C118" i="46"/>
  <c r="C119" i="46"/>
  <c r="C120" i="46"/>
  <c r="C121" i="46"/>
  <c r="C122" i="46"/>
  <c r="C123" i="46"/>
  <c r="C124" i="46"/>
  <c r="C125" i="46"/>
  <c r="C126" i="46"/>
  <c r="C127" i="46"/>
  <c r="C128" i="46"/>
  <c r="C129" i="46"/>
  <c r="C130" i="46"/>
  <c r="C131" i="46"/>
  <c r="C132" i="46"/>
  <c r="C133" i="46"/>
  <c r="C134" i="46"/>
  <c r="C135" i="46"/>
  <c r="C136" i="46"/>
  <c r="C137" i="46"/>
  <c r="C138" i="46"/>
  <c r="C139" i="46"/>
  <c r="C140" i="46"/>
  <c r="C141" i="46"/>
  <c r="C142" i="46"/>
  <c r="C143" i="46"/>
  <c r="C144" i="46"/>
  <c r="C145" i="46"/>
  <c r="C146" i="46"/>
  <c r="C147" i="46"/>
  <c r="C148" i="46"/>
  <c r="C149" i="46"/>
  <c r="C150" i="46"/>
  <c r="C151" i="46"/>
  <c r="C152" i="46"/>
  <c r="C153" i="46"/>
  <c r="C154" i="46"/>
  <c r="C155" i="46"/>
  <c r="C156" i="46"/>
  <c r="C157" i="46"/>
  <c r="C158" i="46"/>
  <c r="C159" i="46"/>
  <c r="C160" i="46"/>
  <c r="C161" i="46"/>
  <c r="C162" i="46"/>
  <c r="C163" i="46"/>
  <c r="C164" i="46"/>
  <c r="C165" i="46"/>
  <c r="C166" i="46"/>
  <c r="C167" i="46"/>
  <c r="C168" i="46"/>
  <c r="C169" i="46"/>
  <c r="C170" i="46"/>
  <c r="C171" i="46"/>
  <c r="C172" i="46"/>
  <c r="C173" i="46"/>
  <c r="C174" i="46"/>
  <c r="C175" i="46"/>
  <c r="C176" i="46"/>
  <c r="C177" i="46"/>
  <c r="C178" i="46"/>
  <c r="C179" i="46"/>
  <c r="C180" i="46"/>
  <c r="C181" i="46"/>
  <c r="C182" i="46"/>
  <c r="C183" i="46"/>
  <c r="C184" i="46"/>
  <c r="C185" i="46"/>
  <c r="C186" i="46"/>
  <c r="C187" i="46"/>
  <c r="C188" i="46"/>
  <c r="C189" i="46"/>
  <c r="C190" i="46"/>
  <c r="C191" i="46"/>
  <c r="C192" i="46"/>
  <c r="C193" i="46"/>
  <c r="C194" i="46"/>
  <c r="C195" i="46"/>
  <c r="C196" i="46"/>
  <c r="C197" i="46"/>
  <c r="C198" i="46"/>
  <c r="C199" i="46"/>
  <c r="C200" i="46"/>
  <c r="C201" i="46"/>
  <c r="C202" i="46"/>
  <c r="C203" i="46"/>
  <c r="C204" i="46"/>
  <c r="C205" i="46"/>
  <c r="C206" i="46"/>
  <c r="C207" i="46"/>
  <c r="C208" i="46"/>
  <c r="C209" i="46"/>
  <c r="C210" i="46"/>
  <c r="C211" i="46"/>
  <c r="C212" i="46"/>
  <c r="C213" i="46"/>
  <c r="C214" i="46"/>
  <c r="C215" i="46"/>
  <c r="C216" i="46"/>
  <c r="C217" i="46"/>
  <c r="C218" i="46"/>
  <c r="C219" i="46"/>
  <c r="C220" i="46"/>
  <c r="C221" i="46"/>
  <c r="C222" i="46"/>
  <c r="C223" i="46"/>
  <c r="C224" i="46"/>
  <c r="C225" i="46"/>
  <c r="C226" i="46"/>
  <c r="C227" i="46"/>
  <c r="C228" i="46"/>
  <c r="C229" i="46"/>
  <c r="C230" i="46"/>
  <c r="C231" i="46"/>
  <c r="C232" i="46"/>
  <c r="C233" i="46"/>
  <c r="C234" i="46"/>
  <c r="C235" i="46"/>
  <c r="C236" i="46"/>
  <c r="C237" i="46"/>
  <c r="C238" i="46"/>
  <c r="C239" i="46"/>
  <c r="C240" i="46"/>
  <c r="C241" i="46"/>
  <c r="C242" i="46"/>
  <c r="C243" i="46"/>
  <c r="C244" i="46"/>
  <c r="C245" i="46"/>
  <c r="C246" i="46"/>
  <c r="C247" i="46"/>
  <c r="C248" i="46"/>
  <c r="C249" i="46"/>
  <c r="C250" i="46"/>
  <c r="C251" i="46"/>
  <c r="C252" i="46"/>
  <c r="C253" i="46"/>
  <c r="C254" i="46"/>
  <c r="C255" i="46"/>
  <c r="C256" i="46"/>
  <c r="Y7" i="28"/>
  <c r="Z7" i="28" s="1"/>
  <c r="S12" i="63" l="1"/>
  <c r="S13" i="63"/>
  <c r="S14" i="63"/>
  <c r="S15" i="63"/>
  <c r="S16" i="63"/>
  <c r="S17" i="63"/>
  <c r="S18" i="63"/>
  <c r="S19" i="63"/>
  <c r="S20" i="63"/>
  <c r="S21" i="63"/>
  <c r="S22" i="63"/>
  <c r="S23" i="63"/>
  <c r="S24" i="63"/>
  <c r="S25" i="63"/>
  <c r="S26" i="63"/>
  <c r="S27" i="63"/>
  <c r="S28" i="63"/>
  <c r="S29" i="63"/>
  <c r="S30" i="63"/>
  <c r="S31" i="63"/>
  <c r="S32" i="63"/>
  <c r="S33" i="63"/>
  <c r="S34" i="63"/>
  <c r="S35" i="63"/>
  <c r="S36" i="63"/>
  <c r="S37" i="63"/>
  <c r="S38" i="63"/>
  <c r="S39" i="63"/>
  <c r="S40" i="63"/>
  <c r="S41" i="63"/>
  <c r="S42" i="63"/>
  <c r="S43" i="63"/>
  <c r="S44" i="63"/>
  <c r="S45" i="63"/>
  <c r="S46" i="63"/>
  <c r="S47" i="63"/>
  <c r="S48" i="63"/>
  <c r="S49" i="63"/>
  <c r="S50" i="63"/>
  <c r="S51" i="63"/>
  <c r="S52" i="63"/>
  <c r="S53" i="63"/>
  <c r="S54" i="63"/>
  <c r="S55" i="63"/>
  <c r="S56" i="63"/>
  <c r="S57" i="63"/>
  <c r="S58" i="63"/>
  <c r="S59" i="63"/>
  <c r="S60" i="63"/>
  <c r="S61" i="63"/>
  <c r="S62" i="63"/>
  <c r="S63" i="63"/>
  <c r="S64" i="63"/>
  <c r="S65" i="63"/>
  <c r="S66" i="63"/>
  <c r="S67" i="63"/>
  <c r="S68" i="63"/>
  <c r="S69" i="63"/>
  <c r="S70" i="63"/>
  <c r="S71" i="63"/>
  <c r="S72" i="63"/>
  <c r="S73" i="63"/>
  <c r="S74" i="63"/>
  <c r="S75" i="63"/>
  <c r="S76" i="63"/>
  <c r="S77" i="63"/>
  <c r="S78" i="63"/>
  <c r="S79" i="63"/>
  <c r="S80" i="63"/>
  <c r="S81" i="63"/>
  <c r="S82" i="63"/>
  <c r="S83" i="63"/>
  <c r="S84" i="63"/>
  <c r="S85" i="63"/>
  <c r="S86" i="63"/>
  <c r="S87" i="63"/>
  <c r="S88" i="63"/>
  <c r="S89" i="63"/>
  <c r="S90" i="63"/>
  <c r="S91" i="63"/>
  <c r="S92" i="63"/>
  <c r="S93" i="63"/>
  <c r="S94" i="63"/>
  <c r="S95" i="63"/>
  <c r="S96" i="63"/>
  <c r="S97" i="63"/>
  <c r="S98" i="63"/>
  <c r="S99" i="63"/>
  <c r="S100" i="63"/>
  <c r="S101" i="63"/>
  <c r="S102" i="63"/>
  <c r="S103" i="63"/>
  <c r="S104" i="63"/>
  <c r="S105" i="63"/>
  <c r="S106" i="63"/>
  <c r="S107" i="63"/>
  <c r="S108" i="63"/>
  <c r="S109" i="63"/>
  <c r="S110" i="63"/>
  <c r="S111" i="63"/>
  <c r="S112" i="63"/>
  <c r="S113" i="63"/>
  <c r="S114" i="63"/>
  <c r="S115" i="63"/>
  <c r="S116" i="63"/>
  <c r="S117" i="63"/>
  <c r="S118" i="63"/>
  <c r="S119" i="63"/>
  <c r="S120" i="63"/>
  <c r="S121" i="63"/>
  <c r="S122" i="63"/>
  <c r="S123" i="63"/>
  <c r="S124" i="63"/>
  <c r="S125" i="63"/>
  <c r="S126" i="63"/>
  <c r="S127" i="63"/>
  <c r="S128" i="63"/>
  <c r="S129" i="63"/>
  <c r="S130" i="63"/>
  <c r="S131" i="63"/>
  <c r="S132" i="63"/>
  <c r="S133" i="63"/>
  <c r="S134" i="63"/>
  <c r="S135" i="63"/>
  <c r="S136" i="63"/>
  <c r="S137" i="63"/>
  <c r="S138" i="63"/>
  <c r="S139" i="63"/>
  <c r="S140" i="63"/>
  <c r="S141" i="63"/>
  <c r="S142" i="63"/>
  <c r="S143" i="63"/>
  <c r="S144" i="63"/>
  <c r="S145" i="63"/>
  <c r="S146" i="63"/>
  <c r="S147" i="63"/>
  <c r="S148" i="63"/>
  <c r="S149" i="63"/>
  <c r="S150" i="63"/>
  <c r="S151" i="63"/>
  <c r="S152" i="63"/>
  <c r="S153" i="63"/>
  <c r="S154" i="63"/>
  <c r="S155" i="63"/>
  <c r="S156" i="63"/>
  <c r="S157" i="63"/>
  <c r="S158" i="63"/>
  <c r="S159" i="63"/>
  <c r="S160" i="63"/>
  <c r="S161" i="63"/>
  <c r="S162" i="63"/>
  <c r="S163" i="63"/>
  <c r="S164" i="63"/>
  <c r="S165" i="63"/>
  <c r="S166" i="63"/>
  <c r="S167" i="63"/>
  <c r="S168" i="63"/>
  <c r="S169" i="63"/>
  <c r="S170" i="63"/>
  <c r="S171" i="63"/>
  <c r="S172" i="63"/>
  <c r="S173" i="63"/>
  <c r="S174" i="63"/>
  <c r="S175" i="63"/>
  <c r="S176" i="63"/>
  <c r="S177" i="63"/>
  <c r="S178" i="63"/>
  <c r="S179" i="63"/>
  <c r="S180" i="63"/>
  <c r="S181" i="63"/>
  <c r="S182" i="63"/>
  <c r="S183" i="63"/>
  <c r="S184" i="63"/>
  <c r="S185" i="63"/>
  <c r="S186" i="63"/>
  <c r="S187" i="63"/>
  <c r="S188" i="63"/>
  <c r="S189" i="63"/>
  <c r="S190" i="63"/>
  <c r="S191" i="63"/>
  <c r="S192" i="63"/>
  <c r="S193" i="63"/>
  <c r="S194" i="63"/>
  <c r="S195" i="63"/>
  <c r="S196" i="63"/>
  <c r="S197" i="63"/>
  <c r="S198" i="63"/>
  <c r="S199" i="63"/>
  <c r="S200" i="63"/>
  <c r="S201" i="63"/>
  <c r="S202" i="63"/>
  <c r="S203" i="63"/>
  <c r="S204" i="63"/>
  <c r="S205" i="63"/>
  <c r="S206" i="63"/>
  <c r="S207" i="63"/>
  <c r="S208" i="63"/>
  <c r="S209" i="63"/>
  <c r="S210" i="63"/>
  <c r="S211" i="63"/>
  <c r="S212" i="63"/>
  <c r="S213" i="63"/>
  <c r="S214" i="63"/>
  <c r="S215" i="63"/>
  <c r="S216" i="63"/>
  <c r="S217" i="63"/>
  <c r="S218" i="63"/>
  <c r="S219" i="63"/>
  <c r="S220" i="63"/>
  <c r="S221" i="63"/>
  <c r="S222" i="63"/>
  <c r="S223" i="63"/>
  <c r="S224" i="63"/>
  <c r="S225" i="63"/>
  <c r="S226" i="63"/>
  <c r="S227" i="63"/>
  <c r="S228" i="63"/>
  <c r="S229" i="63"/>
  <c r="S230" i="63"/>
  <c r="S231" i="63"/>
  <c r="S232" i="63"/>
  <c r="S233" i="63"/>
  <c r="S234" i="63"/>
  <c r="S235" i="63"/>
  <c r="S236" i="63"/>
  <c r="S237" i="63"/>
  <c r="S238" i="63"/>
  <c r="S239" i="63"/>
  <c r="S240" i="63"/>
  <c r="S241" i="63"/>
  <c r="S242" i="63"/>
  <c r="S243" i="63"/>
  <c r="S244" i="63"/>
  <c r="S245" i="63"/>
  <c r="S246" i="63"/>
  <c r="S247" i="63"/>
  <c r="S248" i="63"/>
  <c r="S249" i="63"/>
  <c r="S250" i="63"/>
  <c r="S251" i="63"/>
  <c r="S252" i="63"/>
  <c r="S253" i="63"/>
  <c r="S254" i="63"/>
  <c r="S255" i="63"/>
  <c r="S256" i="63"/>
  <c r="S257" i="63"/>
  <c r="BG34" i="108"/>
  <c r="BG39" i="108"/>
  <c r="BG40" i="108"/>
  <c r="BG41" i="108"/>
  <c r="BJ13" i="108" l="1"/>
  <c r="BJ14" i="108"/>
  <c r="BJ17" i="108"/>
  <c r="BJ18" i="108"/>
  <c r="BJ21" i="108"/>
  <c r="BJ25" i="108"/>
  <c r="BJ26" i="108"/>
  <c r="BJ29" i="108"/>
  <c r="BJ33" i="108"/>
  <c r="BJ34" i="108"/>
  <c r="BJ37" i="108"/>
  <c r="BJ41" i="108"/>
  <c r="BJ42" i="108"/>
  <c r="BJ45" i="108"/>
  <c r="BJ49" i="108"/>
  <c r="BJ50" i="108"/>
  <c r="BJ53" i="108"/>
  <c r="BJ57" i="108"/>
  <c r="BJ58" i="108"/>
  <c r="BJ61" i="108"/>
  <c r="BJ65" i="108"/>
  <c r="BJ66" i="108"/>
  <c r="BJ69" i="108"/>
  <c r="BJ73" i="108"/>
  <c r="BJ74" i="108"/>
  <c r="BJ77" i="108"/>
  <c r="BJ81" i="108"/>
  <c r="BJ82" i="108"/>
  <c r="BJ85" i="108"/>
  <c r="BJ89" i="108"/>
  <c r="BJ90" i="108"/>
  <c r="BJ93" i="108"/>
  <c r="BJ97" i="108"/>
  <c r="BJ98" i="108"/>
  <c r="BJ101" i="108"/>
  <c r="BJ105" i="108"/>
  <c r="BJ106" i="108"/>
  <c r="BJ109" i="108"/>
  <c r="BJ113" i="108"/>
  <c r="BJ114" i="108"/>
  <c r="BJ117" i="108"/>
  <c r="BJ121" i="108"/>
  <c r="BJ122" i="108"/>
  <c r="BJ125" i="108"/>
  <c r="BJ129" i="108"/>
  <c r="BJ130" i="108"/>
  <c r="BJ133" i="108"/>
  <c r="BJ137" i="108"/>
  <c r="BJ138" i="108"/>
  <c r="BJ141" i="108"/>
  <c r="BJ145" i="108"/>
  <c r="BJ146" i="108"/>
  <c r="BJ149" i="108"/>
  <c r="BJ153" i="108"/>
  <c r="BJ154" i="108"/>
  <c r="BJ157" i="108"/>
  <c r="BJ161" i="108"/>
  <c r="BJ162" i="108"/>
  <c r="BJ165" i="108"/>
  <c r="BJ169" i="108"/>
  <c r="BJ170" i="108"/>
  <c r="BJ173" i="108"/>
  <c r="BJ177" i="108"/>
  <c r="BJ178" i="108"/>
  <c r="BJ181" i="108"/>
  <c r="BJ185" i="108"/>
  <c r="BJ186" i="108"/>
  <c r="BJ189" i="108"/>
  <c r="BJ193" i="108"/>
  <c r="BJ194" i="108"/>
  <c r="BJ197" i="108"/>
  <c r="BJ201" i="108"/>
  <c r="BJ202" i="108"/>
  <c r="BJ205" i="108"/>
  <c r="BJ209" i="108"/>
  <c r="BJ210" i="108"/>
  <c r="BJ213" i="108"/>
  <c r="BJ217" i="108"/>
  <c r="BJ218" i="108"/>
  <c r="BJ221" i="108"/>
  <c r="BJ225" i="108"/>
  <c r="BJ226" i="108"/>
  <c r="BJ229" i="108"/>
  <c r="BJ233" i="108"/>
  <c r="BJ234" i="108"/>
  <c r="BJ237" i="108"/>
  <c r="BJ241" i="108"/>
  <c r="BJ242" i="108"/>
  <c r="BJ245" i="108"/>
  <c r="BJ249" i="108"/>
  <c r="BJ250" i="108"/>
  <c r="BJ253" i="108"/>
  <c r="BJ257" i="108"/>
  <c r="BJ258" i="108"/>
  <c r="BJ259" i="108"/>
  <c r="BJ11" i="108"/>
  <c r="BJ12" i="108"/>
  <c r="BJ15" i="108"/>
  <c r="BJ16" i="108"/>
  <c r="BJ19" i="108"/>
  <c r="BJ20" i="108"/>
  <c r="BJ22" i="108"/>
  <c r="BJ23" i="108"/>
  <c r="BJ24" i="108"/>
  <c r="BJ27" i="108"/>
  <c r="BJ28" i="108"/>
  <c r="BJ30" i="108"/>
  <c r="BJ31" i="108"/>
  <c r="BJ32" i="108"/>
  <c r="BJ35" i="108"/>
  <c r="BJ36" i="108"/>
  <c r="BJ38" i="108"/>
  <c r="BJ39" i="108"/>
  <c r="BJ40" i="108"/>
  <c r="BJ43" i="108"/>
  <c r="BJ44" i="108"/>
  <c r="BJ46" i="108"/>
  <c r="BJ47" i="108"/>
  <c r="BJ48" i="108"/>
  <c r="BJ51" i="108"/>
  <c r="BJ52" i="108"/>
  <c r="BJ54" i="108"/>
  <c r="BJ55" i="108"/>
  <c r="BJ56" i="108"/>
  <c r="BJ59" i="108"/>
  <c r="BJ60" i="108"/>
  <c r="BJ62" i="108"/>
  <c r="BJ63" i="108"/>
  <c r="BJ64" i="108"/>
  <c r="BJ67" i="108"/>
  <c r="BJ68" i="108"/>
  <c r="BJ70" i="108"/>
  <c r="BJ71" i="108"/>
  <c r="BJ72" i="108"/>
  <c r="BJ75" i="108"/>
  <c r="BJ76" i="108"/>
  <c r="BJ78" i="108"/>
  <c r="BJ79" i="108"/>
  <c r="BJ80" i="108"/>
  <c r="BJ83" i="108"/>
  <c r="BJ84" i="108"/>
  <c r="BJ86" i="108"/>
  <c r="BJ87" i="108"/>
  <c r="BJ88" i="108"/>
  <c r="BJ91" i="108"/>
  <c r="BJ92" i="108"/>
  <c r="BJ94" i="108"/>
  <c r="BJ95" i="108"/>
  <c r="BJ96" i="108"/>
  <c r="BJ99" i="108"/>
  <c r="BJ100" i="108"/>
  <c r="BJ102" i="108"/>
  <c r="BJ103" i="108"/>
  <c r="BJ104" i="108"/>
  <c r="BJ107" i="108"/>
  <c r="BJ108" i="108"/>
  <c r="BJ110" i="108"/>
  <c r="BJ111" i="108"/>
  <c r="BJ112" i="108"/>
  <c r="BJ115" i="108"/>
  <c r="BJ116" i="108"/>
  <c r="BJ118" i="108"/>
  <c r="BJ119" i="108"/>
  <c r="BJ120" i="108"/>
  <c r="BJ123" i="108"/>
  <c r="BJ124" i="108"/>
  <c r="BJ126" i="108"/>
  <c r="BJ127" i="108"/>
  <c r="BJ128" i="108"/>
  <c r="BJ131" i="108"/>
  <c r="BJ132" i="108"/>
  <c r="BJ134" i="108"/>
  <c r="BJ135" i="108"/>
  <c r="BJ136" i="108"/>
  <c r="BJ139" i="108"/>
  <c r="BJ140" i="108"/>
  <c r="BJ142" i="108"/>
  <c r="BJ143" i="108"/>
  <c r="BJ144" i="108"/>
  <c r="BJ147" i="108"/>
  <c r="BJ148" i="108"/>
  <c r="BJ150" i="108"/>
  <c r="BJ151" i="108"/>
  <c r="BJ152" i="108"/>
  <c r="BJ155" i="108"/>
  <c r="BJ156" i="108"/>
  <c r="BJ158" i="108"/>
  <c r="BJ159" i="108"/>
  <c r="BJ160" i="108"/>
  <c r="BJ163" i="108"/>
  <c r="BJ164" i="108"/>
  <c r="BJ166" i="108"/>
  <c r="BJ167" i="108"/>
  <c r="BJ168" i="108"/>
  <c r="BJ171" i="108"/>
  <c r="BJ172" i="108"/>
  <c r="BJ174" i="108"/>
  <c r="BJ175" i="108"/>
  <c r="BJ176" i="108"/>
  <c r="BJ179" i="108"/>
  <c r="BJ180" i="108"/>
  <c r="BJ182" i="108"/>
  <c r="BJ183" i="108"/>
  <c r="BJ184" i="108"/>
  <c r="BJ187" i="108"/>
  <c r="BJ188" i="108"/>
  <c r="BJ190" i="108"/>
  <c r="BJ191" i="108"/>
  <c r="BJ192" i="108"/>
  <c r="BJ195" i="108"/>
  <c r="BJ196" i="108"/>
  <c r="BJ198" i="108"/>
  <c r="BJ199" i="108"/>
  <c r="BJ200" i="108"/>
  <c r="BJ203" i="108"/>
  <c r="BJ204" i="108"/>
  <c r="BJ206" i="108"/>
  <c r="BJ207" i="108"/>
  <c r="BJ208" i="108"/>
  <c r="BJ211" i="108"/>
  <c r="BJ212" i="108"/>
  <c r="BJ214" i="108"/>
  <c r="BJ215" i="108"/>
  <c r="BJ216" i="108"/>
  <c r="BJ219" i="108"/>
  <c r="BJ220" i="108"/>
  <c r="BJ222" i="108"/>
  <c r="BJ223" i="108"/>
  <c r="BJ224" i="108"/>
  <c r="BJ227" i="108"/>
  <c r="BJ228" i="108"/>
  <c r="BJ230" i="108"/>
  <c r="BJ231" i="108"/>
  <c r="BJ232" i="108"/>
  <c r="BJ235" i="108"/>
  <c r="BJ236" i="108"/>
  <c r="BJ238" i="108"/>
  <c r="BJ239" i="108"/>
  <c r="BJ240" i="108"/>
  <c r="BJ243" i="108"/>
  <c r="BJ244" i="108"/>
  <c r="BJ246" i="108"/>
  <c r="BJ247" i="108"/>
  <c r="BJ248" i="108"/>
  <c r="BJ251" i="108"/>
  <c r="BJ252" i="108"/>
  <c r="BJ254" i="108"/>
  <c r="BJ255" i="108"/>
  <c r="BJ256" i="108"/>
  <c r="AE43" i="108"/>
  <c r="AE11" i="108"/>
  <c r="AE12" i="108"/>
  <c r="AE13" i="108"/>
  <c r="AE14" i="108"/>
  <c r="AE15" i="108"/>
  <c r="AE16" i="108"/>
  <c r="AE17" i="108"/>
  <c r="AE18" i="108"/>
  <c r="AE19" i="108"/>
  <c r="AE20" i="108"/>
  <c r="AE21" i="108"/>
  <c r="AE22" i="108"/>
  <c r="AE23" i="108"/>
  <c r="AE24" i="108"/>
  <c r="AE25" i="108"/>
  <c r="AE26" i="108"/>
  <c r="AE27" i="108"/>
  <c r="AE28" i="108"/>
  <c r="AE29" i="108"/>
  <c r="AE30" i="108"/>
  <c r="AE31" i="108"/>
  <c r="AE32" i="108"/>
  <c r="AE33" i="108"/>
  <c r="AE34" i="108"/>
  <c r="AE35" i="108"/>
  <c r="AE36" i="108"/>
  <c r="AE37" i="108"/>
  <c r="AE38" i="108"/>
  <c r="AE39" i="108"/>
  <c r="AE40" i="108"/>
  <c r="AE41" i="108"/>
  <c r="AE42" i="108"/>
  <c r="AE44" i="108"/>
  <c r="AE45" i="108"/>
  <c r="AE46" i="108"/>
  <c r="AE47" i="108"/>
  <c r="AE48" i="108"/>
  <c r="AE49" i="108"/>
  <c r="AE50" i="108"/>
  <c r="AE51" i="108"/>
  <c r="AE52" i="108"/>
  <c r="AE53" i="108"/>
  <c r="AE54" i="108"/>
  <c r="AE55" i="108"/>
  <c r="AE56" i="108"/>
  <c r="AE57" i="108"/>
  <c r="AE58" i="108"/>
  <c r="AE59" i="108"/>
  <c r="AE60" i="108"/>
  <c r="AE61" i="108"/>
  <c r="AE62" i="108"/>
  <c r="AE63" i="108"/>
  <c r="AE64" i="108"/>
  <c r="AE65" i="108"/>
  <c r="AE66" i="108"/>
  <c r="AE67" i="108"/>
  <c r="AE68" i="108"/>
  <c r="AE69" i="108"/>
  <c r="AE70" i="108"/>
  <c r="AE71" i="108"/>
  <c r="AE72" i="108"/>
  <c r="AE73" i="108"/>
  <c r="AE74" i="108"/>
  <c r="AE75" i="108"/>
  <c r="AE76" i="108"/>
  <c r="AE77" i="108"/>
  <c r="AE78" i="108"/>
  <c r="AE79" i="108"/>
  <c r="AE80" i="108"/>
  <c r="AE81" i="108"/>
  <c r="AE82" i="108"/>
  <c r="AE83" i="108"/>
  <c r="AE84" i="108"/>
  <c r="AE85" i="108"/>
  <c r="AE86" i="108"/>
  <c r="AE87" i="108"/>
  <c r="AE88" i="108"/>
  <c r="AE89" i="108"/>
  <c r="AE90" i="108"/>
  <c r="AE91" i="108"/>
  <c r="AE92" i="108"/>
  <c r="AE93" i="108"/>
  <c r="AE94" i="108"/>
  <c r="AE95" i="108"/>
  <c r="AE96" i="108"/>
  <c r="AE97" i="108"/>
  <c r="AE98" i="108"/>
  <c r="AE99" i="108"/>
  <c r="AE100" i="108"/>
  <c r="AE101" i="108"/>
  <c r="AE102" i="108"/>
  <c r="AE103" i="108"/>
  <c r="AE104" i="108"/>
  <c r="AE105" i="108"/>
  <c r="AE106" i="108"/>
  <c r="AE107" i="108"/>
  <c r="AE108" i="108"/>
  <c r="AE109" i="108"/>
  <c r="AE110" i="108"/>
  <c r="AE111" i="108"/>
  <c r="AE112" i="108"/>
  <c r="AE113" i="108"/>
  <c r="AE114" i="108"/>
  <c r="AE115" i="108"/>
  <c r="AE116" i="108"/>
  <c r="AE117" i="108"/>
  <c r="AE118" i="108"/>
  <c r="AE119" i="108"/>
  <c r="AE120" i="108"/>
  <c r="AE121" i="108"/>
  <c r="AE122" i="108"/>
  <c r="AE123" i="108"/>
  <c r="AE124" i="108"/>
  <c r="AE125" i="108"/>
  <c r="AE126" i="108"/>
  <c r="AE127" i="108"/>
  <c r="AE128" i="108"/>
  <c r="AE129" i="108"/>
  <c r="AE130" i="108"/>
  <c r="AE131" i="108"/>
  <c r="AE132" i="108"/>
  <c r="AE133" i="108"/>
  <c r="AE134" i="108"/>
  <c r="AE135" i="108"/>
  <c r="AE136" i="108"/>
  <c r="AE137" i="108"/>
  <c r="AE138" i="108"/>
  <c r="AE139" i="108"/>
  <c r="AE140" i="108"/>
  <c r="AE141" i="108"/>
  <c r="AE142" i="108"/>
  <c r="AE143" i="108"/>
  <c r="AE144" i="108"/>
  <c r="AE145" i="108"/>
  <c r="AE146" i="108"/>
  <c r="AE147" i="108"/>
  <c r="AE148" i="108"/>
  <c r="AE149" i="108"/>
  <c r="AE150" i="108"/>
  <c r="AE151" i="108"/>
  <c r="AE152" i="108"/>
  <c r="AE153" i="108"/>
  <c r="AE154" i="108"/>
  <c r="AE155" i="108"/>
  <c r="AE156" i="108"/>
  <c r="AE157" i="108"/>
  <c r="AE158" i="108"/>
  <c r="AE159" i="108"/>
  <c r="AE160" i="108"/>
  <c r="AE161" i="108"/>
  <c r="AE162" i="108"/>
  <c r="AE163" i="108"/>
  <c r="AE164" i="108"/>
  <c r="AE165" i="108"/>
  <c r="AE166" i="108"/>
  <c r="AE167" i="108"/>
  <c r="AE168" i="108"/>
  <c r="AE169" i="108"/>
  <c r="AE170" i="108"/>
  <c r="AE171" i="108"/>
  <c r="AE172" i="108"/>
  <c r="AE173" i="108"/>
  <c r="AE174" i="108"/>
  <c r="AE175" i="108"/>
  <c r="AE176" i="108"/>
  <c r="AE177" i="108"/>
  <c r="AE178" i="108"/>
  <c r="AE179" i="108"/>
  <c r="AE180" i="108"/>
  <c r="AE181" i="108"/>
  <c r="AE182" i="108"/>
  <c r="AE183" i="108"/>
  <c r="AE184" i="108"/>
  <c r="AE185" i="108"/>
  <c r="AE186" i="108"/>
  <c r="AE187" i="108"/>
  <c r="AE188" i="108"/>
  <c r="AE189" i="108"/>
  <c r="AE190" i="108"/>
  <c r="AE191" i="108"/>
  <c r="AE192" i="108"/>
  <c r="AE193" i="108"/>
  <c r="AE194" i="108"/>
  <c r="AE195" i="108"/>
  <c r="AE196" i="108"/>
  <c r="AE197" i="108"/>
  <c r="AE198" i="108"/>
  <c r="AE199" i="108"/>
  <c r="AE200" i="108"/>
  <c r="AE201" i="108"/>
  <c r="AE202" i="108"/>
  <c r="AE203" i="108"/>
  <c r="AE204" i="108"/>
  <c r="AE205" i="108"/>
  <c r="AE206" i="108"/>
  <c r="AE207" i="108"/>
  <c r="AE208" i="108"/>
  <c r="AE209" i="108"/>
  <c r="AE210" i="108"/>
  <c r="AE211" i="108"/>
  <c r="AE212" i="108"/>
  <c r="AE213" i="108"/>
  <c r="AE214" i="108"/>
  <c r="AE215" i="108"/>
  <c r="AE216" i="108"/>
  <c r="AE217" i="108"/>
  <c r="AE218" i="108"/>
  <c r="AE219" i="108"/>
  <c r="AE220" i="108"/>
  <c r="AE221" i="108"/>
  <c r="AE222" i="108"/>
  <c r="AE223" i="108"/>
  <c r="AE224" i="108"/>
  <c r="AE225" i="108"/>
  <c r="AE226" i="108"/>
  <c r="AE227" i="108"/>
  <c r="AE228" i="108"/>
  <c r="AE229" i="108"/>
  <c r="AE230" i="108"/>
  <c r="AE231" i="108"/>
  <c r="AE232" i="108"/>
  <c r="AE233" i="108"/>
  <c r="AE234" i="108"/>
  <c r="AE235" i="108"/>
  <c r="AE236" i="108"/>
  <c r="AE237" i="108"/>
  <c r="AE238" i="108"/>
  <c r="AE239" i="108"/>
  <c r="AE240" i="108"/>
  <c r="AE241" i="108"/>
  <c r="AE242" i="108"/>
  <c r="AE243" i="108"/>
  <c r="AE244" i="108"/>
  <c r="AE245" i="108"/>
  <c r="AE246" i="108"/>
  <c r="AE247" i="108"/>
  <c r="AE248" i="108"/>
  <c r="AE249" i="108"/>
  <c r="AE250" i="108"/>
  <c r="AE251" i="108"/>
  <c r="AE252" i="108"/>
  <c r="AE253" i="108"/>
  <c r="AE254" i="108"/>
  <c r="AE255" i="108"/>
  <c r="AE256" i="108"/>
  <c r="AE257" i="108"/>
  <c r="AE258" i="108"/>
  <c r="AE259" i="108"/>
  <c r="AE10" i="108"/>
  <c r="AC10" i="108"/>
  <c r="AV11" i="63"/>
  <c r="AV12" i="63"/>
  <c r="AV13" i="63"/>
  <c r="AV14" i="63"/>
  <c r="AV15" i="63"/>
  <c r="AV16" i="63"/>
  <c r="AV17" i="63"/>
  <c r="AV18" i="63"/>
  <c r="AV19" i="63"/>
  <c r="AV20" i="63"/>
  <c r="AV21" i="63"/>
  <c r="AV22" i="63"/>
  <c r="AV23" i="63"/>
  <c r="AV24" i="63"/>
  <c r="AV25" i="63"/>
  <c r="AV26" i="63"/>
  <c r="AV27" i="63"/>
  <c r="AV28" i="63"/>
  <c r="AV29" i="63"/>
  <c r="AV30" i="63"/>
  <c r="AV31" i="63"/>
  <c r="AV32" i="63"/>
  <c r="AV33" i="63"/>
  <c r="AV34" i="63"/>
  <c r="AV35" i="63"/>
  <c r="AV36" i="63"/>
  <c r="AV37" i="63"/>
  <c r="AV38" i="63"/>
  <c r="AV39" i="63"/>
  <c r="AV40" i="63"/>
  <c r="AV41" i="63"/>
  <c r="AV42" i="63"/>
  <c r="AV43" i="63"/>
  <c r="AV44" i="63"/>
  <c r="AV45" i="63"/>
  <c r="AV46" i="63"/>
  <c r="AV47" i="63"/>
  <c r="AV48" i="63"/>
  <c r="AV49" i="63"/>
  <c r="AV50" i="63"/>
  <c r="AV51" i="63"/>
  <c r="AV52" i="63"/>
  <c r="AV53" i="63"/>
  <c r="AV54" i="63"/>
  <c r="AV55" i="63"/>
  <c r="AV56" i="63"/>
  <c r="AV57" i="63"/>
  <c r="AV58" i="63"/>
  <c r="AV59" i="63"/>
  <c r="AV60" i="63"/>
  <c r="AV61" i="63"/>
  <c r="AV62" i="63"/>
  <c r="AV63" i="63"/>
  <c r="AV64" i="63"/>
  <c r="AV65" i="63"/>
  <c r="AV66" i="63"/>
  <c r="AV67" i="63"/>
  <c r="AV68" i="63"/>
  <c r="AV69" i="63"/>
  <c r="AV70" i="63"/>
  <c r="AV71" i="63"/>
  <c r="AV72" i="63"/>
  <c r="AV73" i="63"/>
  <c r="AV74" i="63"/>
  <c r="AV75" i="63"/>
  <c r="AV76" i="63"/>
  <c r="AV77" i="63"/>
  <c r="AV78" i="63"/>
  <c r="AV79" i="63"/>
  <c r="AV80" i="63"/>
  <c r="AV81" i="63"/>
  <c r="AV82" i="63"/>
  <c r="AV83" i="63"/>
  <c r="AV84" i="63"/>
  <c r="AV85" i="63"/>
  <c r="AV86" i="63"/>
  <c r="AV87" i="63"/>
  <c r="AV88" i="63"/>
  <c r="AV89" i="63"/>
  <c r="AV90" i="63"/>
  <c r="AV91" i="63"/>
  <c r="AV92" i="63"/>
  <c r="AV93" i="63"/>
  <c r="AV94" i="63"/>
  <c r="AV95" i="63"/>
  <c r="AV96" i="63"/>
  <c r="AV97" i="63"/>
  <c r="AV98" i="63"/>
  <c r="AV99" i="63"/>
  <c r="AV100" i="63"/>
  <c r="AV101" i="63"/>
  <c r="AV102" i="63"/>
  <c r="AV103" i="63"/>
  <c r="AV104" i="63"/>
  <c r="AV105" i="63"/>
  <c r="AV106" i="63"/>
  <c r="AV107" i="63"/>
  <c r="AV108" i="63"/>
  <c r="AV109" i="63"/>
  <c r="AV110" i="63"/>
  <c r="AV111" i="63"/>
  <c r="AV112" i="63"/>
  <c r="AV113" i="63"/>
  <c r="AV114" i="63"/>
  <c r="AV115" i="63"/>
  <c r="AV116" i="63"/>
  <c r="AV117" i="63"/>
  <c r="AV118" i="63"/>
  <c r="AV119" i="63"/>
  <c r="AV120" i="63"/>
  <c r="AV121" i="63"/>
  <c r="AV122" i="63"/>
  <c r="AV123" i="63"/>
  <c r="AV124" i="63"/>
  <c r="AV125" i="63"/>
  <c r="AV126" i="63"/>
  <c r="AV127" i="63"/>
  <c r="AV128" i="63"/>
  <c r="AV129" i="63"/>
  <c r="AV130" i="63"/>
  <c r="AV131" i="63"/>
  <c r="AV132" i="63"/>
  <c r="AV133" i="63"/>
  <c r="AV134" i="63"/>
  <c r="AV135" i="63"/>
  <c r="AV136" i="63"/>
  <c r="AV137" i="63"/>
  <c r="AV138" i="63"/>
  <c r="AV139" i="63"/>
  <c r="AV140" i="63"/>
  <c r="AV141" i="63"/>
  <c r="AV142" i="63"/>
  <c r="AV143" i="63"/>
  <c r="AV144" i="63"/>
  <c r="AV145" i="63"/>
  <c r="AV146" i="63"/>
  <c r="AV147" i="63"/>
  <c r="AV148" i="63"/>
  <c r="AV149" i="63"/>
  <c r="AV150" i="63"/>
  <c r="AV151" i="63"/>
  <c r="AV152" i="63"/>
  <c r="AV153" i="63"/>
  <c r="AV154" i="63"/>
  <c r="AV155" i="63"/>
  <c r="AV156" i="63"/>
  <c r="AV157" i="63"/>
  <c r="AV158" i="63"/>
  <c r="AV159" i="63"/>
  <c r="AV160" i="63"/>
  <c r="AV161" i="63"/>
  <c r="AV162" i="63"/>
  <c r="AV163" i="63"/>
  <c r="AV164" i="63"/>
  <c r="AV165" i="63"/>
  <c r="AV166" i="63"/>
  <c r="AV167" i="63"/>
  <c r="AV168" i="63"/>
  <c r="AV169" i="63"/>
  <c r="AV170" i="63"/>
  <c r="AV171" i="63"/>
  <c r="AV172" i="63"/>
  <c r="AV173" i="63"/>
  <c r="AV174" i="63"/>
  <c r="AV175" i="63"/>
  <c r="AV176" i="63"/>
  <c r="AV177" i="63"/>
  <c r="AV178" i="63"/>
  <c r="AV179" i="63"/>
  <c r="AV180" i="63"/>
  <c r="AV181" i="63"/>
  <c r="AV182" i="63"/>
  <c r="AV183" i="63"/>
  <c r="AV184" i="63"/>
  <c r="AV185" i="63"/>
  <c r="AV186" i="63"/>
  <c r="AV187" i="63"/>
  <c r="AV188" i="63"/>
  <c r="AV189" i="63"/>
  <c r="AV190" i="63"/>
  <c r="AV191" i="63"/>
  <c r="AV192" i="63"/>
  <c r="AV193" i="63"/>
  <c r="AV194" i="63"/>
  <c r="AV195" i="63"/>
  <c r="AV196" i="63"/>
  <c r="AV197" i="63"/>
  <c r="AV198" i="63"/>
  <c r="AV199" i="63"/>
  <c r="AV200" i="63"/>
  <c r="AV201" i="63"/>
  <c r="AV202" i="63"/>
  <c r="AV203" i="63"/>
  <c r="AV204" i="63"/>
  <c r="AV205" i="63"/>
  <c r="AV206" i="63"/>
  <c r="AV207" i="63"/>
  <c r="AV208" i="63"/>
  <c r="AV209" i="63"/>
  <c r="AV210" i="63"/>
  <c r="AV211" i="63"/>
  <c r="AV212" i="63"/>
  <c r="AV213" i="63"/>
  <c r="AV214" i="63"/>
  <c r="AV215" i="63"/>
  <c r="AV216" i="63"/>
  <c r="AV217" i="63"/>
  <c r="AV218" i="63"/>
  <c r="AV219" i="63"/>
  <c r="AV220" i="63"/>
  <c r="AV221" i="63"/>
  <c r="AV222" i="63"/>
  <c r="AV223" i="63"/>
  <c r="AV224" i="63"/>
  <c r="AV225" i="63"/>
  <c r="AV226" i="63"/>
  <c r="AV227" i="63"/>
  <c r="AV228" i="63"/>
  <c r="AV229" i="63"/>
  <c r="AV230" i="63"/>
  <c r="AV231" i="63"/>
  <c r="AV232" i="63"/>
  <c r="AV233" i="63"/>
  <c r="AV234" i="63"/>
  <c r="AV235" i="63"/>
  <c r="AV236" i="63"/>
  <c r="AV237" i="63"/>
  <c r="AV238" i="63"/>
  <c r="AV239" i="63"/>
  <c r="AV240" i="63"/>
  <c r="AV241" i="63"/>
  <c r="AV242" i="63"/>
  <c r="AV243" i="63"/>
  <c r="AV244" i="63"/>
  <c r="AV245" i="63"/>
  <c r="AV246" i="63"/>
  <c r="AV247" i="63"/>
  <c r="AV248" i="63"/>
  <c r="AV249" i="63"/>
  <c r="AV250" i="63"/>
  <c r="AV251" i="63"/>
  <c r="AV252" i="63"/>
  <c r="AV253" i="63"/>
  <c r="AV254" i="63"/>
  <c r="AV255" i="63"/>
  <c r="AV256" i="63"/>
  <c r="AV257" i="63"/>
  <c r="AV10" i="63"/>
  <c r="BH258" i="108"/>
  <c r="BH259" i="108"/>
  <c r="BH12" i="108"/>
  <c r="BH13" i="108"/>
  <c r="BH14" i="108"/>
  <c r="BH15" i="108"/>
  <c r="BH16" i="108"/>
  <c r="BH17" i="108"/>
  <c r="BH18" i="108"/>
  <c r="BH19" i="108"/>
  <c r="BH20" i="108"/>
  <c r="BH21" i="108"/>
  <c r="BH22" i="108"/>
  <c r="BH23" i="108"/>
  <c r="BH24" i="108"/>
  <c r="BH25" i="108"/>
  <c r="BH26" i="108"/>
  <c r="BH27" i="108"/>
  <c r="BH28" i="108"/>
  <c r="BH29" i="108"/>
  <c r="BH30" i="108"/>
  <c r="BH31" i="108"/>
  <c r="BH32" i="108"/>
  <c r="BH33" i="108"/>
  <c r="BH34" i="108"/>
  <c r="BH35" i="108"/>
  <c r="BH36" i="108"/>
  <c r="BH37" i="108"/>
  <c r="BH38" i="108"/>
  <c r="BH39" i="108"/>
  <c r="BH40" i="108"/>
  <c r="BH41" i="108"/>
  <c r="BH42" i="108"/>
  <c r="BH43" i="108"/>
  <c r="BH44" i="108"/>
  <c r="BH45" i="108"/>
  <c r="BH47" i="108"/>
  <c r="BH48" i="108"/>
  <c r="BH49" i="108"/>
  <c r="BH50" i="108"/>
  <c r="BH51" i="108"/>
  <c r="BH52" i="108"/>
  <c r="BH53" i="108"/>
  <c r="BH54" i="108"/>
  <c r="BH55" i="108"/>
  <c r="BH56" i="108"/>
  <c r="BH57" i="108"/>
  <c r="BH58" i="108"/>
  <c r="BH59" i="108"/>
  <c r="BH60" i="108"/>
  <c r="BH61" i="108"/>
  <c r="BH62" i="108"/>
  <c r="BH63" i="108"/>
  <c r="BH64" i="108"/>
  <c r="BH65" i="108"/>
  <c r="BH66" i="108"/>
  <c r="BH67" i="108"/>
  <c r="BH68" i="108"/>
  <c r="BH69" i="108"/>
  <c r="BH70" i="108"/>
  <c r="BH71" i="108"/>
  <c r="BH72" i="108"/>
  <c r="BH73" i="108"/>
  <c r="BH74" i="108"/>
  <c r="BH75" i="108"/>
  <c r="BH76" i="108"/>
  <c r="BH77" i="108"/>
  <c r="BH78" i="108"/>
  <c r="BH79" i="108"/>
  <c r="BH80" i="108"/>
  <c r="BH81" i="108"/>
  <c r="BH82" i="108"/>
  <c r="BH83" i="108"/>
  <c r="BH84" i="108"/>
  <c r="BH85" i="108"/>
  <c r="BH86" i="108"/>
  <c r="BH87" i="108"/>
  <c r="BH88" i="108"/>
  <c r="BH89" i="108"/>
  <c r="BH90" i="108"/>
  <c r="BH91" i="108"/>
  <c r="BH92" i="108"/>
  <c r="BH93" i="108"/>
  <c r="BH94" i="108"/>
  <c r="BH95" i="108"/>
  <c r="BH96" i="108"/>
  <c r="BH97" i="108"/>
  <c r="BH98" i="108"/>
  <c r="BH99" i="108"/>
  <c r="BH100" i="108"/>
  <c r="BH101" i="108"/>
  <c r="BH102" i="108"/>
  <c r="BH103" i="108"/>
  <c r="BH104" i="108"/>
  <c r="BH105" i="108"/>
  <c r="BH106" i="108"/>
  <c r="BH107" i="108"/>
  <c r="BH108" i="108"/>
  <c r="BH109" i="108"/>
  <c r="BH110" i="108"/>
  <c r="BH111" i="108"/>
  <c r="BH112" i="108"/>
  <c r="BH113" i="108"/>
  <c r="BH114" i="108"/>
  <c r="BH115" i="108"/>
  <c r="BH116" i="108"/>
  <c r="BH117" i="108"/>
  <c r="BH118" i="108"/>
  <c r="BH119" i="108"/>
  <c r="BH120" i="108"/>
  <c r="BH121" i="108"/>
  <c r="BH122" i="108"/>
  <c r="BH123" i="108"/>
  <c r="BH124" i="108"/>
  <c r="BH125" i="108"/>
  <c r="BH126" i="108"/>
  <c r="BH127" i="108"/>
  <c r="BH128" i="108"/>
  <c r="BH129" i="108"/>
  <c r="BH130" i="108"/>
  <c r="BH131" i="108"/>
  <c r="BH132" i="108"/>
  <c r="BH133" i="108"/>
  <c r="BH134" i="108"/>
  <c r="BH135" i="108"/>
  <c r="BH136" i="108"/>
  <c r="BH137" i="108"/>
  <c r="BH138" i="108"/>
  <c r="BH139" i="108"/>
  <c r="BH140" i="108"/>
  <c r="BH141" i="108"/>
  <c r="BH142" i="108"/>
  <c r="BH143" i="108"/>
  <c r="BH144" i="108"/>
  <c r="BH145" i="108"/>
  <c r="BH146" i="108"/>
  <c r="BH147" i="108"/>
  <c r="BH148" i="108"/>
  <c r="BH149" i="108"/>
  <c r="BH150" i="108"/>
  <c r="BH151" i="108"/>
  <c r="BH152" i="108"/>
  <c r="BH153" i="108"/>
  <c r="BH154" i="108"/>
  <c r="BH155" i="108"/>
  <c r="BH156" i="108"/>
  <c r="BH157" i="108"/>
  <c r="BH158" i="108"/>
  <c r="BH159" i="108"/>
  <c r="BH160" i="108"/>
  <c r="BH161" i="108"/>
  <c r="BH162" i="108"/>
  <c r="BH163" i="108"/>
  <c r="BH164" i="108"/>
  <c r="BH165" i="108"/>
  <c r="BH166" i="108"/>
  <c r="BH167" i="108"/>
  <c r="BH168" i="108"/>
  <c r="BH169" i="108"/>
  <c r="BH170" i="108"/>
  <c r="BH171" i="108"/>
  <c r="BH172" i="108"/>
  <c r="BH173" i="108"/>
  <c r="BH174" i="108"/>
  <c r="BH175" i="108"/>
  <c r="BH176" i="108"/>
  <c r="BH177" i="108"/>
  <c r="BH178" i="108"/>
  <c r="BH179" i="108"/>
  <c r="BH180" i="108"/>
  <c r="BH181" i="108"/>
  <c r="BH182" i="108"/>
  <c r="BH183" i="108"/>
  <c r="BH184" i="108"/>
  <c r="BH185" i="108"/>
  <c r="BH186" i="108"/>
  <c r="BH187" i="108"/>
  <c r="BH188" i="108"/>
  <c r="BH189" i="108"/>
  <c r="BH190" i="108"/>
  <c r="BH191" i="108"/>
  <c r="BH192" i="108"/>
  <c r="BH193" i="108"/>
  <c r="BH194" i="108"/>
  <c r="BH195" i="108"/>
  <c r="BH196" i="108"/>
  <c r="BH197" i="108"/>
  <c r="BH198" i="108"/>
  <c r="BH199" i="108"/>
  <c r="BH200" i="108"/>
  <c r="BH201" i="108"/>
  <c r="BH202" i="108"/>
  <c r="BH203" i="108"/>
  <c r="BH204" i="108"/>
  <c r="BH205" i="108"/>
  <c r="BH206" i="108"/>
  <c r="BH207" i="108"/>
  <c r="BH208" i="108"/>
  <c r="BH209" i="108"/>
  <c r="BH210" i="108"/>
  <c r="BH211" i="108"/>
  <c r="BH212" i="108"/>
  <c r="BH213" i="108"/>
  <c r="BH214" i="108"/>
  <c r="BH215" i="108"/>
  <c r="BH216" i="108"/>
  <c r="BH217" i="108"/>
  <c r="BH218" i="108"/>
  <c r="BH219" i="108"/>
  <c r="BH220" i="108"/>
  <c r="BH221" i="108"/>
  <c r="BH222" i="108"/>
  <c r="BH223" i="108"/>
  <c r="BH224" i="108"/>
  <c r="BH225" i="108"/>
  <c r="BH226" i="108"/>
  <c r="BH227" i="108"/>
  <c r="BH228" i="108"/>
  <c r="BH229" i="108"/>
  <c r="BH230" i="108"/>
  <c r="BH231" i="108"/>
  <c r="BH232" i="108"/>
  <c r="BH233" i="108"/>
  <c r="BH234" i="108"/>
  <c r="BH235" i="108"/>
  <c r="BH236" i="108"/>
  <c r="BH237" i="108"/>
  <c r="BH238" i="108"/>
  <c r="BH239" i="108"/>
  <c r="BH240" i="108"/>
  <c r="BH241" i="108"/>
  <c r="BH242" i="108"/>
  <c r="BH243" i="108"/>
  <c r="BH244" i="108"/>
  <c r="BH245" i="108"/>
  <c r="BH246" i="108"/>
  <c r="BH247" i="108"/>
  <c r="BH248" i="108"/>
  <c r="BH249" i="108"/>
  <c r="BH250" i="108"/>
  <c r="BH251" i="108"/>
  <c r="BH252" i="108"/>
  <c r="BH253" i="108"/>
  <c r="BH254" i="108"/>
  <c r="BH255" i="108"/>
  <c r="BH256" i="108"/>
  <c r="BH257" i="108"/>
  <c r="AE11" i="11"/>
  <c r="I6" i="11" a="1"/>
  <c r="I6" i="11" s="1"/>
  <c r="AE12" i="11"/>
  <c r="AE13" i="11"/>
  <c r="AE14" i="11"/>
  <c r="AE15" i="11"/>
  <c r="AE16" i="11"/>
  <c r="AE17" i="11"/>
  <c r="AE18" i="11"/>
  <c r="AE19" i="11"/>
  <c r="AE20" i="11"/>
  <c r="AE21" i="11"/>
  <c r="AE22" i="11"/>
  <c r="AE23" i="11"/>
  <c r="AE24" i="11"/>
  <c r="AE25" i="11"/>
  <c r="AE26" i="11"/>
  <c r="AE27" i="11"/>
  <c r="AE28" i="11"/>
  <c r="AE29" i="11"/>
  <c r="AE30" i="11"/>
  <c r="AE31" i="11"/>
  <c r="AE32" i="11"/>
  <c r="AE33" i="11"/>
  <c r="AE34" i="11"/>
  <c r="AE35" i="11"/>
  <c r="AE36" i="11"/>
  <c r="AE37" i="11"/>
  <c r="AE38" i="11"/>
  <c r="AE39" i="11"/>
  <c r="AE40" i="11"/>
  <c r="AE41" i="11"/>
  <c r="AE42" i="11"/>
  <c r="AE43" i="11"/>
  <c r="AE44" i="11"/>
  <c r="AE45" i="11"/>
  <c r="AE46" i="11"/>
  <c r="AE47" i="11"/>
  <c r="AE48" i="11"/>
  <c r="AE49" i="11"/>
  <c r="AE50" i="11"/>
  <c r="AE51" i="11"/>
  <c r="AE52" i="11"/>
  <c r="AE53" i="11"/>
  <c r="AE54" i="11"/>
  <c r="AE55" i="11"/>
  <c r="AE56" i="11"/>
  <c r="AE57" i="11"/>
  <c r="AE58" i="11"/>
  <c r="AE59" i="11"/>
  <c r="AE60" i="11"/>
  <c r="AE61" i="11"/>
  <c r="AE62" i="11"/>
  <c r="AE63" i="11"/>
  <c r="AE64" i="11"/>
  <c r="AE65" i="11"/>
  <c r="AE66" i="11"/>
  <c r="AE67" i="11"/>
  <c r="AE68" i="11"/>
  <c r="AE69" i="11"/>
  <c r="AE70" i="11"/>
  <c r="AE71" i="11"/>
  <c r="AE72" i="11"/>
  <c r="AE73" i="11"/>
  <c r="AE74" i="11"/>
  <c r="AE75" i="11"/>
  <c r="AE76" i="11"/>
  <c r="AE77" i="11"/>
  <c r="AE78" i="11"/>
  <c r="AE79" i="11"/>
  <c r="AE80" i="11"/>
  <c r="AE81" i="11"/>
  <c r="AE82" i="11"/>
  <c r="AE83" i="11"/>
  <c r="AE84" i="11"/>
  <c r="AE85" i="11"/>
  <c r="AE86" i="11"/>
  <c r="AE87" i="11"/>
  <c r="AE88" i="11"/>
  <c r="AE89" i="11"/>
  <c r="AE90" i="11"/>
  <c r="AE91" i="11"/>
  <c r="AE92" i="11"/>
  <c r="AE93" i="11"/>
  <c r="AE94" i="11"/>
  <c r="AE95" i="11"/>
  <c r="AE96" i="11"/>
  <c r="AE97" i="11"/>
  <c r="AE98" i="11"/>
  <c r="AE99" i="11"/>
  <c r="AE100" i="11"/>
  <c r="AE101" i="11"/>
  <c r="AE102" i="11"/>
  <c r="AE103" i="11"/>
  <c r="AE104" i="11"/>
  <c r="AE105" i="11"/>
  <c r="AE106" i="11"/>
  <c r="AE107" i="11"/>
  <c r="AE108" i="11"/>
  <c r="AE109" i="11"/>
  <c r="AE110" i="11"/>
  <c r="AE111" i="11"/>
  <c r="AE112" i="11"/>
  <c r="AE113" i="11"/>
  <c r="AE114" i="11"/>
  <c r="AE115" i="11"/>
  <c r="AE116" i="11"/>
  <c r="AE117" i="11"/>
  <c r="AE118" i="11"/>
  <c r="AE119" i="11"/>
  <c r="AE120" i="11"/>
  <c r="AE121" i="11"/>
  <c r="AE122" i="11"/>
  <c r="AE123" i="11"/>
  <c r="AE124" i="11"/>
  <c r="AE125" i="11"/>
  <c r="AE126" i="11"/>
  <c r="AE127" i="11"/>
  <c r="AE128" i="11"/>
  <c r="AE129" i="11"/>
  <c r="AE130" i="11"/>
  <c r="AE131" i="11"/>
  <c r="AE132" i="11"/>
  <c r="AE133" i="11"/>
  <c r="AE134" i="11"/>
  <c r="AE135" i="11"/>
  <c r="AE136" i="11"/>
  <c r="AE137" i="11"/>
  <c r="AE138" i="11"/>
  <c r="AE139" i="11"/>
  <c r="AE140" i="11"/>
  <c r="AE141" i="11"/>
  <c r="AE142" i="11"/>
  <c r="AE143" i="11"/>
  <c r="AE144" i="11"/>
  <c r="AE145" i="11"/>
  <c r="AE146" i="11"/>
  <c r="AE147" i="11"/>
  <c r="AE148" i="11"/>
  <c r="AE149" i="11"/>
  <c r="AE150" i="11"/>
  <c r="AE151" i="11"/>
  <c r="AE152" i="11"/>
  <c r="AE153" i="11"/>
  <c r="AE154" i="11"/>
  <c r="AE155" i="11"/>
  <c r="AE156" i="11"/>
  <c r="AE157" i="11"/>
  <c r="AE158" i="11"/>
  <c r="AE159" i="11"/>
  <c r="AE160" i="11"/>
  <c r="AE161" i="11"/>
  <c r="AE162" i="11"/>
  <c r="AE163" i="11"/>
  <c r="AE164" i="11"/>
  <c r="AE165" i="11"/>
  <c r="AE166" i="11"/>
  <c r="AE167" i="11"/>
  <c r="AE168" i="11"/>
  <c r="AE169" i="11"/>
  <c r="AE170" i="11"/>
  <c r="AE171" i="11"/>
  <c r="AE172" i="11"/>
  <c r="AE173" i="11"/>
  <c r="AE174" i="11"/>
  <c r="AE175" i="11"/>
  <c r="AE176" i="11"/>
  <c r="AE177" i="11"/>
  <c r="AE178" i="11"/>
  <c r="AE179" i="11"/>
  <c r="AE180" i="11"/>
  <c r="AE181" i="11"/>
  <c r="AE182" i="11"/>
  <c r="AE183" i="11"/>
  <c r="AE184" i="11"/>
  <c r="AE185" i="11"/>
  <c r="AE186" i="11"/>
  <c r="AE187" i="11"/>
  <c r="AE188" i="11"/>
  <c r="AE189" i="11"/>
  <c r="AE190" i="11"/>
  <c r="AE191" i="11"/>
  <c r="AE192" i="11"/>
  <c r="AE193" i="11"/>
  <c r="AE194" i="11"/>
  <c r="AE195" i="11"/>
  <c r="AE196" i="11"/>
  <c r="AE197" i="11"/>
  <c r="AE198" i="11"/>
  <c r="AE199" i="11"/>
  <c r="AE200" i="11"/>
  <c r="AE201" i="11"/>
  <c r="AE202" i="11"/>
  <c r="AE203" i="11"/>
  <c r="AE204" i="11"/>
  <c r="AE205" i="11"/>
  <c r="AE206" i="11"/>
  <c r="AE207" i="11"/>
  <c r="AE208" i="11"/>
  <c r="AE209" i="11"/>
  <c r="AE210" i="11"/>
  <c r="AE211" i="11"/>
  <c r="AE212" i="11"/>
  <c r="AE213" i="11"/>
  <c r="AE214" i="11"/>
  <c r="AE215" i="11"/>
  <c r="AE216" i="11"/>
  <c r="AE217" i="11"/>
  <c r="AE218" i="11"/>
  <c r="AE219" i="11"/>
  <c r="AE220" i="11"/>
  <c r="AE221" i="11"/>
  <c r="AE222" i="11"/>
  <c r="AE223" i="11"/>
  <c r="AE224" i="11"/>
  <c r="AE225" i="11"/>
  <c r="AE226" i="11"/>
  <c r="AE227" i="11"/>
  <c r="AE228" i="11"/>
  <c r="AE229" i="11"/>
  <c r="AE230" i="11"/>
  <c r="AE231" i="11"/>
  <c r="AE232" i="11"/>
  <c r="AE233" i="11"/>
  <c r="AE234" i="11"/>
  <c r="AE235" i="11"/>
  <c r="AE236" i="11"/>
  <c r="AE237" i="11"/>
  <c r="AE238" i="11"/>
  <c r="AE239" i="11"/>
  <c r="AE240" i="11"/>
  <c r="AE241" i="11"/>
  <c r="AE242" i="11"/>
  <c r="AE243" i="11"/>
  <c r="AE244" i="11"/>
  <c r="AE245" i="11"/>
  <c r="AE246" i="11"/>
  <c r="AE247" i="11"/>
  <c r="AE248" i="11"/>
  <c r="AE249" i="11"/>
  <c r="AE250" i="11"/>
  <c r="AE251" i="11"/>
  <c r="AE252" i="11"/>
  <c r="AE253" i="11"/>
  <c r="AE254" i="11"/>
  <c r="AE255" i="11"/>
  <c r="AE256" i="11"/>
  <c r="AE257" i="11"/>
  <c r="AE258" i="11"/>
  <c r="BJ10" i="108" l="1"/>
  <c r="AG43" i="108" s="1" a="1"/>
  <c r="AG43" i="108" s="1"/>
  <c r="BL43" i="108" s="1"/>
  <c r="BH10" i="108"/>
  <c r="S10" i="63"/>
  <c r="BH11" i="108"/>
  <c r="S11" i="63"/>
  <c r="B43" i="108" a="1"/>
  <c r="B43" i="108" s="1"/>
  <c r="B44" i="108" s="1" a="1"/>
  <c r="B44" i="108" s="1"/>
  <c r="BM44" i="108" s="1"/>
  <c r="AC11" i="108"/>
  <c r="AC12" i="108"/>
  <c r="AC13" i="108"/>
  <c r="AC14" i="108"/>
  <c r="AC15" i="108"/>
  <c r="AC16" i="108"/>
  <c r="AC17" i="108"/>
  <c r="AC18" i="108"/>
  <c r="AC19" i="108"/>
  <c r="AC20" i="108"/>
  <c r="AC21" i="108"/>
  <c r="AC22" i="108"/>
  <c r="AC23" i="108"/>
  <c r="AC24" i="108"/>
  <c r="AC25" i="108"/>
  <c r="AC26" i="108"/>
  <c r="AC27" i="108"/>
  <c r="AC28" i="108"/>
  <c r="AC29" i="108"/>
  <c r="AC30" i="108"/>
  <c r="AC31" i="108"/>
  <c r="AC32" i="108"/>
  <c r="AC33" i="108"/>
  <c r="AV12" i="11"/>
  <c r="AV13" i="11"/>
  <c r="AV14" i="11"/>
  <c r="AW14" i="11" s="1"/>
  <c r="AV15" i="11"/>
  <c r="AW15" i="11" s="1"/>
  <c r="AV16" i="11"/>
  <c r="AW16" i="11" s="1"/>
  <c r="AV17" i="11"/>
  <c r="AW17" i="11" s="1"/>
  <c r="AV18" i="11"/>
  <c r="AW18" i="11" s="1"/>
  <c r="AV19" i="11"/>
  <c r="AW19" i="11" s="1"/>
  <c r="AV20" i="11"/>
  <c r="AW20" i="11" s="1"/>
  <c r="AV21" i="11"/>
  <c r="AW21" i="11" s="1"/>
  <c r="AV22" i="11"/>
  <c r="AW22" i="11" s="1"/>
  <c r="AV23" i="11"/>
  <c r="AW23" i="11" s="1"/>
  <c r="AV24" i="11"/>
  <c r="AW24" i="11" s="1"/>
  <c r="AV25" i="11"/>
  <c r="AW25" i="11" s="1"/>
  <c r="AV26" i="11"/>
  <c r="AW26" i="11" s="1"/>
  <c r="AV27" i="11"/>
  <c r="AW27" i="11" s="1"/>
  <c r="AV28" i="11"/>
  <c r="AW28" i="11" s="1"/>
  <c r="AV29" i="11"/>
  <c r="AW29" i="11" s="1"/>
  <c r="AV30" i="11"/>
  <c r="AW30" i="11" s="1"/>
  <c r="AV31" i="11"/>
  <c r="AW31" i="11" s="1"/>
  <c r="AV32" i="11"/>
  <c r="AW32" i="11" s="1"/>
  <c r="AV33" i="11"/>
  <c r="AW33" i="11" s="1"/>
  <c r="AV34" i="11"/>
  <c r="AW34" i="11" s="1"/>
  <c r="AV35" i="11"/>
  <c r="AW35" i="11" s="1"/>
  <c r="AV36" i="11"/>
  <c r="AW36" i="11" s="1"/>
  <c r="AV37" i="11"/>
  <c r="AW37" i="11" s="1"/>
  <c r="AV38" i="11"/>
  <c r="AW38" i="11" s="1"/>
  <c r="AV39" i="11"/>
  <c r="AW39" i="11" s="1"/>
  <c r="AV40" i="11"/>
  <c r="AW40" i="11" s="1"/>
  <c r="AV41" i="11"/>
  <c r="AW41" i="11" s="1"/>
  <c r="AV42" i="11"/>
  <c r="AW42" i="11" s="1"/>
  <c r="AV43" i="11"/>
  <c r="AW43" i="11" s="1"/>
  <c r="AV44" i="11"/>
  <c r="AW44" i="11" s="1"/>
  <c r="AV45" i="11"/>
  <c r="AW45" i="11" s="1"/>
  <c r="AV46" i="11"/>
  <c r="AW46" i="11" s="1"/>
  <c r="AV47" i="11"/>
  <c r="AW47" i="11" s="1"/>
  <c r="AV48" i="11"/>
  <c r="AW48" i="11" s="1"/>
  <c r="AV49" i="11"/>
  <c r="AW49" i="11" s="1"/>
  <c r="AV50" i="11"/>
  <c r="AW50" i="11" s="1"/>
  <c r="AV51" i="11"/>
  <c r="AW51" i="11" s="1"/>
  <c r="AV52" i="11"/>
  <c r="AW52" i="11" s="1"/>
  <c r="AV53" i="11"/>
  <c r="AW53" i="11" s="1"/>
  <c r="AV54" i="11"/>
  <c r="AW54" i="11" s="1"/>
  <c r="AV55" i="11"/>
  <c r="AW55" i="11" s="1"/>
  <c r="AV56" i="11"/>
  <c r="AW56" i="11" s="1"/>
  <c r="AV57" i="11"/>
  <c r="AW57" i="11" s="1"/>
  <c r="AV58" i="11"/>
  <c r="AW58" i="11" s="1"/>
  <c r="AV59" i="11"/>
  <c r="AW59" i="11" s="1"/>
  <c r="AV60" i="11"/>
  <c r="AW60" i="11" s="1"/>
  <c r="AV61" i="11"/>
  <c r="AW61" i="11" s="1"/>
  <c r="AV62" i="11"/>
  <c r="AW62" i="11" s="1"/>
  <c r="AV63" i="11"/>
  <c r="AW63" i="11" s="1"/>
  <c r="AV64" i="11"/>
  <c r="AW64" i="11" s="1"/>
  <c r="AV65" i="11"/>
  <c r="AW65" i="11" s="1"/>
  <c r="AV66" i="11"/>
  <c r="AW66" i="11" s="1"/>
  <c r="AV67" i="11"/>
  <c r="AW67" i="11" s="1"/>
  <c r="AV68" i="11"/>
  <c r="AW68" i="11" s="1"/>
  <c r="AV69" i="11"/>
  <c r="AW69" i="11" s="1"/>
  <c r="AV70" i="11"/>
  <c r="AW70" i="11" s="1"/>
  <c r="AV71" i="11"/>
  <c r="AW71" i="11" s="1"/>
  <c r="AV72" i="11"/>
  <c r="AW72" i="11" s="1"/>
  <c r="AV73" i="11"/>
  <c r="AW73" i="11" s="1"/>
  <c r="AV74" i="11"/>
  <c r="AW74" i="11" s="1"/>
  <c r="AV75" i="11"/>
  <c r="AW75" i="11" s="1"/>
  <c r="AV76" i="11"/>
  <c r="AW76" i="11" s="1"/>
  <c r="AV77" i="11"/>
  <c r="AW77" i="11" s="1"/>
  <c r="AV78" i="11"/>
  <c r="AW78" i="11" s="1"/>
  <c r="AV79" i="11"/>
  <c r="AW79" i="11" s="1"/>
  <c r="AV80" i="11"/>
  <c r="AW80" i="11" s="1"/>
  <c r="AV81" i="11"/>
  <c r="AW81" i="11" s="1"/>
  <c r="AV82" i="11"/>
  <c r="AW82" i="11" s="1"/>
  <c r="AV83" i="11"/>
  <c r="AW83" i="11" s="1"/>
  <c r="AV84" i="11"/>
  <c r="AW84" i="11" s="1"/>
  <c r="AV85" i="11"/>
  <c r="AW85" i="11" s="1"/>
  <c r="AV86" i="11"/>
  <c r="AW86" i="11" s="1"/>
  <c r="AV87" i="11"/>
  <c r="AW87" i="11" s="1"/>
  <c r="AV88" i="11"/>
  <c r="AW88" i="11" s="1"/>
  <c r="AV89" i="11"/>
  <c r="AW89" i="11" s="1"/>
  <c r="AV90" i="11"/>
  <c r="AW90" i="11" s="1"/>
  <c r="AV91" i="11"/>
  <c r="AW91" i="11" s="1"/>
  <c r="AV92" i="11"/>
  <c r="AW92" i="11" s="1"/>
  <c r="AV93" i="11"/>
  <c r="AW93" i="11" s="1"/>
  <c r="AV94" i="11"/>
  <c r="AW94" i="11" s="1"/>
  <c r="AV95" i="11"/>
  <c r="AW95" i="11" s="1"/>
  <c r="AV96" i="11"/>
  <c r="AW96" i="11" s="1"/>
  <c r="AV97" i="11"/>
  <c r="AW97" i="11" s="1"/>
  <c r="AV98" i="11"/>
  <c r="AW98" i="11" s="1"/>
  <c r="AV99" i="11"/>
  <c r="AW99" i="11" s="1"/>
  <c r="AV100" i="11"/>
  <c r="AW100" i="11" s="1"/>
  <c r="AV101" i="11"/>
  <c r="AW101" i="11" s="1"/>
  <c r="AV102" i="11"/>
  <c r="AW102" i="11" s="1"/>
  <c r="AV103" i="11"/>
  <c r="AW103" i="11" s="1"/>
  <c r="AV104" i="11"/>
  <c r="AW104" i="11" s="1"/>
  <c r="AV105" i="11"/>
  <c r="AW105" i="11" s="1"/>
  <c r="AV106" i="11"/>
  <c r="AW106" i="11" s="1"/>
  <c r="AV107" i="11"/>
  <c r="AW107" i="11" s="1"/>
  <c r="AV108" i="11"/>
  <c r="AW108" i="11" s="1"/>
  <c r="AV109" i="11"/>
  <c r="AW109" i="11" s="1"/>
  <c r="AV110" i="11"/>
  <c r="AW110" i="11" s="1"/>
  <c r="AV111" i="11"/>
  <c r="AW111" i="11" s="1"/>
  <c r="AV112" i="11"/>
  <c r="AW112" i="11" s="1"/>
  <c r="AV113" i="11"/>
  <c r="AW113" i="11" s="1"/>
  <c r="AV114" i="11"/>
  <c r="AW114" i="11" s="1"/>
  <c r="AV115" i="11"/>
  <c r="AW115" i="11" s="1"/>
  <c r="AV116" i="11"/>
  <c r="AW116" i="11" s="1"/>
  <c r="AV117" i="11"/>
  <c r="AW117" i="11" s="1"/>
  <c r="AV118" i="11"/>
  <c r="AW118" i="11" s="1"/>
  <c r="AV119" i="11"/>
  <c r="AW119" i="11" s="1"/>
  <c r="AV120" i="11"/>
  <c r="AW120" i="11" s="1"/>
  <c r="AV121" i="11"/>
  <c r="AW121" i="11" s="1"/>
  <c r="AV122" i="11"/>
  <c r="AW122" i="11" s="1"/>
  <c r="AV123" i="11"/>
  <c r="AW123" i="11" s="1"/>
  <c r="AV124" i="11"/>
  <c r="AW124" i="11" s="1"/>
  <c r="AV125" i="11"/>
  <c r="AW125" i="11" s="1"/>
  <c r="AV126" i="11"/>
  <c r="AW126" i="11" s="1"/>
  <c r="AV127" i="11"/>
  <c r="AW127" i="11" s="1"/>
  <c r="AV128" i="11"/>
  <c r="AW128" i="11" s="1"/>
  <c r="AV129" i="11"/>
  <c r="AW129" i="11" s="1"/>
  <c r="AV130" i="11"/>
  <c r="AW130" i="11" s="1"/>
  <c r="AV131" i="11"/>
  <c r="AW131" i="11" s="1"/>
  <c r="AV132" i="11"/>
  <c r="AW132" i="11" s="1"/>
  <c r="AV133" i="11"/>
  <c r="AW133" i="11" s="1"/>
  <c r="AV134" i="11"/>
  <c r="AW134" i="11" s="1"/>
  <c r="AV135" i="11"/>
  <c r="AW135" i="11" s="1"/>
  <c r="AV136" i="11"/>
  <c r="AW136" i="11" s="1"/>
  <c r="AV137" i="11"/>
  <c r="AW137" i="11" s="1"/>
  <c r="AV138" i="11"/>
  <c r="AW138" i="11" s="1"/>
  <c r="AV139" i="11"/>
  <c r="AW139" i="11" s="1"/>
  <c r="AV140" i="11"/>
  <c r="AW140" i="11" s="1"/>
  <c r="AV141" i="11"/>
  <c r="AW141" i="11" s="1"/>
  <c r="AV142" i="11"/>
  <c r="AW142" i="11" s="1"/>
  <c r="AV143" i="11"/>
  <c r="AW143" i="11" s="1"/>
  <c r="AV144" i="11"/>
  <c r="AW144" i="11" s="1"/>
  <c r="AV145" i="11"/>
  <c r="AW145" i="11" s="1"/>
  <c r="AV146" i="11"/>
  <c r="AW146" i="11" s="1"/>
  <c r="AV147" i="11"/>
  <c r="AW147" i="11" s="1"/>
  <c r="AV148" i="11"/>
  <c r="AW148" i="11" s="1"/>
  <c r="AV149" i="11"/>
  <c r="AW149" i="11" s="1"/>
  <c r="AV150" i="11"/>
  <c r="AW150" i="11" s="1"/>
  <c r="AV151" i="11"/>
  <c r="AW151" i="11" s="1"/>
  <c r="AV152" i="11"/>
  <c r="AW152" i="11" s="1"/>
  <c r="AV153" i="11"/>
  <c r="AW153" i="11" s="1"/>
  <c r="AV154" i="11"/>
  <c r="AW154" i="11" s="1"/>
  <c r="AV155" i="11"/>
  <c r="AW155" i="11" s="1"/>
  <c r="AV156" i="11"/>
  <c r="AW156" i="11" s="1"/>
  <c r="AV157" i="11"/>
  <c r="AW157" i="11" s="1"/>
  <c r="AV158" i="11"/>
  <c r="AW158" i="11" s="1"/>
  <c r="AV159" i="11"/>
  <c r="AW159" i="11" s="1"/>
  <c r="AV160" i="11"/>
  <c r="AW160" i="11" s="1"/>
  <c r="AV161" i="11"/>
  <c r="AW161" i="11" s="1"/>
  <c r="AV162" i="11"/>
  <c r="AW162" i="11" s="1"/>
  <c r="AV163" i="11"/>
  <c r="AW163" i="11" s="1"/>
  <c r="AV164" i="11"/>
  <c r="AW164" i="11" s="1"/>
  <c r="AV165" i="11"/>
  <c r="AW165" i="11" s="1"/>
  <c r="AV166" i="11"/>
  <c r="AW166" i="11" s="1"/>
  <c r="AV167" i="11"/>
  <c r="AW167" i="11" s="1"/>
  <c r="AV168" i="11"/>
  <c r="AW168" i="11" s="1"/>
  <c r="AV169" i="11"/>
  <c r="AW169" i="11" s="1"/>
  <c r="AV170" i="11"/>
  <c r="AW170" i="11" s="1"/>
  <c r="AV171" i="11"/>
  <c r="AW171" i="11" s="1"/>
  <c r="AV172" i="11"/>
  <c r="AW172" i="11" s="1"/>
  <c r="AV173" i="11"/>
  <c r="AW173" i="11" s="1"/>
  <c r="AV174" i="11"/>
  <c r="AW174" i="11" s="1"/>
  <c r="AV175" i="11"/>
  <c r="AW175" i="11" s="1"/>
  <c r="AV176" i="11"/>
  <c r="AW176" i="11" s="1"/>
  <c r="AV177" i="11"/>
  <c r="AW177" i="11" s="1"/>
  <c r="AV178" i="11"/>
  <c r="AW178" i="11" s="1"/>
  <c r="AV179" i="11"/>
  <c r="AW179" i="11" s="1"/>
  <c r="AV180" i="11"/>
  <c r="AW180" i="11" s="1"/>
  <c r="AV181" i="11"/>
  <c r="AW181" i="11" s="1"/>
  <c r="AV182" i="11"/>
  <c r="AW182" i="11" s="1"/>
  <c r="AV183" i="11"/>
  <c r="AW183" i="11" s="1"/>
  <c r="AV184" i="11"/>
  <c r="AW184" i="11" s="1"/>
  <c r="AV185" i="11"/>
  <c r="AW185" i="11" s="1"/>
  <c r="AV186" i="11"/>
  <c r="AW186" i="11" s="1"/>
  <c r="AV187" i="11"/>
  <c r="AW187" i="11" s="1"/>
  <c r="AV188" i="11"/>
  <c r="AW188" i="11" s="1"/>
  <c r="AV189" i="11"/>
  <c r="AW189" i="11" s="1"/>
  <c r="AV190" i="11"/>
  <c r="AW190" i="11" s="1"/>
  <c r="AV191" i="11"/>
  <c r="AW191" i="11" s="1"/>
  <c r="AV192" i="11"/>
  <c r="AW192" i="11" s="1"/>
  <c r="AV193" i="11"/>
  <c r="AW193" i="11" s="1"/>
  <c r="AV194" i="11"/>
  <c r="AW194" i="11" s="1"/>
  <c r="AV195" i="11"/>
  <c r="AW195" i="11" s="1"/>
  <c r="AV196" i="11"/>
  <c r="AW196" i="11" s="1"/>
  <c r="AV197" i="11"/>
  <c r="AW197" i="11" s="1"/>
  <c r="AV198" i="11"/>
  <c r="AW198" i="11" s="1"/>
  <c r="AV199" i="11"/>
  <c r="AW199" i="11" s="1"/>
  <c r="AV200" i="11"/>
  <c r="AW200" i="11" s="1"/>
  <c r="AV201" i="11"/>
  <c r="AW201" i="11" s="1"/>
  <c r="AV202" i="11"/>
  <c r="AW202" i="11" s="1"/>
  <c r="AV203" i="11"/>
  <c r="AW203" i="11" s="1"/>
  <c r="AV204" i="11"/>
  <c r="AW204" i="11" s="1"/>
  <c r="AV205" i="11"/>
  <c r="AW205" i="11" s="1"/>
  <c r="AV206" i="11"/>
  <c r="AW206" i="11" s="1"/>
  <c r="AV207" i="11"/>
  <c r="AW207" i="11" s="1"/>
  <c r="AV208" i="11"/>
  <c r="AW208" i="11" s="1"/>
  <c r="AV209" i="11"/>
  <c r="AW209" i="11" s="1"/>
  <c r="AV210" i="11"/>
  <c r="AW210" i="11" s="1"/>
  <c r="AV211" i="11"/>
  <c r="AW211" i="11" s="1"/>
  <c r="AV212" i="11"/>
  <c r="AW212" i="11" s="1"/>
  <c r="AV213" i="11"/>
  <c r="AW213" i="11" s="1"/>
  <c r="AV214" i="11"/>
  <c r="AW214" i="11" s="1"/>
  <c r="AV215" i="11"/>
  <c r="AW215" i="11" s="1"/>
  <c r="AV216" i="11"/>
  <c r="AW216" i="11" s="1"/>
  <c r="AV217" i="11"/>
  <c r="AW217" i="11" s="1"/>
  <c r="AV218" i="11"/>
  <c r="AW218" i="11" s="1"/>
  <c r="AV219" i="11"/>
  <c r="AW219" i="11" s="1"/>
  <c r="AV220" i="11"/>
  <c r="AW220" i="11" s="1"/>
  <c r="AV221" i="11"/>
  <c r="AW221" i="11" s="1"/>
  <c r="AV222" i="11"/>
  <c r="AW222" i="11" s="1"/>
  <c r="AV223" i="11"/>
  <c r="AW223" i="11" s="1"/>
  <c r="AV224" i="11"/>
  <c r="AW224" i="11" s="1"/>
  <c r="AV225" i="11"/>
  <c r="AW225" i="11" s="1"/>
  <c r="AV226" i="11"/>
  <c r="AW226" i="11" s="1"/>
  <c r="AV227" i="11"/>
  <c r="AW227" i="11" s="1"/>
  <c r="AV228" i="11"/>
  <c r="AW228" i="11" s="1"/>
  <c r="AV229" i="11"/>
  <c r="AW229" i="11" s="1"/>
  <c r="AV230" i="11"/>
  <c r="AW230" i="11" s="1"/>
  <c r="AV231" i="11"/>
  <c r="AW231" i="11" s="1"/>
  <c r="AV232" i="11"/>
  <c r="AW232" i="11" s="1"/>
  <c r="AV233" i="11"/>
  <c r="AW233" i="11" s="1"/>
  <c r="AV234" i="11"/>
  <c r="AW234" i="11" s="1"/>
  <c r="AV235" i="11"/>
  <c r="AW235" i="11" s="1"/>
  <c r="AV236" i="11"/>
  <c r="AW236" i="11" s="1"/>
  <c r="AV237" i="11"/>
  <c r="AW237" i="11" s="1"/>
  <c r="AV238" i="11"/>
  <c r="AW238" i="11" s="1"/>
  <c r="AV239" i="11"/>
  <c r="AW239" i="11" s="1"/>
  <c r="AV240" i="11"/>
  <c r="AW240" i="11" s="1"/>
  <c r="AV241" i="11"/>
  <c r="AW241" i="11" s="1"/>
  <c r="AV242" i="11"/>
  <c r="AW242" i="11" s="1"/>
  <c r="AV243" i="11"/>
  <c r="AW243" i="11" s="1"/>
  <c r="AV244" i="11"/>
  <c r="AW244" i="11" s="1"/>
  <c r="AV245" i="11"/>
  <c r="AW245" i="11" s="1"/>
  <c r="AV246" i="11"/>
  <c r="AW246" i="11" s="1"/>
  <c r="AV247" i="11"/>
  <c r="AW247" i="11" s="1"/>
  <c r="AV248" i="11"/>
  <c r="AW248" i="11" s="1"/>
  <c r="AV249" i="11"/>
  <c r="AW249" i="11" s="1"/>
  <c r="AV250" i="11"/>
  <c r="AW250" i="11" s="1"/>
  <c r="AV251" i="11"/>
  <c r="AW251" i="11" s="1"/>
  <c r="AV252" i="11"/>
  <c r="AW252" i="11" s="1"/>
  <c r="AV253" i="11"/>
  <c r="AW253" i="11" s="1"/>
  <c r="AV254" i="11"/>
  <c r="AW254" i="11" s="1"/>
  <c r="AV255" i="11"/>
  <c r="AW255" i="11" s="1"/>
  <c r="AV256" i="11"/>
  <c r="AW256" i="11" s="1"/>
  <c r="AV257" i="11"/>
  <c r="AW257" i="11" s="1"/>
  <c r="AV258" i="11"/>
  <c r="AW258" i="11" s="1"/>
  <c r="AV11" i="11"/>
  <c r="I18" i="11"/>
  <c r="I20" i="11"/>
  <c r="I26" i="11"/>
  <c r="I34" i="11"/>
  <c r="I36" i="11"/>
  <c r="I42" i="11"/>
  <c r="I50" i="11"/>
  <c r="I58" i="11"/>
  <c r="I66" i="11"/>
  <c r="I74" i="11"/>
  <c r="I84" i="11"/>
  <c r="I122" i="11"/>
  <c r="AF18" i="11"/>
  <c r="AF20" i="11"/>
  <c r="AF26" i="11"/>
  <c r="AF34" i="11"/>
  <c r="AF42" i="11"/>
  <c r="AF50" i="11"/>
  <c r="AF58" i="11"/>
  <c r="AF66" i="11"/>
  <c r="AF68" i="11"/>
  <c r="AF82" i="11"/>
  <c r="AF90" i="11"/>
  <c r="AF106" i="11"/>
  <c r="AF146" i="11"/>
  <c r="AF84" i="11" l="1"/>
  <c r="AF36" i="11"/>
  <c r="I52" i="11"/>
  <c r="AF52" i="11"/>
  <c r="I176" i="11"/>
  <c r="I68" i="11"/>
  <c r="AF132" i="11"/>
  <c r="I100" i="11"/>
  <c r="AF180" i="11"/>
  <c r="AF100" i="11"/>
  <c r="I164" i="11"/>
  <c r="AF164" i="11"/>
  <c r="AF116" i="11"/>
  <c r="I132" i="11"/>
  <c r="AF148" i="11"/>
  <c r="I188" i="11"/>
  <c r="I17" i="11"/>
  <c r="I116" i="11"/>
  <c r="I148" i="11"/>
  <c r="AF154" i="11"/>
  <c r="I98" i="11"/>
  <c r="AF153" i="11"/>
  <c r="I110" i="11"/>
  <c r="AF194" i="11"/>
  <c r="I162" i="11"/>
  <c r="AF217" i="11"/>
  <c r="I37" i="11"/>
  <c r="AF206" i="11"/>
  <c r="I38" i="11"/>
  <c r="I174" i="11"/>
  <c r="AF30" i="11"/>
  <c r="AF54" i="11"/>
  <c r="AF118" i="11"/>
  <c r="AF22" i="11"/>
  <c r="I14" i="11"/>
  <c r="I62" i="11"/>
  <c r="AF166" i="11"/>
  <c r="AF70" i="11"/>
  <c r="AF46" i="11"/>
  <c r="I86" i="11"/>
  <c r="I54" i="11"/>
  <c r="I134" i="11"/>
  <c r="I30" i="11"/>
  <c r="AF38" i="11"/>
  <c r="AF102" i="11"/>
  <c r="AF14" i="11"/>
  <c r="AF230" i="11"/>
  <c r="AF62" i="11"/>
  <c r="I70" i="11"/>
  <c r="I46" i="11"/>
  <c r="I22" i="11"/>
  <c r="AF94" i="11"/>
  <c r="AF246" i="11"/>
  <c r="I220" i="11"/>
  <c r="AF212" i="11"/>
  <c r="AF196" i="11"/>
  <c r="AF61" i="11"/>
  <c r="I109" i="11"/>
  <c r="I203" i="11"/>
  <c r="AF258" i="11"/>
  <c r="F25" i="96"/>
  <c r="AT43" i="108"/>
  <c r="BG43" i="108"/>
  <c r="AR43" i="108"/>
  <c r="BF43" i="108"/>
  <c r="BE43" i="108"/>
  <c r="AF250" i="11"/>
  <c r="AF238" i="11"/>
  <c r="AF222" i="11"/>
  <c r="AF198" i="11"/>
  <c r="AF186" i="11"/>
  <c r="AF174" i="11"/>
  <c r="AF162" i="11"/>
  <c r="AF150" i="11"/>
  <c r="AF138" i="11"/>
  <c r="AF126" i="11"/>
  <c r="AF114" i="11"/>
  <c r="AF89" i="11"/>
  <c r="AF78" i="11"/>
  <c r="AF25" i="11"/>
  <c r="I178" i="11"/>
  <c r="I166" i="11"/>
  <c r="I154" i="11"/>
  <c r="I142" i="11"/>
  <c r="I130" i="11"/>
  <c r="I106" i="11"/>
  <c r="I94" i="11"/>
  <c r="I82" i="11"/>
  <c r="I45" i="11"/>
  <c r="AF254" i="11"/>
  <c r="AF242" i="11"/>
  <c r="AF226" i="11"/>
  <c r="AF214" i="11"/>
  <c r="AF202" i="11"/>
  <c r="AF190" i="11"/>
  <c r="AF178" i="11"/>
  <c r="AF142" i="11"/>
  <c r="AF130" i="11"/>
  <c r="I170" i="11"/>
  <c r="I158" i="11"/>
  <c r="I146" i="11"/>
  <c r="I118" i="11"/>
  <c r="AF249" i="11"/>
  <c r="AF234" i="11"/>
  <c r="AF218" i="11"/>
  <c r="AF210" i="11"/>
  <c r="AF182" i="11"/>
  <c r="AF170" i="11"/>
  <c r="AF158" i="11"/>
  <c r="AF134" i="11"/>
  <c r="AF122" i="11"/>
  <c r="AF110" i="11"/>
  <c r="AF98" i="11"/>
  <c r="AF86" i="11"/>
  <c r="AF74" i="11"/>
  <c r="AF53" i="11"/>
  <c r="AF33" i="11"/>
  <c r="I150" i="11"/>
  <c r="I138" i="11"/>
  <c r="I126" i="11"/>
  <c r="I114" i="11"/>
  <c r="I102" i="11"/>
  <c r="I90" i="11"/>
  <c r="I78" i="11"/>
  <c r="AF257" i="11"/>
  <c r="AF225" i="11"/>
  <c r="AF181" i="11"/>
  <c r="AF161" i="11"/>
  <c r="AF117" i="11"/>
  <c r="AF97" i="11"/>
  <c r="AF81" i="11"/>
  <c r="AF73" i="11"/>
  <c r="AF45" i="11"/>
  <c r="AF37" i="11"/>
  <c r="AF17" i="11"/>
  <c r="I57" i="11"/>
  <c r="I29" i="11"/>
  <c r="I21" i="11"/>
  <c r="AF125" i="11"/>
  <c r="AF57" i="11"/>
  <c r="AF21" i="11"/>
  <c r="I49" i="11"/>
  <c r="H260" i="11"/>
  <c r="F24" i="96" s="1"/>
  <c r="AF233" i="11"/>
  <c r="AF189" i="11"/>
  <c r="AF85" i="11"/>
  <c r="AF65" i="11"/>
  <c r="AF29" i="11"/>
  <c r="I137" i="11"/>
  <c r="I73" i="11"/>
  <c r="I65" i="11"/>
  <c r="I41" i="11"/>
  <c r="AF241" i="11"/>
  <c r="AF77" i="11"/>
  <c r="AF69" i="11"/>
  <c r="AF49" i="11"/>
  <c r="AF41" i="11"/>
  <c r="I165" i="11"/>
  <c r="I145" i="11"/>
  <c r="I101" i="11"/>
  <c r="I81" i="11"/>
  <c r="I53" i="11"/>
  <c r="I33" i="11"/>
  <c r="I25" i="11"/>
  <c r="B10" i="108" a="1"/>
  <c r="B10" i="108" s="1"/>
  <c r="AF209" i="11"/>
  <c r="AF201" i="11"/>
  <c r="AF173" i="11"/>
  <c r="AF165" i="11"/>
  <c r="AF145" i="11"/>
  <c r="AF137" i="11"/>
  <c r="AF109" i="11"/>
  <c r="AF101" i="11"/>
  <c r="I157" i="11"/>
  <c r="I149" i="11"/>
  <c r="I129" i="11"/>
  <c r="I121" i="11"/>
  <c r="I93" i="11"/>
  <c r="I85" i="11"/>
  <c r="AF253" i="11"/>
  <c r="AF229" i="11"/>
  <c r="AF213" i="11"/>
  <c r="AF185" i="11"/>
  <c r="AF157" i="11"/>
  <c r="AF149" i="11"/>
  <c r="AF129" i="11"/>
  <c r="AF121" i="11"/>
  <c r="AF93" i="11"/>
  <c r="I169" i="11"/>
  <c r="I141" i="11"/>
  <c r="I133" i="11"/>
  <c r="I113" i="11"/>
  <c r="I105" i="11"/>
  <c r="I77" i="11"/>
  <c r="I69" i="11"/>
  <c r="AF245" i="11"/>
  <c r="AF237" i="11"/>
  <c r="AF221" i="11"/>
  <c r="AF193" i="11"/>
  <c r="AF205" i="11"/>
  <c r="AF197" i="11"/>
  <c r="AF177" i="11"/>
  <c r="AF169" i="11"/>
  <c r="AF141" i="11"/>
  <c r="AF133" i="11"/>
  <c r="AF113" i="11"/>
  <c r="AF105" i="11"/>
  <c r="I161" i="11"/>
  <c r="I153" i="11"/>
  <c r="I125" i="11"/>
  <c r="I117" i="11"/>
  <c r="I97" i="11"/>
  <c r="I89" i="11"/>
  <c r="I61" i="11"/>
  <c r="AG10" i="108" a="1"/>
  <c r="AG10" i="108" s="1"/>
  <c r="BL10" i="108" s="1"/>
  <c r="AF200" i="11"/>
  <c r="AF184" i="11"/>
  <c r="AF168" i="11"/>
  <c r="AF136" i="11"/>
  <c r="AF120" i="11"/>
  <c r="AF104" i="11"/>
  <c r="AF56" i="11"/>
  <c r="AF40" i="11"/>
  <c r="I212" i="11"/>
  <c r="I168" i="11"/>
  <c r="I136" i="11"/>
  <c r="I120" i="11"/>
  <c r="I72" i="11"/>
  <c r="I56" i="11"/>
  <c r="U80" i="22"/>
  <c r="T55" i="22"/>
  <c r="V38" i="22"/>
  <c r="V134" i="22"/>
  <c r="V55" i="22"/>
  <c r="U38" i="22"/>
  <c r="U134" i="22"/>
  <c r="V80" i="22"/>
  <c r="U55" i="22"/>
  <c r="U135" i="22"/>
  <c r="T38" i="22"/>
  <c r="T80" i="22"/>
  <c r="S55" i="22"/>
  <c r="S80" i="22"/>
  <c r="T134" i="22"/>
  <c r="S38" i="22"/>
  <c r="S134" i="22"/>
  <c r="AF216" i="11"/>
  <c r="AF24" i="11"/>
  <c r="I244" i="11"/>
  <c r="I200" i="11"/>
  <c r="I184" i="11"/>
  <c r="I152" i="11"/>
  <c r="I104" i="11"/>
  <c r="J38" i="22"/>
  <c r="J55" i="22"/>
  <c r="I80" i="22"/>
  <c r="J80" i="22"/>
  <c r="I38" i="22"/>
  <c r="H38" i="22"/>
  <c r="G38" i="22"/>
  <c r="G134" i="22"/>
  <c r="E80" i="22"/>
  <c r="H55" i="22"/>
  <c r="H80" i="22"/>
  <c r="G55" i="22"/>
  <c r="G135" i="22"/>
  <c r="F38" i="22"/>
  <c r="I55" i="22"/>
  <c r="G80" i="22"/>
  <c r="F55" i="22"/>
  <c r="E38" i="22"/>
  <c r="E134" i="22"/>
  <c r="F80" i="22"/>
  <c r="E55" i="22"/>
  <c r="AF204" i="11"/>
  <c r="AF188" i="11"/>
  <c r="AF172" i="11"/>
  <c r="AF156" i="11"/>
  <c r="AF140" i="11"/>
  <c r="AF124" i="11"/>
  <c r="AF108" i="11"/>
  <c r="AF92" i="11"/>
  <c r="AF76" i="11"/>
  <c r="AF60" i="11"/>
  <c r="AF44" i="11"/>
  <c r="AF28" i="11"/>
  <c r="I236" i="11"/>
  <c r="I208" i="11"/>
  <c r="I196" i="11"/>
  <c r="I180" i="11"/>
  <c r="I172" i="11"/>
  <c r="I156" i="11"/>
  <c r="I140" i="11"/>
  <c r="I124" i="11"/>
  <c r="I108" i="11"/>
  <c r="I92" i="11"/>
  <c r="I76" i="11"/>
  <c r="I60" i="11"/>
  <c r="I44" i="11"/>
  <c r="I28" i="11"/>
  <c r="AF152" i="11"/>
  <c r="AF88" i="11"/>
  <c r="AF72" i="11"/>
  <c r="I88" i="11"/>
  <c r="I40" i="11"/>
  <c r="I24" i="11"/>
  <c r="AF208" i="11"/>
  <c r="AF192" i="11"/>
  <c r="AF176" i="11"/>
  <c r="AF160" i="11"/>
  <c r="AF144" i="11"/>
  <c r="AF128" i="11"/>
  <c r="AF112" i="11"/>
  <c r="AF96" i="11"/>
  <c r="AF80" i="11"/>
  <c r="AF64" i="11"/>
  <c r="AF48" i="11"/>
  <c r="AF32" i="11"/>
  <c r="AF16" i="11"/>
  <c r="I228" i="11"/>
  <c r="I204" i="11"/>
  <c r="I192" i="11"/>
  <c r="I160" i="11"/>
  <c r="I144" i="11"/>
  <c r="I128" i="11"/>
  <c r="I112" i="11"/>
  <c r="I96" i="11"/>
  <c r="I80" i="11"/>
  <c r="I64" i="11"/>
  <c r="I48" i="11"/>
  <c r="I32" i="11"/>
  <c r="I16" i="11"/>
  <c r="AW11" i="11"/>
  <c r="P11" i="11"/>
  <c r="AP43" i="108"/>
  <c r="AJ43" i="108"/>
  <c r="AG44" i="108" a="1"/>
  <c r="AG44" i="108" s="1"/>
  <c r="BL44" i="108" s="1"/>
  <c r="I243" i="11"/>
  <c r="I227" i="11"/>
  <c r="I211" i="11"/>
  <c r="I179" i="11"/>
  <c r="I252" i="11"/>
  <c r="I187" i="11"/>
  <c r="I251" i="11"/>
  <c r="I235" i="11"/>
  <c r="I219" i="11"/>
  <c r="I195" i="11"/>
  <c r="I256" i="11"/>
  <c r="I248" i="11"/>
  <c r="I240" i="11"/>
  <c r="I232" i="11"/>
  <c r="I224" i="11"/>
  <c r="I216" i="11"/>
  <c r="AF256" i="11"/>
  <c r="AF252" i="11"/>
  <c r="AF248" i="11"/>
  <c r="AF244" i="11"/>
  <c r="AF240" i="11"/>
  <c r="AF236" i="11"/>
  <c r="AF232" i="11"/>
  <c r="AF228" i="11"/>
  <c r="AF224" i="11"/>
  <c r="AF220" i="11"/>
  <c r="I255" i="11"/>
  <c r="I247" i="11"/>
  <c r="I239" i="11"/>
  <c r="I231" i="11"/>
  <c r="I223" i="11"/>
  <c r="I215" i="11"/>
  <c r="I207" i="11"/>
  <c r="I199" i="11"/>
  <c r="I191" i="11"/>
  <c r="I183" i="11"/>
  <c r="I171" i="11"/>
  <c r="I167" i="11"/>
  <c r="I163" i="11"/>
  <c r="I159" i="11"/>
  <c r="I155" i="11"/>
  <c r="I151" i="11"/>
  <c r="I147" i="11"/>
  <c r="I143" i="11"/>
  <c r="I139" i="11"/>
  <c r="I135" i="11"/>
  <c r="I131" i="11"/>
  <c r="I127" i="11"/>
  <c r="I123" i="11"/>
  <c r="I119" i="11"/>
  <c r="I115" i="11"/>
  <c r="I111" i="11"/>
  <c r="I107" i="11"/>
  <c r="I103" i="11"/>
  <c r="I99" i="11"/>
  <c r="I95" i="11"/>
  <c r="I91" i="11"/>
  <c r="I87" i="11"/>
  <c r="I83" i="11"/>
  <c r="I79" i="11"/>
  <c r="I75" i="11"/>
  <c r="I71" i="11"/>
  <c r="I67" i="11"/>
  <c r="I63" i="11"/>
  <c r="I59" i="11"/>
  <c r="I55" i="11"/>
  <c r="I51" i="11"/>
  <c r="I47" i="11"/>
  <c r="I43" i="11"/>
  <c r="I39" i="11"/>
  <c r="I35" i="11"/>
  <c r="I31" i="11"/>
  <c r="I27" i="11"/>
  <c r="I23" i="11"/>
  <c r="I19" i="11"/>
  <c r="I15" i="11"/>
  <c r="AF255" i="11"/>
  <c r="AF251" i="11"/>
  <c r="AF247" i="11"/>
  <c r="AF243" i="11"/>
  <c r="AF239" i="11"/>
  <c r="AF235" i="11"/>
  <c r="AF231" i="11"/>
  <c r="AF227" i="11"/>
  <c r="AF223" i="11"/>
  <c r="AF219" i="11"/>
  <c r="AF215" i="11"/>
  <c r="AF211" i="11"/>
  <c r="AF207" i="11"/>
  <c r="AF203" i="11"/>
  <c r="AF199" i="11"/>
  <c r="AF195" i="11"/>
  <c r="AF191" i="11"/>
  <c r="AF187" i="11"/>
  <c r="AF183" i="11"/>
  <c r="AF179" i="11"/>
  <c r="AF175" i="11"/>
  <c r="AF171" i="11"/>
  <c r="AF167" i="11"/>
  <c r="AF163" i="11"/>
  <c r="AF159" i="11"/>
  <c r="AF155" i="11"/>
  <c r="AF151" i="11"/>
  <c r="AF147" i="11"/>
  <c r="AF143" i="11"/>
  <c r="AF139" i="11"/>
  <c r="AF135" i="11"/>
  <c r="AF131" i="11"/>
  <c r="AF127" i="11"/>
  <c r="AF123" i="11"/>
  <c r="AF119" i="11"/>
  <c r="AF115" i="11"/>
  <c r="AF111" i="11"/>
  <c r="AF107" i="11"/>
  <c r="AF103" i="11"/>
  <c r="AF99" i="11"/>
  <c r="AF95" i="11"/>
  <c r="AF91" i="11"/>
  <c r="AF87" i="11"/>
  <c r="AF83" i="11"/>
  <c r="AF79" i="11"/>
  <c r="AF75" i="11"/>
  <c r="AF71" i="11"/>
  <c r="AF67" i="11"/>
  <c r="AF63" i="11"/>
  <c r="AF59" i="11"/>
  <c r="AF55" i="11"/>
  <c r="AF51" i="11"/>
  <c r="AF47" i="11"/>
  <c r="AF43" i="11"/>
  <c r="AF39" i="11"/>
  <c r="AF35" i="11"/>
  <c r="AF31" i="11"/>
  <c r="AF27" i="11"/>
  <c r="AF23" i="11"/>
  <c r="AF19" i="11"/>
  <c r="AF15" i="11"/>
  <c r="I175" i="11"/>
  <c r="P256" i="11"/>
  <c r="P252" i="11"/>
  <c r="P248" i="11"/>
  <c r="P244" i="11"/>
  <c r="P240" i="11"/>
  <c r="P236" i="11"/>
  <c r="P232" i="11"/>
  <c r="P228" i="11"/>
  <c r="P224" i="11"/>
  <c r="P220" i="11"/>
  <c r="P216" i="11"/>
  <c r="P212" i="11"/>
  <c r="P208" i="11"/>
  <c r="P204" i="11"/>
  <c r="P200" i="11"/>
  <c r="P196" i="11"/>
  <c r="P192" i="11"/>
  <c r="P188" i="11"/>
  <c r="P184" i="11"/>
  <c r="P180" i="11"/>
  <c r="P176" i="11"/>
  <c r="P172" i="11"/>
  <c r="P168" i="11"/>
  <c r="P164" i="11"/>
  <c r="P160" i="11"/>
  <c r="P156" i="11"/>
  <c r="P152" i="11"/>
  <c r="P148" i="11"/>
  <c r="P144" i="11"/>
  <c r="P140" i="11"/>
  <c r="P136" i="11"/>
  <c r="P132" i="11"/>
  <c r="P128" i="11"/>
  <c r="P124" i="11"/>
  <c r="P120" i="11"/>
  <c r="P116" i="11"/>
  <c r="P112" i="11"/>
  <c r="P108" i="11"/>
  <c r="P104" i="11"/>
  <c r="P100" i="11"/>
  <c r="P96" i="11"/>
  <c r="P92" i="11"/>
  <c r="P88" i="11"/>
  <c r="P84" i="11"/>
  <c r="P80" i="11"/>
  <c r="P76" i="11"/>
  <c r="P72" i="11"/>
  <c r="P68" i="11"/>
  <c r="P64" i="11"/>
  <c r="P60" i="11"/>
  <c r="P56" i="11"/>
  <c r="P52" i="11"/>
  <c r="P48" i="11"/>
  <c r="P44" i="11"/>
  <c r="P40" i="11"/>
  <c r="P36" i="11"/>
  <c r="P32" i="11"/>
  <c r="P28" i="11"/>
  <c r="P24" i="11"/>
  <c r="P20" i="11"/>
  <c r="P16" i="11"/>
  <c r="I258" i="11"/>
  <c r="I254" i="11"/>
  <c r="I250" i="11"/>
  <c r="I246" i="11"/>
  <c r="I242" i="11"/>
  <c r="I238" i="11"/>
  <c r="I234" i="11"/>
  <c r="I230" i="11"/>
  <c r="I226" i="11"/>
  <c r="I222" i="11"/>
  <c r="I218" i="11"/>
  <c r="I214" i="11"/>
  <c r="I210" i="11"/>
  <c r="I206" i="11"/>
  <c r="I202" i="11"/>
  <c r="I198" i="11"/>
  <c r="I194" i="11"/>
  <c r="I190" i="11"/>
  <c r="I186" i="11"/>
  <c r="I182" i="11"/>
  <c r="AW12" i="11"/>
  <c r="P255" i="11"/>
  <c r="P251" i="11"/>
  <c r="P247" i="11"/>
  <c r="P243" i="11"/>
  <c r="P239" i="11"/>
  <c r="P235" i="11"/>
  <c r="P231" i="11"/>
  <c r="P227" i="11"/>
  <c r="P223" i="11"/>
  <c r="P219" i="11"/>
  <c r="P215" i="11"/>
  <c r="P211" i="11"/>
  <c r="P207" i="11"/>
  <c r="P203" i="11"/>
  <c r="P199" i="11"/>
  <c r="P195" i="11"/>
  <c r="P191" i="11"/>
  <c r="P187" i="11"/>
  <c r="P183" i="11"/>
  <c r="P179" i="11"/>
  <c r="P175" i="11"/>
  <c r="P171" i="11"/>
  <c r="P167" i="11"/>
  <c r="P163" i="11"/>
  <c r="P159" i="11"/>
  <c r="P155" i="11"/>
  <c r="P151" i="11"/>
  <c r="P147" i="11"/>
  <c r="P143" i="11"/>
  <c r="P139" i="11"/>
  <c r="P135" i="11"/>
  <c r="P131" i="11"/>
  <c r="P127" i="11"/>
  <c r="P123" i="11"/>
  <c r="P119" i="11"/>
  <c r="P115" i="11"/>
  <c r="P111" i="11"/>
  <c r="P107" i="11"/>
  <c r="P103" i="11"/>
  <c r="P99" i="11"/>
  <c r="P95" i="11"/>
  <c r="P91" i="11"/>
  <c r="P87" i="11"/>
  <c r="P83" i="11"/>
  <c r="P79" i="11"/>
  <c r="P75" i="11"/>
  <c r="P71" i="11"/>
  <c r="P67" i="11"/>
  <c r="P63" i="11"/>
  <c r="P59" i="11"/>
  <c r="P55" i="11"/>
  <c r="P51" i="11"/>
  <c r="P47" i="11"/>
  <c r="P43" i="11"/>
  <c r="P39" i="11"/>
  <c r="P35" i="11"/>
  <c r="P31" i="11"/>
  <c r="P27" i="11"/>
  <c r="P23" i="11"/>
  <c r="P19" i="11"/>
  <c r="P15" i="11"/>
  <c r="I257" i="11"/>
  <c r="I253" i="11"/>
  <c r="I249" i="11"/>
  <c r="I245" i="11"/>
  <c r="I241" i="11"/>
  <c r="I237" i="11"/>
  <c r="I233" i="11"/>
  <c r="I229" i="11"/>
  <c r="I225" i="11"/>
  <c r="I221" i="11"/>
  <c r="I217" i="11"/>
  <c r="I213" i="11"/>
  <c r="I209" i="11"/>
  <c r="I205" i="11"/>
  <c r="I201" i="11"/>
  <c r="I197" i="11"/>
  <c r="I193" i="11"/>
  <c r="I189" i="11"/>
  <c r="I185" i="11"/>
  <c r="I181" i="11"/>
  <c r="I177" i="11"/>
  <c r="I173" i="11"/>
  <c r="P258" i="11"/>
  <c r="P254" i="11"/>
  <c r="P250" i="11"/>
  <c r="P246" i="11"/>
  <c r="P242" i="11"/>
  <c r="P238" i="11"/>
  <c r="P234" i="11"/>
  <c r="P230" i="11"/>
  <c r="P226" i="11"/>
  <c r="P222" i="11"/>
  <c r="P218" i="11"/>
  <c r="P214" i="11"/>
  <c r="P210" i="11"/>
  <c r="P206" i="11"/>
  <c r="P202" i="11"/>
  <c r="P198" i="11"/>
  <c r="P194" i="11"/>
  <c r="P190" i="11"/>
  <c r="P186" i="11"/>
  <c r="P182" i="11"/>
  <c r="P178" i="11"/>
  <c r="P174" i="11"/>
  <c r="P170" i="11"/>
  <c r="P166" i="11"/>
  <c r="P162" i="11"/>
  <c r="P158" i="11"/>
  <c r="P154" i="11"/>
  <c r="P150" i="11"/>
  <c r="P146" i="11"/>
  <c r="P142" i="11"/>
  <c r="P138" i="11"/>
  <c r="P134" i="11"/>
  <c r="P130" i="11"/>
  <c r="P126" i="11"/>
  <c r="P122" i="11"/>
  <c r="P118" i="11"/>
  <c r="P114" i="11"/>
  <c r="P110" i="11"/>
  <c r="P106" i="11"/>
  <c r="P102" i="11"/>
  <c r="P98" i="11"/>
  <c r="P94" i="11"/>
  <c r="P90" i="11"/>
  <c r="P86" i="11"/>
  <c r="P82" i="11"/>
  <c r="P78" i="11"/>
  <c r="P74" i="11"/>
  <c r="P70" i="11"/>
  <c r="P66" i="11"/>
  <c r="P62" i="11"/>
  <c r="P58" i="11"/>
  <c r="P54" i="11"/>
  <c r="P50" i="11"/>
  <c r="P46" i="11"/>
  <c r="P42" i="11"/>
  <c r="P38" i="11"/>
  <c r="P34" i="11"/>
  <c r="P30" i="11"/>
  <c r="P26" i="11"/>
  <c r="P22" i="11"/>
  <c r="P18" i="11"/>
  <c r="P14" i="11"/>
  <c r="P257" i="11"/>
  <c r="P253" i="11"/>
  <c r="P249" i="11"/>
  <c r="P245" i="11"/>
  <c r="P241" i="11"/>
  <c r="P237" i="11"/>
  <c r="P233" i="11"/>
  <c r="P229" i="11"/>
  <c r="P225" i="11"/>
  <c r="P221" i="11"/>
  <c r="P217" i="11"/>
  <c r="P213" i="11"/>
  <c r="P209" i="11"/>
  <c r="P205" i="11"/>
  <c r="P201" i="11"/>
  <c r="P197" i="11"/>
  <c r="P193" i="11"/>
  <c r="P189" i="11"/>
  <c r="P185" i="11"/>
  <c r="P181" i="11"/>
  <c r="P177" i="11"/>
  <c r="P173" i="11"/>
  <c r="P169" i="11"/>
  <c r="P165" i="11"/>
  <c r="P161" i="11"/>
  <c r="P157" i="11"/>
  <c r="P153" i="11"/>
  <c r="P149" i="11"/>
  <c r="P145" i="11"/>
  <c r="P141" i="11"/>
  <c r="P137" i="11"/>
  <c r="P133" i="11"/>
  <c r="P129" i="11"/>
  <c r="P125" i="11"/>
  <c r="P121" i="11"/>
  <c r="P117" i="11"/>
  <c r="P113" i="11"/>
  <c r="P109" i="11"/>
  <c r="P105" i="11"/>
  <c r="P101" i="11"/>
  <c r="P97" i="11"/>
  <c r="P93" i="11"/>
  <c r="P89" i="11"/>
  <c r="P85" i="11"/>
  <c r="P81" i="11"/>
  <c r="P77" i="11"/>
  <c r="P73" i="11"/>
  <c r="P69" i="11"/>
  <c r="P65" i="11"/>
  <c r="P61" i="11"/>
  <c r="P57" i="11"/>
  <c r="P53" i="11"/>
  <c r="P49" i="11"/>
  <c r="P45" i="11"/>
  <c r="P41" i="11"/>
  <c r="P37" i="11"/>
  <c r="P33" i="11"/>
  <c r="P29" i="11"/>
  <c r="P25" i="11"/>
  <c r="P21" i="11"/>
  <c r="P17" i="11"/>
  <c r="AW13" i="11"/>
  <c r="AF11" i="11"/>
  <c r="I11" i="11"/>
  <c r="B45" i="108" a="1"/>
  <c r="B45" i="108" s="1"/>
  <c r="BM45" i="108" s="1"/>
  <c r="I13" i="11"/>
  <c r="AF13" i="11"/>
  <c r="AF12" i="11"/>
  <c r="I12" i="11"/>
  <c r="J153" i="22"/>
  <c r="J155" i="22"/>
  <c r="J157" i="22"/>
  <c r="J159" i="22"/>
  <c r="J160" i="22"/>
  <c r="J161" i="22"/>
  <c r="B103" i="22"/>
  <c r="E45" i="108" l="1"/>
  <c r="AR44" i="108"/>
  <c r="BG44" i="108"/>
  <c r="AT44" i="108"/>
  <c r="BF44" i="108"/>
  <c r="BE44" i="108"/>
  <c r="AT10" i="108"/>
  <c r="BE10" i="108"/>
  <c r="AR10" i="108"/>
  <c r="BG10" i="108"/>
  <c r="BF10" i="108"/>
  <c r="AC14" i="11"/>
  <c r="W14" i="11" s="1"/>
  <c r="AC15" i="11"/>
  <c r="W15" i="11" s="1"/>
  <c r="AD37" i="11"/>
  <c r="AC37" i="11"/>
  <c r="AD101" i="11"/>
  <c r="AC101" i="11"/>
  <c r="AD181" i="11"/>
  <c r="AC181" i="11"/>
  <c r="AD30" i="11"/>
  <c r="AC30" i="11"/>
  <c r="AD62" i="11"/>
  <c r="AC62" i="11"/>
  <c r="AD25" i="11"/>
  <c r="AC25" i="11"/>
  <c r="AD73" i="11"/>
  <c r="AC73" i="11"/>
  <c r="AD121" i="11"/>
  <c r="AC121" i="11"/>
  <c r="AD153" i="11"/>
  <c r="AC153" i="11"/>
  <c r="AD169" i="11"/>
  <c r="AC169" i="11"/>
  <c r="AD185" i="11"/>
  <c r="AC185" i="11"/>
  <c r="AD201" i="11"/>
  <c r="AC201" i="11"/>
  <c r="AD217" i="11"/>
  <c r="AC217" i="11"/>
  <c r="AD233" i="11"/>
  <c r="AC233" i="11"/>
  <c r="AD249" i="11"/>
  <c r="AC249" i="11"/>
  <c r="AD18" i="11"/>
  <c r="AC18" i="11"/>
  <c r="AD34" i="11"/>
  <c r="AC34" i="11"/>
  <c r="AD50" i="11"/>
  <c r="AC50" i="11"/>
  <c r="AD66" i="11"/>
  <c r="AC66" i="11"/>
  <c r="AD82" i="11"/>
  <c r="AC82" i="11"/>
  <c r="AD98" i="11"/>
  <c r="AC98" i="11"/>
  <c r="AD114" i="11"/>
  <c r="AC114" i="11"/>
  <c r="AD130" i="11"/>
  <c r="AC130" i="11"/>
  <c r="AD146" i="11"/>
  <c r="AC146" i="11"/>
  <c r="AD162" i="11"/>
  <c r="AC162" i="11"/>
  <c r="AD178" i="11"/>
  <c r="AC178" i="11"/>
  <c r="AD194" i="11"/>
  <c r="AC194" i="11"/>
  <c r="AD210" i="11"/>
  <c r="AC210" i="11"/>
  <c r="AD226" i="11"/>
  <c r="AC226" i="11"/>
  <c r="AD242" i="11"/>
  <c r="AC242" i="11"/>
  <c r="AD258" i="11"/>
  <c r="AC258" i="11"/>
  <c r="AD19" i="11"/>
  <c r="AC19" i="11"/>
  <c r="AD35" i="11"/>
  <c r="AC35" i="11"/>
  <c r="AD51" i="11"/>
  <c r="AC51" i="11"/>
  <c r="AD67" i="11"/>
  <c r="AC67" i="11"/>
  <c r="AD83" i="11"/>
  <c r="AC83" i="11"/>
  <c r="AD99" i="11"/>
  <c r="AC99" i="11"/>
  <c r="AD115" i="11"/>
  <c r="AC115" i="11"/>
  <c r="AD131" i="11"/>
  <c r="AC131" i="11"/>
  <c r="AD147" i="11"/>
  <c r="AC147" i="11"/>
  <c r="AD163" i="11"/>
  <c r="AC163" i="11"/>
  <c r="AD179" i="11"/>
  <c r="AC179" i="11"/>
  <c r="AD195" i="11"/>
  <c r="AC195" i="11"/>
  <c r="AD211" i="11"/>
  <c r="AC211" i="11"/>
  <c r="AD227" i="11"/>
  <c r="AC227" i="11"/>
  <c r="AD243" i="11"/>
  <c r="AC243" i="11"/>
  <c r="AC28" i="11"/>
  <c r="AD28" i="11"/>
  <c r="AC44" i="11"/>
  <c r="AD44" i="11"/>
  <c r="AC60" i="11"/>
  <c r="AD60" i="11"/>
  <c r="AC76" i="11"/>
  <c r="AD76" i="11"/>
  <c r="AC92" i="11"/>
  <c r="AD92" i="11"/>
  <c r="AC108" i="11"/>
  <c r="AD108" i="11"/>
  <c r="AD124" i="11"/>
  <c r="AC124" i="11"/>
  <c r="AD140" i="11"/>
  <c r="AC140" i="11"/>
  <c r="AD156" i="11"/>
  <c r="AC156" i="11"/>
  <c r="AD172" i="11"/>
  <c r="AC172" i="11"/>
  <c r="AD188" i="11"/>
  <c r="AC188" i="11"/>
  <c r="AD204" i="11"/>
  <c r="AC204" i="11"/>
  <c r="AD220" i="11"/>
  <c r="AC220" i="11"/>
  <c r="AD236" i="11"/>
  <c r="AC236" i="11"/>
  <c r="AD252" i="11"/>
  <c r="AC252" i="11"/>
  <c r="AD69" i="11"/>
  <c r="AC69" i="11"/>
  <c r="AD133" i="11"/>
  <c r="AC133" i="11"/>
  <c r="AD165" i="11"/>
  <c r="AC165" i="11"/>
  <c r="AD229" i="11"/>
  <c r="AC229" i="11"/>
  <c r="AD78" i="11"/>
  <c r="AC78" i="11"/>
  <c r="AD57" i="11"/>
  <c r="AC57" i="11"/>
  <c r="AD105" i="11"/>
  <c r="AC105" i="11"/>
  <c r="AD29" i="11"/>
  <c r="AC29" i="11"/>
  <c r="AD61" i="11"/>
  <c r="AC61" i="11"/>
  <c r="AD93" i="11"/>
  <c r="AC93" i="11"/>
  <c r="AD109" i="11"/>
  <c r="AC109" i="11"/>
  <c r="AD141" i="11"/>
  <c r="AC141" i="11"/>
  <c r="AD173" i="11"/>
  <c r="AC173" i="11"/>
  <c r="AD205" i="11"/>
  <c r="AC205" i="11"/>
  <c r="AD237" i="11"/>
  <c r="AC237" i="11"/>
  <c r="AD22" i="11"/>
  <c r="AC22" i="11"/>
  <c r="AD54" i="11"/>
  <c r="AC54" i="11"/>
  <c r="AD86" i="11"/>
  <c r="AC86" i="11"/>
  <c r="AD118" i="11"/>
  <c r="AC118" i="11"/>
  <c r="AD134" i="11"/>
  <c r="AC134" i="11"/>
  <c r="AD150" i="11"/>
  <c r="AC150" i="11"/>
  <c r="AD166" i="11"/>
  <c r="AC166" i="11"/>
  <c r="AD182" i="11"/>
  <c r="AC182" i="11"/>
  <c r="AD198" i="11"/>
  <c r="AC198" i="11"/>
  <c r="AD214" i="11"/>
  <c r="AC214" i="11"/>
  <c r="AD230" i="11"/>
  <c r="AC230" i="11"/>
  <c r="AD246" i="11"/>
  <c r="AC246" i="11"/>
  <c r="AD23" i="11"/>
  <c r="AC23" i="11"/>
  <c r="AD39" i="11"/>
  <c r="AC39" i="11"/>
  <c r="AD55" i="11"/>
  <c r="AC55" i="11"/>
  <c r="AD71" i="11"/>
  <c r="AC71" i="11"/>
  <c r="AD87" i="11"/>
  <c r="AC87" i="11"/>
  <c r="AD103" i="11"/>
  <c r="AC103" i="11"/>
  <c r="AD119" i="11"/>
  <c r="AC119" i="11"/>
  <c r="AD135" i="11"/>
  <c r="AC135" i="11"/>
  <c r="AD151" i="11"/>
  <c r="AC151" i="11"/>
  <c r="AD167" i="11"/>
  <c r="AC167" i="11"/>
  <c r="AD183" i="11"/>
  <c r="AC183" i="11"/>
  <c r="AD199" i="11"/>
  <c r="AC199" i="11"/>
  <c r="AD215" i="11"/>
  <c r="AC215" i="11"/>
  <c r="AD231" i="11"/>
  <c r="AC231" i="11"/>
  <c r="AD247" i="11"/>
  <c r="AC247" i="11"/>
  <c r="AC16" i="11"/>
  <c r="W16" i="11" s="1"/>
  <c r="AC32" i="11"/>
  <c r="AD32" i="11"/>
  <c r="AC48" i="11"/>
  <c r="AD48" i="11"/>
  <c r="AC64" i="11"/>
  <c r="AD64" i="11"/>
  <c r="AC80" i="11"/>
  <c r="AD80" i="11"/>
  <c r="AC96" i="11"/>
  <c r="AD96" i="11"/>
  <c r="AD112" i="11"/>
  <c r="AC112" i="11"/>
  <c r="AD128" i="11"/>
  <c r="AC128" i="11"/>
  <c r="AD144" i="11"/>
  <c r="AC144" i="11"/>
  <c r="AD160" i="11"/>
  <c r="AC160" i="11"/>
  <c r="AD176" i="11"/>
  <c r="AC176" i="11"/>
  <c r="AD192" i="11"/>
  <c r="AC192" i="11"/>
  <c r="AD208" i="11"/>
  <c r="AC208" i="11"/>
  <c r="AD224" i="11"/>
  <c r="AC224" i="11"/>
  <c r="AD240" i="11"/>
  <c r="AC240" i="11"/>
  <c r="AD256" i="11"/>
  <c r="AC256" i="11"/>
  <c r="AD53" i="11"/>
  <c r="AC53" i="11"/>
  <c r="AD117" i="11"/>
  <c r="AC117" i="11"/>
  <c r="AD197" i="11"/>
  <c r="AC197" i="11"/>
  <c r="AD245" i="11"/>
  <c r="AC245" i="11"/>
  <c r="AD94" i="11"/>
  <c r="AC94" i="11"/>
  <c r="AD41" i="11"/>
  <c r="AC41" i="11"/>
  <c r="AD89" i="11"/>
  <c r="AC89" i="11"/>
  <c r="AD137" i="11"/>
  <c r="AC137" i="11"/>
  <c r="AD45" i="11"/>
  <c r="AC45" i="11"/>
  <c r="AD77" i="11"/>
  <c r="AC77" i="11"/>
  <c r="AD125" i="11"/>
  <c r="AC125" i="11"/>
  <c r="AD157" i="11"/>
  <c r="AC157" i="11"/>
  <c r="AD189" i="11"/>
  <c r="AC189" i="11"/>
  <c r="AD221" i="11"/>
  <c r="AC221" i="11"/>
  <c r="AD253" i="11"/>
  <c r="AC253" i="11"/>
  <c r="AD38" i="11"/>
  <c r="AC38" i="11"/>
  <c r="AD70" i="11"/>
  <c r="AC70" i="11"/>
  <c r="AD102" i="11"/>
  <c r="AC102" i="11"/>
  <c r="AD17" i="11"/>
  <c r="AC17" i="11"/>
  <c r="AD33" i="11"/>
  <c r="AC33" i="11"/>
  <c r="AD49" i="11"/>
  <c r="AC49" i="11"/>
  <c r="AD65" i="11"/>
  <c r="AC65" i="11"/>
  <c r="AD81" i="11"/>
  <c r="AC81" i="11"/>
  <c r="AD97" i="11"/>
  <c r="AC97" i="11"/>
  <c r="AD113" i="11"/>
  <c r="AC113" i="11"/>
  <c r="AD129" i="11"/>
  <c r="AC129" i="11"/>
  <c r="AD145" i="11"/>
  <c r="AC145" i="11"/>
  <c r="AD161" i="11"/>
  <c r="AC161" i="11"/>
  <c r="AD177" i="11"/>
  <c r="AC177" i="11"/>
  <c r="AD193" i="11"/>
  <c r="AC193" i="11"/>
  <c r="AD209" i="11"/>
  <c r="AC209" i="11"/>
  <c r="AD225" i="11"/>
  <c r="AC225" i="11"/>
  <c r="AD241" i="11"/>
  <c r="AC241" i="11"/>
  <c r="AD257" i="11"/>
  <c r="AC257" i="11"/>
  <c r="AD26" i="11"/>
  <c r="AC26" i="11"/>
  <c r="AD42" i="11"/>
  <c r="AC42" i="11"/>
  <c r="AD58" i="11"/>
  <c r="AC58" i="11"/>
  <c r="AD74" i="11"/>
  <c r="AC74" i="11"/>
  <c r="AD90" i="11"/>
  <c r="AC90" i="11"/>
  <c r="AD106" i="11"/>
  <c r="AC106" i="11"/>
  <c r="AD122" i="11"/>
  <c r="AC122" i="11"/>
  <c r="AD138" i="11"/>
  <c r="AC138" i="11"/>
  <c r="AD154" i="11"/>
  <c r="AC154" i="11"/>
  <c r="AD170" i="11"/>
  <c r="AC170" i="11"/>
  <c r="AD186" i="11"/>
  <c r="AC186" i="11"/>
  <c r="AD202" i="11"/>
  <c r="AC202" i="11"/>
  <c r="AD218" i="11"/>
  <c r="AC218" i="11"/>
  <c r="AD234" i="11"/>
  <c r="AC234" i="11"/>
  <c r="AD250" i="11"/>
  <c r="AC250" i="11"/>
  <c r="AD27" i="11"/>
  <c r="AC27" i="11"/>
  <c r="AD43" i="11"/>
  <c r="AC43" i="11"/>
  <c r="AD59" i="11"/>
  <c r="AC59" i="11"/>
  <c r="AD75" i="11"/>
  <c r="AC75" i="11"/>
  <c r="AD91" i="11"/>
  <c r="AC91" i="11"/>
  <c r="AD107" i="11"/>
  <c r="AC107" i="11"/>
  <c r="AD123" i="11"/>
  <c r="AC123" i="11"/>
  <c r="AD139" i="11"/>
  <c r="AC139" i="11"/>
  <c r="AD155" i="11"/>
  <c r="AC155" i="11"/>
  <c r="AD171" i="11"/>
  <c r="AC171" i="11"/>
  <c r="AD187" i="11"/>
  <c r="AC187" i="11"/>
  <c r="AD203" i="11"/>
  <c r="AC203" i="11"/>
  <c r="AD219" i="11"/>
  <c r="AC219" i="11"/>
  <c r="AD235" i="11"/>
  <c r="AC235" i="11"/>
  <c r="AD251" i="11"/>
  <c r="AC251" i="11"/>
  <c r="AC20" i="11"/>
  <c r="AD20" i="11"/>
  <c r="AC36" i="11"/>
  <c r="AD36" i="11"/>
  <c r="AC52" i="11"/>
  <c r="AD52" i="11"/>
  <c r="AC68" i="11"/>
  <c r="AD68" i="11"/>
  <c r="AC84" i="11"/>
  <c r="AD84" i="11"/>
  <c r="AC100" i="11"/>
  <c r="AD100" i="11"/>
  <c r="AD116" i="11"/>
  <c r="AC116" i="11"/>
  <c r="AD132" i="11"/>
  <c r="AC132" i="11"/>
  <c r="AD148" i="11"/>
  <c r="AC148" i="11"/>
  <c r="AD164" i="11"/>
  <c r="AC164" i="11"/>
  <c r="AD180" i="11"/>
  <c r="AC180" i="11"/>
  <c r="AD196" i="11"/>
  <c r="AC196" i="11"/>
  <c r="AD212" i="11"/>
  <c r="AC212" i="11"/>
  <c r="AD228" i="11"/>
  <c r="AC228" i="11"/>
  <c r="AD244" i="11"/>
  <c r="AC244" i="11"/>
  <c r="AD21" i="11"/>
  <c r="AC21" i="11"/>
  <c r="AD85" i="11"/>
  <c r="AC85" i="11"/>
  <c r="AD149" i="11"/>
  <c r="AC149" i="11"/>
  <c r="AD213" i="11"/>
  <c r="AC213" i="11"/>
  <c r="AD46" i="11"/>
  <c r="AC46" i="11"/>
  <c r="AD110" i="11"/>
  <c r="AC110" i="11"/>
  <c r="AD126" i="11"/>
  <c r="AC126" i="11"/>
  <c r="AD142" i="11"/>
  <c r="AC142" i="11"/>
  <c r="AD158" i="11"/>
  <c r="AC158" i="11"/>
  <c r="AD174" i="11"/>
  <c r="AC174" i="11"/>
  <c r="AD190" i="11"/>
  <c r="AC190" i="11"/>
  <c r="AD206" i="11"/>
  <c r="AC206" i="11"/>
  <c r="AD222" i="11"/>
  <c r="AC222" i="11"/>
  <c r="AD238" i="11"/>
  <c r="AC238" i="11"/>
  <c r="AD254" i="11"/>
  <c r="AC254" i="11"/>
  <c r="AD31" i="11"/>
  <c r="AC31" i="11"/>
  <c r="AD47" i="11"/>
  <c r="AC47" i="11"/>
  <c r="AD63" i="11"/>
  <c r="AC63" i="11"/>
  <c r="AD79" i="11"/>
  <c r="AC79" i="11"/>
  <c r="AD95" i="11"/>
  <c r="AC95" i="11"/>
  <c r="AD111" i="11"/>
  <c r="AC111" i="11"/>
  <c r="AD127" i="11"/>
  <c r="AC127" i="11"/>
  <c r="AD143" i="11"/>
  <c r="AC143" i="11"/>
  <c r="AD159" i="11"/>
  <c r="AC159" i="11"/>
  <c r="AD175" i="11"/>
  <c r="AC175" i="11"/>
  <c r="AD191" i="11"/>
  <c r="AC191" i="11"/>
  <c r="AD207" i="11"/>
  <c r="AC207" i="11"/>
  <c r="AD223" i="11"/>
  <c r="AC223" i="11"/>
  <c r="AD239" i="11"/>
  <c r="AC239" i="11"/>
  <c r="AD255" i="11"/>
  <c r="AC255" i="11"/>
  <c r="AC24" i="11"/>
  <c r="AD24" i="11"/>
  <c r="AC40" i="11"/>
  <c r="AD40" i="11"/>
  <c r="AC56" i="11"/>
  <c r="AD56" i="11"/>
  <c r="AC72" i="11"/>
  <c r="AD72" i="11"/>
  <c r="AC88" i="11"/>
  <c r="AD88" i="11"/>
  <c r="AC104" i="11"/>
  <c r="AD104" i="11"/>
  <c r="AD120" i="11"/>
  <c r="AC120" i="11"/>
  <c r="AD136" i="11"/>
  <c r="AC136" i="11"/>
  <c r="AD152" i="11"/>
  <c r="AC152" i="11"/>
  <c r="AD168" i="11"/>
  <c r="AC168" i="11"/>
  <c r="AD184" i="11"/>
  <c r="AC184" i="11"/>
  <c r="AD200" i="11"/>
  <c r="AC200" i="11"/>
  <c r="AD216" i="11"/>
  <c r="AC216" i="11"/>
  <c r="AD232" i="11"/>
  <c r="AC232" i="11"/>
  <c r="AD248" i="11"/>
  <c r="AC248" i="11"/>
  <c r="AC11" i="11"/>
  <c r="AP10" i="108"/>
  <c r="AJ10" i="108"/>
  <c r="AG11" i="108" a="1"/>
  <c r="AG11" i="108" s="1"/>
  <c r="BL11" i="108" s="1"/>
  <c r="AP44" i="108"/>
  <c r="AJ44" i="108"/>
  <c r="AG45" i="108" a="1"/>
  <c r="AG45" i="108" s="1"/>
  <c r="BL45" i="108" s="1"/>
  <c r="B46" i="108" a="1"/>
  <c r="B46" i="108" s="1"/>
  <c r="BM46" i="108" s="1"/>
  <c r="K45" i="108"/>
  <c r="M45" i="108"/>
  <c r="B11" i="108" a="1"/>
  <c r="B11" i="108" s="1"/>
  <c r="B134" i="22"/>
  <c r="B135" i="22"/>
  <c r="B76" i="22"/>
  <c r="AD16" i="11" l="1"/>
  <c r="AD15" i="11"/>
  <c r="AD14" i="11"/>
  <c r="W11" i="11"/>
  <c r="AX44" i="108"/>
  <c r="AZ44" i="108" s="1"/>
  <c r="AX10" i="108"/>
  <c r="AZ10" i="108" s="1"/>
  <c r="BK45" i="108"/>
  <c r="AT45" i="108"/>
  <c r="BF45" i="108"/>
  <c r="AR45" i="108"/>
  <c r="BG45" i="108"/>
  <c r="BE45" i="108"/>
  <c r="AJ45" i="108"/>
  <c r="BG11" i="108"/>
  <c r="BF11" i="108"/>
  <c r="AR11" i="108"/>
  <c r="BE11" i="108"/>
  <c r="AT11" i="108"/>
  <c r="AJ11" i="108"/>
  <c r="AG12" i="108" a="1"/>
  <c r="AG12" i="108" s="1"/>
  <c r="BL12" i="108" s="1"/>
  <c r="AP11" i="108"/>
  <c r="AP45" i="108"/>
  <c r="AG46" i="108" a="1"/>
  <c r="AG46" i="108" s="1"/>
  <c r="E46" i="108"/>
  <c r="B47" i="108" a="1"/>
  <c r="B47" i="108" s="1"/>
  <c r="BM47" i="108" s="1"/>
  <c r="M46" i="108"/>
  <c r="K46" i="108"/>
  <c r="B12" i="108" a="1"/>
  <c r="B12" i="108" s="1"/>
  <c r="BK44" i="108" l="1"/>
  <c r="BK10" i="108"/>
  <c r="BL46" i="108"/>
  <c r="BE46" i="108"/>
  <c r="BF46" i="108"/>
  <c r="BG46" i="108"/>
  <c r="AX45" i="108"/>
  <c r="AZ45" i="108" s="1"/>
  <c r="AX11" i="108"/>
  <c r="AZ11" i="108" s="1"/>
  <c r="BK46" i="108"/>
  <c r="BK12" i="108"/>
  <c r="AT46" i="108"/>
  <c r="AR46" i="108"/>
  <c r="BG12" i="108"/>
  <c r="BF12" i="108"/>
  <c r="AT12" i="108"/>
  <c r="AR12" i="108"/>
  <c r="BE12" i="108"/>
  <c r="AP12" i="108"/>
  <c r="AJ12" i="108"/>
  <c r="AG13" i="108" a="1"/>
  <c r="AG13" i="108" s="1"/>
  <c r="BL13" i="108" s="1"/>
  <c r="AJ46" i="108"/>
  <c r="AG47" i="108" a="1"/>
  <c r="AG47" i="108" s="1"/>
  <c r="BL47" i="108" s="1"/>
  <c r="AP46" i="108"/>
  <c r="E47" i="108"/>
  <c r="B48" i="108" a="1"/>
  <c r="B48" i="108" s="1"/>
  <c r="BM48" i="108" s="1"/>
  <c r="K47" i="108"/>
  <c r="M47" i="108"/>
  <c r="B13" i="108" a="1"/>
  <c r="B13" i="108" s="1"/>
  <c r="V747" i="107"/>
  <c r="V748" i="107"/>
  <c r="V504" i="107"/>
  <c r="V505" i="107"/>
  <c r="V506" i="107"/>
  <c r="V507" i="107"/>
  <c r="V508" i="107"/>
  <c r="V509" i="107"/>
  <c r="V510" i="107"/>
  <c r="V511" i="107"/>
  <c r="V512" i="107"/>
  <c r="V513" i="107"/>
  <c r="V514" i="107"/>
  <c r="V515" i="107"/>
  <c r="V516" i="107"/>
  <c r="V517" i="107"/>
  <c r="V518" i="107"/>
  <c r="V519" i="107"/>
  <c r="V520" i="107"/>
  <c r="V521" i="107"/>
  <c r="V522" i="107"/>
  <c r="V523" i="107"/>
  <c r="V524" i="107"/>
  <c r="V525" i="107"/>
  <c r="V526" i="107"/>
  <c r="V527" i="107"/>
  <c r="V528" i="107"/>
  <c r="V529" i="107"/>
  <c r="V530" i="107"/>
  <c r="V531" i="107"/>
  <c r="V532" i="107"/>
  <c r="V533" i="107"/>
  <c r="V534" i="107"/>
  <c r="V535" i="107"/>
  <c r="V536" i="107"/>
  <c r="V537" i="107"/>
  <c r="V538" i="107"/>
  <c r="V539" i="107"/>
  <c r="V540" i="107"/>
  <c r="V541" i="107"/>
  <c r="V542" i="107"/>
  <c r="V543" i="107"/>
  <c r="V544" i="107"/>
  <c r="V545" i="107"/>
  <c r="V546" i="107"/>
  <c r="V547" i="107"/>
  <c r="V548" i="107"/>
  <c r="V549" i="107"/>
  <c r="V550" i="107"/>
  <c r="V551" i="107"/>
  <c r="V552" i="107"/>
  <c r="V553" i="107"/>
  <c r="V554" i="107"/>
  <c r="V555" i="107"/>
  <c r="V556" i="107"/>
  <c r="V557" i="107"/>
  <c r="V558" i="107"/>
  <c r="V559" i="107"/>
  <c r="V560" i="107"/>
  <c r="V561" i="107"/>
  <c r="V562" i="107"/>
  <c r="V563" i="107"/>
  <c r="V564" i="107"/>
  <c r="V565" i="107"/>
  <c r="V566" i="107"/>
  <c r="V567" i="107"/>
  <c r="V568" i="107"/>
  <c r="V569" i="107"/>
  <c r="V570" i="107"/>
  <c r="V571" i="107"/>
  <c r="V572" i="107"/>
  <c r="V573" i="107"/>
  <c r="V574" i="107"/>
  <c r="V575" i="107"/>
  <c r="V576" i="107"/>
  <c r="V577" i="107"/>
  <c r="V578" i="107"/>
  <c r="V579" i="107"/>
  <c r="V580" i="107"/>
  <c r="V581" i="107"/>
  <c r="V582" i="107"/>
  <c r="V583" i="107"/>
  <c r="V584" i="107"/>
  <c r="V585" i="107"/>
  <c r="V586" i="107"/>
  <c r="V587" i="107"/>
  <c r="V588" i="107"/>
  <c r="V589" i="107"/>
  <c r="V590" i="107"/>
  <c r="V591" i="107"/>
  <c r="V592" i="107"/>
  <c r="V593" i="107"/>
  <c r="V594" i="107"/>
  <c r="V595" i="107"/>
  <c r="V596" i="107"/>
  <c r="V597" i="107"/>
  <c r="V598" i="107"/>
  <c r="V599" i="107"/>
  <c r="V600" i="107"/>
  <c r="V601" i="107"/>
  <c r="V602" i="107"/>
  <c r="V603" i="107"/>
  <c r="V604" i="107"/>
  <c r="V605" i="107"/>
  <c r="V606" i="107"/>
  <c r="V607" i="107"/>
  <c r="V608" i="107"/>
  <c r="V609" i="107"/>
  <c r="V610" i="107"/>
  <c r="V611" i="107"/>
  <c r="V612" i="107"/>
  <c r="V613" i="107"/>
  <c r="V614" i="107"/>
  <c r="V615" i="107"/>
  <c r="V616" i="107"/>
  <c r="V617" i="107"/>
  <c r="V618" i="107"/>
  <c r="V619" i="107"/>
  <c r="V620" i="107"/>
  <c r="V621" i="107"/>
  <c r="V622" i="107"/>
  <c r="V623" i="107"/>
  <c r="V624" i="107"/>
  <c r="V625" i="107"/>
  <c r="V626" i="107"/>
  <c r="V627" i="107"/>
  <c r="V628" i="107"/>
  <c r="V629" i="107"/>
  <c r="V630" i="107"/>
  <c r="V631" i="107"/>
  <c r="V632" i="107"/>
  <c r="V633" i="107"/>
  <c r="V634" i="107"/>
  <c r="V635" i="107"/>
  <c r="V636" i="107"/>
  <c r="V637" i="107"/>
  <c r="V638" i="107"/>
  <c r="V639" i="107"/>
  <c r="V640" i="107"/>
  <c r="V641" i="107"/>
  <c r="V642" i="107"/>
  <c r="V643" i="107"/>
  <c r="V644" i="107"/>
  <c r="V645" i="107"/>
  <c r="V646" i="107"/>
  <c r="V647" i="107"/>
  <c r="V648" i="107"/>
  <c r="V649" i="107"/>
  <c r="V650" i="107"/>
  <c r="V651" i="107"/>
  <c r="V652" i="107"/>
  <c r="V653" i="107"/>
  <c r="V654" i="107"/>
  <c r="V655" i="107"/>
  <c r="V656" i="107"/>
  <c r="V657" i="107"/>
  <c r="V658" i="107"/>
  <c r="V659" i="107"/>
  <c r="V660" i="107"/>
  <c r="V661" i="107"/>
  <c r="V662" i="107"/>
  <c r="V663" i="107"/>
  <c r="V664" i="107"/>
  <c r="V665" i="107"/>
  <c r="V666" i="107"/>
  <c r="V667" i="107"/>
  <c r="V668" i="107"/>
  <c r="V669" i="107"/>
  <c r="V670" i="107"/>
  <c r="V671" i="107"/>
  <c r="V672" i="107"/>
  <c r="V673" i="107"/>
  <c r="V674" i="107"/>
  <c r="V675" i="107"/>
  <c r="V676" i="107"/>
  <c r="V677" i="107"/>
  <c r="V678" i="107"/>
  <c r="V679" i="107"/>
  <c r="V680" i="107"/>
  <c r="V681" i="107"/>
  <c r="V682" i="107"/>
  <c r="V683" i="107"/>
  <c r="V684" i="107"/>
  <c r="V685" i="107"/>
  <c r="V686" i="107"/>
  <c r="V687" i="107"/>
  <c r="V688" i="107"/>
  <c r="V689" i="107"/>
  <c r="V690" i="107"/>
  <c r="V691" i="107"/>
  <c r="V692" i="107"/>
  <c r="V693" i="107"/>
  <c r="V694" i="107"/>
  <c r="V695" i="107"/>
  <c r="V696" i="107"/>
  <c r="V697" i="107"/>
  <c r="V698" i="107"/>
  <c r="V699" i="107"/>
  <c r="V700" i="107"/>
  <c r="V701" i="107"/>
  <c r="V702" i="107"/>
  <c r="V703" i="107"/>
  <c r="V704" i="107"/>
  <c r="V705" i="107"/>
  <c r="V706" i="107"/>
  <c r="V707" i="107"/>
  <c r="V708" i="107"/>
  <c r="V709" i="107"/>
  <c r="V710" i="107"/>
  <c r="V711" i="107"/>
  <c r="V712" i="107"/>
  <c r="V713" i="107"/>
  <c r="V714" i="107"/>
  <c r="V715" i="107"/>
  <c r="V716" i="107"/>
  <c r="V717" i="107"/>
  <c r="V718" i="107"/>
  <c r="V719" i="107"/>
  <c r="V720" i="107"/>
  <c r="V721" i="107"/>
  <c r="V722" i="107"/>
  <c r="V723" i="107"/>
  <c r="V724" i="107"/>
  <c r="V725" i="107"/>
  <c r="V726" i="107"/>
  <c r="V727" i="107"/>
  <c r="V728" i="107"/>
  <c r="V729" i="107"/>
  <c r="V730" i="107"/>
  <c r="V731" i="107"/>
  <c r="V732" i="107"/>
  <c r="V733" i="107"/>
  <c r="V734" i="107"/>
  <c r="V735" i="107"/>
  <c r="V736" i="107"/>
  <c r="V737" i="107"/>
  <c r="V738" i="107"/>
  <c r="V739" i="107"/>
  <c r="V740" i="107"/>
  <c r="V741" i="107"/>
  <c r="V742" i="107"/>
  <c r="V743" i="107"/>
  <c r="V744" i="107"/>
  <c r="V745" i="107"/>
  <c r="V746" i="107"/>
  <c r="V503" i="107"/>
  <c r="V256" i="107"/>
  <c r="V257" i="107"/>
  <c r="V258" i="107"/>
  <c r="V259" i="107"/>
  <c r="V260" i="107"/>
  <c r="V261" i="107"/>
  <c r="V262" i="107"/>
  <c r="V263" i="107"/>
  <c r="V264" i="107"/>
  <c r="V265" i="107"/>
  <c r="V266" i="107"/>
  <c r="V267" i="107"/>
  <c r="V268" i="107"/>
  <c r="V269" i="107"/>
  <c r="V270" i="107"/>
  <c r="V271" i="107"/>
  <c r="V272" i="107"/>
  <c r="V273" i="107"/>
  <c r="V274" i="107"/>
  <c r="V275" i="107"/>
  <c r="V276" i="107"/>
  <c r="V277" i="107"/>
  <c r="V278" i="107"/>
  <c r="V279" i="107"/>
  <c r="V280" i="107"/>
  <c r="V281" i="107"/>
  <c r="V282" i="107"/>
  <c r="V283" i="107"/>
  <c r="V284" i="107"/>
  <c r="V285" i="107"/>
  <c r="V286" i="107"/>
  <c r="V287" i="107"/>
  <c r="V288" i="107"/>
  <c r="V289" i="107"/>
  <c r="V290" i="107"/>
  <c r="V291" i="107"/>
  <c r="V292" i="107"/>
  <c r="V293" i="107"/>
  <c r="V294" i="107"/>
  <c r="V295" i="107"/>
  <c r="V296" i="107"/>
  <c r="V297" i="107"/>
  <c r="V298" i="107"/>
  <c r="V299" i="107"/>
  <c r="V300" i="107"/>
  <c r="V301" i="107"/>
  <c r="V302" i="107"/>
  <c r="V303" i="107"/>
  <c r="V304" i="107"/>
  <c r="V305" i="107"/>
  <c r="V306" i="107"/>
  <c r="V307" i="107"/>
  <c r="V308" i="107"/>
  <c r="V309" i="107"/>
  <c r="V310" i="107"/>
  <c r="V311" i="107"/>
  <c r="V312" i="107"/>
  <c r="V313" i="107"/>
  <c r="V314" i="107"/>
  <c r="V315" i="107"/>
  <c r="V316" i="107"/>
  <c r="V317" i="107"/>
  <c r="V318" i="107"/>
  <c r="V319" i="107"/>
  <c r="V320" i="107"/>
  <c r="V321" i="107"/>
  <c r="V322" i="107"/>
  <c r="V323" i="107"/>
  <c r="V324" i="107"/>
  <c r="V325" i="107"/>
  <c r="V326" i="107"/>
  <c r="V327" i="107"/>
  <c r="V328" i="107"/>
  <c r="V329" i="107"/>
  <c r="V330" i="107"/>
  <c r="V331" i="107"/>
  <c r="V332" i="107"/>
  <c r="V333" i="107"/>
  <c r="V334" i="107"/>
  <c r="V335" i="107"/>
  <c r="V336" i="107"/>
  <c r="V337" i="107"/>
  <c r="V338" i="107"/>
  <c r="V339" i="107"/>
  <c r="V340" i="107"/>
  <c r="V341" i="107"/>
  <c r="V342" i="107"/>
  <c r="V343" i="107"/>
  <c r="V344" i="107"/>
  <c r="V345" i="107"/>
  <c r="V346" i="107"/>
  <c r="V347" i="107"/>
  <c r="V348" i="107"/>
  <c r="V349" i="107"/>
  <c r="V350" i="107"/>
  <c r="V351" i="107"/>
  <c r="V352" i="107"/>
  <c r="V353" i="107"/>
  <c r="V354" i="107"/>
  <c r="V355" i="107"/>
  <c r="V356" i="107"/>
  <c r="V357" i="107"/>
  <c r="V358" i="107"/>
  <c r="V359" i="107"/>
  <c r="V360" i="107"/>
  <c r="V361" i="107"/>
  <c r="V362" i="107"/>
  <c r="V363" i="107"/>
  <c r="V364" i="107"/>
  <c r="V365" i="107"/>
  <c r="V366" i="107"/>
  <c r="V367" i="107"/>
  <c r="V368" i="107"/>
  <c r="V369" i="107"/>
  <c r="V370" i="107"/>
  <c r="V371" i="107"/>
  <c r="V372" i="107"/>
  <c r="V373" i="107"/>
  <c r="V374" i="107"/>
  <c r="V375" i="107"/>
  <c r="V376" i="107"/>
  <c r="V377" i="107"/>
  <c r="V378" i="107"/>
  <c r="V379" i="107"/>
  <c r="V380" i="107"/>
  <c r="V381" i="107"/>
  <c r="V382" i="107"/>
  <c r="V383" i="107"/>
  <c r="V384" i="107"/>
  <c r="V385" i="107"/>
  <c r="V386" i="107"/>
  <c r="V387" i="107"/>
  <c r="V388" i="107"/>
  <c r="V389" i="107"/>
  <c r="V390" i="107"/>
  <c r="V391" i="107"/>
  <c r="V392" i="107"/>
  <c r="V393" i="107"/>
  <c r="V394" i="107"/>
  <c r="V395" i="107"/>
  <c r="V396" i="107"/>
  <c r="V397" i="107"/>
  <c r="V398" i="107"/>
  <c r="V399" i="107"/>
  <c r="V400" i="107"/>
  <c r="V401" i="107"/>
  <c r="V402" i="107"/>
  <c r="V403" i="107"/>
  <c r="V404" i="107"/>
  <c r="V405" i="107"/>
  <c r="V406" i="107"/>
  <c r="V407" i="107"/>
  <c r="V408" i="107"/>
  <c r="V409" i="107"/>
  <c r="V410" i="107"/>
  <c r="V411" i="107"/>
  <c r="V412" i="107"/>
  <c r="V413" i="107"/>
  <c r="V414" i="107"/>
  <c r="V415" i="107"/>
  <c r="V416" i="107"/>
  <c r="V417" i="107"/>
  <c r="V418" i="107"/>
  <c r="V419" i="107"/>
  <c r="V420" i="107"/>
  <c r="V421" i="107"/>
  <c r="V422" i="107"/>
  <c r="V423" i="107"/>
  <c r="V424" i="107"/>
  <c r="V425" i="107"/>
  <c r="V426" i="107"/>
  <c r="V427" i="107"/>
  <c r="V428" i="107"/>
  <c r="V429" i="107"/>
  <c r="V430" i="107"/>
  <c r="V431" i="107"/>
  <c r="V432" i="107"/>
  <c r="V433" i="107"/>
  <c r="V434" i="107"/>
  <c r="V435" i="107"/>
  <c r="V436" i="107"/>
  <c r="V437" i="107"/>
  <c r="V438" i="107"/>
  <c r="V439" i="107"/>
  <c r="V440" i="107"/>
  <c r="V441" i="107"/>
  <c r="V442" i="107"/>
  <c r="V443" i="107"/>
  <c r="V444" i="107"/>
  <c r="V445" i="107"/>
  <c r="V446" i="107"/>
  <c r="V447" i="107"/>
  <c r="V448" i="107"/>
  <c r="V449" i="107"/>
  <c r="V450" i="107"/>
  <c r="V451" i="107"/>
  <c r="V452" i="107"/>
  <c r="V453" i="107"/>
  <c r="V454" i="107"/>
  <c r="V455" i="107"/>
  <c r="V456" i="107"/>
  <c r="V457" i="107"/>
  <c r="V458" i="107"/>
  <c r="V459" i="107"/>
  <c r="V460" i="107"/>
  <c r="V461" i="107"/>
  <c r="V462" i="107"/>
  <c r="V463" i="107"/>
  <c r="V464" i="107"/>
  <c r="V465" i="107"/>
  <c r="V466" i="107"/>
  <c r="V467" i="107"/>
  <c r="V468" i="107"/>
  <c r="V469" i="107"/>
  <c r="V470" i="107"/>
  <c r="V471" i="107"/>
  <c r="V472" i="107"/>
  <c r="V473" i="107"/>
  <c r="V474" i="107"/>
  <c r="V475" i="107"/>
  <c r="V476" i="107"/>
  <c r="V477" i="107"/>
  <c r="V478" i="107"/>
  <c r="V479" i="107"/>
  <c r="V480" i="107"/>
  <c r="V481" i="107"/>
  <c r="V482" i="107"/>
  <c r="V483" i="107"/>
  <c r="V484" i="107"/>
  <c r="V485" i="107"/>
  <c r="V486" i="107"/>
  <c r="V487" i="107"/>
  <c r="V488" i="107"/>
  <c r="V489" i="107"/>
  <c r="V490" i="107"/>
  <c r="V491" i="107"/>
  <c r="V492" i="107"/>
  <c r="V493" i="107"/>
  <c r="V494" i="107"/>
  <c r="V495" i="107"/>
  <c r="V496" i="107"/>
  <c r="V497" i="107"/>
  <c r="V498" i="107"/>
  <c r="V499" i="107"/>
  <c r="V500" i="107"/>
  <c r="V501" i="107"/>
  <c r="V502" i="107"/>
  <c r="V255" i="107"/>
  <c r="V251" i="107"/>
  <c r="V252" i="107"/>
  <c r="V253" i="107"/>
  <c r="V254" i="107"/>
  <c r="V248" i="107"/>
  <c r="V249" i="107"/>
  <c r="V250" i="107"/>
  <c r="V224" i="107"/>
  <c r="V225" i="107"/>
  <c r="V226" i="107"/>
  <c r="V227" i="107"/>
  <c r="V228" i="107"/>
  <c r="V229" i="107"/>
  <c r="V230" i="107"/>
  <c r="V231" i="107"/>
  <c r="V232" i="107"/>
  <c r="V233" i="107"/>
  <c r="V234" i="107"/>
  <c r="V235" i="107"/>
  <c r="V236" i="107"/>
  <c r="V237" i="107"/>
  <c r="V238" i="107"/>
  <c r="V239" i="107"/>
  <c r="V240" i="107"/>
  <c r="V241" i="107"/>
  <c r="V242" i="107"/>
  <c r="V243" i="107"/>
  <c r="V244" i="107"/>
  <c r="V245" i="107"/>
  <c r="V246" i="107"/>
  <c r="V247" i="107"/>
  <c r="V8" i="107"/>
  <c r="V9" i="107"/>
  <c r="V10" i="107"/>
  <c r="V11" i="107"/>
  <c r="V12" i="107"/>
  <c r="V13" i="107"/>
  <c r="V14" i="107"/>
  <c r="V15" i="107"/>
  <c r="V16" i="107"/>
  <c r="V17" i="107"/>
  <c r="V18" i="107"/>
  <c r="V19" i="107"/>
  <c r="V20" i="107"/>
  <c r="V21" i="107"/>
  <c r="V22" i="107"/>
  <c r="V23" i="107"/>
  <c r="V24" i="107"/>
  <c r="V25" i="107"/>
  <c r="V26" i="107"/>
  <c r="V27" i="107"/>
  <c r="V28" i="107"/>
  <c r="V29" i="107"/>
  <c r="V30" i="107"/>
  <c r="V31" i="107"/>
  <c r="V32" i="107"/>
  <c r="V33" i="107"/>
  <c r="V34" i="107"/>
  <c r="V35" i="107"/>
  <c r="V36" i="107"/>
  <c r="V37" i="107"/>
  <c r="V38" i="107"/>
  <c r="V39" i="107"/>
  <c r="V40" i="107"/>
  <c r="V41" i="107"/>
  <c r="V42" i="107"/>
  <c r="V43" i="107"/>
  <c r="V44" i="107"/>
  <c r="V45" i="107"/>
  <c r="V46" i="107"/>
  <c r="V47" i="107"/>
  <c r="V48" i="107"/>
  <c r="V49" i="107"/>
  <c r="V50" i="107"/>
  <c r="V51" i="107"/>
  <c r="V52" i="107"/>
  <c r="V53" i="107"/>
  <c r="V54" i="107"/>
  <c r="V55" i="107"/>
  <c r="V56" i="107"/>
  <c r="V57" i="107"/>
  <c r="V58" i="107"/>
  <c r="V59" i="107"/>
  <c r="V60" i="107"/>
  <c r="V61" i="107"/>
  <c r="V62" i="107"/>
  <c r="V63" i="107"/>
  <c r="V64" i="107"/>
  <c r="V65" i="107"/>
  <c r="V66" i="107"/>
  <c r="V67" i="107"/>
  <c r="V68" i="107"/>
  <c r="V69" i="107"/>
  <c r="V70" i="107"/>
  <c r="V71" i="107"/>
  <c r="V72" i="107"/>
  <c r="V73" i="107"/>
  <c r="V74" i="107"/>
  <c r="V75" i="107"/>
  <c r="V76" i="107"/>
  <c r="V77" i="107"/>
  <c r="V78" i="107"/>
  <c r="V79" i="107"/>
  <c r="V80" i="107"/>
  <c r="V81" i="107"/>
  <c r="V82" i="107"/>
  <c r="V83" i="107"/>
  <c r="V84" i="107"/>
  <c r="V85" i="107"/>
  <c r="V86" i="107"/>
  <c r="V87" i="107"/>
  <c r="V88" i="107"/>
  <c r="V89" i="107"/>
  <c r="V90" i="107"/>
  <c r="V91" i="107"/>
  <c r="V92" i="107"/>
  <c r="V93" i="107"/>
  <c r="V94" i="107"/>
  <c r="V95" i="107"/>
  <c r="V96" i="107"/>
  <c r="V97" i="107"/>
  <c r="V98" i="107"/>
  <c r="V99" i="107"/>
  <c r="V100" i="107"/>
  <c r="V101" i="107"/>
  <c r="V102" i="107"/>
  <c r="V103" i="107"/>
  <c r="V104" i="107"/>
  <c r="V105" i="107"/>
  <c r="V106" i="107"/>
  <c r="V107" i="107"/>
  <c r="V108" i="107"/>
  <c r="V109" i="107"/>
  <c r="V110" i="107"/>
  <c r="V111" i="107"/>
  <c r="V112" i="107"/>
  <c r="V113" i="107"/>
  <c r="V114" i="107"/>
  <c r="V115" i="107"/>
  <c r="V116" i="107"/>
  <c r="V117" i="107"/>
  <c r="V118" i="107"/>
  <c r="V119" i="107"/>
  <c r="V120" i="107"/>
  <c r="V121" i="107"/>
  <c r="V122" i="107"/>
  <c r="V123" i="107"/>
  <c r="V124" i="107"/>
  <c r="V125" i="107"/>
  <c r="V126" i="107"/>
  <c r="V127" i="107"/>
  <c r="V128" i="107"/>
  <c r="V129" i="107"/>
  <c r="V130" i="107"/>
  <c r="V131" i="107"/>
  <c r="V132" i="107"/>
  <c r="V133" i="107"/>
  <c r="V134" i="107"/>
  <c r="V135" i="107"/>
  <c r="V136" i="107"/>
  <c r="V137" i="107"/>
  <c r="V138" i="107"/>
  <c r="V139" i="107"/>
  <c r="V140" i="107"/>
  <c r="V141" i="107"/>
  <c r="V142" i="107"/>
  <c r="V143" i="107"/>
  <c r="V144" i="107"/>
  <c r="V145" i="107"/>
  <c r="V146" i="107"/>
  <c r="V147" i="107"/>
  <c r="V148" i="107"/>
  <c r="V149" i="107"/>
  <c r="V150" i="107"/>
  <c r="V151" i="107"/>
  <c r="V152" i="107"/>
  <c r="V153" i="107"/>
  <c r="V154" i="107"/>
  <c r="V155" i="107"/>
  <c r="V156" i="107"/>
  <c r="V157" i="107"/>
  <c r="V158" i="107"/>
  <c r="V159" i="107"/>
  <c r="V160" i="107"/>
  <c r="V161" i="107"/>
  <c r="V162" i="107"/>
  <c r="V163" i="107"/>
  <c r="V164" i="107"/>
  <c r="V165" i="107"/>
  <c r="V166" i="107"/>
  <c r="V167" i="107"/>
  <c r="V168" i="107"/>
  <c r="V169" i="107"/>
  <c r="V170" i="107"/>
  <c r="V171" i="107"/>
  <c r="V172" i="107"/>
  <c r="V173" i="107"/>
  <c r="V174" i="107"/>
  <c r="V175" i="107"/>
  <c r="V176" i="107"/>
  <c r="V177" i="107"/>
  <c r="V178" i="107"/>
  <c r="V179" i="107"/>
  <c r="V180" i="107"/>
  <c r="V181" i="107"/>
  <c r="V182" i="107"/>
  <c r="V183" i="107"/>
  <c r="V184" i="107"/>
  <c r="V185" i="107"/>
  <c r="V186" i="107"/>
  <c r="V187" i="107"/>
  <c r="V188" i="107"/>
  <c r="V189" i="107"/>
  <c r="V190" i="107"/>
  <c r="V191" i="107"/>
  <c r="V192" i="107"/>
  <c r="V193" i="107"/>
  <c r="V194" i="107"/>
  <c r="V195" i="107"/>
  <c r="V196" i="107"/>
  <c r="V197" i="107"/>
  <c r="V198" i="107"/>
  <c r="V199" i="107"/>
  <c r="V200" i="107"/>
  <c r="V201" i="107"/>
  <c r="V202" i="107"/>
  <c r="V203" i="107"/>
  <c r="V204" i="107"/>
  <c r="V205" i="107"/>
  <c r="V206" i="107"/>
  <c r="V207" i="107"/>
  <c r="V208" i="107"/>
  <c r="V209" i="107"/>
  <c r="V210" i="107"/>
  <c r="V211" i="107"/>
  <c r="V212" i="107"/>
  <c r="V213" i="107"/>
  <c r="V214" i="107"/>
  <c r="V215" i="107"/>
  <c r="V216" i="107"/>
  <c r="V217" i="107"/>
  <c r="V218" i="107"/>
  <c r="V219" i="107"/>
  <c r="V220" i="107"/>
  <c r="V221" i="107"/>
  <c r="V222" i="107"/>
  <c r="V223" i="107"/>
  <c r="V7" i="107"/>
  <c r="M501" i="107"/>
  <c r="M502" i="107"/>
  <c r="M503" i="107"/>
  <c r="M504" i="107"/>
  <c r="M505" i="107"/>
  <c r="M506" i="107"/>
  <c r="M507" i="107"/>
  <c r="M508" i="107"/>
  <c r="M509" i="107"/>
  <c r="M510" i="107"/>
  <c r="M511" i="107"/>
  <c r="M512" i="107"/>
  <c r="M513" i="107"/>
  <c r="M514" i="107"/>
  <c r="M515" i="107"/>
  <c r="M516" i="107"/>
  <c r="M517" i="107"/>
  <c r="M518" i="107"/>
  <c r="M519" i="107"/>
  <c r="M520" i="107"/>
  <c r="M521" i="107"/>
  <c r="M522" i="107"/>
  <c r="M523" i="107"/>
  <c r="M524" i="107"/>
  <c r="M525" i="107"/>
  <c r="M526" i="107"/>
  <c r="M527" i="107"/>
  <c r="M528" i="107"/>
  <c r="M529" i="107"/>
  <c r="M530" i="107"/>
  <c r="M531" i="107"/>
  <c r="M532" i="107"/>
  <c r="M533" i="107"/>
  <c r="M534" i="107"/>
  <c r="M535" i="107"/>
  <c r="M536" i="107"/>
  <c r="M537" i="107"/>
  <c r="M538" i="107"/>
  <c r="M539" i="107"/>
  <c r="M540" i="107"/>
  <c r="M541" i="107"/>
  <c r="M542" i="107"/>
  <c r="M543" i="107"/>
  <c r="M544" i="107"/>
  <c r="M545" i="107"/>
  <c r="M546" i="107"/>
  <c r="M547" i="107"/>
  <c r="M548" i="107"/>
  <c r="M549" i="107"/>
  <c r="M550" i="107"/>
  <c r="M551" i="107"/>
  <c r="M552" i="107"/>
  <c r="M553" i="107"/>
  <c r="M554" i="107"/>
  <c r="M555" i="107"/>
  <c r="M556" i="107"/>
  <c r="M557" i="107"/>
  <c r="M558" i="107"/>
  <c r="M559" i="107"/>
  <c r="M560" i="107"/>
  <c r="M561" i="107"/>
  <c r="M562" i="107"/>
  <c r="M563" i="107"/>
  <c r="M564" i="107"/>
  <c r="M565" i="107"/>
  <c r="M566" i="107"/>
  <c r="M567" i="107"/>
  <c r="M568" i="107"/>
  <c r="M569" i="107"/>
  <c r="M570" i="107"/>
  <c r="M571" i="107"/>
  <c r="M572" i="107"/>
  <c r="M573" i="107"/>
  <c r="M574" i="107"/>
  <c r="M575" i="107"/>
  <c r="M576" i="107"/>
  <c r="M577" i="107"/>
  <c r="M578" i="107"/>
  <c r="M579" i="107"/>
  <c r="M580" i="107"/>
  <c r="M581" i="107"/>
  <c r="M582" i="107"/>
  <c r="M583" i="107"/>
  <c r="M584" i="107"/>
  <c r="M585" i="107"/>
  <c r="M586" i="107"/>
  <c r="M587" i="107"/>
  <c r="M588" i="107"/>
  <c r="M589" i="107"/>
  <c r="M590" i="107"/>
  <c r="M591" i="107"/>
  <c r="M592" i="107"/>
  <c r="M593" i="107"/>
  <c r="M594" i="107"/>
  <c r="M595" i="107"/>
  <c r="M596" i="107"/>
  <c r="M597" i="107"/>
  <c r="M598" i="107"/>
  <c r="M599" i="107"/>
  <c r="M600" i="107"/>
  <c r="M601" i="107"/>
  <c r="M602" i="107"/>
  <c r="M603" i="107"/>
  <c r="M604" i="107"/>
  <c r="M605" i="107"/>
  <c r="M606" i="107"/>
  <c r="M607" i="107"/>
  <c r="M608" i="107"/>
  <c r="M609" i="107"/>
  <c r="M610" i="107"/>
  <c r="M611" i="107"/>
  <c r="M612" i="107"/>
  <c r="M613" i="107"/>
  <c r="M614" i="107"/>
  <c r="M615" i="107"/>
  <c r="M616" i="107"/>
  <c r="M617" i="107"/>
  <c r="M618" i="107"/>
  <c r="M619" i="107"/>
  <c r="M620" i="107"/>
  <c r="M621" i="107"/>
  <c r="M622" i="107"/>
  <c r="M623" i="107"/>
  <c r="M624" i="107"/>
  <c r="M625" i="107"/>
  <c r="M626" i="107"/>
  <c r="M627" i="107"/>
  <c r="M628" i="107"/>
  <c r="M629" i="107"/>
  <c r="M630" i="107"/>
  <c r="M631" i="107"/>
  <c r="M632" i="107"/>
  <c r="M633" i="107"/>
  <c r="M634" i="107"/>
  <c r="M635" i="107"/>
  <c r="M636" i="107"/>
  <c r="M637" i="107"/>
  <c r="M638" i="107"/>
  <c r="M639" i="107"/>
  <c r="M640" i="107"/>
  <c r="M641" i="107"/>
  <c r="M642" i="107"/>
  <c r="M643" i="107"/>
  <c r="M644" i="107"/>
  <c r="M645" i="107"/>
  <c r="M646" i="107"/>
  <c r="M647" i="107"/>
  <c r="M648" i="107"/>
  <c r="M649" i="107"/>
  <c r="M650" i="107"/>
  <c r="M651" i="107"/>
  <c r="M652" i="107"/>
  <c r="M653" i="107"/>
  <c r="M654" i="107"/>
  <c r="M655" i="107"/>
  <c r="M656" i="107"/>
  <c r="M657" i="107"/>
  <c r="M658" i="107"/>
  <c r="M659" i="107"/>
  <c r="M660" i="107"/>
  <c r="M661" i="107"/>
  <c r="M662" i="107"/>
  <c r="M663" i="107"/>
  <c r="M664" i="107"/>
  <c r="M665" i="107"/>
  <c r="M666" i="107"/>
  <c r="M667" i="107"/>
  <c r="M668" i="107"/>
  <c r="M669" i="107"/>
  <c r="M670" i="107"/>
  <c r="M671" i="107"/>
  <c r="M672" i="107"/>
  <c r="M673" i="107"/>
  <c r="M674" i="107"/>
  <c r="M675" i="107"/>
  <c r="M676" i="107"/>
  <c r="M677" i="107"/>
  <c r="M678" i="107"/>
  <c r="M679" i="107"/>
  <c r="M680" i="107"/>
  <c r="M681" i="107"/>
  <c r="M682" i="107"/>
  <c r="M683" i="107"/>
  <c r="M684" i="107"/>
  <c r="M685" i="107"/>
  <c r="M686" i="107"/>
  <c r="M687" i="107"/>
  <c r="M688" i="107"/>
  <c r="M689" i="107"/>
  <c r="M690" i="107"/>
  <c r="M691" i="107"/>
  <c r="M692" i="107"/>
  <c r="M693" i="107"/>
  <c r="M694" i="107"/>
  <c r="M695" i="107"/>
  <c r="M696" i="107"/>
  <c r="M697" i="107"/>
  <c r="M698" i="107"/>
  <c r="M699" i="107"/>
  <c r="M700" i="107"/>
  <c r="M701" i="107"/>
  <c r="M702" i="107"/>
  <c r="M703" i="107"/>
  <c r="M704" i="107"/>
  <c r="M705" i="107"/>
  <c r="M706" i="107"/>
  <c r="M707" i="107"/>
  <c r="M708" i="107"/>
  <c r="M709" i="107"/>
  <c r="M710" i="107"/>
  <c r="M711" i="107"/>
  <c r="M712" i="107"/>
  <c r="M713" i="107"/>
  <c r="M714" i="107"/>
  <c r="M715" i="107"/>
  <c r="M716" i="107"/>
  <c r="M717" i="107"/>
  <c r="M718" i="107"/>
  <c r="M719" i="107"/>
  <c r="M720" i="107"/>
  <c r="M721" i="107"/>
  <c r="M722" i="107"/>
  <c r="M723" i="107"/>
  <c r="M724" i="107"/>
  <c r="M725" i="107"/>
  <c r="M726" i="107"/>
  <c r="M727" i="107"/>
  <c r="M728" i="107"/>
  <c r="M729" i="107"/>
  <c r="M730" i="107"/>
  <c r="M731" i="107"/>
  <c r="M732" i="107"/>
  <c r="M733" i="107"/>
  <c r="M734" i="107"/>
  <c r="M735" i="107"/>
  <c r="M736" i="107"/>
  <c r="M737" i="107"/>
  <c r="M738" i="107"/>
  <c r="M739" i="107"/>
  <c r="M740" i="107"/>
  <c r="M741" i="107"/>
  <c r="M742" i="107"/>
  <c r="M743" i="107"/>
  <c r="M744" i="107"/>
  <c r="M745" i="107"/>
  <c r="M500" i="107"/>
  <c r="M256" i="107"/>
  <c r="M257" i="107"/>
  <c r="M258" i="107"/>
  <c r="M259" i="107"/>
  <c r="M260" i="107"/>
  <c r="M261" i="107"/>
  <c r="M262" i="107"/>
  <c r="M263" i="107"/>
  <c r="M264" i="107"/>
  <c r="M265" i="107"/>
  <c r="M266" i="107"/>
  <c r="M267" i="107"/>
  <c r="M268" i="107"/>
  <c r="M269" i="107"/>
  <c r="M270" i="107"/>
  <c r="M271" i="107"/>
  <c r="M272" i="107"/>
  <c r="M273" i="107"/>
  <c r="M274" i="107"/>
  <c r="M275" i="107"/>
  <c r="M276" i="107"/>
  <c r="M277" i="107"/>
  <c r="M278" i="107"/>
  <c r="M279" i="107"/>
  <c r="M280" i="107"/>
  <c r="M281" i="107"/>
  <c r="M282" i="107"/>
  <c r="M283" i="107"/>
  <c r="M284" i="107"/>
  <c r="M285" i="107"/>
  <c r="M286" i="107"/>
  <c r="M287" i="107"/>
  <c r="M288" i="107"/>
  <c r="M289" i="107"/>
  <c r="M290" i="107"/>
  <c r="M291" i="107"/>
  <c r="M292" i="107"/>
  <c r="M293" i="107"/>
  <c r="M294" i="107"/>
  <c r="M295" i="107"/>
  <c r="M296" i="107"/>
  <c r="M297" i="107"/>
  <c r="M298" i="107"/>
  <c r="M299" i="107"/>
  <c r="M300" i="107"/>
  <c r="M301" i="107"/>
  <c r="M302" i="107"/>
  <c r="M303" i="107"/>
  <c r="M304" i="107"/>
  <c r="M305" i="107"/>
  <c r="M306" i="107"/>
  <c r="M307" i="107"/>
  <c r="M308" i="107"/>
  <c r="M309" i="107"/>
  <c r="M310" i="107"/>
  <c r="M311" i="107"/>
  <c r="M312" i="107"/>
  <c r="M313" i="107"/>
  <c r="M314" i="107"/>
  <c r="M315" i="107"/>
  <c r="M316" i="107"/>
  <c r="M317" i="107"/>
  <c r="M318" i="107"/>
  <c r="M319" i="107"/>
  <c r="M320" i="107"/>
  <c r="M321" i="107"/>
  <c r="M322" i="107"/>
  <c r="M323" i="107"/>
  <c r="M324" i="107"/>
  <c r="M325" i="107"/>
  <c r="M326" i="107"/>
  <c r="M327" i="107"/>
  <c r="M328" i="107"/>
  <c r="M329" i="107"/>
  <c r="M330" i="107"/>
  <c r="M331" i="107"/>
  <c r="M332" i="107"/>
  <c r="M333" i="107"/>
  <c r="M334" i="107"/>
  <c r="M335" i="107"/>
  <c r="M336" i="107"/>
  <c r="M337" i="107"/>
  <c r="M338" i="107"/>
  <c r="M339" i="107"/>
  <c r="M340" i="107"/>
  <c r="M341" i="107"/>
  <c r="M342" i="107"/>
  <c r="M343" i="107"/>
  <c r="M344" i="107"/>
  <c r="M345" i="107"/>
  <c r="M346" i="107"/>
  <c r="M347" i="107"/>
  <c r="M348" i="107"/>
  <c r="M349" i="107"/>
  <c r="M350" i="107"/>
  <c r="M351" i="107"/>
  <c r="M352" i="107"/>
  <c r="M353" i="107"/>
  <c r="M354" i="107"/>
  <c r="M355" i="107"/>
  <c r="M356" i="107"/>
  <c r="M357" i="107"/>
  <c r="M358" i="107"/>
  <c r="M359" i="107"/>
  <c r="M360" i="107"/>
  <c r="M361" i="107"/>
  <c r="M362" i="107"/>
  <c r="M363" i="107"/>
  <c r="M364" i="107"/>
  <c r="M365" i="107"/>
  <c r="M366" i="107"/>
  <c r="M367" i="107"/>
  <c r="M368" i="107"/>
  <c r="M369" i="107"/>
  <c r="M370" i="107"/>
  <c r="M371" i="107"/>
  <c r="M372" i="107"/>
  <c r="M373" i="107"/>
  <c r="M374" i="107"/>
  <c r="M375" i="107"/>
  <c r="M376" i="107"/>
  <c r="M377" i="107"/>
  <c r="M378" i="107"/>
  <c r="M379" i="107"/>
  <c r="M380" i="107"/>
  <c r="M381" i="107"/>
  <c r="M382" i="107"/>
  <c r="M383" i="107"/>
  <c r="M384" i="107"/>
  <c r="M385" i="107"/>
  <c r="M386" i="107"/>
  <c r="M387" i="107"/>
  <c r="M388" i="107"/>
  <c r="M389" i="107"/>
  <c r="M390" i="107"/>
  <c r="M391" i="107"/>
  <c r="M392" i="107"/>
  <c r="M393" i="107"/>
  <c r="M394" i="107"/>
  <c r="M395" i="107"/>
  <c r="M396" i="107"/>
  <c r="M397" i="107"/>
  <c r="M398" i="107"/>
  <c r="M399" i="107"/>
  <c r="M400" i="107"/>
  <c r="M401" i="107"/>
  <c r="M402" i="107"/>
  <c r="M403" i="107"/>
  <c r="M404" i="107"/>
  <c r="M405" i="107"/>
  <c r="M406" i="107"/>
  <c r="M407" i="107"/>
  <c r="M408" i="107"/>
  <c r="M409" i="107"/>
  <c r="M410" i="107"/>
  <c r="M411" i="107"/>
  <c r="M412" i="107"/>
  <c r="M413" i="107"/>
  <c r="M414" i="107"/>
  <c r="M415" i="107"/>
  <c r="M416" i="107"/>
  <c r="M417" i="107"/>
  <c r="M418" i="107"/>
  <c r="M419" i="107"/>
  <c r="M420" i="107"/>
  <c r="M421" i="107"/>
  <c r="M422" i="107"/>
  <c r="M423" i="107"/>
  <c r="M424" i="107"/>
  <c r="M425" i="107"/>
  <c r="M426" i="107"/>
  <c r="M427" i="107"/>
  <c r="M428" i="107"/>
  <c r="M429" i="107"/>
  <c r="M430" i="107"/>
  <c r="M431" i="107"/>
  <c r="M432" i="107"/>
  <c r="M433" i="107"/>
  <c r="M434" i="107"/>
  <c r="M435" i="107"/>
  <c r="M436" i="107"/>
  <c r="M437" i="107"/>
  <c r="M438" i="107"/>
  <c r="M439" i="107"/>
  <c r="M440" i="107"/>
  <c r="M441" i="107"/>
  <c r="M442" i="107"/>
  <c r="M443" i="107"/>
  <c r="M444" i="107"/>
  <c r="M445" i="107"/>
  <c r="M446" i="107"/>
  <c r="M447" i="107"/>
  <c r="M448" i="107"/>
  <c r="M449" i="107"/>
  <c r="M450" i="107"/>
  <c r="M451" i="107"/>
  <c r="M452" i="107"/>
  <c r="M453" i="107"/>
  <c r="M454" i="107"/>
  <c r="M455" i="107"/>
  <c r="M456" i="107"/>
  <c r="M457" i="107"/>
  <c r="M458" i="107"/>
  <c r="M459" i="107"/>
  <c r="M460" i="107"/>
  <c r="M461" i="107"/>
  <c r="M462" i="107"/>
  <c r="M463" i="107"/>
  <c r="M464" i="107"/>
  <c r="M465" i="107"/>
  <c r="M466" i="107"/>
  <c r="M467" i="107"/>
  <c r="M468" i="107"/>
  <c r="M469" i="107"/>
  <c r="M470" i="107"/>
  <c r="M471" i="107"/>
  <c r="M472" i="107"/>
  <c r="M473" i="107"/>
  <c r="M474" i="107"/>
  <c r="M475" i="107"/>
  <c r="M476" i="107"/>
  <c r="M477" i="107"/>
  <c r="M478" i="107"/>
  <c r="M479" i="107"/>
  <c r="M480" i="107"/>
  <c r="M481" i="107"/>
  <c r="M482" i="107"/>
  <c r="M483" i="107"/>
  <c r="M484" i="107"/>
  <c r="M485" i="107"/>
  <c r="M486" i="107"/>
  <c r="M487" i="107"/>
  <c r="M488" i="107"/>
  <c r="M489" i="107"/>
  <c r="M490" i="107"/>
  <c r="M491" i="107"/>
  <c r="M492" i="107"/>
  <c r="M493" i="107"/>
  <c r="M494" i="107"/>
  <c r="M495" i="107"/>
  <c r="M496" i="107"/>
  <c r="M497" i="107"/>
  <c r="M498" i="107"/>
  <c r="M499" i="107"/>
  <c r="M255" i="107"/>
  <c r="M8" i="107"/>
  <c r="M9" i="107"/>
  <c r="M10" i="107"/>
  <c r="M11" i="107"/>
  <c r="M12" i="107"/>
  <c r="M13" i="107"/>
  <c r="M14" i="107"/>
  <c r="M15" i="107"/>
  <c r="M16" i="107"/>
  <c r="M17" i="107"/>
  <c r="M18" i="107"/>
  <c r="M19" i="107"/>
  <c r="M20" i="107"/>
  <c r="M21" i="107"/>
  <c r="M22" i="107"/>
  <c r="M23" i="107"/>
  <c r="M24" i="107"/>
  <c r="M25" i="107"/>
  <c r="M26" i="107"/>
  <c r="M27" i="107"/>
  <c r="M28" i="107"/>
  <c r="M29" i="107"/>
  <c r="M30" i="107"/>
  <c r="M31" i="107"/>
  <c r="M32" i="107"/>
  <c r="M33" i="107"/>
  <c r="M34" i="107"/>
  <c r="M35" i="107"/>
  <c r="M36" i="107"/>
  <c r="M37" i="107"/>
  <c r="M38" i="107"/>
  <c r="M39" i="107"/>
  <c r="M40" i="107"/>
  <c r="M41" i="107"/>
  <c r="M42" i="107"/>
  <c r="M43" i="107"/>
  <c r="M44" i="107"/>
  <c r="M45" i="107"/>
  <c r="M46" i="107"/>
  <c r="M47" i="107"/>
  <c r="M48" i="107"/>
  <c r="M49" i="107"/>
  <c r="M50" i="107"/>
  <c r="M51" i="107"/>
  <c r="M52" i="107"/>
  <c r="M53" i="107"/>
  <c r="M54" i="107"/>
  <c r="M55" i="107"/>
  <c r="M56" i="107"/>
  <c r="M57" i="107"/>
  <c r="M58" i="107"/>
  <c r="M59" i="107"/>
  <c r="M60" i="107"/>
  <c r="M61" i="107"/>
  <c r="M62" i="107"/>
  <c r="M63" i="107"/>
  <c r="M64" i="107"/>
  <c r="M65" i="107"/>
  <c r="M66" i="107"/>
  <c r="M67" i="107"/>
  <c r="M68" i="107"/>
  <c r="M69" i="107"/>
  <c r="M70" i="107"/>
  <c r="M71" i="107"/>
  <c r="M72" i="107"/>
  <c r="M73" i="107"/>
  <c r="M74" i="107"/>
  <c r="M75" i="107"/>
  <c r="M76" i="107"/>
  <c r="M77" i="107"/>
  <c r="M78" i="107"/>
  <c r="M79" i="107"/>
  <c r="M80" i="107"/>
  <c r="M81" i="107"/>
  <c r="M82" i="107"/>
  <c r="M83" i="107"/>
  <c r="M84" i="107"/>
  <c r="M85" i="107"/>
  <c r="M86" i="107"/>
  <c r="M87" i="107"/>
  <c r="M88" i="107"/>
  <c r="M89" i="107"/>
  <c r="M90" i="107"/>
  <c r="M91" i="107"/>
  <c r="M92" i="107"/>
  <c r="M93" i="107"/>
  <c r="M94" i="107"/>
  <c r="M95" i="107"/>
  <c r="M96" i="107"/>
  <c r="M97" i="107"/>
  <c r="M98" i="107"/>
  <c r="M99" i="107"/>
  <c r="M100" i="107"/>
  <c r="M101" i="107"/>
  <c r="M102" i="107"/>
  <c r="M103" i="107"/>
  <c r="M104" i="107"/>
  <c r="M105" i="107"/>
  <c r="M106" i="107"/>
  <c r="M107" i="107"/>
  <c r="M108" i="107"/>
  <c r="M109" i="107"/>
  <c r="M110" i="107"/>
  <c r="M111" i="107"/>
  <c r="M112" i="107"/>
  <c r="M113" i="107"/>
  <c r="M114" i="107"/>
  <c r="M115" i="107"/>
  <c r="M116" i="107"/>
  <c r="M117" i="107"/>
  <c r="M118" i="107"/>
  <c r="M119" i="107"/>
  <c r="M120" i="107"/>
  <c r="M121" i="107"/>
  <c r="M122" i="107"/>
  <c r="M123" i="107"/>
  <c r="M124" i="107"/>
  <c r="M125" i="107"/>
  <c r="M126" i="107"/>
  <c r="M127" i="107"/>
  <c r="M128" i="107"/>
  <c r="M129" i="107"/>
  <c r="M130" i="107"/>
  <c r="M131" i="107"/>
  <c r="M132" i="107"/>
  <c r="M133" i="107"/>
  <c r="M134" i="107"/>
  <c r="M135" i="107"/>
  <c r="M136" i="107"/>
  <c r="M137" i="107"/>
  <c r="M138" i="107"/>
  <c r="M139" i="107"/>
  <c r="M140" i="107"/>
  <c r="M141" i="107"/>
  <c r="M142" i="107"/>
  <c r="M143" i="107"/>
  <c r="M144" i="107"/>
  <c r="M145" i="107"/>
  <c r="M146" i="107"/>
  <c r="M147" i="107"/>
  <c r="M148" i="107"/>
  <c r="M149" i="107"/>
  <c r="M150" i="107"/>
  <c r="M151" i="107"/>
  <c r="M152" i="107"/>
  <c r="M153" i="107"/>
  <c r="M154" i="107"/>
  <c r="M155" i="107"/>
  <c r="M156" i="107"/>
  <c r="M157" i="107"/>
  <c r="M158" i="107"/>
  <c r="M159" i="107"/>
  <c r="M160" i="107"/>
  <c r="M161" i="107"/>
  <c r="M162" i="107"/>
  <c r="M163" i="107"/>
  <c r="M164" i="107"/>
  <c r="M165" i="107"/>
  <c r="M166" i="107"/>
  <c r="M167" i="107"/>
  <c r="M168" i="107"/>
  <c r="M169" i="107"/>
  <c r="M170" i="107"/>
  <c r="M171" i="107"/>
  <c r="M172" i="107"/>
  <c r="M173" i="107"/>
  <c r="M174" i="107"/>
  <c r="M175" i="107"/>
  <c r="M176" i="107"/>
  <c r="M177" i="107"/>
  <c r="M178" i="107"/>
  <c r="M179" i="107"/>
  <c r="M180" i="107"/>
  <c r="M181" i="107"/>
  <c r="M182" i="107"/>
  <c r="M183" i="107"/>
  <c r="M184" i="107"/>
  <c r="M185" i="107"/>
  <c r="M186" i="107"/>
  <c r="M187" i="107"/>
  <c r="M188" i="107"/>
  <c r="M189" i="107"/>
  <c r="M190" i="107"/>
  <c r="M191" i="107"/>
  <c r="M192" i="107"/>
  <c r="M193" i="107"/>
  <c r="M194" i="107"/>
  <c r="M195" i="107"/>
  <c r="M196" i="107"/>
  <c r="M197" i="107"/>
  <c r="M198" i="107"/>
  <c r="M199" i="107"/>
  <c r="M200" i="107"/>
  <c r="M201" i="107"/>
  <c r="M202" i="107"/>
  <c r="M203" i="107"/>
  <c r="M204" i="107"/>
  <c r="M205" i="107"/>
  <c r="M206" i="107"/>
  <c r="M207" i="107"/>
  <c r="M208" i="107"/>
  <c r="M209" i="107"/>
  <c r="M210" i="107"/>
  <c r="M211" i="107"/>
  <c r="M212" i="107"/>
  <c r="M213" i="107"/>
  <c r="M214" i="107"/>
  <c r="M215" i="107"/>
  <c r="M216" i="107"/>
  <c r="M217" i="107"/>
  <c r="M218" i="107"/>
  <c r="M219" i="107"/>
  <c r="M220" i="107"/>
  <c r="M221" i="107"/>
  <c r="M222" i="107"/>
  <c r="M223" i="107"/>
  <c r="M224" i="107"/>
  <c r="M225" i="107"/>
  <c r="M226" i="107"/>
  <c r="M227" i="107"/>
  <c r="M228" i="107"/>
  <c r="M229" i="107"/>
  <c r="M230" i="107"/>
  <c r="M231" i="107"/>
  <c r="M232" i="107"/>
  <c r="M233" i="107"/>
  <c r="M234" i="107"/>
  <c r="M235" i="107"/>
  <c r="M236" i="107"/>
  <c r="M237" i="107"/>
  <c r="M238" i="107"/>
  <c r="M239" i="107"/>
  <c r="M240" i="107"/>
  <c r="M241" i="107"/>
  <c r="M242" i="107"/>
  <c r="M243" i="107"/>
  <c r="M244" i="107"/>
  <c r="M245" i="107"/>
  <c r="M246" i="107"/>
  <c r="M247" i="107"/>
  <c r="M248" i="107"/>
  <c r="M249" i="107"/>
  <c r="M250" i="107"/>
  <c r="M251" i="107"/>
  <c r="M252" i="107"/>
  <c r="M253" i="107"/>
  <c r="M254" i="107"/>
  <c r="A502" i="107"/>
  <c r="A503" i="107"/>
  <c r="A504" i="107"/>
  <c r="A505" i="107"/>
  <c r="A506" i="107"/>
  <c r="A507" i="107"/>
  <c r="A508" i="107"/>
  <c r="A509" i="107"/>
  <c r="A510" i="107"/>
  <c r="A511" i="107"/>
  <c r="A512" i="107"/>
  <c r="A513" i="107"/>
  <c r="A514" i="107"/>
  <c r="A515" i="107"/>
  <c r="A516" i="107"/>
  <c r="A517" i="107"/>
  <c r="A518" i="107"/>
  <c r="A519" i="107"/>
  <c r="A520" i="107"/>
  <c r="A521" i="107"/>
  <c r="A522" i="107"/>
  <c r="A523" i="107"/>
  <c r="A524" i="107"/>
  <c r="A525" i="107"/>
  <c r="A526" i="107"/>
  <c r="A527" i="107"/>
  <c r="A528" i="107"/>
  <c r="A529" i="107"/>
  <c r="A530" i="107"/>
  <c r="A531" i="107"/>
  <c r="A532" i="107"/>
  <c r="A533" i="107"/>
  <c r="A534" i="107"/>
  <c r="A535" i="107"/>
  <c r="A536" i="107"/>
  <c r="A537" i="107"/>
  <c r="A538" i="107"/>
  <c r="A539" i="107"/>
  <c r="A540" i="107"/>
  <c r="A541" i="107"/>
  <c r="A542" i="107"/>
  <c r="A543" i="107"/>
  <c r="A544" i="107"/>
  <c r="A545" i="107"/>
  <c r="A546" i="107"/>
  <c r="A547" i="107"/>
  <c r="A548" i="107"/>
  <c r="A549" i="107"/>
  <c r="A550" i="107"/>
  <c r="A551" i="107"/>
  <c r="A552" i="107"/>
  <c r="A553" i="107"/>
  <c r="A554" i="107"/>
  <c r="A555" i="107"/>
  <c r="A556" i="107"/>
  <c r="A557" i="107"/>
  <c r="A558" i="107"/>
  <c r="A559" i="107"/>
  <c r="A560" i="107"/>
  <c r="A561" i="107"/>
  <c r="A562" i="107"/>
  <c r="A563" i="107"/>
  <c r="A564" i="107"/>
  <c r="A565" i="107"/>
  <c r="A566" i="107"/>
  <c r="A567" i="107"/>
  <c r="A568" i="107"/>
  <c r="A569" i="107"/>
  <c r="A570" i="107"/>
  <c r="A571" i="107"/>
  <c r="A572" i="107"/>
  <c r="A573" i="107"/>
  <c r="A574" i="107"/>
  <c r="A575" i="107"/>
  <c r="A576" i="107"/>
  <c r="A577" i="107"/>
  <c r="A578" i="107"/>
  <c r="A579" i="107"/>
  <c r="A580" i="107"/>
  <c r="A581" i="107"/>
  <c r="A582" i="107"/>
  <c r="A583" i="107"/>
  <c r="A584" i="107"/>
  <c r="A585" i="107"/>
  <c r="A586" i="107"/>
  <c r="A587" i="107"/>
  <c r="A588" i="107"/>
  <c r="A589" i="107"/>
  <c r="A590" i="107"/>
  <c r="A591" i="107"/>
  <c r="A592" i="107"/>
  <c r="A593" i="107"/>
  <c r="A594" i="107"/>
  <c r="A595" i="107"/>
  <c r="A596" i="107"/>
  <c r="A597" i="107"/>
  <c r="A598" i="107"/>
  <c r="A599" i="107"/>
  <c r="A600" i="107"/>
  <c r="A601" i="107"/>
  <c r="A602" i="107"/>
  <c r="A603" i="107"/>
  <c r="A604" i="107"/>
  <c r="A605" i="107"/>
  <c r="A606" i="107"/>
  <c r="A607" i="107"/>
  <c r="A608" i="107"/>
  <c r="A609" i="107"/>
  <c r="A610" i="107"/>
  <c r="A611" i="107"/>
  <c r="A612" i="107"/>
  <c r="A613" i="107"/>
  <c r="A614" i="107"/>
  <c r="A615" i="107"/>
  <c r="A616" i="107"/>
  <c r="A617" i="107"/>
  <c r="A618" i="107"/>
  <c r="A619" i="107"/>
  <c r="A620" i="107"/>
  <c r="A621" i="107"/>
  <c r="A622" i="107"/>
  <c r="A623" i="107"/>
  <c r="A624" i="107"/>
  <c r="A625" i="107"/>
  <c r="A626" i="107"/>
  <c r="A627" i="107"/>
  <c r="A628" i="107"/>
  <c r="A629" i="107"/>
  <c r="A630" i="107"/>
  <c r="A631" i="107"/>
  <c r="A632" i="107"/>
  <c r="A633" i="107"/>
  <c r="A634" i="107"/>
  <c r="A635" i="107"/>
  <c r="A636" i="107"/>
  <c r="A637" i="107"/>
  <c r="A638" i="107"/>
  <c r="A639" i="107"/>
  <c r="A640" i="107"/>
  <c r="A641" i="107"/>
  <c r="A642" i="107"/>
  <c r="A643" i="107"/>
  <c r="A644" i="107"/>
  <c r="A645" i="107"/>
  <c r="A646" i="107"/>
  <c r="A647" i="107"/>
  <c r="A648" i="107"/>
  <c r="A649" i="107"/>
  <c r="A650" i="107"/>
  <c r="A651" i="107"/>
  <c r="A652" i="107"/>
  <c r="A653" i="107"/>
  <c r="A654" i="107"/>
  <c r="A655" i="107"/>
  <c r="A656" i="107"/>
  <c r="A657" i="107"/>
  <c r="A658" i="107"/>
  <c r="A659" i="107"/>
  <c r="A660" i="107"/>
  <c r="A661" i="107"/>
  <c r="A662" i="107"/>
  <c r="A663" i="107"/>
  <c r="A664" i="107"/>
  <c r="A665" i="107"/>
  <c r="A666" i="107"/>
  <c r="A667" i="107"/>
  <c r="A668" i="107"/>
  <c r="A669" i="107"/>
  <c r="A670" i="107"/>
  <c r="A671" i="107"/>
  <c r="A672" i="107"/>
  <c r="A673" i="107"/>
  <c r="A674" i="107"/>
  <c r="A675" i="107"/>
  <c r="A676" i="107"/>
  <c r="A677" i="107"/>
  <c r="A678" i="107"/>
  <c r="A679" i="107"/>
  <c r="A680" i="107"/>
  <c r="A681" i="107"/>
  <c r="A682" i="107"/>
  <c r="A683" i="107"/>
  <c r="A684" i="107"/>
  <c r="A685" i="107"/>
  <c r="A686" i="107"/>
  <c r="A687" i="107"/>
  <c r="A688" i="107"/>
  <c r="A689" i="107"/>
  <c r="A690" i="107"/>
  <c r="A691" i="107"/>
  <c r="A692" i="107"/>
  <c r="A693" i="107"/>
  <c r="A694" i="107"/>
  <c r="A695" i="107"/>
  <c r="A696" i="107"/>
  <c r="A697" i="107"/>
  <c r="A698" i="107"/>
  <c r="A699" i="107"/>
  <c r="A700" i="107"/>
  <c r="A701" i="107"/>
  <c r="A702" i="107"/>
  <c r="A703" i="107"/>
  <c r="A704" i="107"/>
  <c r="A705" i="107"/>
  <c r="A706" i="107"/>
  <c r="A707" i="107"/>
  <c r="A708" i="107"/>
  <c r="A709" i="107"/>
  <c r="A710" i="107"/>
  <c r="A711" i="107"/>
  <c r="A712" i="107"/>
  <c r="A713" i="107"/>
  <c r="A714" i="107"/>
  <c r="A715" i="107"/>
  <c r="A716" i="107"/>
  <c r="A717" i="107"/>
  <c r="A718" i="107"/>
  <c r="A719" i="107"/>
  <c r="A720" i="107"/>
  <c r="A721" i="107"/>
  <c r="A722" i="107"/>
  <c r="A723" i="107"/>
  <c r="A724" i="107"/>
  <c r="A725" i="107"/>
  <c r="A726" i="107"/>
  <c r="A727" i="107"/>
  <c r="A728" i="107"/>
  <c r="A729" i="107"/>
  <c r="A730" i="107"/>
  <c r="A731" i="107"/>
  <c r="A732" i="107"/>
  <c r="A733" i="107"/>
  <c r="A734" i="107"/>
  <c r="A735" i="107"/>
  <c r="A736" i="107"/>
  <c r="A737" i="107"/>
  <c r="A738" i="107"/>
  <c r="A739" i="107"/>
  <c r="A740" i="107"/>
  <c r="A741" i="107"/>
  <c r="A742" i="107"/>
  <c r="A743" i="107"/>
  <c r="A744" i="107"/>
  <c r="A745" i="107"/>
  <c r="A746" i="107"/>
  <c r="A747" i="107"/>
  <c r="A501" i="107"/>
  <c r="A491" i="107"/>
  <c r="A492" i="107"/>
  <c r="A493" i="107"/>
  <c r="A494" i="107"/>
  <c r="A495" i="107"/>
  <c r="A496" i="107"/>
  <c r="A497" i="107"/>
  <c r="A498" i="107"/>
  <c r="A499" i="107"/>
  <c r="A500" i="107"/>
  <c r="A444" i="107"/>
  <c r="A445" i="107"/>
  <c r="A446" i="107"/>
  <c r="A447" i="107"/>
  <c r="A448" i="107"/>
  <c r="A449" i="107"/>
  <c r="A450" i="107"/>
  <c r="A451" i="107"/>
  <c r="A452" i="107"/>
  <c r="A453" i="107"/>
  <c r="A454" i="107"/>
  <c r="A455" i="107"/>
  <c r="A456" i="107"/>
  <c r="A457" i="107"/>
  <c r="A458" i="107"/>
  <c r="A459" i="107"/>
  <c r="A460" i="107"/>
  <c r="A461" i="107"/>
  <c r="A462" i="107"/>
  <c r="A463" i="107"/>
  <c r="A464" i="107"/>
  <c r="A465" i="107"/>
  <c r="A466" i="107"/>
  <c r="A467" i="107"/>
  <c r="A468" i="107"/>
  <c r="A469" i="107"/>
  <c r="A470" i="107"/>
  <c r="A471" i="107"/>
  <c r="A472" i="107"/>
  <c r="A473" i="107"/>
  <c r="A474" i="107"/>
  <c r="A475" i="107"/>
  <c r="A476" i="107"/>
  <c r="A477" i="107"/>
  <c r="A478" i="107"/>
  <c r="A479" i="107"/>
  <c r="A480" i="107"/>
  <c r="A481" i="107"/>
  <c r="A482" i="107"/>
  <c r="A483" i="107"/>
  <c r="A484" i="107"/>
  <c r="A485" i="107"/>
  <c r="A486" i="107"/>
  <c r="A487" i="107"/>
  <c r="A488" i="107"/>
  <c r="A489" i="107"/>
  <c r="A490" i="107"/>
  <c r="A256" i="107"/>
  <c r="A257" i="107"/>
  <c r="A258" i="107"/>
  <c r="A259" i="107"/>
  <c r="A260" i="107"/>
  <c r="A261" i="107"/>
  <c r="A262" i="107"/>
  <c r="A263" i="107"/>
  <c r="A264" i="107"/>
  <c r="A265" i="107"/>
  <c r="A266" i="107"/>
  <c r="A267" i="107"/>
  <c r="A268" i="107"/>
  <c r="A269" i="107"/>
  <c r="A270" i="107"/>
  <c r="A271" i="107"/>
  <c r="A272" i="107"/>
  <c r="A273" i="107"/>
  <c r="A274" i="107"/>
  <c r="A275" i="107"/>
  <c r="A276" i="107"/>
  <c r="A277" i="107"/>
  <c r="A278" i="107"/>
  <c r="A279" i="107"/>
  <c r="A280" i="107"/>
  <c r="A281" i="107"/>
  <c r="A282" i="107"/>
  <c r="A283" i="107"/>
  <c r="A284" i="107"/>
  <c r="A285" i="107"/>
  <c r="A286" i="107"/>
  <c r="A287" i="107"/>
  <c r="A288" i="107"/>
  <c r="A289" i="107"/>
  <c r="A290" i="107"/>
  <c r="A291" i="107"/>
  <c r="A292" i="107"/>
  <c r="A293" i="107"/>
  <c r="A294" i="107"/>
  <c r="A295" i="107"/>
  <c r="A296" i="107"/>
  <c r="A297" i="107"/>
  <c r="A298" i="107"/>
  <c r="A299" i="107"/>
  <c r="A300" i="107"/>
  <c r="A301" i="107"/>
  <c r="A302" i="107"/>
  <c r="A303" i="107"/>
  <c r="A304" i="107"/>
  <c r="A305" i="107"/>
  <c r="A306" i="107"/>
  <c r="A307" i="107"/>
  <c r="A308" i="107"/>
  <c r="A309" i="107"/>
  <c r="A310" i="107"/>
  <c r="A311" i="107"/>
  <c r="A312" i="107"/>
  <c r="A313" i="107"/>
  <c r="A314" i="107"/>
  <c r="A315" i="107"/>
  <c r="A316" i="107"/>
  <c r="A317" i="107"/>
  <c r="A318" i="107"/>
  <c r="A319" i="107"/>
  <c r="A320" i="107"/>
  <c r="A321" i="107"/>
  <c r="A322" i="107"/>
  <c r="A323" i="107"/>
  <c r="A324" i="107"/>
  <c r="A325" i="107"/>
  <c r="A326" i="107"/>
  <c r="A327" i="107"/>
  <c r="A328" i="107"/>
  <c r="A329" i="107"/>
  <c r="A330" i="107"/>
  <c r="A331" i="107"/>
  <c r="A332" i="107"/>
  <c r="A333" i="107"/>
  <c r="A334" i="107"/>
  <c r="A335" i="107"/>
  <c r="A336" i="107"/>
  <c r="A337" i="107"/>
  <c r="A338" i="107"/>
  <c r="A339" i="107"/>
  <c r="A340" i="107"/>
  <c r="A341" i="107"/>
  <c r="A342" i="107"/>
  <c r="A343" i="107"/>
  <c r="A344" i="107"/>
  <c r="A345" i="107"/>
  <c r="A346" i="107"/>
  <c r="A347" i="107"/>
  <c r="A348" i="107"/>
  <c r="A349" i="107"/>
  <c r="A350" i="107"/>
  <c r="A351" i="107"/>
  <c r="A352" i="107"/>
  <c r="A353" i="107"/>
  <c r="A354" i="107"/>
  <c r="A355" i="107"/>
  <c r="A356" i="107"/>
  <c r="A357" i="107"/>
  <c r="A358" i="107"/>
  <c r="A359" i="107"/>
  <c r="A360" i="107"/>
  <c r="A361" i="107"/>
  <c r="A362" i="107"/>
  <c r="A363" i="107"/>
  <c r="A364" i="107"/>
  <c r="A365" i="107"/>
  <c r="A366" i="107"/>
  <c r="A367" i="107"/>
  <c r="A368" i="107"/>
  <c r="A369" i="107"/>
  <c r="A370" i="107"/>
  <c r="A371" i="107"/>
  <c r="A372" i="107"/>
  <c r="A373" i="107"/>
  <c r="A374" i="107"/>
  <c r="A375" i="107"/>
  <c r="A376" i="107"/>
  <c r="A377" i="107"/>
  <c r="A378" i="107"/>
  <c r="A379" i="107"/>
  <c r="A380" i="107"/>
  <c r="A381" i="107"/>
  <c r="A382" i="107"/>
  <c r="A383" i="107"/>
  <c r="A384" i="107"/>
  <c r="A385" i="107"/>
  <c r="A386" i="107"/>
  <c r="A387" i="107"/>
  <c r="A388" i="107"/>
  <c r="A389" i="107"/>
  <c r="A390" i="107"/>
  <c r="A391" i="107"/>
  <c r="A392" i="107"/>
  <c r="A393" i="107"/>
  <c r="A394" i="107"/>
  <c r="A395" i="107"/>
  <c r="A396" i="107"/>
  <c r="A397" i="107"/>
  <c r="A398" i="107"/>
  <c r="A399" i="107"/>
  <c r="A400" i="107"/>
  <c r="A401" i="107"/>
  <c r="A402" i="107"/>
  <c r="A403" i="107"/>
  <c r="A404" i="107"/>
  <c r="A405" i="107"/>
  <c r="A406" i="107"/>
  <c r="A407" i="107"/>
  <c r="A408" i="107"/>
  <c r="A409" i="107"/>
  <c r="A410" i="107"/>
  <c r="A411" i="107"/>
  <c r="A412" i="107"/>
  <c r="A413" i="107"/>
  <c r="A414" i="107"/>
  <c r="A415" i="107"/>
  <c r="A416" i="107"/>
  <c r="A417" i="107"/>
  <c r="A418" i="107"/>
  <c r="A419" i="107"/>
  <c r="A420" i="107"/>
  <c r="A421" i="107"/>
  <c r="A422" i="107"/>
  <c r="A423" i="107"/>
  <c r="A424" i="107"/>
  <c r="A425" i="107"/>
  <c r="A426" i="107"/>
  <c r="A427" i="107"/>
  <c r="A428" i="107"/>
  <c r="A429" i="107"/>
  <c r="A430" i="107"/>
  <c r="A431" i="107"/>
  <c r="A432" i="107"/>
  <c r="A433" i="107"/>
  <c r="A434" i="107"/>
  <c r="A435" i="107"/>
  <c r="A436" i="107"/>
  <c r="A437" i="107"/>
  <c r="A438" i="107"/>
  <c r="A439" i="107"/>
  <c r="A440" i="107"/>
  <c r="A441" i="107"/>
  <c r="A442" i="107"/>
  <c r="A443" i="107"/>
  <c r="A255" i="107"/>
  <c r="A142" i="107"/>
  <c r="A143" i="107"/>
  <c r="A144" i="107"/>
  <c r="A145" i="107"/>
  <c r="A146" i="107"/>
  <c r="A147" i="107"/>
  <c r="A148" i="107"/>
  <c r="A149" i="107"/>
  <c r="A150" i="107"/>
  <c r="A151" i="107"/>
  <c r="A152" i="107"/>
  <c r="A153" i="107"/>
  <c r="A154" i="107"/>
  <c r="A155" i="107"/>
  <c r="A156" i="107"/>
  <c r="A157" i="107"/>
  <c r="A158" i="107"/>
  <c r="A159" i="107"/>
  <c r="A160" i="107"/>
  <c r="A161" i="107"/>
  <c r="A162" i="107"/>
  <c r="A163" i="107"/>
  <c r="A164" i="107"/>
  <c r="A165" i="107"/>
  <c r="A166" i="107"/>
  <c r="A167" i="107"/>
  <c r="A168" i="107"/>
  <c r="A169" i="107"/>
  <c r="A170" i="107"/>
  <c r="A171" i="107"/>
  <c r="A172" i="107"/>
  <c r="A173" i="107"/>
  <c r="A174" i="107"/>
  <c r="A175" i="107"/>
  <c r="A176" i="107"/>
  <c r="A177" i="107"/>
  <c r="A178" i="107"/>
  <c r="A179" i="107"/>
  <c r="A180" i="107"/>
  <c r="A181" i="107"/>
  <c r="A182" i="107"/>
  <c r="A183" i="107"/>
  <c r="A184" i="107"/>
  <c r="A185" i="107"/>
  <c r="A186" i="107"/>
  <c r="A187" i="107"/>
  <c r="A188" i="107"/>
  <c r="A189" i="107"/>
  <c r="A190" i="107"/>
  <c r="A191" i="107"/>
  <c r="A192" i="107"/>
  <c r="A193" i="107"/>
  <c r="A194" i="107"/>
  <c r="A195" i="107"/>
  <c r="A196" i="107"/>
  <c r="A197" i="107"/>
  <c r="A198" i="107"/>
  <c r="A199" i="107"/>
  <c r="A200" i="107"/>
  <c r="A201" i="107"/>
  <c r="A202" i="107"/>
  <c r="A203" i="107"/>
  <c r="A204" i="107"/>
  <c r="A205" i="107"/>
  <c r="A206" i="107"/>
  <c r="A207" i="107"/>
  <c r="A208" i="107"/>
  <c r="A209" i="107"/>
  <c r="A210" i="107"/>
  <c r="A211" i="107"/>
  <c r="A212" i="107"/>
  <c r="A213" i="107"/>
  <c r="A214" i="107"/>
  <c r="A215" i="107"/>
  <c r="A216" i="107"/>
  <c r="A217" i="107"/>
  <c r="A218" i="107"/>
  <c r="A219" i="107"/>
  <c r="A220" i="107"/>
  <c r="A221" i="107"/>
  <c r="A222" i="107"/>
  <c r="A223" i="107"/>
  <c r="A224" i="107"/>
  <c r="A225" i="107"/>
  <c r="A226" i="107"/>
  <c r="A227" i="107"/>
  <c r="A228" i="107"/>
  <c r="A229" i="107"/>
  <c r="A230" i="107"/>
  <c r="A231" i="107"/>
  <c r="A232" i="107"/>
  <c r="A233" i="107"/>
  <c r="A234" i="107"/>
  <c r="A235" i="107"/>
  <c r="A236" i="107"/>
  <c r="A237" i="107"/>
  <c r="A238" i="107"/>
  <c r="A239" i="107"/>
  <c r="A240" i="107"/>
  <c r="A241" i="107"/>
  <c r="A242" i="107"/>
  <c r="A243" i="107"/>
  <c r="A244" i="107"/>
  <c r="A245" i="107"/>
  <c r="A246" i="107"/>
  <c r="A247" i="107"/>
  <c r="A248" i="107"/>
  <c r="A249" i="107"/>
  <c r="A250" i="107"/>
  <c r="A251" i="107"/>
  <c r="A252" i="107"/>
  <c r="A253" i="107"/>
  <c r="A254" i="107"/>
  <c r="A36" i="107"/>
  <c r="A37" i="107"/>
  <c r="A38" i="107"/>
  <c r="A39" i="107"/>
  <c r="A40" i="107"/>
  <c r="A41" i="107"/>
  <c r="A42" i="107"/>
  <c r="A43" i="107"/>
  <c r="A44" i="107"/>
  <c r="A45" i="107"/>
  <c r="A46" i="107"/>
  <c r="A47" i="107"/>
  <c r="A48" i="107"/>
  <c r="A49" i="107"/>
  <c r="A50" i="107"/>
  <c r="A51" i="107"/>
  <c r="A52" i="107"/>
  <c r="A53" i="107"/>
  <c r="A54" i="107"/>
  <c r="A55" i="107"/>
  <c r="A56" i="107"/>
  <c r="A57" i="107"/>
  <c r="A58" i="107"/>
  <c r="A59" i="107"/>
  <c r="A60" i="107"/>
  <c r="A61" i="107"/>
  <c r="A62" i="107"/>
  <c r="A63" i="107"/>
  <c r="A64" i="107"/>
  <c r="A65" i="107"/>
  <c r="A66" i="107"/>
  <c r="A67" i="107"/>
  <c r="A68" i="107"/>
  <c r="A69" i="107"/>
  <c r="A70" i="107"/>
  <c r="A71" i="107"/>
  <c r="A72" i="107"/>
  <c r="A73" i="107"/>
  <c r="A74" i="107"/>
  <c r="A75" i="107"/>
  <c r="A76" i="107"/>
  <c r="A77" i="107"/>
  <c r="A78" i="107"/>
  <c r="A79" i="107"/>
  <c r="A80" i="107"/>
  <c r="A81" i="107"/>
  <c r="A82" i="107"/>
  <c r="A83" i="107"/>
  <c r="A84" i="107"/>
  <c r="A85" i="107"/>
  <c r="A86" i="107"/>
  <c r="A87" i="107"/>
  <c r="A88" i="107"/>
  <c r="A89" i="107"/>
  <c r="A90" i="107"/>
  <c r="A91" i="107"/>
  <c r="A92" i="107"/>
  <c r="A93" i="107"/>
  <c r="A94" i="107"/>
  <c r="A95" i="107"/>
  <c r="A96" i="107"/>
  <c r="A97" i="107"/>
  <c r="A98" i="107"/>
  <c r="A99" i="107"/>
  <c r="A100" i="107"/>
  <c r="A101" i="107"/>
  <c r="A102" i="107"/>
  <c r="A103" i="107"/>
  <c r="A104" i="107"/>
  <c r="A105" i="107"/>
  <c r="A106" i="107"/>
  <c r="A107" i="107"/>
  <c r="A108" i="107"/>
  <c r="A109" i="107"/>
  <c r="A110" i="107"/>
  <c r="A111" i="107"/>
  <c r="A112" i="107"/>
  <c r="A113" i="107"/>
  <c r="A114" i="107"/>
  <c r="A115" i="107"/>
  <c r="A116" i="107"/>
  <c r="A117" i="107"/>
  <c r="A118" i="107"/>
  <c r="A119" i="107"/>
  <c r="A120" i="107"/>
  <c r="A121" i="107"/>
  <c r="A122" i="107"/>
  <c r="A123" i="107"/>
  <c r="A124" i="107"/>
  <c r="A125" i="107"/>
  <c r="A126" i="107"/>
  <c r="A127" i="107"/>
  <c r="A128" i="107"/>
  <c r="A129" i="107"/>
  <c r="A130" i="107"/>
  <c r="A131" i="107"/>
  <c r="A132" i="107"/>
  <c r="A133" i="107"/>
  <c r="A134" i="107"/>
  <c r="A135" i="107"/>
  <c r="A136" i="107"/>
  <c r="A137" i="107"/>
  <c r="A138" i="107"/>
  <c r="A139" i="107"/>
  <c r="A140" i="107"/>
  <c r="A141" i="107"/>
  <c r="A8" i="107"/>
  <c r="A9" i="107"/>
  <c r="A10" i="107"/>
  <c r="A11" i="107"/>
  <c r="A12" i="107"/>
  <c r="A13" i="107"/>
  <c r="A14" i="107"/>
  <c r="A15" i="107"/>
  <c r="A16" i="107"/>
  <c r="A17" i="107"/>
  <c r="A18" i="107"/>
  <c r="A19" i="107"/>
  <c r="A20" i="107"/>
  <c r="A21" i="107"/>
  <c r="A22" i="107"/>
  <c r="A23" i="107"/>
  <c r="A24" i="107"/>
  <c r="A25" i="107"/>
  <c r="A26" i="107"/>
  <c r="A27" i="107"/>
  <c r="A28" i="107"/>
  <c r="A29" i="107"/>
  <c r="A30" i="107"/>
  <c r="A31" i="107"/>
  <c r="A32" i="107"/>
  <c r="A33" i="107"/>
  <c r="A34" i="107"/>
  <c r="A35" i="107"/>
  <c r="A7" i="107"/>
  <c r="N7" i="107" l="1" a="1"/>
  <c r="BK11" i="108"/>
  <c r="AX12" i="108"/>
  <c r="AZ12" i="108" s="1"/>
  <c r="AX46" i="108"/>
  <c r="AZ46" i="108" s="1"/>
  <c r="B7" i="107" a="1"/>
  <c r="BK47" i="108"/>
  <c r="BK13" i="108"/>
  <c r="W7" i="107" a="1"/>
  <c r="W7" i="107" s="1"/>
  <c r="AC7" i="107" s="1"/>
  <c r="AD8" i="107"/>
  <c r="Y8" i="107"/>
  <c r="Z8" i="107"/>
  <c r="AB8" i="107"/>
  <c r="X8" i="107"/>
  <c r="AA8" i="107"/>
  <c r="BE47" i="108"/>
  <c r="AR47" i="108"/>
  <c r="BG47" i="108"/>
  <c r="AT47" i="108"/>
  <c r="BF47" i="108"/>
  <c r="AP47" i="108"/>
  <c r="BE13" i="108"/>
  <c r="AR13" i="108"/>
  <c r="AT13" i="108"/>
  <c r="BF13" i="108"/>
  <c r="BG13" i="108"/>
  <c r="AG14" i="108" a="1"/>
  <c r="AG14" i="108" s="1"/>
  <c r="BL14" i="108" s="1"/>
  <c r="AJ13" i="108"/>
  <c r="AP13" i="108"/>
  <c r="AG48" i="108" a="1"/>
  <c r="AG48" i="108" s="1"/>
  <c r="BL48" i="108" s="1"/>
  <c r="AJ47" i="108"/>
  <c r="B49" i="108" a="1"/>
  <c r="B49" i="108" s="1"/>
  <c r="BM49" i="108" s="1"/>
  <c r="E48" i="108"/>
  <c r="M48" i="108"/>
  <c r="K48" i="108"/>
  <c r="B14" i="108" a="1"/>
  <c r="B14" i="108" s="1"/>
  <c r="I22" i="96"/>
  <c r="I10" i="63"/>
  <c r="K10" i="107" l="1"/>
  <c r="D10" i="107"/>
  <c r="C10" i="107"/>
  <c r="H10" i="107"/>
  <c r="K9" i="107"/>
  <c r="C9" i="107"/>
  <c r="D9" i="107"/>
  <c r="F9" i="107"/>
  <c r="N7" i="107"/>
  <c r="T7" i="107" s="1"/>
  <c r="T8" i="107"/>
  <c r="T9" i="107"/>
  <c r="R8" i="107"/>
  <c r="O8" i="107"/>
  <c r="P8" i="107"/>
  <c r="B7" i="107"/>
  <c r="K7" i="107" s="1"/>
  <c r="K8" i="107"/>
  <c r="AX47" i="108"/>
  <c r="AZ47" i="108" s="1"/>
  <c r="AX13" i="108"/>
  <c r="AZ13" i="108" s="1"/>
  <c r="S94" i="107"/>
  <c r="R94" i="107"/>
  <c r="U94" i="107"/>
  <c r="O94" i="107"/>
  <c r="Q94" i="107"/>
  <c r="P94" i="107"/>
  <c r="O77" i="107"/>
  <c r="Q77" i="107"/>
  <c r="U77" i="107"/>
  <c r="P77" i="107"/>
  <c r="S77" i="107"/>
  <c r="R77" i="107"/>
  <c r="U63" i="107"/>
  <c r="R63" i="107"/>
  <c r="P63" i="107"/>
  <c r="Q63" i="107"/>
  <c r="O63" i="107"/>
  <c r="S63" i="107"/>
  <c r="U47" i="107"/>
  <c r="S47" i="107"/>
  <c r="Q47" i="107"/>
  <c r="P47" i="107"/>
  <c r="R47" i="107"/>
  <c r="O47" i="107"/>
  <c r="U31" i="107"/>
  <c r="R31" i="107"/>
  <c r="S31" i="107"/>
  <c r="P31" i="107"/>
  <c r="O31" i="107"/>
  <c r="Q31" i="107"/>
  <c r="R14" i="107"/>
  <c r="U14" i="107"/>
  <c r="O14" i="107"/>
  <c r="Q14" i="107"/>
  <c r="S14" i="107"/>
  <c r="P14" i="107"/>
  <c r="U96" i="107"/>
  <c r="S96" i="107"/>
  <c r="Q96" i="107"/>
  <c r="P96" i="107"/>
  <c r="R96" i="107"/>
  <c r="O96" i="107"/>
  <c r="Q83" i="107"/>
  <c r="R83" i="107"/>
  <c r="P83" i="107"/>
  <c r="O83" i="107"/>
  <c r="S83" i="107"/>
  <c r="U83" i="107"/>
  <c r="Q65" i="107"/>
  <c r="P65" i="107"/>
  <c r="R65" i="107"/>
  <c r="S65" i="107"/>
  <c r="U65" i="107"/>
  <c r="O65" i="107"/>
  <c r="U49" i="107"/>
  <c r="P49" i="107"/>
  <c r="S49" i="107"/>
  <c r="O49" i="107"/>
  <c r="R49" i="107"/>
  <c r="Q49" i="107"/>
  <c r="O33" i="107"/>
  <c r="R33" i="107"/>
  <c r="Q33" i="107"/>
  <c r="P33" i="107"/>
  <c r="U33" i="107"/>
  <c r="S33" i="107"/>
  <c r="Q16" i="107"/>
  <c r="P16" i="107"/>
  <c r="O16" i="107"/>
  <c r="R16" i="107"/>
  <c r="U16" i="107"/>
  <c r="S16" i="107"/>
  <c r="Q99" i="107"/>
  <c r="R99" i="107"/>
  <c r="O99" i="107"/>
  <c r="U99" i="107"/>
  <c r="P99" i="107"/>
  <c r="S99" i="107"/>
  <c r="S82" i="107"/>
  <c r="O82" i="107"/>
  <c r="R82" i="107"/>
  <c r="Q82" i="107"/>
  <c r="U82" i="107"/>
  <c r="P82" i="107"/>
  <c r="U64" i="107"/>
  <c r="S64" i="107"/>
  <c r="P64" i="107"/>
  <c r="Q64" i="107"/>
  <c r="O64" i="107"/>
  <c r="R64" i="107"/>
  <c r="S48" i="107"/>
  <c r="P48" i="107"/>
  <c r="R48" i="107"/>
  <c r="O48" i="107"/>
  <c r="Q48" i="107"/>
  <c r="U48" i="107"/>
  <c r="S32" i="107"/>
  <c r="Q32" i="107"/>
  <c r="R32" i="107"/>
  <c r="U32" i="107"/>
  <c r="P32" i="107"/>
  <c r="O32" i="107"/>
  <c r="O19" i="107"/>
  <c r="U19" i="107"/>
  <c r="R19" i="107"/>
  <c r="S19" i="107"/>
  <c r="Q19" i="107"/>
  <c r="P19" i="107"/>
  <c r="Q102" i="107"/>
  <c r="U102" i="107"/>
  <c r="R102" i="107"/>
  <c r="P102" i="107"/>
  <c r="S102" i="107"/>
  <c r="O102" i="107"/>
  <c r="O85" i="107"/>
  <c r="Q85" i="107"/>
  <c r="U85" i="107"/>
  <c r="P85" i="107"/>
  <c r="S85" i="107"/>
  <c r="R85" i="107"/>
  <c r="U71" i="107"/>
  <c r="R71" i="107"/>
  <c r="Q71" i="107"/>
  <c r="P71" i="107"/>
  <c r="O71" i="107"/>
  <c r="S71" i="107"/>
  <c r="Q54" i="107"/>
  <c r="P54" i="107"/>
  <c r="R54" i="107"/>
  <c r="O54" i="107"/>
  <c r="U54" i="107"/>
  <c r="S54" i="107"/>
  <c r="U38" i="107"/>
  <c r="S38" i="107"/>
  <c r="R38" i="107"/>
  <c r="P38" i="107"/>
  <c r="Q38" i="107"/>
  <c r="O38" i="107"/>
  <c r="O22" i="107"/>
  <c r="U22" i="107"/>
  <c r="R22" i="107"/>
  <c r="P22" i="107"/>
  <c r="S22" i="107"/>
  <c r="Q22" i="107"/>
  <c r="S104" i="107"/>
  <c r="Q104" i="107"/>
  <c r="R104" i="107"/>
  <c r="O104" i="107"/>
  <c r="U104" i="107"/>
  <c r="P104" i="107"/>
  <c r="R91" i="107"/>
  <c r="U91" i="107"/>
  <c r="O91" i="107"/>
  <c r="Q91" i="107"/>
  <c r="S91" i="107"/>
  <c r="P91" i="107"/>
  <c r="U73" i="107"/>
  <c r="Q73" i="107"/>
  <c r="S73" i="107"/>
  <c r="P73" i="107"/>
  <c r="O73" i="107"/>
  <c r="R73" i="107"/>
  <c r="U56" i="107"/>
  <c r="R56" i="107"/>
  <c r="P56" i="107"/>
  <c r="S56" i="107"/>
  <c r="Q56" i="107"/>
  <c r="O56" i="107"/>
  <c r="Q40" i="107"/>
  <c r="S40" i="107"/>
  <c r="R40" i="107"/>
  <c r="U40" i="107"/>
  <c r="P40" i="107"/>
  <c r="O40" i="107"/>
  <c r="S24" i="107"/>
  <c r="Q24" i="107"/>
  <c r="P24" i="107"/>
  <c r="O24" i="107"/>
  <c r="R24" i="107"/>
  <c r="U24" i="107"/>
  <c r="O10" i="107"/>
  <c r="R10" i="107"/>
  <c r="U10" i="107"/>
  <c r="S10" i="107"/>
  <c r="Q10" i="107"/>
  <c r="P10" i="107"/>
  <c r="O93" i="107"/>
  <c r="S93" i="107"/>
  <c r="R93" i="107"/>
  <c r="Q93" i="107"/>
  <c r="U93" i="107"/>
  <c r="P93" i="107"/>
  <c r="Q76" i="107"/>
  <c r="U76" i="107"/>
  <c r="S76" i="107"/>
  <c r="O76" i="107"/>
  <c r="R76" i="107"/>
  <c r="P76" i="107"/>
  <c r="Q62" i="107"/>
  <c r="O62" i="107"/>
  <c r="S62" i="107"/>
  <c r="R62" i="107"/>
  <c r="U62" i="107"/>
  <c r="P62" i="107"/>
  <c r="U46" i="107"/>
  <c r="P46" i="107"/>
  <c r="Q46" i="107"/>
  <c r="S46" i="107"/>
  <c r="R46" i="107"/>
  <c r="O46" i="107"/>
  <c r="O30" i="107"/>
  <c r="S30" i="107"/>
  <c r="P30" i="107"/>
  <c r="U30" i="107"/>
  <c r="Q30" i="107"/>
  <c r="R30" i="107"/>
  <c r="R13" i="107"/>
  <c r="Q13" i="107"/>
  <c r="U13" i="107"/>
  <c r="P13" i="107"/>
  <c r="S13" i="107"/>
  <c r="O13" i="107"/>
  <c r="S92" i="107"/>
  <c r="P92" i="107"/>
  <c r="O92" i="107"/>
  <c r="Q92" i="107"/>
  <c r="U92" i="107"/>
  <c r="R92" i="107"/>
  <c r="U79" i="107"/>
  <c r="R79" i="107"/>
  <c r="Q79" i="107"/>
  <c r="O79" i="107"/>
  <c r="P79" i="107"/>
  <c r="S79" i="107"/>
  <c r="O61" i="107"/>
  <c r="R61" i="107"/>
  <c r="Q61" i="107"/>
  <c r="U61" i="107"/>
  <c r="P61" i="107"/>
  <c r="S61" i="107"/>
  <c r="O45" i="107"/>
  <c r="S45" i="107"/>
  <c r="R45" i="107"/>
  <c r="Q45" i="107"/>
  <c r="U45" i="107"/>
  <c r="P45" i="107"/>
  <c r="U29" i="107"/>
  <c r="P29" i="107"/>
  <c r="S29" i="107"/>
  <c r="O29" i="107"/>
  <c r="R29" i="107"/>
  <c r="Q29" i="107"/>
  <c r="P12" i="107"/>
  <c r="S12" i="107"/>
  <c r="U12" i="107"/>
  <c r="R12" i="107"/>
  <c r="Q12" i="107"/>
  <c r="O12" i="107"/>
  <c r="O98" i="107"/>
  <c r="R98" i="107"/>
  <c r="Q98" i="107"/>
  <c r="U98" i="107"/>
  <c r="P98" i="107"/>
  <c r="S98" i="107"/>
  <c r="O81" i="107"/>
  <c r="R81" i="107"/>
  <c r="Q81" i="107"/>
  <c r="U81" i="107"/>
  <c r="P81" i="107"/>
  <c r="S81" i="107"/>
  <c r="U67" i="107"/>
  <c r="Q67" i="107"/>
  <c r="R67" i="107"/>
  <c r="P67" i="107"/>
  <c r="O67" i="107"/>
  <c r="S67" i="107"/>
  <c r="R51" i="107"/>
  <c r="U51" i="107"/>
  <c r="O51" i="107"/>
  <c r="P51" i="107"/>
  <c r="S51" i="107"/>
  <c r="Q51" i="107"/>
  <c r="U35" i="107"/>
  <c r="P35" i="107"/>
  <c r="Q35" i="107"/>
  <c r="O35" i="107"/>
  <c r="R35" i="107"/>
  <c r="S35" i="107"/>
  <c r="U18" i="107"/>
  <c r="O18" i="107"/>
  <c r="R18" i="107"/>
  <c r="Q18" i="107"/>
  <c r="P18" i="107"/>
  <c r="S18" i="107"/>
  <c r="O101" i="107"/>
  <c r="S101" i="107"/>
  <c r="R101" i="107"/>
  <c r="Q101" i="107"/>
  <c r="U101" i="107"/>
  <c r="P101" i="107"/>
  <c r="U84" i="107"/>
  <c r="Q84" i="107"/>
  <c r="O84" i="107"/>
  <c r="R84" i="107"/>
  <c r="P84" i="107"/>
  <c r="S84" i="107"/>
  <c r="U70" i="107"/>
  <c r="Q70" i="107"/>
  <c r="O70" i="107"/>
  <c r="S70" i="107"/>
  <c r="R70" i="107"/>
  <c r="P70" i="107"/>
  <c r="O53" i="107"/>
  <c r="U53" i="107"/>
  <c r="P53" i="107"/>
  <c r="S53" i="107"/>
  <c r="R53" i="107"/>
  <c r="Q53" i="107"/>
  <c r="O37" i="107"/>
  <c r="Q37" i="107"/>
  <c r="U37" i="107"/>
  <c r="P37" i="107"/>
  <c r="S37" i="107"/>
  <c r="R37" i="107"/>
  <c r="R21" i="107"/>
  <c r="Q21" i="107"/>
  <c r="U21" i="107"/>
  <c r="P21" i="107"/>
  <c r="O21" i="107"/>
  <c r="S21" i="107"/>
  <c r="Q107" i="107"/>
  <c r="O107" i="107"/>
  <c r="U107" i="107"/>
  <c r="P107" i="107"/>
  <c r="R107" i="107"/>
  <c r="S107" i="107"/>
  <c r="U90" i="107"/>
  <c r="S90" i="107"/>
  <c r="R90" i="107"/>
  <c r="O90" i="107"/>
  <c r="Q90" i="107"/>
  <c r="P90" i="107"/>
  <c r="S72" i="107"/>
  <c r="P72" i="107"/>
  <c r="U72" i="107"/>
  <c r="O72" i="107"/>
  <c r="R72" i="107"/>
  <c r="Q72" i="107"/>
  <c r="S59" i="107"/>
  <c r="U59" i="107"/>
  <c r="R59" i="107"/>
  <c r="P59" i="107"/>
  <c r="Q59" i="107"/>
  <c r="O59" i="107"/>
  <c r="S43" i="107"/>
  <c r="U43" i="107"/>
  <c r="P43" i="107"/>
  <c r="O43" i="107"/>
  <c r="R43" i="107"/>
  <c r="Q43" i="107"/>
  <c r="S27" i="107"/>
  <c r="Q27" i="107"/>
  <c r="P27" i="107"/>
  <c r="O27" i="107"/>
  <c r="R27" i="107"/>
  <c r="U27" i="107"/>
  <c r="U106" i="107"/>
  <c r="O106" i="107"/>
  <c r="S106" i="107"/>
  <c r="R106" i="107"/>
  <c r="Q106" i="107"/>
  <c r="P106" i="107"/>
  <c r="O89" i="107"/>
  <c r="U89" i="107"/>
  <c r="P89" i="107"/>
  <c r="S89" i="107"/>
  <c r="R89" i="107"/>
  <c r="Q89" i="107"/>
  <c r="Q75" i="107"/>
  <c r="P75" i="107"/>
  <c r="U75" i="107"/>
  <c r="O75" i="107"/>
  <c r="S75" i="107"/>
  <c r="R75" i="107"/>
  <c r="S58" i="107"/>
  <c r="O58" i="107"/>
  <c r="R58" i="107"/>
  <c r="U58" i="107"/>
  <c r="Q58" i="107"/>
  <c r="P58" i="107"/>
  <c r="S42" i="107"/>
  <c r="O42" i="107"/>
  <c r="R42" i="107"/>
  <c r="Q42" i="107"/>
  <c r="U42" i="107"/>
  <c r="P42" i="107"/>
  <c r="U26" i="107"/>
  <c r="O26" i="107"/>
  <c r="S26" i="107"/>
  <c r="R26" i="107"/>
  <c r="Q26" i="107"/>
  <c r="P26" i="107"/>
  <c r="Q9" i="107"/>
  <c r="R9" i="107"/>
  <c r="S9" i="107" s="1"/>
  <c r="U9" i="107" s="1"/>
  <c r="P9" i="107"/>
  <c r="O9" i="107"/>
  <c r="P95" i="107"/>
  <c r="Q95" i="107"/>
  <c r="S95" i="107"/>
  <c r="R95" i="107"/>
  <c r="U95" i="107"/>
  <c r="O95" i="107"/>
  <c r="S78" i="107"/>
  <c r="R78" i="107"/>
  <c r="P78" i="107"/>
  <c r="Q78" i="107"/>
  <c r="U78" i="107"/>
  <c r="O78" i="107"/>
  <c r="S60" i="107"/>
  <c r="R60" i="107"/>
  <c r="U60" i="107"/>
  <c r="P60" i="107"/>
  <c r="Q60" i="107"/>
  <c r="O60" i="107"/>
  <c r="R44" i="107"/>
  <c r="Q44" i="107"/>
  <c r="S44" i="107"/>
  <c r="O44" i="107"/>
  <c r="U44" i="107"/>
  <c r="P44" i="107"/>
  <c r="S28" i="107"/>
  <c r="P28" i="107"/>
  <c r="U28" i="107"/>
  <c r="Q28" i="107"/>
  <c r="O28" i="107"/>
  <c r="R28" i="107"/>
  <c r="S15" i="107"/>
  <c r="R15" i="107"/>
  <c r="P15" i="107"/>
  <c r="O15" i="107"/>
  <c r="Q15" i="107"/>
  <c r="U15" i="107"/>
  <c r="O97" i="107"/>
  <c r="U97" i="107"/>
  <c r="P97" i="107"/>
  <c r="S97" i="107"/>
  <c r="R97" i="107"/>
  <c r="Q97" i="107"/>
  <c r="R80" i="107"/>
  <c r="U80" i="107"/>
  <c r="S80" i="107"/>
  <c r="P80" i="107"/>
  <c r="O80" i="107"/>
  <c r="Q80" i="107"/>
  <c r="Q66" i="107"/>
  <c r="U66" i="107"/>
  <c r="P66" i="107"/>
  <c r="S66" i="107"/>
  <c r="O66" i="107"/>
  <c r="R66" i="107"/>
  <c r="S50" i="107"/>
  <c r="O50" i="107"/>
  <c r="R50" i="107"/>
  <c r="Q50" i="107"/>
  <c r="U50" i="107"/>
  <c r="P50" i="107"/>
  <c r="Q34" i="107"/>
  <c r="S34" i="107"/>
  <c r="P34" i="107"/>
  <c r="U34" i="107"/>
  <c r="O34" i="107"/>
  <c r="R34" i="107"/>
  <c r="P17" i="107"/>
  <c r="O17" i="107"/>
  <c r="R17" i="107"/>
  <c r="U17" i="107"/>
  <c r="Q17" i="107"/>
  <c r="S17" i="107"/>
  <c r="Q100" i="107"/>
  <c r="U100" i="107"/>
  <c r="P100" i="107"/>
  <c r="S100" i="107"/>
  <c r="R100" i="107"/>
  <c r="O100" i="107"/>
  <c r="O87" i="107"/>
  <c r="S87" i="107"/>
  <c r="U87" i="107"/>
  <c r="R87" i="107"/>
  <c r="Q87" i="107"/>
  <c r="P87" i="107"/>
  <c r="O69" i="107"/>
  <c r="S69" i="107"/>
  <c r="R69" i="107"/>
  <c r="Q69" i="107"/>
  <c r="P69" i="107"/>
  <c r="U69" i="107"/>
  <c r="S52" i="107"/>
  <c r="Q52" i="107"/>
  <c r="U52" i="107"/>
  <c r="R52" i="107"/>
  <c r="O52" i="107"/>
  <c r="P52" i="107"/>
  <c r="U36" i="107"/>
  <c r="P36" i="107"/>
  <c r="Q36" i="107"/>
  <c r="O36" i="107"/>
  <c r="R36" i="107"/>
  <c r="S36" i="107"/>
  <c r="P20" i="107"/>
  <c r="S20" i="107"/>
  <c r="Q20" i="107"/>
  <c r="O20" i="107"/>
  <c r="U20" i="107"/>
  <c r="R20" i="107"/>
  <c r="U103" i="107"/>
  <c r="Q103" i="107"/>
  <c r="O103" i="107"/>
  <c r="R103" i="107"/>
  <c r="P103" i="107"/>
  <c r="S103" i="107"/>
  <c r="S86" i="107"/>
  <c r="U86" i="107"/>
  <c r="Q86" i="107"/>
  <c r="R86" i="107"/>
  <c r="O86" i="107"/>
  <c r="P86" i="107"/>
  <c r="U68" i="107"/>
  <c r="S68" i="107"/>
  <c r="R68" i="107"/>
  <c r="P68" i="107"/>
  <c r="Q68" i="107"/>
  <c r="O68" i="107"/>
  <c r="U55" i="107"/>
  <c r="O55" i="107"/>
  <c r="R55" i="107"/>
  <c r="S55" i="107"/>
  <c r="Q55" i="107"/>
  <c r="P55" i="107"/>
  <c r="P39" i="107"/>
  <c r="R39" i="107"/>
  <c r="O39" i="107"/>
  <c r="S39" i="107"/>
  <c r="Q39" i="107"/>
  <c r="U39" i="107"/>
  <c r="R23" i="107"/>
  <c r="Q23" i="107"/>
  <c r="S23" i="107"/>
  <c r="O23" i="107"/>
  <c r="U23" i="107"/>
  <c r="P23" i="107"/>
  <c r="O105" i="107"/>
  <c r="R105" i="107"/>
  <c r="Q105" i="107"/>
  <c r="U105" i="107"/>
  <c r="P105" i="107"/>
  <c r="S105" i="107"/>
  <c r="U88" i="107"/>
  <c r="Q88" i="107"/>
  <c r="S88" i="107"/>
  <c r="R88" i="107"/>
  <c r="P88" i="107"/>
  <c r="O88" i="107"/>
  <c r="U74" i="107"/>
  <c r="S74" i="107"/>
  <c r="O74" i="107"/>
  <c r="R74" i="107"/>
  <c r="Q74" i="107"/>
  <c r="P74" i="107"/>
  <c r="S57" i="107"/>
  <c r="R57" i="107"/>
  <c r="P57" i="107"/>
  <c r="Q57" i="107"/>
  <c r="O57" i="107"/>
  <c r="U57" i="107"/>
  <c r="R41" i="107"/>
  <c r="U41" i="107"/>
  <c r="Q41" i="107"/>
  <c r="S41" i="107"/>
  <c r="P41" i="107"/>
  <c r="O41" i="107"/>
  <c r="R25" i="107"/>
  <c r="U25" i="107"/>
  <c r="Q25" i="107"/>
  <c r="S25" i="107"/>
  <c r="O25" i="107"/>
  <c r="P25" i="107"/>
  <c r="S11" i="107"/>
  <c r="U11" i="107"/>
  <c r="Q11" i="107"/>
  <c r="O11" i="107"/>
  <c r="P11" i="107"/>
  <c r="R11" i="107"/>
  <c r="BK48" i="108"/>
  <c r="BK14" i="108"/>
  <c r="E49" i="108"/>
  <c r="AA7" i="107"/>
  <c r="AR48" i="108"/>
  <c r="BG48" i="108"/>
  <c r="AT48" i="108"/>
  <c r="BF48" i="108"/>
  <c r="BE48" i="108"/>
  <c r="BF14" i="108"/>
  <c r="AT14" i="108"/>
  <c r="AR14" i="108"/>
  <c r="BG14" i="108"/>
  <c r="BE14" i="108"/>
  <c r="AP14" i="108"/>
  <c r="AJ14" i="108"/>
  <c r="AG15" i="108" a="1"/>
  <c r="AG15" i="108" s="1"/>
  <c r="BL15" i="108" s="1"/>
  <c r="AJ48" i="108"/>
  <c r="M49" i="108"/>
  <c r="K49" i="108"/>
  <c r="AG49" i="108" a="1"/>
  <c r="AG49" i="108" s="1"/>
  <c r="BL49" i="108" s="1"/>
  <c r="AP48" i="108"/>
  <c r="B50" i="108" a="1"/>
  <c r="B50" i="108" s="1"/>
  <c r="BM50" i="108" s="1"/>
  <c r="B15" i="108" a="1"/>
  <c r="B15" i="108" s="1"/>
  <c r="BM15" i="108" s="1"/>
  <c r="P7" i="107" l="1"/>
  <c r="O7" i="107"/>
  <c r="AX48" i="108"/>
  <c r="AZ48" i="108" s="1"/>
  <c r="AX14" i="108"/>
  <c r="AZ14" i="108" s="1"/>
  <c r="BK49" i="108"/>
  <c r="BK15" i="108"/>
  <c r="E15" i="108"/>
  <c r="AT49" i="108"/>
  <c r="BF49" i="108"/>
  <c r="AR49" i="108"/>
  <c r="BG49" i="108"/>
  <c r="BE49" i="108"/>
  <c r="BG15" i="108"/>
  <c r="BF15" i="108"/>
  <c r="AR15" i="108"/>
  <c r="BE15" i="108"/>
  <c r="AT15" i="108"/>
  <c r="AJ15" i="108"/>
  <c r="AP15" i="108"/>
  <c r="AG16" i="108" a="1"/>
  <c r="AG16" i="108" s="1"/>
  <c r="BL16" i="108" s="1"/>
  <c r="AG50" i="108" a="1"/>
  <c r="AG50" i="108" s="1"/>
  <c r="BL50" i="108" s="1"/>
  <c r="AJ49" i="108"/>
  <c r="AP49" i="108"/>
  <c r="E50" i="108"/>
  <c r="M50" i="108"/>
  <c r="K50" i="108"/>
  <c r="B51" i="108" a="1"/>
  <c r="B51" i="108" s="1"/>
  <c r="BM51" i="108" s="1"/>
  <c r="B16" i="108" a="1"/>
  <c r="B16" i="108" s="1"/>
  <c r="BM16" i="108" s="1"/>
  <c r="O15" i="108"/>
  <c r="K15" i="108"/>
  <c r="M15" i="108"/>
  <c r="AX49" i="108" l="1"/>
  <c r="AZ49" i="108" s="1"/>
  <c r="AX15" i="108"/>
  <c r="AZ15" i="108" s="1"/>
  <c r="BK50" i="108"/>
  <c r="BK16" i="108"/>
  <c r="E16" i="108"/>
  <c r="BE50" i="108"/>
  <c r="BF50" i="108"/>
  <c r="AT50" i="108"/>
  <c r="AR50" i="108"/>
  <c r="BG50" i="108"/>
  <c r="AT16" i="108"/>
  <c r="AR16" i="108"/>
  <c r="BG16" i="108"/>
  <c r="BF16" i="108"/>
  <c r="BE16" i="108"/>
  <c r="AP16" i="108"/>
  <c r="AJ16" i="108"/>
  <c r="AG17" i="108" a="1"/>
  <c r="AG17" i="108" s="1"/>
  <c r="BL17" i="108" s="1"/>
  <c r="AJ50" i="108"/>
  <c r="AG51" i="108" a="1"/>
  <c r="AG51" i="108" s="1"/>
  <c r="BL51" i="108" s="1"/>
  <c r="AP50" i="108"/>
  <c r="E51" i="108"/>
  <c r="M51" i="108"/>
  <c r="K51" i="108"/>
  <c r="B52" i="108" a="1"/>
  <c r="B52" i="108" s="1"/>
  <c r="BM52" i="108" s="1"/>
  <c r="S15" i="108"/>
  <c r="U15" i="108" s="1"/>
  <c r="K16" i="108"/>
  <c r="O16" i="108"/>
  <c r="B17" i="108" a="1"/>
  <c r="B17" i="108" s="1"/>
  <c r="BM17" i="108" s="1"/>
  <c r="M16" i="108"/>
  <c r="AX16" i="108" l="1"/>
  <c r="AZ16" i="108" s="1"/>
  <c r="AX50" i="108"/>
  <c r="AZ50" i="108" s="1"/>
  <c r="BK51" i="108"/>
  <c r="BK17" i="108"/>
  <c r="B53" i="108" a="1"/>
  <c r="B53" i="108" s="1"/>
  <c r="BM53" i="108" s="1"/>
  <c r="E17" i="108"/>
  <c r="BE51" i="108"/>
  <c r="AT51" i="108"/>
  <c r="BF51" i="108"/>
  <c r="AR51" i="108"/>
  <c r="BG51" i="108"/>
  <c r="BE17" i="108"/>
  <c r="AT17" i="108"/>
  <c r="BF17" i="108"/>
  <c r="AR17" i="108"/>
  <c r="BG17" i="108"/>
  <c r="AJ17" i="108"/>
  <c r="AP17" i="108"/>
  <c r="AG18" i="108" a="1"/>
  <c r="AG18" i="108" s="1"/>
  <c r="BL18" i="108" s="1"/>
  <c r="AG52" i="108" a="1"/>
  <c r="AG52" i="108" s="1"/>
  <c r="BL52" i="108" s="1"/>
  <c r="AJ51" i="108"/>
  <c r="AP51" i="108"/>
  <c r="K52" i="108"/>
  <c r="E52" i="108"/>
  <c r="M52" i="108"/>
  <c r="S16" i="108"/>
  <c r="U16" i="108" s="1"/>
  <c r="M17" i="108"/>
  <c r="O17" i="108"/>
  <c r="B18" i="108" a="1"/>
  <c r="B18" i="108" s="1"/>
  <c r="BM18" i="108" s="1"/>
  <c r="K17" i="108"/>
  <c r="AX51" i="108" l="1"/>
  <c r="AZ51" i="108" s="1"/>
  <c r="AX17" i="108"/>
  <c r="AZ17" i="108" s="1"/>
  <c r="BK52" i="108"/>
  <c r="BK18" i="108"/>
  <c r="E53" i="108"/>
  <c r="B54" i="108" a="1"/>
  <c r="B54" i="108" s="1"/>
  <c r="BM54" i="108" s="1"/>
  <c r="M53" i="108"/>
  <c r="K53" i="108"/>
  <c r="E18" i="108"/>
  <c r="AR52" i="108"/>
  <c r="BG52" i="108"/>
  <c r="AT52" i="108"/>
  <c r="BF52" i="108"/>
  <c r="BE52" i="108"/>
  <c r="AG53" i="108" a="1"/>
  <c r="AG53" i="108" s="1"/>
  <c r="BL53" i="108" s="1"/>
  <c r="BF18" i="108"/>
  <c r="AT18" i="108"/>
  <c r="AR18" i="108"/>
  <c r="BE18" i="108"/>
  <c r="BG18" i="108"/>
  <c r="AG19" i="108" a="1"/>
  <c r="AG19" i="108" s="1"/>
  <c r="BL19" i="108" s="1"/>
  <c r="AP18" i="108"/>
  <c r="AJ18" i="108"/>
  <c r="AP52" i="108"/>
  <c r="AJ52" i="108"/>
  <c r="S17" i="108"/>
  <c r="U17" i="108" s="1"/>
  <c r="O18" i="108"/>
  <c r="M18" i="108"/>
  <c r="B19" i="108" a="1"/>
  <c r="B19" i="108" s="1"/>
  <c r="BM19" i="108" s="1"/>
  <c r="K18" i="108"/>
  <c r="E80" i="28"/>
  <c r="D80" i="28"/>
  <c r="C80" i="28"/>
  <c r="B80" i="28"/>
  <c r="A80" i="28"/>
  <c r="AX52" i="108" l="1"/>
  <c r="AZ52" i="108" s="1"/>
  <c r="AX18" i="108"/>
  <c r="AZ18" i="108" s="1"/>
  <c r="BK53" i="108"/>
  <c r="BK19" i="108"/>
  <c r="B55" i="108" a="1"/>
  <c r="B55" i="108" s="1"/>
  <c r="BM55" i="108" s="1"/>
  <c r="M54" i="108"/>
  <c r="E54" i="108"/>
  <c r="K54" i="108"/>
  <c r="E19" i="108"/>
  <c r="AT53" i="108"/>
  <c r="BF53" i="108"/>
  <c r="AR53" i="108"/>
  <c r="BG53" i="108"/>
  <c r="BE53" i="108"/>
  <c r="AP53" i="108"/>
  <c r="AG54" i="108" a="1"/>
  <c r="AG54" i="108" s="1"/>
  <c r="BL54" i="108" s="1"/>
  <c r="AJ53" i="108"/>
  <c r="BG19" i="108"/>
  <c r="BE19" i="108"/>
  <c r="AT19" i="108"/>
  <c r="BF19" i="108"/>
  <c r="AR19" i="108"/>
  <c r="AG20" i="108" a="1"/>
  <c r="AG20" i="108" s="1"/>
  <c r="BL20" i="108" s="1"/>
  <c r="AJ19" i="108"/>
  <c r="AP19" i="108"/>
  <c r="S18" i="108"/>
  <c r="U18" i="108" s="1"/>
  <c r="M19" i="108"/>
  <c r="K19" i="108"/>
  <c r="O19" i="108"/>
  <c r="B20" i="108" a="1"/>
  <c r="B20" i="108" s="1"/>
  <c r="BM20" i="108" s="1"/>
  <c r="I27" i="96"/>
  <c r="AS11" i="63"/>
  <c r="AS12" i="63"/>
  <c r="AS13" i="63"/>
  <c r="AS14" i="63"/>
  <c r="AS15" i="63"/>
  <c r="AS16" i="63"/>
  <c r="AS17" i="63"/>
  <c r="AS18" i="63"/>
  <c r="AS19" i="63"/>
  <c r="AS20" i="63"/>
  <c r="AS21" i="63"/>
  <c r="AS22" i="63"/>
  <c r="AS23" i="63"/>
  <c r="AS24" i="63"/>
  <c r="AS25" i="63"/>
  <c r="AS26" i="63"/>
  <c r="AS27" i="63"/>
  <c r="AS28" i="63"/>
  <c r="AS29" i="63"/>
  <c r="AS30" i="63"/>
  <c r="AS31" i="63"/>
  <c r="AS32" i="63"/>
  <c r="AS33" i="63"/>
  <c r="AS34" i="63"/>
  <c r="AS35" i="63"/>
  <c r="AS36" i="63"/>
  <c r="AS37" i="63"/>
  <c r="AS38" i="63"/>
  <c r="AS39" i="63"/>
  <c r="AS40" i="63"/>
  <c r="AS41" i="63"/>
  <c r="AS42" i="63"/>
  <c r="AS43" i="63"/>
  <c r="AS44" i="63"/>
  <c r="AS45" i="63"/>
  <c r="AS46" i="63"/>
  <c r="AS47" i="63"/>
  <c r="AS48" i="63"/>
  <c r="AS49" i="63"/>
  <c r="AS50" i="63"/>
  <c r="AS51" i="63"/>
  <c r="AS52" i="63"/>
  <c r="AS53" i="63"/>
  <c r="AS54" i="63"/>
  <c r="AS55" i="63"/>
  <c r="AS56" i="63"/>
  <c r="AS57" i="63"/>
  <c r="AS58" i="63"/>
  <c r="AS59" i="63"/>
  <c r="AS60" i="63"/>
  <c r="AS61" i="63"/>
  <c r="AS62" i="63"/>
  <c r="AS63" i="63"/>
  <c r="AS64" i="63"/>
  <c r="AS65" i="63"/>
  <c r="AS66" i="63"/>
  <c r="AS67" i="63"/>
  <c r="AS68" i="63"/>
  <c r="AS69" i="63"/>
  <c r="AS70" i="63"/>
  <c r="AS71" i="63"/>
  <c r="AS72" i="63"/>
  <c r="AS73" i="63"/>
  <c r="AS74" i="63"/>
  <c r="AS75" i="63"/>
  <c r="AS76" i="63"/>
  <c r="AS77" i="63"/>
  <c r="AS78" i="63"/>
  <c r="AS79" i="63"/>
  <c r="AS80" i="63"/>
  <c r="AS81" i="63"/>
  <c r="AS82" i="63"/>
  <c r="AS83" i="63"/>
  <c r="AS84" i="63"/>
  <c r="AS85" i="63"/>
  <c r="AS86" i="63"/>
  <c r="AS87" i="63"/>
  <c r="AS88" i="63"/>
  <c r="AS89" i="63"/>
  <c r="AS90" i="63"/>
  <c r="AS91" i="63"/>
  <c r="AS92" i="63"/>
  <c r="AS93" i="63"/>
  <c r="AS94" i="63"/>
  <c r="AS95" i="63"/>
  <c r="AS96" i="63"/>
  <c r="AS97" i="63"/>
  <c r="AS98" i="63"/>
  <c r="AS99" i="63"/>
  <c r="AS100" i="63"/>
  <c r="AS101" i="63"/>
  <c r="AS102" i="63"/>
  <c r="AS103" i="63"/>
  <c r="AS104" i="63"/>
  <c r="AS105" i="63"/>
  <c r="AS106" i="63"/>
  <c r="AS107" i="63"/>
  <c r="AS108" i="63"/>
  <c r="AS109" i="63"/>
  <c r="AS110" i="63"/>
  <c r="AS111" i="63"/>
  <c r="AS112" i="63"/>
  <c r="AS113" i="63"/>
  <c r="AS114" i="63"/>
  <c r="AS115" i="63"/>
  <c r="AS116" i="63"/>
  <c r="AS117" i="63"/>
  <c r="AS118" i="63"/>
  <c r="AS119" i="63"/>
  <c r="AS120" i="63"/>
  <c r="AS121" i="63"/>
  <c r="AS122" i="63"/>
  <c r="AS123" i="63"/>
  <c r="AS124" i="63"/>
  <c r="AS125" i="63"/>
  <c r="AS126" i="63"/>
  <c r="AS127" i="63"/>
  <c r="AS128" i="63"/>
  <c r="AS129" i="63"/>
  <c r="AS130" i="63"/>
  <c r="AS131" i="63"/>
  <c r="AS132" i="63"/>
  <c r="AS133" i="63"/>
  <c r="AS134" i="63"/>
  <c r="AS135" i="63"/>
  <c r="AS136" i="63"/>
  <c r="AS137" i="63"/>
  <c r="AS138" i="63"/>
  <c r="AS139" i="63"/>
  <c r="AS140" i="63"/>
  <c r="AS141" i="63"/>
  <c r="AS142" i="63"/>
  <c r="AS143" i="63"/>
  <c r="AS144" i="63"/>
  <c r="AS145" i="63"/>
  <c r="AS146" i="63"/>
  <c r="AS147" i="63"/>
  <c r="AS148" i="63"/>
  <c r="AS149" i="63"/>
  <c r="AS150" i="63"/>
  <c r="AS151" i="63"/>
  <c r="AS152" i="63"/>
  <c r="AS153" i="63"/>
  <c r="AS154" i="63"/>
  <c r="AS155" i="63"/>
  <c r="AS156" i="63"/>
  <c r="AS157" i="63"/>
  <c r="AS158" i="63"/>
  <c r="AS159" i="63"/>
  <c r="AS160" i="63"/>
  <c r="AS161" i="63"/>
  <c r="AS162" i="63"/>
  <c r="AS163" i="63"/>
  <c r="AS164" i="63"/>
  <c r="AS165" i="63"/>
  <c r="AS166" i="63"/>
  <c r="AS167" i="63"/>
  <c r="AS168" i="63"/>
  <c r="AS169" i="63"/>
  <c r="AS170" i="63"/>
  <c r="AS171" i="63"/>
  <c r="AS172" i="63"/>
  <c r="AS173" i="63"/>
  <c r="AS174" i="63"/>
  <c r="AS175" i="63"/>
  <c r="AS176" i="63"/>
  <c r="AS177" i="63"/>
  <c r="AS178" i="63"/>
  <c r="AS179" i="63"/>
  <c r="AS180" i="63"/>
  <c r="AS181" i="63"/>
  <c r="AS182" i="63"/>
  <c r="AS183" i="63"/>
  <c r="AS184" i="63"/>
  <c r="AS185" i="63"/>
  <c r="AS186" i="63"/>
  <c r="AS187" i="63"/>
  <c r="AS188" i="63"/>
  <c r="AS189" i="63"/>
  <c r="AS190" i="63"/>
  <c r="AS191" i="63"/>
  <c r="AS192" i="63"/>
  <c r="AS193" i="63"/>
  <c r="AS194" i="63"/>
  <c r="AS195" i="63"/>
  <c r="AS196" i="63"/>
  <c r="AS197" i="63"/>
  <c r="AS198" i="63"/>
  <c r="AS199" i="63"/>
  <c r="AS200" i="63"/>
  <c r="AS201" i="63"/>
  <c r="AS202" i="63"/>
  <c r="AS203" i="63"/>
  <c r="AS204" i="63"/>
  <c r="AS205" i="63"/>
  <c r="AS206" i="63"/>
  <c r="AS207" i="63"/>
  <c r="AS208" i="63"/>
  <c r="AS209" i="63"/>
  <c r="AS210" i="63"/>
  <c r="AS211" i="63"/>
  <c r="AS212" i="63"/>
  <c r="AS213" i="63"/>
  <c r="AS214" i="63"/>
  <c r="AS215" i="63"/>
  <c r="AS216" i="63"/>
  <c r="AS217" i="63"/>
  <c r="AS218" i="63"/>
  <c r="AS219" i="63"/>
  <c r="AS220" i="63"/>
  <c r="AS221" i="63"/>
  <c r="AS222" i="63"/>
  <c r="AS223" i="63"/>
  <c r="AS224" i="63"/>
  <c r="AS225" i="63"/>
  <c r="AS226" i="63"/>
  <c r="AS227" i="63"/>
  <c r="AS228" i="63"/>
  <c r="AS229" i="63"/>
  <c r="AS230" i="63"/>
  <c r="AS231" i="63"/>
  <c r="AS232" i="63"/>
  <c r="AS233" i="63"/>
  <c r="AS234" i="63"/>
  <c r="AS235" i="63"/>
  <c r="AS236" i="63"/>
  <c r="AS237" i="63"/>
  <c r="AS238" i="63"/>
  <c r="AS239" i="63"/>
  <c r="AS240" i="63"/>
  <c r="AS241" i="63"/>
  <c r="AS242" i="63"/>
  <c r="AS243" i="63"/>
  <c r="AS244" i="63"/>
  <c r="AS245" i="63"/>
  <c r="AS246" i="63"/>
  <c r="AS247" i="63"/>
  <c r="AS248" i="63"/>
  <c r="AS249" i="63"/>
  <c r="AS250" i="63"/>
  <c r="AS251" i="63"/>
  <c r="AS252" i="63"/>
  <c r="AS253" i="63"/>
  <c r="AS254" i="63"/>
  <c r="AS255" i="63"/>
  <c r="AS256" i="63"/>
  <c r="AS257" i="63"/>
  <c r="AS10" i="63"/>
  <c r="AR10" i="63"/>
  <c r="AX53" i="108" l="1"/>
  <c r="AZ53" i="108" s="1"/>
  <c r="AX19" i="108"/>
  <c r="AZ19" i="108" s="1"/>
  <c r="BK54" i="108"/>
  <c r="BK20" i="108"/>
  <c r="M55" i="108"/>
  <c r="K55" i="108"/>
  <c r="E55" i="108"/>
  <c r="B56" i="108" a="1"/>
  <c r="B56" i="108" s="1"/>
  <c r="BM56" i="108" s="1"/>
  <c r="E20" i="108"/>
  <c r="AG55" i="108" a="1"/>
  <c r="AG55" i="108" s="1"/>
  <c r="BL55" i="108" s="1"/>
  <c r="BE54" i="108"/>
  <c r="BF54" i="108"/>
  <c r="AT54" i="108"/>
  <c r="AR54" i="108"/>
  <c r="BG54" i="108"/>
  <c r="AP54" i="108"/>
  <c r="AJ54" i="108"/>
  <c r="BE20" i="108"/>
  <c r="BG20" i="108"/>
  <c r="BF20" i="108"/>
  <c r="AT20" i="108"/>
  <c r="AR20" i="108"/>
  <c r="AJ20" i="108"/>
  <c r="AP20" i="108"/>
  <c r="AG21" i="108" a="1"/>
  <c r="AG21" i="108" s="1"/>
  <c r="BL21" i="108" s="1"/>
  <c r="S19" i="108"/>
  <c r="U19" i="108" s="1"/>
  <c r="B21" i="108" a="1"/>
  <c r="B21" i="108" s="1"/>
  <c r="BM21" i="108" s="1"/>
  <c r="O20" i="108"/>
  <c r="M20" i="108"/>
  <c r="K20" i="108"/>
  <c r="AJ259" i="65"/>
  <c r="O11" i="11"/>
  <c r="AX54" i="108" l="1"/>
  <c r="AZ54" i="108" s="1"/>
  <c r="AX20" i="108"/>
  <c r="AZ20" i="108" s="1"/>
  <c r="AG56" i="108" a="1"/>
  <c r="AG56" i="108" s="1"/>
  <c r="BL56" i="108" s="1"/>
  <c r="BK55" i="108"/>
  <c r="BK21" i="108"/>
  <c r="B57" i="108" a="1"/>
  <c r="B57" i="108" s="1"/>
  <c r="BM57" i="108" s="1"/>
  <c r="K56" i="108"/>
  <c r="M56" i="108"/>
  <c r="E56" i="108"/>
  <c r="E21" i="108"/>
  <c r="AP55" i="108"/>
  <c r="AJ55" i="108"/>
  <c r="BE55" i="108"/>
  <c r="AR55" i="108"/>
  <c r="BG55" i="108"/>
  <c r="AT55" i="108"/>
  <c r="BF55" i="108"/>
  <c r="AG22" i="108" a="1"/>
  <c r="AG22" i="108" s="1"/>
  <c r="BL22" i="108" s="1"/>
  <c r="BE21" i="108"/>
  <c r="AT21" i="108"/>
  <c r="BG21" i="108"/>
  <c r="BF21" i="108"/>
  <c r="AR21" i="108"/>
  <c r="AP21" i="108"/>
  <c r="AJ21" i="108"/>
  <c r="S20" i="108"/>
  <c r="U20" i="108" s="1"/>
  <c r="B22" i="108" a="1"/>
  <c r="B22" i="108" s="1"/>
  <c r="BM22" i="108" s="1"/>
  <c r="O21" i="108"/>
  <c r="M21" i="108"/>
  <c r="K21" i="108"/>
  <c r="AX21" i="108" l="1"/>
  <c r="AZ21" i="108" s="1"/>
  <c r="AX55" i="108"/>
  <c r="AZ55" i="108" s="1"/>
  <c r="AT56" i="108"/>
  <c r="AP56" i="108"/>
  <c r="BG56" i="108"/>
  <c r="AJ56" i="108"/>
  <c r="BE56" i="108"/>
  <c r="AR56" i="108"/>
  <c r="BF56" i="108"/>
  <c r="AG57" i="108" a="1"/>
  <c r="AG57" i="108" s="1"/>
  <c r="BL57" i="108" s="1"/>
  <c r="BK56" i="108"/>
  <c r="AP22" i="108"/>
  <c r="BK22" i="108"/>
  <c r="M57" i="108"/>
  <c r="K57" i="108"/>
  <c r="E57" i="108"/>
  <c r="B58" i="108" a="1"/>
  <c r="B58" i="108" s="1"/>
  <c r="BM58" i="108" s="1"/>
  <c r="E22" i="108"/>
  <c r="AG23" i="108" a="1"/>
  <c r="AG23" i="108" s="1"/>
  <c r="BL23" i="108" s="1"/>
  <c r="AJ22" i="108"/>
  <c r="BF22" i="108"/>
  <c r="AT22" i="108"/>
  <c r="AR22" i="108"/>
  <c r="BE22" i="108"/>
  <c r="BG22" i="108"/>
  <c r="S21" i="108"/>
  <c r="U21" i="108" s="1"/>
  <c r="M22" i="108"/>
  <c r="B23" i="108" a="1"/>
  <c r="B23" i="108" s="1"/>
  <c r="BM23" i="108" s="1"/>
  <c r="K22" i="108"/>
  <c r="O22" i="108"/>
  <c r="AX56" i="108" l="1"/>
  <c r="AZ56" i="108" s="1"/>
  <c r="AX22" i="108"/>
  <c r="AZ22" i="108" s="1"/>
  <c r="BF57" i="108"/>
  <c r="AP57" i="108"/>
  <c r="AJ57" i="108"/>
  <c r="BK57" i="108"/>
  <c r="BE57" i="108"/>
  <c r="AT57" i="108"/>
  <c r="BG57" i="108"/>
  <c r="AG58" i="108" a="1"/>
  <c r="AG58" i="108" s="1"/>
  <c r="BL58" i="108" s="1"/>
  <c r="AR57" i="108"/>
  <c r="AG24" i="108" a="1"/>
  <c r="AG24" i="108" s="1"/>
  <c r="BL24" i="108" s="1"/>
  <c r="BK23" i="108"/>
  <c r="B59" i="108" a="1"/>
  <c r="B59" i="108" s="1"/>
  <c r="BM59" i="108" s="1"/>
  <c r="M58" i="108"/>
  <c r="K58" i="108"/>
  <c r="E58" i="108"/>
  <c r="E23" i="108"/>
  <c r="AJ23" i="108"/>
  <c r="AP23" i="108"/>
  <c r="BG23" i="108"/>
  <c r="BF23" i="108"/>
  <c r="AR23" i="108"/>
  <c r="BE23" i="108"/>
  <c r="AT23" i="108"/>
  <c r="S22" i="108"/>
  <c r="U22" i="108" s="1"/>
  <c r="K23" i="108"/>
  <c r="M23" i="108"/>
  <c r="O23" i="108"/>
  <c r="B24" i="108" a="1"/>
  <c r="B24" i="108" s="1"/>
  <c r="BM24" i="108" s="1"/>
  <c r="T11" i="52"/>
  <c r="T12" i="52"/>
  <c r="T13" i="52"/>
  <c r="T14" i="52"/>
  <c r="T15" i="52"/>
  <c r="T16" i="52"/>
  <c r="T17" i="52"/>
  <c r="T18" i="52"/>
  <c r="T19" i="52"/>
  <c r="T20" i="52"/>
  <c r="T21" i="52"/>
  <c r="T22" i="52"/>
  <c r="T23" i="52"/>
  <c r="T24" i="52"/>
  <c r="T25" i="52"/>
  <c r="T26" i="52"/>
  <c r="T27" i="52"/>
  <c r="T28" i="52"/>
  <c r="T29" i="52"/>
  <c r="T30" i="52"/>
  <c r="T31" i="52"/>
  <c r="T32" i="52"/>
  <c r="T33" i="52"/>
  <c r="T34" i="52"/>
  <c r="T35" i="52"/>
  <c r="T36" i="52"/>
  <c r="T37" i="52"/>
  <c r="T38" i="52"/>
  <c r="T39" i="52"/>
  <c r="T40" i="52"/>
  <c r="T41" i="52"/>
  <c r="T42" i="52"/>
  <c r="T43" i="52"/>
  <c r="T44" i="52"/>
  <c r="T45" i="52"/>
  <c r="T46" i="52"/>
  <c r="T47" i="52"/>
  <c r="T48" i="52"/>
  <c r="T49" i="52"/>
  <c r="T50" i="52"/>
  <c r="T51" i="52"/>
  <c r="T52" i="52"/>
  <c r="T53" i="52"/>
  <c r="T54" i="52"/>
  <c r="T55" i="52"/>
  <c r="T56" i="52"/>
  <c r="T57" i="52"/>
  <c r="T58" i="52"/>
  <c r="T59" i="52"/>
  <c r="T60" i="52"/>
  <c r="T61" i="52"/>
  <c r="T62" i="52"/>
  <c r="T63" i="52"/>
  <c r="T64" i="52"/>
  <c r="T65" i="52"/>
  <c r="T66" i="52"/>
  <c r="T67" i="52"/>
  <c r="T68" i="52"/>
  <c r="T69" i="52"/>
  <c r="T70" i="52"/>
  <c r="T71" i="52"/>
  <c r="T72" i="52"/>
  <c r="T73" i="52"/>
  <c r="T74" i="52"/>
  <c r="T75" i="52"/>
  <c r="T76" i="52"/>
  <c r="T77" i="52"/>
  <c r="T78" i="52"/>
  <c r="T79" i="52"/>
  <c r="T80" i="52"/>
  <c r="T81" i="52"/>
  <c r="T82" i="52"/>
  <c r="T83" i="52"/>
  <c r="T84" i="52"/>
  <c r="T85" i="52"/>
  <c r="T86" i="52"/>
  <c r="T87" i="52"/>
  <c r="T88" i="52"/>
  <c r="T89" i="52"/>
  <c r="T90" i="52"/>
  <c r="T91" i="52"/>
  <c r="T92" i="52"/>
  <c r="T93" i="52"/>
  <c r="T94" i="52"/>
  <c r="T95" i="52"/>
  <c r="T96" i="52"/>
  <c r="T97" i="52"/>
  <c r="T98" i="52"/>
  <c r="T99" i="52"/>
  <c r="T100" i="52"/>
  <c r="T101" i="52"/>
  <c r="T102" i="52"/>
  <c r="T103" i="52"/>
  <c r="T104" i="52"/>
  <c r="T105" i="52"/>
  <c r="T106" i="52"/>
  <c r="T107" i="52"/>
  <c r="T108" i="52"/>
  <c r="T109" i="52"/>
  <c r="T110" i="52"/>
  <c r="T111" i="52"/>
  <c r="T112" i="52"/>
  <c r="T113" i="52"/>
  <c r="T114" i="52"/>
  <c r="T115" i="52"/>
  <c r="T116" i="52"/>
  <c r="T117" i="52"/>
  <c r="T118" i="52"/>
  <c r="T119" i="52"/>
  <c r="T120" i="52"/>
  <c r="T121" i="52"/>
  <c r="T122" i="52"/>
  <c r="T123" i="52"/>
  <c r="T124" i="52"/>
  <c r="T125" i="52"/>
  <c r="T126" i="52"/>
  <c r="T127" i="52"/>
  <c r="T128" i="52"/>
  <c r="T129" i="52"/>
  <c r="T130" i="52"/>
  <c r="T131" i="52"/>
  <c r="T132" i="52"/>
  <c r="T133" i="52"/>
  <c r="T134" i="52"/>
  <c r="T135" i="52"/>
  <c r="T136" i="52"/>
  <c r="T137" i="52"/>
  <c r="T138" i="52"/>
  <c r="T139" i="52"/>
  <c r="T140" i="52"/>
  <c r="T141" i="52"/>
  <c r="T142" i="52"/>
  <c r="T143" i="52"/>
  <c r="T144" i="52"/>
  <c r="T145" i="52"/>
  <c r="T146" i="52"/>
  <c r="T147" i="52"/>
  <c r="T148" i="52"/>
  <c r="T149" i="52"/>
  <c r="T150" i="52"/>
  <c r="T151" i="52"/>
  <c r="T152" i="52"/>
  <c r="T153" i="52"/>
  <c r="T154" i="52"/>
  <c r="T155" i="52"/>
  <c r="T156" i="52"/>
  <c r="T157" i="52"/>
  <c r="T158" i="52"/>
  <c r="T159" i="52"/>
  <c r="T160" i="52"/>
  <c r="T161" i="52"/>
  <c r="T162" i="52"/>
  <c r="T163" i="52"/>
  <c r="T164" i="52"/>
  <c r="T165" i="52"/>
  <c r="T166" i="52"/>
  <c r="T167" i="52"/>
  <c r="T168" i="52"/>
  <c r="T169" i="52"/>
  <c r="T170" i="52"/>
  <c r="T171" i="52"/>
  <c r="T172" i="52"/>
  <c r="T173" i="52"/>
  <c r="T174" i="52"/>
  <c r="T175" i="52"/>
  <c r="T176" i="52"/>
  <c r="T177" i="52"/>
  <c r="T178" i="52"/>
  <c r="T179" i="52"/>
  <c r="T180" i="52"/>
  <c r="T181" i="52"/>
  <c r="T182" i="52"/>
  <c r="T183" i="52"/>
  <c r="T184" i="52"/>
  <c r="T185" i="52"/>
  <c r="T186" i="52"/>
  <c r="T187" i="52"/>
  <c r="T188" i="52"/>
  <c r="T189" i="52"/>
  <c r="T190" i="52"/>
  <c r="T191" i="52"/>
  <c r="T192" i="52"/>
  <c r="T193" i="52"/>
  <c r="T194" i="52"/>
  <c r="T195" i="52"/>
  <c r="T196" i="52"/>
  <c r="T197" i="52"/>
  <c r="T198" i="52"/>
  <c r="T199" i="52"/>
  <c r="T200" i="52"/>
  <c r="T201" i="52"/>
  <c r="T202" i="52"/>
  <c r="T203" i="52"/>
  <c r="T204" i="52"/>
  <c r="T205" i="52"/>
  <c r="T206" i="52"/>
  <c r="T207" i="52"/>
  <c r="T208" i="52"/>
  <c r="T209" i="52"/>
  <c r="T210" i="52"/>
  <c r="T211" i="52"/>
  <c r="T212" i="52"/>
  <c r="T213" i="52"/>
  <c r="T214" i="52"/>
  <c r="T215" i="52"/>
  <c r="T216" i="52"/>
  <c r="T217" i="52"/>
  <c r="T218" i="52"/>
  <c r="T219" i="52"/>
  <c r="T220" i="52"/>
  <c r="T221" i="52"/>
  <c r="T222" i="52"/>
  <c r="T223" i="52"/>
  <c r="T224" i="52"/>
  <c r="T225" i="52"/>
  <c r="T226" i="52"/>
  <c r="T227" i="52"/>
  <c r="T228" i="52"/>
  <c r="T229" i="52"/>
  <c r="T230" i="52"/>
  <c r="T231" i="52"/>
  <c r="T232" i="52"/>
  <c r="T233" i="52"/>
  <c r="T234" i="52"/>
  <c r="T235" i="52"/>
  <c r="T236" i="52"/>
  <c r="T237" i="52"/>
  <c r="T238" i="52"/>
  <c r="T239" i="52"/>
  <c r="T240" i="52"/>
  <c r="T241" i="52"/>
  <c r="T242" i="52"/>
  <c r="T243" i="52"/>
  <c r="T244" i="52"/>
  <c r="T245" i="52"/>
  <c r="T246" i="52"/>
  <c r="T247" i="52"/>
  <c r="T248" i="52"/>
  <c r="T249" i="52"/>
  <c r="T250" i="52"/>
  <c r="T251" i="52"/>
  <c r="T252" i="52"/>
  <c r="T253" i="52"/>
  <c r="T254" i="52"/>
  <c r="T255" i="52"/>
  <c r="T256" i="52"/>
  <c r="T257" i="52"/>
  <c r="R17" i="46"/>
  <c r="R18" i="46"/>
  <c r="R19" i="46"/>
  <c r="R20" i="46"/>
  <c r="R21" i="46"/>
  <c r="R22" i="46"/>
  <c r="R23" i="46"/>
  <c r="R24" i="46"/>
  <c r="R25" i="46"/>
  <c r="R26" i="46"/>
  <c r="R27" i="46"/>
  <c r="R28" i="46"/>
  <c r="R29" i="46"/>
  <c r="R30" i="46"/>
  <c r="R31" i="46"/>
  <c r="R32" i="46"/>
  <c r="R33" i="46"/>
  <c r="R34" i="46"/>
  <c r="R35" i="46"/>
  <c r="R36" i="46"/>
  <c r="R37" i="46"/>
  <c r="R39" i="46"/>
  <c r="R40" i="46"/>
  <c r="R41" i="46"/>
  <c r="R42" i="46"/>
  <c r="R43" i="46"/>
  <c r="R44" i="46"/>
  <c r="R45" i="46"/>
  <c r="R46" i="46"/>
  <c r="R47" i="46"/>
  <c r="R48" i="46"/>
  <c r="R49" i="46"/>
  <c r="R50" i="46"/>
  <c r="R51" i="46"/>
  <c r="R52" i="46"/>
  <c r="R53" i="46"/>
  <c r="R54" i="46"/>
  <c r="R55" i="46"/>
  <c r="R56" i="46"/>
  <c r="R57" i="46"/>
  <c r="R58" i="46"/>
  <c r="R59" i="46"/>
  <c r="R60" i="46"/>
  <c r="R61" i="46"/>
  <c r="R62" i="46"/>
  <c r="R63" i="46"/>
  <c r="R64" i="46"/>
  <c r="R65" i="46"/>
  <c r="R66" i="46"/>
  <c r="R67" i="46"/>
  <c r="R68" i="46"/>
  <c r="R69" i="46"/>
  <c r="R70" i="46"/>
  <c r="R71" i="46"/>
  <c r="R72" i="46"/>
  <c r="R73" i="46"/>
  <c r="R74" i="46"/>
  <c r="R75" i="46"/>
  <c r="R76" i="46"/>
  <c r="R77" i="46"/>
  <c r="R78" i="46"/>
  <c r="R79" i="46"/>
  <c r="R80" i="46"/>
  <c r="R81" i="46"/>
  <c r="R82" i="46"/>
  <c r="R83" i="46"/>
  <c r="R84" i="46"/>
  <c r="R85" i="46"/>
  <c r="R86" i="46"/>
  <c r="R87" i="46"/>
  <c r="R88" i="46"/>
  <c r="R89" i="46"/>
  <c r="R90" i="46"/>
  <c r="R91" i="46"/>
  <c r="R92" i="46"/>
  <c r="R93" i="46"/>
  <c r="R94" i="46"/>
  <c r="R95" i="46"/>
  <c r="R96" i="46"/>
  <c r="R97" i="46"/>
  <c r="R98" i="46"/>
  <c r="R99" i="46"/>
  <c r="R100" i="46"/>
  <c r="R101" i="46"/>
  <c r="R102" i="46"/>
  <c r="R103" i="46"/>
  <c r="R104" i="46"/>
  <c r="R105" i="46"/>
  <c r="R106" i="46"/>
  <c r="R107" i="46"/>
  <c r="R108" i="46"/>
  <c r="R109" i="46"/>
  <c r="R110" i="46"/>
  <c r="R111" i="46"/>
  <c r="R112" i="46"/>
  <c r="R113" i="46"/>
  <c r="R114" i="46"/>
  <c r="R115" i="46"/>
  <c r="R116" i="46"/>
  <c r="R117" i="46"/>
  <c r="R118" i="46"/>
  <c r="R119" i="46"/>
  <c r="R120" i="46"/>
  <c r="R121" i="46"/>
  <c r="R122" i="46"/>
  <c r="R123" i="46"/>
  <c r="R124" i="46"/>
  <c r="R125" i="46"/>
  <c r="R126" i="46"/>
  <c r="R127" i="46"/>
  <c r="R128" i="46"/>
  <c r="R129" i="46"/>
  <c r="R130" i="46"/>
  <c r="R131" i="46"/>
  <c r="R132" i="46"/>
  <c r="R133" i="46"/>
  <c r="R134" i="46"/>
  <c r="R135" i="46"/>
  <c r="R136" i="46"/>
  <c r="R137" i="46"/>
  <c r="R138" i="46"/>
  <c r="R139" i="46"/>
  <c r="R140" i="46"/>
  <c r="R141" i="46"/>
  <c r="R142" i="46"/>
  <c r="R143" i="46"/>
  <c r="R144" i="46"/>
  <c r="R145" i="46"/>
  <c r="R146" i="46"/>
  <c r="R147" i="46"/>
  <c r="R148" i="46"/>
  <c r="R149" i="46"/>
  <c r="R150" i="46"/>
  <c r="R151" i="46"/>
  <c r="R152" i="46"/>
  <c r="R153" i="46"/>
  <c r="R154" i="46"/>
  <c r="R155" i="46"/>
  <c r="R156" i="46"/>
  <c r="R157" i="46"/>
  <c r="R158" i="46"/>
  <c r="R159" i="46"/>
  <c r="R160" i="46"/>
  <c r="R161" i="46"/>
  <c r="R162" i="46"/>
  <c r="R163" i="46"/>
  <c r="R164" i="46"/>
  <c r="R165" i="46"/>
  <c r="R166" i="46"/>
  <c r="R167" i="46"/>
  <c r="R168" i="46"/>
  <c r="R169" i="46"/>
  <c r="R170" i="46"/>
  <c r="R171" i="46"/>
  <c r="R172" i="46"/>
  <c r="R173" i="46"/>
  <c r="R174" i="46"/>
  <c r="R175" i="46"/>
  <c r="R176" i="46"/>
  <c r="R177" i="46"/>
  <c r="R178" i="46"/>
  <c r="R179" i="46"/>
  <c r="R180" i="46"/>
  <c r="R181" i="46"/>
  <c r="R182" i="46"/>
  <c r="R183" i="46"/>
  <c r="R184" i="46"/>
  <c r="R185" i="46"/>
  <c r="R186" i="46"/>
  <c r="R187" i="46"/>
  <c r="R188" i="46"/>
  <c r="R189" i="46"/>
  <c r="R190" i="46"/>
  <c r="R191" i="46"/>
  <c r="R192" i="46"/>
  <c r="R193" i="46"/>
  <c r="R194" i="46"/>
  <c r="R195" i="46"/>
  <c r="R196" i="46"/>
  <c r="R197" i="46"/>
  <c r="R198" i="46"/>
  <c r="R199" i="46"/>
  <c r="R200" i="46"/>
  <c r="R201" i="46"/>
  <c r="R202" i="46"/>
  <c r="R203" i="46"/>
  <c r="R204" i="46"/>
  <c r="R205" i="46"/>
  <c r="R206" i="46"/>
  <c r="R207" i="46"/>
  <c r="R208" i="46"/>
  <c r="R209" i="46"/>
  <c r="R210" i="46"/>
  <c r="R211" i="46"/>
  <c r="R212" i="46"/>
  <c r="R213" i="46"/>
  <c r="R214" i="46"/>
  <c r="R215" i="46"/>
  <c r="R216" i="46"/>
  <c r="R217" i="46"/>
  <c r="R218" i="46"/>
  <c r="R219" i="46"/>
  <c r="R220" i="46"/>
  <c r="R221" i="46"/>
  <c r="R222" i="46"/>
  <c r="R223" i="46"/>
  <c r="R224" i="46"/>
  <c r="R225" i="46"/>
  <c r="R226" i="46"/>
  <c r="R227" i="46"/>
  <c r="R228" i="46"/>
  <c r="R229" i="46"/>
  <c r="R230" i="46"/>
  <c r="R231" i="46"/>
  <c r="R232" i="46"/>
  <c r="R233" i="46"/>
  <c r="R234" i="46"/>
  <c r="R235" i="46"/>
  <c r="R236" i="46"/>
  <c r="R237" i="46"/>
  <c r="R238" i="46"/>
  <c r="R239" i="46"/>
  <c r="R240" i="46"/>
  <c r="R241" i="46"/>
  <c r="R242" i="46"/>
  <c r="R243" i="46"/>
  <c r="R244" i="46"/>
  <c r="R245" i="46"/>
  <c r="R246" i="46"/>
  <c r="R247" i="46"/>
  <c r="R248" i="46"/>
  <c r="R249" i="46"/>
  <c r="R250" i="46"/>
  <c r="R251" i="46"/>
  <c r="R252" i="46"/>
  <c r="R253" i="46"/>
  <c r="R254" i="46"/>
  <c r="R255" i="46"/>
  <c r="R256" i="46"/>
  <c r="X17" i="11"/>
  <c r="AQ17" i="11" s="1"/>
  <c r="X18" i="11"/>
  <c r="AQ18" i="11" s="1"/>
  <c r="X19" i="11"/>
  <c r="AQ19" i="11" s="1"/>
  <c r="X20" i="11"/>
  <c r="AQ20" i="11" s="1"/>
  <c r="X21" i="11"/>
  <c r="AQ21" i="11" s="1"/>
  <c r="X22" i="11"/>
  <c r="AQ22" i="11" s="1"/>
  <c r="X23" i="11"/>
  <c r="AQ23" i="11" s="1"/>
  <c r="X24" i="11"/>
  <c r="AQ24" i="11" s="1"/>
  <c r="X25" i="11"/>
  <c r="AQ25" i="11" s="1"/>
  <c r="X26" i="11"/>
  <c r="AQ26" i="11" s="1"/>
  <c r="X27" i="11"/>
  <c r="AQ27" i="11" s="1"/>
  <c r="X28" i="11"/>
  <c r="AQ28" i="11" s="1"/>
  <c r="X29" i="11"/>
  <c r="AQ29" i="11" s="1"/>
  <c r="X30" i="11"/>
  <c r="AQ30" i="11" s="1"/>
  <c r="X31" i="11"/>
  <c r="AQ31" i="11" s="1"/>
  <c r="X32" i="11"/>
  <c r="AQ32" i="11" s="1"/>
  <c r="X33" i="11"/>
  <c r="AQ33" i="11" s="1"/>
  <c r="X34" i="11"/>
  <c r="AQ34" i="11" s="1"/>
  <c r="X35" i="11"/>
  <c r="AQ35" i="11" s="1"/>
  <c r="X36" i="11"/>
  <c r="AQ36" i="11" s="1"/>
  <c r="X37" i="11"/>
  <c r="AQ37" i="11" s="1"/>
  <c r="X38" i="11"/>
  <c r="AQ38" i="11" s="1"/>
  <c r="X39" i="11"/>
  <c r="AQ39" i="11" s="1"/>
  <c r="X40" i="11"/>
  <c r="AQ40" i="11" s="1"/>
  <c r="X41" i="11"/>
  <c r="AQ41" i="11" s="1"/>
  <c r="X42" i="11"/>
  <c r="AQ42" i="11" s="1"/>
  <c r="X43" i="11"/>
  <c r="AQ43" i="11" s="1"/>
  <c r="X44" i="11"/>
  <c r="AQ44" i="11" s="1"/>
  <c r="X45" i="11"/>
  <c r="AQ45" i="11" s="1"/>
  <c r="X46" i="11"/>
  <c r="AQ46" i="11" s="1"/>
  <c r="X47" i="11"/>
  <c r="AQ47" i="11" s="1"/>
  <c r="X48" i="11"/>
  <c r="AQ48" i="11" s="1"/>
  <c r="X49" i="11"/>
  <c r="AQ49" i="11" s="1"/>
  <c r="X50" i="11"/>
  <c r="AQ50" i="11" s="1"/>
  <c r="X51" i="11"/>
  <c r="AQ51" i="11" s="1"/>
  <c r="X52" i="11"/>
  <c r="AQ52" i="11" s="1"/>
  <c r="X53" i="11"/>
  <c r="AQ53" i="11" s="1"/>
  <c r="X54" i="11"/>
  <c r="AQ54" i="11" s="1"/>
  <c r="X55" i="11"/>
  <c r="AQ55" i="11" s="1"/>
  <c r="X56" i="11"/>
  <c r="AQ56" i="11" s="1"/>
  <c r="X57" i="11"/>
  <c r="AQ57" i="11" s="1"/>
  <c r="X58" i="11"/>
  <c r="AQ58" i="11" s="1"/>
  <c r="X59" i="11"/>
  <c r="AQ59" i="11" s="1"/>
  <c r="X60" i="11"/>
  <c r="AQ60" i="11" s="1"/>
  <c r="X61" i="11"/>
  <c r="AQ61" i="11" s="1"/>
  <c r="X62" i="11"/>
  <c r="AQ62" i="11" s="1"/>
  <c r="X63" i="11"/>
  <c r="AQ63" i="11" s="1"/>
  <c r="X64" i="11"/>
  <c r="AQ64" i="11" s="1"/>
  <c r="X65" i="11"/>
  <c r="AQ65" i="11" s="1"/>
  <c r="X66" i="11"/>
  <c r="AQ66" i="11" s="1"/>
  <c r="X67" i="11"/>
  <c r="AQ67" i="11" s="1"/>
  <c r="X68" i="11"/>
  <c r="AQ68" i="11" s="1"/>
  <c r="X69" i="11"/>
  <c r="AQ69" i="11" s="1"/>
  <c r="X70" i="11"/>
  <c r="AQ70" i="11" s="1"/>
  <c r="X71" i="11"/>
  <c r="AQ71" i="11" s="1"/>
  <c r="X72" i="11"/>
  <c r="AQ72" i="11" s="1"/>
  <c r="X73" i="11"/>
  <c r="AQ73" i="11" s="1"/>
  <c r="X74" i="11"/>
  <c r="AQ74" i="11" s="1"/>
  <c r="X75" i="11"/>
  <c r="AQ75" i="11" s="1"/>
  <c r="X76" i="11"/>
  <c r="AQ76" i="11" s="1"/>
  <c r="X77" i="11"/>
  <c r="AQ77" i="11" s="1"/>
  <c r="X78" i="11"/>
  <c r="AQ78" i="11" s="1"/>
  <c r="X79" i="11"/>
  <c r="AQ79" i="11" s="1"/>
  <c r="X80" i="11"/>
  <c r="AQ80" i="11" s="1"/>
  <c r="X81" i="11"/>
  <c r="AQ81" i="11" s="1"/>
  <c r="X82" i="11"/>
  <c r="AQ82" i="11" s="1"/>
  <c r="X83" i="11"/>
  <c r="AQ83" i="11" s="1"/>
  <c r="X84" i="11"/>
  <c r="AQ84" i="11" s="1"/>
  <c r="X85" i="11"/>
  <c r="AQ85" i="11" s="1"/>
  <c r="X86" i="11"/>
  <c r="AQ86" i="11" s="1"/>
  <c r="X87" i="11"/>
  <c r="AQ87" i="11" s="1"/>
  <c r="X88" i="11"/>
  <c r="AQ88" i="11" s="1"/>
  <c r="X89" i="11"/>
  <c r="AQ89" i="11" s="1"/>
  <c r="X90" i="11"/>
  <c r="AQ90" i="11" s="1"/>
  <c r="X91" i="11"/>
  <c r="AQ91" i="11" s="1"/>
  <c r="X92" i="11"/>
  <c r="AQ92" i="11" s="1"/>
  <c r="X93" i="11"/>
  <c r="AQ93" i="11" s="1"/>
  <c r="X94" i="11"/>
  <c r="AQ94" i="11" s="1"/>
  <c r="X95" i="11"/>
  <c r="AQ95" i="11" s="1"/>
  <c r="X96" i="11"/>
  <c r="AQ96" i="11" s="1"/>
  <c r="X97" i="11"/>
  <c r="AQ97" i="11" s="1"/>
  <c r="X98" i="11"/>
  <c r="AQ98" i="11" s="1"/>
  <c r="X99" i="11"/>
  <c r="AQ99" i="11" s="1"/>
  <c r="X100" i="11"/>
  <c r="AQ100" i="11" s="1"/>
  <c r="X101" i="11"/>
  <c r="AQ101" i="11" s="1"/>
  <c r="X102" i="11"/>
  <c r="AQ102" i="11" s="1"/>
  <c r="X103" i="11"/>
  <c r="AQ103" i="11" s="1"/>
  <c r="X104" i="11"/>
  <c r="AQ104" i="11" s="1"/>
  <c r="X105" i="11"/>
  <c r="AQ105" i="11" s="1"/>
  <c r="X106" i="11"/>
  <c r="AQ106" i="11" s="1"/>
  <c r="X107" i="11"/>
  <c r="AQ107" i="11" s="1"/>
  <c r="X108" i="11"/>
  <c r="AQ108" i="11" s="1"/>
  <c r="X109" i="11"/>
  <c r="AQ109" i="11" s="1"/>
  <c r="X110" i="11"/>
  <c r="AQ110" i="11" s="1"/>
  <c r="X111" i="11"/>
  <c r="AQ111" i="11" s="1"/>
  <c r="X112" i="11"/>
  <c r="AQ112" i="11" s="1"/>
  <c r="X113" i="11"/>
  <c r="AQ113" i="11" s="1"/>
  <c r="X114" i="11"/>
  <c r="AQ114" i="11" s="1"/>
  <c r="X115" i="11"/>
  <c r="AQ115" i="11" s="1"/>
  <c r="X116" i="11"/>
  <c r="AQ116" i="11" s="1"/>
  <c r="X117" i="11"/>
  <c r="AQ117" i="11" s="1"/>
  <c r="X118" i="11"/>
  <c r="AQ118" i="11" s="1"/>
  <c r="X119" i="11"/>
  <c r="AQ119" i="11" s="1"/>
  <c r="X120" i="11"/>
  <c r="AQ120" i="11" s="1"/>
  <c r="X121" i="11"/>
  <c r="AQ121" i="11" s="1"/>
  <c r="X122" i="11"/>
  <c r="AQ122" i="11" s="1"/>
  <c r="X123" i="11"/>
  <c r="AQ123" i="11" s="1"/>
  <c r="X124" i="11"/>
  <c r="AQ124" i="11" s="1"/>
  <c r="X125" i="11"/>
  <c r="AQ125" i="11" s="1"/>
  <c r="X126" i="11"/>
  <c r="AQ126" i="11" s="1"/>
  <c r="X127" i="11"/>
  <c r="AQ127" i="11" s="1"/>
  <c r="X128" i="11"/>
  <c r="AQ128" i="11" s="1"/>
  <c r="X129" i="11"/>
  <c r="AQ129" i="11" s="1"/>
  <c r="X130" i="11"/>
  <c r="AQ130" i="11" s="1"/>
  <c r="X131" i="11"/>
  <c r="AQ131" i="11" s="1"/>
  <c r="X132" i="11"/>
  <c r="AQ132" i="11" s="1"/>
  <c r="X133" i="11"/>
  <c r="AQ133" i="11" s="1"/>
  <c r="X134" i="11"/>
  <c r="AQ134" i="11" s="1"/>
  <c r="X135" i="11"/>
  <c r="AQ135" i="11" s="1"/>
  <c r="X136" i="11"/>
  <c r="AQ136" i="11" s="1"/>
  <c r="X137" i="11"/>
  <c r="AQ137" i="11" s="1"/>
  <c r="X138" i="11"/>
  <c r="AQ138" i="11" s="1"/>
  <c r="X139" i="11"/>
  <c r="AQ139" i="11" s="1"/>
  <c r="X140" i="11"/>
  <c r="AQ140" i="11" s="1"/>
  <c r="X141" i="11"/>
  <c r="AQ141" i="11" s="1"/>
  <c r="X142" i="11"/>
  <c r="AQ142" i="11" s="1"/>
  <c r="X143" i="11"/>
  <c r="AQ143" i="11" s="1"/>
  <c r="X144" i="11"/>
  <c r="AQ144" i="11" s="1"/>
  <c r="X145" i="11"/>
  <c r="AQ145" i="11" s="1"/>
  <c r="X146" i="11"/>
  <c r="AQ146" i="11" s="1"/>
  <c r="X147" i="11"/>
  <c r="AQ147" i="11" s="1"/>
  <c r="X148" i="11"/>
  <c r="AQ148" i="11" s="1"/>
  <c r="X149" i="11"/>
  <c r="AQ149" i="11" s="1"/>
  <c r="X150" i="11"/>
  <c r="AQ150" i="11" s="1"/>
  <c r="X151" i="11"/>
  <c r="AQ151" i="11" s="1"/>
  <c r="X152" i="11"/>
  <c r="AQ152" i="11" s="1"/>
  <c r="X153" i="11"/>
  <c r="AQ153" i="11" s="1"/>
  <c r="X154" i="11"/>
  <c r="AQ154" i="11" s="1"/>
  <c r="X155" i="11"/>
  <c r="AQ155" i="11" s="1"/>
  <c r="X156" i="11"/>
  <c r="AQ156" i="11" s="1"/>
  <c r="X157" i="11"/>
  <c r="AQ157" i="11" s="1"/>
  <c r="X158" i="11"/>
  <c r="AQ158" i="11" s="1"/>
  <c r="X159" i="11"/>
  <c r="AQ159" i="11" s="1"/>
  <c r="X160" i="11"/>
  <c r="AQ160" i="11" s="1"/>
  <c r="X161" i="11"/>
  <c r="AQ161" i="11" s="1"/>
  <c r="X162" i="11"/>
  <c r="AQ162" i="11" s="1"/>
  <c r="X163" i="11"/>
  <c r="AQ163" i="11" s="1"/>
  <c r="X164" i="11"/>
  <c r="AQ164" i="11" s="1"/>
  <c r="X165" i="11"/>
  <c r="AQ165" i="11" s="1"/>
  <c r="X166" i="11"/>
  <c r="AQ166" i="11" s="1"/>
  <c r="X167" i="11"/>
  <c r="AQ167" i="11" s="1"/>
  <c r="X168" i="11"/>
  <c r="AQ168" i="11" s="1"/>
  <c r="X169" i="11"/>
  <c r="AQ169" i="11" s="1"/>
  <c r="X170" i="11"/>
  <c r="AQ170" i="11" s="1"/>
  <c r="X171" i="11"/>
  <c r="AQ171" i="11" s="1"/>
  <c r="X172" i="11"/>
  <c r="AQ172" i="11" s="1"/>
  <c r="X173" i="11"/>
  <c r="AQ173" i="11" s="1"/>
  <c r="X174" i="11"/>
  <c r="AQ174" i="11" s="1"/>
  <c r="X175" i="11"/>
  <c r="AQ175" i="11" s="1"/>
  <c r="X176" i="11"/>
  <c r="AQ176" i="11" s="1"/>
  <c r="X177" i="11"/>
  <c r="AQ177" i="11" s="1"/>
  <c r="X178" i="11"/>
  <c r="AQ178" i="11" s="1"/>
  <c r="X179" i="11"/>
  <c r="AQ179" i="11" s="1"/>
  <c r="X180" i="11"/>
  <c r="AQ180" i="11" s="1"/>
  <c r="X181" i="11"/>
  <c r="AQ181" i="11" s="1"/>
  <c r="X182" i="11"/>
  <c r="AQ182" i="11" s="1"/>
  <c r="X183" i="11"/>
  <c r="AQ183" i="11" s="1"/>
  <c r="X184" i="11"/>
  <c r="AQ184" i="11" s="1"/>
  <c r="X185" i="11"/>
  <c r="AQ185" i="11" s="1"/>
  <c r="X186" i="11"/>
  <c r="AQ186" i="11" s="1"/>
  <c r="X187" i="11"/>
  <c r="AQ187" i="11" s="1"/>
  <c r="X188" i="11"/>
  <c r="AQ188" i="11" s="1"/>
  <c r="X189" i="11"/>
  <c r="AQ189" i="11" s="1"/>
  <c r="X190" i="11"/>
  <c r="AQ190" i="11" s="1"/>
  <c r="X191" i="11"/>
  <c r="AQ191" i="11" s="1"/>
  <c r="X192" i="11"/>
  <c r="AQ192" i="11" s="1"/>
  <c r="X193" i="11"/>
  <c r="AQ193" i="11" s="1"/>
  <c r="X194" i="11"/>
  <c r="AQ194" i="11" s="1"/>
  <c r="X195" i="11"/>
  <c r="AQ195" i="11" s="1"/>
  <c r="X196" i="11"/>
  <c r="AQ196" i="11" s="1"/>
  <c r="X197" i="11"/>
  <c r="AQ197" i="11" s="1"/>
  <c r="X198" i="11"/>
  <c r="AQ198" i="11" s="1"/>
  <c r="X199" i="11"/>
  <c r="AQ199" i="11" s="1"/>
  <c r="X200" i="11"/>
  <c r="AQ200" i="11" s="1"/>
  <c r="X201" i="11"/>
  <c r="AQ201" i="11" s="1"/>
  <c r="X202" i="11"/>
  <c r="AQ202" i="11" s="1"/>
  <c r="X203" i="11"/>
  <c r="AQ203" i="11" s="1"/>
  <c r="X204" i="11"/>
  <c r="AQ204" i="11" s="1"/>
  <c r="X205" i="11"/>
  <c r="AQ205" i="11" s="1"/>
  <c r="X206" i="11"/>
  <c r="AQ206" i="11" s="1"/>
  <c r="X207" i="11"/>
  <c r="AQ207" i="11" s="1"/>
  <c r="X208" i="11"/>
  <c r="AQ208" i="11" s="1"/>
  <c r="X209" i="11"/>
  <c r="AQ209" i="11" s="1"/>
  <c r="X210" i="11"/>
  <c r="AQ210" i="11" s="1"/>
  <c r="X211" i="11"/>
  <c r="AQ211" i="11" s="1"/>
  <c r="X212" i="11"/>
  <c r="AQ212" i="11" s="1"/>
  <c r="X213" i="11"/>
  <c r="AQ213" i="11" s="1"/>
  <c r="X214" i="11"/>
  <c r="AQ214" i="11" s="1"/>
  <c r="X215" i="11"/>
  <c r="AQ215" i="11" s="1"/>
  <c r="X216" i="11"/>
  <c r="AQ216" i="11" s="1"/>
  <c r="X217" i="11"/>
  <c r="AQ217" i="11" s="1"/>
  <c r="X218" i="11"/>
  <c r="AQ218" i="11" s="1"/>
  <c r="X219" i="11"/>
  <c r="AQ219" i="11" s="1"/>
  <c r="X220" i="11"/>
  <c r="AQ220" i="11" s="1"/>
  <c r="X221" i="11"/>
  <c r="AQ221" i="11" s="1"/>
  <c r="X222" i="11"/>
  <c r="AQ222" i="11" s="1"/>
  <c r="X223" i="11"/>
  <c r="AQ223" i="11" s="1"/>
  <c r="X224" i="11"/>
  <c r="AQ224" i="11" s="1"/>
  <c r="X225" i="11"/>
  <c r="AQ225" i="11" s="1"/>
  <c r="X226" i="11"/>
  <c r="AQ226" i="11" s="1"/>
  <c r="X227" i="11"/>
  <c r="AQ227" i="11" s="1"/>
  <c r="X228" i="11"/>
  <c r="AQ228" i="11" s="1"/>
  <c r="X229" i="11"/>
  <c r="AQ229" i="11" s="1"/>
  <c r="X230" i="11"/>
  <c r="AQ230" i="11" s="1"/>
  <c r="X231" i="11"/>
  <c r="AQ231" i="11" s="1"/>
  <c r="X232" i="11"/>
  <c r="AQ232" i="11" s="1"/>
  <c r="X233" i="11"/>
  <c r="AQ233" i="11" s="1"/>
  <c r="X234" i="11"/>
  <c r="AQ234" i="11" s="1"/>
  <c r="X235" i="11"/>
  <c r="AQ235" i="11" s="1"/>
  <c r="X236" i="11"/>
  <c r="AQ236" i="11" s="1"/>
  <c r="X237" i="11"/>
  <c r="AQ237" i="11" s="1"/>
  <c r="X238" i="11"/>
  <c r="AQ238" i="11" s="1"/>
  <c r="X239" i="11"/>
  <c r="AQ239" i="11" s="1"/>
  <c r="X240" i="11"/>
  <c r="AQ240" i="11" s="1"/>
  <c r="X241" i="11"/>
  <c r="AQ241" i="11" s="1"/>
  <c r="X242" i="11"/>
  <c r="AQ242" i="11" s="1"/>
  <c r="X243" i="11"/>
  <c r="AQ243" i="11" s="1"/>
  <c r="X244" i="11"/>
  <c r="AQ244" i="11" s="1"/>
  <c r="X245" i="11"/>
  <c r="AQ245" i="11" s="1"/>
  <c r="X247" i="11"/>
  <c r="AQ247" i="11" s="1"/>
  <c r="X248" i="11"/>
  <c r="AQ248" i="11" s="1"/>
  <c r="X249" i="11"/>
  <c r="AQ249" i="11" s="1"/>
  <c r="X250" i="11"/>
  <c r="AQ250" i="11" s="1"/>
  <c r="X251" i="11"/>
  <c r="AQ251" i="11" s="1"/>
  <c r="X252" i="11"/>
  <c r="AQ252" i="11" s="1"/>
  <c r="X253" i="11"/>
  <c r="AQ253" i="11" s="1"/>
  <c r="X254" i="11"/>
  <c r="AQ254" i="11" s="1"/>
  <c r="X255" i="11"/>
  <c r="AQ255" i="11" s="1"/>
  <c r="X256" i="11"/>
  <c r="AQ256" i="11" s="1"/>
  <c r="X257" i="11"/>
  <c r="AQ257" i="11" s="1"/>
  <c r="X258" i="11"/>
  <c r="AQ258" i="11" s="1"/>
  <c r="AX57" i="108" l="1"/>
  <c r="AZ57" i="108" s="1"/>
  <c r="AX23" i="108"/>
  <c r="AZ23" i="108" s="1"/>
  <c r="BG24" i="108"/>
  <c r="BK58" i="108"/>
  <c r="BG58" i="108"/>
  <c r="BE58" i="108"/>
  <c r="BF58" i="108"/>
  <c r="AR58" i="108"/>
  <c r="AG59" i="108" a="1"/>
  <c r="AG59" i="108" s="1"/>
  <c r="BL59" i="108" s="1"/>
  <c r="AJ58" i="108"/>
  <c r="AP58" i="108"/>
  <c r="AT58" i="108"/>
  <c r="AP24" i="108"/>
  <c r="AJ24" i="108"/>
  <c r="AR24" i="108"/>
  <c r="BE24" i="108"/>
  <c r="AT24" i="108"/>
  <c r="BF24" i="108"/>
  <c r="AG25" i="108" a="1"/>
  <c r="AG25" i="108" s="1"/>
  <c r="BL25" i="108" s="1"/>
  <c r="BK24" i="108"/>
  <c r="K59" i="108"/>
  <c r="M59" i="108"/>
  <c r="B60" i="108" a="1"/>
  <c r="B60" i="108" s="1"/>
  <c r="BM60" i="108" s="1"/>
  <c r="E59" i="108"/>
  <c r="E24" i="108"/>
  <c r="S23" i="108"/>
  <c r="U23" i="108" s="1"/>
  <c r="O24" i="108"/>
  <c r="B25" i="108" a="1"/>
  <c r="B25" i="108" s="1"/>
  <c r="BM25" i="108" s="1"/>
  <c r="K24" i="108"/>
  <c r="M24" i="108"/>
  <c r="I262" i="46"/>
  <c r="H262" i="46"/>
  <c r="J265" i="11"/>
  <c r="AX24" i="108" l="1"/>
  <c r="AZ24" i="108" s="1"/>
  <c r="AX58" i="108"/>
  <c r="AZ58" i="108" s="1"/>
  <c r="AT59" i="108"/>
  <c r="BG25" i="108"/>
  <c r="AG60" i="108" a="1"/>
  <c r="AG60" i="108" s="1"/>
  <c r="BL60" i="108" s="1"/>
  <c r="BK59" i="108"/>
  <c r="AP59" i="108"/>
  <c r="BF59" i="108"/>
  <c r="AJ59" i="108"/>
  <c r="AR59" i="108"/>
  <c r="BG59" i="108"/>
  <c r="BE59" i="108"/>
  <c r="AP25" i="108"/>
  <c r="AR25" i="108"/>
  <c r="AJ25" i="108"/>
  <c r="BK25" i="108"/>
  <c r="BF25" i="108"/>
  <c r="BE25" i="108"/>
  <c r="AG26" i="108" a="1"/>
  <c r="AG26" i="108" s="1"/>
  <c r="BL26" i="108" s="1"/>
  <c r="AT25" i="108"/>
  <c r="B61" i="108" a="1"/>
  <c r="B61" i="108" s="1"/>
  <c r="BM61" i="108" s="1"/>
  <c r="M60" i="108"/>
  <c r="K60" i="108"/>
  <c r="E60" i="108"/>
  <c r="E25" i="108"/>
  <c r="AX43" i="108"/>
  <c r="AZ43" i="108" s="1"/>
  <c r="S24" i="108"/>
  <c r="U24" i="108" s="1"/>
  <c r="O25" i="108"/>
  <c r="M25" i="108"/>
  <c r="K25" i="108"/>
  <c r="B26" i="108" a="1"/>
  <c r="B26" i="108" s="1"/>
  <c r="BM26" i="108" s="1"/>
  <c r="F11" i="46"/>
  <c r="F12" i="46"/>
  <c r="F13" i="46"/>
  <c r="V13" i="46" s="1"/>
  <c r="F14" i="46"/>
  <c r="V14" i="46" s="1"/>
  <c r="F15" i="46"/>
  <c r="V15" i="46" s="1"/>
  <c r="F16" i="46"/>
  <c r="V16" i="46" s="1"/>
  <c r="F17" i="46"/>
  <c r="V17" i="46" s="1"/>
  <c r="F18" i="46"/>
  <c r="V18" i="46" s="1"/>
  <c r="F19" i="46"/>
  <c r="V19" i="46" s="1"/>
  <c r="F20" i="46"/>
  <c r="V20" i="46" s="1"/>
  <c r="F21" i="46"/>
  <c r="V21" i="46" s="1"/>
  <c r="F22" i="46"/>
  <c r="V22" i="46" s="1"/>
  <c r="F23" i="46"/>
  <c r="V23" i="46" s="1"/>
  <c r="F24" i="46"/>
  <c r="V24" i="46" s="1"/>
  <c r="F25" i="46"/>
  <c r="V25" i="46" s="1"/>
  <c r="F26" i="46"/>
  <c r="V26" i="46" s="1"/>
  <c r="F27" i="46"/>
  <c r="V27" i="46" s="1"/>
  <c r="F28" i="46"/>
  <c r="V28" i="46" s="1"/>
  <c r="F29" i="46"/>
  <c r="V29" i="46" s="1"/>
  <c r="F30" i="46"/>
  <c r="V30" i="46" s="1"/>
  <c r="F31" i="46"/>
  <c r="V31" i="46" s="1"/>
  <c r="F32" i="46"/>
  <c r="V32" i="46" s="1"/>
  <c r="F33" i="46"/>
  <c r="V33" i="46" s="1"/>
  <c r="F34" i="46"/>
  <c r="V34" i="46" s="1"/>
  <c r="F35" i="46"/>
  <c r="V35" i="46" s="1"/>
  <c r="F16" i="63"/>
  <c r="L78" i="29"/>
  <c r="M78" i="29"/>
  <c r="C136" i="33"/>
  <c r="C135" i="33"/>
  <c r="D134" i="28"/>
  <c r="B134" i="28"/>
  <c r="A134" i="28"/>
  <c r="I135" i="99"/>
  <c r="F135" i="20"/>
  <c r="F134" i="20"/>
  <c r="U16" i="46"/>
  <c r="F36" i="46"/>
  <c r="V36" i="46" s="1"/>
  <c r="F37" i="46"/>
  <c r="V37" i="46" s="1"/>
  <c r="F38" i="46"/>
  <c r="V38" i="46" s="1"/>
  <c r="F39" i="46"/>
  <c r="V39" i="46" s="1"/>
  <c r="F40" i="46"/>
  <c r="V40" i="46" s="1"/>
  <c r="F41" i="46"/>
  <c r="V41" i="46" s="1"/>
  <c r="F42" i="46"/>
  <c r="V42" i="46" s="1"/>
  <c r="F43" i="46"/>
  <c r="V43" i="46" s="1"/>
  <c r="F44" i="46"/>
  <c r="V44" i="46" s="1"/>
  <c r="F45" i="46"/>
  <c r="V45" i="46" s="1"/>
  <c r="F46" i="46"/>
  <c r="V46" i="46" s="1"/>
  <c r="F47" i="46"/>
  <c r="V47" i="46" s="1"/>
  <c r="F48" i="46"/>
  <c r="V48" i="46" s="1"/>
  <c r="F49" i="46"/>
  <c r="V49" i="46" s="1"/>
  <c r="F50" i="46"/>
  <c r="V50" i="46" s="1"/>
  <c r="F51" i="46"/>
  <c r="V51" i="46" s="1"/>
  <c r="F52" i="46"/>
  <c r="V52" i="46" s="1"/>
  <c r="F53" i="46"/>
  <c r="V53" i="46" s="1"/>
  <c r="F54" i="46"/>
  <c r="V54" i="46" s="1"/>
  <c r="F55" i="46"/>
  <c r="V55" i="46" s="1"/>
  <c r="F56" i="46"/>
  <c r="V56" i="46" s="1"/>
  <c r="F57" i="46"/>
  <c r="V57" i="46" s="1"/>
  <c r="F58" i="46"/>
  <c r="V58" i="46" s="1"/>
  <c r="F59" i="46"/>
  <c r="V59" i="46" s="1"/>
  <c r="F60" i="46"/>
  <c r="V60" i="46" s="1"/>
  <c r="F61" i="46"/>
  <c r="V61" i="46" s="1"/>
  <c r="F62" i="46"/>
  <c r="V62" i="46" s="1"/>
  <c r="F63" i="46"/>
  <c r="V63" i="46" s="1"/>
  <c r="F64" i="46"/>
  <c r="V64" i="46" s="1"/>
  <c r="F65" i="46"/>
  <c r="V65" i="46" s="1"/>
  <c r="F66" i="46"/>
  <c r="V66" i="46" s="1"/>
  <c r="F67" i="46"/>
  <c r="V67" i="46" s="1"/>
  <c r="F68" i="46"/>
  <c r="V68" i="46" s="1"/>
  <c r="F69" i="46"/>
  <c r="V69" i="46" s="1"/>
  <c r="F70" i="46"/>
  <c r="V70" i="46" s="1"/>
  <c r="F71" i="46"/>
  <c r="V71" i="46" s="1"/>
  <c r="F72" i="46"/>
  <c r="V72" i="46" s="1"/>
  <c r="F73" i="46"/>
  <c r="V73" i="46" s="1"/>
  <c r="F74" i="46"/>
  <c r="V74" i="46" s="1"/>
  <c r="F75" i="46"/>
  <c r="V75" i="46" s="1"/>
  <c r="F76" i="46"/>
  <c r="V76" i="46" s="1"/>
  <c r="F77" i="46"/>
  <c r="V77" i="46" s="1"/>
  <c r="F78" i="46"/>
  <c r="V78" i="46" s="1"/>
  <c r="F79" i="46"/>
  <c r="V79" i="46" s="1"/>
  <c r="F80" i="46"/>
  <c r="V80" i="46" s="1"/>
  <c r="F81" i="46"/>
  <c r="V81" i="46" s="1"/>
  <c r="F82" i="46"/>
  <c r="V82" i="46" s="1"/>
  <c r="F83" i="46"/>
  <c r="V83" i="46" s="1"/>
  <c r="F84" i="46"/>
  <c r="V84" i="46" s="1"/>
  <c r="F85" i="46"/>
  <c r="V85" i="46" s="1"/>
  <c r="F86" i="46"/>
  <c r="V86" i="46" s="1"/>
  <c r="F87" i="46"/>
  <c r="V87" i="46" s="1"/>
  <c r="F88" i="46"/>
  <c r="V88" i="46" s="1"/>
  <c r="F89" i="46"/>
  <c r="V89" i="46" s="1"/>
  <c r="F90" i="46"/>
  <c r="V90" i="46" s="1"/>
  <c r="F91" i="46"/>
  <c r="V91" i="46" s="1"/>
  <c r="F92" i="46"/>
  <c r="V92" i="46" s="1"/>
  <c r="F93" i="46"/>
  <c r="V93" i="46" s="1"/>
  <c r="F94" i="46"/>
  <c r="V94" i="46" s="1"/>
  <c r="F95" i="46"/>
  <c r="V95" i="46" s="1"/>
  <c r="F96" i="46"/>
  <c r="V96" i="46" s="1"/>
  <c r="F97" i="46"/>
  <c r="V97" i="46" s="1"/>
  <c r="F98" i="46"/>
  <c r="V98" i="46" s="1"/>
  <c r="F99" i="46"/>
  <c r="V99" i="46" s="1"/>
  <c r="F100" i="46"/>
  <c r="V100" i="46" s="1"/>
  <c r="F101" i="46"/>
  <c r="V101" i="46" s="1"/>
  <c r="F102" i="46"/>
  <c r="V102" i="46" s="1"/>
  <c r="F103" i="46"/>
  <c r="V103" i="46" s="1"/>
  <c r="F104" i="46"/>
  <c r="V104" i="46" s="1"/>
  <c r="F105" i="46"/>
  <c r="V105" i="46" s="1"/>
  <c r="F106" i="46"/>
  <c r="V106" i="46" s="1"/>
  <c r="F107" i="46"/>
  <c r="V107" i="46" s="1"/>
  <c r="F108" i="46"/>
  <c r="V108" i="46" s="1"/>
  <c r="F109" i="46"/>
  <c r="V109" i="46" s="1"/>
  <c r="F110" i="46"/>
  <c r="V110" i="46" s="1"/>
  <c r="F111" i="46"/>
  <c r="V111" i="46" s="1"/>
  <c r="F112" i="46"/>
  <c r="V112" i="46" s="1"/>
  <c r="F113" i="46"/>
  <c r="V113" i="46" s="1"/>
  <c r="F114" i="46"/>
  <c r="V114" i="46" s="1"/>
  <c r="F115" i="46"/>
  <c r="V115" i="46" s="1"/>
  <c r="F116" i="46"/>
  <c r="V116" i="46" s="1"/>
  <c r="F117" i="46"/>
  <c r="V117" i="46" s="1"/>
  <c r="F118" i="46"/>
  <c r="V118" i="46" s="1"/>
  <c r="F119" i="46"/>
  <c r="V119" i="46" s="1"/>
  <c r="F120" i="46"/>
  <c r="V120" i="46" s="1"/>
  <c r="F121" i="46"/>
  <c r="V121" i="46" s="1"/>
  <c r="F122" i="46"/>
  <c r="V122" i="46" s="1"/>
  <c r="F123" i="46"/>
  <c r="V123" i="46" s="1"/>
  <c r="F124" i="46"/>
  <c r="V124" i="46" s="1"/>
  <c r="F125" i="46"/>
  <c r="V125" i="46" s="1"/>
  <c r="F126" i="46"/>
  <c r="V126" i="46" s="1"/>
  <c r="F127" i="46"/>
  <c r="V127" i="46" s="1"/>
  <c r="F128" i="46"/>
  <c r="V128" i="46" s="1"/>
  <c r="F129" i="46"/>
  <c r="V129" i="46" s="1"/>
  <c r="F130" i="46"/>
  <c r="V130" i="46" s="1"/>
  <c r="F131" i="46"/>
  <c r="V131" i="46" s="1"/>
  <c r="F132" i="46"/>
  <c r="V132" i="46" s="1"/>
  <c r="F133" i="46"/>
  <c r="V133" i="46" s="1"/>
  <c r="F134" i="46"/>
  <c r="V134" i="46" s="1"/>
  <c r="F135" i="46"/>
  <c r="V135" i="46" s="1"/>
  <c r="F136" i="46"/>
  <c r="V136" i="46" s="1"/>
  <c r="F137" i="46"/>
  <c r="V137" i="46" s="1"/>
  <c r="F138" i="46"/>
  <c r="V138" i="46" s="1"/>
  <c r="F139" i="46"/>
  <c r="V139" i="46" s="1"/>
  <c r="F140" i="46"/>
  <c r="V140" i="46" s="1"/>
  <c r="F141" i="46"/>
  <c r="V141" i="46" s="1"/>
  <c r="F142" i="46"/>
  <c r="V142" i="46" s="1"/>
  <c r="F143" i="46"/>
  <c r="V143" i="46" s="1"/>
  <c r="F144" i="46"/>
  <c r="V144" i="46" s="1"/>
  <c r="F145" i="46"/>
  <c r="V145" i="46" s="1"/>
  <c r="F146" i="46"/>
  <c r="V146" i="46" s="1"/>
  <c r="F147" i="46"/>
  <c r="V147" i="46" s="1"/>
  <c r="F148" i="46"/>
  <c r="V148" i="46" s="1"/>
  <c r="F149" i="46"/>
  <c r="V149" i="46" s="1"/>
  <c r="F150" i="46"/>
  <c r="V150" i="46" s="1"/>
  <c r="F151" i="46"/>
  <c r="V151" i="46" s="1"/>
  <c r="F152" i="46"/>
  <c r="V152" i="46" s="1"/>
  <c r="F153" i="46"/>
  <c r="V153" i="46" s="1"/>
  <c r="F154" i="46"/>
  <c r="V154" i="46" s="1"/>
  <c r="F155" i="46"/>
  <c r="V155" i="46" s="1"/>
  <c r="F156" i="46"/>
  <c r="V156" i="46" s="1"/>
  <c r="F157" i="46"/>
  <c r="V157" i="46" s="1"/>
  <c r="F158" i="46"/>
  <c r="V158" i="46" s="1"/>
  <c r="F159" i="46"/>
  <c r="V159" i="46" s="1"/>
  <c r="F160" i="46"/>
  <c r="V160" i="46" s="1"/>
  <c r="F161" i="46"/>
  <c r="V161" i="46" s="1"/>
  <c r="F162" i="46"/>
  <c r="V162" i="46" s="1"/>
  <c r="F163" i="46"/>
  <c r="V163" i="46" s="1"/>
  <c r="F164" i="46"/>
  <c r="V164" i="46" s="1"/>
  <c r="F165" i="46"/>
  <c r="V165" i="46" s="1"/>
  <c r="F166" i="46"/>
  <c r="V166" i="46" s="1"/>
  <c r="F167" i="46"/>
  <c r="V167" i="46" s="1"/>
  <c r="F168" i="46"/>
  <c r="V168" i="46" s="1"/>
  <c r="F169" i="46"/>
  <c r="V169" i="46" s="1"/>
  <c r="F170" i="46"/>
  <c r="V170" i="46" s="1"/>
  <c r="F171" i="46"/>
  <c r="V171" i="46" s="1"/>
  <c r="F172" i="46"/>
  <c r="V172" i="46" s="1"/>
  <c r="F173" i="46"/>
  <c r="V173" i="46" s="1"/>
  <c r="F174" i="46"/>
  <c r="V174" i="46" s="1"/>
  <c r="F175" i="46"/>
  <c r="V175" i="46" s="1"/>
  <c r="F176" i="46"/>
  <c r="V176" i="46" s="1"/>
  <c r="F177" i="46"/>
  <c r="V177" i="46" s="1"/>
  <c r="F178" i="46"/>
  <c r="V178" i="46" s="1"/>
  <c r="F179" i="46"/>
  <c r="V179" i="46" s="1"/>
  <c r="F180" i="46"/>
  <c r="V180" i="46" s="1"/>
  <c r="F181" i="46"/>
  <c r="V181" i="46" s="1"/>
  <c r="F182" i="46"/>
  <c r="V182" i="46" s="1"/>
  <c r="F183" i="46"/>
  <c r="V183" i="46" s="1"/>
  <c r="F184" i="46"/>
  <c r="V184" i="46" s="1"/>
  <c r="F185" i="46"/>
  <c r="V185" i="46" s="1"/>
  <c r="F186" i="46"/>
  <c r="V186" i="46" s="1"/>
  <c r="F187" i="46"/>
  <c r="V187" i="46" s="1"/>
  <c r="F188" i="46"/>
  <c r="V188" i="46" s="1"/>
  <c r="F189" i="46"/>
  <c r="V189" i="46" s="1"/>
  <c r="F190" i="46"/>
  <c r="V190" i="46" s="1"/>
  <c r="F191" i="46"/>
  <c r="V191" i="46" s="1"/>
  <c r="F192" i="46"/>
  <c r="V192" i="46" s="1"/>
  <c r="F193" i="46"/>
  <c r="V193" i="46" s="1"/>
  <c r="F194" i="46"/>
  <c r="V194" i="46" s="1"/>
  <c r="F195" i="46"/>
  <c r="V195" i="46" s="1"/>
  <c r="F196" i="46"/>
  <c r="V196" i="46" s="1"/>
  <c r="F197" i="46"/>
  <c r="V197" i="46" s="1"/>
  <c r="F198" i="46"/>
  <c r="V198" i="46" s="1"/>
  <c r="F199" i="46"/>
  <c r="V199" i="46" s="1"/>
  <c r="F200" i="46"/>
  <c r="V200" i="46" s="1"/>
  <c r="F201" i="46"/>
  <c r="V201" i="46" s="1"/>
  <c r="F202" i="46"/>
  <c r="V202" i="46" s="1"/>
  <c r="F203" i="46"/>
  <c r="V203" i="46" s="1"/>
  <c r="F204" i="46"/>
  <c r="V204" i="46" s="1"/>
  <c r="F205" i="46"/>
  <c r="V205" i="46" s="1"/>
  <c r="F206" i="46"/>
  <c r="V206" i="46" s="1"/>
  <c r="F207" i="46"/>
  <c r="V207" i="46" s="1"/>
  <c r="F208" i="46"/>
  <c r="V208" i="46" s="1"/>
  <c r="F209" i="46"/>
  <c r="V209" i="46" s="1"/>
  <c r="F210" i="46"/>
  <c r="V210" i="46" s="1"/>
  <c r="F211" i="46"/>
  <c r="V211" i="46" s="1"/>
  <c r="F212" i="46"/>
  <c r="V212" i="46" s="1"/>
  <c r="F213" i="46"/>
  <c r="V213" i="46" s="1"/>
  <c r="F214" i="46"/>
  <c r="V214" i="46" s="1"/>
  <c r="F215" i="46"/>
  <c r="V215" i="46" s="1"/>
  <c r="F216" i="46"/>
  <c r="V216" i="46" s="1"/>
  <c r="F217" i="46"/>
  <c r="V217" i="46" s="1"/>
  <c r="F218" i="46"/>
  <c r="V218" i="46" s="1"/>
  <c r="F219" i="46"/>
  <c r="V219" i="46" s="1"/>
  <c r="F220" i="46"/>
  <c r="V220" i="46" s="1"/>
  <c r="F221" i="46"/>
  <c r="V221" i="46" s="1"/>
  <c r="F222" i="46"/>
  <c r="V222" i="46" s="1"/>
  <c r="F223" i="46"/>
  <c r="V223" i="46" s="1"/>
  <c r="F224" i="46"/>
  <c r="V224" i="46" s="1"/>
  <c r="F225" i="46"/>
  <c r="V225" i="46" s="1"/>
  <c r="F226" i="46"/>
  <c r="V226" i="46" s="1"/>
  <c r="F227" i="46"/>
  <c r="V227" i="46" s="1"/>
  <c r="F228" i="46"/>
  <c r="V228" i="46" s="1"/>
  <c r="F229" i="46"/>
  <c r="V229" i="46" s="1"/>
  <c r="F230" i="46"/>
  <c r="V230" i="46" s="1"/>
  <c r="F231" i="46"/>
  <c r="V231" i="46" s="1"/>
  <c r="F232" i="46"/>
  <c r="V232" i="46" s="1"/>
  <c r="F233" i="46"/>
  <c r="V233" i="46" s="1"/>
  <c r="F234" i="46"/>
  <c r="V234" i="46" s="1"/>
  <c r="F235" i="46"/>
  <c r="V235" i="46" s="1"/>
  <c r="F236" i="46"/>
  <c r="V236" i="46" s="1"/>
  <c r="F237" i="46"/>
  <c r="V237" i="46" s="1"/>
  <c r="F238" i="46"/>
  <c r="V238" i="46" s="1"/>
  <c r="F239" i="46"/>
  <c r="V239" i="46" s="1"/>
  <c r="F240" i="46"/>
  <c r="V240" i="46" s="1"/>
  <c r="F241" i="46"/>
  <c r="V241" i="46" s="1"/>
  <c r="F242" i="46"/>
  <c r="V242" i="46" s="1"/>
  <c r="F243" i="46"/>
  <c r="V243" i="46" s="1"/>
  <c r="F244" i="46"/>
  <c r="V244" i="46" s="1"/>
  <c r="F245" i="46"/>
  <c r="V245" i="46" s="1"/>
  <c r="F246" i="46"/>
  <c r="V246" i="46" s="1"/>
  <c r="F247" i="46"/>
  <c r="V247" i="46" s="1"/>
  <c r="F248" i="46"/>
  <c r="V248" i="46" s="1"/>
  <c r="F249" i="46"/>
  <c r="V249" i="46" s="1"/>
  <c r="F250" i="46"/>
  <c r="V250" i="46" s="1"/>
  <c r="F251" i="46"/>
  <c r="V251" i="46" s="1"/>
  <c r="F252" i="46"/>
  <c r="V252" i="46" s="1"/>
  <c r="F253" i="46"/>
  <c r="V253" i="46" s="1"/>
  <c r="F254" i="46"/>
  <c r="V254" i="46" s="1"/>
  <c r="F255" i="46"/>
  <c r="V255" i="46" s="1"/>
  <c r="F256" i="46"/>
  <c r="V256" i="46" s="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11" i="11"/>
  <c r="A12" i="11"/>
  <c r="A13" i="11"/>
  <c r="Q81" i="29"/>
  <c r="E134" i="28" s="1"/>
  <c r="O81" i="29"/>
  <c r="C134" i="28" s="1"/>
  <c r="M81" i="29"/>
  <c r="L81" i="29"/>
  <c r="AX59" i="108" l="1"/>
  <c r="AZ59" i="108" s="1"/>
  <c r="AX25" i="108"/>
  <c r="AZ25" i="108" s="1"/>
  <c r="H33" i="46"/>
  <c r="H25" i="46"/>
  <c r="U17" i="46"/>
  <c r="U32" i="46"/>
  <c r="U24" i="46"/>
  <c r="G259" i="46"/>
  <c r="BG60" i="108"/>
  <c r="AG61" i="108" a="1"/>
  <c r="AG61" i="108" s="1"/>
  <c r="BL61" i="108" s="1"/>
  <c r="BE60" i="108"/>
  <c r="AR60" i="108"/>
  <c r="AP60" i="108"/>
  <c r="AT60" i="108"/>
  <c r="BF60" i="108"/>
  <c r="AJ60" i="108"/>
  <c r="BK60" i="108"/>
  <c r="BK26" i="108"/>
  <c r="AG27" i="108" a="1"/>
  <c r="AG27" i="108" s="1"/>
  <c r="BL27" i="108" s="1"/>
  <c r="AT26" i="108"/>
  <c r="AJ26" i="108"/>
  <c r="AR26" i="108"/>
  <c r="BG26" i="108"/>
  <c r="BF26" i="108"/>
  <c r="AP26" i="108"/>
  <c r="BE26" i="108"/>
  <c r="K61" i="108"/>
  <c r="M61" i="108"/>
  <c r="E61" i="108"/>
  <c r="B62" i="108" a="1"/>
  <c r="B62" i="108" s="1"/>
  <c r="BM62" i="108" s="1"/>
  <c r="E26" i="108"/>
  <c r="H32" i="46"/>
  <c r="S25" i="108"/>
  <c r="U25" i="108" s="1"/>
  <c r="B27" i="108" a="1"/>
  <c r="B27" i="108" s="1"/>
  <c r="BM27" i="108" s="1"/>
  <c r="M26" i="108"/>
  <c r="K26" i="108"/>
  <c r="O26" i="108"/>
  <c r="X38" i="22"/>
  <c r="X134" i="22"/>
  <c r="X55" i="22"/>
  <c r="X80" i="22"/>
  <c r="U255" i="46"/>
  <c r="H239" i="46"/>
  <c r="H242" i="46"/>
  <c r="H178" i="46"/>
  <c r="U162" i="46"/>
  <c r="U146" i="46"/>
  <c r="H106" i="46"/>
  <c r="U98" i="46"/>
  <c r="U245" i="46"/>
  <c r="U181" i="46"/>
  <c r="U117" i="46"/>
  <c r="U256" i="46"/>
  <c r="H252" i="46"/>
  <c r="U248" i="46"/>
  <c r="H244" i="46"/>
  <c r="U240" i="46"/>
  <c r="U236" i="46"/>
  <c r="U232" i="46"/>
  <c r="H228" i="46"/>
  <c r="U224" i="46"/>
  <c r="H220" i="46"/>
  <c r="U216" i="46"/>
  <c r="H212" i="46"/>
  <c r="U208" i="46"/>
  <c r="U200" i="46"/>
  <c r="H196" i="46"/>
  <c r="U192" i="46"/>
  <c r="H188" i="46"/>
  <c r="H180" i="46"/>
  <c r="H176" i="46"/>
  <c r="H172" i="46"/>
  <c r="H160" i="46"/>
  <c r="H156" i="46"/>
  <c r="H148" i="46"/>
  <c r="U144" i="46"/>
  <c r="H128" i="46"/>
  <c r="U108" i="46"/>
  <c r="H104" i="46"/>
  <c r="U80" i="46"/>
  <c r="H64" i="46"/>
  <c r="U44" i="46"/>
  <c r="H215" i="46"/>
  <c r="H199" i="46"/>
  <c r="U191" i="46"/>
  <c r="U183" i="46"/>
  <c r="H175" i="46"/>
  <c r="U171" i="46"/>
  <c r="H159" i="46"/>
  <c r="H143" i="46"/>
  <c r="U135" i="46"/>
  <c r="H127" i="46"/>
  <c r="H103" i="46"/>
  <c r="H87" i="46"/>
  <c r="H79" i="46"/>
  <c r="U71" i="46"/>
  <c r="H63" i="46"/>
  <c r="U34" i="46"/>
  <c r="H24" i="46"/>
  <c r="H16" i="46"/>
  <c r="U251" i="46"/>
  <c r="U243" i="46"/>
  <c r="U235" i="46"/>
  <c r="U219" i="46"/>
  <c r="U211" i="46"/>
  <c r="U203" i="46"/>
  <c r="U195" i="46"/>
  <c r="U187" i="46"/>
  <c r="U179" i="46"/>
  <c r="H163" i="46"/>
  <c r="U155" i="46"/>
  <c r="H155" i="46"/>
  <c r="U147" i="46"/>
  <c r="H147" i="46"/>
  <c r="U139" i="46"/>
  <c r="H139" i="46"/>
  <c r="H131" i="46"/>
  <c r="U131" i="46"/>
  <c r="H123" i="46"/>
  <c r="U123" i="46"/>
  <c r="H115" i="46"/>
  <c r="U115" i="46"/>
  <c r="H107" i="46"/>
  <c r="U107" i="46"/>
  <c r="H99" i="46"/>
  <c r="U91" i="46"/>
  <c r="H91" i="46"/>
  <c r="U83" i="46"/>
  <c r="H83" i="46"/>
  <c r="U75" i="46"/>
  <c r="H75" i="46"/>
  <c r="H67" i="46"/>
  <c r="U67" i="46"/>
  <c r="H59" i="46"/>
  <c r="U59" i="46"/>
  <c r="H51" i="46"/>
  <c r="U51" i="46"/>
  <c r="H43" i="46"/>
  <c r="U43" i="46"/>
  <c r="H35" i="46"/>
  <c r="U27" i="46"/>
  <c r="H27" i="46"/>
  <c r="U19" i="46"/>
  <c r="H19" i="46"/>
  <c r="H255" i="46"/>
  <c r="H216" i="46"/>
  <c r="H203" i="46"/>
  <c r="H191" i="46"/>
  <c r="H164" i="46"/>
  <c r="H34" i="46"/>
  <c r="H11" i="46"/>
  <c r="U250" i="46"/>
  <c r="U242" i="46"/>
  <c r="U234" i="46"/>
  <c r="U226" i="46"/>
  <c r="U210" i="46"/>
  <c r="U202" i="46"/>
  <c r="U194" i="46"/>
  <c r="U186" i="46"/>
  <c r="U178" i="46"/>
  <c r="U170" i="46"/>
  <c r="U138" i="46"/>
  <c r="U130" i="46"/>
  <c r="U122" i="46"/>
  <c r="U114" i="46"/>
  <c r="U106" i="46"/>
  <c r="U82" i="46"/>
  <c r="U74" i="46"/>
  <c r="U66" i="46"/>
  <c r="U58" i="46"/>
  <c r="U50" i="46"/>
  <c r="U42" i="46"/>
  <c r="U18" i="46"/>
  <c r="H240" i="46"/>
  <c r="H227" i="46"/>
  <c r="H202" i="46"/>
  <c r="H162" i="46"/>
  <c r="H146" i="46"/>
  <c r="H82" i="46"/>
  <c r="U35" i="46"/>
  <c r="H12" i="46"/>
  <c r="U12" i="46"/>
  <c r="H249" i="46"/>
  <c r="U249" i="46"/>
  <c r="H241" i="46"/>
  <c r="U241" i="46"/>
  <c r="H233" i="46"/>
  <c r="U233" i="46"/>
  <c r="H225" i="46"/>
  <c r="U225" i="46"/>
  <c r="H217" i="46"/>
  <c r="U217" i="46"/>
  <c r="H209" i="46"/>
  <c r="U201" i="46"/>
  <c r="H201" i="46"/>
  <c r="H193" i="46"/>
  <c r="U193" i="46"/>
  <c r="H185" i="46"/>
  <c r="U185" i="46"/>
  <c r="H177" i="46"/>
  <c r="U177" i="46"/>
  <c r="H169" i="46"/>
  <c r="U169" i="46"/>
  <c r="H161" i="46"/>
  <c r="U161" i="46"/>
  <c r="H153" i="46"/>
  <c r="U153" i="46"/>
  <c r="H145" i="46"/>
  <c r="U137" i="46"/>
  <c r="H137" i="46"/>
  <c r="H129" i="46"/>
  <c r="U129" i="46"/>
  <c r="H121" i="46"/>
  <c r="U121" i="46"/>
  <c r="H113" i="46"/>
  <c r="U113" i="46"/>
  <c r="H105" i="46"/>
  <c r="U105" i="46"/>
  <c r="H97" i="46"/>
  <c r="U97" i="46"/>
  <c r="H89" i="46"/>
  <c r="U89" i="46"/>
  <c r="H81" i="46"/>
  <c r="U73" i="46"/>
  <c r="H73" i="46"/>
  <c r="H65" i="46"/>
  <c r="U65" i="46"/>
  <c r="H57" i="46"/>
  <c r="U57" i="46"/>
  <c r="H49" i="46"/>
  <c r="U49" i="46"/>
  <c r="H41" i="46"/>
  <c r="U41" i="46"/>
  <c r="H251" i="46"/>
  <c r="H226" i="46"/>
  <c r="H200" i="46"/>
  <c r="H187" i="46"/>
  <c r="H144" i="46"/>
  <c r="H122" i="46"/>
  <c r="H80" i="46"/>
  <c r="H58" i="46"/>
  <c r="H26" i="46"/>
  <c r="U172" i="46"/>
  <c r="U99" i="46"/>
  <c r="U26" i="46"/>
  <c r="U184" i="46"/>
  <c r="U176" i="46"/>
  <c r="U168" i="46"/>
  <c r="U160" i="46"/>
  <c r="U152" i="46"/>
  <c r="U128" i="46"/>
  <c r="U120" i="46"/>
  <c r="U112" i="46"/>
  <c r="U104" i="46"/>
  <c r="U96" i="46"/>
  <c r="U88" i="46"/>
  <c r="U64" i="46"/>
  <c r="U56" i="46"/>
  <c r="U48" i="46"/>
  <c r="U40" i="46"/>
  <c r="H250" i="46"/>
  <c r="H236" i="46"/>
  <c r="H224" i="46"/>
  <c r="H211" i="46"/>
  <c r="H186" i="46"/>
  <c r="H120" i="46"/>
  <c r="H98" i="46"/>
  <c r="H56" i="46"/>
  <c r="U163" i="46"/>
  <c r="U90" i="46"/>
  <c r="U247" i="46"/>
  <c r="U239" i="46"/>
  <c r="U231" i="46"/>
  <c r="U223" i="46"/>
  <c r="U215" i="46"/>
  <c r="U207" i="46"/>
  <c r="U199" i="46"/>
  <c r="U175" i="46"/>
  <c r="U167" i="46"/>
  <c r="U159" i="46"/>
  <c r="U151" i="46"/>
  <c r="U143" i="46"/>
  <c r="U119" i="46"/>
  <c r="U111" i="46"/>
  <c r="U103" i="46"/>
  <c r="U95" i="46"/>
  <c r="U87" i="46"/>
  <c r="U79" i="46"/>
  <c r="U55" i="46"/>
  <c r="H55" i="46"/>
  <c r="U47" i="46"/>
  <c r="H47" i="46"/>
  <c r="U39" i="46"/>
  <c r="H39" i="46"/>
  <c r="U31" i="46"/>
  <c r="H31" i="46"/>
  <c r="U23" i="46"/>
  <c r="H23" i="46"/>
  <c r="U15" i="46"/>
  <c r="H15" i="46"/>
  <c r="H248" i="46"/>
  <c r="H235" i="46"/>
  <c r="H223" i="46"/>
  <c r="H210" i="46"/>
  <c r="H184" i="46"/>
  <c r="H171" i="46"/>
  <c r="H138" i="46"/>
  <c r="H119" i="46"/>
  <c r="H96" i="46"/>
  <c r="H74" i="46"/>
  <c r="H50" i="46"/>
  <c r="H18" i="46"/>
  <c r="U227" i="46"/>
  <c r="U154" i="46"/>
  <c r="U81" i="46"/>
  <c r="U254" i="46"/>
  <c r="H254" i="46"/>
  <c r="U246" i="46"/>
  <c r="H246" i="46"/>
  <c r="U238" i="46"/>
  <c r="H238" i="46"/>
  <c r="U230" i="46"/>
  <c r="H230" i="46"/>
  <c r="U222" i="46"/>
  <c r="H222" i="46"/>
  <c r="U214" i="46"/>
  <c r="H214" i="46"/>
  <c r="U206" i="46"/>
  <c r="H206" i="46"/>
  <c r="U198" i="46"/>
  <c r="H198" i="46"/>
  <c r="U190" i="46"/>
  <c r="H190" i="46"/>
  <c r="U182" i="46"/>
  <c r="H182" i="46"/>
  <c r="U174" i="46"/>
  <c r="H174" i="46"/>
  <c r="U166" i="46"/>
  <c r="H166" i="46"/>
  <c r="U158" i="46"/>
  <c r="H158" i="46"/>
  <c r="U150" i="46"/>
  <c r="H150" i="46"/>
  <c r="U142" i="46"/>
  <c r="H142" i="46"/>
  <c r="U134" i="46"/>
  <c r="H134" i="46"/>
  <c r="U126" i="46"/>
  <c r="H126" i="46"/>
  <c r="U118" i="46"/>
  <c r="H118" i="46"/>
  <c r="U110" i="46"/>
  <c r="H110" i="46"/>
  <c r="U102" i="46"/>
  <c r="H102" i="46"/>
  <c r="U94" i="46"/>
  <c r="H94" i="46"/>
  <c r="U86" i="46"/>
  <c r="H86" i="46"/>
  <c r="U78" i="46"/>
  <c r="H78" i="46"/>
  <c r="U70" i="46"/>
  <c r="H70" i="46"/>
  <c r="U62" i="46"/>
  <c r="H62" i="46"/>
  <c r="U54" i="46"/>
  <c r="H54" i="46"/>
  <c r="U46" i="46"/>
  <c r="H46" i="46"/>
  <c r="U38" i="46"/>
  <c r="H38" i="46"/>
  <c r="U30" i="46"/>
  <c r="H30" i="46"/>
  <c r="U22" i="46"/>
  <c r="H22" i="46"/>
  <c r="U14" i="46"/>
  <c r="H14" i="46"/>
  <c r="H247" i="46"/>
  <c r="H234" i="46"/>
  <c r="H208" i="46"/>
  <c r="H195" i="46"/>
  <c r="H183" i="46"/>
  <c r="H170" i="46"/>
  <c r="H154" i="46"/>
  <c r="H136" i="46"/>
  <c r="H114" i="46"/>
  <c r="H95" i="46"/>
  <c r="H72" i="46"/>
  <c r="H48" i="46"/>
  <c r="U218" i="46"/>
  <c r="U145" i="46"/>
  <c r="U72" i="46"/>
  <c r="H253" i="46"/>
  <c r="U253" i="46"/>
  <c r="H245" i="46"/>
  <c r="U237" i="46"/>
  <c r="H237" i="46"/>
  <c r="U229" i="46"/>
  <c r="H229" i="46"/>
  <c r="U221" i="46"/>
  <c r="H221" i="46"/>
  <c r="U213" i="46"/>
  <c r="H213" i="46"/>
  <c r="U205" i="46"/>
  <c r="H205" i="46"/>
  <c r="H197" i="46"/>
  <c r="U197" i="46"/>
  <c r="H189" i="46"/>
  <c r="U189" i="46"/>
  <c r="H181" i="46"/>
  <c r="U173" i="46"/>
  <c r="H173" i="46"/>
  <c r="U165" i="46"/>
  <c r="H165" i="46"/>
  <c r="U157" i="46"/>
  <c r="H157" i="46"/>
  <c r="U149" i="46"/>
  <c r="H149" i="46"/>
  <c r="U141" i="46"/>
  <c r="H141" i="46"/>
  <c r="H133" i="46"/>
  <c r="U133" i="46"/>
  <c r="H125" i="46"/>
  <c r="U125" i="46"/>
  <c r="H117" i="46"/>
  <c r="U109" i="46"/>
  <c r="H109" i="46"/>
  <c r="U101" i="46"/>
  <c r="H101" i="46"/>
  <c r="U93" i="46"/>
  <c r="H93" i="46"/>
  <c r="U85" i="46"/>
  <c r="H85" i="46"/>
  <c r="U77" i="46"/>
  <c r="H77" i="46"/>
  <c r="H69" i="46"/>
  <c r="U69" i="46"/>
  <c r="H61" i="46"/>
  <c r="U61" i="46"/>
  <c r="H53" i="46"/>
  <c r="U45" i="46"/>
  <c r="H45" i="46"/>
  <c r="U37" i="46"/>
  <c r="H37" i="46"/>
  <c r="U29" i="46"/>
  <c r="H29" i="46"/>
  <c r="U21" i="46"/>
  <c r="H21" i="46"/>
  <c r="U13" i="46"/>
  <c r="H13" i="46"/>
  <c r="H232" i="46"/>
  <c r="H219" i="46"/>
  <c r="H207" i="46"/>
  <c r="H194" i="46"/>
  <c r="H168" i="46"/>
  <c r="H152" i="46"/>
  <c r="H135" i="46"/>
  <c r="H112" i="46"/>
  <c r="H90" i="46"/>
  <c r="H71" i="46"/>
  <c r="H42" i="46"/>
  <c r="U209" i="46"/>
  <c r="U136" i="46"/>
  <c r="U63" i="46"/>
  <c r="U252" i="46"/>
  <c r="U244" i="46"/>
  <c r="U228" i="46"/>
  <c r="U220" i="46"/>
  <c r="U212" i="46"/>
  <c r="U204" i="46"/>
  <c r="U196" i="46"/>
  <c r="U188" i="46"/>
  <c r="U180" i="46"/>
  <c r="U164" i="46"/>
  <c r="U156" i="46"/>
  <c r="U148" i="46"/>
  <c r="U140" i="46"/>
  <c r="H140" i="46"/>
  <c r="H132" i="46"/>
  <c r="U132" i="46"/>
  <c r="H124" i="46"/>
  <c r="U124" i="46"/>
  <c r="H116" i="46"/>
  <c r="U116" i="46"/>
  <c r="H108" i="46"/>
  <c r="U100" i="46"/>
  <c r="H100" i="46"/>
  <c r="U92" i="46"/>
  <c r="H92" i="46"/>
  <c r="U84" i="46"/>
  <c r="H84" i="46"/>
  <c r="U76" i="46"/>
  <c r="H76" i="46"/>
  <c r="H68" i="46"/>
  <c r="U68" i="46"/>
  <c r="H60" i="46"/>
  <c r="U60" i="46"/>
  <c r="H52" i="46"/>
  <c r="U52" i="46"/>
  <c r="H44" i="46"/>
  <c r="U36" i="46"/>
  <c r="H36" i="46"/>
  <c r="U28" i="46"/>
  <c r="H28" i="46"/>
  <c r="H256" i="46"/>
  <c r="H243" i="46"/>
  <c r="H231" i="46"/>
  <c r="H218" i="46"/>
  <c r="H204" i="46"/>
  <c r="H192" i="46"/>
  <c r="H179" i="46"/>
  <c r="H167" i="46"/>
  <c r="H151" i="46"/>
  <c r="H130" i="46"/>
  <c r="H111" i="46"/>
  <c r="H88" i="46"/>
  <c r="H66" i="46"/>
  <c r="H40" i="46"/>
  <c r="U127" i="46"/>
  <c r="U53" i="46"/>
  <c r="U25" i="46"/>
  <c r="U33" i="46"/>
  <c r="H20" i="46"/>
  <c r="U20" i="46"/>
  <c r="H17" i="46"/>
  <c r="AX26" i="108" l="1"/>
  <c r="AZ26" i="108" s="1"/>
  <c r="AX60" i="108"/>
  <c r="AZ60" i="108" s="1"/>
  <c r="BG61" i="108"/>
  <c r="AR61" i="108"/>
  <c r="AP61" i="108"/>
  <c r="AJ61" i="108"/>
  <c r="BF61" i="108"/>
  <c r="AG62" i="108" a="1"/>
  <c r="AG62" i="108" s="1"/>
  <c r="BL62" i="108" s="1"/>
  <c r="BE61" i="108"/>
  <c r="AT61" i="108"/>
  <c r="BK61" i="108"/>
  <c r="BK27" i="108"/>
  <c r="AG28" i="108" a="1"/>
  <c r="AG28" i="108" s="1"/>
  <c r="BL28" i="108" s="1"/>
  <c r="BE27" i="108"/>
  <c r="AP27" i="108"/>
  <c r="BF27" i="108"/>
  <c r="AR27" i="108"/>
  <c r="BG27" i="108"/>
  <c r="AJ27" i="108"/>
  <c r="AT27" i="108"/>
  <c r="K62" i="108"/>
  <c r="B63" i="108" a="1"/>
  <c r="B63" i="108" s="1"/>
  <c r="BM63" i="108" s="1"/>
  <c r="M62" i="108"/>
  <c r="E62" i="108"/>
  <c r="E27" i="108"/>
  <c r="S26" i="108"/>
  <c r="U26" i="108" s="1"/>
  <c r="M27" i="108"/>
  <c r="B28" i="108" a="1"/>
  <c r="B28" i="108" s="1"/>
  <c r="BM28" i="108" s="1"/>
  <c r="O27" i="108"/>
  <c r="K27" i="108"/>
  <c r="J11" i="11"/>
  <c r="AH11" i="11"/>
  <c r="H7" i="46" a="1"/>
  <c r="H7" i="46" s="1"/>
  <c r="J15" i="11"/>
  <c r="J18" i="11"/>
  <c r="J19" i="11"/>
  <c r="J21" i="11"/>
  <c r="J23" i="11"/>
  <c r="J27" i="11"/>
  <c r="J31" i="11"/>
  <c r="J35" i="11"/>
  <c r="J37" i="11"/>
  <c r="J43" i="11"/>
  <c r="J47" i="11"/>
  <c r="J49" i="11"/>
  <c r="J51" i="11"/>
  <c r="J58" i="11"/>
  <c r="J59" i="11"/>
  <c r="J63" i="11"/>
  <c r="J67" i="11"/>
  <c r="J71" i="11"/>
  <c r="J75" i="11"/>
  <c r="J79" i="11"/>
  <c r="J82" i="11"/>
  <c r="J83" i="11"/>
  <c r="J84" i="11"/>
  <c r="J87" i="11"/>
  <c r="J91" i="11"/>
  <c r="J95" i="11"/>
  <c r="J99" i="11"/>
  <c r="J105" i="11"/>
  <c r="J109" i="11"/>
  <c r="J110" i="11"/>
  <c r="J113" i="11"/>
  <c r="J125" i="11"/>
  <c r="J129" i="11"/>
  <c r="J130" i="11"/>
  <c r="J141" i="11"/>
  <c r="J145" i="11"/>
  <c r="J149" i="11"/>
  <c r="J157" i="11"/>
  <c r="J161" i="11"/>
  <c r="J162" i="11"/>
  <c r="J170" i="11"/>
  <c r="J173" i="11"/>
  <c r="J174" i="11"/>
  <c r="J177" i="11"/>
  <c r="J181" i="11"/>
  <c r="J186" i="11"/>
  <c r="J189" i="11"/>
  <c r="J190" i="11"/>
  <c r="J193" i="11"/>
  <c r="J202" i="11"/>
  <c r="J205" i="11"/>
  <c r="J209" i="11"/>
  <c r="J221" i="11"/>
  <c r="J225" i="11"/>
  <c r="J226" i="11"/>
  <c r="J237" i="11"/>
  <c r="J238" i="11"/>
  <c r="J241" i="11"/>
  <c r="J247" i="11"/>
  <c r="J253" i="11"/>
  <c r="J254" i="11"/>
  <c r="J257" i="11"/>
  <c r="J16" i="11"/>
  <c r="J22" i="11"/>
  <c r="J28" i="11"/>
  <c r="J30" i="11"/>
  <c r="J42" i="11"/>
  <c r="J46" i="11"/>
  <c r="J62" i="11"/>
  <c r="J68" i="11"/>
  <c r="J70" i="11"/>
  <c r="J78" i="11"/>
  <c r="J86" i="11"/>
  <c r="J98" i="11"/>
  <c r="J100" i="11"/>
  <c r="J102" i="11"/>
  <c r="J107" i="11"/>
  <c r="J111" i="11"/>
  <c r="J114" i="11"/>
  <c r="J115" i="11"/>
  <c r="J119" i="11"/>
  <c r="J121" i="11"/>
  <c r="J122" i="11"/>
  <c r="J123" i="11"/>
  <c r="J126" i="11"/>
  <c r="J127" i="11"/>
  <c r="J131" i="11"/>
  <c r="J133" i="11"/>
  <c r="J135" i="11"/>
  <c r="J139" i="11"/>
  <c r="J143" i="11"/>
  <c r="J147" i="11"/>
  <c r="J151" i="11"/>
  <c r="J153" i="11"/>
  <c r="J154" i="11"/>
  <c r="J155" i="11"/>
  <c r="J158" i="11"/>
  <c r="J159" i="11"/>
  <c r="J163" i="11"/>
  <c r="J165" i="11"/>
  <c r="J167" i="11"/>
  <c r="J171" i="11"/>
  <c r="J175" i="11"/>
  <c r="J179" i="11"/>
  <c r="J183" i="11"/>
  <c r="J185" i="11"/>
  <c r="J187" i="11"/>
  <c r="J191" i="11"/>
  <c r="J195" i="11"/>
  <c r="J197" i="11"/>
  <c r="J199" i="11"/>
  <c r="J203" i="11"/>
  <c r="J207" i="11"/>
  <c r="J210" i="11"/>
  <c r="J211" i="11"/>
  <c r="J215" i="11"/>
  <c r="J217" i="11"/>
  <c r="J218" i="11"/>
  <c r="J219" i="11"/>
  <c r="J223" i="11"/>
  <c r="J227" i="11"/>
  <c r="J229" i="11"/>
  <c r="J231" i="11"/>
  <c r="J239" i="11"/>
  <c r="J243" i="11"/>
  <c r="J249" i="11"/>
  <c r="J251" i="11"/>
  <c r="J255" i="11"/>
  <c r="L135" i="29"/>
  <c r="M135" i="29"/>
  <c r="O135" i="29"/>
  <c r="Q135" i="29"/>
  <c r="I134" i="99"/>
  <c r="I80" i="99"/>
  <c r="I54" i="99"/>
  <c r="B55" i="22"/>
  <c r="M54" i="29"/>
  <c r="I38" i="99"/>
  <c r="I37" i="99"/>
  <c r="AX61" i="108" l="1"/>
  <c r="AZ61" i="108" s="1"/>
  <c r="AX27" i="108"/>
  <c r="AZ27" i="108" s="1"/>
  <c r="BE62" i="108"/>
  <c r="BF28" i="108"/>
  <c r="AG63" i="108" a="1"/>
  <c r="AG63" i="108" s="1"/>
  <c r="BL63" i="108" s="1"/>
  <c r="AP62" i="108"/>
  <c r="AT62" i="108"/>
  <c r="AR62" i="108"/>
  <c r="AJ62" i="108"/>
  <c r="BF62" i="108"/>
  <c r="BG62" i="108"/>
  <c r="BK62" i="108"/>
  <c r="AJ28" i="108"/>
  <c r="AR28" i="108"/>
  <c r="BK28" i="108"/>
  <c r="AG29" i="108" a="1"/>
  <c r="AG29" i="108" s="1"/>
  <c r="BL29" i="108" s="1"/>
  <c r="AP28" i="108"/>
  <c r="BE28" i="108"/>
  <c r="BG28" i="108"/>
  <c r="AT28" i="108"/>
  <c r="B64" i="108" a="1"/>
  <c r="B64" i="108" s="1"/>
  <c r="BM64" i="108" s="1"/>
  <c r="M63" i="108"/>
  <c r="E63" i="108"/>
  <c r="K63" i="108"/>
  <c r="E28" i="108"/>
  <c r="S27" i="108"/>
  <c r="U27" i="108" s="1"/>
  <c r="O28" i="108"/>
  <c r="M28" i="108"/>
  <c r="K28" i="108"/>
  <c r="B29" i="108" a="1"/>
  <c r="B29" i="108" s="1"/>
  <c r="BM29" i="108" s="1"/>
  <c r="J250" i="11"/>
  <c r="J242" i="11"/>
  <c r="J106" i="11"/>
  <c r="J235" i="11"/>
  <c r="J178" i="11"/>
  <c r="J138" i="11"/>
  <c r="J74" i="11"/>
  <c r="J222" i="11"/>
  <c r="J146" i="11"/>
  <c r="J101" i="11"/>
  <c r="J73" i="11"/>
  <c r="J234" i="11"/>
  <c r="J85" i="11"/>
  <c r="J258" i="11"/>
  <c r="J245" i="11"/>
  <c r="J233" i="11"/>
  <c r="J213" i="11"/>
  <c r="J206" i="11"/>
  <c r="J201" i="11"/>
  <c r="J194" i="11"/>
  <c r="J169" i="11"/>
  <c r="J142" i="11"/>
  <c r="J137" i="11"/>
  <c r="J117" i="11"/>
  <c r="J94" i="11"/>
  <c r="J69" i="11"/>
  <c r="J57" i="11"/>
  <c r="J89" i="11"/>
  <c r="J246" i="11"/>
  <c r="J230" i="11"/>
  <c r="J214" i="11"/>
  <c r="J198" i="11"/>
  <c r="J182" i="11"/>
  <c r="J166" i="11"/>
  <c r="J150" i="11"/>
  <c r="J134" i="11"/>
  <c r="J118" i="11"/>
  <c r="J90" i="11"/>
  <c r="J66" i="11"/>
  <c r="J54" i="11"/>
  <c r="J50" i="11"/>
  <c r="J38" i="11"/>
  <c r="J34" i="11"/>
  <c r="J26" i="11"/>
  <c r="J14" i="11"/>
  <c r="J103" i="11"/>
  <c r="J55" i="11"/>
  <c r="J39" i="11"/>
  <c r="J108" i="11"/>
  <c r="J88" i="11"/>
  <c r="J72" i="11"/>
  <c r="J40" i="11"/>
  <c r="J32" i="11"/>
  <c r="J24" i="11"/>
  <c r="J36" i="11"/>
  <c r="J104" i="11"/>
  <c r="J92" i="11"/>
  <c r="J76" i="11"/>
  <c r="J60" i="11"/>
  <c r="J56" i="11"/>
  <c r="J48" i="11"/>
  <c r="J20" i="11"/>
  <c r="J12" i="11"/>
  <c r="J96" i="11"/>
  <c r="J80" i="11"/>
  <c r="J64" i="11"/>
  <c r="J44" i="11"/>
  <c r="J256" i="11"/>
  <c r="J252" i="11"/>
  <c r="J248" i="11"/>
  <c r="J244" i="11"/>
  <c r="J240" i="11"/>
  <c r="J236" i="11"/>
  <c r="J232" i="11"/>
  <c r="J228" i="11"/>
  <c r="J224" i="11"/>
  <c r="J220" i="11"/>
  <c r="J216" i="11"/>
  <c r="J212" i="11"/>
  <c r="J208" i="11"/>
  <c r="J204" i="11"/>
  <c r="J200" i="11"/>
  <c r="J196" i="11"/>
  <c r="J192" i="11"/>
  <c r="J188" i="11"/>
  <c r="J184" i="11"/>
  <c r="J180" i="11"/>
  <c r="J176" i="11"/>
  <c r="J172" i="11"/>
  <c r="J168" i="11"/>
  <c r="J164" i="11"/>
  <c r="J160" i="11"/>
  <c r="J156" i="11"/>
  <c r="J152" i="11"/>
  <c r="J148" i="11"/>
  <c r="J144" i="11"/>
  <c r="J140" i="11"/>
  <c r="J136" i="11"/>
  <c r="J132" i="11"/>
  <c r="J128" i="11"/>
  <c r="J124" i="11"/>
  <c r="J120" i="11"/>
  <c r="J116" i="11"/>
  <c r="J112" i="11"/>
  <c r="J52" i="11"/>
  <c r="J97" i="11"/>
  <c r="J93" i="11"/>
  <c r="J81" i="11"/>
  <c r="J77" i="11"/>
  <c r="J65" i="11"/>
  <c r="J61" i="11"/>
  <c r="J53" i="11"/>
  <c r="J45" i="11"/>
  <c r="J41" i="11"/>
  <c r="J33" i="11"/>
  <c r="J29" i="11"/>
  <c r="J25" i="11"/>
  <c r="J17" i="11"/>
  <c r="J13" i="11"/>
  <c r="AX62" i="108" l="1"/>
  <c r="AZ62" i="108" s="1"/>
  <c r="AX28" i="108"/>
  <c r="AZ28" i="108" s="1"/>
  <c r="AR63" i="108"/>
  <c r="AP29" i="108"/>
  <c r="AG64" i="108" a="1"/>
  <c r="AG64" i="108" s="1"/>
  <c r="BL64" i="108" s="1"/>
  <c r="AT63" i="108"/>
  <c r="AP63" i="108"/>
  <c r="BG63" i="108"/>
  <c r="BF63" i="108"/>
  <c r="BE63" i="108"/>
  <c r="AJ63" i="108"/>
  <c r="BK63" i="108"/>
  <c r="AR29" i="108"/>
  <c r="BE29" i="108"/>
  <c r="BG29" i="108"/>
  <c r="AG30" i="108" a="1"/>
  <c r="AG30" i="108" s="1"/>
  <c r="BL30" i="108" s="1"/>
  <c r="AT29" i="108"/>
  <c r="AJ29" i="108"/>
  <c r="BF29" i="108"/>
  <c r="BK29" i="108"/>
  <c r="M64" i="108"/>
  <c r="K64" i="108"/>
  <c r="E64" i="108"/>
  <c r="E29" i="108"/>
  <c r="S28" i="108"/>
  <c r="U28" i="108" s="1"/>
  <c r="B30" i="108" a="1"/>
  <c r="B30" i="108" s="1"/>
  <c r="BM30" i="108" s="1"/>
  <c r="O29" i="108"/>
  <c r="M29" i="108"/>
  <c r="K29" i="108"/>
  <c r="X13" i="65"/>
  <c r="X14" i="65"/>
  <c r="X15" i="65"/>
  <c r="X16" i="65"/>
  <c r="X17" i="65"/>
  <c r="X18" i="65"/>
  <c r="X19" i="65"/>
  <c r="X20" i="65"/>
  <c r="X21" i="65"/>
  <c r="X22" i="65"/>
  <c r="X23" i="65"/>
  <c r="X24" i="65"/>
  <c r="X25" i="65"/>
  <c r="X26" i="65"/>
  <c r="X27" i="65"/>
  <c r="X28" i="65"/>
  <c r="X29" i="65"/>
  <c r="X30" i="65"/>
  <c r="X31" i="65"/>
  <c r="X32" i="65"/>
  <c r="X33" i="65"/>
  <c r="X34" i="65"/>
  <c r="X35" i="65"/>
  <c r="X36" i="65"/>
  <c r="X37" i="65"/>
  <c r="X38" i="65"/>
  <c r="X39" i="65"/>
  <c r="X40" i="65"/>
  <c r="X41" i="65"/>
  <c r="X42" i="65"/>
  <c r="X43" i="65"/>
  <c r="X44" i="65"/>
  <c r="X45" i="65"/>
  <c r="X46" i="65"/>
  <c r="X47" i="65"/>
  <c r="X48" i="65"/>
  <c r="X49" i="65"/>
  <c r="X50" i="65"/>
  <c r="X51" i="65"/>
  <c r="X52" i="65"/>
  <c r="X53" i="65"/>
  <c r="X54" i="65"/>
  <c r="X55" i="65"/>
  <c r="X56" i="65"/>
  <c r="X57" i="65"/>
  <c r="X58" i="65"/>
  <c r="X59" i="65"/>
  <c r="X60" i="65"/>
  <c r="X61" i="65"/>
  <c r="X62" i="65"/>
  <c r="X63" i="65"/>
  <c r="X64" i="65"/>
  <c r="X65" i="65"/>
  <c r="X66" i="65"/>
  <c r="X67" i="65"/>
  <c r="X68" i="65"/>
  <c r="X69" i="65"/>
  <c r="X70" i="65"/>
  <c r="X71" i="65"/>
  <c r="X72" i="65"/>
  <c r="X73" i="65"/>
  <c r="X74" i="65"/>
  <c r="X75" i="65"/>
  <c r="X76" i="65"/>
  <c r="X77" i="65"/>
  <c r="X78" i="65"/>
  <c r="X79" i="65"/>
  <c r="X80" i="65"/>
  <c r="X81" i="65"/>
  <c r="X82" i="65"/>
  <c r="X83" i="65"/>
  <c r="X84" i="65"/>
  <c r="X85" i="65"/>
  <c r="X86" i="65"/>
  <c r="X87" i="65"/>
  <c r="X88" i="65"/>
  <c r="X89" i="65"/>
  <c r="X90" i="65"/>
  <c r="X91" i="65"/>
  <c r="X92" i="65"/>
  <c r="X93" i="65"/>
  <c r="X94" i="65"/>
  <c r="X95" i="65"/>
  <c r="X96" i="65"/>
  <c r="X97" i="65"/>
  <c r="X98" i="65"/>
  <c r="X99" i="65"/>
  <c r="X100" i="65"/>
  <c r="X101" i="65"/>
  <c r="X102" i="65"/>
  <c r="X103" i="65"/>
  <c r="X104" i="65"/>
  <c r="X105" i="65"/>
  <c r="X106" i="65"/>
  <c r="X107" i="65"/>
  <c r="X108" i="65"/>
  <c r="X109" i="65"/>
  <c r="X110" i="65"/>
  <c r="X111" i="65"/>
  <c r="X112" i="65"/>
  <c r="X113" i="65"/>
  <c r="X114" i="65"/>
  <c r="X115" i="65"/>
  <c r="X116" i="65"/>
  <c r="X117" i="65"/>
  <c r="X118" i="65"/>
  <c r="X119" i="65"/>
  <c r="X120" i="65"/>
  <c r="X121" i="65"/>
  <c r="X122" i="65"/>
  <c r="X123" i="65"/>
  <c r="X124" i="65"/>
  <c r="X125" i="65"/>
  <c r="X126" i="65"/>
  <c r="X127" i="65"/>
  <c r="X128" i="65"/>
  <c r="X129" i="65"/>
  <c r="X130" i="65"/>
  <c r="X131" i="65"/>
  <c r="X132" i="65"/>
  <c r="X133" i="65"/>
  <c r="X134" i="65"/>
  <c r="X135" i="65"/>
  <c r="X136" i="65"/>
  <c r="X137" i="65"/>
  <c r="X138" i="65"/>
  <c r="X139" i="65"/>
  <c r="X140" i="65"/>
  <c r="X141" i="65"/>
  <c r="X142" i="65"/>
  <c r="X143" i="65"/>
  <c r="X144" i="65"/>
  <c r="X145" i="65"/>
  <c r="X146" i="65"/>
  <c r="X147" i="65"/>
  <c r="X148" i="65"/>
  <c r="X149" i="65"/>
  <c r="X150" i="65"/>
  <c r="X151" i="65"/>
  <c r="X152" i="65"/>
  <c r="X153" i="65"/>
  <c r="X154" i="65"/>
  <c r="X155" i="65"/>
  <c r="X156" i="65"/>
  <c r="X157" i="65"/>
  <c r="X158" i="65"/>
  <c r="X159" i="65"/>
  <c r="X160" i="65"/>
  <c r="X161" i="65"/>
  <c r="X162" i="65"/>
  <c r="X163" i="65"/>
  <c r="X164" i="65"/>
  <c r="X165" i="65"/>
  <c r="X166" i="65"/>
  <c r="X167" i="65"/>
  <c r="X168" i="65"/>
  <c r="X169" i="65"/>
  <c r="X170" i="65"/>
  <c r="X171" i="65"/>
  <c r="X172" i="65"/>
  <c r="X173" i="65"/>
  <c r="X174" i="65"/>
  <c r="X175" i="65"/>
  <c r="X176" i="65"/>
  <c r="X177" i="65"/>
  <c r="X178" i="65"/>
  <c r="X179" i="65"/>
  <c r="X180" i="65"/>
  <c r="X181" i="65"/>
  <c r="X182" i="65"/>
  <c r="X183" i="65"/>
  <c r="X184" i="65"/>
  <c r="X185" i="65"/>
  <c r="X186" i="65"/>
  <c r="X187" i="65"/>
  <c r="X188" i="65"/>
  <c r="X189" i="65"/>
  <c r="X190" i="65"/>
  <c r="X191" i="65"/>
  <c r="X192" i="65"/>
  <c r="X193" i="65"/>
  <c r="X194" i="65"/>
  <c r="X195" i="65"/>
  <c r="X196" i="65"/>
  <c r="X197" i="65"/>
  <c r="X198" i="65"/>
  <c r="X199" i="65"/>
  <c r="X200" i="65"/>
  <c r="X201" i="65"/>
  <c r="X202" i="65"/>
  <c r="X203" i="65"/>
  <c r="X204" i="65"/>
  <c r="X205" i="65"/>
  <c r="X206" i="65"/>
  <c r="X207" i="65"/>
  <c r="X208" i="65"/>
  <c r="X209" i="65"/>
  <c r="X210" i="65"/>
  <c r="X211" i="65"/>
  <c r="X212" i="65"/>
  <c r="X213" i="65"/>
  <c r="X214" i="65"/>
  <c r="X215" i="65"/>
  <c r="X216" i="65"/>
  <c r="X217" i="65"/>
  <c r="X218" i="65"/>
  <c r="X219" i="65"/>
  <c r="X220" i="65"/>
  <c r="X221" i="65"/>
  <c r="X222" i="65"/>
  <c r="X223" i="65"/>
  <c r="X224" i="65"/>
  <c r="X225" i="65"/>
  <c r="X226" i="65"/>
  <c r="X227" i="65"/>
  <c r="X228" i="65"/>
  <c r="X229" i="65"/>
  <c r="X230" i="65"/>
  <c r="X231" i="65"/>
  <c r="X232" i="65"/>
  <c r="X233" i="65"/>
  <c r="X234" i="65"/>
  <c r="X235" i="65"/>
  <c r="X236" i="65"/>
  <c r="X237" i="65"/>
  <c r="X238" i="65"/>
  <c r="X239" i="65"/>
  <c r="X240" i="65"/>
  <c r="X241" i="65"/>
  <c r="X242" i="65"/>
  <c r="X243" i="65"/>
  <c r="X244" i="65"/>
  <c r="X245" i="65"/>
  <c r="X246" i="65"/>
  <c r="X247" i="65"/>
  <c r="X248" i="65"/>
  <c r="X249" i="65"/>
  <c r="X250" i="65"/>
  <c r="X251" i="65"/>
  <c r="X252" i="65"/>
  <c r="X253" i="65"/>
  <c r="X254" i="65"/>
  <c r="X255" i="65"/>
  <c r="X256" i="65"/>
  <c r="X257" i="65"/>
  <c r="X12" i="65"/>
  <c r="K1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c r="K40" i="64"/>
  <c r="K41" i="64"/>
  <c r="K42" i="64"/>
  <c r="K43" i="64"/>
  <c r="K44" i="64"/>
  <c r="K45" i="64"/>
  <c r="K46" i="64"/>
  <c r="K47" i="64"/>
  <c r="K48" i="64"/>
  <c r="K49" i="64"/>
  <c r="K50" i="64"/>
  <c r="K51" i="64"/>
  <c r="K52" i="64"/>
  <c r="K53" i="64"/>
  <c r="K54" i="64"/>
  <c r="K55" i="64"/>
  <c r="K56" i="64"/>
  <c r="K57" i="64"/>
  <c r="K58" i="64"/>
  <c r="K59" i="64"/>
  <c r="K60" i="64"/>
  <c r="K61" i="64"/>
  <c r="K62" i="64"/>
  <c r="K63" i="64"/>
  <c r="K64" i="64"/>
  <c r="K65" i="64"/>
  <c r="K66" i="64"/>
  <c r="K67" i="64"/>
  <c r="K68" i="64"/>
  <c r="K69" i="64"/>
  <c r="K70" i="64"/>
  <c r="K71" i="64"/>
  <c r="K72" i="64"/>
  <c r="K73" i="64"/>
  <c r="K74" i="64"/>
  <c r="K75" i="64"/>
  <c r="K76" i="64"/>
  <c r="K77" i="64"/>
  <c r="K78" i="64"/>
  <c r="K79" i="64"/>
  <c r="K80" i="64"/>
  <c r="K81" i="64"/>
  <c r="K82" i="64"/>
  <c r="K83" i="64"/>
  <c r="K84" i="64"/>
  <c r="K85" i="64"/>
  <c r="K86" i="64"/>
  <c r="K87" i="64"/>
  <c r="K88" i="64"/>
  <c r="K89" i="64"/>
  <c r="K90" i="64"/>
  <c r="K91" i="64"/>
  <c r="K92" i="64"/>
  <c r="K93" i="64"/>
  <c r="K94" i="64"/>
  <c r="K95" i="64"/>
  <c r="K96" i="64"/>
  <c r="K97" i="64"/>
  <c r="K98" i="64"/>
  <c r="K99" i="64"/>
  <c r="K100" i="64"/>
  <c r="K101" i="64"/>
  <c r="K102" i="64"/>
  <c r="K103" i="64"/>
  <c r="K104" i="64"/>
  <c r="K105" i="64"/>
  <c r="K106" i="64"/>
  <c r="K107" i="64"/>
  <c r="K108" i="64"/>
  <c r="K109" i="64"/>
  <c r="K110" i="64"/>
  <c r="K111" i="64"/>
  <c r="K112" i="64"/>
  <c r="K113" i="64"/>
  <c r="K114" i="64"/>
  <c r="K115" i="64"/>
  <c r="K116" i="64"/>
  <c r="K117" i="64"/>
  <c r="K118" i="64"/>
  <c r="K119" i="64"/>
  <c r="K120" i="64"/>
  <c r="K121" i="64"/>
  <c r="K122" i="64"/>
  <c r="K123" i="64"/>
  <c r="K124" i="64"/>
  <c r="K125" i="64"/>
  <c r="K126" i="64"/>
  <c r="K127" i="64"/>
  <c r="K128" i="64"/>
  <c r="K129" i="64"/>
  <c r="K130" i="64"/>
  <c r="K131" i="64"/>
  <c r="K132" i="64"/>
  <c r="K133" i="64"/>
  <c r="K134" i="64"/>
  <c r="K135" i="64"/>
  <c r="K136" i="64"/>
  <c r="K137" i="64"/>
  <c r="K138" i="64"/>
  <c r="K139" i="64"/>
  <c r="K140" i="64"/>
  <c r="K141" i="64"/>
  <c r="K142" i="64"/>
  <c r="K143" i="64"/>
  <c r="K144" i="64"/>
  <c r="K145" i="64"/>
  <c r="K146" i="64"/>
  <c r="K147" i="64"/>
  <c r="K148" i="64"/>
  <c r="K149" i="64"/>
  <c r="K150" i="64"/>
  <c r="K151" i="64"/>
  <c r="K152" i="64"/>
  <c r="K153" i="64"/>
  <c r="K154" i="64"/>
  <c r="K155" i="64"/>
  <c r="K156" i="64"/>
  <c r="K157" i="64"/>
  <c r="K158" i="64"/>
  <c r="K159" i="64"/>
  <c r="K160" i="64"/>
  <c r="K161" i="64"/>
  <c r="K162" i="64"/>
  <c r="K163" i="64"/>
  <c r="K164" i="64"/>
  <c r="K165" i="64"/>
  <c r="K166" i="64"/>
  <c r="K167" i="64"/>
  <c r="K168" i="64"/>
  <c r="K169" i="64"/>
  <c r="K170" i="64"/>
  <c r="K171" i="64"/>
  <c r="K172" i="64"/>
  <c r="K173" i="64"/>
  <c r="K174" i="64"/>
  <c r="K175" i="64"/>
  <c r="K176" i="64"/>
  <c r="K177" i="64"/>
  <c r="K178" i="64"/>
  <c r="K179" i="64"/>
  <c r="K180" i="64"/>
  <c r="K181" i="64"/>
  <c r="K182" i="64"/>
  <c r="K183" i="64"/>
  <c r="K184" i="64"/>
  <c r="K185" i="64"/>
  <c r="K186" i="64"/>
  <c r="K187" i="64"/>
  <c r="K188" i="64"/>
  <c r="K189" i="64"/>
  <c r="K190" i="64"/>
  <c r="K191" i="64"/>
  <c r="K192" i="64"/>
  <c r="K193" i="64"/>
  <c r="K194" i="64"/>
  <c r="K195" i="64"/>
  <c r="K196" i="64"/>
  <c r="K197" i="64"/>
  <c r="K198" i="64"/>
  <c r="K199" i="64"/>
  <c r="K200" i="64"/>
  <c r="K201" i="64"/>
  <c r="K202" i="64"/>
  <c r="K203" i="64"/>
  <c r="K204" i="64"/>
  <c r="K205" i="64"/>
  <c r="K206" i="64"/>
  <c r="K207" i="64"/>
  <c r="K208" i="64"/>
  <c r="K209" i="64"/>
  <c r="K210" i="64"/>
  <c r="K211" i="64"/>
  <c r="K212" i="64"/>
  <c r="K213" i="64"/>
  <c r="K214" i="64"/>
  <c r="K215" i="64"/>
  <c r="K216" i="64"/>
  <c r="K217" i="64"/>
  <c r="K218" i="64"/>
  <c r="K219" i="64"/>
  <c r="K220" i="64"/>
  <c r="K221" i="64"/>
  <c r="K222" i="64"/>
  <c r="K223" i="64"/>
  <c r="K224" i="64"/>
  <c r="K225" i="64"/>
  <c r="K226" i="64"/>
  <c r="K227" i="64"/>
  <c r="K228" i="64"/>
  <c r="K229" i="64"/>
  <c r="K230" i="64"/>
  <c r="K231" i="64"/>
  <c r="K232" i="64"/>
  <c r="K233" i="64"/>
  <c r="K234" i="64"/>
  <c r="K235" i="64"/>
  <c r="K236" i="64"/>
  <c r="K237" i="64"/>
  <c r="K238" i="64"/>
  <c r="K239" i="64"/>
  <c r="K240" i="64"/>
  <c r="K241" i="64"/>
  <c r="K242" i="64"/>
  <c r="K243" i="64"/>
  <c r="K244" i="64"/>
  <c r="K245" i="64"/>
  <c r="K246" i="64"/>
  <c r="K247" i="64"/>
  <c r="K248" i="64"/>
  <c r="K249" i="64"/>
  <c r="K250" i="64"/>
  <c r="K251" i="64"/>
  <c r="K252" i="64"/>
  <c r="K253" i="64"/>
  <c r="K254" i="64"/>
  <c r="K255" i="64"/>
  <c r="K256" i="64"/>
  <c r="K257" i="64"/>
  <c r="K258" i="64"/>
  <c r="K259" i="64"/>
  <c r="K12" i="64"/>
  <c r="L11" i="63"/>
  <c r="L12" i="63"/>
  <c r="L13" i="63"/>
  <c r="L14" i="63"/>
  <c r="L15" i="63"/>
  <c r="L16" i="63"/>
  <c r="L17" i="63"/>
  <c r="L18" i="63"/>
  <c r="L19" i="63"/>
  <c r="L20" i="63"/>
  <c r="L21" i="63"/>
  <c r="L22" i="63"/>
  <c r="L23" i="63"/>
  <c r="L24" i="63"/>
  <c r="L25" i="63"/>
  <c r="L26" i="63"/>
  <c r="L27" i="63"/>
  <c r="L28" i="63"/>
  <c r="L29" i="63"/>
  <c r="L30" i="63"/>
  <c r="L31" i="63"/>
  <c r="L32" i="63"/>
  <c r="L33" i="63"/>
  <c r="L34" i="63"/>
  <c r="L35" i="63"/>
  <c r="L36" i="63"/>
  <c r="L37" i="63"/>
  <c r="L38" i="63"/>
  <c r="L39" i="63"/>
  <c r="L40" i="63"/>
  <c r="L41" i="63"/>
  <c r="L42" i="63"/>
  <c r="L43" i="63"/>
  <c r="L44" i="63"/>
  <c r="L45" i="63"/>
  <c r="L46" i="63"/>
  <c r="L47" i="63"/>
  <c r="L48" i="63"/>
  <c r="L49" i="63"/>
  <c r="L50" i="63"/>
  <c r="L51" i="63"/>
  <c r="L52" i="63"/>
  <c r="L53" i="63"/>
  <c r="L54" i="63"/>
  <c r="L55" i="63"/>
  <c r="L56" i="63"/>
  <c r="L57" i="63"/>
  <c r="L58" i="63"/>
  <c r="L59" i="63"/>
  <c r="L60" i="63"/>
  <c r="L61" i="63"/>
  <c r="L62" i="63"/>
  <c r="L63" i="63"/>
  <c r="L64" i="63"/>
  <c r="L65" i="63"/>
  <c r="L66" i="63"/>
  <c r="L67" i="63"/>
  <c r="L68" i="63"/>
  <c r="L69" i="63"/>
  <c r="L70" i="63"/>
  <c r="L71" i="63"/>
  <c r="L72" i="63"/>
  <c r="L73" i="63"/>
  <c r="L74" i="63"/>
  <c r="L75" i="63"/>
  <c r="L76" i="63"/>
  <c r="L77" i="63"/>
  <c r="L78" i="63"/>
  <c r="L79" i="63"/>
  <c r="L80" i="63"/>
  <c r="L81" i="63"/>
  <c r="L82" i="63"/>
  <c r="L83" i="63"/>
  <c r="L84" i="63"/>
  <c r="L85" i="63"/>
  <c r="L86" i="63"/>
  <c r="L87" i="63"/>
  <c r="L88" i="63"/>
  <c r="L89" i="63"/>
  <c r="L90" i="63"/>
  <c r="L91" i="63"/>
  <c r="L92" i="63"/>
  <c r="L93" i="63"/>
  <c r="L94" i="63"/>
  <c r="L95" i="63"/>
  <c r="L96" i="63"/>
  <c r="L97" i="63"/>
  <c r="L98" i="63"/>
  <c r="L99" i="63"/>
  <c r="L100" i="63"/>
  <c r="L101" i="63"/>
  <c r="L102" i="63"/>
  <c r="L103" i="63"/>
  <c r="L104" i="63"/>
  <c r="L105" i="63"/>
  <c r="L106" i="63"/>
  <c r="L107" i="63"/>
  <c r="L108" i="63"/>
  <c r="L109" i="63"/>
  <c r="L110" i="63"/>
  <c r="L111" i="63"/>
  <c r="L112" i="63"/>
  <c r="L113" i="63"/>
  <c r="L114" i="63"/>
  <c r="L115" i="63"/>
  <c r="L116" i="63"/>
  <c r="L117" i="63"/>
  <c r="L118" i="63"/>
  <c r="L119" i="63"/>
  <c r="L120" i="63"/>
  <c r="L121" i="63"/>
  <c r="L122" i="63"/>
  <c r="L123" i="63"/>
  <c r="L124" i="63"/>
  <c r="L125" i="63"/>
  <c r="L126" i="63"/>
  <c r="L127" i="63"/>
  <c r="L128" i="63"/>
  <c r="L129" i="63"/>
  <c r="L130" i="63"/>
  <c r="L131" i="63"/>
  <c r="L132" i="63"/>
  <c r="L133" i="63"/>
  <c r="L134" i="63"/>
  <c r="L135" i="63"/>
  <c r="L136" i="63"/>
  <c r="L137" i="63"/>
  <c r="L138" i="63"/>
  <c r="L139" i="63"/>
  <c r="L140" i="63"/>
  <c r="L141" i="63"/>
  <c r="L142" i="63"/>
  <c r="L143" i="63"/>
  <c r="L144" i="63"/>
  <c r="L145" i="63"/>
  <c r="L146" i="63"/>
  <c r="L147" i="63"/>
  <c r="L148" i="63"/>
  <c r="L149" i="63"/>
  <c r="L150" i="63"/>
  <c r="L151" i="63"/>
  <c r="L152" i="63"/>
  <c r="L153" i="63"/>
  <c r="L154" i="63"/>
  <c r="L155" i="63"/>
  <c r="L156" i="63"/>
  <c r="L157" i="63"/>
  <c r="L158" i="63"/>
  <c r="L159" i="63"/>
  <c r="L160" i="63"/>
  <c r="L161" i="63"/>
  <c r="L162" i="63"/>
  <c r="L163" i="63"/>
  <c r="L164" i="63"/>
  <c r="L165" i="63"/>
  <c r="L166" i="63"/>
  <c r="L167" i="63"/>
  <c r="L168" i="63"/>
  <c r="L169" i="63"/>
  <c r="L170" i="63"/>
  <c r="L171" i="63"/>
  <c r="L172" i="63"/>
  <c r="L173" i="63"/>
  <c r="L174" i="63"/>
  <c r="L175" i="63"/>
  <c r="L176" i="63"/>
  <c r="L177" i="63"/>
  <c r="L178" i="63"/>
  <c r="L179" i="63"/>
  <c r="L180" i="63"/>
  <c r="L181" i="63"/>
  <c r="L182" i="63"/>
  <c r="L183" i="63"/>
  <c r="L184" i="63"/>
  <c r="L185" i="63"/>
  <c r="L186" i="63"/>
  <c r="L187" i="63"/>
  <c r="L188" i="63"/>
  <c r="L189" i="63"/>
  <c r="L190" i="63"/>
  <c r="L191" i="63"/>
  <c r="L192" i="63"/>
  <c r="L193" i="63"/>
  <c r="L194" i="63"/>
  <c r="L195" i="63"/>
  <c r="L196" i="63"/>
  <c r="L197" i="63"/>
  <c r="L198" i="63"/>
  <c r="L199" i="63"/>
  <c r="L200" i="63"/>
  <c r="L201" i="63"/>
  <c r="L202" i="63"/>
  <c r="L203" i="63"/>
  <c r="L204" i="63"/>
  <c r="L205" i="63"/>
  <c r="L206" i="63"/>
  <c r="L207" i="63"/>
  <c r="L208" i="63"/>
  <c r="L209" i="63"/>
  <c r="L210" i="63"/>
  <c r="L211" i="63"/>
  <c r="L212" i="63"/>
  <c r="L213" i="63"/>
  <c r="L214" i="63"/>
  <c r="L215" i="63"/>
  <c r="L216" i="63"/>
  <c r="L217" i="63"/>
  <c r="L218" i="63"/>
  <c r="L219" i="63"/>
  <c r="L220" i="63"/>
  <c r="L221" i="63"/>
  <c r="L222" i="63"/>
  <c r="L223" i="63"/>
  <c r="L224" i="63"/>
  <c r="L225" i="63"/>
  <c r="L226" i="63"/>
  <c r="L227" i="63"/>
  <c r="L228" i="63"/>
  <c r="L229" i="63"/>
  <c r="L230" i="63"/>
  <c r="L231" i="63"/>
  <c r="L232" i="63"/>
  <c r="L233" i="63"/>
  <c r="L234" i="63"/>
  <c r="L235" i="63"/>
  <c r="L236" i="63"/>
  <c r="L237" i="63"/>
  <c r="L238" i="63"/>
  <c r="L239" i="63"/>
  <c r="L240" i="63"/>
  <c r="L241" i="63"/>
  <c r="L242" i="63"/>
  <c r="L243" i="63"/>
  <c r="L244" i="63"/>
  <c r="L245" i="63"/>
  <c r="L246" i="63"/>
  <c r="L247" i="63"/>
  <c r="L248" i="63"/>
  <c r="L249" i="63"/>
  <c r="L250" i="63"/>
  <c r="L251" i="63"/>
  <c r="L252" i="63"/>
  <c r="L253" i="63"/>
  <c r="L254" i="63"/>
  <c r="L255" i="63"/>
  <c r="L256" i="63"/>
  <c r="L257" i="63"/>
  <c r="L10" i="63"/>
  <c r="I11" i="63"/>
  <c r="I12" i="63"/>
  <c r="I13" i="63"/>
  <c r="I14" i="63"/>
  <c r="I15" i="63"/>
  <c r="I16" i="63"/>
  <c r="I17" i="63"/>
  <c r="I18" i="63"/>
  <c r="I19" i="63"/>
  <c r="I20" i="63"/>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I54" i="63"/>
  <c r="I55" i="63"/>
  <c r="I56" i="63"/>
  <c r="I57" i="63"/>
  <c r="I58" i="63"/>
  <c r="I59" i="63"/>
  <c r="I60" i="63"/>
  <c r="I61" i="63"/>
  <c r="I62" i="63"/>
  <c r="I63" i="63"/>
  <c r="I64" i="63"/>
  <c r="I65" i="63"/>
  <c r="I66" i="63"/>
  <c r="I67" i="63"/>
  <c r="I68" i="63"/>
  <c r="I69" i="63"/>
  <c r="I70" i="63"/>
  <c r="I71" i="63"/>
  <c r="I72" i="63"/>
  <c r="I73" i="63"/>
  <c r="I74" i="63"/>
  <c r="I75" i="63"/>
  <c r="I76" i="63"/>
  <c r="I77" i="63"/>
  <c r="I78" i="63"/>
  <c r="I79" i="63"/>
  <c r="I80" i="63"/>
  <c r="I81" i="63"/>
  <c r="I82" i="63"/>
  <c r="I83" i="63"/>
  <c r="I84" i="63"/>
  <c r="I85" i="63"/>
  <c r="I86" i="63"/>
  <c r="I87" i="63"/>
  <c r="I88" i="63"/>
  <c r="I89" i="63"/>
  <c r="I90" i="63"/>
  <c r="I91" i="63"/>
  <c r="I92" i="63"/>
  <c r="I93" i="63"/>
  <c r="I94" i="63"/>
  <c r="I95" i="63"/>
  <c r="I96" i="63"/>
  <c r="I97" i="63"/>
  <c r="I98" i="63"/>
  <c r="I99" i="63"/>
  <c r="I100" i="63"/>
  <c r="I101" i="63"/>
  <c r="I102" i="63"/>
  <c r="I103" i="63"/>
  <c r="I104" i="63"/>
  <c r="I105" i="63"/>
  <c r="I106" i="63"/>
  <c r="I107" i="63"/>
  <c r="I108" i="63"/>
  <c r="I109" i="63"/>
  <c r="I110" i="63"/>
  <c r="I111" i="63"/>
  <c r="I112" i="63"/>
  <c r="I113" i="63"/>
  <c r="I114" i="63"/>
  <c r="I115" i="63"/>
  <c r="I116" i="63"/>
  <c r="I117" i="63"/>
  <c r="I118" i="63"/>
  <c r="I119" i="63"/>
  <c r="I120" i="63"/>
  <c r="I121" i="63"/>
  <c r="I122" i="63"/>
  <c r="I123" i="63"/>
  <c r="I124" i="63"/>
  <c r="I125" i="63"/>
  <c r="I126" i="63"/>
  <c r="I127" i="63"/>
  <c r="I128" i="63"/>
  <c r="I129" i="63"/>
  <c r="I130" i="63"/>
  <c r="I131" i="63"/>
  <c r="I132" i="63"/>
  <c r="I133" i="63"/>
  <c r="I134" i="63"/>
  <c r="I135" i="63"/>
  <c r="I136" i="63"/>
  <c r="I137" i="63"/>
  <c r="I138" i="63"/>
  <c r="I139" i="63"/>
  <c r="I140" i="63"/>
  <c r="I141" i="63"/>
  <c r="I142" i="63"/>
  <c r="I143" i="63"/>
  <c r="I144" i="63"/>
  <c r="I145" i="63"/>
  <c r="I146" i="63"/>
  <c r="I147" i="63"/>
  <c r="I148" i="63"/>
  <c r="I149" i="63"/>
  <c r="I150" i="63"/>
  <c r="I151" i="63"/>
  <c r="I152" i="63"/>
  <c r="I153" i="63"/>
  <c r="I154" i="63"/>
  <c r="I155" i="63"/>
  <c r="I156" i="63"/>
  <c r="I157" i="63"/>
  <c r="I158" i="63"/>
  <c r="I159" i="63"/>
  <c r="I160" i="63"/>
  <c r="I161" i="63"/>
  <c r="I162" i="63"/>
  <c r="I163" i="63"/>
  <c r="I164" i="63"/>
  <c r="I165" i="63"/>
  <c r="I166" i="63"/>
  <c r="I167" i="63"/>
  <c r="I168" i="63"/>
  <c r="I169" i="63"/>
  <c r="I170" i="63"/>
  <c r="I171" i="63"/>
  <c r="I172" i="63"/>
  <c r="I173" i="63"/>
  <c r="I174" i="63"/>
  <c r="I175" i="63"/>
  <c r="I176" i="63"/>
  <c r="I177" i="63"/>
  <c r="I178" i="63"/>
  <c r="I179" i="63"/>
  <c r="I180" i="63"/>
  <c r="I181" i="63"/>
  <c r="I182" i="63"/>
  <c r="I183" i="63"/>
  <c r="I184" i="63"/>
  <c r="I185" i="63"/>
  <c r="I186" i="63"/>
  <c r="I187" i="63"/>
  <c r="I188" i="63"/>
  <c r="I189" i="63"/>
  <c r="I190" i="63"/>
  <c r="I191" i="63"/>
  <c r="I192" i="63"/>
  <c r="I193" i="63"/>
  <c r="I194" i="63"/>
  <c r="I195" i="63"/>
  <c r="I196" i="63"/>
  <c r="I197" i="63"/>
  <c r="I198" i="63"/>
  <c r="I199" i="63"/>
  <c r="I200" i="63"/>
  <c r="I201" i="63"/>
  <c r="I202" i="63"/>
  <c r="I203" i="63"/>
  <c r="I204" i="63"/>
  <c r="I205" i="63"/>
  <c r="I206" i="63"/>
  <c r="I207" i="63"/>
  <c r="I208" i="63"/>
  <c r="I209" i="63"/>
  <c r="I210" i="63"/>
  <c r="I211" i="63"/>
  <c r="I212" i="63"/>
  <c r="I213" i="63"/>
  <c r="I214" i="63"/>
  <c r="I215" i="63"/>
  <c r="I216" i="63"/>
  <c r="I217" i="63"/>
  <c r="I218" i="63"/>
  <c r="I219" i="63"/>
  <c r="I220" i="63"/>
  <c r="I221" i="63"/>
  <c r="I222" i="63"/>
  <c r="I223" i="63"/>
  <c r="I224" i="63"/>
  <c r="I225" i="63"/>
  <c r="I226" i="63"/>
  <c r="I227" i="63"/>
  <c r="I228" i="63"/>
  <c r="I229" i="63"/>
  <c r="I230" i="63"/>
  <c r="I231" i="63"/>
  <c r="I232" i="63"/>
  <c r="I233" i="63"/>
  <c r="I234" i="63"/>
  <c r="I235" i="63"/>
  <c r="I236" i="63"/>
  <c r="I237" i="63"/>
  <c r="I238" i="63"/>
  <c r="I239" i="63"/>
  <c r="I240" i="63"/>
  <c r="I241" i="63"/>
  <c r="I242" i="63"/>
  <c r="I243" i="63"/>
  <c r="I244" i="63"/>
  <c r="I245" i="63"/>
  <c r="I246" i="63"/>
  <c r="I247" i="63"/>
  <c r="I248" i="63"/>
  <c r="I249" i="63"/>
  <c r="I250" i="63"/>
  <c r="I251" i="63"/>
  <c r="I252" i="63"/>
  <c r="I253" i="63"/>
  <c r="I254" i="63"/>
  <c r="I255" i="63"/>
  <c r="I256" i="63"/>
  <c r="I257" i="63"/>
  <c r="AX29" i="108" l="1"/>
  <c r="AZ29" i="108" s="1"/>
  <c r="AX63" i="108"/>
  <c r="AZ63" i="108" s="1"/>
  <c r="AT64" i="108"/>
  <c r="BE64" i="108"/>
  <c r="AR64" i="108"/>
  <c r="BF64" i="108"/>
  <c r="AP64" i="108"/>
  <c r="BG64" i="108"/>
  <c r="AJ64" i="108"/>
  <c r="BK64" i="108"/>
  <c r="BK30" i="108"/>
  <c r="AP30" i="108"/>
  <c r="BE30" i="108"/>
  <c r="BG30" i="108"/>
  <c r="BF30" i="108"/>
  <c r="AJ30" i="108"/>
  <c r="AR30" i="108"/>
  <c r="AG31" i="108" a="1"/>
  <c r="AG31" i="108" s="1"/>
  <c r="BL31" i="108" s="1"/>
  <c r="AT30" i="108"/>
  <c r="E30" i="108"/>
  <c r="S29" i="108"/>
  <c r="U29" i="108" s="1"/>
  <c r="B31" i="108" a="1"/>
  <c r="B31" i="108" s="1"/>
  <c r="BM31" i="108" s="1"/>
  <c r="M30" i="108"/>
  <c r="K30" i="108"/>
  <c r="O30" i="108"/>
  <c r="AX64" i="108" l="1"/>
  <c r="AZ64" i="108" s="1"/>
  <c r="AX30" i="108"/>
  <c r="AZ30" i="108" s="1"/>
  <c r="AT31" i="108"/>
  <c r="AR31" i="108"/>
  <c r="BF31" i="108"/>
  <c r="AP31" i="108"/>
  <c r="AJ31" i="108"/>
  <c r="BK31" i="108"/>
  <c r="BE31" i="108"/>
  <c r="BG31" i="108"/>
  <c r="E31" i="108"/>
  <c r="S30" i="108"/>
  <c r="U30" i="108" s="1"/>
  <c r="M31" i="108"/>
  <c r="O31" i="108"/>
  <c r="K31" i="108"/>
  <c r="AX31" i="108" l="1"/>
  <c r="AZ31" i="108" s="1"/>
  <c r="S31" i="108"/>
  <c r="U31" i="108" s="1"/>
  <c r="B2" i="65"/>
  <c r="B2" i="64"/>
  <c r="B2" i="63"/>
  <c r="B2" i="53"/>
  <c r="B2" i="42"/>
  <c r="B2" i="52"/>
  <c r="E2" i="32"/>
  <c r="D2" i="46"/>
  <c r="D2" i="11"/>
  <c r="S2" i="65" a="1"/>
  <c r="S2" i="65" s="1"/>
  <c r="V5" i="64" a="1"/>
  <c r="V5" i="64" s="1"/>
  <c r="L2" i="63" a="1"/>
  <c r="L2" i="63" s="1"/>
  <c r="S2" i="46" l="1" a="1"/>
  <c r="S2" i="46" s="1"/>
  <c r="V2" i="32" a="1"/>
  <c r="V2" i="32" s="1"/>
  <c r="U22" i="64" l="1"/>
  <c r="U23" i="64"/>
  <c r="U24" i="64"/>
  <c r="U25" i="64"/>
  <c r="U26" i="64"/>
  <c r="U27" i="64"/>
  <c r="U28" i="64"/>
  <c r="U29" i="64"/>
  <c r="U30" i="64"/>
  <c r="U31" i="64"/>
  <c r="U32" i="64"/>
  <c r="U33" i="64"/>
  <c r="U34" i="64"/>
  <c r="U35" i="64"/>
  <c r="U36" i="64"/>
  <c r="U37" i="64"/>
  <c r="U38" i="64"/>
  <c r="U39" i="64"/>
  <c r="U40" i="64"/>
  <c r="U41" i="64"/>
  <c r="U42" i="64"/>
  <c r="U43" i="64"/>
  <c r="U44" i="64"/>
  <c r="U45" i="64"/>
  <c r="U46" i="64"/>
  <c r="U47" i="64"/>
  <c r="U48" i="64"/>
  <c r="U49" i="64"/>
  <c r="U50" i="64"/>
  <c r="U51" i="64"/>
  <c r="U52" i="64"/>
  <c r="U53" i="64"/>
  <c r="U54" i="64"/>
  <c r="U55" i="64"/>
  <c r="U56" i="64"/>
  <c r="U57" i="64"/>
  <c r="U58" i="64"/>
  <c r="U59" i="64"/>
  <c r="U60" i="64"/>
  <c r="U61" i="64"/>
  <c r="U62" i="64"/>
  <c r="U63" i="64"/>
  <c r="U64" i="64"/>
  <c r="U65" i="64"/>
  <c r="U66" i="64"/>
  <c r="U67" i="64"/>
  <c r="U68" i="64"/>
  <c r="U69" i="64"/>
  <c r="U70" i="64"/>
  <c r="U71" i="64"/>
  <c r="U72" i="64"/>
  <c r="U73" i="64"/>
  <c r="U74" i="64"/>
  <c r="U75" i="64"/>
  <c r="U76" i="64"/>
  <c r="U77" i="64"/>
  <c r="U78" i="64"/>
  <c r="U79" i="64"/>
  <c r="U80" i="64"/>
  <c r="U81" i="64"/>
  <c r="U82" i="64"/>
  <c r="U83" i="64"/>
  <c r="U84" i="64"/>
  <c r="U85" i="64"/>
  <c r="U86" i="64"/>
  <c r="U87" i="64"/>
  <c r="U88" i="64"/>
  <c r="U89" i="64"/>
  <c r="U90" i="64"/>
  <c r="U91" i="64"/>
  <c r="U92" i="64"/>
  <c r="U93" i="64"/>
  <c r="U94" i="64"/>
  <c r="U95" i="64"/>
  <c r="U96" i="64"/>
  <c r="U97" i="64"/>
  <c r="U98" i="64"/>
  <c r="U99" i="64"/>
  <c r="U100" i="64"/>
  <c r="U101" i="64"/>
  <c r="U102" i="64"/>
  <c r="U103" i="64"/>
  <c r="U104" i="64"/>
  <c r="U105" i="64"/>
  <c r="U106" i="64"/>
  <c r="U107" i="64"/>
  <c r="U108" i="64"/>
  <c r="U109" i="64"/>
  <c r="U110" i="64"/>
  <c r="U111" i="64"/>
  <c r="U112" i="64"/>
  <c r="U113" i="64"/>
  <c r="U114" i="64"/>
  <c r="U115" i="64"/>
  <c r="U116" i="64"/>
  <c r="U117" i="64"/>
  <c r="U118" i="64"/>
  <c r="U119" i="64"/>
  <c r="U120" i="64"/>
  <c r="U121" i="64"/>
  <c r="U122" i="64"/>
  <c r="U123" i="64"/>
  <c r="U124" i="64"/>
  <c r="U125" i="64"/>
  <c r="U126" i="64"/>
  <c r="U127" i="64"/>
  <c r="U128" i="64"/>
  <c r="U129" i="64"/>
  <c r="U130" i="64"/>
  <c r="U131" i="64"/>
  <c r="U132" i="64"/>
  <c r="U133" i="64"/>
  <c r="U134" i="64"/>
  <c r="U135" i="64"/>
  <c r="U136" i="64"/>
  <c r="U137" i="64"/>
  <c r="U138" i="64"/>
  <c r="U139" i="64"/>
  <c r="U140" i="64"/>
  <c r="U141" i="64"/>
  <c r="U142" i="64"/>
  <c r="U143" i="64"/>
  <c r="U144" i="64"/>
  <c r="U145" i="64"/>
  <c r="U146" i="64"/>
  <c r="U147" i="64"/>
  <c r="U148" i="64"/>
  <c r="U149" i="64"/>
  <c r="U150" i="64"/>
  <c r="U151" i="64"/>
  <c r="U152" i="64"/>
  <c r="U153" i="64"/>
  <c r="U154" i="64"/>
  <c r="U155" i="64"/>
  <c r="U156" i="64"/>
  <c r="U157" i="64"/>
  <c r="U158" i="64"/>
  <c r="U159" i="64"/>
  <c r="U160" i="64"/>
  <c r="U161" i="64"/>
  <c r="U162" i="64"/>
  <c r="U163" i="64"/>
  <c r="U164" i="64"/>
  <c r="U165" i="64"/>
  <c r="U166" i="64"/>
  <c r="U167" i="64"/>
  <c r="U168" i="64"/>
  <c r="U169" i="64"/>
  <c r="U170" i="64"/>
  <c r="U171" i="64"/>
  <c r="U172" i="64"/>
  <c r="U173" i="64"/>
  <c r="U174" i="64"/>
  <c r="U175" i="64"/>
  <c r="U176" i="64"/>
  <c r="U177" i="64"/>
  <c r="U178" i="64"/>
  <c r="U179" i="64"/>
  <c r="U180" i="64"/>
  <c r="U181" i="64"/>
  <c r="U182" i="64"/>
  <c r="U183" i="64"/>
  <c r="U184" i="64"/>
  <c r="U185" i="64"/>
  <c r="U186" i="64"/>
  <c r="U187" i="64"/>
  <c r="U188" i="64"/>
  <c r="U189" i="64"/>
  <c r="U190" i="64"/>
  <c r="U191" i="64"/>
  <c r="U192" i="64"/>
  <c r="U193" i="64"/>
  <c r="U194" i="64"/>
  <c r="U195" i="64"/>
  <c r="U196" i="64"/>
  <c r="U197" i="64"/>
  <c r="U198" i="64"/>
  <c r="U199" i="64"/>
  <c r="U200" i="64"/>
  <c r="U201" i="64"/>
  <c r="U202" i="64"/>
  <c r="U203" i="64"/>
  <c r="U204" i="64"/>
  <c r="U205" i="64"/>
  <c r="U206" i="64"/>
  <c r="U207" i="64"/>
  <c r="U208" i="64"/>
  <c r="U209" i="64"/>
  <c r="U210" i="64"/>
  <c r="U211" i="64"/>
  <c r="U212" i="64"/>
  <c r="U213" i="64"/>
  <c r="U214" i="64"/>
  <c r="U215" i="64"/>
  <c r="U216" i="64"/>
  <c r="U217" i="64"/>
  <c r="U218" i="64"/>
  <c r="U219" i="64"/>
  <c r="U220" i="64"/>
  <c r="U221" i="64"/>
  <c r="U222" i="64"/>
  <c r="U223" i="64"/>
  <c r="U224" i="64"/>
  <c r="U225" i="64"/>
  <c r="U226" i="64"/>
  <c r="U227" i="64"/>
  <c r="U228" i="64"/>
  <c r="U229" i="64"/>
  <c r="U230" i="64"/>
  <c r="U231" i="64"/>
  <c r="U232" i="64"/>
  <c r="U233" i="64"/>
  <c r="U234" i="64"/>
  <c r="U235" i="64"/>
  <c r="U236" i="64"/>
  <c r="U237" i="64"/>
  <c r="U238" i="64"/>
  <c r="U239" i="64"/>
  <c r="U240" i="64"/>
  <c r="U241" i="64"/>
  <c r="U242" i="64"/>
  <c r="U243" i="64"/>
  <c r="U244" i="64"/>
  <c r="U245" i="64"/>
  <c r="U246" i="64"/>
  <c r="U247" i="64"/>
  <c r="U248" i="64"/>
  <c r="U249" i="64"/>
  <c r="U250" i="64"/>
  <c r="U251" i="64"/>
  <c r="U252" i="64"/>
  <c r="U253" i="64"/>
  <c r="U254" i="64"/>
  <c r="U255" i="64"/>
  <c r="U256" i="64"/>
  <c r="U257" i="64"/>
  <c r="U258" i="64"/>
  <c r="U259" i="64"/>
  <c r="BM43" i="108" l="1"/>
  <c r="M12" i="42"/>
  <c r="E44" i="108" l="1"/>
  <c r="M44" i="108"/>
  <c r="K44" i="108"/>
  <c r="AB44" i="108"/>
  <c r="AB48" i="108"/>
  <c r="AB52" i="108"/>
  <c r="AB56" i="108"/>
  <c r="AB60" i="108"/>
  <c r="AB64" i="108"/>
  <c r="AB54" i="108"/>
  <c r="AB58" i="108"/>
  <c r="AB47" i="108"/>
  <c r="AB55" i="108"/>
  <c r="AB63" i="108"/>
  <c r="AB45" i="108"/>
  <c r="AB49" i="108"/>
  <c r="AB53" i="108"/>
  <c r="AB57" i="108"/>
  <c r="AB61" i="108"/>
  <c r="AB46" i="108"/>
  <c r="AB50" i="108"/>
  <c r="AB62" i="108"/>
  <c r="AB51" i="108"/>
  <c r="AB59" i="108"/>
  <c r="AA44" i="108"/>
  <c r="AA48" i="108"/>
  <c r="AA52" i="108"/>
  <c r="AA56" i="108"/>
  <c r="AA60" i="108"/>
  <c r="AA64" i="108"/>
  <c r="AA45" i="108"/>
  <c r="AA49" i="108"/>
  <c r="AA53" i="108"/>
  <c r="AA57" i="108"/>
  <c r="AA61" i="108"/>
  <c r="AA46" i="108"/>
  <c r="AA50" i="108"/>
  <c r="AA54" i="108"/>
  <c r="AA58" i="108"/>
  <c r="AA62" i="108"/>
  <c r="AA47" i="108"/>
  <c r="AA51" i="108"/>
  <c r="AA55" i="108"/>
  <c r="AA59" i="108"/>
  <c r="AA63" i="108"/>
  <c r="Z44" i="108"/>
  <c r="Z48" i="108"/>
  <c r="Z52" i="108"/>
  <c r="Z56" i="108"/>
  <c r="Z60" i="108"/>
  <c r="Z64" i="108"/>
  <c r="Z55" i="108"/>
  <c r="Z45" i="108"/>
  <c r="Z49" i="108"/>
  <c r="Z53" i="108"/>
  <c r="Z57" i="108"/>
  <c r="Z61" i="108"/>
  <c r="Z51" i="108"/>
  <c r="Z63" i="108"/>
  <c r="Z46" i="108"/>
  <c r="Z50" i="108"/>
  <c r="Z54" i="108"/>
  <c r="Z58" i="108"/>
  <c r="Z62" i="108"/>
  <c r="Z47" i="108"/>
  <c r="Z59" i="108"/>
  <c r="AB43" i="108"/>
  <c r="Z43" i="108"/>
  <c r="AA43" i="108"/>
  <c r="O43" i="108"/>
  <c r="M43" i="108"/>
  <c r="K43" i="108"/>
  <c r="E43" i="108"/>
  <c r="X256" i="46"/>
  <c r="X255" i="46"/>
  <c r="X254" i="46"/>
  <c r="X253" i="46"/>
  <c r="X252" i="46"/>
  <c r="X251" i="46"/>
  <c r="X250" i="46"/>
  <c r="X249" i="46"/>
  <c r="X248" i="46"/>
  <c r="X247" i="46"/>
  <c r="X246" i="46"/>
  <c r="X245" i="46"/>
  <c r="X244" i="46"/>
  <c r="X243" i="46"/>
  <c r="X242" i="46"/>
  <c r="X241" i="46"/>
  <c r="X240" i="46"/>
  <c r="X239" i="46"/>
  <c r="X238" i="46"/>
  <c r="X237" i="46"/>
  <c r="X236" i="46"/>
  <c r="X235" i="46"/>
  <c r="X234" i="46"/>
  <c r="X233" i="46"/>
  <c r="X232" i="46"/>
  <c r="X231" i="46"/>
  <c r="X230" i="46"/>
  <c r="X229" i="46"/>
  <c r="X228" i="46"/>
  <c r="X227" i="46"/>
  <c r="X226" i="46"/>
  <c r="X225" i="46"/>
  <c r="X224" i="46"/>
  <c r="X223" i="46"/>
  <c r="X222" i="46"/>
  <c r="X221" i="46"/>
  <c r="X220" i="46"/>
  <c r="X219" i="46"/>
  <c r="X218" i="46"/>
  <c r="X217" i="46"/>
  <c r="X216" i="46"/>
  <c r="X215" i="46"/>
  <c r="X214" i="46"/>
  <c r="X213" i="46"/>
  <c r="X212" i="46"/>
  <c r="X211" i="46"/>
  <c r="X210" i="46"/>
  <c r="X209" i="46"/>
  <c r="X208" i="46"/>
  <c r="X207" i="46"/>
  <c r="X206" i="46"/>
  <c r="X205" i="46"/>
  <c r="X204" i="46"/>
  <c r="X203" i="46"/>
  <c r="X202" i="46"/>
  <c r="X201" i="46"/>
  <c r="X200" i="46"/>
  <c r="X199" i="46"/>
  <c r="X198" i="46"/>
  <c r="X197" i="46"/>
  <c r="X196" i="46"/>
  <c r="X195" i="46"/>
  <c r="X194" i="46"/>
  <c r="X193" i="46"/>
  <c r="X192" i="46"/>
  <c r="X191" i="46"/>
  <c r="X190" i="46"/>
  <c r="X189" i="46"/>
  <c r="X188" i="46"/>
  <c r="X187" i="46"/>
  <c r="X186" i="46"/>
  <c r="X185" i="46"/>
  <c r="X184" i="46"/>
  <c r="X183" i="46"/>
  <c r="X182" i="46"/>
  <c r="X181" i="46"/>
  <c r="X180" i="46"/>
  <c r="X179" i="46"/>
  <c r="X178" i="46"/>
  <c r="X177" i="46"/>
  <c r="X176" i="46"/>
  <c r="X175" i="46"/>
  <c r="X174" i="46"/>
  <c r="X172" i="46"/>
  <c r="X171" i="46"/>
  <c r="X170" i="46"/>
  <c r="X169" i="46"/>
  <c r="X168" i="46"/>
  <c r="X167" i="46"/>
  <c r="X166" i="46"/>
  <c r="X165" i="46"/>
  <c r="X164" i="46"/>
  <c r="X163" i="46"/>
  <c r="X162" i="46"/>
  <c r="X161" i="46"/>
  <c r="X160" i="46"/>
  <c r="X159" i="46"/>
  <c r="X158" i="46"/>
  <c r="X157" i="46"/>
  <c r="X156" i="46"/>
  <c r="X155" i="46"/>
  <c r="X154" i="46"/>
  <c r="X153" i="46"/>
  <c r="X152" i="46"/>
  <c r="X151" i="46"/>
  <c r="X150" i="46"/>
  <c r="X149" i="46"/>
  <c r="X148" i="46"/>
  <c r="X147" i="46"/>
  <c r="X146" i="46"/>
  <c r="X145" i="46"/>
  <c r="X144" i="46"/>
  <c r="X143" i="46"/>
  <c r="X142" i="46"/>
  <c r="X141" i="46"/>
  <c r="X140" i="46"/>
  <c r="X139" i="46"/>
  <c r="X138" i="46"/>
  <c r="X137" i="46"/>
  <c r="X136" i="46"/>
  <c r="X135" i="46"/>
  <c r="X134" i="46"/>
  <c r="X133" i="46"/>
  <c r="X132" i="46"/>
  <c r="X131" i="46"/>
  <c r="X130" i="46"/>
  <c r="X129" i="46"/>
  <c r="X128" i="46"/>
  <c r="X127" i="46"/>
  <c r="X126" i="46"/>
  <c r="X125" i="46"/>
  <c r="X124" i="46"/>
  <c r="X123" i="46"/>
  <c r="X122" i="46"/>
  <c r="X121" i="46"/>
  <c r="X120" i="46"/>
  <c r="X119" i="46"/>
  <c r="X118" i="46"/>
  <c r="X117" i="46"/>
  <c r="X116" i="46"/>
  <c r="X115" i="46"/>
  <c r="X114" i="46"/>
  <c r="X113" i="46"/>
  <c r="X112" i="46"/>
  <c r="X111" i="46"/>
  <c r="X110" i="46"/>
  <c r="X109" i="46"/>
  <c r="X108" i="46"/>
  <c r="X107" i="46"/>
  <c r="X106" i="46"/>
  <c r="X105" i="46"/>
  <c r="X104" i="46"/>
  <c r="X103" i="46"/>
  <c r="X102" i="46"/>
  <c r="X101" i="46"/>
  <c r="X100" i="46"/>
  <c r="X99" i="46"/>
  <c r="X98" i="46"/>
  <c r="X97" i="46"/>
  <c r="X96" i="46"/>
  <c r="X95" i="46"/>
  <c r="X94" i="46"/>
  <c r="X93" i="46"/>
  <c r="X92" i="46"/>
  <c r="X91" i="46"/>
  <c r="X90" i="46"/>
  <c r="X89" i="46"/>
  <c r="X88" i="46"/>
  <c r="X87" i="46"/>
  <c r="X86" i="46"/>
  <c r="X85" i="46"/>
  <c r="X84" i="46"/>
  <c r="X83" i="46"/>
  <c r="X82" i="46"/>
  <c r="X81" i="46"/>
  <c r="X80" i="46"/>
  <c r="X79" i="46"/>
  <c r="X78" i="46"/>
  <c r="X77" i="46"/>
  <c r="X76" i="46"/>
  <c r="X75" i="46"/>
  <c r="X74" i="46"/>
  <c r="X73" i="46"/>
  <c r="X72" i="46"/>
  <c r="X71" i="46"/>
  <c r="X70" i="46"/>
  <c r="X69" i="46"/>
  <c r="X68" i="46"/>
  <c r="X67" i="46"/>
  <c r="X66" i="46"/>
  <c r="X65" i="46"/>
  <c r="X64" i="46"/>
  <c r="X63" i="46"/>
  <c r="X62" i="46"/>
  <c r="X61" i="46"/>
  <c r="X60" i="46"/>
  <c r="X59" i="46"/>
  <c r="X58" i="46"/>
  <c r="X57" i="46"/>
  <c r="X56" i="46"/>
  <c r="X55" i="46"/>
  <c r="X54" i="46"/>
  <c r="X53" i="46"/>
  <c r="X52" i="46"/>
  <c r="X51" i="46"/>
  <c r="X50" i="46"/>
  <c r="X49" i="46"/>
  <c r="X48" i="46"/>
  <c r="X47" i="46"/>
  <c r="X46" i="46"/>
  <c r="X45" i="46"/>
  <c r="X44" i="46"/>
  <c r="X43" i="46"/>
  <c r="X42" i="46"/>
  <c r="X41" i="46"/>
  <c r="X40" i="46"/>
  <c r="X39" i="46"/>
  <c r="X37" i="46"/>
  <c r="X36" i="46"/>
  <c r="X35" i="46"/>
  <c r="X34" i="46"/>
  <c r="X33" i="46"/>
  <c r="X32" i="46"/>
  <c r="X31" i="46"/>
  <c r="X30" i="46"/>
  <c r="X29" i="46"/>
  <c r="X28" i="46"/>
  <c r="X27" i="46"/>
  <c r="X26" i="46"/>
  <c r="K66" i="108" l="1"/>
  <c r="J25" i="96" s="1"/>
  <c r="K65" i="108"/>
  <c r="S43" i="108"/>
  <c r="S22" i="64"/>
  <c r="S23" i="64"/>
  <c r="S24" i="64"/>
  <c r="S25" i="64"/>
  <c r="S26" i="64"/>
  <c r="S27" i="64"/>
  <c r="S28" i="64"/>
  <c r="S29" i="64"/>
  <c r="S30" i="64"/>
  <c r="S31" i="64"/>
  <c r="S32" i="64"/>
  <c r="S33" i="64"/>
  <c r="S34" i="64"/>
  <c r="S35" i="64"/>
  <c r="S36" i="64"/>
  <c r="S37" i="64"/>
  <c r="S38" i="64"/>
  <c r="S39" i="64"/>
  <c r="S40" i="64"/>
  <c r="S41" i="64"/>
  <c r="S42" i="64"/>
  <c r="S43" i="64"/>
  <c r="S45" i="64"/>
  <c r="S46" i="64"/>
  <c r="S47" i="64"/>
  <c r="S48" i="64"/>
  <c r="S49" i="64"/>
  <c r="S50" i="64"/>
  <c r="S51" i="64"/>
  <c r="S52" i="64"/>
  <c r="S53"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S167" i="64"/>
  <c r="S168" i="64"/>
  <c r="S169" i="64"/>
  <c r="S170" i="64"/>
  <c r="S171" i="64"/>
  <c r="S172" i="64"/>
  <c r="S173" i="64"/>
  <c r="S174" i="64"/>
  <c r="S175" i="64"/>
  <c r="S176" i="64"/>
  <c r="S177" i="64"/>
  <c r="S178" i="64"/>
  <c r="S179" i="64"/>
  <c r="S180" i="64"/>
  <c r="S181" i="64"/>
  <c r="S182" i="64"/>
  <c r="S183" i="64"/>
  <c r="S184" i="64"/>
  <c r="S185" i="64"/>
  <c r="S186" i="64"/>
  <c r="S187" i="64"/>
  <c r="S188" i="64"/>
  <c r="S189" i="64"/>
  <c r="S190" i="64"/>
  <c r="S191" i="64"/>
  <c r="S192" i="64"/>
  <c r="S193" i="64"/>
  <c r="S194" i="64"/>
  <c r="S195" i="64"/>
  <c r="S196" i="64"/>
  <c r="S197" i="64"/>
  <c r="S198" i="64"/>
  <c r="S199" i="64"/>
  <c r="S200" i="64"/>
  <c r="S201" i="64"/>
  <c r="S202" i="64"/>
  <c r="S203" i="64"/>
  <c r="S204" i="64"/>
  <c r="S205" i="64"/>
  <c r="S206" i="64"/>
  <c r="S207" i="64"/>
  <c r="S208" i="64"/>
  <c r="S209" i="64"/>
  <c r="S210" i="64"/>
  <c r="S211" i="64"/>
  <c r="S212" i="64"/>
  <c r="S213" i="64"/>
  <c r="S214" i="64"/>
  <c r="S215" i="64"/>
  <c r="S216" i="64"/>
  <c r="S217" i="64"/>
  <c r="S218" i="64"/>
  <c r="S219" i="64"/>
  <c r="S220" i="64"/>
  <c r="S221" i="64"/>
  <c r="S222" i="64"/>
  <c r="S223" i="64"/>
  <c r="S224" i="64"/>
  <c r="S225" i="64"/>
  <c r="S226" i="64"/>
  <c r="S227" i="64"/>
  <c r="S228" i="64"/>
  <c r="S229" i="64"/>
  <c r="S230" i="64"/>
  <c r="S231" i="64"/>
  <c r="S232" i="64"/>
  <c r="S233" i="64"/>
  <c r="S234" i="64"/>
  <c r="S235" i="64"/>
  <c r="S236" i="64"/>
  <c r="S237" i="64"/>
  <c r="S238" i="64"/>
  <c r="S239" i="64"/>
  <c r="S240" i="64"/>
  <c r="S241" i="64"/>
  <c r="S242" i="64"/>
  <c r="S243" i="64"/>
  <c r="S244" i="64"/>
  <c r="S245" i="64"/>
  <c r="S246" i="64"/>
  <c r="S247" i="64"/>
  <c r="S248" i="64"/>
  <c r="S249" i="64"/>
  <c r="S250" i="64"/>
  <c r="S251" i="64"/>
  <c r="S252" i="64"/>
  <c r="S253" i="64"/>
  <c r="S254" i="64"/>
  <c r="S255" i="64"/>
  <c r="S256" i="64"/>
  <c r="S257" i="64"/>
  <c r="S258" i="64"/>
  <c r="S259" i="64"/>
  <c r="W257" i="53"/>
  <c r="W14" i="53"/>
  <c r="W15" i="53"/>
  <c r="W16" i="53"/>
  <c r="W17" i="53"/>
  <c r="W18" i="53"/>
  <c r="W19" i="53"/>
  <c r="W20" i="53"/>
  <c r="W21" i="53"/>
  <c r="W22" i="53"/>
  <c r="W23" i="53"/>
  <c r="W24" i="53"/>
  <c r="W25" i="53"/>
  <c r="W26" i="53"/>
  <c r="W27" i="53"/>
  <c r="W28" i="53"/>
  <c r="W29" i="53"/>
  <c r="W30" i="53"/>
  <c r="W31" i="53"/>
  <c r="W32" i="53"/>
  <c r="W33" i="53"/>
  <c r="W34" i="53"/>
  <c r="W35" i="53"/>
  <c r="W36" i="53"/>
  <c r="W37" i="53"/>
  <c r="W38" i="53"/>
  <c r="W39" i="53"/>
  <c r="W40" i="53"/>
  <c r="W41" i="53"/>
  <c r="W42" i="53"/>
  <c r="W43" i="53"/>
  <c r="W44" i="53"/>
  <c r="W45" i="53"/>
  <c r="W46" i="53"/>
  <c r="W47" i="53"/>
  <c r="W48" i="53"/>
  <c r="W49" i="53"/>
  <c r="W50" i="53"/>
  <c r="W51" i="53"/>
  <c r="W52" i="53"/>
  <c r="W53" i="53"/>
  <c r="W54" i="53"/>
  <c r="W55" i="53"/>
  <c r="W56" i="53"/>
  <c r="W57" i="53"/>
  <c r="W58" i="53"/>
  <c r="W59" i="53"/>
  <c r="W60" i="53"/>
  <c r="W61" i="53"/>
  <c r="W62" i="53"/>
  <c r="W63" i="53"/>
  <c r="W64" i="53"/>
  <c r="W65" i="53"/>
  <c r="W66" i="53"/>
  <c r="W67" i="53"/>
  <c r="W68" i="53"/>
  <c r="W69" i="53"/>
  <c r="W70" i="53"/>
  <c r="W71" i="53"/>
  <c r="W72" i="53"/>
  <c r="W73" i="53"/>
  <c r="W74" i="53"/>
  <c r="W75" i="53"/>
  <c r="W76" i="53"/>
  <c r="W77" i="53"/>
  <c r="W78" i="53"/>
  <c r="W79" i="53"/>
  <c r="W80" i="53"/>
  <c r="W81" i="53"/>
  <c r="W82" i="53"/>
  <c r="W83" i="53"/>
  <c r="W84" i="53"/>
  <c r="W85" i="53"/>
  <c r="W86" i="53"/>
  <c r="W87" i="53"/>
  <c r="W88" i="53"/>
  <c r="W89" i="53"/>
  <c r="W90" i="53"/>
  <c r="W91" i="53"/>
  <c r="W92" i="53"/>
  <c r="W93" i="53"/>
  <c r="W94" i="53"/>
  <c r="W95" i="53"/>
  <c r="W96" i="53"/>
  <c r="W97" i="53"/>
  <c r="W98" i="53"/>
  <c r="W99" i="53"/>
  <c r="W100" i="53"/>
  <c r="W101" i="53"/>
  <c r="W102" i="53"/>
  <c r="W103" i="53"/>
  <c r="W104" i="53"/>
  <c r="W105" i="53"/>
  <c r="W106" i="53"/>
  <c r="W107" i="53"/>
  <c r="W108" i="53"/>
  <c r="W109" i="53"/>
  <c r="W110" i="53"/>
  <c r="W111" i="53"/>
  <c r="W112" i="53"/>
  <c r="W113" i="53"/>
  <c r="W114" i="53"/>
  <c r="W115" i="53"/>
  <c r="W116" i="53"/>
  <c r="W117" i="53"/>
  <c r="W118" i="53"/>
  <c r="W119" i="53"/>
  <c r="W120" i="53"/>
  <c r="W121" i="53"/>
  <c r="W122" i="53"/>
  <c r="W123" i="53"/>
  <c r="W124" i="53"/>
  <c r="W125" i="53"/>
  <c r="W126" i="53"/>
  <c r="W127" i="53"/>
  <c r="W128" i="53"/>
  <c r="W129" i="53"/>
  <c r="W130" i="53"/>
  <c r="W131" i="53"/>
  <c r="W132" i="53"/>
  <c r="W133" i="53"/>
  <c r="W134" i="53"/>
  <c r="W135" i="53"/>
  <c r="W136" i="53"/>
  <c r="W137" i="53"/>
  <c r="W138" i="53"/>
  <c r="W139" i="53"/>
  <c r="W140" i="53"/>
  <c r="W141" i="53"/>
  <c r="W142" i="53"/>
  <c r="W143" i="53"/>
  <c r="W144" i="53"/>
  <c r="W145" i="53"/>
  <c r="W146" i="53"/>
  <c r="W147" i="53"/>
  <c r="W148" i="53"/>
  <c r="W149" i="53"/>
  <c r="W150" i="53"/>
  <c r="W151" i="53"/>
  <c r="W152" i="53"/>
  <c r="W153" i="53"/>
  <c r="W154" i="53"/>
  <c r="W155" i="53"/>
  <c r="W156" i="53"/>
  <c r="W157" i="53"/>
  <c r="W158" i="53"/>
  <c r="W159" i="53"/>
  <c r="W160" i="53"/>
  <c r="W161" i="53"/>
  <c r="W162" i="53"/>
  <c r="W163" i="53"/>
  <c r="W164" i="53"/>
  <c r="W165" i="53"/>
  <c r="W166" i="53"/>
  <c r="W167" i="53"/>
  <c r="W168" i="53"/>
  <c r="W169" i="53"/>
  <c r="W170" i="53"/>
  <c r="W171" i="53"/>
  <c r="W172" i="53"/>
  <c r="W173" i="53"/>
  <c r="W174" i="53"/>
  <c r="W175" i="53"/>
  <c r="W176" i="53"/>
  <c r="W177" i="53"/>
  <c r="W178" i="53"/>
  <c r="W179" i="53"/>
  <c r="W180" i="53"/>
  <c r="W181" i="53"/>
  <c r="W182" i="53"/>
  <c r="W183" i="53"/>
  <c r="W184" i="53"/>
  <c r="W185" i="53"/>
  <c r="W186" i="53"/>
  <c r="W187" i="53"/>
  <c r="W188" i="53"/>
  <c r="W189" i="53"/>
  <c r="W190" i="53"/>
  <c r="W191" i="53"/>
  <c r="W192" i="53"/>
  <c r="W193" i="53"/>
  <c r="W194" i="53"/>
  <c r="W195" i="53"/>
  <c r="W196" i="53"/>
  <c r="W197" i="53"/>
  <c r="W198" i="53"/>
  <c r="W199" i="53"/>
  <c r="W200" i="53"/>
  <c r="W201" i="53"/>
  <c r="W202" i="53"/>
  <c r="W203" i="53"/>
  <c r="W204" i="53"/>
  <c r="W205" i="53"/>
  <c r="W206" i="53"/>
  <c r="W207" i="53"/>
  <c r="W208" i="53"/>
  <c r="W209" i="53"/>
  <c r="W210" i="53"/>
  <c r="W211" i="53"/>
  <c r="W212" i="53"/>
  <c r="W213" i="53"/>
  <c r="W214" i="53"/>
  <c r="W215" i="53"/>
  <c r="W216" i="53"/>
  <c r="W217" i="53"/>
  <c r="W218" i="53"/>
  <c r="W219" i="53"/>
  <c r="W220" i="53"/>
  <c r="W221" i="53"/>
  <c r="W222" i="53"/>
  <c r="W223" i="53"/>
  <c r="W224" i="53"/>
  <c r="W225" i="53"/>
  <c r="W226" i="53"/>
  <c r="W227" i="53"/>
  <c r="W228" i="53"/>
  <c r="W229" i="53"/>
  <c r="W230" i="53"/>
  <c r="W231" i="53"/>
  <c r="W232" i="53"/>
  <c r="W233" i="53"/>
  <c r="W234" i="53"/>
  <c r="W235" i="53"/>
  <c r="W236" i="53"/>
  <c r="W237" i="53"/>
  <c r="W238" i="53"/>
  <c r="W239" i="53"/>
  <c r="W240" i="53"/>
  <c r="W241" i="53"/>
  <c r="W242" i="53"/>
  <c r="W243" i="53"/>
  <c r="W244" i="53"/>
  <c r="W245" i="53"/>
  <c r="W246" i="53"/>
  <c r="W247" i="53"/>
  <c r="W248" i="53"/>
  <c r="W249" i="53"/>
  <c r="W250" i="53"/>
  <c r="W251" i="53"/>
  <c r="W252" i="53"/>
  <c r="W253" i="53"/>
  <c r="W254" i="53"/>
  <c r="W255" i="53"/>
  <c r="W256" i="53"/>
  <c r="W13" i="53"/>
  <c r="W12" i="53"/>
  <c r="V257" i="53"/>
  <c r="V13" i="53"/>
  <c r="V14" i="53"/>
  <c r="V15" i="53"/>
  <c r="V16" i="53"/>
  <c r="V17" i="53"/>
  <c r="V18" i="53"/>
  <c r="V19" i="53"/>
  <c r="V20" i="53"/>
  <c r="V21" i="53"/>
  <c r="V22" i="53"/>
  <c r="V23" i="53"/>
  <c r="V24" i="53"/>
  <c r="V25" i="53"/>
  <c r="V26" i="53"/>
  <c r="V27" i="53"/>
  <c r="V28" i="53"/>
  <c r="V29" i="53"/>
  <c r="V30" i="53"/>
  <c r="V31" i="53"/>
  <c r="V32" i="53"/>
  <c r="V33" i="53"/>
  <c r="V34" i="53"/>
  <c r="V35" i="53"/>
  <c r="V36" i="53"/>
  <c r="V37" i="53"/>
  <c r="V38" i="53"/>
  <c r="V39" i="53"/>
  <c r="V40" i="53"/>
  <c r="V41" i="53"/>
  <c r="V42" i="53"/>
  <c r="V43" i="53"/>
  <c r="V44" i="53"/>
  <c r="V45" i="53"/>
  <c r="V46" i="53"/>
  <c r="V47" i="53"/>
  <c r="V48" i="53"/>
  <c r="V49" i="53"/>
  <c r="V50" i="53"/>
  <c r="V51" i="53"/>
  <c r="V52" i="53"/>
  <c r="V53" i="53"/>
  <c r="V54" i="53"/>
  <c r="V55" i="53"/>
  <c r="V56" i="53"/>
  <c r="V57" i="53"/>
  <c r="V58" i="53"/>
  <c r="V59" i="53"/>
  <c r="V60" i="53"/>
  <c r="V61" i="53"/>
  <c r="V62" i="53"/>
  <c r="V63" i="53"/>
  <c r="V64" i="53"/>
  <c r="V65" i="53"/>
  <c r="V66" i="53"/>
  <c r="V67" i="53"/>
  <c r="V68" i="53"/>
  <c r="V69" i="53"/>
  <c r="V70" i="53"/>
  <c r="V71" i="53"/>
  <c r="V72" i="53"/>
  <c r="V73" i="53"/>
  <c r="V74" i="53"/>
  <c r="V75" i="53"/>
  <c r="V76" i="53"/>
  <c r="V77" i="53"/>
  <c r="V78" i="53"/>
  <c r="V79" i="53"/>
  <c r="V80" i="53"/>
  <c r="V81" i="53"/>
  <c r="V82" i="53"/>
  <c r="V83" i="53"/>
  <c r="V84" i="53"/>
  <c r="V85" i="53"/>
  <c r="V86" i="53"/>
  <c r="V87" i="53"/>
  <c r="V88" i="53"/>
  <c r="V89" i="53"/>
  <c r="V90" i="53"/>
  <c r="V91" i="53"/>
  <c r="V92" i="53"/>
  <c r="V93" i="53"/>
  <c r="V94" i="53"/>
  <c r="V95" i="53"/>
  <c r="V96" i="53"/>
  <c r="V97" i="53"/>
  <c r="V98" i="53"/>
  <c r="V99" i="53"/>
  <c r="V100" i="53"/>
  <c r="V101" i="53"/>
  <c r="V102" i="53"/>
  <c r="V103" i="53"/>
  <c r="V104" i="53"/>
  <c r="V105" i="53"/>
  <c r="V106" i="53"/>
  <c r="V107" i="53"/>
  <c r="V108" i="53"/>
  <c r="V109" i="53"/>
  <c r="V110" i="53"/>
  <c r="V111" i="53"/>
  <c r="V112" i="53"/>
  <c r="V113" i="53"/>
  <c r="V114" i="53"/>
  <c r="V115" i="53"/>
  <c r="V116" i="53"/>
  <c r="V117" i="53"/>
  <c r="V118" i="53"/>
  <c r="V119" i="53"/>
  <c r="V120" i="53"/>
  <c r="V121" i="53"/>
  <c r="V122" i="53"/>
  <c r="V123" i="53"/>
  <c r="V124" i="53"/>
  <c r="V125" i="53"/>
  <c r="V126" i="53"/>
  <c r="V127" i="53"/>
  <c r="V128" i="53"/>
  <c r="V129" i="53"/>
  <c r="V130" i="53"/>
  <c r="V131" i="53"/>
  <c r="V132" i="53"/>
  <c r="V133" i="53"/>
  <c r="V134" i="53"/>
  <c r="V135" i="53"/>
  <c r="V136" i="53"/>
  <c r="V137" i="53"/>
  <c r="V138" i="53"/>
  <c r="V139" i="53"/>
  <c r="V140" i="53"/>
  <c r="V141" i="53"/>
  <c r="V142" i="53"/>
  <c r="V143" i="53"/>
  <c r="V144" i="53"/>
  <c r="V145" i="53"/>
  <c r="V146" i="53"/>
  <c r="V147" i="53"/>
  <c r="V148" i="53"/>
  <c r="V149" i="53"/>
  <c r="V150" i="53"/>
  <c r="V151" i="53"/>
  <c r="V152" i="53"/>
  <c r="V153" i="53"/>
  <c r="V154" i="53"/>
  <c r="V155" i="53"/>
  <c r="V156" i="53"/>
  <c r="V157" i="53"/>
  <c r="V158" i="53"/>
  <c r="V159" i="53"/>
  <c r="V160" i="53"/>
  <c r="V161" i="53"/>
  <c r="V162" i="53"/>
  <c r="V163" i="53"/>
  <c r="V164" i="53"/>
  <c r="V165" i="53"/>
  <c r="V166" i="53"/>
  <c r="V167" i="53"/>
  <c r="V168" i="53"/>
  <c r="V169" i="53"/>
  <c r="V170" i="53"/>
  <c r="V171" i="53"/>
  <c r="V172" i="53"/>
  <c r="V173" i="53"/>
  <c r="V174" i="53"/>
  <c r="V175" i="53"/>
  <c r="V176" i="53"/>
  <c r="V177" i="53"/>
  <c r="V178" i="53"/>
  <c r="V179" i="53"/>
  <c r="V180" i="53"/>
  <c r="V181" i="53"/>
  <c r="V182" i="53"/>
  <c r="V183" i="53"/>
  <c r="V184" i="53"/>
  <c r="V185" i="53"/>
  <c r="V186" i="53"/>
  <c r="V187" i="53"/>
  <c r="V188" i="53"/>
  <c r="V189" i="53"/>
  <c r="V190" i="53"/>
  <c r="V191" i="53"/>
  <c r="V192" i="53"/>
  <c r="V193" i="53"/>
  <c r="V194" i="53"/>
  <c r="V195" i="53"/>
  <c r="V196" i="53"/>
  <c r="V197" i="53"/>
  <c r="V198" i="53"/>
  <c r="V199" i="53"/>
  <c r="V200" i="53"/>
  <c r="V201" i="53"/>
  <c r="V202" i="53"/>
  <c r="V203" i="53"/>
  <c r="V204" i="53"/>
  <c r="V205" i="53"/>
  <c r="V206" i="53"/>
  <c r="V207" i="53"/>
  <c r="V208" i="53"/>
  <c r="V209" i="53"/>
  <c r="V210" i="53"/>
  <c r="V211" i="53"/>
  <c r="V212" i="53"/>
  <c r="V213" i="53"/>
  <c r="V214" i="53"/>
  <c r="V215" i="53"/>
  <c r="V216" i="53"/>
  <c r="V217" i="53"/>
  <c r="V218" i="53"/>
  <c r="V219" i="53"/>
  <c r="V220" i="53"/>
  <c r="V221" i="53"/>
  <c r="V222" i="53"/>
  <c r="V223" i="53"/>
  <c r="V224" i="53"/>
  <c r="V225" i="53"/>
  <c r="V226" i="53"/>
  <c r="V227" i="53"/>
  <c r="V228" i="53"/>
  <c r="V229" i="53"/>
  <c r="V230" i="53"/>
  <c r="V231" i="53"/>
  <c r="V232" i="53"/>
  <c r="V233" i="53"/>
  <c r="V234" i="53"/>
  <c r="V235" i="53"/>
  <c r="V236" i="53"/>
  <c r="V237" i="53"/>
  <c r="V238" i="53"/>
  <c r="V239" i="53"/>
  <c r="V240" i="53"/>
  <c r="V241" i="53"/>
  <c r="V242" i="53"/>
  <c r="V243" i="53"/>
  <c r="V244" i="53"/>
  <c r="V245" i="53"/>
  <c r="V246" i="53"/>
  <c r="V247" i="53"/>
  <c r="V248" i="53"/>
  <c r="V249" i="53"/>
  <c r="V250" i="53"/>
  <c r="V251" i="53"/>
  <c r="V252" i="53"/>
  <c r="V253" i="53"/>
  <c r="V254" i="53"/>
  <c r="V255" i="53"/>
  <c r="V256" i="53"/>
  <c r="V12" i="53"/>
  <c r="T38" i="42"/>
  <c r="T39" i="42"/>
  <c r="T40" i="42"/>
  <c r="T41" i="42"/>
  <c r="T42" i="42"/>
  <c r="T43" i="42"/>
  <c r="T44" i="42"/>
  <c r="T45" i="42"/>
  <c r="T46" i="42"/>
  <c r="T47" i="42"/>
  <c r="T48" i="42"/>
  <c r="T49" i="42"/>
  <c r="T50" i="42"/>
  <c r="T51" i="42"/>
  <c r="T52" i="42"/>
  <c r="T53" i="42"/>
  <c r="T54" i="42"/>
  <c r="T55" i="42"/>
  <c r="T56" i="42"/>
  <c r="T57" i="42"/>
  <c r="T58" i="42"/>
  <c r="T59" i="42"/>
  <c r="T60" i="42"/>
  <c r="T61" i="42"/>
  <c r="T62" i="42"/>
  <c r="T63" i="42"/>
  <c r="T64" i="42"/>
  <c r="T65" i="42"/>
  <c r="T66" i="42"/>
  <c r="T67" i="42"/>
  <c r="T68" i="42"/>
  <c r="T69" i="42"/>
  <c r="T70" i="42"/>
  <c r="T71" i="42"/>
  <c r="T72" i="42"/>
  <c r="T73" i="42"/>
  <c r="T74" i="42"/>
  <c r="T75" i="42"/>
  <c r="T76" i="42"/>
  <c r="T77" i="42"/>
  <c r="T78" i="42"/>
  <c r="T79" i="42"/>
  <c r="T80" i="42"/>
  <c r="T81" i="42"/>
  <c r="T82" i="42"/>
  <c r="T83" i="42"/>
  <c r="T84" i="42"/>
  <c r="T85" i="42"/>
  <c r="T86" i="42"/>
  <c r="T87" i="42"/>
  <c r="T88" i="42"/>
  <c r="T89" i="42"/>
  <c r="T90" i="42"/>
  <c r="T91" i="42"/>
  <c r="T92" i="42"/>
  <c r="T93" i="42"/>
  <c r="T94" i="42"/>
  <c r="T95" i="42"/>
  <c r="T96" i="42"/>
  <c r="T97" i="42"/>
  <c r="T98" i="42"/>
  <c r="T99" i="42"/>
  <c r="T100" i="42"/>
  <c r="T101" i="42"/>
  <c r="T102" i="42"/>
  <c r="T103" i="42"/>
  <c r="T104" i="42"/>
  <c r="T105" i="42"/>
  <c r="T106" i="42"/>
  <c r="T107" i="42"/>
  <c r="T108" i="42"/>
  <c r="T109" i="42"/>
  <c r="T110" i="42"/>
  <c r="T111" i="42"/>
  <c r="T112" i="42"/>
  <c r="T113" i="42"/>
  <c r="T114" i="42"/>
  <c r="T115" i="42"/>
  <c r="T116" i="42"/>
  <c r="T117" i="42"/>
  <c r="T118" i="42"/>
  <c r="T119" i="42"/>
  <c r="T120" i="42"/>
  <c r="T121" i="42"/>
  <c r="T122" i="42"/>
  <c r="T123" i="42"/>
  <c r="T124" i="42"/>
  <c r="T125" i="42"/>
  <c r="T126" i="42"/>
  <c r="T127" i="42"/>
  <c r="T128" i="42"/>
  <c r="T129" i="42"/>
  <c r="T130" i="42"/>
  <c r="T131" i="42"/>
  <c r="T132" i="42"/>
  <c r="T133" i="42"/>
  <c r="T134" i="42"/>
  <c r="T135" i="42"/>
  <c r="T136" i="42"/>
  <c r="T137" i="42"/>
  <c r="T138" i="42"/>
  <c r="T139" i="42"/>
  <c r="T140" i="42"/>
  <c r="T141" i="42"/>
  <c r="T142" i="42"/>
  <c r="T143" i="42"/>
  <c r="T144" i="42"/>
  <c r="T145" i="42"/>
  <c r="T146" i="42"/>
  <c r="T147" i="42"/>
  <c r="T148" i="42"/>
  <c r="T149" i="42"/>
  <c r="T150" i="42"/>
  <c r="T151" i="42"/>
  <c r="T152" i="42"/>
  <c r="T153" i="42"/>
  <c r="T154" i="42"/>
  <c r="T155" i="42"/>
  <c r="T156" i="42"/>
  <c r="T157" i="42"/>
  <c r="T158" i="42"/>
  <c r="T159" i="42"/>
  <c r="T160" i="42"/>
  <c r="T161" i="42"/>
  <c r="T162" i="42"/>
  <c r="T163" i="42"/>
  <c r="T164" i="42"/>
  <c r="T165" i="42"/>
  <c r="T166" i="42"/>
  <c r="T167" i="42"/>
  <c r="T168" i="42"/>
  <c r="T169" i="42"/>
  <c r="T170" i="42"/>
  <c r="T171" i="42"/>
  <c r="T172" i="42"/>
  <c r="T173" i="42"/>
  <c r="T174" i="42"/>
  <c r="T175" i="42"/>
  <c r="T176" i="42"/>
  <c r="T177" i="42"/>
  <c r="T178" i="42"/>
  <c r="T179" i="42"/>
  <c r="T180" i="42"/>
  <c r="T181" i="42"/>
  <c r="T182" i="42"/>
  <c r="T183" i="42"/>
  <c r="T184" i="42"/>
  <c r="T185" i="42"/>
  <c r="T186" i="42"/>
  <c r="T187" i="42"/>
  <c r="T188" i="42"/>
  <c r="T189" i="42"/>
  <c r="T190" i="42"/>
  <c r="T191" i="42"/>
  <c r="T192" i="42"/>
  <c r="T193" i="42"/>
  <c r="T194" i="42"/>
  <c r="T195" i="42"/>
  <c r="T196" i="42"/>
  <c r="T197" i="42"/>
  <c r="T198" i="42"/>
  <c r="T199" i="42"/>
  <c r="T200" i="42"/>
  <c r="T201" i="42"/>
  <c r="T202" i="42"/>
  <c r="T203" i="42"/>
  <c r="T204" i="42"/>
  <c r="T205" i="42"/>
  <c r="T206" i="42"/>
  <c r="T207" i="42"/>
  <c r="T208" i="42"/>
  <c r="T209" i="42"/>
  <c r="T210" i="42"/>
  <c r="T211" i="42"/>
  <c r="T212" i="42"/>
  <c r="T213" i="42"/>
  <c r="T214" i="42"/>
  <c r="T215" i="42"/>
  <c r="T216" i="42"/>
  <c r="T217" i="42"/>
  <c r="T218" i="42"/>
  <c r="T219" i="42"/>
  <c r="T220" i="42"/>
  <c r="T221" i="42"/>
  <c r="T222" i="42"/>
  <c r="T223" i="42"/>
  <c r="T224" i="42"/>
  <c r="T225" i="42"/>
  <c r="T226" i="42"/>
  <c r="T227" i="42"/>
  <c r="T228" i="42"/>
  <c r="T229" i="42"/>
  <c r="T230" i="42"/>
  <c r="T231" i="42"/>
  <c r="T232" i="42"/>
  <c r="T233" i="42"/>
  <c r="T234" i="42"/>
  <c r="T235" i="42"/>
  <c r="T236" i="42"/>
  <c r="T237" i="42"/>
  <c r="T238" i="42"/>
  <c r="T239" i="42"/>
  <c r="T240" i="42"/>
  <c r="T241" i="42"/>
  <c r="T242" i="42"/>
  <c r="T243" i="42"/>
  <c r="T244" i="42"/>
  <c r="T245" i="42"/>
  <c r="T246" i="42"/>
  <c r="T247" i="42"/>
  <c r="T248" i="42"/>
  <c r="T249" i="42"/>
  <c r="T250" i="42"/>
  <c r="T251" i="42"/>
  <c r="T252" i="42"/>
  <c r="T253" i="42"/>
  <c r="T254" i="42"/>
  <c r="T255" i="42"/>
  <c r="T256" i="42"/>
  <c r="T257" i="42"/>
  <c r="T258" i="42"/>
  <c r="T259" i="42"/>
  <c r="L259"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58" i="42"/>
  <c r="L59" i="42"/>
  <c r="L60" i="42"/>
  <c r="L61" i="42"/>
  <c r="L62" i="42"/>
  <c r="L63" i="42"/>
  <c r="L64" i="42"/>
  <c r="L65" i="42"/>
  <c r="L66" i="42"/>
  <c r="L67" i="42"/>
  <c r="L68" i="42"/>
  <c r="L69" i="42"/>
  <c r="L70" i="42"/>
  <c r="L71" i="42"/>
  <c r="L72" i="42"/>
  <c r="L73" i="42"/>
  <c r="L74" i="42"/>
  <c r="L75" i="42"/>
  <c r="L76" i="42"/>
  <c r="L77" i="42"/>
  <c r="L78" i="42"/>
  <c r="L79" i="42"/>
  <c r="L80" i="42"/>
  <c r="L81" i="42"/>
  <c r="L82" i="42"/>
  <c r="L83" i="42"/>
  <c r="L84" i="42"/>
  <c r="L85" i="42"/>
  <c r="L86" i="42"/>
  <c r="L87" i="42"/>
  <c r="L88" i="42"/>
  <c r="L89" i="42"/>
  <c r="L90" i="42"/>
  <c r="L91" i="42"/>
  <c r="L92" i="42"/>
  <c r="L93" i="42"/>
  <c r="L94" i="42"/>
  <c r="L95" i="42"/>
  <c r="L96" i="42"/>
  <c r="L97" i="42"/>
  <c r="L98" i="42"/>
  <c r="L99" i="42"/>
  <c r="L100" i="42"/>
  <c r="L101" i="42"/>
  <c r="L102" i="42"/>
  <c r="L103" i="42"/>
  <c r="L104" i="42"/>
  <c r="L105" i="42"/>
  <c r="L106" i="42"/>
  <c r="L107" i="42"/>
  <c r="L108" i="42"/>
  <c r="L109" i="42"/>
  <c r="L110" i="42"/>
  <c r="L111" i="42"/>
  <c r="L112" i="42"/>
  <c r="L113" i="42"/>
  <c r="L114" i="42"/>
  <c r="L115" i="42"/>
  <c r="L116" i="42"/>
  <c r="L117" i="42"/>
  <c r="L118" i="42"/>
  <c r="L119" i="42"/>
  <c r="L120" i="42"/>
  <c r="L121" i="42"/>
  <c r="L122" i="42"/>
  <c r="L123" i="42"/>
  <c r="L124" i="42"/>
  <c r="L125" i="42"/>
  <c r="L126" i="42"/>
  <c r="L127" i="42"/>
  <c r="L128" i="42"/>
  <c r="L129" i="42"/>
  <c r="L130" i="42"/>
  <c r="L131" i="42"/>
  <c r="L132" i="42"/>
  <c r="L133" i="42"/>
  <c r="L134" i="42"/>
  <c r="L135" i="42"/>
  <c r="L136" i="42"/>
  <c r="L137" i="42"/>
  <c r="L138" i="42"/>
  <c r="L139" i="42"/>
  <c r="L140" i="42"/>
  <c r="L141" i="42"/>
  <c r="L142" i="42"/>
  <c r="L143" i="42"/>
  <c r="L144" i="42"/>
  <c r="L145" i="42"/>
  <c r="L146" i="42"/>
  <c r="L147" i="42"/>
  <c r="L148" i="42"/>
  <c r="L149" i="42"/>
  <c r="L150" i="42"/>
  <c r="L151" i="42"/>
  <c r="L152" i="42"/>
  <c r="L153" i="42"/>
  <c r="L154" i="42"/>
  <c r="L155" i="42"/>
  <c r="L156" i="42"/>
  <c r="L157" i="42"/>
  <c r="L158" i="42"/>
  <c r="L159" i="42"/>
  <c r="L160" i="42"/>
  <c r="L161" i="42"/>
  <c r="L162" i="42"/>
  <c r="L163" i="42"/>
  <c r="L164" i="42"/>
  <c r="L165" i="42"/>
  <c r="L166" i="42"/>
  <c r="L167" i="42"/>
  <c r="L168" i="42"/>
  <c r="L169" i="42"/>
  <c r="L170" i="42"/>
  <c r="L171" i="42"/>
  <c r="L172" i="42"/>
  <c r="L173" i="42"/>
  <c r="L174" i="42"/>
  <c r="L175" i="42"/>
  <c r="L176" i="42"/>
  <c r="L177" i="42"/>
  <c r="L178" i="42"/>
  <c r="L179" i="42"/>
  <c r="L180" i="42"/>
  <c r="L181" i="42"/>
  <c r="L182" i="42"/>
  <c r="L183" i="42"/>
  <c r="L184" i="42"/>
  <c r="L185" i="42"/>
  <c r="L186" i="42"/>
  <c r="L187" i="42"/>
  <c r="L188" i="42"/>
  <c r="L189" i="42"/>
  <c r="L190" i="42"/>
  <c r="L191" i="42"/>
  <c r="L192" i="42"/>
  <c r="L193" i="42"/>
  <c r="L194" i="42"/>
  <c r="L195" i="42"/>
  <c r="L196" i="42"/>
  <c r="L197" i="42"/>
  <c r="L198" i="42"/>
  <c r="L199" i="42"/>
  <c r="L200" i="42"/>
  <c r="L201" i="42"/>
  <c r="L202" i="42"/>
  <c r="L203" i="42"/>
  <c r="L204" i="42"/>
  <c r="L205" i="42"/>
  <c r="L206" i="42"/>
  <c r="L207" i="42"/>
  <c r="L208" i="42"/>
  <c r="L209" i="42"/>
  <c r="L210" i="42"/>
  <c r="L211" i="42"/>
  <c r="L212" i="42"/>
  <c r="L213" i="42"/>
  <c r="L214" i="42"/>
  <c r="L215" i="42"/>
  <c r="L216" i="42"/>
  <c r="L217" i="42"/>
  <c r="L218" i="42"/>
  <c r="L219" i="42"/>
  <c r="L220" i="42"/>
  <c r="L221" i="42"/>
  <c r="L222" i="42"/>
  <c r="L223" i="42"/>
  <c r="L224" i="42"/>
  <c r="L225" i="42"/>
  <c r="L226" i="42"/>
  <c r="L227" i="42"/>
  <c r="L228" i="42"/>
  <c r="L229" i="42"/>
  <c r="L230" i="42"/>
  <c r="L231" i="42"/>
  <c r="L232" i="42"/>
  <c r="L233" i="42"/>
  <c r="L234" i="42"/>
  <c r="L235" i="42"/>
  <c r="L236" i="42"/>
  <c r="L237" i="42"/>
  <c r="L238" i="42"/>
  <c r="L239" i="42"/>
  <c r="L240" i="42"/>
  <c r="L241" i="42"/>
  <c r="L242" i="42"/>
  <c r="L243" i="42"/>
  <c r="L244" i="42"/>
  <c r="L245" i="42"/>
  <c r="L246" i="42"/>
  <c r="L247" i="42"/>
  <c r="L248" i="42"/>
  <c r="L249" i="42"/>
  <c r="L250" i="42"/>
  <c r="L251" i="42"/>
  <c r="L252" i="42"/>
  <c r="L253" i="42"/>
  <c r="L254" i="42"/>
  <c r="L255" i="42"/>
  <c r="L256" i="42"/>
  <c r="L257" i="42"/>
  <c r="L258" i="42"/>
  <c r="L13" i="42"/>
  <c r="L12" i="42"/>
  <c r="K259" i="42"/>
  <c r="K14" i="42"/>
  <c r="K15" i="42"/>
  <c r="K16" i="42"/>
  <c r="K17" i="42"/>
  <c r="K18" i="42"/>
  <c r="K19" i="42"/>
  <c r="K20" i="42"/>
  <c r="K21" i="42"/>
  <c r="K22" i="42"/>
  <c r="K23" i="42"/>
  <c r="K24" i="42"/>
  <c r="K25" i="42"/>
  <c r="K26" i="42"/>
  <c r="K27" i="42"/>
  <c r="K28" i="42"/>
  <c r="K29" i="42"/>
  <c r="K30" i="42"/>
  <c r="K31" i="42"/>
  <c r="K32" i="42"/>
  <c r="K33" i="42"/>
  <c r="K34" i="42"/>
  <c r="K35" i="42"/>
  <c r="K36" i="42"/>
  <c r="K37" i="42"/>
  <c r="K38" i="42"/>
  <c r="K39" i="42"/>
  <c r="K40" i="42"/>
  <c r="K41" i="42"/>
  <c r="K42" i="42"/>
  <c r="K43" i="42"/>
  <c r="K44" i="42"/>
  <c r="K45" i="42"/>
  <c r="K46" i="42"/>
  <c r="K47" i="42"/>
  <c r="K48" i="42"/>
  <c r="K49" i="42"/>
  <c r="K50" i="42"/>
  <c r="K51" i="42"/>
  <c r="K52" i="42"/>
  <c r="K53" i="42"/>
  <c r="K54" i="42"/>
  <c r="K55" i="42"/>
  <c r="K56" i="42"/>
  <c r="K57" i="42"/>
  <c r="K58" i="42"/>
  <c r="K59" i="42"/>
  <c r="K60" i="42"/>
  <c r="K61" i="42"/>
  <c r="K62" i="42"/>
  <c r="K63" i="42"/>
  <c r="K64" i="42"/>
  <c r="K65" i="42"/>
  <c r="K66" i="42"/>
  <c r="K67" i="42"/>
  <c r="K68" i="42"/>
  <c r="K69" i="42"/>
  <c r="K70" i="42"/>
  <c r="K71" i="42"/>
  <c r="K72" i="42"/>
  <c r="K73" i="42"/>
  <c r="K74" i="42"/>
  <c r="K75" i="42"/>
  <c r="K76" i="42"/>
  <c r="K77" i="42"/>
  <c r="K78" i="42"/>
  <c r="K79" i="42"/>
  <c r="K80" i="42"/>
  <c r="K81" i="42"/>
  <c r="K82" i="42"/>
  <c r="K83" i="42"/>
  <c r="K84" i="42"/>
  <c r="K85" i="42"/>
  <c r="K86" i="42"/>
  <c r="K87" i="42"/>
  <c r="K88" i="42"/>
  <c r="K89" i="42"/>
  <c r="K90" i="42"/>
  <c r="K91" i="42"/>
  <c r="K92" i="42"/>
  <c r="K93" i="42"/>
  <c r="K94" i="42"/>
  <c r="K95" i="42"/>
  <c r="K96" i="42"/>
  <c r="K97" i="42"/>
  <c r="K98" i="42"/>
  <c r="K99" i="42"/>
  <c r="K100" i="42"/>
  <c r="K101" i="42"/>
  <c r="K102" i="42"/>
  <c r="K103" i="42"/>
  <c r="K104" i="42"/>
  <c r="K105" i="42"/>
  <c r="K106" i="42"/>
  <c r="K107" i="42"/>
  <c r="K108" i="42"/>
  <c r="K109" i="42"/>
  <c r="K110" i="42"/>
  <c r="K111" i="42"/>
  <c r="K112" i="42"/>
  <c r="K113" i="42"/>
  <c r="K114" i="42"/>
  <c r="K115" i="42"/>
  <c r="K116" i="42"/>
  <c r="K117" i="42"/>
  <c r="K118" i="42"/>
  <c r="K119" i="42"/>
  <c r="K120" i="42"/>
  <c r="K121" i="42"/>
  <c r="K122" i="42"/>
  <c r="K123" i="42"/>
  <c r="K124" i="42"/>
  <c r="K125" i="42"/>
  <c r="K126" i="42"/>
  <c r="K127" i="42"/>
  <c r="K128" i="42"/>
  <c r="K129" i="42"/>
  <c r="K130" i="42"/>
  <c r="K131" i="42"/>
  <c r="K132" i="42"/>
  <c r="K133" i="42"/>
  <c r="K134" i="42"/>
  <c r="K135" i="42"/>
  <c r="K136" i="42"/>
  <c r="K137" i="42"/>
  <c r="K138" i="42"/>
  <c r="K139" i="42"/>
  <c r="K140" i="42"/>
  <c r="K141" i="42"/>
  <c r="K142" i="42"/>
  <c r="K143" i="42"/>
  <c r="K144" i="42"/>
  <c r="K145" i="42"/>
  <c r="K146" i="42"/>
  <c r="K147" i="42"/>
  <c r="K148" i="42"/>
  <c r="K149" i="42"/>
  <c r="K150" i="42"/>
  <c r="K151" i="42"/>
  <c r="K152" i="42"/>
  <c r="K153" i="42"/>
  <c r="K154" i="42"/>
  <c r="K155" i="42"/>
  <c r="K156" i="42"/>
  <c r="K157" i="42"/>
  <c r="K158" i="42"/>
  <c r="K159" i="42"/>
  <c r="K160" i="42"/>
  <c r="K161" i="42"/>
  <c r="K162" i="42"/>
  <c r="K163" i="42"/>
  <c r="K164" i="42"/>
  <c r="K165" i="42"/>
  <c r="K166" i="42"/>
  <c r="K167" i="42"/>
  <c r="K168" i="42"/>
  <c r="K169" i="42"/>
  <c r="K170" i="42"/>
  <c r="K171" i="42"/>
  <c r="K172" i="42"/>
  <c r="K173" i="42"/>
  <c r="K174" i="42"/>
  <c r="K175" i="42"/>
  <c r="K176" i="42"/>
  <c r="K177" i="42"/>
  <c r="K178" i="42"/>
  <c r="K179" i="42"/>
  <c r="K180" i="42"/>
  <c r="K181" i="42"/>
  <c r="K182" i="42"/>
  <c r="K183" i="42"/>
  <c r="K184" i="42"/>
  <c r="K185" i="42"/>
  <c r="K186" i="42"/>
  <c r="K187" i="42"/>
  <c r="K188" i="42"/>
  <c r="K189" i="42"/>
  <c r="K190" i="42"/>
  <c r="K191" i="42"/>
  <c r="K192" i="42"/>
  <c r="K193" i="42"/>
  <c r="K194" i="42"/>
  <c r="K195" i="42"/>
  <c r="K196" i="42"/>
  <c r="K197" i="42"/>
  <c r="K198" i="42"/>
  <c r="K199" i="42"/>
  <c r="K200" i="42"/>
  <c r="K201" i="42"/>
  <c r="K202" i="42"/>
  <c r="K203" i="42"/>
  <c r="K204" i="42"/>
  <c r="K205" i="42"/>
  <c r="K206" i="42"/>
  <c r="K207" i="42"/>
  <c r="K208" i="42"/>
  <c r="K209" i="42"/>
  <c r="K210" i="42"/>
  <c r="K211" i="42"/>
  <c r="K212" i="42"/>
  <c r="K213" i="42"/>
  <c r="K214" i="42"/>
  <c r="K215" i="42"/>
  <c r="K216" i="42"/>
  <c r="K217" i="42"/>
  <c r="K218" i="42"/>
  <c r="K219" i="42"/>
  <c r="K220" i="42"/>
  <c r="K221" i="42"/>
  <c r="K222" i="42"/>
  <c r="K223" i="42"/>
  <c r="K224" i="42"/>
  <c r="K225" i="42"/>
  <c r="K226" i="42"/>
  <c r="K227" i="42"/>
  <c r="K228" i="42"/>
  <c r="K229" i="42"/>
  <c r="K230" i="42"/>
  <c r="K231" i="42"/>
  <c r="K232" i="42"/>
  <c r="K233" i="42"/>
  <c r="K234" i="42"/>
  <c r="K235" i="42"/>
  <c r="K236" i="42"/>
  <c r="K237" i="42"/>
  <c r="K238" i="42"/>
  <c r="K239" i="42"/>
  <c r="K240" i="42"/>
  <c r="K241" i="42"/>
  <c r="K242" i="42"/>
  <c r="K243" i="42"/>
  <c r="K244" i="42"/>
  <c r="K245" i="42"/>
  <c r="K246" i="42"/>
  <c r="K247" i="42"/>
  <c r="K248" i="42"/>
  <c r="K249" i="42"/>
  <c r="K250" i="42"/>
  <c r="K251" i="42"/>
  <c r="K252" i="42"/>
  <c r="K253" i="42"/>
  <c r="K254" i="42"/>
  <c r="K255" i="42"/>
  <c r="K256" i="42"/>
  <c r="K257" i="42"/>
  <c r="K258" i="42"/>
  <c r="K13" i="42"/>
  <c r="K12" i="42"/>
  <c r="L254" i="52"/>
  <c r="T10" i="52"/>
  <c r="L257" i="52"/>
  <c r="L12" i="52"/>
  <c r="L13" i="52"/>
  <c r="L14" i="52"/>
  <c r="L15" i="52"/>
  <c r="L16" i="52"/>
  <c r="L17" i="52"/>
  <c r="L18" i="52"/>
  <c r="L19" i="52"/>
  <c r="L20" i="52"/>
  <c r="L21" i="52"/>
  <c r="L22" i="52"/>
  <c r="L23" i="52"/>
  <c r="L24" i="52"/>
  <c r="L25" i="52"/>
  <c r="L26" i="52"/>
  <c r="L27" i="52"/>
  <c r="L28" i="52"/>
  <c r="L29" i="52"/>
  <c r="L30" i="52"/>
  <c r="L31" i="52"/>
  <c r="L32" i="52"/>
  <c r="L33" i="52"/>
  <c r="L34" i="52"/>
  <c r="L35" i="52"/>
  <c r="L36" i="52"/>
  <c r="L37" i="52"/>
  <c r="L38" i="52"/>
  <c r="L39" i="52"/>
  <c r="L40" i="52"/>
  <c r="L41" i="52"/>
  <c r="L42" i="52"/>
  <c r="L43" i="52"/>
  <c r="L44" i="52"/>
  <c r="L45" i="52"/>
  <c r="L46" i="52"/>
  <c r="L47" i="52"/>
  <c r="L48" i="52"/>
  <c r="L49" i="52"/>
  <c r="L50" i="52"/>
  <c r="L51" i="52"/>
  <c r="L52" i="52"/>
  <c r="L53" i="52"/>
  <c r="L54" i="52"/>
  <c r="L55" i="52"/>
  <c r="L56" i="52"/>
  <c r="L57" i="52"/>
  <c r="L58" i="52"/>
  <c r="L59" i="52"/>
  <c r="L60" i="52"/>
  <c r="L61" i="52"/>
  <c r="L62" i="52"/>
  <c r="L63" i="52"/>
  <c r="L64" i="52"/>
  <c r="L65" i="52"/>
  <c r="L66" i="52"/>
  <c r="L67" i="52"/>
  <c r="L68" i="52"/>
  <c r="L69" i="52"/>
  <c r="L70" i="52"/>
  <c r="L71" i="52"/>
  <c r="L72" i="52"/>
  <c r="L73" i="52"/>
  <c r="L74" i="52"/>
  <c r="L75" i="52"/>
  <c r="L76" i="52"/>
  <c r="L77" i="52"/>
  <c r="L78" i="52"/>
  <c r="L79" i="52"/>
  <c r="L80" i="52"/>
  <c r="L81" i="52"/>
  <c r="L82" i="52"/>
  <c r="L83" i="52"/>
  <c r="L84" i="52"/>
  <c r="L85" i="52"/>
  <c r="L86" i="52"/>
  <c r="L87" i="52"/>
  <c r="L88" i="52"/>
  <c r="L89" i="52"/>
  <c r="L90" i="52"/>
  <c r="L91" i="52"/>
  <c r="L92" i="52"/>
  <c r="L93" i="52"/>
  <c r="L94" i="52"/>
  <c r="L95" i="52"/>
  <c r="L96" i="52"/>
  <c r="L97" i="52"/>
  <c r="L98" i="52"/>
  <c r="L99" i="52"/>
  <c r="L100" i="52"/>
  <c r="L101" i="52"/>
  <c r="L102" i="52"/>
  <c r="L103" i="52"/>
  <c r="L104" i="52"/>
  <c r="L105" i="52"/>
  <c r="L106" i="52"/>
  <c r="L107" i="52"/>
  <c r="L108" i="52"/>
  <c r="L109" i="52"/>
  <c r="L110" i="52"/>
  <c r="L111" i="52"/>
  <c r="L112" i="52"/>
  <c r="L113" i="52"/>
  <c r="L114" i="52"/>
  <c r="L115" i="52"/>
  <c r="L116" i="52"/>
  <c r="L117" i="52"/>
  <c r="L118" i="52"/>
  <c r="L119" i="52"/>
  <c r="L120" i="52"/>
  <c r="L121" i="52"/>
  <c r="L122" i="52"/>
  <c r="L123" i="52"/>
  <c r="L124" i="52"/>
  <c r="L125" i="52"/>
  <c r="L126" i="52"/>
  <c r="L127" i="52"/>
  <c r="L128" i="52"/>
  <c r="L129" i="52"/>
  <c r="L130" i="52"/>
  <c r="L131" i="52"/>
  <c r="L132" i="52"/>
  <c r="L133" i="52"/>
  <c r="L134" i="52"/>
  <c r="L135" i="52"/>
  <c r="L136" i="52"/>
  <c r="L137" i="52"/>
  <c r="L138" i="52"/>
  <c r="L139" i="52"/>
  <c r="L140" i="52"/>
  <c r="L141" i="52"/>
  <c r="L142" i="52"/>
  <c r="L143" i="52"/>
  <c r="L144" i="52"/>
  <c r="L145" i="52"/>
  <c r="L146" i="52"/>
  <c r="L147" i="52"/>
  <c r="L148" i="52"/>
  <c r="L149" i="52"/>
  <c r="L150" i="52"/>
  <c r="L151" i="52"/>
  <c r="L152" i="52"/>
  <c r="L153" i="52"/>
  <c r="L154" i="52"/>
  <c r="L155" i="52"/>
  <c r="L156" i="52"/>
  <c r="L157" i="52"/>
  <c r="L158" i="52"/>
  <c r="L159" i="52"/>
  <c r="L160" i="52"/>
  <c r="L161" i="52"/>
  <c r="L162" i="52"/>
  <c r="L163" i="52"/>
  <c r="L164" i="52"/>
  <c r="L165" i="52"/>
  <c r="L166" i="52"/>
  <c r="L167" i="52"/>
  <c r="L168" i="52"/>
  <c r="L169" i="52"/>
  <c r="L170" i="52"/>
  <c r="L171" i="52"/>
  <c r="L172" i="52"/>
  <c r="L173" i="52"/>
  <c r="L174" i="52"/>
  <c r="L175" i="52"/>
  <c r="L176" i="52"/>
  <c r="L177" i="52"/>
  <c r="L178" i="52"/>
  <c r="L179" i="52"/>
  <c r="L180" i="52"/>
  <c r="L181" i="52"/>
  <c r="L182" i="52"/>
  <c r="L183" i="52"/>
  <c r="L184" i="52"/>
  <c r="L185" i="52"/>
  <c r="L186" i="52"/>
  <c r="L187" i="52"/>
  <c r="L188" i="52"/>
  <c r="L189" i="52"/>
  <c r="L190" i="52"/>
  <c r="L191" i="52"/>
  <c r="L192" i="52"/>
  <c r="L193" i="52"/>
  <c r="L194" i="52"/>
  <c r="L195" i="52"/>
  <c r="L196" i="52"/>
  <c r="L197" i="52"/>
  <c r="L198" i="52"/>
  <c r="L199" i="52"/>
  <c r="L200" i="52"/>
  <c r="L201" i="52"/>
  <c r="L202" i="52"/>
  <c r="L203" i="52"/>
  <c r="L204" i="52"/>
  <c r="L205" i="52"/>
  <c r="L206" i="52"/>
  <c r="L207" i="52"/>
  <c r="L208" i="52"/>
  <c r="L209" i="52"/>
  <c r="L210" i="52"/>
  <c r="L211" i="52"/>
  <c r="L212" i="52"/>
  <c r="L213" i="52"/>
  <c r="L214" i="52"/>
  <c r="L215" i="52"/>
  <c r="L216" i="52"/>
  <c r="L217" i="52"/>
  <c r="L218" i="52"/>
  <c r="L219" i="52"/>
  <c r="L220" i="52"/>
  <c r="L221" i="52"/>
  <c r="L222" i="52"/>
  <c r="L223" i="52"/>
  <c r="L224" i="52"/>
  <c r="L225" i="52"/>
  <c r="L226" i="52"/>
  <c r="L227" i="52"/>
  <c r="L228" i="52"/>
  <c r="L229" i="52"/>
  <c r="L230" i="52"/>
  <c r="L231" i="52"/>
  <c r="L232" i="52"/>
  <c r="L233" i="52"/>
  <c r="L234" i="52"/>
  <c r="L235" i="52"/>
  <c r="L236" i="52"/>
  <c r="L237" i="52"/>
  <c r="L238" i="52"/>
  <c r="L239" i="52"/>
  <c r="L240" i="52"/>
  <c r="L241" i="52"/>
  <c r="L242" i="52"/>
  <c r="L243" i="52"/>
  <c r="L244" i="52"/>
  <c r="L245" i="52"/>
  <c r="L246" i="52"/>
  <c r="L247" i="52"/>
  <c r="L248" i="52"/>
  <c r="L249" i="52"/>
  <c r="L250" i="52"/>
  <c r="L251" i="52"/>
  <c r="L252" i="52"/>
  <c r="L253" i="52"/>
  <c r="L255" i="52"/>
  <c r="L256" i="52"/>
  <c r="L11" i="52"/>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N250" i="11"/>
  <c r="N251" i="11"/>
  <c r="N252" i="11"/>
  <c r="N253" i="11"/>
  <c r="N254" i="11"/>
  <c r="N255" i="11"/>
  <c r="N256" i="11"/>
  <c r="P12" i="42" l="1"/>
  <c r="Q12" i="42" l="1"/>
  <c r="R12" i="42" s="1"/>
  <c r="AB12" i="32"/>
  <c r="N13" i="46"/>
  <c r="N14" i="46"/>
  <c r="N15" i="46"/>
  <c r="N16" i="46"/>
  <c r="N17" i="46"/>
  <c r="N18" i="46"/>
  <c r="N19" i="46"/>
  <c r="N20" i="46"/>
  <c r="N21" i="46"/>
  <c r="N22" i="46"/>
  <c r="N23" i="46"/>
  <c r="N24" i="46"/>
  <c r="N25" i="46"/>
  <c r="N26" i="46"/>
  <c r="N27" i="46"/>
  <c r="N28" i="46"/>
  <c r="N29" i="46"/>
  <c r="N30" i="46"/>
  <c r="N31" i="46"/>
  <c r="N32" i="46"/>
  <c r="N33" i="46"/>
  <c r="N34" i="46"/>
  <c r="N35" i="46"/>
  <c r="N36" i="46"/>
  <c r="N37" i="46"/>
  <c r="N38" i="46"/>
  <c r="N39" i="46"/>
  <c r="N40" i="46"/>
  <c r="N41" i="46"/>
  <c r="N42" i="46"/>
  <c r="N43" i="46"/>
  <c r="N44" i="46"/>
  <c r="N45" i="46"/>
  <c r="N46" i="46"/>
  <c r="N47" i="46"/>
  <c r="N48" i="46"/>
  <c r="N49" i="46"/>
  <c r="N50" i="46"/>
  <c r="N51" i="46"/>
  <c r="N52" i="46"/>
  <c r="N53" i="46"/>
  <c r="N54" i="46"/>
  <c r="N55" i="46"/>
  <c r="N56" i="46"/>
  <c r="N57" i="46"/>
  <c r="N58" i="46"/>
  <c r="N59" i="46"/>
  <c r="N60" i="46"/>
  <c r="N61" i="46"/>
  <c r="N62" i="46"/>
  <c r="N63" i="46"/>
  <c r="N64" i="46"/>
  <c r="N65" i="46"/>
  <c r="N66" i="46"/>
  <c r="N67" i="46"/>
  <c r="N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N119" i="46"/>
  <c r="N120" i="46"/>
  <c r="N121" i="46"/>
  <c r="N122" i="46"/>
  <c r="N123" i="46"/>
  <c r="N124" i="46"/>
  <c r="N125" i="46"/>
  <c r="N126" i="46"/>
  <c r="N127" i="46"/>
  <c r="N128" i="46"/>
  <c r="N129" i="46"/>
  <c r="N130" i="46"/>
  <c r="N131" i="46"/>
  <c r="N132" i="46"/>
  <c r="N133" i="46"/>
  <c r="N134" i="46"/>
  <c r="N135" i="46"/>
  <c r="N136" i="46"/>
  <c r="N137" i="46"/>
  <c r="N138" i="46"/>
  <c r="N139" i="46"/>
  <c r="N140" i="46"/>
  <c r="N141" i="46"/>
  <c r="N142" i="46"/>
  <c r="N143" i="46"/>
  <c r="N144" i="46"/>
  <c r="N145" i="46"/>
  <c r="N146" i="46"/>
  <c r="N147" i="46"/>
  <c r="N148" i="46"/>
  <c r="N149" i="46"/>
  <c r="N150" i="46"/>
  <c r="N151" i="46"/>
  <c r="N152" i="46"/>
  <c r="N153" i="46"/>
  <c r="N154" i="46"/>
  <c r="N155" i="46"/>
  <c r="N156" i="46"/>
  <c r="N157" i="46"/>
  <c r="N158" i="46"/>
  <c r="N159" i="46"/>
  <c r="N160" i="46"/>
  <c r="N161" i="46"/>
  <c r="N162" i="46"/>
  <c r="N163" i="46"/>
  <c r="N164" i="46"/>
  <c r="N165" i="46"/>
  <c r="N166" i="46"/>
  <c r="N167" i="46"/>
  <c r="N168" i="46"/>
  <c r="N169" i="46"/>
  <c r="N170" i="46"/>
  <c r="N171" i="46"/>
  <c r="N172" i="46"/>
  <c r="N173" i="46"/>
  <c r="N174" i="46"/>
  <c r="N175" i="46"/>
  <c r="N176" i="46"/>
  <c r="N177" i="46"/>
  <c r="N178" i="46"/>
  <c r="N179" i="46"/>
  <c r="N180" i="46"/>
  <c r="N181" i="46"/>
  <c r="N182" i="46"/>
  <c r="N183" i="46"/>
  <c r="N184" i="46"/>
  <c r="N185" i="46"/>
  <c r="N186" i="46"/>
  <c r="N187" i="46"/>
  <c r="N188" i="46"/>
  <c r="N189" i="46"/>
  <c r="N190" i="46"/>
  <c r="N191" i="46"/>
  <c r="N192" i="46"/>
  <c r="N193" i="46"/>
  <c r="N194" i="46"/>
  <c r="N195" i="46"/>
  <c r="N196" i="46"/>
  <c r="N197" i="46"/>
  <c r="N198" i="46"/>
  <c r="N199" i="46"/>
  <c r="N200" i="46"/>
  <c r="N201" i="46"/>
  <c r="N202" i="46"/>
  <c r="N203" i="46"/>
  <c r="N204" i="46"/>
  <c r="N205" i="46"/>
  <c r="N206" i="46"/>
  <c r="N207" i="46"/>
  <c r="N208" i="46"/>
  <c r="N209" i="46"/>
  <c r="N210" i="46"/>
  <c r="N211" i="46"/>
  <c r="N212" i="46"/>
  <c r="N213" i="46"/>
  <c r="N214" i="46"/>
  <c r="N215" i="46"/>
  <c r="N216" i="46"/>
  <c r="N217" i="46"/>
  <c r="N218" i="46"/>
  <c r="N219" i="46"/>
  <c r="N220" i="46"/>
  <c r="N221" i="46"/>
  <c r="N222" i="46"/>
  <c r="N223" i="46"/>
  <c r="N224" i="46"/>
  <c r="N225" i="46"/>
  <c r="N226" i="46"/>
  <c r="N227" i="46"/>
  <c r="N228" i="46"/>
  <c r="N229" i="46"/>
  <c r="N230" i="46"/>
  <c r="N231" i="46"/>
  <c r="N232" i="46"/>
  <c r="N233" i="46"/>
  <c r="N234" i="46"/>
  <c r="N235" i="46"/>
  <c r="N236" i="46"/>
  <c r="N237" i="46"/>
  <c r="N238" i="46"/>
  <c r="N239" i="46"/>
  <c r="N240" i="46"/>
  <c r="N241" i="46"/>
  <c r="N242" i="46"/>
  <c r="N243" i="46"/>
  <c r="N244" i="46"/>
  <c r="N245" i="46"/>
  <c r="N246" i="46"/>
  <c r="N247" i="46"/>
  <c r="N248" i="46"/>
  <c r="N249" i="46"/>
  <c r="N250" i="46"/>
  <c r="N251" i="46"/>
  <c r="N252" i="46"/>
  <c r="N253" i="46"/>
  <c r="N254" i="46"/>
  <c r="N255" i="46"/>
  <c r="N256" i="46"/>
  <c r="N12" i="46"/>
  <c r="N11" i="46"/>
  <c r="N257" i="11"/>
  <c r="N258" i="11"/>
  <c r="N11" i="11"/>
  <c r="AC257" i="32"/>
  <c r="AC14" i="32"/>
  <c r="AC15" i="32"/>
  <c r="AC16" i="32"/>
  <c r="AC17" i="32"/>
  <c r="AC18" i="32"/>
  <c r="AC19" i="32"/>
  <c r="AC20" i="32"/>
  <c r="AC21" i="32"/>
  <c r="AC22" i="32"/>
  <c r="AC23" i="32"/>
  <c r="AC24" i="32"/>
  <c r="AC25" i="32"/>
  <c r="AC26" i="32"/>
  <c r="AC27" i="32"/>
  <c r="AC28" i="32"/>
  <c r="AC29" i="32"/>
  <c r="AC30" i="32"/>
  <c r="AC31" i="32"/>
  <c r="AC32" i="32"/>
  <c r="AC33" i="32"/>
  <c r="AC34" i="32"/>
  <c r="AC35" i="32"/>
  <c r="AC36" i="32"/>
  <c r="AC37" i="32"/>
  <c r="AC38" i="32"/>
  <c r="AC39" i="32"/>
  <c r="AC40" i="32"/>
  <c r="AC41" i="32"/>
  <c r="AC42" i="32"/>
  <c r="AC43" i="32"/>
  <c r="AC44" i="32"/>
  <c r="AC45" i="32"/>
  <c r="AC46" i="32"/>
  <c r="AC47" i="32"/>
  <c r="AC48" i="32"/>
  <c r="AC49" i="32"/>
  <c r="AC50" i="32"/>
  <c r="AC51" i="32"/>
  <c r="AC52" i="32"/>
  <c r="AC53" i="32"/>
  <c r="AC54" i="32"/>
  <c r="AC55" i="32"/>
  <c r="AC56" i="32"/>
  <c r="AC57" i="32"/>
  <c r="AC58" i="32"/>
  <c r="AC59" i="32"/>
  <c r="AC60" i="32"/>
  <c r="AC61" i="32"/>
  <c r="AC62" i="32"/>
  <c r="AC63" i="32"/>
  <c r="AC64" i="32"/>
  <c r="AC65" i="32"/>
  <c r="AC66" i="32"/>
  <c r="AC67" i="32"/>
  <c r="AC68" i="32"/>
  <c r="AC69" i="32"/>
  <c r="AC70" i="32"/>
  <c r="AC71" i="32"/>
  <c r="AC72" i="32"/>
  <c r="AC73" i="32"/>
  <c r="AC74" i="32"/>
  <c r="AC75" i="32"/>
  <c r="AC76" i="32"/>
  <c r="AC77" i="32"/>
  <c r="AC78" i="32"/>
  <c r="AC79" i="32"/>
  <c r="AC80" i="32"/>
  <c r="AC81" i="32"/>
  <c r="AC82" i="32"/>
  <c r="AC83" i="32"/>
  <c r="AC84" i="32"/>
  <c r="AC85" i="32"/>
  <c r="AC86" i="32"/>
  <c r="AC87" i="32"/>
  <c r="AC88" i="32"/>
  <c r="AC89" i="32"/>
  <c r="AC90" i="32"/>
  <c r="AC91" i="32"/>
  <c r="AC92" i="32"/>
  <c r="AC93" i="32"/>
  <c r="AC94" i="32"/>
  <c r="AC95" i="32"/>
  <c r="AC96" i="32"/>
  <c r="AC97" i="32"/>
  <c r="AC98" i="32"/>
  <c r="AC99" i="32"/>
  <c r="AC100" i="32"/>
  <c r="AC101" i="32"/>
  <c r="AC102" i="32"/>
  <c r="AC103" i="32"/>
  <c r="AC104" i="32"/>
  <c r="AC105" i="32"/>
  <c r="AC106" i="32"/>
  <c r="AC107" i="32"/>
  <c r="AC108" i="32"/>
  <c r="AC109" i="32"/>
  <c r="AC110" i="32"/>
  <c r="AC111" i="32"/>
  <c r="AC112" i="32"/>
  <c r="AC113" i="32"/>
  <c r="AC114" i="32"/>
  <c r="AC115" i="32"/>
  <c r="AC116" i="32"/>
  <c r="AC117" i="32"/>
  <c r="AC118" i="32"/>
  <c r="AC119" i="32"/>
  <c r="AC120" i="32"/>
  <c r="AC121" i="32"/>
  <c r="AC122" i="32"/>
  <c r="AC123" i="32"/>
  <c r="AC124" i="32"/>
  <c r="AC125" i="32"/>
  <c r="AC126" i="32"/>
  <c r="AC127" i="32"/>
  <c r="AC128" i="32"/>
  <c r="AC129" i="32"/>
  <c r="AC130" i="32"/>
  <c r="AC131" i="32"/>
  <c r="AC132" i="32"/>
  <c r="AC133" i="32"/>
  <c r="AC134" i="32"/>
  <c r="AC135" i="32"/>
  <c r="AC136" i="32"/>
  <c r="AC137" i="32"/>
  <c r="AC138" i="32"/>
  <c r="AC139" i="32"/>
  <c r="AC140" i="32"/>
  <c r="AC141" i="32"/>
  <c r="AC142" i="32"/>
  <c r="AC143" i="32"/>
  <c r="AC144" i="32"/>
  <c r="AC145" i="32"/>
  <c r="AC146" i="32"/>
  <c r="AC147" i="32"/>
  <c r="AC148" i="32"/>
  <c r="AC149" i="32"/>
  <c r="AC150" i="32"/>
  <c r="AC151" i="32"/>
  <c r="AC152" i="32"/>
  <c r="AC153" i="32"/>
  <c r="AC154" i="32"/>
  <c r="AC155" i="32"/>
  <c r="AC156" i="32"/>
  <c r="AC157" i="32"/>
  <c r="AC158" i="32"/>
  <c r="AC159" i="32"/>
  <c r="AC160" i="32"/>
  <c r="AC161" i="32"/>
  <c r="AC162" i="32"/>
  <c r="AC163" i="32"/>
  <c r="AC164" i="32"/>
  <c r="AC165" i="32"/>
  <c r="AC166" i="32"/>
  <c r="AC167" i="32"/>
  <c r="AC168" i="32"/>
  <c r="AC169" i="32"/>
  <c r="AC170" i="32"/>
  <c r="AC171" i="32"/>
  <c r="AC172" i="32"/>
  <c r="AC173" i="32"/>
  <c r="AC174" i="32"/>
  <c r="AC175" i="32"/>
  <c r="AC176" i="32"/>
  <c r="AC177" i="32"/>
  <c r="AC178" i="32"/>
  <c r="AC179" i="32"/>
  <c r="AC180" i="32"/>
  <c r="AC181" i="32"/>
  <c r="AC182" i="32"/>
  <c r="AC183" i="32"/>
  <c r="AC184" i="32"/>
  <c r="AC185" i="32"/>
  <c r="AC186" i="32"/>
  <c r="AC187" i="32"/>
  <c r="AC188" i="32"/>
  <c r="AC189" i="32"/>
  <c r="AC190" i="32"/>
  <c r="AC191" i="32"/>
  <c r="AC192" i="32"/>
  <c r="AC193" i="32"/>
  <c r="AC194" i="32"/>
  <c r="AC195" i="32"/>
  <c r="AC196" i="32"/>
  <c r="AC197" i="32"/>
  <c r="AC198" i="32"/>
  <c r="AC199" i="32"/>
  <c r="AC200" i="32"/>
  <c r="AC201" i="32"/>
  <c r="AC202" i="32"/>
  <c r="AC203" i="32"/>
  <c r="AC204" i="32"/>
  <c r="AC205" i="32"/>
  <c r="AC206" i="32"/>
  <c r="AC207" i="32"/>
  <c r="AC208" i="32"/>
  <c r="AC209" i="32"/>
  <c r="AC210" i="32"/>
  <c r="AC211" i="32"/>
  <c r="AC212" i="32"/>
  <c r="AC213" i="32"/>
  <c r="AC214" i="32"/>
  <c r="AC215" i="32"/>
  <c r="AC216" i="32"/>
  <c r="AC217" i="32"/>
  <c r="AC218" i="32"/>
  <c r="AC219" i="32"/>
  <c r="AC220" i="32"/>
  <c r="AC221" i="32"/>
  <c r="AC222" i="32"/>
  <c r="AC223" i="32"/>
  <c r="AC224" i="32"/>
  <c r="AC225" i="32"/>
  <c r="AC226" i="32"/>
  <c r="AC227" i="32"/>
  <c r="AC228" i="32"/>
  <c r="AC229" i="32"/>
  <c r="AC230" i="32"/>
  <c r="AC231" i="32"/>
  <c r="AC232" i="32"/>
  <c r="AC233" i="32"/>
  <c r="AC234" i="32"/>
  <c r="AC235" i="32"/>
  <c r="AC236" i="32"/>
  <c r="AC237" i="32"/>
  <c r="AC238" i="32"/>
  <c r="AC239" i="32"/>
  <c r="AC240" i="32"/>
  <c r="AC241" i="32"/>
  <c r="AC242" i="32"/>
  <c r="AC243" i="32"/>
  <c r="AC244" i="32"/>
  <c r="AC245" i="32"/>
  <c r="AC246" i="32"/>
  <c r="AC247" i="32"/>
  <c r="AC248" i="32"/>
  <c r="AC249" i="32"/>
  <c r="AC250" i="32"/>
  <c r="AC251" i="32"/>
  <c r="AC252" i="32"/>
  <c r="AC253" i="32"/>
  <c r="AC254" i="32"/>
  <c r="AC255" i="32"/>
  <c r="AC256" i="32"/>
  <c r="AC13" i="32"/>
  <c r="AC12" i="32"/>
  <c r="AB13" i="32"/>
  <c r="AB14" i="32"/>
  <c r="AB15" i="32"/>
  <c r="AB16" i="32"/>
  <c r="AB17" i="32"/>
  <c r="AB18" i="32"/>
  <c r="AB19" i="32"/>
  <c r="AB20" i="32"/>
  <c r="AB21" i="32"/>
  <c r="AB22" i="32"/>
  <c r="AB24" i="32"/>
  <c r="AB25" i="32"/>
  <c r="AB26" i="32"/>
  <c r="AB27" i="32"/>
  <c r="AB28" i="32"/>
  <c r="AB29" i="32"/>
  <c r="AB30" i="32"/>
  <c r="AB31" i="32"/>
  <c r="AB32" i="32"/>
  <c r="AB33" i="32"/>
  <c r="AB34" i="32"/>
  <c r="AB35" i="32"/>
  <c r="AB36" i="32"/>
  <c r="AB37" i="32"/>
  <c r="AB38" i="32"/>
  <c r="AB39" i="32"/>
  <c r="AB40" i="32"/>
  <c r="AB41" i="32"/>
  <c r="AB42" i="32"/>
  <c r="AB43" i="32"/>
  <c r="AB44" i="32"/>
  <c r="AB45" i="32"/>
  <c r="AB46" i="32"/>
  <c r="AB47" i="32"/>
  <c r="AB48" i="32"/>
  <c r="AB49" i="32"/>
  <c r="AB50" i="32"/>
  <c r="AB51" i="32"/>
  <c r="AB52" i="32"/>
  <c r="AB53" i="32"/>
  <c r="AB54" i="32"/>
  <c r="AB55" i="32"/>
  <c r="AB56" i="32"/>
  <c r="AB57" i="32"/>
  <c r="AB58" i="32"/>
  <c r="AB59" i="32"/>
  <c r="AB60" i="32"/>
  <c r="AB61" i="32"/>
  <c r="AB62" i="32"/>
  <c r="AB63" i="32"/>
  <c r="AB64" i="32"/>
  <c r="AB65" i="32"/>
  <c r="AB66" i="32"/>
  <c r="AB67" i="32"/>
  <c r="AB68" i="32"/>
  <c r="AB69" i="32"/>
  <c r="AB70" i="32"/>
  <c r="AB71" i="32"/>
  <c r="AB72" i="32"/>
  <c r="AB73" i="32"/>
  <c r="AB74" i="32"/>
  <c r="AB75" i="32"/>
  <c r="AB76" i="32"/>
  <c r="AB77" i="32"/>
  <c r="AB78" i="32"/>
  <c r="AB79" i="32"/>
  <c r="AB80" i="32"/>
  <c r="AB81" i="32"/>
  <c r="AB82" i="32"/>
  <c r="AB83" i="32"/>
  <c r="AB84" i="32"/>
  <c r="AB85" i="32"/>
  <c r="AB86" i="32"/>
  <c r="AB87" i="32"/>
  <c r="AB88" i="32"/>
  <c r="AB89" i="32"/>
  <c r="AB90" i="32"/>
  <c r="AB91" i="32"/>
  <c r="AB92" i="32"/>
  <c r="AB93" i="32"/>
  <c r="AB94" i="32"/>
  <c r="AB95" i="32"/>
  <c r="AB96" i="32"/>
  <c r="AB97" i="32"/>
  <c r="AB98" i="32"/>
  <c r="AB99" i="32"/>
  <c r="AB100" i="32"/>
  <c r="AB101" i="32"/>
  <c r="AB102" i="32"/>
  <c r="AB103" i="32"/>
  <c r="AB104" i="32"/>
  <c r="AB105" i="32"/>
  <c r="AB106" i="32"/>
  <c r="AB107" i="32"/>
  <c r="AB108" i="32"/>
  <c r="AB109" i="32"/>
  <c r="AB110" i="32"/>
  <c r="AB111" i="32"/>
  <c r="AB112" i="32"/>
  <c r="AB113" i="32"/>
  <c r="AB114" i="32"/>
  <c r="AB115" i="32"/>
  <c r="AB116" i="32"/>
  <c r="AB117" i="32"/>
  <c r="AB118" i="32"/>
  <c r="AB119" i="32"/>
  <c r="AB120" i="32"/>
  <c r="AB121" i="32"/>
  <c r="AB122" i="32"/>
  <c r="AB123" i="32"/>
  <c r="AB124" i="32"/>
  <c r="AB125" i="32"/>
  <c r="AB126" i="32"/>
  <c r="AB127" i="32"/>
  <c r="AB128" i="32"/>
  <c r="AB129" i="32"/>
  <c r="AB130" i="32"/>
  <c r="AB131" i="32"/>
  <c r="AB132" i="32"/>
  <c r="AB133" i="32"/>
  <c r="AB134" i="32"/>
  <c r="AB135" i="32"/>
  <c r="AB136" i="32"/>
  <c r="AB137" i="32"/>
  <c r="AB138" i="32"/>
  <c r="AB139" i="32"/>
  <c r="AB140" i="32"/>
  <c r="AB141" i="32"/>
  <c r="AB142" i="32"/>
  <c r="AB143" i="32"/>
  <c r="AB144" i="32"/>
  <c r="AB145" i="32"/>
  <c r="AB146" i="32"/>
  <c r="AB147" i="32"/>
  <c r="AB148" i="32"/>
  <c r="AB149" i="32"/>
  <c r="AB150" i="32"/>
  <c r="AB151" i="32"/>
  <c r="AB152" i="32"/>
  <c r="AB153" i="32"/>
  <c r="AB154" i="32"/>
  <c r="AB155" i="32"/>
  <c r="AB156" i="32"/>
  <c r="AB157" i="32"/>
  <c r="AB158" i="32"/>
  <c r="AB159" i="32"/>
  <c r="AB160" i="32"/>
  <c r="AB161" i="32"/>
  <c r="AB162" i="32"/>
  <c r="AB163" i="32"/>
  <c r="AB164" i="32"/>
  <c r="AB165" i="32"/>
  <c r="AB166" i="32"/>
  <c r="AB167" i="32"/>
  <c r="AB168" i="32"/>
  <c r="AB169" i="32"/>
  <c r="AB170" i="32"/>
  <c r="AB171" i="32"/>
  <c r="AB172" i="32"/>
  <c r="AB173" i="32"/>
  <c r="AB174" i="32"/>
  <c r="AB175" i="32"/>
  <c r="AB176" i="32"/>
  <c r="AB177" i="32"/>
  <c r="AB178" i="32"/>
  <c r="AB179" i="32"/>
  <c r="AB180" i="32"/>
  <c r="AB181" i="32"/>
  <c r="AB182" i="32"/>
  <c r="AB183" i="32"/>
  <c r="AB184" i="32"/>
  <c r="AB185" i="32"/>
  <c r="AB186" i="32"/>
  <c r="AB187" i="32"/>
  <c r="AB188" i="32"/>
  <c r="AB189" i="32"/>
  <c r="AB190" i="32"/>
  <c r="AB191" i="32"/>
  <c r="AB192" i="32"/>
  <c r="AB193" i="32"/>
  <c r="AB194" i="32"/>
  <c r="AB195" i="32"/>
  <c r="AB196" i="32"/>
  <c r="AB197" i="32"/>
  <c r="AB198" i="32"/>
  <c r="AB199" i="32"/>
  <c r="AB200" i="32"/>
  <c r="AB201" i="32"/>
  <c r="AB202" i="32"/>
  <c r="AB203" i="32"/>
  <c r="AB204" i="32"/>
  <c r="AB205" i="32"/>
  <c r="AB206" i="32"/>
  <c r="AB207" i="32"/>
  <c r="AB208" i="32"/>
  <c r="AB209" i="32"/>
  <c r="AB210" i="32"/>
  <c r="AB211" i="32"/>
  <c r="AB212" i="32"/>
  <c r="AB213" i="32"/>
  <c r="AB214" i="32"/>
  <c r="AB215" i="32"/>
  <c r="AB216" i="32"/>
  <c r="AB217" i="32"/>
  <c r="AB218" i="32"/>
  <c r="AB219" i="32"/>
  <c r="AB220" i="32"/>
  <c r="AB221" i="32"/>
  <c r="AB222" i="32"/>
  <c r="AB223" i="32"/>
  <c r="AB224" i="32"/>
  <c r="AB225" i="32"/>
  <c r="AB226" i="32"/>
  <c r="AB227" i="32"/>
  <c r="AB228" i="32"/>
  <c r="AB229" i="32"/>
  <c r="AB230" i="32"/>
  <c r="AB231" i="32"/>
  <c r="AB232" i="32"/>
  <c r="AB233" i="32"/>
  <c r="AB234" i="32"/>
  <c r="AB235" i="32"/>
  <c r="AB236" i="32"/>
  <c r="AB237" i="32"/>
  <c r="AB238" i="32"/>
  <c r="AB239" i="32"/>
  <c r="AB240" i="32"/>
  <c r="AB241" i="32"/>
  <c r="AB242" i="32"/>
  <c r="AB243" i="32"/>
  <c r="AB244" i="32"/>
  <c r="AB245" i="32"/>
  <c r="AB246" i="32"/>
  <c r="AB247" i="32"/>
  <c r="AB248" i="32"/>
  <c r="AB249" i="32"/>
  <c r="AB250" i="32"/>
  <c r="AB251" i="32"/>
  <c r="AB252" i="32"/>
  <c r="AB253" i="32"/>
  <c r="AB254" i="32"/>
  <c r="AB255" i="32"/>
  <c r="AB256" i="32"/>
  <c r="AB257" i="32"/>
  <c r="O13"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41" i="11"/>
  <c r="O42" i="11"/>
  <c r="O43" i="11"/>
  <c r="O44"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79" i="11"/>
  <c r="O80" i="11"/>
  <c r="O81" i="11"/>
  <c r="O82" i="11"/>
  <c r="O83" i="11"/>
  <c r="O84" i="11"/>
  <c r="O85" i="11"/>
  <c r="O86" i="11"/>
  <c r="O87" i="11"/>
  <c r="O88" i="11"/>
  <c r="O89" i="11"/>
  <c r="O90" i="11"/>
  <c r="O91" i="11"/>
  <c r="O92" i="11"/>
  <c r="O93" i="11"/>
  <c r="O94" i="11"/>
  <c r="O95" i="11"/>
  <c r="O96" i="11"/>
  <c r="O97" i="11"/>
  <c r="O98" i="11"/>
  <c r="O99" i="11"/>
  <c r="O100" i="11"/>
  <c r="O12" i="11"/>
  <c r="G257" i="46" l="1"/>
  <c r="A52" i="28" l="1"/>
  <c r="I75" i="99" l="1"/>
  <c r="G13" i="42"/>
  <c r="G14" i="42"/>
  <c r="G15" i="42"/>
  <c r="G16" i="42"/>
  <c r="G17" i="42"/>
  <c r="G18" i="42"/>
  <c r="G19" i="42"/>
  <c r="G20" i="42"/>
  <c r="G21" i="42"/>
  <c r="G22" i="42"/>
  <c r="G23" i="42"/>
  <c r="G24" i="42"/>
  <c r="G25" i="42"/>
  <c r="G26" i="42"/>
  <c r="G27" i="42"/>
  <c r="G28" i="42"/>
  <c r="G29" i="42"/>
  <c r="G30" i="42"/>
  <c r="G31" i="42"/>
  <c r="G32" i="42"/>
  <c r="G33" i="42"/>
  <c r="G34" i="42"/>
  <c r="G35" i="42"/>
  <c r="G36" i="42"/>
  <c r="G37" i="42"/>
  <c r="G38" i="42"/>
  <c r="G39" i="42"/>
  <c r="G40" i="42"/>
  <c r="G41" i="42"/>
  <c r="G42" i="42"/>
  <c r="G43" i="42"/>
  <c r="G44" i="42"/>
  <c r="G45" i="42"/>
  <c r="G46" i="42"/>
  <c r="G47" i="42"/>
  <c r="G48" i="42"/>
  <c r="G49" i="42"/>
  <c r="G50" i="42"/>
  <c r="G51" i="42"/>
  <c r="G52" i="42"/>
  <c r="G53" i="42"/>
  <c r="G54" i="42"/>
  <c r="G55" i="42"/>
  <c r="G56" i="42"/>
  <c r="G57" i="42"/>
  <c r="G58" i="42"/>
  <c r="G59" i="42"/>
  <c r="G60" i="42"/>
  <c r="G61" i="42"/>
  <c r="G62" i="42"/>
  <c r="G63" i="42"/>
  <c r="G64" i="42"/>
  <c r="G65" i="42"/>
  <c r="G66" i="42"/>
  <c r="G67" i="42"/>
  <c r="G68" i="42"/>
  <c r="G69" i="42"/>
  <c r="G70" i="42"/>
  <c r="G71" i="42"/>
  <c r="G72" i="42"/>
  <c r="G73" i="42"/>
  <c r="G74" i="42"/>
  <c r="G75" i="42"/>
  <c r="G76" i="42"/>
  <c r="G77" i="42"/>
  <c r="G78" i="42"/>
  <c r="G79" i="42"/>
  <c r="G80" i="42"/>
  <c r="G81" i="42"/>
  <c r="G82" i="42"/>
  <c r="G83" i="42"/>
  <c r="G84" i="42"/>
  <c r="G85" i="42"/>
  <c r="G86" i="42"/>
  <c r="G87" i="42"/>
  <c r="G88" i="42"/>
  <c r="G89" i="42"/>
  <c r="G90" i="42"/>
  <c r="G91" i="42"/>
  <c r="G92" i="42"/>
  <c r="G93" i="42"/>
  <c r="G94" i="42"/>
  <c r="G95" i="42"/>
  <c r="G96" i="42"/>
  <c r="G97" i="42"/>
  <c r="G98" i="42"/>
  <c r="G99" i="42"/>
  <c r="G100" i="42"/>
  <c r="G101" i="42"/>
  <c r="G102" i="42"/>
  <c r="G103" i="42"/>
  <c r="G104" i="42"/>
  <c r="G105" i="42"/>
  <c r="G106" i="42"/>
  <c r="G107" i="42"/>
  <c r="G108" i="42"/>
  <c r="G109" i="42"/>
  <c r="G110" i="42"/>
  <c r="G111" i="42"/>
  <c r="G112" i="42"/>
  <c r="G113" i="42"/>
  <c r="G114" i="42"/>
  <c r="G115" i="42"/>
  <c r="G116" i="42"/>
  <c r="G117" i="42"/>
  <c r="G118" i="42"/>
  <c r="G119" i="42"/>
  <c r="G120" i="42"/>
  <c r="G121" i="42"/>
  <c r="G122" i="42"/>
  <c r="G123" i="42"/>
  <c r="G124" i="42"/>
  <c r="G125" i="42"/>
  <c r="G126" i="42"/>
  <c r="G127" i="42"/>
  <c r="G128" i="42"/>
  <c r="G129" i="42"/>
  <c r="G130" i="42"/>
  <c r="G131" i="42"/>
  <c r="G132" i="42"/>
  <c r="G133" i="42"/>
  <c r="G134" i="42"/>
  <c r="G135" i="42"/>
  <c r="G136" i="42"/>
  <c r="G137" i="42"/>
  <c r="G138" i="42"/>
  <c r="G139" i="42"/>
  <c r="G140" i="42"/>
  <c r="G141" i="42"/>
  <c r="G142" i="42"/>
  <c r="G143" i="42"/>
  <c r="G144" i="42"/>
  <c r="G145" i="42"/>
  <c r="G146" i="42"/>
  <c r="G147" i="42"/>
  <c r="G148" i="42"/>
  <c r="G149" i="42"/>
  <c r="G150" i="42"/>
  <c r="G151" i="42"/>
  <c r="G152" i="42"/>
  <c r="G153" i="42"/>
  <c r="G154" i="42"/>
  <c r="G155" i="42"/>
  <c r="G156" i="42"/>
  <c r="G157" i="42"/>
  <c r="G158" i="42"/>
  <c r="G159" i="42"/>
  <c r="G160" i="42"/>
  <c r="G161" i="42"/>
  <c r="G162" i="42"/>
  <c r="G163" i="42"/>
  <c r="G164" i="42"/>
  <c r="G165" i="42"/>
  <c r="G166" i="42"/>
  <c r="G167" i="42"/>
  <c r="G168" i="42"/>
  <c r="G169" i="42"/>
  <c r="G170" i="42"/>
  <c r="G171" i="42"/>
  <c r="G172" i="42"/>
  <c r="G173" i="42"/>
  <c r="G174" i="42"/>
  <c r="G175" i="42"/>
  <c r="G176" i="42"/>
  <c r="G177" i="42"/>
  <c r="G178" i="42"/>
  <c r="G179" i="42"/>
  <c r="G180" i="42"/>
  <c r="G181" i="42"/>
  <c r="G182" i="42"/>
  <c r="G183" i="42"/>
  <c r="G184" i="42"/>
  <c r="G185" i="42"/>
  <c r="G186" i="42"/>
  <c r="G187" i="42"/>
  <c r="G188" i="42"/>
  <c r="G189" i="42"/>
  <c r="G190" i="42"/>
  <c r="G191" i="42"/>
  <c r="G192" i="42"/>
  <c r="G193" i="42"/>
  <c r="G194" i="42"/>
  <c r="G195" i="42"/>
  <c r="G196" i="42"/>
  <c r="G197" i="42"/>
  <c r="G198" i="42"/>
  <c r="G199" i="42"/>
  <c r="G200" i="42"/>
  <c r="G201" i="42"/>
  <c r="G202" i="42"/>
  <c r="G203" i="42"/>
  <c r="G204" i="42"/>
  <c r="G205" i="42"/>
  <c r="G206" i="42"/>
  <c r="G207" i="42"/>
  <c r="G208" i="42"/>
  <c r="G209" i="42"/>
  <c r="G210" i="42"/>
  <c r="G211" i="42"/>
  <c r="G212" i="42"/>
  <c r="G213" i="42"/>
  <c r="G214" i="42"/>
  <c r="G215" i="42"/>
  <c r="G216" i="42"/>
  <c r="G217" i="42"/>
  <c r="G218" i="42"/>
  <c r="G219" i="42"/>
  <c r="G220" i="42"/>
  <c r="G221" i="42"/>
  <c r="G222" i="42"/>
  <c r="G223" i="42"/>
  <c r="G224" i="42"/>
  <c r="G225" i="42"/>
  <c r="G226" i="42"/>
  <c r="G227" i="42"/>
  <c r="G228" i="42"/>
  <c r="G229" i="42"/>
  <c r="G230" i="42"/>
  <c r="G231" i="42"/>
  <c r="G232" i="42"/>
  <c r="G233" i="42"/>
  <c r="G234" i="42"/>
  <c r="G235" i="42"/>
  <c r="G236" i="42"/>
  <c r="G237" i="42"/>
  <c r="G238" i="42"/>
  <c r="G239" i="42"/>
  <c r="G240" i="42"/>
  <c r="G241" i="42"/>
  <c r="G242" i="42"/>
  <c r="G243" i="42"/>
  <c r="G244" i="42"/>
  <c r="G245" i="42"/>
  <c r="G246" i="42"/>
  <c r="G247" i="42"/>
  <c r="G248" i="42"/>
  <c r="G249" i="42"/>
  <c r="G250" i="42"/>
  <c r="G251" i="42"/>
  <c r="G252" i="42"/>
  <c r="G253" i="42"/>
  <c r="G254" i="42"/>
  <c r="G255" i="42"/>
  <c r="G256" i="42"/>
  <c r="G257" i="42"/>
  <c r="G258" i="42"/>
  <c r="G259" i="42"/>
  <c r="G12" i="42"/>
  <c r="F12" i="42"/>
  <c r="G11" i="52"/>
  <c r="G12" i="52"/>
  <c r="G13" i="52"/>
  <c r="G14" i="52"/>
  <c r="G15" i="52"/>
  <c r="G16" i="52"/>
  <c r="G17" i="52"/>
  <c r="G18" i="52"/>
  <c r="N18" i="52" s="1"/>
  <c r="G19" i="52"/>
  <c r="G20" i="52"/>
  <c r="G21" i="52"/>
  <c r="G22" i="52"/>
  <c r="G23" i="52"/>
  <c r="G24" i="52"/>
  <c r="G25" i="52"/>
  <c r="G26" i="52"/>
  <c r="G27" i="52"/>
  <c r="G28" i="52"/>
  <c r="G29" i="52"/>
  <c r="G30" i="52"/>
  <c r="G31" i="52"/>
  <c r="G32" i="52"/>
  <c r="G33" i="52"/>
  <c r="G34" i="52"/>
  <c r="G35" i="52"/>
  <c r="G36" i="52"/>
  <c r="G37" i="52"/>
  <c r="G38" i="52"/>
  <c r="G39" i="52"/>
  <c r="G40" i="52"/>
  <c r="G41" i="52"/>
  <c r="G42" i="52"/>
  <c r="G43" i="52"/>
  <c r="G44" i="52"/>
  <c r="G45" i="52"/>
  <c r="G46" i="52"/>
  <c r="G47" i="52"/>
  <c r="G48" i="52"/>
  <c r="G49" i="52"/>
  <c r="G50" i="52"/>
  <c r="G51" i="52"/>
  <c r="G52" i="52"/>
  <c r="G53" i="52"/>
  <c r="G54" i="52"/>
  <c r="G55" i="52"/>
  <c r="G56" i="52"/>
  <c r="G57" i="52"/>
  <c r="G58" i="52"/>
  <c r="G59" i="52"/>
  <c r="G60" i="52"/>
  <c r="G61" i="52"/>
  <c r="G62" i="52"/>
  <c r="G63" i="52"/>
  <c r="G64" i="52"/>
  <c r="G65" i="52"/>
  <c r="G66" i="52"/>
  <c r="G67" i="52"/>
  <c r="G68" i="52"/>
  <c r="G69" i="52"/>
  <c r="G70" i="52"/>
  <c r="G71" i="52"/>
  <c r="G72" i="52"/>
  <c r="G73" i="52"/>
  <c r="G74" i="52"/>
  <c r="G75" i="52"/>
  <c r="G76" i="52"/>
  <c r="G77" i="52"/>
  <c r="G78" i="52"/>
  <c r="G79" i="52"/>
  <c r="G80" i="52"/>
  <c r="G81" i="52"/>
  <c r="G82" i="52"/>
  <c r="G83" i="52"/>
  <c r="G84" i="52"/>
  <c r="G85" i="52"/>
  <c r="G86" i="52"/>
  <c r="G87" i="52"/>
  <c r="G88" i="52"/>
  <c r="G89" i="52"/>
  <c r="G90" i="52"/>
  <c r="G91" i="52"/>
  <c r="G92" i="52"/>
  <c r="G93" i="52"/>
  <c r="G94" i="52"/>
  <c r="G95" i="52"/>
  <c r="G96" i="52"/>
  <c r="G97" i="52"/>
  <c r="G98" i="52"/>
  <c r="G99" i="52"/>
  <c r="G100" i="52"/>
  <c r="G101" i="52"/>
  <c r="G102" i="52"/>
  <c r="G103" i="52"/>
  <c r="G104" i="52"/>
  <c r="G105" i="52"/>
  <c r="G106" i="52"/>
  <c r="G107" i="52"/>
  <c r="G108" i="52"/>
  <c r="G109" i="52"/>
  <c r="G110" i="52"/>
  <c r="G111" i="52"/>
  <c r="G112" i="52"/>
  <c r="G113" i="52"/>
  <c r="G114" i="52"/>
  <c r="G115" i="52"/>
  <c r="G116" i="52"/>
  <c r="G117" i="52"/>
  <c r="G118" i="52"/>
  <c r="G119" i="52"/>
  <c r="G120" i="52"/>
  <c r="G121" i="52"/>
  <c r="G122" i="52"/>
  <c r="G123" i="52"/>
  <c r="G124" i="52"/>
  <c r="G125" i="52"/>
  <c r="G126" i="52"/>
  <c r="G127" i="52"/>
  <c r="G128" i="52"/>
  <c r="G129" i="52"/>
  <c r="G130" i="52"/>
  <c r="G131" i="52"/>
  <c r="G132" i="52"/>
  <c r="G133" i="52"/>
  <c r="G134" i="52"/>
  <c r="G135" i="52"/>
  <c r="G136" i="52"/>
  <c r="G137" i="52"/>
  <c r="G138" i="52"/>
  <c r="G139" i="52"/>
  <c r="G140" i="52"/>
  <c r="G141" i="52"/>
  <c r="G142" i="52"/>
  <c r="G143" i="52"/>
  <c r="G144" i="52"/>
  <c r="G145" i="52"/>
  <c r="G146" i="52"/>
  <c r="G147" i="52"/>
  <c r="G148" i="52"/>
  <c r="G149" i="52"/>
  <c r="G150" i="52"/>
  <c r="G151" i="52"/>
  <c r="G152" i="52"/>
  <c r="G153" i="52"/>
  <c r="G154" i="52"/>
  <c r="G155" i="52"/>
  <c r="G156" i="52"/>
  <c r="G157" i="52"/>
  <c r="G158" i="52"/>
  <c r="G159" i="52"/>
  <c r="G160" i="52"/>
  <c r="G161" i="52"/>
  <c r="G162" i="52"/>
  <c r="G163" i="52"/>
  <c r="G164" i="52"/>
  <c r="G165" i="52"/>
  <c r="G166" i="52"/>
  <c r="G167" i="52"/>
  <c r="G168" i="52"/>
  <c r="G169" i="52"/>
  <c r="G170" i="52"/>
  <c r="G171" i="52"/>
  <c r="G172" i="52"/>
  <c r="G173" i="52"/>
  <c r="G174" i="52"/>
  <c r="G175" i="52"/>
  <c r="G176" i="52"/>
  <c r="G177" i="52"/>
  <c r="G178" i="52"/>
  <c r="G179" i="52"/>
  <c r="G180" i="52"/>
  <c r="G181" i="52"/>
  <c r="G182" i="52"/>
  <c r="G183" i="52"/>
  <c r="G184" i="52"/>
  <c r="G185" i="52"/>
  <c r="G186" i="52"/>
  <c r="G187" i="52"/>
  <c r="G188" i="52"/>
  <c r="G189" i="52"/>
  <c r="G190" i="52"/>
  <c r="G191" i="52"/>
  <c r="G192" i="52"/>
  <c r="G193" i="52"/>
  <c r="G194" i="52"/>
  <c r="G195" i="52"/>
  <c r="G196" i="52"/>
  <c r="G197" i="52"/>
  <c r="G198" i="52"/>
  <c r="G199" i="52"/>
  <c r="G200" i="52"/>
  <c r="G201" i="52"/>
  <c r="G202" i="52"/>
  <c r="G203" i="52"/>
  <c r="G204" i="52"/>
  <c r="G205" i="52"/>
  <c r="G206" i="52"/>
  <c r="G207" i="52"/>
  <c r="G208" i="52"/>
  <c r="G209" i="52"/>
  <c r="G210" i="52"/>
  <c r="G211" i="52"/>
  <c r="G212" i="52"/>
  <c r="G213" i="52"/>
  <c r="G214" i="52"/>
  <c r="G215" i="52"/>
  <c r="G216" i="52"/>
  <c r="G217" i="52"/>
  <c r="G218" i="52"/>
  <c r="G219" i="52"/>
  <c r="G220" i="52"/>
  <c r="G221" i="52"/>
  <c r="G222" i="52"/>
  <c r="G223" i="52"/>
  <c r="G224" i="52"/>
  <c r="G225" i="52"/>
  <c r="G226" i="52"/>
  <c r="G227" i="52"/>
  <c r="G228" i="52"/>
  <c r="G229" i="52"/>
  <c r="G230" i="52"/>
  <c r="G231" i="52"/>
  <c r="G232" i="52"/>
  <c r="G233" i="52"/>
  <c r="G234" i="52"/>
  <c r="G235" i="52"/>
  <c r="G236" i="52"/>
  <c r="G237" i="52"/>
  <c r="G238" i="52"/>
  <c r="G239" i="52"/>
  <c r="G240" i="52"/>
  <c r="G241" i="52"/>
  <c r="G242" i="52"/>
  <c r="G243" i="52"/>
  <c r="G244" i="52"/>
  <c r="G245" i="52"/>
  <c r="G246" i="52"/>
  <c r="G247" i="52"/>
  <c r="G248" i="52"/>
  <c r="G249" i="52"/>
  <c r="G250" i="52"/>
  <c r="G251" i="52"/>
  <c r="G252" i="52"/>
  <c r="G253" i="52"/>
  <c r="G254" i="52"/>
  <c r="G255" i="52"/>
  <c r="G256" i="52"/>
  <c r="G257" i="52"/>
  <c r="G10" i="52"/>
  <c r="N10" i="52" s="1"/>
  <c r="F10" i="52"/>
  <c r="N247" i="52" l="1"/>
  <c r="U247" i="52" s="1"/>
  <c r="N235" i="52"/>
  <c r="U235" i="52" s="1"/>
  <c r="N219" i="52"/>
  <c r="U219" i="52" s="1"/>
  <c r="N207" i="52"/>
  <c r="U207" i="52" s="1"/>
  <c r="N191" i="52"/>
  <c r="U191" i="52" s="1"/>
  <c r="N175" i="52"/>
  <c r="U175" i="52" s="1"/>
  <c r="N167" i="52"/>
  <c r="U167" i="52" s="1"/>
  <c r="N151" i="52"/>
  <c r="U151" i="52" s="1"/>
  <c r="N135" i="52"/>
  <c r="U135" i="52" s="1"/>
  <c r="N119" i="52"/>
  <c r="U119" i="52" s="1"/>
  <c r="N111" i="52"/>
  <c r="U111" i="52" s="1"/>
  <c r="N99" i="52"/>
  <c r="U99" i="52" s="1"/>
  <c r="N83" i="52"/>
  <c r="U83" i="52" s="1"/>
  <c r="N71" i="52"/>
  <c r="U71" i="52" s="1"/>
  <c r="N59" i="52"/>
  <c r="U59" i="52" s="1"/>
  <c r="N47" i="52"/>
  <c r="U47" i="52" s="1"/>
  <c r="N43" i="52"/>
  <c r="U43" i="52" s="1"/>
  <c r="N35" i="52"/>
  <c r="U35" i="52" s="1"/>
  <c r="N31" i="52"/>
  <c r="U31" i="52" s="1"/>
  <c r="N23" i="52"/>
  <c r="U23" i="52" s="1"/>
  <c r="N19" i="52"/>
  <c r="U19" i="52" s="1"/>
  <c r="N15" i="52"/>
  <c r="U15" i="52" s="1"/>
  <c r="N11" i="52"/>
  <c r="U11" i="52" s="1"/>
  <c r="N254" i="52"/>
  <c r="U254" i="52" s="1"/>
  <c r="N250" i="52"/>
  <c r="U250" i="52" s="1"/>
  <c r="N246" i="52"/>
  <c r="U246" i="52" s="1"/>
  <c r="N242" i="52"/>
  <c r="U242" i="52" s="1"/>
  <c r="N238" i="52"/>
  <c r="U238" i="52" s="1"/>
  <c r="N234" i="52"/>
  <c r="U234" i="52" s="1"/>
  <c r="N230" i="52"/>
  <c r="U230" i="52" s="1"/>
  <c r="N226" i="52"/>
  <c r="U226" i="52" s="1"/>
  <c r="N222" i="52"/>
  <c r="U222" i="52" s="1"/>
  <c r="N218" i="52"/>
  <c r="U218" i="52" s="1"/>
  <c r="N214" i="52"/>
  <c r="U214" i="52" s="1"/>
  <c r="N210" i="52"/>
  <c r="U210" i="52" s="1"/>
  <c r="N206" i="52"/>
  <c r="U206" i="52" s="1"/>
  <c r="N202" i="52"/>
  <c r="U202" i="52" s="1"/>
  <c r="N198" i="52"/>
  <c r="U198" i="52" s="1"/>
  <c r="N194" i="52"/>
  <c r="U194" i="52" s="1"/>
  <c r="N190" i="52"/>
  <c r="U190" i="52" s="1"/>
  <c r="N186" i="52"/>
  <c r="U186" i="52" s="1"/>
  <c r="N182" i="52"/>
  <c r="U182" i="52" s="1"/>
  <c r="N178" i="52"/>
  <c r="U178" i="52" s="1"/>
  <c r="N174" i="52"/>
  <c r="U174" i="52" s="1"/>
  <c r="N170" i="52"/>
  <c r="U170" i="52" s="1"/>
  <c r="N166" i="52"/>
  <c r="U166" i="52" s="1"/>
  <c r="N162" i="52"/>
  <c r="U162" i="52" s="1"/>
  <c r="N158" i="52"/>
  <c r="U158" i="52" s="1"/>
  <c r="N154" i="52"/>
  <c r="U154" i="52" s="1"/>
  <c r="N150" i="52"/>
  <c r="U150" i="52" s="1"/>
  <c r="N146" i="52"/>
  <c r="U146" i="52" s="1"/>
  <c r="N142" i="52"/>
  <c r="U142" i="52" s="1"/>
  <c r="N138" i="52"/>
  <c r="U138" i="52" s="1"/>
  <c r="N134" i="52"/>
  <c r="U134" i="52" s="1"/>
  <c r="N130" i="52"/>
  <c r="U130" i="52" s="1"/>
  <c r="N126" i="52"/>
  <c r="U126" i="52" s="1"/>
  <c r="N122" i="52"/>
  <c r="U122" i="52" s="1"/>
  <c r="N118" i="52"/>
  <c r="U118" i="52" s="1"/>
  <c r="N114" i="52"/>
  <c r="U114" i="52" s="1"/>
  <c r="N110" i="52"/>
  <c r="U110" i="52" s="1"/>
  <c r="N106" i="52"/>
  <c r="U106" i="52" s="1"/>
  <c r="N102" i="52"/>
  <c r="U102" i="52" s="1"/>
  <c r="N98" i="52"/>
  <c r="U98" i="52" s="1"/>
  <c r="N94" i="52"/>
  <c r="U94" i="52" s="1"/>
  <c r="N90" i="52"/>
  <c r="U90" i="52" s="1"/>
  <c r="N86" i="52"/>
  <c r="U86" i="52" s="1"/>
  <c r="N82" i="52"/>
  <c r="U82" i="52" s="1"/>
  <c r="N78" i="52"/>
  <c r="U78" i="52" s="1"/>
  <c r="N74" i="52"/>
  <c r="U74" i="52" s="1"/>
  <c r="N70" i="52"/>
  <c r="U70" i="52" s="1"/>
  <c r="N66" i="52"/>
  <c r="U66" i="52" s="1"/>
  <c r="N62" i="52"/>
  <c r="U62" i="52" s="1"/>
  <c r="N58" i="52"/>
  <c r="U58" i="52" s="1"/>
  <c r="N54" i="52"/>
  <c r="U54" i="52" s="1"/>
  <c r="N50" i="52"/>
  <c r="U50" i="52" s="1"/>
  <c r="N46" i="52"/>
  <c r="U46" i="52" s="1"/>
  <c r="N42" i="52"/>
  <c r="U42" i="52" s="1"/>
  <c r="N38" i="52"/>
  <c r="U38" i="52" s="1"/>
  <c r="N34" i="52"/>
  <c r="U34" i="52" s="1"/>
  <c r="N30" i="52"/>
  <c r="U30" i="52" s="1"/>
  <c r="N26" i="52"/>
  <c r="U26" i="52" s="1"/>
  <c r="N22" i="52"/>
  <c r="U22" i="52" s="1"/>
  <c r="U18" i="52"/>
  <c r="N14" i="52"/>
  <c r="U14" i="52" s="1"/>
  <c r="N251" i="52"/>
  <c r="U251" i="52" s="1"/>
  <c r="N231" i="52"/>
  <c r="U231" i="52" s="1"/>
  <c r="N215" i="52"/>
  <c r="U215" i="52" s="1"/>
  <c r="N199" i="52"/>
  <c r="U199" i="52" s="1"/>
  <c r="N179" i="52"/>
  <c r="U179" i="52" s="1"/>
  <c r="N159" i="52"/>
  <c r="U159" i="52" s="1"/>
  <c r="N143" i="52"/>
  <c r="U143" i="52" s="1"/>
  <c r="N127" i="52"/>
  <c r="U127" i="52" s="1"/>
  <c r="N103" i="52"/>
  <c r="U103" i="52" s="1"/>
  <c r="N87" i="52"/>
  <c r="U87" i="52" s="1"/>
  <c r="N63" i="52"/>
  <c r="U63" i="52" s="1"/>
  <c r="N249" i="52"/>
  <c r="U249" i="52" s="1"/>
  <c r="N241" i="52"/>
  <c r="U241" i="52" s="1"/>
  <c r="N233" i="52"/>
  <c r="U233" i="52" s="1"/>
  <c r="N225" i="52"/>
  <c r="U225" i="52" s="1"/>
  <c r="N213" i="52"/>
  <c r="U213" i="52" s="1"/>
  <c r="N205" i="52"/>
  <c r="U205" i="52" s="1"/>
  <c r="N197" i="52"/>
  <c r="U197" i="52" s="1"/>
  <c r="N185" i="52"/>
  <c r="U185" i="52" s="1"/>
  <c r="N177" i="52"/>
  <c r="U177" i="52" s="1"/>
  <c r="N173" i="52"/>
  <c r="U173" i="52" s="1"/>
  <c r="N165" i="52"/>
  <c r="U165" i="52" s="1"/>
  <c r="N157" i="52"/>
  <c r="U157" i="52" s="1"/>
  <c r="N149" i="52"/>
  <c r="U149" i="52" s="1"/>
  <c r="N137" i="52"/>
  <c r="U137" i="52" s="1"/>
  <c r="N125" i="52"/>
  <c r="U125" i="52" s="1"/>
  <c r="N117" i="52"/>
  <c r="U117" i="52" s="1"/>
  <c r="N105" i="52"/>
  <c r="U105" i="52" s="1"/>
  <c r="N93" i="52"/>
  <c r="U93" i="52" s="1"/>
  <c r="N85" i="52"/>
  <c r="U85" i="52" s="1"/>
  <c r="N77" i="52"/>
  <c r="U77" i="52" s="1"/>
  <c r="N73" i="52"/>
  <c r="U73" i="52" s="1"/>
  <c r="N65" i="52"/>
  <c r="U65" i="52" s="1"/>
  <c r="N57" i="52"/>
  <c r="U57" i="52" s="1"/>
  <c r="N53" i="52"/>
  <c r="U53" i="52" s="1"/>
  <c r="N41" i="52"/>
  <c r="U41" i="52" s="1"/>
  <c r="N33" i="52"/>
  <c r="U33" i="52" s="1"/>
  <c r="N17" i="52"/>
  <c r="U17" i="52" s="1"/>
  <c r="N255" i="52"/>
  <c r="U255" i="52" s="1"/>
  <c r="N239" i="52"/>
  <c r="U239" i="52" s="1"/>
  <c r="N223" i="52"/>
  <c r="U223" i="52" s="1"/>
  <c r="N211" i="52"/>
  <c r="U211" i="52" s="1"/>
  <c r="N195" i="52"/>
  <c r="U195" i="52" s="1"/>
  <c r="N183" i="52"/>
  <c r="U183" i="52" s="1"/>
  <c r="N171" i="52"/>
  <c r="U171" i="52" s="1"/>
  <c r="N155" i="52"/>
  <c r="U155" i="52" s="1"/>
  <c r="N139" i="52"/>
  <c r="U139" i="52" s="1"/>
  <c r="N123" i="52"/>
  <c r="U123" i="52" s="1"/>
  <c r="N107" i="52"/>
  <c r="U107" i="52" s="1"/>
  <c r="N91" i="52"/>
  <c r="U91" i="52" s="1"/>
  <c r="N79" i="52"/>
  <c r="U79" i="52" s="1"/>
  <c r="N67" i="52"/>
  <c r="U67" i="52" s="1"/>
  <c r="N51" i="52"/>
  <c r="U51" i="52" s="1"/>
  <c r="N257" i="52"/>
  <c r="U257" i="52" s="1"/>
  <c r="N253" i="52"/>
  <c r="U253" i="52" s="1"/>
  <c r="N245" i="52"/>
  <c r="U245" i="52" s="1"/>
  <c r="N237" i="52"/>
  <c r="U237" i="52" s="1"/>
  <c r="N229" i="52"/>
  <c r="U229" i="52" s="1"/>
  <c r="N221" i="52"/>
  <c r="U221" i="52" s="1"/>
  <c r="N217" i="52"/>
  <c r="U217" i="52" s="1"/>
  <c r="N209" i="52"/>
  <c r="U209" i="52" s="1"/>
  <c r="N201" i="52"/>
  <c r="U201" i="52" s="1"/>
  <c r="N193" i="52"/>
  <c r="U193" i="52" s="1"/>
  <c r="N189" i="52"/>
  <c r="U189" i="52" s="1"/>
  <c r="N181" i="52"/>
  <c r="U181" i="52" s="1"/>
  <c r="N169" i="52"/>
  <c r="U169" i="52" s="1"/>
  <c r="N161" i="52"/>
  <c r="U161" i="52" s="1"/>
  <c r="N153" i="52"/>
  <c r="U153" i="52" s="1"/>
  <c r="N145" i="52"/>
  <c r="U145" i="52" s="1"/>
  <c r="N141" i="52"/>
  <c r="U141" i="52" s="1"/>
  <c r="N133" i="52"/>
  <c r="U133" i="52" s="1"/>
  <c r="N129" i="52"/>
  <c r="U129" i="52" s="1"/>
  <c r="N121" i="52"/>
  <c r="U121" i="52" s="1"/>
  <c r="N113" i="52"/>
  <c r="U113" i="52" s="1"/>
  <c r="N109" i="52"/>
  <c r="U109" i="52" s="1"/>
  <c r="N101" i="52"/>
  <c r="U101" i="52" s="1"/>
  <c r="N97" i="52"/>
  <c r="U97" i="52" s="1"/>
  <c r="N89" i="52"/>
  <c r="U89" i="52" s="1"/>
  <c r="N81" i="52"/>
  <c r="U81" i="52" s="1"/>
  <c r="N69" i="52"/>
  <c r="U69" i="52" s="1"/>
  <c r="N61" i="52"/>
  <c r="U61" i="52" s="1"/>
  <c r="N49" i="52"/>
  <c r="U49" i="52" s="1"/>
  <c r="N45" i="52"/>
  <c r="U45" i="52" s="1"/>
  <c r="N37" i="52"/>
  <c r="U37" i="52" s="1"/>
  <c r="N29" i="52"/>
  <c r="U29" i="52" s="1"/>
  <c r="N25" i="52"/>
  <c r="U25" i="52" s="1"/>
  <c r="N21" i="52"/>
  <c r="U21" i="52" s="1"/>
  <c r="N13" i="52"/>
  <c r="U13" i="52" s="1"/>
  <c r="N256" i="52"/>
  <c r="U256" i="52" s="1"/>
  <c r="N252" i="52"/>
  <c r="U252" i="52" s="1"/>
  <c r="N248" i="52"/>
  <c r="U248" i="52" s="1"/>
  <c r="N244" i="52"/>
  <c r="U244" i="52" s="1"/>
  <c r="N240" i="52"/>
  <c r="U240" i="52" s="1"/>
  <c r="N236" i="52"/>
  <c r="U236" i="52" s="1"/>
  <c r="N232" i="52"/>
  <c r="U232" i="52" s="1"/>
  <c r="N228" i="52"/>
  <c r="U228" i="52" s="1"/>
  <c r="N224" i="52"/>
  <c r="U224" i="52" s="1"/>
  <c r="N220" i="52"/>
  <c r="U220" i="52" s="1"/>
  <c r="N216" i="52"/>
  <c r="U216" i="52" s="1"/>
  <c r="N212" i="52"/>
  <c r="U212" i="52" s="1"/>
  <c r="N208" i="52"/>
  <c r="U208" i="52" s="1"/>
  <c r="N204" i="52"/>
  <c r="U204" i="52" s="1"/>
  <c r="N200" i="52"/>
  <c r="U200" i="52" s="1"/>
  <c r="N196" i="52"/>
  <c r="U196" i="52" s="1"/>
  <c r="N192" i="52"/>
  <c r="U192" i="52" s="1"/>
  <c r="N188" i="52"/>
  <c r="U188" i="52" s="1"/>
  <c r="N184" i="52"/>
  <c r="U184" i="52" s="1"/>
  <c r="N180" i="52"/>
  <c r="U180" i="52" s="1"/>
  <c r="N176" i="52"/>
  <c r="U176" i="52" s="1"/>
  <c r="N172" i="52"/>
  <c r="U172" i="52" s="1"/>
  <c r="N168" i="52"/>
  <c r="U168" i="52" s="1"/>
  <c r="N164" i="52"/>
  <c r="U164" i="52" s="1"/>
  <c r="N160" i="52"/>
  <c r="U160" i="52" s="1"/>
  <c r="N156" i="52"/>
  <c r="U156" i="52" s="1"/>
  <c r="N152" i="52"/>
  <c r="U152" i="52" s="1"/>
  <c r="N148" i="52"/>
  <c r="U148" i="52" s="1"/>
  <c r="N144" i="52"/>
  <c r="U144" i="52" s="1"/>
  <c r="N140" i="52"/>
  <c r="U140" i="52" s="1"/>
  <c r="N136" i="52"/>
  <c r="U136" i="52" s="1"/>
  <c r="N132" i="52"/>
  <c r="U132" i="52" s="1"/>
  <c r="N128" i="52"/>
  <c r="U128" i="52" s="1"/>
  <c r="N124" i="52"/>
  <c r="U124" i="52" s="1"/>
  <c r="N120" i="52"/>
  <c r="U120" i="52" s="1"/>
  <c r="N116" i="52"/>
  <c r="U116" i="52" s="1"/>
  <c r="N112" i="52"/>
  <c r="U112" i="52" s="1"/>
  <c r="N108" i="52"/>
  <c r="U108" i="52" s="1"/>
  <c r="N104" i="52"/>
  <c r="U104" i="52" s="1"/>
  <c r="N100" i="52"/>
  <c r="U100" i="52" s="1"/>
  <c r="N96" i="52"/>
  <c r="U96" i="52" s="1"/>
  <c r="N92" i="52"/>
  <c r="U92" i="52" s="1"/>
  <c r="N88" i="52"/>
  <c r="U88" i="52" s="1"/>
  <c r="N84" i="52"/>
  <c r="U84" i="52" s="1"/>
  <c r="N80" i="52"/>
  <c r="U80" i="52" s="1"/>
  <c r="N76" i="52"/>
  <c r="U76" i="52" s="1"/>
  <c r="N72" i="52"/>
  <c r="U72" i="52" s="1"/>
  <c r="N68" i="52"/>
  <c r="U68" i="52" s="1"/>
  <c r="N64" i="52"/>
  <c r="U64" i="52" s="1"/>
  <c r="N60" i="52"/>
  <c r="U60" i="52" s="1"/>
  <c r="N56" i="52"/>
  <c r="U56" i="52" s="1"/>
  <c r="N52" i="52"/>
  <c r="U52" i="52" s="1"/>
  <c r="N48" i="52"/>
  <c r="U48" i="52" s="1"/>
  <c r="N44" i="52"/>
  <c r="U44" i="52" s="1"/>
  <c r="N40" i="52"/>
  <c r="U40" i="52" s="1"/>
  <c r="N36" i="52"/>
  <c r="U36" i="52" s="1"/>
  <c r="N32" i="52"/>
  <c r="U32" i="52" s="1"/>
  <c r="N28" i="52"/>
  <c r="U28" i="52" s="1"/>
  <c r="N24" i="52"/>
  <c r="U24" i="52" s="1"/>
  <c r="N20" i="52"/>
  <c r="U20" i="52" s="1"/>
  <c r="N16" i="52"/>
  <c r="U16" i="52" s="1"/>
  <c r="N12" i="52"/>
  <c r="U12" i="52" s="1"/>
  <c r="N243" i="52"/>
  <c r="U243" i="52" s="1"/>
  <c r="N227" i="52"/>
  <c r="U227" i="52" s="1"/>
  <c r="N203" i="52"/>
  <c r="U203" i="52" s="1"/>
  <c r="N187" i="52"/>
  <c r="U187" i="52" s="1"/>
  <c r="N163" i="52"/>
  <c r="U163" i="52" s="1"/>
  <c r="N147" i="52"/>
  <c r="U147" i="52" s="1"/>
  <c r="N131" i="52"/>
  <c r="U131" i="52" s="1"/>
  <c r="N115" i="52"/>
  <c r="U115" i="52" s="1"/>
  <c r="N95" i="52"/>
  <c r="U95" i="52" s="1"/>
  <c r="N75" i="52"/>
  <c r="U75" i="52" s="1"/>
  <c r="N55" i="52"/>
  <c r="U55" i="52" s="1"/>
  <c r="N39" i="52"/>
  <c r="U39" i="52" s="1"/>
  <c r="N27" i="52"/>
  <c r="U27" i="52" s="1"/>
  <c r="AI10" i="63"/>
  <c r="AI12" i="63" l="1"/>
  <c r="AI13" i="63"/>
  <c r="AI14" i="63"/>
  <c r="AI15" i="63"/>
  <c r="AI16" i="63"/>
  <c r="AI17" i="63"/>
  <c r="AI18" i="63"/>
  <c r="AI19" i="63"/>
  <c r="AI20" i="63"/>
  <c r="AI21" i="63"/>
  <c r="AI22" i="63"/>
  <c r="AI23" i="63"/>
  <c r="AI24" i="63"/>
  <c r="AI25" i="63"/>
  <c r="AI26" i="63"/>
  <c r="AI27" i="63"/>
  <c r="AI28" i="63"/>
  <c r="AI29" i="63"/>
  <c r="AI30" i="63"/>
  <c r="AI31" i="63"/>
  <c r="AI32" i="63"/>
  <c r="AI33" i="63"/>
  <c r="AI34" i="63"/>
  <c r="AI35" i="63"/>
  <c r="AI36" i="63"/>
  <c r="AI37" i="63"/>
  <c r="AI38" i="63"/>
  <c r="AI39" i="63"/>
  <c r="AI40" i="63"/>
  <c r="AI41" i="63"/>
  <c r="AI42" i="63"/>
  <c r="AI43" i="63"/>
  <c r="AI44" i="63"/>
  <c r="AI45" i="63"/>
  <c r="AI46" i="63"/>
  <c r="AI47" i="63"/>
  <c r="AI48" i="63"/>
  <c r="AI49" i="63"/>
  <c r="AI50" i="63"/>
  <c r="AI51" i="63"/>
  <c r="AI52" i="63"/>
  <c r="AI53" i="63"/>
  <c r="AI54" i="63"/>
  <c r="AI55" i="63"/>
  <c r="AI56" i="63"/>
  <c r="AI57" i="63"/>
  <c r="AI58" i="63"/>
  <c r="AI59" i="63"/>
  <c r="AI60" i="63"/>
  <c r="AI61" i="63"/>
  <c r="AI62" i="63"/>
  <c r="AI63" i="63"/>
  <c r="AI64" i="63"/>
  <c r="AI65" i="63"/>
  <c r="AI66" i="63"/>
  <c r="AI67" i="63"/>
  <c r="AI68" i="63"/>
  <c r="AI69" i="63"/>
  <c r="AI70" i="63"/>
  <c r="AI71" i="63"/>
  <c r="AI72" i="63"/>
  <c r="AI73" i="63"/>
  <c r="AI74" i="63"/>
  <c r="AI75" i="63"/>
  <c r="AI76" i="63"/>
  <c r="AI77" i="63"/>
  <c r="AI78" i="63"/>
  <c r="AI79" i="63"/>
  <c r="AI80" i="63"/>
  <c r="AI81" i="63"/>
  <c r="AI82" i="63"/>
  <c r="AI83" i="63"/>
  <c r="AI84" i="63"/>
  <c r="AI85" i="63"/>
  <c r="AI86" i="63"/>
  <c r="AI87" i="63"/>
  <c r="AI88" i="63"/>
  <c r="AI89" i="63"/>
  <c r="AI90" i="63"/>
  <c r="AI91" i="63"/>
  <c r="AI92" i="63"/>
  <c r="AI93" i="63"/>
  <c r="AI94" i="63"/>
  <c r="AI95" i="63"/>
  <c r="AI96" i="63"/>
  <c r="AI97" i="63"/>
  <c r="AI98" i="63"/>
  <c r="AI99" i="63"/>
  <c r="AI100" i="63"/>
  <c r="AI101" i="63"/>
  <c r="AI102" i="63"/>
  <c r="AI103" i="63"/>
  <c r="AI104" i="63"/>
  <c r="AI105" i="63"/>
  <c r="AI106" i="63"/>
  <c r="AI107" i="63"/>
  <c r="AI108" i="63"/>
  <c r="AI109" i="63"/>
  <c r="AI110" i="63"/>
  <c r="AI111" i="63"/>
  <c r="AI112" i="63"/>
  <c r="AI113" i="63"/>
  <c r="AI114" i="63"/>
  <c r="AI115" i="63"/>
  <c r="AI116" i="63"/>
  <c r="AI117" i="63"/>
  <c r="AI118" i="63"/>
  <c r="AI119" i="63"/>
  <c r="AI120" i="63"/>
  <c r="AI121" i="63"/>
  <c r="AI122" i="63"/>
  <c r="AI123" i="63"/>
  <c r="AI124" i="63"/>
  <c r="AI125" i="63"/>
  <c r="AI126" i="63"/>
  <c r="AI127" i="63"/>
  <c r="AI128" i="63"/>
  <c r="AI129" i="63"/>
  <c r="AI130" i="63"/>
  <c r="AI131" i="63"/>
  <c r="AI132" i="63"/>
  <c r="AI133" i="63"/>
  <c r="AI134" i="63"/>
  <c r="AI135" i="63"/>
  <c r="AI136" i="63"/>
  <c r="AI137" i="63"/>
  <c r="AI138" i="63"/>
  <c r="AI139" i="63"/>
  <c r="AI140" i="63"/>
  <c r="AI141" i="63"/>
  <c r="AI142" i="63"/>
  <c r="AI143" i="63"/>
  <c r="AI144" i="63"/>
  <c r="AI145" i="63"/>
  <c r="AI146" i="63"/>
  <c r="AI147" i="63"/>
  <c r="AI148" i="63"/>
  <c r="AI149" i="63"/>
  <c r="AI150" i="63"/>
  <c r="AI151" i="63"/>
  <c r="AI152" i="63"/>
  <c r="AI153" i="63"/>
  <c r="AI154" i="63"/>
  <c r="AI155" i="63"/>
  <c r="AI156" i="63"/>
  <c r="AI157" i="63"/>
  <c r="AI158" i="63"/>
  <c r="AI159" i="63"/>
  <c r="AI160" i="63"/>
  <c r="AI161" i="63"/>
  <c r="AI162" i="63"/>
  <c r="AI163" i="63"/>
  <c r="AI164" i="63"/>
  <c r="AI165" i="63"/>
  <c r="AI166" i="63"/>
  <c r="AI167" i="63"/>
  <c r="AI168" i="63"/>
  <c r="AI169" i="63"/>
  <c r="AI170" i="63"/>
  <c r="AI171" i="63"/>
  <c r="AI172" i="63"/>
  <c r="AI173" i="63"/>
  <c r="AI174" i="63"/>
  <c r="AI175" i="63"/>
  <c r="AI176" i="63"/>
  <c r="AI177" i="63"/>
  <c r="AI178" i="63"/>
  <c r="AI179" i="63"/>
  <c r="AI180" i="63"/>
  <c r="AI181" i="63"/>
  <c r="AI182" i="63"/>
  <c r="AI183" i="63"/>
  <c r="AI184" i="63"/>
  <c r="AI185" i="63"/>
  <c r="AI186" i="63"/>
  <c r="AI187" i="63"/>
  <c r="AI188" i="63"/>
  <c r="AI189" i="63"/>
  <c r="AI190" i="63"/>
  <c r="AI191" i="63"/>
  <c r="AI192" i="63"/>
  <c r="AI193" i="63"/>
  <c r="AI194" i="63"/>
  <c r="AI195" i="63"/>
  <c r="AI196" i="63"/>
  <c r="AI197" i="63"/>
  <c r="AI198" i="63"/>
  <c r="AI199" i="63"/>
  <c r="AI200" i="63"/>
  <c r="AI201" i="63"/>
  <c r="AI202" i="63"/>
  <c r="AI203" i="63"/>
  <c r="AI204" i="63"/>
  <c r="AI205" i="63"/>
  <c r="AI206" i="63"/>
  <c r="AI207" i="63"/>
  <c r="AI208" i="63"/>
  <c r="AI209" i="63"/>
  <c r="AI210" i="63"/>
  <c r="AI211" i="63"/>
  <c r="AI212" i="63"/>
  <c r="AI213" i="63"/>
  <c r="AI214" i="63"/>
  <c r="AI215" i="63"/>
  <c r="AI216" i="63"/>
  <c r="AI217" i="63"/>
  <c r="AI218" i="63"/>
  <c r="AI219" i="63"/>
  <c r="AI220" i="63"/>
  <c r="AI221" i="63"/>
  <c r="AI222" i="63"/>
  <c r="AI223" i="63"/>
  <c r="AI224" i="63"/>
  <c r="AI225" i="63"/>
  <c r="AI226" i="63"/>
  <c r="AI227" i="63"/>
  <c r="AI228" i="63"/>
  <c r="AI229" i="63"/>
  <c r="AI230" i="63"/>
  <c r="AI231" i="63"/>
  <c r="AI232" i="63"/>
  <c r="AI233" i="63"/>
  <c r="AI234" i="63"/>
  <c r="AI235" i="63"/>
  <c r="AI236" i="63"/>
  <c r="AI237" i="63"/>
  <c r="AI238" i="63"/>
  <c r="AI239" i="63"/>
  <c r="AI240" i="63"/>
  <c r="AI241" i="63"/>
  <c r="AI242" i="63"/>
  <c r="AI243" i="63"/>
  <c r="AI244" i="63"/>
  <c r="AI245" i="63"/>
  <c r="AI246" i="63"/>
  <c r="AI247" i="63"/>
  <c r="AI248" i="63"/>
  <c r="AI249" i="63"/>
  <c r="AI250" i="63"/>
  <c r="AI251" i="63"/>
  <c r="AI252" i="63"/>
  <c r="AI253" i="63"/>
  <c r="AI254" i="63"/>
  <c r="AI255" i="63"/>
  <c r="AI256" i="63"/>
  <c r="AI257" i="63"/>
  <c r="U5" i="63" l="1"/>
  <c r="AP65" i="108" l="1"/>
  <c r="X33" i="63"/>
  <c r="X34" i="63"/>
  <c r="X35" i="63"/>
  <c r="X36" i="63"/>
  <c r="X37" i="63"/>
  <c r="X39" i="63"/>
  <c r="X40" i="63"/>
  <c r="X41" i="63"/>
  <c r="X42" i="63"/>
  <c r="X43" i="63"/>
  <c r="X44" i="63"/>
  <c r="X45" i="63"/>
  <c r="X46" i="63"/>
  <c r="X48" i="63"/>
  <c r="X49" i="63"/>
  <c r="X50" i="63"/>
  <c r="X51" i="63"/>
  <c r="X52" i="63"/>
  <c r="X53" i="63"/>
  <c r="X54" i="63"/>
  <c r="X55" i="63"/>
  <c r="X56" i="63"/>
  <c r="X57" i="63"/>
  <c r="X58" i="63"/>
  <c r="X59" i="63"/>
  <c r="X60" i="63"/>
  <c r="X61" i="63"/>
  <c r="X62" i="63"/>
  <c r="X63" i="63"/>
  <c r="X64" i="63"/>
  <c r="X65" i="63"/>
  <c r="X66" i="63"/>
  <c r="X67" i="63"/>
  <c r="X68" i="63"/>
  <c r="X69" i="63"/>
  <c r="X70" i="63"/>
  <c r="X71" i="63"/>
  <c r="X72" i="63"/>
  <c r="X73" i="63"/>
  <c r="X74" i="63"/>
  <c r="X75" i="63"/>
  <c r="X76" i="63"/>
  <c r="X77" i="63"/>
  <c r="X78" i="63"/>
  <c r="X79" i="63"/>
  <c r="X80" i="63"/>
  <c r="X81" i="63"/>
  <c r="X82" i="63"/>
  <c r="X83" i="63"/>
  <c r="X84" i="63"/>
  <c r="X85" i="63"/>
  <c r="X86" i="63"/>
  <c r="X87" i="63"/>
  <c r="X88" i="63"/>
  <c r="X89" i="63"/>
  <c r="X90" i="63"/>
  <c r="X91" i="63"/>
  <c r="X92" i="63"/>
  <c r="X93" i="63"/>
  <c r="X94" i="63"/>
  <c r="X95" i="63"/>
  <c r="X96" i="63"/>
  <c r="X97" i="63"/>
  <c r="X98" i="63"/>
  <c r="X99" i="63"/>
  <c r="X100" i="63"/>
  <c r="X101" i="63"/>
  <c r="X102" i="63"/>
  <c r="X103" i="63"/>
  <c r="X104" i="63"/>
  <c r="X105" i="63"/>
  <c r="X106" i="63"/>
  <c r="X107" i="63"/>
  <c r="X108" i="63"/>
  <c r="X109" i="63"/>
  <c r="X110" i="63"/>
  <c r="X111" i="63"/>
  <c r="X112" i="63"/>
  <c r="X113" i="63"/>
  <c r="X114" i="63"/>
  <c r="X115" i="63"/>
  <c r="X116" i="63"/>
  <c r="X117" i="63"/>
  <c r="X118" i="63"/>
  <c r="X119" i="63"/>
  <c r="X120" i="63"/>
  <c r="X121" i="63"/>
  <c r="X122" i="63"/>
  <c r="X123" i="63"/>
  <c r="X124" i="63"/>
  <c r="X125" i="63"/>
  <c r="X126" i="63"/>
  <c r="X127" i="63"/>
  <c r="X128" i="63"/>
  <c r="X129" i="63"/>
  <c r="X130" i="63"/>
  <c r="X131" i="63"/>
  <c r="X132" i="63"/>
  <c r="X133" i="63"/>
  <c r="X134" i="63"/>
  <c r="X135" i="63"/>
  <c r="X136" i="63"/>
  <c r="X137" i="63"/>
  <c r="X138" i="63"/>
  <c r="X139" i="63"/>
  <c r="X140" i="63"/>
  <c r="X141" i="63"/>
  <c r="X142" i="63"/>
  <c r="X143" i="63"/>
  <c r="X144" i="63"/>
  <c r="X145" i="63"/>
  <c r="X146" i="63"/>
  <c r="X147" i="63"/>
  <c r="X148" i="63"/>
  <c r="X149" i="63"/>
  <c r="X150" i="63"/>
  <c r="X151" i="63"/>
  <c r="X152" i="63"/>
  <c r="X153" i="63"/>
  <c r="X154" i="63"/>
  <c r="X155" i="63"/>
  <c r="X156" i="63"/>
  <c r="X157" i="63"/>
  <c r="X158" i="63"/>
  <c r="X159" i="63"/>
  <c r="X160" i="63"/>
  <c r="X161" i="63"/>
  <c r="X162" i="63"/>
  <c r="X163" i="63"/>
  <c r="X164" i="63"/>
  <c r="X165" i="63"/>
  <c r="X166" i="63"/>
  <c r="X167" i="63"/>
  <c r="X168" i="63"/>
  <c r="X169" i="63"/>
  <c r="X171" i="63"/>
  <c r="X172" i="63"/>
  <c r="X173" i="63"/>
  <c r="X174" i="63"/>
  <c r="X175" i="63"/>
  <c r="X176" i="63"/>
  <c r="X177" i="63"/>
  <c r="X178" i="63"/>
  <c r="X179" i="63"/>
  <c r="X180" i="63"/>
  <c r="X181" i="63"/>
  <c r="X182" i="63"/>
  <c r="X183" i="63"/>
  <c r="X184" i="63"/>
  <c r="X185" i="63"/>
  <c r="X186" i="63"/>
  <c r="X187" i="63"/>
  <c r="X188" i="63"/>
  <c r="X189" i="63"/>
  <c r="X190" i="63"/>
  <c r="X191" i="63"/>
  <c r="X192" i="63"/>
  <c r="X193" i="63"/>
  <c r="X194" i="63"/>
  <c r="X195" i="63"/>
  <c r="X196" i="63"/>
  <c r="X197" i="63"/>
  <c r="X198" i="63"/>
  <c r="X199" i="63"/>
  <c r="X200" i="63"/>
  <c r="X201" i="63"/>
  <c r="X202" i="63"/>
  <c r="X203" i="63"/>
  <c r="X204" i="63"/>
  <c r="X205" i="63"/>
  <c r="X206" i="63"/>
  <c r="X207" i="63"/>
  <c r="X208" i="63"/>
  <c r="X209" i="63"/>
  <c r="X210" i="63"/>
  <c r="X211" i="63"/>
  <c r="X212" i="63"/>
  <c r="X213" i="63"/>
  <c r="X214" i="63"/>
  <c r="X215" i="63"/>
  <c r="X216" i="63"/>
  <c r="X217" i="63"/>
  <c r="X218" i="63"/>
  <c r="X219" i="63"/>
  <c r="X220" i="63"/>
  <c r="X221" i="63"/>
  <c r="X222" i="63"/>
  <c r="X223" i="63"/>
  <c r="X224" i="63"/>
  <c r="X225" i="63"/>
  <c r="X226" i="63"/>
  <c r="X227" i="63"/>
  <c r="X228" i="63"/>
  <c r="X229" i="63"/>
  <c r="X230" i="63"/>
  <c r="X231" i="63"/>
  <c r="X232" i="63"/>
  <c r="X233" i="63"/>
  <c r="X234" i="63"/>
  <c r="X235" i="63"/>
  <c r="X236" i="63"/>
  <c r="X237" i="63"/>
  <c r="X238" i="63"/>
  <c r="X239" i="63"/>
  <c r="X240" i="63"/>
  <c r="X241" i="63"/>
  <c r="X242" i="63"/>
  <c r="X243" i="63"/>
  <c r="X244" i="63"/>
  <c r="X245" i="63"/>
  <c r="X246" i="63"/>
  <c r="X247" i="63"/>
  <c r="X249" i="63"/>
  <c r="X250" i="63"/>
  <c r="X251" i="63"/>
  <c r="X252" i="63"/>
  <c r="X253" i="63"/>
  <c r="X254" i="63"/>
  <c r="X255" i="63"/>
  <c r="X257" i="63"/>
  <c r="M3" i="29"/>
  <c r="L104" i="29" l="1"/>
  <c r="M104" i="29"/>
  <c r="L105" i="29"/>
  <c r="M105" i="29"/>
  <c r="L106" i="29"/>
  <c r="M106" i="29"/>
  <c r="L107" i="29"/>
  <c r="M107" i="29"/>
  <c r="L108" i="29"/>
  <c r="M108" i="29"/>
  <c r="L109" i="29"/>
  <c r="M109" i="29"/>
  <c r="L110" i="29"/>
  <c r="M110" i="29"/>
  <c r="L111" i="29"/>
  <c r="M111" i="29"/>
  <c r="L112" i="29"/>
  <c r="M112" i="29"/>
  <c r="L113" i="29"/>
  <c r="M113" i="29"/>
  <c r="L114" i="29"/>
  <c r="M114" i="29"/>
  <c r="B102" i="28" l="1"/>
  <c r="D176" i="22" l="1"/>
  <c r="D175" i="22"/>
  <c r="D174" i="22"/>
  <c r="D173" i="22"/>
  <c r="D172" i="22"/>
  <c r="C176" i="22"/>
  <c r="C175" i="22"/>
  <c r="C174" i="22"/>
  <c r="C173" i="22"/>
  <c r="C172" i="22"/>
  <c r="A176" i="22"/>
  <c r="A175" i="22"/>
  <c r="A174" i="22"/>
  <c r="A173" i="22"/>
  <c r="A172" i="22"/>
  <c r="B42" i="105" l="1"/>
  <c r="B13" i="105"/>
  <c r="B22" i="105"/>
  <c r="X173" i="22"/>
  <c r="B30" i="105"/>
  <c r="X174" i="22"/>
  <c r="B31" i="105"/>
  <c r="X175" i="22"/>
  <c r="T175" i="22"/>
  <c r="K172" i="22"/>
  <c r="W172" i="22"/>
  <c r="U172" i="22"/>
  <c r="W174" i="22"/>
  <c r="U174" i="22"/>
  <c r="U173" i="22"/>
  <c r="W173" i="22"/>
  <c r="W175" i="22"/>
  <c r="U175" i="22"/>
  <c r="W176" i="22"/>
  <c r="U176" i="22"/>
  <c r="K175" i="22"/>
  <c r="K174" i="22"/>
  <c r="K176" i="22"/>
  <c r="S172" i="22"/>
  <c r="S173" i="22"/>
  <c r="S174" i="22"/>
  <c r="S175" i="22"/>
  <c r="K173" i="22"/>
  <c r="S176" i="22"/>
  <c r="A150" i="22" l="1"/>
  <c r="W150" i="22" s="1"/>
  <c r="A151" i="22"/>
  <c r="A152" i="22"/>
  <c r="A153" i="22"/>
  <c r="A154" i="22"/>
  <c r="A155" i="22"/>
  <c r="A156" i="22"/>
  <c r="A157" i="22"/>
  <c r="A158" i="22"/>
  <c r="A159" i="22"/>
  <c r="A160" i="22"/>
  <c r="A161" i="22"/>
  <c r="A162" i="22"/>
  <c r="W158" i="22" l="1"/>
  <c r="X158" i="22"/>
  <c r="T158" i="22"/>
  <c r="B34" i="104"/>
  <c r="W156" i="22"/>
  <c r="B33" i="104"/>
  <c r="W155" i="22"/>
  <c r="X155" i="22"/>
  <c r="T155" i="22"/>
  <c r="B32" i="104"/>
  <c r="W154" i="22"/>
  <c r="T154" i="22"/>
  <c r="W161" i="22"/>
  <c r="X161" i="22"/>
  <c r="T161" i="22"/>
  <c r="W153" i="22"/>
  <c r="X153" i="22"/>
  <c r="T153" i="22"/>
  <c r="W162" i="22"/>
  <c r="X162" i="22"/>
  <c r="T162" i="22"/>
  <c r="B45" i="104"/>
  <c r="W160" i="22"/>
  <c r="X160" i="22"/>
  <c r="T160" i="22"/>
  <c r="B23" i="104"/>
  <c r="W152" i="22"/>
  <c r="X152" i="22"/>
  <c r="T152" i="22"/>
  <c r="B35" i="104"/>
  <c r="W157" i="22"/>
  <c r="X157" i="22"/>
  <c r="T157" i="22"/>
  <c r="B44" i="104"/>
  <c r="W159" i="22"/>
  <c r="X159" i="22"/>
  <c r="T159" i="22"/>
  <c r="T151" i="22"/>
  <c r="W151" i="22"/>
  <c r="K150" i="22"/>
  <c r="X150" i="22"/>
  <c r="T150" i="22"/>
  <c r="E158" i="22"/>
  <c r="B36" i="104"/>
  <c r="I158" i="22"/>
  <c r="B37" i="104"/>
  <c r="G150" i="22"/>
  <c r="E150" i="22"/>
  <c r="S156" i="22"/>
  <c r="S155" i="22"/>
  <c r="E162" i="22"/>
  <c r="I161" i="22"/>
  <c r="B46" i="104"/>
  <c r="S158" i="22"/>
  <c r="B25" i="104"/>
  <c r="K157" i="22"/>
  <c r="G154" i="22"/>
  <c r="S153" i="22"/>
  <c r="B24" i="104"/>
  <c r="E151" i="22"/>
  <c r="B22" i="104"/>
  <c r="S150" i="22"/>
  <c r="B14" i="104"/>
  <c r="G158" i="22"/>
  <c r="K158" i="22"/>
  <c r="G156" i="22"/>
  <c r="E156" i="22"/>
  <c r="K156" i="22"/>
  <c r="G155" i="22"/>
  <c r="E154" i="22"/>
  <c r="E155" i="22"/>
  <c r="K155" i="22"/>
  <c r="G159" i="22"/>
  <c r="E160" i="22"/>
  <c r="I159" i="22"/>
  <c r="E161" i="22"/>
  <c r="G161" i="22"/>
  <c r="K153" i="22"/>
  <c r="E153" i="22"/>
  <c r="S161" i="22"/>
  <c r="G153" i="22"/>
  <c r="K161" i="22"/>
  <c r="E152" i="22"/>
  <c r="K154" i="22"/>
  <c r="K162" i="22"/>
  <c r="S154" i="22"/>
  <c r="S159" i="22"/>
  <c r="S157" i="22"/>
  <c r="G151" i="22"/>
  <c r="G160" i="22"/>
  <c r="G152" i="22"/>
  <c r="G162" i="22"/>
  <c r="K151" i="22"/>
  <c r="K159" i="22"/>
  <c r="S151" i="22"/>
  <c r="S160" i="22"/>
  <c r="E159" i="22"/>
  <c r="K152" i="22"/>
  <c r="K160" i="22"/>
  <c r="S152" i="22"/>
  <c r="U156" i="22"/>
  <c r="U157" i="22"/>
  <c r="U155" i="22"/>
  <c r="G157" i="22"/>
  <c r="U162" i="22"/>
  <c r="U154" i="22"/>
  <c r="U161" i="22"/>
  <c r="U153" i="22"/>
  <c r="I157" i="22"/>
  <c r="U160" i="22"/>
  <c r="U152" i="22"/>
  <c r="E157" i="22"/>
  <c r="S162" i="22"/>
  <c r="U159" i="22"/>
  <c r="U151" i="22"/>
  <c r="U158" i="22"/>
  <c r="U150" i="22"/>
  <c r="D162" i="22"/>
  <c r="D161" i="22"/>
  <c r="D160" i="22"/>
  <c r="D159" i="22"/>
  <c r="D158" i="22"/>
  <c r="D157" i="22"/>
  <c r="D156" i="22"/>
  <c r="D155" i="22"/>
  <c r="D154" i="22"/>
  <c r="D153" i="22"/>
  <c r="D152" i="22"/>
  <c r="D151" i="22"/>
  <c r="D150" i="22"/>
  <c r="C162" i="22"/>
  <c r="C161" i="22"/>
  <c r="C160" i="22"/>
  <c r="C159" i="22"/>
  <c r="C158" i="22"/>
  <c r="C157" i="22"/>
  <c r="C156" i="22"/>
  <c r="C155" i="22"/>
  <c r="C154" i="22"/>
  <c r="C153" i="22"/>
  <c r="C152" i="22"/>
  <c r="C151" i="22"/>
  <c r="C150" i="22"/>
  <c r="AJ258" i="65" l="1"/>
  <c r="Z22" i="64" l="1"/>
  <c r="Z23" i="64"/>
  <c r="Z24" i="64"/>
  <c r="Z25" i="64"/>
  <c r="Z26" i="64"/>
  <c r="Z27" i="64"/>
  <c r="Z28" i="64"/>
  <c r="Z29" i="64"/>
  <c r="Z30" i="64"/>
  <c r="Z31" i="64"/>
  <c r="Z32" i="64"/>
  <c r="Z33" i="64"/>
  <c r="Z34" i="64"/>
  <c r="Z35" i="64"/>
  <c r="Z36" i="64"/>
  <c r="Z37" i="64"/>
  <c r="Z38" i="64"/>
  <c r="Z39" i="64"/>
  <c r="Z40" i="64"/>
  <c r="Z41" i="64"/>
  <c r="Z42" i="64"/>
  <c r="Z43" i="64"/>
  <c r="Z45" i="64"/>
  <c r="Z46" i="64"/>
  <c r="Z47" i="64"/>
  <c r="Z48" i="64"/>
  <c r="Z49" i="64"/>
  <c r="Z50" i="64"/>
  <c r="Z51" i="64"/>
  <c r="Z52" i="64"/>
  <c r="Z53" i="64"/>
  <c r="Z54" i="64"/>
  <c r="Z55" i="64"/>
  <c r="Z56" i="64"/>
  <c r="Z57" i="64"/>
  <c r="Z58" i="64"/>
  <c r="Z59" i="64"/>
  <c r="Z60" i="64"/>
  <c r="Z61" i="64"/>
  <c r="Z62" i="64"/>
  <c r="Z63" i="64"/>
  <c r="Z64" i="64"/>
  <c r="Z65" i="64"/>
  <c r="Z66" i="64"/>
  <c r="Z67" i="64"/>
  <c r="Z68" i="64"/>
  <c r="Z69" i="64"/>
  <c r="Z70" i="64"/>
  <c r="Z71" i="64"/>
  <c r="Z72" i="64"/>
  <c r="Z73" i="64"/>
  <c r="Z74" i="64"/>
  <c r="Z75" i="64"/>
  <c r="Z76" i="64"/>
  <c r="Z77" i="64"/>
  <c r="Z78" i="64"/>
  <c r="Z79" i="64"/>
  <c r="Z80" i="64"/>
  <c r="Z81" i="64"/>
  <c r="Z82" i="64"/>
  <c r="Z83" i="64"/>
  <c r="Z84" i="64"/>
  <c r="Z85" i="64"/>
  <c r="Z86" i="64"/>
  <c r="Z87" i="64"/>
  <c r="Z88" i="64"/>
  <c r="Z89" i="64"/>
  <c r="Z90" i="64"/>
  <c r="Z91" i="64"/>
  <c r="Z92" i="64"/>
  <c r="Z93" i="64"/>
  <c r="Z94" i="64"/>
  <c r="Z95" i="64"/>
  <c r="Z96" i="64"/>
  <c r="Z97" i="64"/>
  <c r="Z98" i="64"/>
  <c r="Z99" i="64"/>
  <c r="Z100" i="64"/>
  <c r="Z101" i="64"/>
  <c r="Z102" i="64"/>
  <c r="Z103" i="64"/>
  <c r="Z104" i="64"/>
  <c r="Z105" i="64"/>
  <c r="Z106" i="64"/>
  <c r="Z107" i="64"/>
  <c r="Z108" i="64"/>
  <c r="Z109" i="64"/>
  <c r="Z110" i="64"/>
  <c r="Z111" i="64"/>
  <c r="Z112" i="64"/>
  <c r="Z113" i="64"/>
  <c r="Z114" i="64"/>
  <c r="Z115" i="64"/>
  <c r="Z116" i="64"/>
  <c r="Z117" i="64"/>
  <c r="Z118" i="64"/>
  <c r="Z119" i="64"/>
  <c r="Z120" i="64"/>
  <c r="Z121" i="64"/>
  <c r="Z122" i="64"/>
  <c r="Z123" i="64"/>
  <c r="Z124" i="64"/>
  <c r="Z125" i="64"/>
  <c r="Z126" i="64"/>
  <c r="Z127" i="64"/>
  <c r="Z128" i="64"/>
  <c r="Z129" i="64"/>
  <c r="Z130" i="64"/>
  <c r="Z131" i="64"/>
  <c r="Z132" i="64"/>
  <c r="Z133" i="64"/>
  <c r="Z134" i="64"/>
  <c r="Z135" i="64"/>
  <c r="Z136" i="64"/>
  <c r="Z137" i="64"/>
  <c r="Z138" i="64"/>
  <c r="Z139" i="64"/>
  <c r="Z140" i="64"/>
  <c r="Z141" i="64"/>
  <c r="Z142" i="64"/>
  <c r="Z143" i="64"/>
  <c r="Z144" i="64"/>
  <c r="Z145" i="64"/>
  <c r="Z146" i="64"/>
  <c r="Z147" i="64"/>
  <c r="Z148" i="64"/>
  <c r="Z149" i="64"/>
  <c r="Z150" i="64"/>
  <c r="Z151" i="64"/>
  <c r="Z152" i="64"/>
  <c r="Z153" i="64"/>
  <c r="Z154" i="64"/>
  <c r="Z155" i="64"/>
  <c r="Z156" i="64"/>
  <c r="Z157" i="64"/>
  <c r="Z158" i="64"/>
  <c r="Z159" i="64"/>
  <c r="Z160" i="64"/>
  <c r="Z161" i="64"/>
  <c r="Z162" i="64"/>
  <c r="Z163" i="64"/>
  <c r="Z164" i="64"/>
  <c r="Z165" i="64"/>
  <c r="Z166" i="64"/>
  <c r="Z167" i="64"/>
  <c r="Z168" i="64"/>
  <c r="Z169" i="64"/>
  <c r="Z170" i="64"/>
  <c r="Z171" i="64"/>
  <c r="Z172" i="64"/>
  <c r="Z173" i="64"/>
  <c r="Z174" i="64"/>
  <c r="Z175" i="64"/>
  <c r="Z176" i="64"/>
  <c r="Z177" i="64"/>
  <c r="Z178" i="64"/>
  <c r="Z179" i="64"/>
  <c r="Z180" i="64"/>
  <c r="Z181" i="64"/>
  <c r="Z182" i="64"/>
  <c r="Z183" i="64"/>
  <c r="Z184" i="64"/>
  <c r="Z185" i="64"/>
  <c r="Z186" i="64"/>
  <c r="Z187" i="64"/>
  <c r="Z188" i="64"/>
  <c r="Z189" i="64"/>
  <c r="Z190" i="64"/>
  <c r="Z191" i="64"/>
  <c r="Z192" i="64"/>
  <c r="Z193" i="64"/>
  <c r="Z194" i="64"/>
  <c r="Z195" i="64"/>
  <c r="Z196" i="64"/>
  <c r="Z197" i="64"/>
  <c r="Z198" i="64"/>
  <c r="Z199" i="64"/>
  <c r="Z200" i="64"/>
  <c r="Z201" i="64"/>
  <c r="Z202" i="64"/>
  <c r="Z203" i="64"/>
  <c r="Z204" i="64"/>
  <c r="Z205" i="64"/>
  <c r="Z206" i="64"/>
  <c r="Z207" i="64"/>
  <c r="Z208" i="64"/>
  <c r="Z209" i="64"/>
  <c r="Z210" i="64"/>
  <c r="Z211" i="64"/>
  <c r="Z212" i="64"/>
  <c r="Z213" i="64"/>
  <c r="Z214" i="64"/>
  <c r="Z215" i="64"/>
  <c r="Z216" i="64"/>
  <c r="Z217" i="64"/>
  <c r="Z218" i="64"/>
  <c r="Z219" i="64"/>
  <c r="Z220" i="64"/>
  <c r="Z221" i="64"/>
  <c r="Z222" i="64"/>
  <c r="Z223" i="64"/>
  <c r="Z224" i="64"/>
  <c r="Z225" i="64"/>
  <c r="Z226" i="64"/>
  <c r="Z227" i="64"/>
  <c r="Z228" i="64"/>
  <c r="Z229" i="64"/>
  <c r="Z230" i="64"/>
  <c r="Z231" i="64"/>
  <c r="Z232" i="64"/>
  <c r="Z233" i="64"/>
  <c r="Z234" i="64"/>
  <c r="Z235" i="64"/>
  <c r="Z236" i="64"/>
  <c r="Z237" i="64"/>
  <c r="Z238" i="64"/>
  <c r="Z239" i="64"/>
  <c r="Z240" i="64"/>
  <c r="Z241" i="64"/>
  <c r="Z242" i="64"/>
  <c r="Z243" i="64"/>
  <c r="Z244" i="64"/>
  <c r="Z245" i="64"/>
  <c r="Z246" i="64"/>
  <c r="Z247" i="64"/>
  <c r="Z248" i="64"/>
  <c r="Z249" i="64"/>
  <c r="Z250" i="64"/>
  <c r="Z251" i="64"/>
  <c r="Z252" i="64"/>
  <c r="Z253" i="64"/>
  <c r="Z254" i="64"/>
  <c r="Z255" i="64"/>
  <c r="Z256" i="64"/>
  <c r="Z257" i="64"/>
  <c r="Z258" i="64"/>
  <c r="Z259" i="64"/>
  <c r="AH13" i="64"/>
  <c r="AH14" i="64"/>
  <c r="AH15" i="64"/>
  <c r="AH16" i="64"/>
  <c r="AH17" i="64"/>
  <c r="AH18" i="64"/>
  <c r="AH19" i="64"/>
  <c r="AH20" i="64"/>
  <c r="AH21" i="64"/>
  <c r="AH22" i="64"/>
  <c r="AH23" i="64"/>
  <c r="AH24" i="64"/>
  <c r="AH25" i="64"/>
  <c r="AH26" i="64"/>
  <c r="AH27" i="64"/>
  <c r="AH28" i="64"/>
  <c r="AH29" i="64"/>
  <c r="AH30" i="64"/>
  <c r="AH31" i="64"/>
  <c r="AH32" i="64"/>
  <c r="AH33" i="64"/>
  <c r="AH34" i="64"/>
  <c r="AH35" i="64"/>
  <c r="AH36" i="64"/>
  <c r="AH37" i="64"/>
  <c r="AH38" i="64"/>
  <c r="AH39" i="64"/>
  <c r="AH40" i="64"/>
  <c r="AH41" i="64"/>
  <c r="AH42" i="64"/>
  <c r="AH43" i="64"/>
  <c r="AH44" i="64"/>
  <c r="AH45" i="64"/>
  <c r="AH46" i="64"/>
  <c r="AH47" i="64"/>
  <c r="AH48" i="64"/>
  <c r="AH49" i="64"/>
  <c r="AH50" i="64"/>
  <c r="AH51" i="64"/>
  <c r="AH52" i="64"/>
  <c r="AH53" i="64"/>
  <c r="AH54" i="64"/>
  <c r="AH55" i="64"/>
  <c r="AH56" i="64"/>
  <c r="AH57" i="64"/>
  <c r="AH58" i="64"/>
  <c r="AH59" i="64"/>
  <c r="AH60" i="64"/>
  <c r="AH61" i="64"/>
  <c r="AH62" i="64"/>
  <c r="AH63" i="64"/>
  <c r="AH64" i="64"/>
  <c r="AH65" i="64"/>
  <c r="AH66" i="64"/>
  <c r="AH67" i="64"/>
  <c r="AH68" i="64"/>
  <c r="AH69" i="64"/>
  <c r="AH70" i="64"/>
  <c r="AH71" i="64"/>
  <c r="AH72" i="64"/>
  <c r="AH73" i="64"/>
  <c r="AH74" i="64"/>
  <c r="AH75" i="64"/>
  <c r="AH76" i="64"/>
  <c r="AH77" i="64"/>
  <c r="AH78" i="64"/>
  <c r="AH79" i="64"/>
  <c r="AH80" i="64"/>
  <c r="AH81" i="64"/>
  <c r="AH82" i="64"/>
  <c r="AH83" i="64"/>
  <c r="AH84" i="64"/>
  <c r="AH85" i="64"/>
  <c r="AH86" i="64"/>
  <c r="AH87" i="64"/>
  <c r="AH88" i="64"/>
  <c r="AH89" i="64"/>
  <c r="AH90" i="64"/>
  <c r="AH91" i="64"/>
  <c r="AH92" i="64"/>
  <c r="AH93" i="64"/>
  <c r="AH94" i="64"/>
  <c r="AH95" i="64"/>
  <c r="AH96" i="64"/>
  <c r="AH97" i="64"/>
  <c r="AH98" i="64"/>
  <c r="AH99" i="64"/>
  <c r="AH100" i="64"/>
  <c r="AH101" i="64"/>
  <c r="AH102" i="64"/>
  <c r="AH103" i="64"/>
  <c r="AH104" i="64"/>
  <c r="AH105" i="64"/>
  <c r="AH106" i="64"/>
  <c r="AH107" i="64"/>
  <c r="AH108" i="64"/>
  <c r="AH109" i="64"/>
  <c r="AH110" i="64"/>
  <c r="AH111" i="64"/>
  <c r="AH112" i="64"/>
  <c r="AH113" i="64"/>
  <c r="AH114" i="64"/>
  <c r="AH115" i="64"/>
  <c r="AH116" i="64"/>
  <c r="AH117" i="64"/>
  <c r="AH118" i="64"/>
  <c r="AH119" i="64"/>
  <c r="AH120" i="64"/>
  <c r="AH121" i="64"/>
  <c r="AH122" i="64"/>
  <c r="AH123" i="64"/>
  <c r="AH124" i="64"/>
  <c r="AH125" i="64"/>
  <c r="AH126" i="64"/>
  <c r="AH127" i="64"/>
  <c r="AH128" i="64"/>
  <c r="AH129" i="64"/>
  <c r="AH130" i="64"/>
  <c r="AH131" i="64"/>
  <c r="AH132" i="64"/>
  <c r="AH133" i="64"/>
  <c r="AH134" i="64"/>
  <c r="AH135" i="64"/>
  <c r="AH136" i="64"/>
  <c r="AH137" i="64"/>
  <c r="AH138" i="64"/>
  <c r="AH139" i="64"/>
  <c r="AH140" i="64"/>
  <c r="AH141" i="64"/>
  <c r="AH142" i="64"/>
  <c r="AH143" i="64"/>
  <c r="AH144" i="64"/>
  <c r="AH145" i="64"/>
  <c r="AH146" i="64"/>
  <c r="AH147" i="64"/>
  <c r="AH148" i="64"/>
  <c r="AH149" i="64"/>
  <c r="AH150" i="64"/>
  <c r="AH151" i="64"/>
  <c r="AH152" i="64"/>
  <c r="AH153" i="64"/>
  <c r="AH154" i="64"/>
  <c r="AH155" i="64"/>
  <c r="AH156" i="64"/>
  <c r="AH157" i="64"/>
  <c r="AH158" i="64"/>
  <c r="AH159" i="64"/>
  <c r="AH160" i="64"/>
  <c r="AH161" i="64"/>
  <c r="AH162" i="64"/>
  <c r="AH163" i="64"/>
  <c r="AH164" i="64"/>
  <c r="AH165" i="64"/>
  <c r="AH166" i="64"/>
  <c r="AH167" i="64"/>
  <c r="AH168" i="64"/>
  <c r="AH169" i="64"/>
  <c r="AH170" i="64"/>
  <c r="AH171" i="64"/>
  <c r="AH172" i="64"/>
  <c r="AH173" i="64"/>
  <c r="AH174" i="64"/>
  <c r="AH175" i="64"/>
  <c r="AH176" i="64"/>
  <c r="AH177" i="64"/>
  <c r="AH178" i="64"/>
  <c r="AH179" i="64"/>
  <c r="AH180" i="64"/>
  <c r="AH181" i="64"/>
  <c r="AH182" i="64"/>
  <c r="AH183" i="64"/>
  <c r="AH184" i="64"/>
  <c r="AH185" i="64"/>
  <c r="AH186" i="64"/>
  <c r="AH187" i="64"/>
  <c r="AH188" i="64"/>
  <c r="AH189" i="64"/>
  <c r="AH190" i="64"/>
  <c r="AH191" i="64"/>
  <c r="AH192" i="64"/>
  <c r="AH193" i="64"/>
  <c r="AH194" i="64"/>
  <c r="AH195" i="64"/>
  <c r="AH196" i="64"/>
  <c r="AH197" i="64"/>
  <c r="AH198" i="64"/>
  <c r="AH199" i="64"/>
  <c r="AH200" i="64"/>
  <c r="AH201" i="64"/>
  <c r="AH202" i="64"/>
  <c r="AH203" i="64"/>
  <c r="AH204" i="64"/>
  <c r="AH205" i="64"/>
  <c r="AH206" i="64"/>
  <c r="AH207" i="64"/>
  <c r="AH208" i="64"/>
  <c r="AH209" i="64"/>
  <c r="AH210" i="64"/>
  <c r="AH211" i="64"/>
  <c r="AH212" i="64"/>
  <c r="AH213" i="64"/>
  <c r="AH214" i="64"/>
  <c r="AH215" i="64"/>
  <c r="AH216" i="64"/>
  <c r="AH217" i="64"/>
  <c r="AH218" i="64"/>
  <c r="AH219" i="64"/>
  <c r="AH220" i="64"/>
  <c r="AH221" i="64"/>
  <c r="AH222" i="64"/>
  <c r="AH223" i="64"/>
  <c r="AH224" i="64"/>
  <c r="AH225" i="64"/>
  <c r="AH226" i="64"/>
  <c r="AH227" i="64"/>
  <c r="AH228" i="64"/>
  <c r="AH229" i="64"/>
  <c r="AH230" i="64"/>
  <c r="AH231" i="64"/>
  <c r="AH232" i="64"/>
  <c r="AH233" i="64"/>
  <c r="AH234" i="64"/>
  <c r="AH235" i="64"/>
  <c r="AH236" i="64"/>
  <c r="AH237" i="64"/>
  <c r="AH238" i="64"/>
  <c r="AH239" i="64"/>
  <c r="AH240" i="64"/>
  <c r="AH241" i="64"/>
  <c r="AH242" i="64"/>
  <c r="AH243" i="64"/>
  <c r="AH244" i="64"/>
  <c r="AH245" i="64"/>
  <c r="AH246" i="64"/>
  <c r="AH247" i="64"/>
  <c r="AH248" i="64"/>
  <c r="AH249" i="64"/>
  <c r="AH250" i="64"/>
  <c r="AH251" i="64"/>
  <c r="AH252" i="64"/>
  <c r="AH253" i="64"/>
  <c r="AH254" i="64"/>
  <c r="AH255" i="64"/>
  <c r="AH256" i="64"/>
  <c r="AH257" i="64"/>
  <c r="AH258" i="64"/>
  <c r="AH259" i="64"/>
  <c r="AH12" i="64"/>
  <c r="AR19" i="63"/>
  <c r="AR20" i="63"/>
  <c r="AR21" i="63"/>
  <c r="AR22" i="63"/>
  <c r="AR23" i="63"/>
  <c r="AR24" i="63"/>
  <c r="AR25" i="63"/>
  <c r="AR26" i="63"/>
  <c r="AR27" i="63"/>
  <c r="AR28" i="63"/>
  <c r="AR29" i="63"/>
  <c r="AR30" i="63"/>
  <c r="AR31" i="63"/>
  <c r="AR32" i="63"/>
  <c r="AR33" i="63"/>
  <c r="AR34" i="63"/>
  <c r="AR35" i="63"/>
  <c r="AR36" i="63"/>
  <c r="AR37" i="63"/>
  <c r="AR38" i="63"/>
  <c r="AR39" i="63"/>
  <c r="AR40" i="63"/>
  <c r="AR41" i="63"/>
  <c r="AR42" i="63"/>
  <c r="AR43" i="63"/>
  <c r="AR44" i="63"/>
  <c r="AR45" i="63"/>
  <c r="AR46" i="63"/>
  <c r="AR47" i="63"/>
  <c r="AR48" i="63"/>
  <c r="AR49" i="63"/>
  <c r="AR50" i="63"/>
  <c r="AR51" i="63"/>
  <c r="AR52" i="63"/>
  <c r="AR53" i="63"/>
  <c r="AR54" i="63"/>
  <c r="AR55" i="63"/>
  <c r="AR56" i="63"/>
  <c r="AR57" i="63"/>
  <c r="AR58" i="63"/>
  <c r="AR59" i="63"/>
  <c r="AR60" i="63"/>
  <c r="AR61" i="63"/>
  <c r="AR62" i="63"/>
  <c r="AR63" i="63"/>
  <c r="AR64" i="63"/>
  <c r="AR65" i="63"/>
  <c r="AR66" i="63"/>
  <c r="AR67" i="63"/>
  <c r="AR68" i="63"/>
  <c r="AR69" i="63"/>
  <c r="AR70" i="63"/>
  <c r="AR71" i="63"/>
  <c r="AR72" i="63"/>
  <c r="AR73" i="63"/>
  <c r="AR74" i="63"/>
  <c r="AR75" i="63"/>
  <c r="AR76" i="63"/>
  <c r="AR77" i="63"/>
  <c r="AR78" i="63"/>
  <c r="AR79" i="63"/>
  <c r="AR80" i="63"/>
  <c r="AR81" i="63"/>
  <c r="AR82" i="63"/>
  <c r="AR83" i="63"/>
  <c r="AR84" i="63"/>
  <c r="AR85" i="63"/>
  <c r="AR86" i="63"/>
  <c r="AR87" i="63"/>
  <c r="AR88" i="63"/>
  <c r="AR89" i="63"/>
  <c r="AR90" i="63"/>
  <c r="AR91" i="63"/>
  <c r="AR92" i="63"/>
  <c r="AR93" i="63"/>
  <c r="AR94" i="63"/>
  <c r="AR95" i="63"/>
  <c r="AR96" i="63"/>
  <c r="AR97" i="63"/>
  <c r="AR98" i="63"/>
  <c r="AR99" i="63"/>
  <c r="AR100" i="63"/>
  <c r="AR101" i="63"/>
  <c r="AR102" i="63"/>
  <c r="AR103" i="63"/>
  <c r="AR104" i="63"/>
  <c r="AR105" i="63"/>
  <c r="AR106" i="63"/>
  <c r="AR107" i="63"/>
  <c r="AR108" i="63"/>
  <c r="AR109" i="63"/>
  <c r="AR110" i="63"/>
  <c r="AR111" i="63"/>
  <c r="AR112" i="63"/>
  <c r="AR113" i="63"/>
  <c r="AR114" i="63"/>
  <c r="AR115" i="63"/>
  <c r="AR116" i="63"/>
  <c r="AR117" i="63"/>
  <c r="AR118" i="63"/>
  <c r="AR119" i="63"/>
  <c r="AR120" i="63"/>
  <c r="AR121" i="63"/>
  <c r="AR122" i="63"/>
  <c r="AR123" i="63"/>
  <c r="AR124" i="63"/>
  <c r="AR125" i="63"/>
  <c r="AR126" i="63"/>
  <c r="AR127" i="63"/>
  <c r="AR128" i="63"/>
  <c r="AR129" i="63"/>
  <c r="AR130" i="63"/>
  <c r="AR131" i="63"/>
  <c r="AR132" i="63"/>
  <c r="AR133" i="63"/>
  <c r="AR134" i="63"/>
  <c r="AR135" i="63"/>
  <c r="AR136" i="63"/>
  <c r="AR137" i="63"/>
  <c r="AR138" i="63"/>
  <c r="AR139" i="63"/>
  <c r="AR140" i="63"/>
  <c r="AR141" i="63"/>
  <c r="AR142" i="63"/>
  <c r="AR143" i="63"/>
  <c r="AR144" i="63"/>
  <c r="AR145" i="63"/>
  <c r="AR146" i="63"/>
  <c r="AR147" i="63"/>
  <c r="AR148" i="63"/>
  <c r="AR149" i="63"/>
  <c r="AR150" i="63"/>
  <c r="AR151" i="63"/>
  <c r="AR152" i="63"/>
  <c r="AR153" i="63"/>
  <c r="AR154" i="63"/>
  <c r="AR155" i="63"/>
  <c r="AR156" i="63"/>
  <c r="AR157" i="63"/>
  <c r="AR158" i="63"/>
  <c r="AR159" i="63"/>
  <c r="AR160" i="63"/>
  <c r="AR161" i="63"/>
  <c r="AR162" i="63"/>
  <c r="AR163" i="63"/>
  <c r="AR164" i="63"/>
  <c r="AR165" i="63"/>
  <c r="AR166" i="63"/>
  <c r="AR167" i="63"/>
  <c r="AR168" i="63"/>
  <c r="AR169" i="63"/>
  <c r="AR170" i="63"/>
  <c r="AR171" i="63"/>
  <c r="AR172" i="63"/>
  <c r="AR173" i="63"/>
  <c r="AR174" i="63"/>
  <c r="AR175" i="63"/>
  <c r="AR176" i="63"/>
  <c r="AR177" i="63"/>
  <c r="AR178" i="63"/>
  <c r="AR179" i="63"/>
  <c r="AR180" i="63"/>
  <c r="AR181" i="63"/>
  <c r="AR182" i="63"/>
  <c r="AR183" i="63"/>
  <c r="AR184" i="63"/>
  <c r="AR185" i="63"/>
  <c r="AR186" i="63"/>
  <c r="AR187" i="63"/>
  <c r="AR188" i="63"/>
  <c r="AR189" i="63"/>
  <c r="AR190" i="63"/>
  <c r="AR191" i="63"/>
  <c r="AR192" i="63"/>
  <c r="AR193" i="63"/>
  <c r="AR194" i="63"/>
  <c r="AR195" i="63"/>
  <c r="AR196" i="63"/>
  <c r="AR197" i="63"/>
  <c r="AR198" i="63"/>
  <c r="AR199" i="63"/>
  <c r="AR200" i="63"/>
  <c r="AR201" i="63"/>
  <c r="AR202" i="63"/>
  <c r="AR203" i="63"/>
  <c r="AR204" i="63"/>
  <c r="AR205" i="63"/>
  <c r="AR206" i="63"/>
  <c r="AR207" i="63"/>
  <c r="AR208" i="63"/>
  <c r="AR209" i="63"/>
  <c r="AR210" i="63"/>
  <c r="AR211" i="63"/>
  <c r="AR212" i="63"/>
  <c r="AR213" i="63"/>
  <c r="AR214" i="63"/>
  <c r="AR215" i="63"/>
  <c r="AR216" i="63"/>
  <c r="AR217" i="63"/>
  <c r="AR218" i="63"/>
  <c r="AR219" i="63"/>
  <c r="AR220" i="63"/>
  <c r="AR221" i="63"/>
  <c r="AR222" i="63"/>
  <c r="AR223" i="63"/>
  <c r="AR224" i="63"/>
  <c r="AR225" i="63"/>
  <c r="AR226" i="63"/>
  <c r="AR227" i="63"/>
  <c r="AR228" i="63"/>
  <c r="AR229" i="63"/>
  <c r="AR230" i="63"/>
  <c r="AR231" i="63"/>
  <c r="AR232" i="63"/>
  <c r="AR233" i="63"/>
  <c r="AR234" i="63"/>
  <c r="AR235" i="63"/>
  <c r="AR236" i="63"/>
  <c r="AR237" i="63"/>
  <c r="AR238" i="63"/>
  <c r="AR239" i="63"/>
  <c r="AR240" i="63"/>
  <c r="AR241" i="63"/>
  <c r="AR242" i="63"/>
  <c r="AR243" i="63"/>
  <c r="AR244" i="63"/>
  <c r="AR245" i="63"/>
  <c r="AR246" i="63"/>
  <c r="AR247" i="63"/>
  <c r="AR248" i="63"/>
  <c r="AR249" i="63"/>
  <c r="AR250" i="63"/>
  <c r="AR251" i="63"/>
  <c r="AR252" i="63"/>
  <c r="AR253" i="63"/>
  <c r="AR254" i="63"/>
  <c r="AR255" i="63"/>
  <c r="AR256" i="63"/>
  <c r="AR257" i="63"/>
  <c r="AR11" i="63"/>
  <c r="AR12" i="63"/>
  <c r="AR13" i="63"/>
  <c r="AR15" i="63"/>
  <c r="AR16" i="63"/>
  <c r="AR17" i="63"/>
  <c r="AR18" i="63"/>
  <c r="AL10" i="52"/>
  <c r="AG12" i="42"/>
  <c r="AG13" i="42" l="1"/>
  <c r="AG14" i="42"/>
  <c r="AG15" i="42"/>
  <c r="AG16" i="42"/>
  <c r="AG17" i="42"/>
  <c r="AG18" i="42"/>
  <c r="AG19" i="42"/>
  <c r="AG20" i="42"/>
  <c r="AG21" i="42"/>
  <c r="AG22" i="42"/>
  <c r="AG23" i="42"/>
  <c r="AG24" i="42"/>
  <c r="AG25" i="42"/>
  <c r="AG26" i="42"/>
  <c r="AG27" i="42"/>
  <c r="AG28" i="42"/>
  <c r="AG29" i="42"/>
  <c r="AG30" i="42"/>
  <c r="AG31" i="42"/>
  <c r="AG32" i="42"/>
  <c r="AG33" i="42"/>
  <c r="AG34" i="42"/>
  <c r="AG35" i="42"/>
  <c r="AG36" i="42"/>
  <c r="AG37" i="42"/>
  <c r="AG38" i="42"/>
  <c r="AG39" i="42"/>
  <c r="AG40" i="42"/>
  <c r="AG41" i="42"/>
  <c r="AG42" i="42"/>
  <c r="AG43" i="42"/>
  <c r="AG44" i="42"/>
  <c r="AG45" i="42"/>
  <c r="AG46" i="42"/>
  <c r="AG47" i="42"/>
  <c r="AG48" i="42"/>
  <c r="AG49" i="42"/>
  <c r="AG50" i="42"/>
  <c r="AG51" i="42"/>
  <c r="AG52" i="42"/>
  <c r="AG53" i="42"/>
  <c r="AG54" i="42"/>
  <c r="AG55" i="42"/>
  <c r="AG56" i="42"/>
  <c r="AG57" i="42"/>
  <c r="AG58" i="42"/>
  <c r="AG59" i="42"/>
  <c r="AG60" i="42"/>
  <c r="AG61" i="42"/>
  <c r="AG62" i="42"/>
  <c r="AG63" i="42"/>
  <c r="AG64" i="42"/>
  <c r="AG65" i="42"/>
  <c r="AG66" i="42"/>
  <c r="AG67" i="42"/>
  <c r="AG68" i="42"/>
  <c r="AG69" i="42"/>
  <c r="AG70" i="42"/>
  <c r="AG71" i="42"/>
  <c r="AG72" i="42"/>
  <c r="AG73" i="42"/>
  <c r="AG74" i="42"/>
  <c r="AG75" i="42"/>
  <c r="AG76" i="42"/>
  <c r="AG77" i="42"/>
  <c r="AG78" i="42"/>
  <c r="AG79" i="42"/>
  <c r="AG80" i="42"/>
  <c r="AG81" i="42"/>
  <c r="AG82" i="42"/>
  <c r="AG83" i="42"/>
  <c r="AG84" i="42"/>
  <c r="AG85" i="42"/>
  <c r="AG86" i="42"/>
  <c r="AG87" i="42"/>
  <c r="AG88" i="42"/>
  <c r="AG89" i="42"/>
  <c r="AG90" i="42"/>
  <c r="AG91" i="42"/>
  <c r="AG92" i="42"/>
  <c r="AG93" i="42"/>
  <c r="AG94" i="42"/>
  <c r="AG95" i="42"/>
  <c r="AG96" i="42"/>
  <c r="AG97" i="42"/>
  <c r="AG98" i="42"/>
  <c r="AG99" i="42"/>
  <c r="AG100" i="42"/>
  <c r="AG101" i="42"/>
  <c r="AG102" i="42"/>
  <c r="AG103" i="42"/>
  <c r="AG104" i="42"/>
  <c r="AG105" i="42"/>
  <c r="AG106" i="42"/>
  <c r="AG107" i="42"/>
  <c r="AG108" i="42"/>
  <c r="AG109" i="42"/>
  <c r="AG110" i="42"/>
  <c r="AG111" i="42"/>
  <c r="AG112" i="42"/>
  <c r="AG113" i="42"/>
  <c r="AG114" i="42"/>
  <c r="AG115" i="42"/>
  <c r="AG116" i="42"/>
  <c r="AG117" i="42"/>
  <c r="AG118" i="42"/>
  <c r="AG119" i="42"/>
  <c r="AG120" i="42"/>
  <c r="AG121" i="42"/>
  <c r="AG122" i="42"/>
  <c r="AG123" i="42"/>
  <c r="AG124" i="42"/>
  <c r="AG125" i="42"/>
  <c r="AG126" i="42"/>
  <c r="AG127" i="42"/>
  <c r="AG128" i="42"/>
  <c r="AG129" i="42"/>
  <c r="AG130" i="42"/>
  <c r="AG131" i="42"/>
  <c r="AG132" i="42"/>
  <c r="AG133" i="42"/>
  <c r="AG134" i="42"/>
  <c r="AG135" i="42"/>
  <c r="AG136" i="42"/>
  <c r="AG137" i="42"/>
  <c r="AG138" i="42"/>
  <c r="AG139" i="42"/>
  <c r="AG140" i="42"/>
  <c r="AG141" i="42"/>
  <c r="AG142" i="42"/>
  <c r="AG143" i="42"/>
  <c r="AG144" i="42"/>
  <c r="AG145" i="42"/>
  <c r="AG146" i="42"/>
  <c r="AG147" i="42"/>
  <c r="AG148" i="42"/>
  <c r="AG149" i="42"/>
  <c r="AG150" i="42"/>
  <c r="AG151" i="42"/>
  <c r="AG152" i="42"/>
  <c r="AG153" i="42"/>
  <c r="AG154" i="42"/>
  <c r="AG155" i="42"/>
  <c r="AG156" i="42"/>
  <c r="AG157" i="42"/>
  <c r="AG158" i="42"/>
  <c r="AG159" i="42"/>
  <c r="AG160" i="42"/>
  <c r="AG161" i="42"/>
  <c r="AG162" i="42"/>
  <c r="AG163" i="42"/>
  <c r="AG164" i="42"/>
  <c r="AG165" i="42"/>
  <c r="AG166" i="42"/>
  <c r="AG167" i="42"/>
  <c r="AG168" i="42"/>
  <c r="AG169" i="42"/>
  <c r="AG170" i="42"/>
  <c r="AG171" i="42"/>
  <c r="AG172" i="42"/>
  <c r="AG173" i="42"/>
  <c r="AG174" i="42"/>
  <c r="AG175" i="42"/>
  <c r="AG176" i="42"/>
  <c r="AG177" i="42"/>
  <c r="AG178" i="42"/>
  <c r="AG179" i="42"/>
  <c r="AG180" i="42"/>
  <c r="AG181" i="42"/>
  <c r="AG182" i="42"/>
  <c r="AG183" i="42"/>
  <c r="AG184" i="42"/>
  <c r="AG185" i="42"/>
  <c r="AG186" i="42"/>
  <c r="AG187" i="42"/>
  <c r="AG188" i="42"/>
  <c r="AG189" i="42"/>
  <c r="AG190" i="42"/>
  <c r="AG191" i="42"/>
  <c r="AG192" i="42"/>
  <c r="AG193" i="42"/>
  <c r="AG194" i="42"/>
  <c r="AG195" i="42"/>
  <c r="AG196" i="42"/>
  <c r="AG197" i="42"/>
  <c r="AG198" i="42"/>
  <c r="AG199" i="42"/>
  <c r="AG200" i="42"/>
  <c r="AG201" i="42"/>
  <c r="AG202" i="42"/>
  <c r="AG203" i="42"/>
  <c r="AG204" i="42"/>
  <c r="AG205" i="42"/>
  <c r="AG206" i="42"/>
  <c r="AG207" i="42"/>
  <c r="AG208" i="42"/>
  <c r="AG209" i="42"/>
  <c r="AG210" i="42"/>
  <c r="AG211" i="42"/>
  <c r="AG212" i="42"/>
  <c r="AG213" i="42"/>
  <c r="AG214" i="42"/>
  <c r="AG215" i="42"/>
  <c r="AG216" i="42"/>
  <c r="AG217" i="42"/>
  <c r="AG218" i="42"/>
  <c r="AG219" i="42"/>
  <c r="AG220" i="42"/>
  <c r="AG221" i="42"/>
  <c r="AG222" i="42"/>
  <c r="AG223" i="42"/>
  <c r="AG224" i="42"/>
  <c r="AG225" i="42"/>
  <c r="AG226" i="42"/>
  <c r="AG227" i="42"/>
  <c r="AG228" i="42"/>
  <c r="AG229" i="42"/>
  <c r="AG230" i="42"/>
  <c r="AG231" i="42"/>
  <c r="AG232" i="42"/>
  <c r="AG233" i="42"/>
  <c r="AG234" i="42"/>
  <c r="AG235" i="42"/>
  <c r="AG236" i="42"/>
  <c r="AG237" i="42"/>
  <c r="AG238" i="42"/>
  <c r="AG239" i="42"/>
  <c r="AG240" i="42"/>
  <c r="AG241" i="42"/>
  <c r="AG242" i="42"/>
  <c r="AG243" i="42"/>
  <c r="AG244" i="42"/>
  <c r="AG245" i="42"/>
  <c r="AG246" i="42"/>
  <c r="AG247" i="42"/>
  <c r="AG248" i="42"/>
  <c r="AG249" i="42"/>
  <c r="AG250" i="42"/>
  <c r="AG251" i="42"/>
  <c r="AG252" i="42"/>
  <c r="AG253" i="42"/>
  <c r="AG254" i="42"/>
  <c r="AG255" i="42"/>
  <c r="AG256" i="42"/>
  <c r="AG257" i="42"/>
  <c r="AG258" i="42"/>
  <c r="AG259" i="42"/>
  <c r="AL11" i="52"/>
  <c r="AL12" i="52"/>
  <c r="AL13" i="52"/>
  <c r="AL14" i="52"/>
  <c r="AL15" i="52"/>
  <c r="AL16" i="52"/>
  <c r="AL17" i="52"/>
  <c r="AL18" i="52"/>
  <c r="AL19" i="52"/>
  <c r="AL20" i="52"/>
  <c r="AL21" i="52"/>
  <c r="AL22" i="52"/>
  <c r="AL23" i="52"/>
  <c r="AL24" i="52"/>
  <c r="AL25" i="52"/>
  <c r="AL26" i="52"/>
  <c r="AL27" i="52"/>
  <c r="AL28" i="52"/>
  <c r="AL29" i="52"/>
  <c r="AL30" i="52"/>
  <c r="AL31" i="52"/>
  <c r="AL32" i="52"/>
  <c r="AL33" i="52"/>
  <c r="AL34" i="52"/>
  <c r="AL35" i="52"/>
  <c r="AL36" i="52"/>
  <c r="AL37" i="52"/>
  <c r="AL38" i="52"/>
  <c r="AL39" i="52"/>
  <c r="AL40" i="52"/>
  <c r="AL41" i="52"/>
  <c r="AL42" i="52"/>
  <c r="AL43" i="52"/>
  <c r="AL44" i="52"/>
  <c r="AL45" i="52"/>
  <c r="AL46" i="52"/>
  <c r="AL47" i="52"/>
  <c r="AL48" i="52"/>
  <c r="AL49" i="52"/>
  <c r="AL50" i="52"/>
  <c r="AL51" i="52"/>
  <c r="AL52" i="52"/>
  <c r="AL53" i="52"/>
  <c r="AL54" i="52"/>
  <c r="AL55" i="52"/>
  <c r="AL56" i="52"/>
  <c r="AL57" i="52"/>
  <c r="AL58" i="52"/>
  <c r="AL59" i="52"/>
  <c r="AL60" i="52"/>
  <c r="AL61" i="52"/>
  <c r="AL62" i="52"/>
  <c r="AL63" i="52"/>
  <c r="AL64" i="52"/>
  <c r="AL65" i="52"/>
  <c r="AL66" i="52"/>
  <c r="AL67" i="52"/>
  <c r="AL68" i="52"/>
  <c r="AL69" i="52"/>
  <c r="AL70" i="52"/>
  <c r="AL71" i="52"/>
  <c r="AL72" i="52"/>
  <c r="AL73" i="52"/>
  <c r="AL74" i="52"/>
  <c r="AL75" i="52"/>
  <c r="AL76" i="52"/>
  <c r="AL77" i="52"/>
  <c r="AL78" i="52"/>
  <c r="AL79" i="52"/>
  <c r="AL80" i="52"/>
  <c r="AL81" i="52"/>
  <c r="AL82" i="52"/>
  <c r="AL83" i="52"/>
  <c r="AL84" i="52"/>
  <c r="AL85" i="52"/>
  <c r="AL86" i="52"/>
  <c r="AL87" i="52"/>
  <c r="AL88" i="52"/>
  <c r="AL89" i="52"/>
  <c r="AL90" i="52"/>
  <c r="AL91" i="52"/>
  <c r="AL92" i="52"/>
  <c r="AL93" i="52"/>
  <c r="AL94" i="52"/>
  <c r="AL95" i="52"/>
  <c r="AL96" i="52"/>
  <c r="AL97" i="52"/>
  <c r="AL98" i="52"/>
  <c r="AL99" i="52"/>
  <c r="AL100" i="52"/>
  <c r="AL101" i="52"/>
  <c r="AL102" i="52"/>
  <c r="AL103" i="52"/>
  <c r="AL104" i="52"/>
  <c r="AL105" i="52"/>
  <c r="AL106" i="52"/>
  <c r="AL107" i="52"/>
  <c r="AL108" i="52"/>
  <c r="AL109" i="52"/>
  <c r="AL110" i="52"/>
  <c r="AL111" i="52"/>
  <c r="AL112" i="52"/>
  <c r="AL113" i="52"/>
  <c r="AL114" i="52"/>
  <c r="AL115" i="52"/>
  <c r="AL116" i="52"/>
  <c r="AL117" i="52"/>
  <c r="AL118" i="52"/>
  <c r="AL119" i="52"/>
  <c r="AL120" i="52"/>
  <c r="AL121" i="52"/>
  <c r="AL122" i="52"/>
  <c r="AL123" i="52"/>
  <c r="AL124" i="52"/>
  <c r="AL125" i="52"/>
  <c r="AL126" i="52"/>
  <c r="AL127" i="52"/>
  <c r="AL128" i="52"/>
  <c r="AL129" i="52"/>
  <c r="AL130" i="52"/>
  <c r="AL131" i="52"/>
  <c r="AL132" i="52"/>
  <c r="AL133" i="52"/>
  <c r="AL134" i="52"/>
  <c r="AL135" i="52"/>
  <c r="AL136" i="52"/>
  <c r="AL137" i="52"/>
  <c r="AL138" i="52"/>
  <c r="AL139" i="52"/>
  <c r="AL140" i="52"/>
  <c r="AL141" i="52"/>
  <c r="AL142" i="52"/>
  <c r="AL143" i="52"/>
  <c r="AL144" i="52"/>
  <c r="AL145" i="52"/>
  <c r="AL146" i="52"/>
  <c r="AL147" i="52"/>
  <c r="AL148" i="52"/>
  <c r="AL149" i="52"/>
  <c r="AL150" i="52"/>
  <c r="AL151" i="52"/>
  <c r="AL152" i="52"/>
  <c r="AL153" i="52"/>
  <c r="AL154" i="52"/>
  <c r="AL155" i="52"/>
  <c r="AL156" i="52"/>
  <c r="AL157" i="52"/>
  <c r="AL158" i="52"/>
  <c r="AL159" i="52"/>
  <c r="AL160" i="52"/>
  <c r="AL161" i="52"/>
  <c r="AL162" i="52"/>
  <c r="AL163" i="52"/>
  <c r="AL164" i="52"/>
  <c r="AL165" i="52"/>
  <c r="AL166" i="52"/>
  <c r="AL167" i="52"/>
  <c r="AL168" i="52"/>
  <c r="AL169" i="52"/>
  <c r="AL170" i="52"/>
  <c r="AL171" i="52"/>
  <c r="AL172" i="52"/>
  <c r="AL173" i="52"/>
  <c r="AL174" i="52"/>
  <c r="AL175" i="52"/>
  <c r="AL176" i="52"/>
  <c r="AL177" i="52"/>
  <c r="AL178" i="52"/>
  <c r="AL179" i="52"/>
  <c r="AL180" i="52"/>
  <c r="AL181" i="52"/>
  <c r="AL182" i="52"/>
  <c r="AL183" i="52"/>
  <c r="AL184" i="52"/>
  <c r="AL185" i="52"/>
  <c r="AL186" i="52"/>
  <c r="AL187" i="52"/>
  <c r="AL188" i="52"/>
  <c r="AL189" i="52"/>
  <c r="AL190" i="52"/>
  <c r="AL191" i="52"/>
  <c r="AL192" i="52"/>
  <c r="AL193" i="52"/>
  <c r="AL194" i="52"/>
  <c r="AL195" i="52"/>
  <c r="AL196" i="52"/>
  <c r="AL197" i="52"/>
  <c r="AL198" i="52"/>
  <c r="AL199" i="52"/>
  <c r="AL200" i="52"/>
  <c r="AL201" i="52"/>
  <c r="AL202" i="52"/>
  <c r="AL203" i="52"/>
  <c r="AL204" i="52"/>
  <c r="AL205" i="52"/>
  <c r="AL206" i="52"/>
  <c r="AL207" i="52"/>
  <c r="AL208" i="52"/>
  <c r="AL209" i="52"/>
  <c r="AL210" i="52"/>
  <c r="AL211" i="52"/>
  <c r="AL212" i="52"/>
  <c r="AL213" i="52"/>
  <c r="AL214" i="52"/>
  <c r="AL215" i="52"/>
  <c r="AL216" i="52"/>
  <c r="AL217" i="52"/>
  <c r="AL218" i="52"/>
  <c r="AL219" i="52"/>
  <c r="AL220" i="52"/>
  <c r="AL221" i="52"/>
  <c r="AL222" i="52"/>
  <c r="AL223" i="52"/>
  <c r="AL224" i="52"/>
  <c r="AL225" i="52"/>
  <c r="AL226" i="52"/>
  <c r="AL227" i="52"/>
  <c r="AL228" i="52"/>
  <c r="AL229" i="52"/>
  <c r="AL230" i="52"/>
  <c r="AL231" i="52"/>
  <c r="AL232" i="52"/>
  <c r="AL233" i="52"/>
  <c r="AL234" i="52"/>
  <c r="AL235" i="52"/>
  <c r="AL236" i="52"/>
  <c r="AL237" i="52"/>
  <c r="AL238" i="52"/>
  <c r="AL239" i="52"/>
  <c r="AL240" i="52"/>
  <c r="AL241" i="52"/>
  <c r="AL242" i="52"/>
  <c r="AL243" i="52"/>
  <c r="AL244" i="52"/>
  <c r="AL245" i="52"/>
  <c r="AL246" i="52"/>
  <c r="AL247" i="52"/>
  <c r="AL248" i="52"/>
  <c r="AL249" i="52"/>
  <c r="AL250" i="52"/>
  <c r="AL251" i="52"/>
  <c r="AL252" i="52"/>
  <c r="AL253" i="52"/>
  <c r="AL254" i="52"/>
  <c r="AL255" i="52"/>
  <c r="AL256" i="52"/>
  <c r="AL257" i="52"/>
  <c r="I5" i="99" l="1"/>
  <c r="I6" i="99"/>
  <c r="I7" i="99"/>
  <c r="I8" i="99"/>
  <c r="I9" i="99"/>
  <c r="I10" i="99"/>
  <c r="I11" i="99"/>
  <c r="I12" i="99"/>
  <c r="I13" i="99"/>
  <c r="I14" i="99"/>
  <c r="I15" i="99"/>
  <c r="I16" i="99"/>
  <c r="I17" i="99"/>
  <c r="I18" i="99"/>
  <c r="I19" i="99"/>
  <c r="I20" i="99"/>
  <c r="I21" i="99"/>
  <c r="I22" i="99"/>
  <c r="I23" i="99"/>
  <c r="I24" i="99"/>
  <c r="I25" i="99"/>
  <c r="I26" i="99"/>
  <c r="I27" i="99"/>
  <c r="I28" i="99"/>
  <c r="I29" i="99"/>
  <c r="I30" i="99"/>
  <c r="I31" i="99"/>
  <c r="I32" i="99"/>
  <c r="I33" i="99"/>
  <c r="I34" i="99"/>
  <c r="I35" i="99"/>
  <c r="I36" i="99"/>
  <c r="I39" i="99"/>
  <c r="I40" i="99"/>
  <c r="I41" i="99"/>
  <c r="I42" i="99"/>
  <c r="I43" i="99"/>
  <c r="I44" i="99"/>
  <c r="I45" i="99"/>
  <c r="I46" i="99"/>
  <c r="I47" i="99"/>
  <c r="I48" i="99"/>
  <c r="I49" i="99"/>
  <c r="I50" i="99"/>
  <c r="I51" i="99"/>
  <c r="I52" i="99"/>
  <c r="I53" i="99"/>
  <c r="I55" i="99"/>
  <c r="I56" i="99"/>
  <c r="I57" i="99"/>
  <c r="I58" i="99"/>
  <c r="I59" i="99"/>
  <c r="I60" i="99"/>
  <c r="I61" i="99"/>
  <c r="I62" i="99"/>
  <c r="I63" i="99"/>
  <c r="I64" i="99"/>
  <c r="I65" i="99"/>
  <c r="I66" i="99"/>
  <c r="I67" i="99"/>
  <c r="I68" i="99"/>
  <c r="I69" i="99"/>
  <c r="I70" i="99"/>
  <c r="I71" i="99"/>
  <c r="I72" i="99"/>
  <c r="I73" i="99"/>
  <c r="I74" i="99"/>
  <c r="I76" i="99"/>
  <c r="I77" i="99"/>
  <c r="I78" i="99"/>
  <c r="I79" i="99"/>
  <c r="I81" i="99"/>
  <c r="I82" i="99"/>
  <c r="I83" i="99"/>
  <c r="I84" i="99"/>
  <c r="I85" i="99"/>
  <c r="I86" i="99"/>
  <c r="I87" i="99"/>
  <c r="I88" i="99"/>
  <c r="I89" i="99"/>
  <c r="I91" i="99"/>
  <c r="I92" i="99"/>
  <c r="I93" i="99"/>
  <c r="I94" i="99"/>
  <c r="I95" i="99"/>
  <c r="I96" i="99"/>
  <c r="I97" i="99"/>
  <c r="I98" i="99"/>
  <c r="I99" i="99"/>
  <c r="I100" i="99"/>
  <c r="I101" i="99"/>
  <c r="I102" i="99"/>
  <c r="I103" i="99"/>
  <c r="I104" i="99"/>
  <c r="I105" i="99"/>
  <c r="I106" i="99"/>
  <c r="I107" i="99"/>
  <c r="I108" i="99"/>
  <c r="I109" i="99"/>
  <c r="I110" i="99"/>
  <c r="I111" i="99"/>
  <c r="I112" i="99"/>
  <c r="I113" i="99"/>
  <c r="I114" i="99"/>
  <c r="I115" i="99"/>
  <c r="I116" i="99"/>
  <c r="I117" i="99"/>
  <c r="I118" i="99"/>
  <c r="I119" i="99"/>
  <c r="I120" i="99"/>
  <c r="I121" i="99"/>
  <c r="I122" i="99"/>
  <c r="I123" i="99"/>
  <c r="I124" i="99"/>
  <c r="I125" i="99"/>
  <c r="I126" i="99"/>
  <c r="I127" i="99"/>
  <c r="I128" i="99"/>
  <c r="I129" i="99"/>
  <c r="I130" i="99"/>
  <c r="I131" i="99"/>
  <c r="I132" i="99"/>
  <c r="I133" i="99"/>
  <c r="I4" i="99"/>
  <c r="R13" i="64"/>
  <c r="R14" i="64"/>
  <c r="R15" i="64"/>
  <c r="R16" i="64"/>
  <c r="R17" i="64"/>
  <c r="R18" i="64"/>
  <c r="R19" i="64"/>
  <c r="R20" i="64"/>
  <c r="R21" i="64"/>
  <c r="R22" i="64"/>
  <c r="R23" i="64"/>
  <c r="R24" i="64"/>
  <c r="R25" i="64"/>
  <c r="R26" i="64"/>
  <c r="R27" i="64"/>
  <c r="R28" i="64"/>
  <c r="R29" i="64"/>
  <c r="R30" i="64"/>
  <c r="R31" i="64"/>
  <c r="R32" i="64"/>
  <c r="R33" i="64"/>
  <c r="R34" i="64"/>
  <c r="R35" i="64"/>
  <c r="R36" i="64"/>
  <c r="R37" i="64"/>
  <c r="R38" i="64"/>
  <c r="R39" i="64"/>
  <c r="R40" i="64"/>
  <c r="R41" i="64"/>
  <c r="R42" i="64"/>
  <c r="R43" i="64"/>
  <c r="R44" i="64"/>
  <c r="R45" i="64"/>
  <c r="R46" i="64"/>
  <c r="R47" i="64"/>
  <c r="R48" i="64"/>
  <c r="R49" i="64"/>
  <c r="R50" i="64"/>
  <c r="R51" i="64"/>
  <c r="R52" i="64"/>
  <c r="R53" i="64"/>
  <c r="R54" i="64"/>
  <c r="R55" i="64"/>
  <c r="R56" i="64"/>
  <c r="R57" i="64"/>
  <c r="R58" i="64"/>
  <c r="R59" i="64"/>
  <c r="R60" i="64"/>
  <c r="R61" i="64"/>
  <c r="R62" i="64"/>
  <c r="R63" i="64"/>
  <c r="R64" i="64"/>
  <c r="R65" i="64"/>
  <c r="R66" i="64"/>
  <c r="R67" i="64"/>
  <c r="R68" i="64"/>
  <c r="R69" i="64"/>
  <c r="R70" i="64"/>
  <c r="R71" i="64"/>
  <c r="R72" i="64"/>
  <c r="R73" i="64"/>
  <c r="R74" i="64"/>
  <c r="R75" i="64"/>
  <c r="R76" i="64"/>
  <c r="R77" i="64"/>
  <c r="R78" i="64"/>
  <c r="R79" i="64"/>
  <c r="R80" i="64"/>
  <c r="R81" i="64"/>
  <c r="R82" i="64"/>
  <c r="R83" i="64"/>
  <c r="R84" i="64"/>
  <c r="R85" i="64"/>
  <c r="R86" i="64"/>
  <c r="R87" i="64"/>
  <c r="R88" i="64"/>
  <c r="R89" i="64"/>
  <c r="R90" i="64"/>
  <c r="R91" i="64"/>
  <c r="R92" i="64"/>
  <c r="R93" i="64"/>
  <c r="R94" i="64"/>
  <c r="R95" i="64"/>
  <c r="R96" i="64"/>
  <c r="R97" i="64"/>
  <c r="R98" i="64"/>
  <c r="R99" i="64"/>
  <c r="R100" i="64"/>
  <c r="R101" i="64"/>
  <c r="R102" i="64"/>
  <c r="R103" i="64"/>
  <c r="R104" i="64"/>
  <c r="R105" i="64"/>
  <c r="R106" i="64"/>
  <c r="R107" i="64"/>
  <c r="R108" i="64"/>
  <c r="R109" i="64"/>
  <c r="R110" i="64"/>
  <c r="R111" i="64"/>
  <c r="R112" i="64"/>
  <c r="R113" i="64"/>
  <c r="R114" i="64"/>
  <c r="R115" i="64"/>
  <c r="R116" i="64"/>
  <c r="R117" i="64"/>
  <c r="R118" i="64"/>
  <c r="R119" i="64"/>
  <c r="R120" i="64"/>
  <c r="R121" i="64"/>
  <c r="R122" i="64"/>
  <c r="R123" i="64"/>
  <c r="R124" i="64"/>
  <c r="R125" i="64"/>
  <c r="R126" i="64"/>
  <c r="R127" i="64"/>
  <c r="R128" i="64"/>
  <c r="R129" i="64"/>
  <c r="R130" i="64"/>
  <c r="R131" i="64"/>
  <c r="R132" i="64"/>
  <c r="R133" i="64"/>
  <c r="R134" i="64"/>
  <c r="R135" i="64"/>
  <c r="R136" i="64"/>
  <c r="R137" i="64"/>
  <c r="R138" i="64"/>
  <c r="R139" i="64"/>
  <c r="R140" i="64"/>
  <c r="R141" i="64"/>
  <c r="R142" i="64"/>
  <c r="R143" i="64"/>
  <c r="R144" i="64"/>
  <c r="R145" i="64"/>
  <c r="R146" i="64"/>
  <c r="R147" i="64"/>
  <c r="R148" i="64"/>
  <c r="R149" i="64"/>
  <c r="R150" i="64"/>
  <c r="R151" i="64"/>
  <c r="R152" i="64"/>
  <c r="R153" i="64"/>
  <c r="R154" i="64"/>
  <c r="R155" i="64"/>
  <c r="R156" i="64"/>
  <c r="R157" i="64"/>
  <c r="R158" i="64"/>
  <c r="R159" i="64"/>
  <c r="R160" i="64"/>
  <c r="R161" i="64"/>
  <c r="R162" i="64"/>
  <c r="R163" i="64"/>
  <c r="R164" i="64"/>
  <c r="R165" i="64"/>
  <c r="R166" i="64"/>
  <c r="R167" i="64"/>
  <c r="R168" i="64"/>
  <c r="R169" i="64"/>
  <c r="R170" i="64"/>
  <c r="R171" i="64"/>
  <c r="R172" i="64"/>
  <c r="R173" i="64"/>
  <c r="R174" i="64"/>
  <c r="R175" i="64"/>
  <c r="R176" i="64"/>
  <c r="R177" i="64"/>
  <c r="R178" i="64"/>
  <c r="R179" i="64"/>
  <c r="R180" i="64"/>
  <c r="R181" i="64"/>
  <c r="R182" i="64"/>
  <c r="R183" i="64"/>
  <c r="R184" i="64"/>
  <c r="R185" i="64"/>
  <c r="R186" i="64"/>
  <c r="R187" i="64"/>
  <c r="R188" i="64"/>
  <c r="R189" i="64"/>
  <c r="R190" i="64"/>
  <c r="R191" i="64"/>
  <c r="R192" i="64"/>
  <c r="R193" i="64"/>
  <c r="R194" i="64"/>
  <c r="R195" i="64"/>
  <c r="R196" i="64"/>
  <c r="R197" i="64"/>
  <c r="R198" i="64"/>
  <c r="R199" i="64"/>
  <c r="R200" i="64"/>
  <c r="R201" i="64"/>
  <c r="R202" i="64"/>
  <c r="R203" i="64"/>
  <c r="R204" i="64"/>
  <c r="R205" i="64"/>
  <c r="R206" i="64"/>
  <c r="R207" i="64"/>
  <c r="R208" i="64"/>
  <c r="R209" i="64"/>
  <c r="R210" i="64"/>
  <c r="R211" i="64"/>
  <c r="R212" i="64"/>
  <c r="R213" i="64"/>
  <c r="R214" i="64"/>
  <c r="R215" i="64"/>
  <c r="R216" i="64"/>
  <c r="R217" i="64"/>
  <c r="R218" i="64"/>
  <c r="R219" i="64"/>
  <c r="R220" i="64"/>
  <c r="R221" i="64"/>
  <c r="R222" i="64"/>
  <c r="R223" i="64"/>
  <c r="R224" i="64"/>
  <c r="R225" i="64"/>
  <c r="R226" i="64"/>
  <c r="R227" i="64"/>
  <c r="R228" i="64"/>
  <c r="R229" i="64"/>
  <c r="R230" i="64"/>
  <c r="R231" i="64"/>
  <c r="R232" i="64"/>
  <c r="R233" i="64"/>
  <c r="R234" i="64"/>
  <c r="R235" i="64"/>
  <c r="R236" i="64"/>
  <c r="R237" i="64"/>
  <c r="R238" i="64"/>
  <c r="R239" i="64"/>
  <c r="R240" i="64"/>
  <c r="R241" i="64"/>
  <c r="R242" i="64"/>
  <c r="R243" i="64"/>
  <c r="R244" i="64"/>
  <c r="R245" i="64"/>
  <c r="R246" i="64"/>
  <c r="R247" i="64"/>
  <c r="R248" i="64"/>
  <c r="R249" i="64"/>
  <c r="R250" i="64"/>
  <c r="R251" i="64"/>
  <c r="R252" i="64"/>
  <c r="R253" i="64"/>
  <c r="R254" i="64"/>
  <c r="R255" i="64"/>
  <c r="R256" i="64"/>
  <c r="R257" i="64"/>
  <c r="R258" i="64"/>
  <c r="R259" i="64"/>
  <c r="R12" i="64"/>
  <c r="S13" i="42" l="1"/>
  <c r="V13" i="42" s="1"/>
  <c r="S14" i="42"/>
  <c r="V14" i="42" s="1"/>
  <c r="S15" i="42"/>
  <c r="V15" i="42" s="1"/>
  <c r="S16" i="42"/>
  <c r="V16" i="42" s="1"/>
  <c r="S17" i="42"/>
  <c r="V17" i="42" s="1"/>
  <c r="S18" i="42"/>
  <c r="V18" i="42" s="1"/>
  <c r="S19" i="42"/>
  <c r="V19" i="42" s="1"/>
  <c r="S20" i="42"/>
  <c r="V20" i="42" s="1"/>
  <c r="S21" i="42"/>
  <c r="V21" i="42" s="1"/>
  <c r="S22" i="42"/>
  <c r="V22" i="42" s="1"/>
  <c r="S23" i="42"/>
  <c r="V23" i="42" s="1"/>
  <c r="S24" i="42"/>
  <c r="V24" i="42" s="1"/>
  <c r="S25" i="42"/>
  <c r="V25" i="42" s="1"/>
  <c r="S26" i="42"/>
  <c r="V26" i="42" s="1"/>
  <c r="S27" i="42"/>
  <c r="V27" i="42" s="1"/>
  <c r="S28" i="42"/>
  <c r="V28" i="42" s="1"/>
  <c r="S29" i="42"/>
  <c r="V29" i="42" s="1"/>
  <c r="S30" i="42"/>
  <c r="V30" i="42" s="1"/>
  <c r="S31" i="42"/>
  <c r="V31" i="42" s="1"/>
  <c r="S32" i="42"/>
  <c r="V32" i="42" s="1"/>
  <c r="S33" i="42"/>
  <c r="V33" i="42" s="1"/>
  <c r="S34" i="42"/>
  <c r="V34" i="42" s="1"/>
  <c r="S35" i="42"/>
  <c r="V35" i="42" s="1"/>
  <c r="S36" i="42"/>
  <c r="V36" i="42" s="1"/>
  <c r="S37" i="42"/>
  <c r="V37" i="42" s="1"/>
  <c r="S38" i="42"/>
  <c r="V38" i="42"/>
  <c r="S39" i="42"/>
  <c r="V39" i="42"/>
  <c r="S40" i="42"/>
  <c r="V40" i="42"/>
  <c r="S41" i="42"/>
  <c r="V41" i="42"/>
  <c r="S42" i="42"/>
  <c r="V42" i="42"/>
  <c r="S43" i="42"/>
  <c r="V43" i="42"/>
  <c r="S44" i="42"/>
  <c r="V44" i="42"/>
  <c r="S45" i="42"/>
  <c r="V45" i="42"/>
  <c r="S46" i="42"/>
  <c r="V46" i="42"/>
  <c r="S47" i="42"/>
  <c r="V47" i="42"/>
  <c r="S48" i="42"/>
  <c r="V48" i="42"/>
  <c r="S49" i="42"/>
  <c r="V49" i="42"/>
  <c r="S50" i="42"/>
  <c r="V50" i="42"/>
  <c r="S51" i="42"/>
  <c r="V51" i="42"/>
  <c r="S52" i="42"/>
  <c r="V52" i="42"/>
  <c r="S53" i="42"/>
  <c r="V53" i="42"/>
  <c r="S54" i="42"/>
  <c r="V54" i="42"/>
  <c r="S55" i="42"/>
  <c r="V55" i="42"/>
  <c r="S56" i="42"/>
  <c r="V56" i="42"/>
  <c r="S57" i="42"/>
  <c r="V57" i="42"/>
  <c r="S58" i="42"/>
  <c r="V58" i="42"/>
  <c r="S59" i="42"/>
  <c r="V59" i="42"/>
  <c r="S60" i="42"/>
  <c r="V60" i="42"/>
  <c r="S61" i="42"/>
  <c r="V61" i="42"/>
  <c r="S62" i="42"/>
  <c r="V62" i="42"/>
  <c r="S63" i="42"/>
  <c r="V63" i="42"/>
  <c r="S64" i="42"/>
  <c r="V64" i="42"/>
  <c r="S65" i="42"/>
  <c r="V65" i="42"/>
  <c r="S66" i="42"/>
  <c r="V66" i="42"/>
  <c r="S67" i="42"/>
  <c r="V67" i="42"/>
  <c r="S68" i="42"/>
  <c r="V68" i="42"/>
  <c r="S69" i="42"/>
  <c r="V69" i="42"/>
  <c r="S70" i="42"/>
  <c r="V70" i="42"/>
  <c r="S71" i="42"/>
  <c r="V71" i="42"/>
  <c r="S72" i="42"/>
  <c r="V72" i="42"/>
  <c r="S73" i="42"/>
  <c r="V73" i="42"/>
  <c r="S74" i="42"/>
  <c r="V74" i="42"/>
  <c r="S75" i="42"/>
  <c r="V75" i="42"/>
  <c r="S76" i="42"/>
  <c r="V76" i="42"/>
  <c r="S77" i="42"/>
  <c r="V77" i="42"/>
  <c r="S78" i="42"/>
  <c r="V78" i="42"/>
  <c r="S79" i="42"/>
  <c r="V79" i="42"/>
  <c r="S80" i="42"/>
  <c r="V80" i="42"/>
  <c r="S81" i="42"/>
  <c r="V81" i="42"/>
  <c r="S82" i="42"/>
  <c r="V82" i="42"/>
  <c r="S83" i="42"/>
  <c r="V83" i="42"/>
  <c r="S84" i="42"/>
  <c r="V84" i="42"/>
  <c r="S85" i="42"/>
  <c r="V85" i="42"/>
  <c r="S86" i="42"/>
  <c r="V86" i="42"/>
  <c r="S87" i="42"/>
  <c r="V87" i="42"/>
  <c r="S88" i="42"/>
  <c r="V88" i="42"/>
  <c r="S89" i="42"/>
  <c r="V89" i="42"/>
  <c r="S90" i="42"/>
  <c r="V90" i="42"/>
  <c r="S91" i="42"/>
  <c r="V91" i="42"/>
  <c r="S92" i="42"/>
  <c r="V92" i="42"/>
  <c r="S93" i="42"/>
  <c r="V93" i="42"/>
  <c r="S94" i="42"/>
  <c r="V94" i="42"/>
  <c r="S95" i="42"/>
  <c r="V95" i="42"/>
  <c r="S96" i="42"/>
  <c r="V96" i="42"/>
  <c r="S97" i="42"/>
  <c r="V97" i="42"/>
  <c r="S98" i="42"/>
  <c r="V98" i="42"/>
  <c r="S99" i="42"/>
  <c r="V99" i="42"/>
  <c r="S100" i="42"/>
  <c r="V100" i="42"/>
  <c r="S101" i="42"/>
  <c r="V101" i="42"/>
  <c r="S102" i="42"/>
  <c r="V102" i="42"/>
  <c r="S103" i="42"/>
  <c r="V103" i="42"/>
  <c r="S104" i="42"/>
  <c r="V104" i="42"/>
  <c r="S105" i="42"/>
  <c r="V105" i="42"/>
  <c r="S106" i="42"/>
  <c r="V106" i="42"/>
  <c r="S107" i="42"/>
  <c r="V107" i="42"/>
  <c r="S108" i="42"/>
  <c r="V108" i="42"/>
  <c r="S109" i="42"/>
  <c r="V109" i="42"/>
  <c r="S110" i="42"/>
  <c r="V110" i="42"/>
  <c r="S111" i="42"/>
  <c r="V111" i="42"/>
  <c r="S112" i="42"/>
  <c r="V112" i="42"/>
  <c r="S113" i="42"/>
  <c r="V113" i="42"/>
  <c r="S114" i="42"/>
  <c r="V114" i="42"/>
  <c r="S115" i="42"/>
  <c r="V115" i="42"/>
  <c r="S116" i="42"/>
  <c r="V116" i="42"/>
  <c r="S117" i="42"/>
  <c r="V117" i="42"/>
  <c r="S118" i="42"/>
  <c r="V118" i="42"/>
  <c r="S119" i="42"/>
  <c r="V119" i="42"/>
  <c r="S120" i="42"/>
  <c r="V120" i="42"/>
  <c r="S121" i="42"/>
  <c r="V121" i="42"/>
  <c r="S122" i="42"/>
  <c r="V122" i="42"/>
  <c r="S123" i="42"/>
  <c r="V123" i="42"/>
  <c r="S124" i="42"/>
  <c r="V124" i="42"/>
  <c r="S125" i="42"/>
  <c r="V125" i="42"/>
  <c r="S126" i="42"/>
  <c r="V126" i="42"/>
  <c r="S127" i="42"/>
  <c r="V127" i="42"/>
  <c r="S128" i="42"/>
  <c r="V128" i="42"/>
  <c r="S129" i="42"/>
  <c r="V129" i="42"/>
  <c r="S130" i="42"/>
  <c r="V130" i="42"/>
  <c r="S131" i="42"/>
  <c r="V131" i="42"/>
  <c r="S132" i="42"/>
  <c r="V132" i="42"/>
  <c r="S133" i="42"/>
  <c r="V133" i="42"/>
  <c r="S134" i="42"/>
  <c r="V134" i="42"/>
  <c r="S135" i="42"/>
  <c r="V135" i="42"/>
  <c r="S136" i="42"/>
  <c r="V136" i="42"/>
  <c r="S137" i="42"/>
  <c r="V137" i="42"/>
  <c r="S138" i="42"/>
  <c r="V138" i="42"/>
  <c r="S139" i="42"/>
  <c r="V139" i="42"/>
  <c r="S140" i="42"/>
  <c r="V140" i="42"/>
  <c r="S141" i="42"/>
  <c r="V141" i="42"/>
  <c r="S142" i="42"/>
  <c r="V142" i="42"/>
  <c r="S143" i="42"/>
  <c r="V143" i="42"/>
  <c r="S144" i="42"/>
  <c r="V144" i="42"/>
  <c r="S145" i="42"/>
  <c r="V145" i="42"/>
  <c r="S146" i="42"/>
  <c r="V146" i="42"/>
  <c r="S147" i="42"/>
  <c r="V147" i="42"/>
  <c r="S148" i="42"/>
  <c r="V148" i="42"/>
  <c r="S149" i="42"/>
  <c r="V149" i="42"/>
  <c r="S150" i="42"/>
  <c r="V150" i="42"/>
  <c r="S151" i="42"/>
  <c r="V151" i="42"/>
  <c r="S152" i="42"/>
  <c r="V152" i="42"/>
  <c r="S153" i="42"/>
  <c r="V153" i="42"/>
  <c r="S154" i="42"/>
  <c r="V154" i="42"/>
  <c r="S155" i="42"/>
  <c r="V155" i="42"/>
  <c r="S156" i="42"/>
  <c r="V156" i="42"/>
  <c r="S157" i="42"/>
  <c r="V157" i="42"/>
  <c r="S158" i="42"/>
  <c r="V158" i="42"/>
  <c r="S159" i="42"/>
  <c r="V159" i="42"/>
  <c r="S160" i="42"/>
  <c r="V160" i="42"/>
  <c r="S161" i="42"/>
  <c r="V161" i="42"/>
  <c r="S162" i="42"/>
  <c r="V162" i="42"/>
  <c r="S163" i="42"/>
  <c r="V163" i="42"/>
  <c r="S164" i="42"/>
  <c r="V164" i="42"/>
  <c r="S165" i="42"/>
  <c r="V165" i="42"/>
  <c r="S166" i="42"/>
  <c r="V166" i="42"/>
  <c r="S167" i="42"/>
  <c r="V167" i="42"/>
  <c r="S168" i="42"/>
  <c r="V168" i="42"/>
  <c r="S169" i="42"/>
  <c r="V169" i="42"/>
  <c r="S170" i="42"/>
  <c r="V170" i="42"/>
  <c r="S171" i="42"/>
  <c r="V171" i="42"/>
  <c r="S172" i="42"/>
  <c r="V172" i="42"/>
  <c r="S173" i="42"/>
  <c r="V173" i="42"/>
  <c r="S174" i="42"/>
  <c r="V174" i="42"/>
  <c r="S175" i="42"/>
  <c r="V175" i="42"/>
  <c r="S176" i="42"/>
  <c r="V176" i="42"/>
  <c r="S177" i="42"/>
  <c r="V177" i="42"/>
  <c r="S178" i="42"/>
  <c r="V178" i="42"/>
  <c r="S179" i="42"/>
  <c r="V179" i="42"/>
  <c r="S180" i="42"/>
  <c r="V180" i="42"/>
  <c r="S181" i="42"/>
  <c r="V181" i="42"/>
  <c r="S182" i="42"/>
  <c r="V182" i="42"/>
  <c r="S183" i="42"/>
  <c r="V183" i="42"/>
  <c r="S184" i="42"/>
  <c r="V184" i="42"/>
  <c r="S185" i="42"/>
  <c r="V185" i="42"/>
  <c r="S186" i="42"/>
  <c r="V186" i="42"/>
  <c r="S187" i="42"/>
  <c r="V187" i="42"/>
  <c r="S188" i="42"/>
  <c r="V188" i="42"/>
  <c r="S189" i="42"/>
  <c r="V189" i="42"/>
  <c r="S190" i="42"/>
  <c r="V190" i="42"/>
  <c r="S191" i="42"/>
  <c r="V191" i="42"/>
  <c r="S192" i="42"/>
  <c r="V192" i="42"/>
  <c r="S193" i="42"/>
  <c r="V193" i="42"/>
  <c r="S194" i="42"/>
  <c r="V194" i="42"/>
  <c r="S195" i="42"/>
  <c r="V195" i="42"/>
  <c r="S196" i="42"/>
  <c r="V196" i="42"/>
  <c r="S197" i="42"/>
  <c r="V197" i="42"/>
  <c r="S198" i="42"/>
  <c r="V198" i="42"/>
  <c r="S199" i="42"/>
  <c r="V199" i="42"/>
  <c r="S200" i="42"/>
  <c r="V200" i="42"/>
  <c r="S201" i="42"/>
  <c r="V201" i="42"/>
  <c r="S202" i="42"/>
  <c r="V202" i="42"/>
  <c r="S203" i="42"/>
  <c r="V203" i="42"/>
  <c r="S204" i="42"/>
  <c r="V204" i="42"/>
  <c r="S205" i="42"/>
  <c r="V205" i="42"/>
  <c r="S206" i="42"/>
  <c r="V206" i="42"/>
  <c r="S207" i="42"/>
  <c r="V207" i="42"/>
  <c r="S208" i="42"/>
  <c r="V208" i="42"/>
  <c r="S209" i="42"/>
  <c r="V209" i="42"/>
  <c r="S210" i="42"/>
  <c r="V210" i="42"/>
  <c r="S211" i="42"/>
  <c r="V211" i="42"/>
  <c r="S212" i="42"/>
  <c r="V212" i="42"/>
  <c r="S213" i="42"/>
  <c r="V213" i="42"/>
  <c r="S214" i="42"/>
  <c r="V214" i="42"/>
  <c r="S215" i="42"/>
  <c r="V215" i="42"/>
  <c r="S216" i="42"/>
  <c r="V216" i="42"/>
  <c r="S217" i="42"/>
  <c r="V217" i="42"/>
  <c r="S218" i="42"/>
  <c r="V218" i="42"/>
  <c r="S219" i="42"/>
  <c r="V219" i="42"/>
  <c r="S220" i="42"/>
  <c r="V220" i="42"/>
  <c r="S221" i="42"/>
  <c r="V221" i="42"/>
  <c r="S222" i="42"/>
  <c r="V222" i="42"/>
  <c r="S223" i="42"/>
  <c r="V223" i="42"/>
  <c r="S224" i="42"/>
  <c r="V224" i="42"/>
  <c r="S225" i="42"/>
  <c r="V225" i="42"/>
  <c r="S226" i="42"/>
  <c r="V226" i="42"/>
  <c r="S227" i="42"/>
  <c r="V227" i="42"/>
  <c r="S228" i="42"/>
  <c r="V228" i="42"/>
  <c r="S229" i="42"/>
  <c r="V229" i="42"/>
  <c r="S230" i="42"/>
  <c r="V230" i="42"/>
  <c r="S231" i="42"/>
  <c r="V231" i="42"/>
  <c r="S232" i="42"/>
  <c r="V232" i="42"/>
  <c r="S233" i="42"/>
  <c r="V233" i="42"/>
  <c r="S234" i="42"/>
  <c r="V234" i="42"/>
  <c r="S235" i="42"/>
  <c r="V235" i="42"/>
  <c r="S236" i="42"/>
  <c r="V236" i="42"/>
  <c r="S237" i="42"/>
  <c r="V237" i="42"/>
  <c r="S238" i="42"/>
  <c r="V238" i="42"/>
  <c r="S239" i="42"/>
  <c r="V239" i="42"/>
  <c r="S240" i="42"/>
  <c r="V240" i="42"/>
  <c r="S241" i="42"/>
  <c r="V241" i="42"/>
  <c r="S242" i="42"/>
  <c r="V242" i="42"/>
  <c r="S243" i="42"/>
  <c r="V243" i="42"/>
  <c r="S244" i="42"/>
  <c r="V244" i="42"/>
  <c r="S245" i="42"/>
  <c r="V245" i="42"/>
  <c r="S246" i="42"/>
  <c r="V246" i="42"/>
  <c r="S247" i="42"/>
  <c r="V247" i="42"/>
  <c r="S248" i="42"/>
  <c r="V248" i="42"/>
  <c r="S249" i="42"/>
  <c r="V249" i="42"/>
  <c r="S250" i="42"/>
  <c r="V250" i="42"/>
  <c r="S251" i="42"/>
  <c r="V251" i="42"/>
  <c r="S252" i="42"/>
  <c r="V252" i="42"/>
  <c r="S253" i="42"/>
  <c r="V253" i="42"/>
  <c r="S254" i="42"/>
  <c r="V254" i="42"/>
  <c r="S255" i="42"/>
  <c r="V255" i="42"/>
  <c r="S256" i="42"/>
  <c r="V256" i="42"/>
  <c r="S257" i="42"/>
  <c r="V257" i="42"/>
  <c r="S258" i="42"/>
  <c r="V258" i="42"/>
  <c r="S259" i="42"/>
  <c r="V259" i="42"/>
  <c r="I162" i="22" l="1"/>
  <c r="I154" i="22"/>
  <c r="I153" i="22"/>
  <c r="I152" i="22"/>
  <c r="I151" i="22" l="1"/>
  <c r="I155" i="22"/>
  <c r="I156" i="22"/>
  <c r="I160" i="22"/>
  <c r="D3" i="46" l="1"/>
  <c r="K134" i="22" l="1"/>
  <c r="W134" i="22"/>
  <c r="K80" i="22"/>
  <c r="W80" i="22"/>
  <c r="K55" i="22"/>
  <c r="W55" i="22"/>
  <c r="L38" i="22"/>
  <c r="K38" i="22"/>
  <c r="W38" i="22"/>
  <c r="S12" i="42" l="1"/>
  <c r="F13" i="42"/>
  <c r="F14" i="42"/>
  <c r="F15" i="42"/>
  <c r="F16" i="42"/>
  <c r="F17" i="42"/>
  <c r="F18" i="42"/>
  <c r="F19" i="42"/>
  <c r="F20" i="42"/>
  <c r="F21" i="42"/>
  <c r="F22" i="42"/>
  <c r="F23" i="42"/>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M11" i="52"/>
  <c r="M12" i="52"/>
  <c r="M13" i="52"/>
  <c r="M14" i="52"/>
  <c r="M15" i="52"/>
  <c r="M16" i="52"/>
  <c r="M17" i="52"/>
  <c r="M18" i="52"/>
  <c r="M19" i="52"/>
  <c r="M20" i="52"/>
  <c r="M21" i="52"/>
  <c r="M22" i="52"/>
  <c r="M23" i="52"/>
  <c r="M24" i="52"/>
  <c r="M25" i="52"/>
  <c r="M26" i="52"/>
  <c r="M27" i="52"/>
  <c r="M28" i="52"/>
  <c r="M29" i="52"/>
  <c r="M30" i="52"/>
  <c r="M31" i="52"/>
  <c r="M32" i="52"/>
  <c r="M33" i="52"/>
  <c r="M34" i="52"/>
  <c r="M35" i="52"/>
  <c r="M36" i="52"/>
  <c r="M37" i="52"/>
  <c r="M38" i="52"/>
  <c r="M39" i="52"/>
  <c r="M40" i="52"/>
  <c r="M41" i="52"/>
  <c r="M42" i="52"/>
  <c r="M43" i="52"/>
  <c r="M44" i="52"/>
  <c r="M45" i="52"/>
  <c r="M46" i="52"/>
  <c r="M47" i="52"/>
  <c r="M48" i="52"/>
  <c r="M49" i="52"/>
  <c r="M50" i="52"/>
  <c r="M51" i="52"/>
  <c r="M52" i="52"/>
  <c r="M53" i="52"/>
  <c r="M54" i="52"/>
  <c r="M55" i="52"/>
  <c r="M56" i="52"/>
  <c r="M57" i="52"/>
  <c r="M58" i="52"/>
  <c r="M59" i="52"/>
  <c r="M60" i="52"/>
  <c r="M61" i="52"/>
  <c r="M62" i="52"/>
  <c r="M63" i="52"/>
  <c r="M64" i="52"/>
  <c r="M65" i="52"/>
  <c r="M66" i="52"/>
  <c r="M67" i="52"/>
  <c r="M68" i="52"/>
  <c r="M69" i="52"/>
  <c r="M70" i="52"/>
  <c r="M71" i="52"/>
  <c r="M72" i="52"/>
  <c r="M73" i="52"/>
  <c r="M74" i="52"/>
  <c r="M75" i="52"/>
  <c r="M76" i="52"/>
  <c r="M77" i="52"/>
  <c r="M78" i="52"/>
  <c r="M79" i="52"/>
  <c r="M80" i="52"/>
  <c r="M81" i="52"/>
  <c r="M82" i="52"/>
  <c r="M83" i="52"/>
  <c r="M84" i="52"/>
  <c r="M85" i="52"/>
  <c r="M86" i="52"/>
  <c r="M87" i="52"/>
  <c r="M88" i="52"/>
  <c r="M89" i="52"/>
  <c r="M90" i="52"/>
  <c r="M91" i="52"/>
  <c r="M92" i="52"/>
  <c r="M93" i="52"/>
  <c r="M94" i="52"/>
  <c r="M95" i="52"/>
  <c r="M96" i="52"/>
  <c r="M97" i="52"/>
  <c r="M98" i="52"/>
  <c r="M99" i="52"/>
  <c r="M100" i="52"/>
  <c r="M101" i="52"/>
  <c r="M102" i="52"/>
  <c r="M103" i="52"/>
  <c r="M104" i="52"/>
  <c r="M105" i="52"/>
  <c r="M106" i="52"/>
  <c r="M107" i="52"/>
  <c r="M108" i="52"/>
  <c r="M109" i="52"/>
  <c r="M110" i="52"/>
  <c r="M111" i="52"/>
  <c r="M112" i="52"/>
  <c r="M113" i="52"/>
  <c r="M114" i="52"/>
  <c r="M115" i="52"/>
  <c r="M116" i="52"/>
  <c r="M117" i="52"/>
  <c r="M118" i="52"/>
  <c r="M119" i="52"/>
  <c r="M120" i="52"/>
  <c r="M121" i="52"/>
  <c r="M122" i="52"/>
  <c r="M123" i="52"/>
  <c r="M124" i="52"/>
  <c r="M125" i="52"/>
  <c r="M126" i="52"/>
  <c r="M127" i="52"/>
  <c r="M128" i="52"/>
  <c r="M129" i="52"/>
  <c r="M130" i="52"/>
  <c r="M131" i="52"/>
  <c r="M132" i="52"/>
  <c r="M133" i="52"/>
  <c r="M134" i="52"/>
  <c r="M135" i="52"/>
  <c r="M136" i="52"/>
  <c r="M137" i="52"/>
  <c r="M138" i="52"/>
  <c r="M139" i="52"/>
  <c r="M140" i="52"/>
  <c r="M141" i="52"/>
  <c r="M142" i="52"/>
  <c r="M143" i="52"/>
  <c r="M144" i="52"/>
  <c r="M145" i="52"/>
  <c r="M146" i="52"/>
  <c r="M147" i="52"/>
  <c r="M148" i="52"/>
  <c r="M149" i="52"/>
  <c r="M150" i="52"/>
  <c r="M151" i="52"/>
  <c r="M152" i="52"/>
  <c r="M153" i="52"/>
  <c r="M154" i="52"/>
  <c r="M155" i="52"/>
  <c r="M156" i="52"/>
  <c r="M157" i="52"/>
  <c r="M158" i="52"/>
  <c r="M159" i="52"/>
  <c r="M160" i="52"/>
  <c r="M161" i="52"/>
  <c r="M162" i="52"/>
  <c r="M163" i="52"/>
  <c r="M164" i="52"/>
  <c r="M165" i="52"/>
  <c r="M166" i="52"/>
  <c r="M167" i="52"/>
  <c r="M168" i="52"/>
  <c r="M169" i="52"/>
  <c r="M170" i="52"/>
  <c r="M171" i="52"/>
  <c r="M172" i="52"/>
  <c r="M173" i="52"/>
  <c r="M174" i="52"/>
  <c r="M175" i="52"/>
  <c r="M176" i="52"/>
  <c r="M177" i="52"/>
  <c r="M178" i="52"/>
  <c r="M179" i="52"/>
  <c r="M180" i="52"/>
  <c r="M181" i="52"/>
  <c r="M182" i="52"/>
  <c r="M183" i="52"/>
  <c r="M184" i="52"/>
  <c r="M185" i="52"/>
  <c r="M186" i="52"/>
  <c r="M187" i="52"/>
  <c r="M188" i="52"/>
  <c r="M189" i="52"/>
  <c r="M190" i="52"/>
  <c r="M191" i="52"/>
  <c r="M192" i="52"/>
  <c r="M193" i="52"/>
  <c r="M194" i="52"/>
  <c r="M195" i="52"/>
  <c r="M196" i="52"/>
  <c r="M197" i="52"/>
  <c r="M198" i="52"/>
  <c r="M199" i="52"/>
  <c r="M200" i="52"/>
  <c r="M201" i="52"/>
  <c r="M202" i="52"/>
  <c r="M203" i="52"/>
  <c r="M204" i="52"/>
  <c r="M205" i="52"/>
  <c r="M206" i="52"/>
  <c r="M207" i="52"/>
  <c r="M208" i="52"/>
  <c r="M209" i="52"/>
  <c r="M210" i="52"/>
  <c r="M211" i="52"/>
  <c r="M212" i="52"/>
  <c r="M213" i="52"/>
  <c r="M214" i="52"/>
  <c r="M215" i="52"/>
  <c r="M216" i="52"/>
  <c r="M217" i="52"/>
  <c r="M218" i="52"/>
  <c r="M219" i="52"/>
  <c r="M220" i="52"/>
  <c r="M221" i="52"/>
  <c r="M222" i="52"/>
  <c r="M223" i="52"/>
  <c r="M224" i="52"/>
  <c r="M225" i="52"/>
  <c r="M226" i="52"/>
  <c r="M227" i="52"/>
  <c r="M228" i="52"/>
  <c r="M229" i="52"/>
  <c r="M230" i="52"/>
  <c r="M231" i="52"/>
  <c r="M232" i="52"/>
  <c r="M233" i="52"/>
  <c r="M234" i="52"/>
  <c r="M235" i="52"/>
  <c r="M236" i="52"/>
  <c r="M237" i="52"/>
  <c r="M238" i="52"/>
  <c r="M239" i="52"/>
  <c r="M240" i="52"/>
  <c r="M241" i="52"/>
  <c r="M242" i="52"/>
  <c r="M243" i="52"/>
  <c r="M244" i="52"/>
  <c r="M245" i="52"/>
  <c r="M246" i="52"/>
  <c r="M247" i="52"/>
  <c r="M248" i="52"/>
  <c r="M249" i="52"/>
  <c r="M250" i="52"/>
  <c r="M251" i="52"/>
  <c r="M252" i="52"/>
  <c r="M253" i="52"/>
  <c r="M254" i="52"/>
  <c r="M255" i="52"/>
  <c r="M256" i="52"/>
  <c r="M257" i="52"/>
  <c r="M10" i="52"/>
  <c r="F11" i="52"/>
  <c r="F12" i="52"/>
  <c r="F13" i="52"/>
  <c r="F14" i="52"/>
  <c r="F15" i="52"/>
  <c r="F16" i="52"/>
  <c r="F17" i="52"/>
  <c r="F18" i="52"/>
  <c r="F19" i="52"/>
  <c r="F20" i="52"/>
  <c r="F21" i="52"/>
  <c r="F22" i="52"/>
  <c r="F23" i="52"/>
  <c r="F24" i="52"/>
  <c r="F25" i="52"/>
  <c r="F26" i="52"/>
  <c r="F27" i="52"/>
  <c r="F28" i="52"/>
  <c r="F29" i="52"/>
  <c r="F30" i="52"/>
  <c r="F31" i="52"/>
  <c r="F32" i="52"/>
  <c r="F33" i="52"/>
  <c r="F34" i="52"/>
  <c r="F35" i="52"/>
  <c r="F36" i="52"/>
  <c r="F37" i="52"/>
  <c r="F38" i="52"/>
  <c r="F39" i="52"/>
  <c r="F40" i="52"/>
  <c r="F41" i="52"/>
  <c r="F42" i="52"/>
  <c r="F43" i="52"/>
  <c r="F44" i="52"/>
  <c r="F45" i="52"/>
  <c r="F46" i="52"/>
  <c r="F47" i="52"/>
  <c r="F48" i="52"/>
  <c r="F49" i="52"/>
  <c r="F50" i="52"/>
  <c r="F51" i="52"/>
  <c r="F52" i="52"/>
  <c r="F53" i="52"/>
  <c r="F54" i="52"/>
  <c r="F55" i="52"/>
  <c r="F56" i="52"/>
  <c r="F57" i="52"/>
  <c r="F58" i="52"/>
  <c r="F59" i="52"/>
  <c r="F60" i="52"/>
  <c r="F61" i="52"/>
  <c r="F62" i="52"/>
  <c r="F63" i="52"/>
  <c r="F64" i="52"/>
  <c r="F65" i="52"/>
  <c r="F66" i="52"/>
  <c r="F67" i="52"/>
  <c r="F68" i="52"/>
  <c r="F69" i="52"/>
  <c r="F70" i="52"/>
  <c r="F71" i="52"/>
  <c r="F72" i="52"/>
  <c r="F73" i="52"/>
  <c r="F74" i="52"/>
  <c r="F75" i="52"/>
  <c r="F76" i="52"/>
  <c r="F77" i="52"/>
  <c r="F78" i="52"/>
  <c r="F79" i="52"/>
  <c r="F80" i="52"/>
  <c r="F81" i="52"/>
  <c r="F82" i="52"/>
  <c r="F83" i="52"/>
  <c r="F84" i="52"/>
  <c r="F85" i="52"/>
  <c r="F86" i="52"/>
  <c r="F87" i="52"/>
  <c r="F88" i="52"/>
  <c r="F89" i="52"/>
  <c r="F90" i="52"/>
  <c r="F91" i="52"/>
  <c r="F92" i="52"/>
  <c r="F93" i="52"/>
  <c r="F94" i="52"/>
  <c r="F95" i="52"/>
  <c r="F96" i="52"/>
  <c r="F97" i="52"/>
  <c r="F98" i="52"/>
  <c r="F99" i="52"/>
  <c r="F100" i="52"/>
  <c r="F101" i="52"/>
  <c r="F102" i="52"/>
  <c r="F103" i="52"/>
  <c r="F104" i="52"/>
  <c r="F105" i="52"/>
  <c r="F106" i="52"/>
  <c r="F107" i="52"/>
  <c r="F108" i="52"/>
  <c r="F109" i="52"/>
  <c r="F110" i="52"/>
  <c r="F111" i="52"/>
  <c r="F112" i="52"/>
  <c r="F113" i="52"/>
  <c r="F114" i="52"/>
  <c r="F115" i="52"/>
  <c r="F116" i="52"/>
  <c r="F117" i="52"/>
  <c r="F118" i="52"/>
  <c r="F119" i="52"/>
  <c r="F120" i="52"/>
  <c r="F121" i="52"/>
  <c r="F122" i="52"/>
  <c r="F123" i="52"/>
  <c r="F124" i="52"/>
  <c r="F125" i="52"/>
  <c r="F126" i="52"/>
  <c r="F127" i="52"/>
  <c r="F128" i="52"/>
  <c r="F129" i="52"/>
  <c r="F130" i="52"/>
  <c r="F131" i="52"/>
  <c r="F132" i="52"/>
  <c r="F133" i="52"/>
  <c r="F134" i="52"/>
  <c r="F135" i="52"/>
  <c r="F136" i="52"/>
  <c r="F137" i="52"/>
  <c r="F138" i="52"/>
  <c r="F139" i="52"/>
  <c r="F140" i="52"/>
  <c r="F141" i="52"/>
  <c r="F142" i="52"/>
  <c r="F143" i="52"/>
  <c r="F144" i="52"/>
  <c r="F145" i="52"/>
  <c r="F146" i="52"/>
  <c r="F147" i="52"/>
  <c r="F148" i="52"/>
  <c r="F149" i="52"/>
  <c r="F150" i="52"/>
  <c r="F151" i="52"/>
  <c r="F152" i="52"/>
  <c r="F153" i="52"/>
  <c r="F154" i="52"/>
  <c r="F155" i="52"/>
  <c r="F156" i="52"/>
  <c r="F157" i="52"/>
  <c r="F158" i="52"/>
  <c r="F159" i="52"/>
  <c r="F160" i="52"/>
  <c r="F161" i="52"/>
  <c r="F162" i="52"/>
  <c r="F163" i="52"/>
  <c r="F164" i="52"/>
  <c r="F165" i="52"/>
  <c r="F166" i="52"/>
  <c r="F167" i="52"/>
  <c r="F168" i="52"/>
  <c r="F169" i="52"/>
  <c r="F170" i="52"/>
  <c r="F171" i="52"/>
  <c r="F172" i="52"/>
  <c r="F173" i="52"/>
  <c r="F174" i="52"/>
  <c r="F175" i="52"/>
  <c r="F176" i="52"/>
  <c r="F177" i="52"/>
  <c r="F178" i="52"/>
  <c r="F179" i="52"/>
  <c r="F180" i="52"/>
  <c r="F181" i="52"/>
  <c r="F182" i="52"/>
  <c r="F183" i="52"/>
  <c r="F184" i="52"/>
  <c r="F185" i="52"/>
  <c r="F186" i="52"/>
  <c r="F187" i="52"/>
  <c r="F188" i="52"/>
  <c r="F189" i="52"/>
  <c r="F190" i="52"/>
  <c r="F191" i="52"/>
  <c r="F192" i="52"/>
  <c r="F193" i="52"/>
  <c r="F194" i="52"/>
  <c r="F195" i="52"/>
  <c r="F196" i="52"/>
  <c r="F197" i="52"/>
  <c r="F198" i="52"/>
  <c r="F199" i="52"/>
  <c r="F200" i="52"/>
  <c r="F201" i="52"/>
  <c r="F202" i="52"/>
  <c r="F203" i="52"/>
  <c r="F204" i="52"/>
  <c r="F205" i="52"/>
  <c r="F206" i="52"/>
  <c r="F207" i="52"/>
  <c r="F208" i="52"/>
  <c r="F209" i="52"/>
  <c r="F210" i="52"/>
  <c r="F211" i="52"/>
  <c r="F212" i="52"/>
  <c r="F213" i="52"/>
  <c r="F214" i="52"/>
  <c r="F215" i="52"/>
  <c r="F216" i="52"/>
  <c r="F217" i="52"/>
  <c r="F218" i="52"/>
  <c r="F219" i="52"/>
  <c r="F220" i="52"/>
  <c r="F221" i="52"/>
  <c r="F222" i="52"/>
  <c r="F223" i="52"/>
  <c r="F224" i="52"/>
  <c r="F225" i="52"/>
  <c r="F226" i="52"/>
  <c r="F227" i="52"/>
  <c r="F228" i="52"/>
  <c r="F229" i="52"/>
  <c r="F230" i="52"/>
  <c r="F231" i="52"/>
  <c r="F232" i="52"/>
  <c r="F233" i="52"/>
  <c r="F234" i="52"/>
  <c r="F235" i="52"/>
  <c r="F236" i="52"/>
  <c r="F237" i="52"/>
  <c r="F238" i="52"/>
  <c r="F239" i="52"/>
  <c r="F240" i="52"/>
  <c r="F241" i="52"/>
  <c r="F242" i="52"/>
  <c r="F243" i="52"/>
  <c r="F244" i="52"/>
  <c r="F245" i="52"/>
  <c r="F246" i="52"/>
  <c r="F247" i="52"/>
  <c r="F248" i="52"/>
  <c r="F249" i="52"/>
  <c r="F250" i="52"/>
  <c r="F251" i="52"/>
  <c r="F252" i="52"/>
  <c r="F253" i="52"/>
  <c r="F254" i="52"/>
  <c r="F255" i="52"/>
  <c r="F256" i="52"/>
  <c r="F257" i="52"/>
  <c r="B3" i="53"/>
  <c r="M13" i="42"/>
  <c r="P13" i="42" s="1"/>
  <c r="M14" i="42"/>
  <c r="P14" i="42" s="1"/>
  <c r="M15" i="42"/>
  <c r="P15" i="42" s="1"/>
  <c r="M16" i="42"/>
  <c r="P16" i="42" s="1"/>
  <c r="M17" i="42"/>
  <c r="P17" i="42" s="1"/>
  <c r="M18" i="42"/>
  <c r="P18" i="42" s="1"/>
  <c r="M19" i="42"/>
  <c r="P19" i="42" s="1"/>
  <c r="M20" i="42"/>
  <c r="P20" i="42" s="1"/>
  <c r="M21" i="42"/>
  <c r="P21" i="42" s="1"/>
  <c r="M22" i="42"/>
  <c r="M23" i="42"/>
  <c r="M24" i="42"/>
  <c r="M25" i="42"/>
  <c r="M26" i="42"/>
  <c r="M27" i="42"/>
  <c r="M28" i="42"/>
  <c r="M29" i="42"/>
  <c r="M30" i="42"/>
  <c r="M31" i="42"/>
  <c r="M32" i="42"/>
  <c r="M33" i="42"/>
  <c r="M34" i="42"/>
  <c r="M35" i="42"/>
  <c r="M36" i="42"/>
  <c r="M37" i="42"/>
  <c r="M38" i="42"/>
  <c r="M39" i="42"/>
  <c r="M40" i="42"/>
  <c r="M41" i="42"/>
  <c r="M42" i="42"/>
  <c r="M43" i="42"/>
  <c r="M44" i="42"/>
  <c r="M45" i="42"/>
  <c r="M46" i="42"/>
  <c r="M47" i="42"/>
  <c r="M48" i="42"/>
  <c r="M49" i="42"/>
  <c r="M50" i="42"/>
  <c r="M51" i="42"/>
  <c r="M52" i="42"/>
  <c r="M53" i="42"/>
  <c r="M54" i="42"/>
  <c r="M55" i="42"/>
  <c r="M56" i="42"/>
  <c r="M57" i="42"/>
  <c r="M58" i="42"/>
  <c r="M59" i="42"/>
  <c r="M60" i="42"/>
  <c r="M61" i="42"/>
  <c r="M62" i="42"/>
  <c r="M63" i="42"/>
  <c r="M64" i="42"/>
  <c r="M65" i="42"/>
  <c r="M66" i="42"/>
  <c r="M67" i="42"/>
  <c r="M68" i="42"/>
  <c r="M69" i="42"/>
  <c r="M70" i="42"/>
  <c r="M71" i="42"/>
  <c r="M72" i="42"/>
  <c r="M73" i="42"/>
  <c r="M74" i="42"/>
  <c r="M75" i="42"/>
  <c r="M76" i="42"/>
  <c r="M77" i="42"/>
  <c r="M78" i="42"/>
  <c r="M79" i="42"/>
  <c r="M80" i="42"/>
  <c r="M81" i="42"/>
  <c r="M82" i="42"/>
  <c r="M83" i="42"/>
  <c r="M84" i="42"/>
  <c r="M85" i="42"/>
  <c r="M86" i="42"/>
  <c r="M87" i="42"/>
  <c r="M88" i="42"/>
  <c r="M89" i="42"/>
  <c r="M90" i="42"/>
  <c r="M91" i="42"/>
  <c r="M92" i="42"/>
  <c r="M93" i="42"/>
  <c r="M94" i="42"/>
  <c r="M95" i="42"/>
  <c r="M96" i="42"/>
  <c r="M97" i="42"/>
  <c r="M98" i="42"/>
  <c r="M99" i="42"/>
  <c r="M100" i="42"/>
  <c r="M101" i="42"/>
  <c r="M102" i="42"/>
  <c r="M103" i="42"/>
  <c r="M104" i="42"/>
  <c r="M105" i="42"/>
  <c r="M106" i="42"/>
  <c r="M107" i="42"/>
  <c r="M108" i="42"/>
  <c r="M109" i="42"/>
  <c r="M110" i="42"/>
  <c r="M111" i="42"/>
  <c r="M112" i="42"/>
  <c r="M113" i="42"/>
  <c r="M114" i="42"/>
  <c r="M115" i="42"/>
  <c r="M116" i="42"/>
  <c r="M117" i="42"/>
  <c r="M118" i="42"/>
  <c r="M119" i="42"/>
  <c r="M120" i="42"/>
  <c r="M121" i="42"/>
  <c r="M122" i="42"/>
  <c r="M123" i="42"/>
  <c r="M124" i="42"/>
  <c r="M125" i="42"/>
  <c r="M126" i="42"/>
  <c r="M127" i="42"/>
  <c r="M128" i="42"/>
  <c r="M129" i="42"/>
  <c r="M130" i="42"/>
  <c r="M131" i="42"/>
  <c r="M132" i="42"/>
  <c r="M133" i="42"/>
  <c r="M134" i="42"/>
  <c r="M135" i="42"/>
  <c r="M136" i="42"/>
  <c r="M137" i="42"/>
  <c r="M138" i="42"/>
  <c r="M139" i="42"/>
  <c r="M140" i="42"/>
  <c r="M141" i="42"/>
  <c r="M142" i="42"/>
  <c r="M143" i="42"/>
  <c r="M144" i="42"/>
  <c r="M145" i="42"/>
  <c r="M146" i="42"/>
  <c r="M147" i="42"/>
  <c r="M148" i="42"/>
  <c r="M149" i="42"/>
  <c r="M150" i="42"/>
  <c r="M151" i="42"/>
  <c r="M152" i="42"/>
  <c r="M153" i="42"/>
  <c r="M154" i="42"/>
  <c r="M155" i="42"/>
  <c r="M156" i="42"/>
  <c r="M157" i="42"/>
  <c r="M158" i="42"/>
  <c r="M159" i="42"/>
  <c r="M160" i="42"/>
  <c r="M161" i="42"/>
  <c r="M162" i="42"/>
  <c r="M163" i="42"/>
  <c r="M164" i="42"/>
  <c r="M165" i="42"/>
  <c r="M166" i="42"/>
  <c r="M167" i="42"/>
  <c r="M168" i="42"/>
  <c r="M169" i="42"/>
  <c r="M170" i="42"/>
  <c r="M171" i="42"/>
  <c r="M172" i="42"/>
  <c r="M173" i="42"/>
  <c r="M174" i="42"/>
  <c r="M175" i="42"/>
  <c r="M176" i="42"/>
  <c r="M177" i="42"/>
  <c r="M178" i="42"/>
  <c r="M179" i="42"/>
  <c r="M180" i="42"/>
  <c r="M181" i="42"/>
  <c r="M182" i="42"/>
  <c r="M183" i="42"/>
  <c r="M184" i="42"/>
  <c r="M185" i="42"/>
  <c r="M186" i="42"/>
  <c r="M187" i="42"/>
  <c r="M188" i="42"/>
  <c r="M189" i="42"/>
  <c r="M190" i="42"/>
  <c r="M191" i="42"/>
  <c r="M192" i="42"/>
  <c r="M193" i="42"/>
  <c r="M194" i="42"/>
  <c r="M195" i="42"/>
  <c r="M196" i="42"/>
  <c r="M197" i="42"/>
  <c r="M198" i="42"/>
  <c r="M199" i="42"/>
  <c r="M200" i="42"/>
  <c r="M201" i="42"/>
  <c r="M202" i="42"/>
  <c r="M203" i="42"/>
  <c r="M204" i="42"/>
  <c r="M205" i="42"/>
  <c r="M206" i="42"/>
  <c r="M207" i="42"/>
  <c r="M208" i="42"/>
  <c r="M209" i="42"/>
  <c r="M210" i="42"/>
  <c r="M211" i="42"/>
  <c r="M212" i="42"/>
  <c r="M213" i="42"/>
  <c r="M214" i="42"/>
  <c r="M215" i="42"/>
  <c r="M216" i="42"/>
  <c r="M217" i="42"/>
  <c r="M218" i="42"/>
  <c r="M219" i="42"/>
  <c r="M220" i="42"/>
  <c r="M221" i="42"/>
  <c r="M222" i="42"/>
  <c r="M223" i="42"/>
  <c r="M224" i="42"/>
  <c r="M225" i="42"/>
  <c r="M226" i="42"/>
  <c r="M227" i="42"/>
  <c r="M228" i="42"/>
  <c r="M229" i="42"/>
  <c r="M230" i="42"/>
  <c r="M231" i="42"/>
  <c r="M232" i="42"/>
  <c r="M233" i="42"/>
  <c r="M234" i="42"/>
  <c r="M235" i="42"/>
  <c r="M236" i="42"/>
  <c r="M237" i="42"/>
  <c r="M238" i="42"/>
  <c r="M239" i="42"/>
  <c r="M240" i="42"/>
  <c r="M241" i="42"/>
  <c r="M242" i="42"/>
  <c r="M243" i="42"/>
  <c r="M244" i="42"/>
  <c r="M245" i="42"/>
  <c r="M246" i="42"/>
  <c r="M247" i="42"/>
  <c r="M248" i="42"/>
  <c r="M249" i="42"/>
  <c r="M250" i="42"/>
  <c r="M251" i="42"/>
  <c r="M252" i="42"/>
  <c r="M253" i="42"/>
  <c r="M254" i="42"/>
  <c r="M255" i="42"/>
  <c r="M256" i="42"/>
  <c r="M257" i="42"/>
  <c r="M258" i="42"/>
  <c r="M259" i="42"/>
  <c r="E260" i="42"/>
  <c r="B3" i="42"/>
  <c r="Q258" i="52"/>
  <c r="P258" i="52"/>
  <c r="E258" i="52"/>
  <c r="AF257" i="52"/>
  <c r="AE257" i="52"/>
  <c r="AF256" i="52"/>
  <c r="AE256" i="52"/>
  <c r="AF255" i="52"/>
  <c r="AE255" i="52"/>
  <c r="AF254" i="52"/>
  <c r="AE254" i="52"/>
  <c r="AF253" i="52"/>
  <c r="AE253" i="52"/>
  <c r="AF252" i="52"/>
  <c r="AE252" i="52"/>
  <c r="AF251" i="52"/>
  <c r="AE251" i="52"/>
  <c r="AF250" i="52"/>
  <c r="AE250" i="52"/>
  <c r="AF249" i="52"/>
  <c r="AE249" i="52"/>
  <c r="AF248" i="52"/>
  <c r="AE248" i="52"/>
  <c r="AF247" i="52"/>
  <c r="AE247" i="52"/>
  <c r="AF246" i="52"/>
  <c r="AE246" i="52"/>
  <c r="AF245" i="52"/>
  <c r="AE245" i="52"/>
  <c r="AF244" i="52"/>
  <c r="AE244" i="52"/>
  <c r="AF243" i="52"/>
  <c r="AE243" i="52"/>
  <c r="AF242" i="52"/>
  <c r="AE242" i="52"/>
  <c r="AF241" i="52"/>
  <c r="AE241" i="52"/>
  <c r="AF240" i="52"/>
  <c r="AE240" i="52"/>
  <c r="AF239" i="52"/>
  <c r="AE239" i="52"/>
  <c r="AF238" i="52"/>
  <c r="AE238" i="52"/>
  <c r="AF237" i="52"/>
  <c r="AE237" i="52"/>
  <c r="AF236" i="52"/>
  <c r="AE236" i="52"/>
  <c r="AF235" i="52"/>
  <c r="AE235" i="52"/>
  <c r="AF234" i="52"/>
  <c r="AE234" i="52"/>
  <c r="AF233" i="52"/>
  <c r="AE233" i="52"/>
  <c r="AF232" i="52"/>
  <c r="AE232" i="52"/>
  <c r="AF231" i="52"/>
  <c r="AE231" i="52"/>
  <c r="AF230" i="52"/>
  <c r="AE230" i="52"/>
  <c r="AF229" i="52"/>
  <c r="AE229" i="52"/>
  <c r="AF228" i="52"/>
  <c r="AE228" i="52"/>
  <c r="AF227" i="52"/>
  <c r="AE227" i="52"/>
  <c r="AF226" i="52"/>
  <c r="AE226" i="52"/>
  <c r="AF225" i="52"/>
  <c r="AE225" i="52"/>
  <c r="AF224" i="52"/>
  <c r="AE224" i="52"/>
  <c r="AF223" i="52"/>
  <c r="AE223" i="52"/>
  <c r="AF222" i="52"/>
  <c r="AE222" i="52"/>
  <c r="AF221" i="52"/>
  <c r="AE221" i="52"/>
  <c r="AF220" i="52"/>
  <c r="AE220" i="52"/>
  <c r="AF219" i="52"/>
  <c r="AE219" i="52"/>
  <c r="AF218" i="52"/>
  <c r="AE218" i="52"/>
  <c r="AF217" i="52"/>
  <c r="AE217" i="52"/>
  <c r="AF216" i="52"/>
  <c r="AE216" i="52"/>
  <c r="AF215" i="52"/>
  <c r="AE215" i="52"/>
  <c r="AF214" i="52"/>
  <c r="AE214" i="52"/>
  <c r="AF213" i="52"/>
  <c r="AE213" i="52"/>
  <c r="AF212" i="52"/>
  <c r="AE212" i="52"/>
  <c r="AF211" i="52"/>
  <c r="AE211" i="52"/>
  <c r="AF210" i="52"/>
  <c r="AE210" i="52"/>
  <c r="AF209" i="52"/>
  <c r="AE209" i="52"/>
  <c r="AF208" i="52"/>
  <c r="AE208" i="52"/>
  <c r="AF207" i="52"/>
  <c r="AE207" i="52"/>
  <c r="AF206" i="52"/>
  <c r="AE206" i="52"/>
  <c r="AF205" i="52"/>
  <c r="AE205" i="52"/>
  <c r="AF204" i="52"/>
  <c r="AE204" i="52"/>
  <c r="AF203" i="52"/>
  <c r="AE203" i="52"/>
  <c r="AF202" i="52"/>
  <c r="AE202" i="52"/>
  <c r="AF201" i="52"/>
  <c r="AE201" i="52"/>
  <c r="AF200" i="52"/>
  <c r="AE200" i="52"/>
  <c r="AF199" i="52"/>
  <c r="AE199" i="52"/>
  <c r="AF198" i="52"/>
  <c r="AE198" i="52"/>
  <c r="AF197" i="52"/>
  <c r="AE197" i="52"/>
  <c r="AF196" i="52"/>
  <c r="AE196" i="52"/>
  <c r="AF195" i="52"/>
  <c r="AE195" i="52"/>
  <c r="AF194" i="52"/>
  <c r="AE194" i="52"/>
  <c r="AF193" i="52"/>
  <c r="AE193" i="52"/>
  <c r="AF192" i="52"/>
  <c r="AE192" i="52"/>
  <c r="AF191" i="52"/>
  <c r="AE191" i="52"/>
  <c r="AF190" i="52"/>
  <c r="AE190" i="52"/>
  <c r="AF189" i="52"/>
  <c r="AE189" i="52"/>
  <c r="AF188" i="52"/>
  <c r="AE188" i="52"/>
  <c r="AF187" i="52"/>
  <c r="AE187" i="52"/>
  <c r="AF186" i="52"/>
  <c r="AE186" i="52"/>
  <c r="AF185" i="52"/>
  <c r="AE185" i="52"/>
  <c r="AF184" i="52"/>
  <c r="AE184" i="52"/>
  <c r="AF183" i="52"/>
  <c r="AE183" i="52"/>
  <c r="AF182" i="52"/>
  <c r="AE182" i="52"/>
  <c r="AF181" i="52"/>
  <c r="AE181" i="52"/>
  <c r="AF180" i="52"/>
  <c r="AE180" i="52"/>
  <c r="AF179" i="52"/>
  <c r="AE179" i="52"/>
  <c r="AF178" i="52"/>
  <c r="AE178" i="52"/>
  <c r="AF177" i="52"/>
  <c r="AE177" i="52"/>
  <c r="AF176" i="52"/>
  <c r="AE176" i="52"/>
  <c r="AF175" i="52"/>
  <c r="AE175" i="52"/>
  <c r="AF174" i="52"/>
  <c r="AE174" i="52"/>
  <c r="AF173" i="52"/>
  <c r="AE173" i="52"/>
  <c r="AF172" i="52"/>
  <c r="AE172" i="52"/>
  <c r="AF171" i="52"/>
  <c r="AE171" i="52"/>
  <c r="AF170" i="52"/>
  <c r="AE170" i="52"/>
  <c r="AF169" i="52"/>
  <c r="AE169" i="52"/>
  <c r="AF168" i="52"/>
  <c r="AE168" i="52"/>
  <c r="AF167" i="52"/>
  <c r="AE167" i="52"/>
  <c r="AF166" i="52"/>
  <c r="AE166" i="52"/>
  <c r="AF165" i="52"/>
  <c r="AE165" i="52"/>
  <c r="AF164" i="52"/>
  <c r="AE164" i="52"/>
  <c r="AF163" i="52"/>
  <c r="AE163" i="52"/>
  <c r="AF162" i="52"/>
  <c r="AE162" i="52"/>
  <c r="AF161" i="52"/>
  <c r="AE161" i="52"/>
  <c r="AF160" i="52"/>
  <c r="AE160" i="52"/>
  <c r="AF159" i="52"/>
  <c r="AE159" i="52"/>
  <c r="AF158" i="52"/>
  <c r="AE158" i="52"/>
  <c r="AF157" i="52"/>
  <c r="AE157" i="52"/>
  <c r="AF156" i="52"/>
  <c r="AE156" i="52"/>
  <c r="AF155" i="52"/>
  <c r="AE155" i="52"/>
  <c r="AF154" i="52"/>
  <c r="AE154" i="52"/>
  <c r="AF153" i="52"/>
  <c r="AE153" i="52"/>
  <c r="AF152" i="52"/>
  <c r="AE152" i="52"/>
  <c r="AF151" i="52"/>
  <c r="AE151" i="52"/>
  <c r="AF150" i="52"/>
  <c r="AE150" i="52"/>
  <c r="AF149" i="52"/>
  <c r="AE149" i="52"/>
  <c r="AF148" i="52"/>
  <c r="AE148" i="52"/>
  <c r="AF147" i="52"/>
  <c r="AE147" i="52"/>
  <c r="AF146" i="52"/>
  <c r="AE146" i="52"/>
  <c r="AF145" i="52"/>
  <c r="AE145" i="52"/>
  <c r="AF144" i="52"/>
  <c r="AE144" i="52"/>
  <c r="AF143" i="52"/>
  <c r="AE143" i="52"/>
  <c r="AF142" i="52"/>
  <c r="AE142" i="52"/>
  <c r="AF141" i="52"/>
  <c r="AE141" i="52"/>
  <c r="AF140" i="52"/>
  <c r="AE140" i="52"/>
  <c r="AF139" i="52"/>
  <c r="AE139" i="52"/>
  <c r="AF138" i="52"/>
  <c r="AE138" i="52"/>
  <c r="AF137" i="52"/>
  <c r="AE137" i="52"/>
  <c r="AF136" i="52"/>
  <c r="AE136" i="52"/>
  <c r="AF135" i="52"/>
  <c r="AE135" i="52"/>
  <c r="AF134" i="52"/>
  <c r="AE134" i="52"/>
  <c r="AF133" i="52"/>
  <c r="AE133" i="52"/>
  <c r="AF132" i="52"/>
  <c r="AE132" i="52"/>
  <c r="AF131" i="52"/>
  <c r="AE131" i="52"/>
  <c r="AF130" i="52"/>
  <c r="AE130" i="52"/>
  <c r="AF129" i="52"/>
  <c r="AE129" i="52"/>
  <c r="AF128" i="52"/>
  <c r="AE128" i="52"/>
  <c r="AF127" i="52"/>
  <c r="AE127" i="52"/>
  <c r="AF126" i="52"/>
  <c r="AE126" i="52"/>
  <c r="AF125" i="52"/>
  <c r="AE125" i="52"/>
  <c r="AF124" i="52"/>
  <c r="AE124" i="52"/>
  <c r="AF123" i="52"/>
  <c r="AE123" i="52"/>
  <c r="AF122" i="52"/>
  <c r="AE122" i="52"/>
  <c r="AF121" i="52"/>
  <c r="AE121" i="52"/>
  <c r="AF120" i="52"/>
  <c r="AE120" i="52"/>
  <c r="AF119" i="52"/>
  <c r="AE119" i="52"/>
  <c r="AF118" i="52"/>
  <c r="AE118" i="52"/>
  <c r="AF117" i="52"/>
  <c r="AE117" i="52"/>
  <c r="AF116" i="52"/>
  <c r="AE116" i="52"/>
  <c r="AF115" i="52"/>
  <c r="AE115" i="52"/>
  <c r="AF114" i="52"/>
  <c r="AE114" i="52"/>
  <c r="AF113" i="52"/>
  <c r="AE113" i="52"/>
  <c r="AF112" i="52"/>
  <c r="AE112" i="52"/>
  <c r="AF111" i="52"/>
  <c r="AE111" i="52"/>
  <c r="AF110" i="52"/>
  <c r="AE110" i="52"/>
  <c r="AF109" i="52"/>
  <c r="AE109" i="52"/>
  <c r="AF108" i="52"/>
  <c r="AE108" i="52"/>
  <c r="AF107" i="52"/>
  <c r="AE107" i="52"/>
  <c r="AF106" i="52"/>
  <c r="AE106" i="52"/>
  <c r="AF105" i="52"/>
  <c r="AE105" i="52"/>
  <c r="AF104" i="52"/>
  <c r="AE104" i="52"/>
  <c r="AF103" i="52"/>
  <c r="AE103" i="52"/>
  <c r="AF102" i="52"/>
  <c r="AE102" i="52"/>
  <c r="AF101" i="52"/>
  <c r="AE101" i="52"/>
  <c r="AF100" i="52"/>
  <c r="AE100" i="52"/>
  <c r="AF99" i="52"/>
  <c r="AE99" i="52"/>
  <c r="AF98" i="52"/>
  <c r="AE98" i="52"/>
  <c r="AF97" i="52"/>
  <c r="AE97" i="52"/>
  <c r="AF96" i="52"/>
  <c r="AE96" i="52"/>
  <c r="AF95" i="52"/>
  <c r="AE95" i="52"/>
  <c r="AF94" i="52"/>
  <c r="AE94" i="52"/>
  <c r="AF93" i="52"/>
  <c r="AE93" i="52"/>
  <c r="AF92" i="52"/>
  <c r="AE92" i="52"/>
  <c r="AF91" i="52"/>
  <c r="AE91" i="52"/>
  <c r="AF90" i="52"/>
  <c r="AE90" i="52"/>
  <c r="AF89" i="52"/>
  <c r="AE89" i="52"/>
  <c r="AF88" i="52"/>
  <c r="AE88" i="52"/>
  <c r="AF87" i="52"/>
  <c r="AE87" i="52"/>
  <c r="AF86" i="52"/>
  <c r="AE86" i="52"/>
  <c r="AF85" i="52"/>
  <c r="AE85" i="52"/>
  <c r="AF84" i="52"/>
  <c r="AE84" i="52"/>
  <c r="AF83" i="52"/>
  <c r="AE83" i="52"/>
  <c r="AF82" i="52"/>
  <c r="AE82" i="52"/>
  <c r="AF81" i="52"/>
  <c r="AE81" i="52"/>
  <c r="AF80" i="52"/>
  <c r="AE80" i="52"/>
  <c r="AF79" i="52"/>
  <c r="AE79" i="52"/>
  <c r="AF78" i="52"/>
  <c r="AE78" i="52"/>
  <c r="AF77" i="52"/>
  <c r="AE77" i="52"/>
  <c r="AF76" i="52"/>
  <c r="AE76" i="52"/>
  <c r="AF75" i="52"/>
  <c r="AE75" i="52"/>
  <c r="AF74" i="52"/>
  <c r="AE74" i="52"/>
  <c r="AF73" i="52"/>
  <c r="AE73" i="52"/>
  <c r="AF72" i="52"/>
  <c r="AE72" i="52"/>
  <c r="AF71" i="52"/>
  <c r="AE71" i="52"/>
  <c r="AF70" i="52"/>
  <c r="AE70" i="52"/>
  <c r="AF69" i="52"/>
  <c r="AE69" i="52"/>
  <c r="AF68" i="52"/>
  <c r="AE68" i="52"/>
  <c r="AF67" i="52"/>
  <c r="AE67" i="52"/>
  <c r="AF66" i="52"/>
  <c r="AE66" i="52"/>
  <c r="AF65" i="52"/>
  <c r="AE65" i="52"/>
  <c r="AF64" i="52"/>
  <c r="AE64" i="52"/>
  <c r="AF63" i="52"/>
  <c r="AE63" i="52"/>
  <c r="AF62" i="52"/>
  <c r="AE62" i="52"/>
  <c r="AF61" i="52"/>
  <c r="AE61" i="52"/>
  <c r="AF60" i="52"/>
  <c r="AE60" i="52"/>
  <c r="AF59" i="52"/>
  <c r="AE59" i="52"/>
  <c r="AF58" i="52"/>
  <c r="AE58" i="52"/>
  <c r="AF57" i="52"/>
  <c r="AE57" i="52"/>
  <c r="AF56" i="52"/>
  <c r="AE56" i="52"/>
  <c r="AF55" i="52"/>
  <c r="AE55" i="52"/>
  <c r="AF54" i="52"/>
  <c r="AE54" i="52"/>
  <c r="AF53" i="52"/>
  <c r="AE53" i="52"/>
  <c r="AF52" i="52"/>
  <c r="AE52" i="52"/>
  <c r="AF51" i="52"/>
  <c r="AE51" i="52"/>
  <c r="AF50" i="52"/>
  <c r="AE50" i="52"/>
  <c r="AF49" i="52"/>
  <c r="AE49" i="52"/>
  <c r="AF48" i="52"/>
  <c r="AE48" i="52"/>
  <c r="AF47" i="52"/>
  <c r="AE47" i="52"/>
  <c r="AF46" i="52"/>
  <c r="AE46" i="52"/>
  <c r="AF45" i="52"/>
  <c r="AE45" i="52"/>
  <c r="AF44" i="52"/>
  <c r="AE44" i="52"/>
  <c r="AF43" i="52"/>
  <c r="AE43" i="52"/>
  <c r="AF42" i="52"/>
  <c r="AE42" i="52"/>
  <c r="AF41" i="52"/>
  <c r="AE41" i="52"/>
  <c r="AF40" i="52"/>
  <c r="AE40" i="52"/>
  <c r="AF39" i="52"/>
  <c r="AE39" i="52"/>
  <c r="AF38" i="52"/>
  <c r="AE38" i="52"/>
  <c r="AF37" i="52"/>
  <c r="AE37" i="52"/>
  <c r="AF36" i="52"/>
  <c r="AE36" i="52"/>
  <c r="AF35" i="52"/>
  <c r="AE35" i="52"/>
  <c r="AF34" i="52"/>
  <c r="AE34" i="52"/>
  <c r="AF33" i="52"/>
  <c r="AE33" i="52"/>
  <c r="AF32" i="52"/>
  <c r="AE32" i="52"/>
  <c r="AF31" i="52"/>
  <c r="AE31" i="52"/>
  <c r="AF30" i="52"/>
  <c r="AE30" i="52"/>
  <c r="AF29" i="52"/>
  <c r="AE29" i="52"/>
  <c r="AF28" i="52"/>
  <c r="AE28" i="52"/>
  <c r="AF27" i="52"/>
  <c r="AE27" i="52"/>
  <c r="AF26" i="52"/>
  <c r="AE26" i="52"/>
  <c r="AF25" i="52"/>
  <c r="AE25" i="52"/>
  <c r="AF24" i="52"/>
  <c r="AE24" i="52"/>
  <c r="AF23" i="52"/>
  <c r="AE23" i="52"/>
  <c r="AF22" i="52"/>
  <c r="AE22" i="52"/>
  <c r="AF21" i="52"/>
  <c r="AE21" i="52"/>
  <c r="AF20" i="52"/>
  <c r="AE20" i="52"/>
  <c r="AF19" i="52"/>
  <c r="AE19" i="52"/>
  <c r="AF18" i="52"/>
  <c r="AE18" i="52"/>
  <c r="AF17" i="52"/>
  <c r="AE17" i="52"/>
  <c r="AF16" i="52"/>
  <c r="AE16" i="52"/>
  <c r="AF15" i="52"/>
  <c r="AE15" i="52"/>
  <c r="AF14" i="52"/>
  <c r="AE14" i="52"/>
  <c r="AF13" i="52"/>
  <c r="AE13" i="52"/>
  <c r="AF12" i="52"/>
  <c r="AE12" i="52"/>
  <c r="AF11" i="52"/>
  <c r="AE11" i="52"/>
  <c r="AF10" i="52"/>
  <c r="AE10" i="52"/>
  <c r="B3" i="52"/>
  <c r="Q252" i="42" l="1"/>
  <c r="U252" i="42" s="1"/>
  <c r="P252" i="42"/>
  <c r="Q240" i="42"/>
  <c r="P240" i="42"/>
  <c r="Q232" i="42"/>
  <c r="U232" i="42" s="1"/>
  <c r="P232" i="42"/>
  <c r="Q220" i="42"/>
  <c r="U220" i="42" s="1"/>
  <c r="P220" i="42"/>
  <c r="Q212" i="42"/>
  <c r="U212" i="42" s="1"/>
  <c r="P212" i="42"/>
  <c r="Q200" i="42"/>
  <c r="P200" i="42"/>
  <c r="Q196" i="42"/>
  <c r="U196" i="42" s="1"/>
  <c r="P196" i="42"/>
  <c r="Q184" i="42"/>
  <c r="U184" i="42" s="1"/>
  <c r="P184" i="42"/>
  <c r="Q176" i="42"/>
  <c r="U176" i="42" s="1"/>
  <c r="P176" i="42"/>
  <c r="Q164" i="42"/>
  <c r="P164" i="42"/>
  <c r="Q156" i="42"/>
  <c r="U156" i="42" s="1"/>
  <c r="P156" i="42"/>
  <c r="Q144" i="42"/>
  <c r="P144" i="42"/>
  <c r="Q136" i="42"/>
  <c r="U136" i="42" s="1"/>
  <c r="P136" i="42"/>
  <c r="Q128" i="42"/>
  <c r="P128" i="42"/>
  <c r="Q120" i="42"/>
  <c r="U120" i="42" s="1"/>
  <c r="P120" i="42"/>
  <c r="Q108" i="42"/>
  <c r="U108" i="42" s="1"/>
  <c r="P108" i="42"/>
  <c r="Q92" i="42"/>
  <c r="U92" i="42" s="1"/>
  <c r="P92" i="42"/>
  <c r="Q84" i="42"/>
  <c r="P84" i="42"/>
  <c r="Q72" i="42"/>
  <c r="U72" i="42" s="1"/>
  <c r="P72" i="42"/>
  <c r="Q259" i="42"/>
  <c r="U259" i="42" s="1"/>
  <c r="P259" i="42"/>
  <c r="Q255" i="42"/>
  <c r="U255" i="42" s="1"/>
  <c r="P255" i="42"/>
  <c r="Q251" i="42"/>
  <c r="P251" i="42"/>
  <c r="Q247" i="42"/>
  <c r="U247" i="42" s="1"/>
  <c r="P247" i="42"/>
  <c r="Q243" i="42"/>
  <c r="U243" i="42" s="1"/>
  <c r="P243" i="42"/>
  <c r="Q239" i="42"/>
  <c r="P239" i="42"/>
  <c r="Q235" i="42"/>
  <c r="P235" i="42"/>
  <c r="Q231" i="42"/>
  <c r="U231" i="42" s="1"/>
  <c r="P231" i="42"/>
  <c r="Q227" i="42"/>
  <c r="U227" i="42" s="1"/>
  <c r="P227" i="42"/>
  <c r="Q223" i="42"/>
  <c r="U223" i="42" s="1"/>
  <c r="P223" i="42"/>
  <c r="Q219" i="42"/>
  <c r="P219" i="42"/>
  <c r="Q215" i="42"/>
  <c r="U215" i="42" s="1"/>
  <c r="P215" i="42"/>
  <c r="Q211" i="42"/>
  <c r="P211" i="42"/>
  <c r="Q207" i="42"/>
  <c r="P207" i="42"/>
  <c r="Q203" i="42"/>
  <c r="P203" i="42"/>
  <c r="Q199" i="42"/>
  <c r="U199" i="42" s="1"/>
  <c r="P199" i="42"/>
  <c r="Q195" i="42"/>
  <c r="U195" i="42" s="1"/>
  <c r="P195" i="42"/>
  <c r="Q191" i="42"/>
  <c r="U191" i="42" s="1"/>
  <c r="P191" i="42"/>
  <c r="Q187" i="42"/>
  <c r="P187" i="42"/>
  <c r="Q183" i="42"/>
  <c r="U183" i="42" s="1"/>
  <c r="P183" i="42"/>
  <c r="Q179" i="42"/>
  <c r="U179" i="42" s="1"/>
  <c r="P179" i="42"/>
  <c r="Q175" i="42"/>
  <c r="P175" i="42"/>
  <c r="Q171" i="42"/>
  <c r="P171" i="42"/>
  <c r="Q167" i="42"/>
  <c r="U167" i="42" s="1"/>
  <c r="P167" i="42"/>
  <c r="Q163" i="42"/>
  <c r="U163" i="42" s="1"/>
  <c r="P163" i="42"/>
  <c r="Q159" i="42"/>
  <c r="U159" i="42" s="1"/>
  <c r="P159" i="42"/>
  <c r="Q155" i="42"/>
  <c r="P155" i="42"/>
  <c r="Q151" i="42"/>
  <c r="U151" i="42" s="1"/>
  <c r="P151" i="42"/>
  <c r="Q147" i="42"/>
  <c r="P147" i="42"/>
  <c r="Q143" i="42"/>
  <c r="P143" i="42"/>
  <c r="Q139" i="42"/>
  <c r="P139" i="42"/>
  <c r="Q135" i="42"/>
  <c r="U135" i="42" s="1"/>
  <c r="P135" i="42"/>
  <c r="Q131" i="42"/>
  <c r="U131" i="42" s="1"/>
  <c r="P131" i="42"/>
  <c r="Q127" i="42"/>
  <c r="U127" i="42" s="1"/>
  <c r="P127" i="42"/>
  <c r="Q123" i="42"/>
  <c r="P123" i="42"/>
  <c r="Q119" i="42"/>
  <c r="U119" i="42" s="1"/>
  <c r="P119" i="42"/>
  <c r="Q115" i="42"/>
  <c r="U115" i="42" s="1"/>
  <c r="P115" i="42"/>
  <c r="Q111" i="42"/>
  <c r="P111" i="42"/>
  <c r="Q107" i="42"/>
  <c r="P107" i="42"/>
  <c r="Q103" i="42"/>
  <c r="U103" i="42" s="1"/>
  <c r="P103" i="42"/>
  <c r="Q99" i="42"/>
  <c r="U99" i="42" s="1"/>
  <c r="P99" i="42"/>
  <c r="Q95" i="42"/>
  <c r="U95" i="42" s="1"/>
  <c r="P95" i="42"/>
  <c r="Q91" i="42"/>
  <c r="P91" i="42"/>
  <c r="Q87" i="42"/>
  <c r="U87" i="42" s="1"/>
  <c r="P87" i="42"/>
  <c r="Q83" i="42"/>
  <c r="P83" i="42"/>
  <c r="Q79" i="42"/>
  <c r="P79" i="42"/>
  <c r="Q75" i="42"/>
  <c r="P75" i="42"/>
  <c r="Q71" i="42"/>
  <c r="U71" i="42" s="1"/>
  <c r="P71" i="42"/>
  <c r="Q67" i="42"/>
  <c r="U67" i="42" s="1"/>
  <c r="P67" i="42"/>
  <c r="Q63" i="42"/>
  <c r="U63" i="42" s="1"/>
  <c r="P63" i="42"/>
  <c r="Q59" i="42"/>
  <c r="P59" i="42"/>
  <c r="Q55" i="42"/>
  <c r="U55" i="42" s="1"/>
  <c r="P55" i="42"/>
  <c r="Q51" i="42"/>
  <c r="U51" i="42" s="1"/>
  <c r="P51" i="42"/>
  <c r="Q47" i="42"/>
  <c r="P47" i="42"/>
  <c r="Q43" i="42"/>
  <c r="P43" i="42"/>
  <c r="Q39" i="42"/>
  <c r="U39" i="42" s="1"/>
  <c r="P39" i="42"/>
  <c r="Q35" i="42"/>
  <c r="P35" i="42"/>
  <c r="Q31" i="42"/>
  <c r="P31" i="42"/>
  <c r="Q27" i="42"/>
  <c r="P27" i="42"/>
  <c r="Q23" i="42"/>
  <c r="P23" i="42"/>
  <c r="Q248" i="42"/>
  <c r="U248" i="42" s="1"/>
  <c r="P248" i="42"/>
  <c r="Q224" i="42"/>
  <c r="P224" i="42"/>
  <c r="Q208" i="42"/>
  <c r="P208" i="42"/>
  <c r="Q188" i="42"/>
  <c r="U188" i="42" s="1"/>
  <c r="P188" i="42"/>
  <c r="Q168" i="42"/>
  <c r="U168" i="42" s="1"/>
  <c r="P168" i="42"/>
  <c r="Q152" i="42"/>
  <c r="U152" i="42" s="1"/>
  <c r="P152" i="42"/>
  <c r="Q132" i="42"/>
  <c r="P132" i="42"/>
  <c r="Q112" i="42"/>
  <c r="U112" i="42" s="1"/>
  <c r="P112" i="42"/>
  <c r="Q100" i="42"/>
  <c r="U100" i="42" s="1"/>
  <c r="P100" i="42"/>
  <c r="Q80" i="42"/>
  <c r="U80" i="42" s="1"/>
  <c r="P80" i="42"/>
  <c r="Q64" i="42"/>
  <c r="P64" i="42"/>
  <c r="Q52" i="42"/>
  <c r="U52" i="42" s="1"/>
  <c r="P52" i="42"/>
  <c r="Q40" i="42"/>
  <c r="U40" i="42" s="1"/>
  <c r="P40" i="42"/>
  <c r="Q24" i="42"/>
  <c r="P24" i="42"/>
  <c r="Q250" i="42"/>
  <c r="P250" i="42"/>
  <c r="Q238" i="42"/>
  <c r="U238" i="42" s="1"/>
  <c r="P238" i="42"/>
  <c r="Q230" i="42"/>
  <c r="U230" i="42" s="1"/>
  <c r="P230" i="42"/>
  <c r="Q218" i="42"/>
  <c r="U218" i="42" s="1"/>
  <c r="P218" i="42"/>
  <c r="Q206" i="42"/>
  <c r="P206" i="42"/>
  <c r="Q198" i="42"/>
  <c r="U198" i="42" s="1"/>
  <c r="P198" i="42"/>
  <c r="Q186" i="42"/>
  <c r="U186" i="42" s="1"/>
  <c r="P186" i="42"/>
  <c r="Q174" i="42"/>
  <c r="U174" i="42" s="1"/>
  <c r="P174" i="42"/>
  <c r="Q162" i="42"/>
  <c r="P162" i="42"/>
  <c r="Q150" i="42"/>
  <c r="P150" i="42"/>
  <c r="Q138" i="42"/>
  <c r="P138" i="42"/>
  <c r="Q130" i="42"/>
  <c r="U130" i="42" s="1"/>
  <c r="P130" i="42"/>
  <c r="Q118" i="42"/>
  <c r="P118" i="42"/>
  <c r="Q106" i="42"/>
  <c r="U106" i="42" s="1"/>
  <c r="P106" i="42"/>
  <c r="Q94" i="42"/>
  <c r="U94" i="42" s="1"/>
  <c r="P94" i="42"/>
  <c r="Q86" i="42"/>
  <c r="P86" i="42"/>
  <c r="Q74" i="42"/>
  <c r="P74" i="42"/>
  <c r="Q58" i="42"/>
  <c r="U58" i="42" s="1"/>
  <c r="P58" i="42"/>
  <c r="Q22" i="42"/>
  <c r="P22" i="42"/>
  <c r="Q256" i="42"/>
  <c r="P256" i="42"/>
  <c r="Q244" i="42"/>
  <c r="P244" i="42"/>
  <c r="Q236" i="42"/>
  <c r="P236" i="42"/>
  <c r="Q228" i="42"/>
  <c r="U228" i="42" s="1"/>
  <c r="P228" i="42"/>
  <c r="Q216" i="42"/>
  <c r="U216" i="42" s="1"/>
  <c r="P216" i="42"/>
  <c r="Q204" i="42"/>
  <c r="P204" i="42"/>
  <c r="Q192" i="42"/>
  <c r="P192" i="42"/>
  <c r="Q180" i="42"/>
  <c r="U180" i="42" s="1"/>
  <c r="P180" i="42"/>
  <c r="Q172" i="42"/>
  <c r="P172" i="42"/>
  <c r="Q160" i="42"/>
  <c r="P160" i="42"/>
  <c r="Q148" i="42"/>
  <c r="U148" i="42" s="1"/>
  <c r="P148" i="42"/>
  <c r="Q140" i="42"/>
  <c r="P140" i="42"/>
  <c r="Q124" i="42"/>
  <c r="U124" i="42" s="1"/>
  <c r="P124" i="42"/>
  <c r="Q116" i="42"/>
  <c r="P116" i="42"/>
  <c r="Q104" i="42"/>
  <c r="U104" i="42" s="1"/>
  <c r="P104" i="42"/>
  <c r="Q96" i="42"/>
  <c r="U96" i="42" s="1"/>
  <c r="P96" i="42"/>
  <c r="Q88" i="42"/>
  <c r="U88" i="42" s="1"/>
  <c r="P88" i="42"/>
  <c r="Q76" i="42"/>
  <c r="P76" i="42"/>
  <c r="Q68" i="42"/>
  <c r="U68" i="42" s="1"/>
  <c r="P68" i="42"/>
  <c r="Q60" i="42"/>
  <c r="U60" i="42" s="1"/>
  <c r="P60" i="42"/>
  <c r="Q56" i="42"/>
  <c r="U56" i="42" s="1"/>
  <c r="P56" i="42"/>
  <c r="Q48" i="42"/>
  <c r="P48" i="42"/>
  <c r="Q44" i="42"/>
  <c r="P44" i="42"/>
  <c r="Q36" i="42"/>
  <c r="P36" i="42"/>
  <c r="Q32" i="42"/>
  <c r="P32" i="42"/>
  <c r="Q28" i="42"/>
  <c r="P28" i="42"/>
  <c r="Q258" i="42"/>
  <c r="P258" i="42"/>
  <c r="Q254" i="42"/>
  <c r="U254" i="42" s="1"/>
  <c r="P254" i="42"/>
  <c r="Q246" i="42"/>
  <c r="P246" i="42"/>
  <c r="Q242" i="42"/>
  <c r="P242" i="42"/>
  <c r="Q234" i="42"/>
  <c r="U234" i="42" s="1"/>
  <c r="P234" i="42"/>
  <c r="Q226" i="42"/>
  <c r="U226" i="42" s="1"/>
  <c r="P226" i="42"/>
  <c r="Q222" i="42"/>
  <c r="U222" i="42" s="1"/>
  <c r="P222" i="42"/>
  <c r="Q214" i="42"/>
  <c r="P214" i="42"/>
  <c r="Q210" i="42"/>
  <c r="U210" i="42" s="1"/>
  <c r="P210" i="42"/>
  <c r="Q202" i="42"/>
  <c r="U202" i="42" s="1"/>
  <c r="P202" i="42"/>
  <c r="Q194" i="42"/>
  <c r="U194" i="42" s="1"/>
  <c r="P194" i="42"/>
  <c r="Q190" i="42"/>
  <c r="P190" i="42"/>
  <c r="Q182" i="42"/>
  <c r="P182" i="42"/>
  <c r="Q178" i="42"/>
  <c r="U178" i="42" s="1"/>
  <c r="P178" i="42"/>
  <c r="Q170" i="42"/>
  <c r="U170" i="42" s="1"/>
  <c r="P170" i="42"/>
  <c r="Q166" i="42"/>
  <c r="P166" i="42"/>
  <c r="Q158" i="42"/>
  <c r="U158" i="42" s="1"/>
  <c r="P158" i="42"/>
  <c r="Q154" i="42"/>
  <c r="U154" i="42" s="1"/>
  <c r="P154" i="42"/>
  <c r="Q146" i="42"/>
  <c r="P146" i="42"/>
  <c r="Q142" i="42"/>
  <c r="P142" i="42"/>
  <c r="Q134" i="42"/>
  <c r="U134" i="42" s="1"/>
  <c r="P134" i="42"/>
  <c r="Q126" i="42"/>
  <c r="U126" i="42" s="1"/>
  <c r="P126" i="42"/>
  <c r="Q122" i="42"/>
  <c r="U122" i="42" s="1"/>
  <c r="P122" i="42"/>
  <c r="Q114" i="42"/>
  <c r="P114" i="42"/>
  <c r="Q110" i="42"/>
  <c r="U110" i="42" s="1"/>
  <c r="P110" i="42"/>
  <c r="Q102" i="42"/>
  <c r="U102" i="42" s="1"/>
  <c r="P102" i="42"/>
  <c r="Q98" i="42"/>
  <c r="U98" i="42" s="1"/>
  <c r="P98" i="42"/>
  <c r="Q90" i="42"/>
  <c r="P90" i="42"/>
  <c r="Q82" i="42"/>
  <c r="P82" i="42"/>
  <c r="Q78" i="42"/>
  <c r="P78" i="42"/>
  <c r="Q70" i="42"/>
  <c r="U70" i="42" s="1"/>
  <c r="P70" i="42"/>
  <c r="Q66" i="42"/>
  <c r="P66" i="42"/>
  <c r="Q62" i="42"/>
  <c r="U62" i="42" s="1"/>
  <c r="P62" i="42"/>
  <c r="Q54" i="42"/>
  <c r="U54" i="42" s="1"/>
  <c r="P54" i="42"/>
  <c r="Q50" i="42"/>
  <c r="P50" i="42"/>
  <c r="Q46" i="42"/>
  <c r="P46" i="42"/>
  <c r="Q42" i="42"/>
  <c r="U42" i="42" s="1"/>
  <c r="P42" i="42"/>
  <c r="Q38" i="42"/>
  <c r="U38" i="42" s="1"/>
  <c r="P38" i="42"/>
  <c r="Q34" i="42"/>
  <c r="P34" i="42"/>
  <c r="Q30" i="42"/>
  <c r="P30" i="42"/>
  <c r="Q26" i="42"/>
  <c r="P26" i="42"/>
  <c r="Q257" i="42"/>
  <c r="U257" i="42" s="1"/>
  <c r="P257" i="42"/>
  <c r="Q253" i="42"/>
  <c r="U253" i="42" s="1"/>
  <c r="P253" i="42"/>
  <c r="Q249" i="42"/>
  <c r="P249" i="42"/>
  <c r="Q245" i="42"/>
  <c r="U245" i="42" s="1"/>
  <c r="P245" i="42"/>
  <c r="Q241" i="42"/>
  <c r="U241" i="42" s="1"/>
  <c r="P241" i="42"/>
  <c r="Q237" i="42"/>
  <c r="U237" i="42" s="1"/>
  <c r="P237" i="42"/>
  <c r="Q233" i="42"/>
  <c r="P233" i="42"/>
  <c r="Q229" i="42"/>
  <c r="U229" i="42" s="1"/>
  <c r="P229" i="42"/>
  <c r="Q225" i="42"/>
  <c r="U225" i="42" s="1"/>
  <c r="P225" i="42"/>
  <c r="Q221" i="42"/>
  <c r="P221" i="42"/>
  <c r="Q217" i="42"/>
  <c r="P217" i="42"/>
  <c r="Q213" i="42"/>
  <c r="U213" i="42" s="1"/>
  <c r="P213" i="42"/>
  <c r="Q209" i="42"/>
  <c r="U209" i="42" s="1"/>
  <c r="P209" i="42"/>
  <c r="Q205" i="42"/>
  <c r="U205" i="42" s="1"/>
  <c r="P205" i="42"/>
  <c r="Q201" i="42"/>
  <c r="P201" i="42"/>
  <c r="Q197" i="42"/>
  <c r="U197" i="42" s="1"/>
  <c r="P197" i="42"/>
  <c r="Q193" i="42"/>
  <c r="U193" i="42" s="1"/>
  <c r="P193" i="42"/>
  <c r="Q189" i="42"/>
  <c r="P189" i="42"/>
  <c r="Q185" i="42"/>
  <c r="U185" i="42" s="1"/>
  <c r="P185" i="42"/>
  <c r="Q181" i="42"/>
  <c r="U181" i="42" s="1"/>
  <c r="P181" i="42"/>
  <c r="Q177" i="42"/>
  <c r="U177" i="42" s="1"/>
  <c r="P177" i="42"/>
  <c r="Q173" i="42"/>
  <c r="U173" i="42" s="1"/>
  <c r="P173" i="42"/>
  <c r="Q169" i="42"/>
  <c r="P169" i="42"/>
  <c r="Q165" i="42"/>
  <c r="U165" i="42" s="1"/>
  <c r="P165" i="42"/>
  <c r="Q161" i="42"/>
  <c r="U161" i="42" s="1"/>
  <c r="P161" i="42"/>
  <c r="Q157" i="42"/>
  <c r="U157" i="42" s="1"/>
  <c r="P157" i="42"/>
  <c r="Q153" i="42"/>
  <c r="U153" i="42" s="1"/>
  <c r="P153" i="42"/>
  <c r="Q149" i="42"/>
  <c r="P149" i="42"/>
  <c r="Q145" i="42"/>
  <c r="U145" i="42" s="1"/>
  <c r="P145" i="42"/>
  <c r="Q141" i="42"/>
  <c r="U141" i="42" s="1"/>
  <c r="P141" i="42"/>
  <c r="Q137" i="42"/>
  <c r="P137" i="42"/>
  <c r="Q133" i="42"/>
  <c r="U133" i="42" s="1"/>
  <c r="P133" i="42"/>
  <c r="Q129" i="42"/>
  <c r="U129" i="42" s="1"/>
  <c r="P129" i="42"/>
  <c r="Q125" i="42"/>
  <c r="U125" i="42" s="1"/>
  <c r="P125" i="42"/>
  <c r="Q121" i="42"/>
  <c r="U121" i="42" s="1"/>
  <c r="P121" i="42"/>
  <c r="Q117" i="42"/>
  <c r="U117" i="42" s="1"/>
  <c r="P117" i="42"/>
  <c r="Q113" i="42"/>
  <c r="P113" i="42"/>
  <c r="Q109" i="42"/>
  <c r="U109" i="42" s="1"/>
  <c r="P109" i="42"/>
  <c r="Q105" i="42"/>
  <c r="P105" i="42"/>
  <c r="Q101" i="42"/>
  <c r="U101" i="42" s="1"/>
  <c r="P101" i="42"/>
  <c r="Q97" i="42"/>
  <c r="U97" i="42" s="1"/>
  <c r="P97" i="42"/>
  <c r="Q93" i="42"/>
  <c r="U93" i="42" s="1"/>
  <c r="P93" i="42"/>
  <c r="Q89" i="42"/>
  <c r="P89" i="42"/>
  <c r="Q85" i="42"/>
  <c r="U85" i="42" s="1"/>
  <c r="P85" i="42"/>
  <c r="Q81" i="42"/>
  <c r="U81" i="42" s="1"/>
  <c r="P81" i="42"/>
  <c r="Q77" i="42"/>
  <c r="U77" i="42" s="1"/>
  <c r="P77" i="42"/>
  <c r="Q73" i="42"/>
  <c r="P73" i="42"/>
  <c r="Q69" i="42"/>
  <c r="U69" i="42" s="1"/>
  <c r="P69" i="42"/>
  <c r="Q65" i="42"/>
  <c r="U65" i="42" s="1"/>
  <c r="P65" i="42"/>
  <c r="Q61" i="42"/>
  <c r="U61" i="42" s="1"/>
  <c r="P61" i="42"/>
  <c r="Q57" i="42"/>
  <c r="P57" i="42"/>
  <c r="Q53" i="42"/>
  <c r="U53" i="42" s="1"/>
  <c r="P53" i="42"/>
  <c r="Q49" i="42"/>
  <c r="U49" i="42" s="1"/>
  <c r="P49" i="42"/>
  <c r="Q45" i="42"/>
  <c r="U45" i="42" s="1"/>
  <c r="P45" i="42"/>
  <c r="Q41" i="42"/>
  <c r="U41" i="42" s="1"/>
  <c r="P41" i="42"/>
  <c r="Q37" i="42"/>
  <c r="P37" i="42"/>
  <c r="Q33" i="42"/>
  <c r="P33" i="42"/>
  <c r="Q29" i="42"/>
  <c r="P29" i="42"/>
  <c r="Q25" i="42"/>
  <c r="P25" i="42"/>
  <c r="T156" i="22"/>
  <c r="R257" i="42"/>
  <c r="W257" i="42" s="1"/>
  <c r="R253" i="42"/>
  <c r="W253" i="42" s="1"/>
  <c r="R249" i="42"/>
  <c r="W249" i="42" s="1"/>
  <c r="R245" i="42"/>
  <c r="W245" i="42" s="1"/>
  <c r="R241" i="42"/>
  <c r="W241" i="42" s="1"/>
  <c r="R237" i="42"/>
  <c r="W237" i="42" s="1"/>
  <c r="R233" i="42"/>
  <c r="W233" i="42" s="1"/>
  <c r="R229" i="42"/>
  <c r="W229" i="42" s="1"/>
  <c r="R225" i="42"/>
  <c r="W225" i="42" s="1"/>
  <c r="R221" i="42"/>
  <c r="W221" i="42" s="1"/>
  <c r="R217" i="42"/>
  <c r="W217" i="42" s="1"/>
  <c r="R213" i="42"/>
  <c r="W213" i="42" s="1"/>
  <c r="R209" i="42"/>
  <c r="W209" i="42" s="1"/>
  <c r="R205" i="42"/>
  <c r="W205" i="42" s="1"/>
  <c r="R201" i="42"/>
  <c r="W201" i="42" s="1"/>
  <c r="R197" i="42"/>
  <c r="W197" i="42" s="1"/>
  <c r="R193" i="42"/>
  <c r="W193" i="42" s="1"/>
  <c r="R189" i="42"/>
  <c r="W189" i="42" s="1"/>
  <c r="R185" i="42"/>
  <c r="W185" i="42" s="1"/>
  <c r="R181" i="42"/>
  <c r="W181" i="42" s="1"/>
  <c r="R177" i="42"/>
  <c r="W177" i="42" s="1"/>
  <c r="R173" i="42"/>
  <c r="W173" i="42" s="1"/>
  <c r="R169" i="42"/>
  <c r="W169" i="42" s="1"/>
  <c r="R165" i="42"/>
  <c r="W165" i="42" s="1"/>
  <c r="R161" i="42"/>
  <c r="W161" i="42" s="1"/>
  <c r="R157" i="42"/>
  <c r="W157" i="42" s="1"/>
  <c r="R153" i="42"/>
  <c r="W153" i="42" s="1"/>
  <c r="R149" i="42"/>
  <c r="W149" i="42" s="1"/>
  <c r="R145" i="42"/>
  <c r="W145" i="42" s="1"/>
  <c r="R141" i="42"/>
  <c r="W141" i="42" s="1"/>
  <c r="R137" i="42"/>
  <c r="W137" i="42" s="1"/>
  <c r="R133" i="42"/>
  <c r="W133" i="42" s="1"/>
  <c r="R129" i="42"/>
  <c r="W129" i="42" s="1"/>
  <c r="R125" i="42"/>
  <c r="W125" i="42" s="1"/>
  <c r="R121" i="42"/>
  <c r="W121" i="42" s="1"/>
  <c r="R117" i="42"/>
  <c r="W117" i="42" s="1"/>
  <c r="R113" i="42"/>
  <c r="W113" i="42" s="1"/>
  <c r="R109" i="42"/>
  <c r="W109" i="42" s="1"/>
  <c r="R105" i="42"/>
  <c r="W105" i="42" s="1"/>
  <c r="R101" i="42"/>
  <c r="W101" i="42" s="1"/>
  <c r="R97" i="42"/>
  <c r="W97" i="42" s="1"/>
  <c r="R93" i="42"/>
  <c r="W93" i="42" s="1"/>
  <c r="R89" i="42"/>
  <c r="W89" i="42" s="1"/>
  <c r="R85" i="42"/>
  <c r="W85" i="42" s="1"/>
  <c r="R81" i="42"/>
  <c r="W81" i="42" s="1"/>
  <c r="R77" i="42"/>
  <c r="W77" i="42" s="1"/>
  <c r="R73" i="42"/>
  <c r="W73" i="42" s="1"/>
  <c r="R69" i="42"/>
  <c r="W69" i="42" s="1"/>
  <c r="R65" i="42"/>
  <c r="W65" i="42" s="1"/>
  <c r="R61" i="42"/>
  <c r="W61" i="42" s="1"/>
  <c r="R57" i="42"/>
  <c r="W57" i="42" s="1"/>
  <c r="R53" i="42"/>
  <c r="W53" i="42" s="1"/>
  <c r="R49" i="42"/>
  <c r="W49" i="42" s="1"/>
  <c r="R45" i="42"/>
  <c r="W45" i="42" s="1"/>
  <c r="R41" i="42"/>
  <c r="W41" i="42" s="1"/>
  <c r="R37" i="42"/>
  <c r="W37" i="42" s="1"/>
  <c r="R33" i="42"/>
  <c r="W33" i="42" s="1"/>
  <c r="R29" i="42"/>
  <c r="W29" i="42" s="1"/>
  <c r="R25" i="42"/>
  <c r="W25" i="42" s="1"/>
  <c r="R256" i="42"/>
  <c r="W256" i="42" s="1"/>
  <c r="R252" i="42"/>
  <c r="W252" i="42" s="1"/>
  <c r="R248" i="42"/>
  <c r="W248" i="42" s="1"/>
  <c r="R244" i="42"/>
  <c r="W244" i="42" s="1"/>
  <c r="R240" i="42"/>
  <c r="W240" i="42" s="1"/>
  <c r="R236" i="42"/>
  <c r="W236" i="42" s="1"/>
  <c r="R232" i="42"/>
  <c r="W232" i="42" s="1"/>
  <c r="R228" i="42"/>
  <c r="W228" i="42" s="1"/>
  <c r="R224" i="42"/>
  <c r="W224" i="42" s="1"/>
  <c r="R220" i="42"/>
  <c r="W220" i="42" s="1"/>
  <c r="R216" i="42"/>
  <c r="W216" i="42" s="1"/>
  <c r="R212" i="42"/>
  <c r="W212" i="42" s="1"/>
  <c r="R208" i="42"/>
  <c r="W208" i="42" s="1"/>
  <c r="R204" i="42"/>
  <c r="W204" i="42" s="1"/>
  <c r="R200" i="42"/>
  <c r="W200" i="42" s="1"/>
  <c r="R196" i="42"/>
  <c r="W196" i="42" s="1"/>
  <c r="R192" i="42"/>
  <c r="W192" i="42" s="1"/>
  <c r="R188" i="42"/>
  <c r="W188" i="42" s="1"/>
  <c r="R184" i="42"/>
  <c r="W184" i="42" s="1"/>
  <c r="R180" i="42"/>
  <c r="W180" i="42" s="1"/>
  <c r="R176" i="42"/>
  <c r="W176" i="42" s="1"/>
  <c r="R172" i="42"/>
  <c r="W172" i="42" s="1"/>
  <c r="R168" i="42"/>
  <c r="W168" i="42" s="1"/>
  <c r="R164" i="42"/>
  <c r="W164" i="42" s="1"/>
  <c r="R160" i="42"/>
  <c r="W160" i="42" s="1"/>
  <c r="R156" i="42"/>
  <c r="W156" i="42" s="1"/>
  <c r="R152" i="42"/>
  <c r="W152" i="42" s="1"/>
  <c r="R148" i="42"/>
  <c r="W148" i="42" s="1"/>
  <c r="R144" i="42"/>
  <c r="W144" i="42" s="1"/>
  <c r="R140" i="42"/>
  <c r="W140" i="42" s="1"/>
  <c r="R136" i="42"/>
  <c r="W136" i="42" s="1"/>
  <c r="R132" i="42"/>
  <c r="W132" i="42" s="1"/>
  <c r="R128" i="42"/>
  <c r="W128" i="42" s="1"/>
  <c r="R124" i="42"/>
  <c r="W124" i="42" s="1"/>
  <c r="R120" i="42"/>
  <c r="W120" i="42" s="1"/>
  <c r="R116" i="42"/>
  <c r="W116" i="42" s="1"/>
  <c r="R112" i="42"/>
  <c r="W112" i="42" s="1"/>
  <c r="R108" i="42"/>
  <c r="W108" i="42" s="1"/>
  <c r="R104" i="42"/>
  <c r="W104" i="42" s="1"/>
  <c r="R100" i="42"/>
  <c r="W100" i="42" s="1"/>
  <c r="R96" i="42"/>
  <c r="W96" i="42" s="1"/>
  <c r="R92" i="42"/>
  <c r="W92" i="42" s="1"/>
  <c r="R88" i="42"/>
  <c r="W88" i="42" s="1"/>
  <c r="R84" i="42"/>
  <c r="W84" i="42" s="1"/>
  <c r="R80" i="42"/>
  <c r="W80" i="42" s="1"/>
  <c r="R76" i="42"/>
  <c r="W76" i="42" s="1"/>
  <c r="R72" i="42"/>
  <c r="W72" i="42" s="1"/>
  <c r="R68" i="42"/>
  <c r="W68" i="42" s="1"/>
  <c r="R64" i="42"/>
  <c r="W64" i="42" s="1"/>
  <c r="R60" i="42"/>
  <c r="W60" i="42" s="1"/>
  <c r="R56" i="42"/>
  <c r="W56" i="42" s="1"/>
  <c r="R52" i="42"/>
  <c r="W52" i="42" s="1"/>
  <c r="R48" i="42"/>
  <c r="W48" i="42" s="1"/>
  <c r="R44" i="42"/>
  <c r="W44" i="42" s="1"/>
  <c r="R40" i="42"/>
  <c r="W40" i="42" s="1"/>
  <c r="R36" i="42"/>
  <c r="W36" i="42" s="1"/>
  <c r="R32" i="42"/>
  <c r="W32" i="42" s="1"/>
  <c r="R28" i="42"/>
  <c r="W28" i="42" s="1"/>
  <c r="R24" i="42"/>
  <c r="W24" i="42" s="1"/>
  <c r="R259" i="42"/>
  <c r="W259" i="42" s="1"/>
  <c r="R255" i="42"/>
  <c r="W255" i="42" s="1"/>
  <c r="R251" i="42"/>
  <c r="W251" i="42" s="1"/>
  <c r="R247" i="42"/>
  <c r="W247" i="42" s="1"/>
  <c r="R243" i="42"/>
  <c r="W243" i="42" s="1"/>
  <c r="R239" i="42"/>
  <c r="W239" i="42" s="1"/>
  <c r="R235" i="42"/>
  <c r="W235" i="42" s="1"/>
  <c r="R231" i="42"/>
  <c r="W231" i="42" s="1"/>
  <c r="R227" i="42"/>
  <c r="W227" i="42" s="1"/>
  <c r="R223" i="42"/>
  <c r="W223" i="42" s="1"/>
  <c r="R219" i="42"/>
  <c r="W219" i="42" s="1"/>
  <c r="R215" i="42"/>
  <c r="W215" i="42" s="1"/>
  <c r="R211" i="42"/>
  <c r="W211" i="42" s="1"/>
  <c r="R207" i="42"/>
  <c r="W207" i="42" s="1"/>
  <c r="R203" i="42"/>
  <c r="W203" i="42" s="1"/>
  <c r="R199" i="42"/>
  <c r="W199" i="42" s="1"/>
  <c r="R195" i="42"/>
  <c r="W195" i="42" s="1"/>
  <c r="R191" i="42"/>
  <c r="W191" i="42" s="1"/>
  <c r="R187" i="42"/>
  <c r="W187" i="42" s="1"/>
  <c r="R183" i="42"/>
  <c r="W183" i="42" s="1"/>
  <c r="R179" i="42"/>
  <c r="W179" i="42" s="1"/>
  <c r="R175" i="42"/>
  <c r="W175" i="42" s="1"/>
  <c r="R171" i="42"/>
  <c r="W171" i="42" s="1"/>
  <c r="R167" i="42"/>
  <c r="W167" i="42" s="1"/>
  <c r="R163" i="42"/>
  <c r="W163" i="42" s="1"/>
  <c r="R159" i="42"/>
  <c r="W159" i="42" s="1"/>
  <c r="R155" i="42"/>
  <c r="W155" i="42" s="1"/>
  <c r="R151" i="42"/>
  <c r="W151" i="42" s="1"/>
  <c r="R147" i="42"/>
  <c r="W147" i="42" s="1"/>
  <c r="R143" i="42"/>
  <c r="W143" i="42" s="1"/>
  <c r="R139" i="42"/>
  <c r="W139" i="42" s="1"/>
  <c r="R135" i="42"/>
  <c r="W135" i="42" s="1"/>
  <c r="R131" i="42"/>
  <c r="W131" i="42" s="1"/>
  <c r="R127" i="42"/>
  <c r="W127" i="42" s="1"/>
  <c r="R123" i="42"/>
  <c r="W123" i="42" s="1"/>
  <c r="R119" i="42"/>
  <c r="W119" i="42" s="1"/>
  <c r="R115" i="42"/>
  <c r="W115" i="42" s="1"/>
  <c r="R111" i="42"/>
  <c r="W111" i="42" s="1"/>
  <c r="R107" i="42"/>
  <c r="W107" i="42" s="1"/>
  <c r="R103" i="42"/>
  <c r="W103" i="42" s="1"/>
  <c r="R99" i="42"/>
  <c r="W99" i="42" s="1"/>
  <c r="R95" i="42"/>
  <c r="W95" i="42" s="1"/>
  <c r="R91" i="42"/>
  <c r="W91" i="42" s="1"/>
  <c r="R87" i="42"/>
  <c r="W87" i="42" s="1"/>
  <c r="R83" i="42"/>
  <c r="W83" i="42" s="1"/>
  <c r="R79" i="42"/>
  <c r="W79" i="42" s="1"/>
  <c r="R75" i="42"/>
  <c r="W75" i="42" s="1"/>
  <c r="R71" i="42"/>
  <c r="W71" i="42" s="1"/>
  <c r="R67" i="42"/>
  <c r="W67" i="42" s="1"/>
  <c r="R63" i="42"/>
  <c r="W63" i="42" s="1"/>
  <c r="R59" i="42"/>
  <c r="W59" i="42" s="1"/>
  <c r="R55" i="42"/>
  <c r="W55" i="42" s="1"/>
  <c r="R51" i="42"/>
  <c r="W51" i="42" s="1"/>
  <c r="R47" i="42"/>
  <c r="W47" i="42" s="1"/>
  <c r="R43" i="42"/>
  <c r="W43" i="42" s="1"/>
  <c r="R39" i="42"/>
  <c r="W39" i="42" s="1"/>
  <c r="R35" i="42"/>
  <c r="W35" i="42" s="1"/>
  <c r="R31" i="42"/>
  <c r="W31" i="42" s="1"/>
  <c r="R27" i="42"/>
  <c r="W27" i="42" s="1"/>
  <c r="R23" i="42"/>
  <c r="W23" i="42" s="1"/>
  <c r="R258" i="42"/>
  <c r="W258" i="42" s="1"/>
  <c r="R254" i="42"/>
  <c r="W254" i="42" s="1"/>
  <c r="R250" i="42"/>
  <c r="W250" i="42" s="1"/>
  <c r="R246" i="42"/>
  <c r="W246" i="42" s="1"/>
  <c r="R242" i="42"/>
  <c r="W242" i="42" s="1"/>
  <c r="R238" i="42"/>
  <c r="W238" i="42" s="1"/>
  <c r="R234" i="42"/>
  <c r="W234" i="42" s="1"/>
  <c r="R230" i="42"/>
  <c r="W230" i="42" s="1"/>
  <c r="R226" i="42"/>
  <c r="W226" i="42" s="1"/>
  <c r="R222" i="42"/>
  <c r="W222" i="42" s="1"/>
  <c r="R218" i="42"/>
  <c r="W218" i="42" s="1"/>
  <c r="R214" i="42"/>
  <c r="W214" i="42" s="1"/>
  <c r="R210" i="42"/>
  <c r="W210" i="42" s="1"/>
  <c r="R206" i="42"/>
  <c r="W206" i="42" s="1"/>
  <c r="R202" i="42"/>
  <c r="W202" i="42" s="1"/>
  <c r="R198" i="42"/>
  <c r="W198" i="42" s="1"/>
  <c r="R194" i="42"/>
  <c r="W194" i="42" s="1"/>
  <c r="R190" i="42"/>
  <c r="W190" i="42" s="1"/>
  <c r="R186" i="42"/>
  <c r="W186" i="42" s="1"/>
  <c r="R182" i="42"/>
  <c r="W182" i="42" s="1"/>
  <c r="R178" i="42"/>
  <c r="W178" i="42" s="1"/>
  <c r="R174" i="42"/>
  <c r="W174" i="42" s="1"/>
  <c r="R170" i="42"/>
  <c r="W170" i="42" s="1"/>
  <c r="R166" i="42"/>
  <c r="W166" i="42" s="1"/>
  <c r="R162" i="42"/>
  <c r="W162" i="42" s="1"/>
  <c r="R158" i="42"/>
  <c r="W158" i="42" s="1"/>
  <c r="R154" i="42"/>
  <c r="W154" i="42" s="1"/>
  <c r="R150" i="42"/>
  <c r="W150" i="42" s="1"/>
  <c r="R146" i="42"/>
  <c r="W146" i="42" s="1"/>
  <c r="R142" i="42"/>
  <c r="W142" i="42" s="1"/>
  <c r="R138" i="42"/>
  <c r="W138" i="42" s="1"/>
  <c r="R134" i="42"/>
  <c r="W134" i="42" s="1"/>
  <c r="R130" i="42"/>
  <c r="W130" i="42" s="1"/>
  <c r="R126" i="42"/>
  <c r="W126" i="42" s="1"/>
  <c r="R122" i="42"/>
  <c r="W122" i="42" s="1"/>
  <c r="R118" i="42"/>
  <c r="W118" i="42" s="1"/>
  <c r="R114" i="42"/>
  <c r="W114" i="42" s="1"/>
  <c r="R110" i="42"/>
  <c r="W110" i="42" s="1"/>
  <c r="R106" i="42"/>
  <c r="W106" i="42" s="1"/>
  <c r="R102" i="42"/>
  <c r="W102" i="42" s="1"/>
  <c r="R98" i="42"/>
  <c r="W98" i="42" s="1"/>
  <c r="R94" i="42"/>
  <c r="W94" i="42" s="1"/>
  <c r="R90" i="42"/>
  <c r="W90" i="42" s="1"/>
  <c r="R86" i="42"/>
  <c r="W86" i="42" s="1"/>
  <c r="R82" i="42"/>
  <c r="W82" i="42" s="1"/>
  <c r="R78" i="42"/>
  <c r="W78" i="42" s="1"/>
  <c r="R74" i="42"/>
  <c r="W74" i="42" s="1"/>
  <c r="R70" i="42"/>
  <c r="W70" i="42" s="1"/>
  <c r="R66" i="42"/>
  <c r="W66" i="42" s="1"/>
  <c r="R62" i="42"/>
  <c r="W62" i="42" s="1"/>
  <c r="R58" i="42"/>
  <c r="W58" i="42" s="1"/>
  <c r="R54" i="42"/>
  <c r="W54" i="42" s="1"/>
  <c r="R50" i="42"/>
  <c r="W50" i="42" s="1"/>
  <c r="R46" i="42"/>
  <c r="W46" i="42" s="1"/>
  <c r="R42" i="42"/>
  <c r="W42" i="42" s="1"/>
  <c r="R38" i="42"/>
  <c r="W38" i="42" s="1"/>
  <c r="R34" i="42"/>
  <c r="W34" i="42" s="1"/>
  <c r="R30" i="42"/>
  <c r="W30" i="42" s="1"/>
  <c r="R26" i="42"/>
  <c r="W26" i="42" s="1"/>
  <c r="R22" i="42"/>
  <c r="W22" i="42" s="1"/>
  <c r="U256" i="42"/>
  <c r="U240" i="42"/>
  <c r="U224" i="42"/>
  <c r="U208" i="42"/>
  <c r="U200" i="42"/>
  <c r="U192" i="42"/>
  <c r="U160" i="42"/>
  <c r="U144" i="42"/>
  <c r="U128" i="42"/>
  <c r="U64" i="42"/>
  <c r="U48" i="42"/>
  <c r="T32" i="42"/>
  <c r="U32" i="42" s="1"/>
  <c r="T24" i="42"/>
  <c r="U239" i="42"/>
  <c r="U207" i="42"/>
  <c r="U175" i="42"/>
  <c r="U143" i="42"/>
  <c r="U111" i="42"/>
  <c r="U79" i="42"/>
  <c r="U47" i="42"/>
  <c r="T31" i="42"/>
  <c r="T23" i="42"/>
  <c r="U221" i="42"/>
  <c r="U246" i="42"/>
  <c r="U214" i="42"/>
  <c r="U206" i="42"/>
  <c r="U190" i="42"/>
  <c r="U182" i="42"/>
  <c r="U166" i="42"/>
  <c r="U150" i="42"/>
  <c r="U142" i="42"/>
  <c r="U118" i="42"/>
  <c r="U86" i="42"/>
  <c r="U78" i="42"/>
  <c r="U46" i="42"/>
  <c r="T22" i="42"/>
  <c r="Q13" i="42"/>
  <c r="R13" i="42" s="1"/>
  <c r="W13" i="42" s="1"/>
  <c r="U244" i="42"/>
  <c r="U236" i="42"/>
  <c r="U204" i="42"/>
  <c r="U172" i="42"/>
  <c r="U164" i="42"/>
  <c r="U140" i="42"/>
  <c r="U132" i="42"/>
  <c r="U116" i="42"/>
  <c r="U84" i="42"/>
  <c r="U76" i="42"/>
  <c r="U44" i="42"/>
  <c r="U251" i="42"/>
  <c r="U235" i="42"/>
  <c r="U219" i="42"/>
  <c r="U211" i="42"/>
  <c r="U203" i="42"/>
  <c r="U187" i="42"/>
  <c r="U171" i="42"/>
  <c r="U155" i="42"/>
  <c r="U147" i="42"/>
  <c r="U139" i="42"/>
  <c r="U123" i="42"/>
  <c r="U107" i="42"/>
  <c r="U91" i="42"/>
  <c r="U83" i="42"/>
  <c r="U75" i="42"/>
  <c r="U59" i="42"/>
  <c r="U43" i="42"/>
  <c r="Q19" i="42"/>
  <c r="R19" i="42" s="1"/>
  <c r="W19" i="42" s="1"/>
  <c r="U189" i="42"/>
  <c r="T29" i="42"/>
  <c r="U250" i="42"/>
  <c r="U162" i="42"/>
  <c r="U146" i="42"/>
  <c r="U138" i="42"/>
  <c r="U114" i="42"/>
  <c r="U90" i="42"/>
  <c r="U82" i="42"/>
  <c r="U74" i="42"/>
  <c r="U66" i="42"/>
  <c r="U50" i="42"/>
  <c r="U149" i="42"/>
  <c r="U258" i="42"/>
  <c r="U242" i="42"/>
  <c r="U249" i="42"/>
  <c r="U233" i="42"/>
  <c r="U217" i="42"/>
  <c r="U201" i="42"/>
  <c r="U169" i="42"/>
  <c r="U137" i="42"/>
  <c r="U113" i="42"/>
  <c r="U105" i="42"/>
  <c r="U89" i="42"/>
  <c r="U73" i="42"/>
  <c r="U57" i="42"/>
  <c r="V12" i="42"/>
  <c r="I150" i="22"/>
  <c r="S238" i="52"/>
  <c r="R238" i="52"/>
  <c r="S206" i="52"/>
  <c r="R206" i="52"/>
  <c r="S158" i="52"/>
  <c r="R158" i="52"/>
  <c r="S142" i="52"/>
  <c r="R142" i="52"/>
  <c r="S250" i="52"/>
  <c r="R250" i="52"/>
  <c r="S234" i="52"/>
  <c r="R234" i="52"/>
  <c r="S218" i="52"/>
  <c r="R218" i="52"/>
  <c r="S202" i="52"/>
  <c r="R202" i="52"/>
  <c r="S186" i="52"/>
  <c r="R186" i="52"/>
  <c r="S170" i="52"/>
  <c r="R170" i="52"/>
  <c r="S154" i="52"/>
  <c r="R154" i="52"/>
  <c r="S138" i="52"/>
  <c r="R138" i="52"/>
  <c r="S122" i="52"/>
  <c r="R122" i="52"/>
  <c r="S106" i="52"/>
  <c r="R106" i="52"/>
  <c r="S90" i="52"/>
  <c r="R90" i="52"/>
  <c r="S74" i="52"/>
  <c r="R74" i="52"/>
  <c r="S58" i="52"/>
  <c r="R58" i="52"/>
  <c r="S42" i="52"/>
  <c r="R42" i="52"/>
  <c r="S26" i="52"/>
  <c r="R26" i="52"/>
  <c r="S144" i="52"/>
  <c r="R144" i="52"/>
  <c r="S80" i="52"/>
  <c r="R80" i="52"/>
  <c r="S64" i="52"/>
  <c r="R64" i="52"/>
  <c r="S224" i="52"/>
  <c r="R224" i="52"/>
  <c r="S48" i="52"/>
  <c r="R48" i="52"/>
  <c r="S32" i="52"/>
  <c r="R32" i="52"/>
  <c r="S16" i="52"/>
  <c r="R16" i="52"/>
  <c r="S246" i="52"/>
  <c r="R246" i="52"/>
  <c r="S230" i="52"/>
  <c r="R230" i="52"/>
  <c r="S214" i="52"/>
  <c r="R214" i="52"/>
  <c r="S198" i="52"/>
  <c r="R198" i="52"/>
  <c r="S182" i="52"/>
  <c r="R182" i="52"/>
  <c r="S166" i="52"/>
  <c r="R166" i="52"/>
  <c r="S150" i="52"/>
  <c r="R150" i="52"/>
  <c r="S134" i="52"/>
  <c r="R134" i="52"/>
  <c r="S118" i="52"/>
  <c r="R118" i="52"/>
  <c r="S102" i="52"/>
  <c r="R102" i="52"/>
  <c r="S86" i="52"/>
  <c r="R86" i="52"/>
  <c r="S70" i="52"/>
  <c r="R70" i="52"/>
  <c r="S54" i="52"/>
  <c r="R54" i="52"/>
  <c r="S38" i="52"/>
  <c r="R38" i="52"/>
  <c r="S22" i="52"/>
  <c r="R22" i="52"/>
  <c r="S236" i="52"/>
  <c r="R236" i="52"/>
  <c r="S220" i="52"/>
  <c r="R220" i="52"/>
  <c r="S204" i="52"/>
  <c r="R204" i="52"/>
  <c r="S188" i="52"/>
  <c r="R188" i="52"/>
  <c r="S172" i="52"/>
  <c r="R172" i="52"/>
  <c r="S156" i="52"/>
  <c r="R156" i="52"/>
  <c r="S140" i="52"/>
  <c r="R140" i="52"/>
  <c r="S124" i="52"/>
  <c r="R124" i="52"/>
  <c r="S108" i="52"/>
  <c r="R108" i="52"/>
  <c r="S92" i="52"/>
  <c r="R92" i="52"/>
  <c r="S76" i="52"/>
  <c r="R76" i="52"/>
  <c r="S60" i="52"/>
  <c r="R60" i="52"/>
  <c r="S44" i="52"/>
  <c r="R44" i="52"/>
  <c r="R28" i="52"/>
  <c r="S28" i="52"/>
  <c r="S12" i="52"/>
  <c r="R12" i="52"/>
  <c r="S240" i="52"/>
  <c r="R240" i="52"/>
  <c r="S208" i="52"/>
  <c r="R208" i="52"/>
  <c r="S112" i="52"/>
  <c r="R112" i="52"/>
  <c r="S96" i="52"/>
  <c r="R96" i="52"/>
  <c r="S252" i="52"/>
  <c r="R252" i="52"/>
  <c r="S242" i="52"/>
  <c r="R242" i="52"/>
  <c r="S226" i="52"/>
  <c r="R226" i="52"/>
  <c r="S210" i="52"/>
  <c r="R210" i="52"/>
  <c r="S194" i="52"/>
  <c r="R194" i="52"/>
  <c r="S178" i="52"/>
  <c r="R178" i="52"/>
  <c r="S162" i="52"/>
  <c r="R162" i="52"/>
  <c r="S146" i="52"/>
  <c r="R146" i="52"/>
  <c r="S130" i="52"/>
  <c r="R130" i="52"/>
  <c r="S114" i="52"/>
  <c r="R114" i="52"/>
  <c r="S98" i="52"/>
  <c r="R98" i="52"/>
  <c r="S82" i="52"/>
  <c r="R82" i="52"/>
  <c r="S66" i="52"/>
  <c r="R66" i="52"/>
  <c r="S50" i="52"/>
  <c r="R50" i="52"/>
  <c r="S34" i="52"/>
  <c r="R34" i="52"/>
  <c r="S18" i="52"/>
  <c r="R18" i="52"/>
  <c r="S192" i="52"/>
  <c r="R192" i="52"/>
  <c r="S128" i="52"/>
  <c r="R128" i="52"/>
  <c r="S248" i="52"/>
  <c r="R248" i="52"/>
  <c r="S232" i="52"/>
  <c r="R232" i="52"/>
  <c r="S216" i="52"/>
  <c r="R216" i="52"/>
  <c r="S200" i="52"/>
  <c r="R200" i="52"/>
  <c r="S184" i="52"/>
  <c r="R184" i="52"/>
  <c r="S168" i="52"/>
  <c r="R168" i="52"/>
  <c r="S152" i="52"/>
  <c r="R152" i="52"/>
  <c r="S136" i="52"/>
  <c r="R136" i="52"/>
  <c r="S120" i="52"/>
  <c r="R120" i="52"/>
  <c r="S104" i="52"/>
  <c r="R104" i="52"/>
  <c r="S88" i="52"/>
  <c r="R88" i="52"/>
  <c r="S72" i="52"/>
  <c r="R72" i="52"/>
  <c r="S56" i="52"/>
  <c r="R56" i="52"/>
  <c r="S40" i="52"/>
  <c r="R40" i="52"/>
  <c r="S24" i="52"/>
  <c r="R24" i="52"/>
  <c r="S256" i="52"/>
  <c r="R256" i="52"/>
  <c r="S176" i="52"/>
  <c r="R176" i="52"/>
  <c r="S254" i="52"/>
  <c r="R254" i="52"/>
  <c r="S222" i="52"/>
  <c r="R222" i="52"/>
  <c r="S190" i="52"/>
  <c r="R190" i="52"/>
  <c r="S126" i="52"/>
  <c r="R126" i="52"/>
  <c r="S110" i="52"/>
  <c r="R110" i="52"/>
  <c r="S94" i="52"/>
  <c r="R94" i="52"/>
  <c r="S78" i="52"/>
  <c r="R78" i="52"/>
  <c r="S62" i="52"/>
  <c r="R62" i="52"/>
  <c r="S46" i="52"/>
  <c r="R46" i="52"/>
  <c r="S30" i="52"/>
  <c r="R30" i="52"/>
  <c r="S14" i="52"/>
  <c r="R14" i="52"/>
  <c r="S160" i="52"/>
  <c r="R160" i="52"/>
  <c r="S174" i="52"/>
  <c r="R174" i="52"/>
  <c r="S244" i="52"/>
  <c r="R244" i="52"/>
  <c r="S228" i="52"/>
  <c r="R228" i="52"/>
  <c r="S212" i="52"/>
  <c r="R212" i="52"/>
  <c r="S196" i="52"/>
  <c r="R196" i="52"/>
  <c r="S180" i="52"/>
  <c r="R180" i="52"/>
  <c r="S164" i="52"/>
  <c r="R164" i="52"/>
  <c r="S148" i="52"/>
  <c r="R148" i="52"/>
  <c r="S132" i="52"/>
  <c r="R132" i="52"/>
  <c r="S116" i="52"/>
  <c r="R116" i="52"/>
  <c r="S100" i="52"/>
  <c r="R100" i="52"/>
  <c r="S84" i="52"/>
  <c r="R84" i="52"/>
  <c r="S68" i="52"/>
  <c r="R68" i="52"/>
  <c r="S52" i="52"/>
  <c r="R52" i="52"/>
  <c r="S36" i="52"/>
  <c r="R36" i="52"/>
  <c r="S20" i="52"/>
  <c r="R20" i="52"/>
  <c r="R11" i="52"/>
  <c r="AK10" i="52" a="1"/>
  <c r="AK10" i="52" s="1"/>
  <c r="AJ10" i="52" a="1"/>
  <c r="AJ10" i="52" s="1"/>
  <c r="AJ11" i="52" s="1" a="1"/>
  <c r="AJ11" i="52" s="1"/>
  <c r="T258" i="52"/>
  <c r="R7" i="107" l="1"/>
  <c r="X156" i="22"/>
  <c r="U22" i="42"/>
  <c r="U23" i="42"/>
  <c r="U29" i="42"/>
  <c r="U31" i="42"/>
  <c r="U24" i="42"/>
  <c r="B12" i="53"/>
  <c r="Q21" i="42"/>
  <c r="R21" i="42" s="1"/>
  <c r="Q20" i="42"/>
  <c r="R20" i="42" s="1"/>
  <c r="W20" i="42" s="1"/>
  <c r="Q18" i="42"/>
  <c r="R18" i="42" s="1"/>
  <c r="W18" i="42" s="1"/>
  <c r="Q17" i="42"/>
  <c r="R17" i="42" s="1"/>
  <c r="W17" i="42" s="1"/>
  <c r="Q16" i="42"/>
  <c r="R16" i="42" s="1"/>
  <c r="W16" i="42" s="1"/>
  <c r="Q15" i="42"/>
  <c r="R15" i="42" s="1"/>
  <c r="W15" i="42" s="1"/>
  <c r="Q14" i="42"/>
  <c r="R14" i="42" s="1"/>
  <c r="W14" i="42" s="1"/>
  <c r="X154" i="22"/>
  <c r="F161" i="22"/>
  <c r="F159" i="22"/>
  <c r="T27" i="42"/>
  <c r="U27" i="42" s="1"/>
  <c r="T36" i="42"/>
  <c r="U36" i="42" s="1"/>
  <c r="T25" i="42"/>
  <c r="U25" i="42" s="1"/>
  <c r="T35" i="42"/>
  <c r="U35" i="42" s="1"/>
  <c r="T26" i="42"/>
  <c r="U26" i="42" s="1"/>
  <c r="T34" i="42"/>
  <c r="U34" i="42" s="1"/>
  <c r="T28" i="42"/>
  <c r="U28" i="42" s="1"/>
  <c r="T30" i="42"/>
  <c r="U30" i="42" s="1"/>
  <c r="T33" i="42"/>
  <c r="U33" i="42" s="1"/>
  <c r="T37" i="42"/>
  <c r="U37" i="42" s="1"/>
  <c r="T19" i="42"/>
  <c r="U19" i="42" s="1"/>
  <c r="T13" i="42"/>
  <c r="U13" i="42" s="1"/>
  <c r="F157" i="22"/>
  <c r="F158" i="22"/>
  <c r="F150" i="22"/>
  <c r="R10" i="52"/>
  <c r="S10" i="52"/>
  <c r="F152" i="22"/>
  <c r="F153" i="22"/>
  <c r="F154" i="22"/>
  <c r="F151" i="22"/>
  <c r="F160" i="22"/>
  <c r="F156" i="22"/>
  <c r="F162" i="22"/>
  <c r="F155" i="22"/>
  <c r="S25" i="52"/>
  <c r="R25" i="52"/>
  <c r="S57" i="52"/>
  <c r="R57" i="52"/>
  <c r="S89" i="52"/>
  <c r="R89" i="52"/>
  <c r="S121" i="52"/>
  <c r="R121" i="52"/>
  <c r="S153" i="52"/>
  <c r="R153" i="52"/>
  <c r="S185" i="52"/>
  <c r="R185" i="52"/>
  <c r="S217" i="52"/>
  <c r="R217" i="52"/>
  <c r="S249" i="52"/>
  <c r="R249" i="52"/>
  <c r="S35" i="52"/>
  <c r="R35" i="52"/>
  <c r="S67" i="52"/>
  <c r="R67" i="52"/>
  <c r="S99" i="52"/>
  <c r="R99" i="52"/>
  <c r="S131" i="52"/>
  <c r="R131" i="52"/>
  <c r="S163" i="52"/>
  <c r="R163" i="52"/>
  <c r="S195" i="52"/>
  <c r="R195" i="52"/>
  <c r="S227" i="52"/>
  <c r="R227" i="52"/>
  <c r="V153" i="22"/>
  <c r="S165" i="52"/>
  <c r="R165" i="52"/>
  <c r="S47" i="52"/>
  <c r="R47" i="52"/>
  <c r="S29" i="52"/>
  <c r="R29" i="52"/>
  <c r="S61" i="52"/>
  <c r="R61" i="52"/>
  <c r="S93" i="52"/>
  <c r="R93" i="52"/>
  <c r="S125" i="52"/>
  <c r="R125" i="52"/>
  <c r="S157" i="52"/>
  <c r="R157" i="52"/>
  <c r="S189" i="52"/>
  <c r="R189" i="52"/>
  <c r="S221" i="52"/>
  <c r="R221" i="52"/>
  <c r="S253" i="52"/>
  <c r="R253" i="52"/>
  <c r="S39" i="52"/>
  <c r="R39" i="52"/>
  <c r="S71" i="52"/>
  <c r="R71" i="52"/>
  <c r="S103" i="52"/>
  <c r="R103" i="52"/>
  <c r="S135" i="52"/>
  <c r="R135" i="52"/>
  <c r="S167" i="52"/>
  <c r="R167" i="52"/>
  <c r="S199" i="52"/>
  <c r="R199" i="52"/>
  <c r="S231" i="52"/>
  <c r="R231" i="52"/>
  <c r="S33" i="52"/>
  <c r="R33" i="52"/>
  <c r="S65" i="52"/>
  <c r="R65" i="52"/>
  <c r="S97" i="52"/>
  <c r="R97" i="52"/>
  <c r="S129" i="52"/>
  <c r="R129" i="52"/>
  <c r="S161" i="52"/>
  <c r="R161" i="52"/>
  <c r="S193" i="52"/>
  <c r="R193" i="52"/>
  <c r="S225" i="52"/>
  <c r="R225" i="52"/>
  <c r="S257" i="52"/>
  <c r="R257" i="52"/>
  <c r="S43" i="52"/>
  <c r="R43" i="52"/>
  <c r="S75" i="52"/>
  <c r="R75" i="52"/>
  <c r="S107" i="52"/>
  <c r="R107" i="52"/>
  <c r="S139" i="52"/>
  <c r="R139" i="52"/>
  <c r="S171" i="52"/>
  <c r="R171" i="52"/>
  <c r="S203" i="52"/>
  <c r="R203" i="52"/>
  <c r="S235" i="52"/>
  <c r="R235" i="52"/>
  <c r="V155" i="22"/>
  <c r="S69" i="52"/>
  <c r="R69" i="52"/>
  <c r="S197" i="52"/>
  <c r="R197" i="52"/>
  <c r="S79" i="52"/>
  <c r="R79" i="52"/>
  <c r="S143" i="52"/>
  <c r="R143" i="52"/>
  <c r="S207" i="52"/>
  <c r="R207" i="52"/>
  <c r="V161" i="22"/>
  <c r="S41" i="52"/>
  <c r="R41" i="52"/>
  <c r="S73" i="52"/>
  <c r="R73" i="52"/>
  <c r="S105" i="52"/>
  <c r="R105" i="52"/>
  <c r="S137" i="52"/>
  <c r="R137" i="52"/>
  <c r="S169" i="52"/>
  <c r="R169" i="52"/>
  <c r="S201" i="52"/>
  <c r="R201" i="52"/>
  <c r="S233" i="52"/>
  <c r="R233" i="52"/>
  <c r="R19" i="52"/>
  <c r="S19" i="52"/>
  <c r="S51" i="52"/>
  <c r="R51" i="52"/>
  <c r="S83" i="52"/>
  <c r="R83" i="52"/>
  <c r="S115" i="52"/>
  <c r="R115" i="52"/>
  <c r="S147" i="52"/>
  <c r="R147" i="52"/>
  <c r="S179" i="52"/>
  <c r="R179" i="52"/>
  <c r="S211" i="52"/>
  <c r="R211" i="52"/>
  <c r="S243" i="52"/>
  <c r="R243" i="52"/>
  <c r="S37" i="52"/>
  <c r="R37" i="52"/>
  <c r="S133" i="52"/>
  <c r="R133" i="52"/>
  <c r="S229" i="52"/>
  <c r="R229" i="52"/>
  <c r="S111" i="52"/>
  <c r="R111" i="52"/>
  <c r="S175" i="52"/>
  <c r="R175" i="52"/>
  <c r="S239" i="52"/>
  <c r="R239" i="52"/>
  <c r="R13" i="52"/>
  <c r="S13" i="52"/>
  <c r="S45" i="52"/>
  <c r="R45" i="52"/>
  <c r="S77" i="52"/>
  <c r="R77" i="52"/>
  <c r="S109" i="52"/>
  <c r="R109" i="52"/>
  <c r="S141" i="52"/>
  <c r="R141" i="52"/>
  <c r="S173" i="52"/>
  <c r="R173" i="52"/>
  <c r="S205" i="52"/>
  <c r="R205" i="52"/>
  <c r="S237" i="52"/>
  <c r="R237" i="52"/>
  <c r="S23" i="52"/>
  <c r="R23" i="52"/>
  <c r="S55" i="52"/>
  <c r="R55" i="52"/>
  <c r="S87" i="52"/>
  <c r="R87" i="52"/>
  <c r="S119" i="52"/>
  <c r="R119" i="52"/>
  <c r="S151" i="52"/>
  <c r="R151" i="52"/>
  <c r="S183" i="52"/>
  <c r="R183" i="52"/>
  <c r="S215" i="52"/>
  <c r="R215" i="52"/>
  <c r="S247" i="52"/>
  <c r="R247" i="52"/>
  <c r="S11" i="52"/>
  <c r="S101" i="52"/>
  <c r="R101" i="52"/>
  <c r="S15" i="52"/>
  <c r="R15" i="52"/>
  <c r="H155" i="22" s="1"/>
  <c r="R17" i="52"/>
  <c r="S17" i="52"/>
  <c r="S49" i="52"/>
  <c r="R49" i="52"/>
  <c r="S81" i="52"/>
  <c r="R81" i="52"/>
  <c r="S113" i="52"/>
  <c r="R113" i="52"/>
  <c r="S145" i="52"/>
  <c r="R145" i="52"/>
  <c r="S177" i="52"/>
  <c r="R177" i="52"/>
  <c r="S209" i="52"/>
  <c r="R209" i="52"/>
  <c r="S241" i="52"/>
  <c r="R241" i="52"/>
  <c r="S27" i="52"/>
  <c r="R27" i="52"/>
  <c r="H154" i="22" s="1"/>
  <c r="S59" i="52"/>
  <c r="R59" i="52"/>
  <c r="S91" i="52"/>
  <c r="R91" i="52"/>
  <c r="S123" i="52"/>
  <c r="R123" i="52"/>
  <c r="S155" i="52"/>
  <c r="R155" i="52"/>
  <c r="S187" i="52"/>
  <c r="R187" i="52"/>
  <c r="S219" i="52"/>
  <c r="R219" i="52"/>
  <c r="S251" i="52"/>
  <c r="R251" i="52"/>
  <c r="R21" i="52"/>
  <c r="S21" i="52"/>
  <c r="S53" i="52"/>
  <c r="R53" i="52"/>
  <c r="S85" i="52"/>
  <c r="R85" i="52"/>
  <c r="S117" i="52"/>
  <c r="R117" i="52"/>
  <c r="S149" i="52"/>
  <c r="R149" i="52"/>
  <c r="S181" i="52"/>
  <c r="R181" i="52"/>
  <c r="S213" i="52"/>
  <c r="R213" i="52"/>
  <c r="S245" i="52"/>
  <c r="R245" i="52"/>
  <c r="S31" i="52"/>
  <c r="R31" i="52"/>
  <c r="S63" i="52"/>
  <c r="R63" i="52"/>
  <c r="S95" i="52"/>
  <c r="R95" i="52"/>
  <c r="S127" i="52"/>
  <c r="R127" i="52"/>
  <c r="S159" i="52"/>
  <c r="R159" i="52"/>
  <c r="S191" i="52"/>
  <c r="R191" i="52"/>
  <c r="S223" i="52"/>
  <c r="R223" i="52"/>
  <c r="S255" i="52"/>
  <c r="R255" i="52"/>
  <c r="AK11" i="52" a="1"/>
  <c r="AK11" i="52" s="1"/>
  <c r="B13" i="53" s="1"/>
  <c r="AJ12" i="52" a="1"/>
  <c r="AJ12" i="52" s="1"/>
  <c r="C12" i="53" l="1"/>
  <c r="N12" i="53" s="1"/>
  <c r="O12" i="53"/>
  <c r="F12" i="53"/>
  <c r="U10" i="52"/>
  <c r="J154" i="22" s="1"/>
  <c r="J12" i="53"/>
  <c r="G12" i="53"/>
  <c r="E12" i="53"/>
  <c r="H12" i="53"/>
  <c r="P12" i="53"/>
  <c r="I12" i="53"/>
  <c r="K12" i="53"/>
  <c r="D12" i="53"/>
  <c r="O13" i="53"/>
  <c r="L12" i="53"/>
  <c r="V154" i="22"/>
  <c r="V159" i="22"/>
  <c r="X151" i="22"/>
  <c r="H161" i="22"/>
  <c r="L159" i="22"/>
  <c r="W21" i="42"/>
  <c r="I13" i="53"/>
  <c r="T21" i="42"/>
  <c r="U21" i="42" s="1"/>
  <c r="T20" i="42"/>
  <c r="U20" i="42" s="1"/>
  <c r="T18" i="42"/>
  <c r="U18" i="42" s="1"/>
  <c r="T17" i="42"/>
  <c r="U17" i="42" s="1"/>
  <c r="T16" i="42"/>
  <c r="U16" i="42" s="1"/>
  <c r="T15" i="42"/>
  <c r="U15" i="42" s="1"/>
  <c r="T14" i="42"/>
  <c r="U14" i="42" s="1"/>
  <c r="H153" i="22"/>
  <c r="R258" i="52" a="1"/>
  <c r="R258" i="52" s="1"/>
  <c r="S258" i="52" a="1"/>
  <c r="S258" i="52" s="1"/>
  <c r="H152" i="22"/>
  <c r="V156" i="22"/>
  <c r="V150" i="22"/>
  <c r="V160" i="22"/>
  <c r="V157" i="22"/>
  <c r="V158" i="22"/>
  <c r="V152" i="22"/>
  <c r="L155" i="22"/>
  <c r="L153" i="22"/>
  <c r="L156" i="22"/>
  <c r="T12" i="42"/>
  <c r="U12" i="42" s="1"/>
  <c r="M3" i="42"/>
  <c r="H158" i="22"/>
  <c r="H159" i="22"/>
  <c r="H150" i="22"/>
  <c r="H157" i="22"/>
  <c r="J152" i="22"/>
  <c r="H151" i="22"/>
  <c r="W12" i="42"/>
  <c r="L157" i="22" s="1"/>
  <c r="V151" i="22"/>
  <c r="V162" i="22"/>
  <c r="H162" i="22"/>
  <c r="H156" i="22"/>
  <c r="H160" i="22"/>
  <c r="L13" i="53"/>
  <c r="K13" i="53"/>
  <c r="AH13" i="53" s="1"/>
  <c r="N258" i="52"/>
  <c r="AK12" i="52" a="1"/>
  <c r="AK12" i="52" s="1"/>
  <c r="B14" i="53" s="1"/>
  <c r="AJ13" i="52" a="1"/>
  <c r="AJ13" i="52" s="1"/>
  <c r="R12" i="53" l="1"/>
  <c r="J151" i="22"/>
  <c r="J158" i="22"/>
  <c r="J162" i="22"/>
  <c r="J156" i="22"/>
  <c r="Q12" i="53"/>
  <c r="O14" i="53"/>
  <c r="E13" i="53"/>
  <c r="C13" i="53"/>
  <c r="F13" i="53"/>
  <c r="G13" i="53"/>
  <c r="D13" i="53"/>
  <c r="H13" i="53"/>
  <c r="J13" i="53"/>
  <c r="P13" i="53"/>
  <c r="N13" i="53"/>
  <c r="E14" i="53"/>
  <c r="L154" i="22"/>
  <c r="L158" i="22"/>
  <c r="J150" i="22"/>
  <c r="L152" i="22"/>
  <c r="L161" i="22"/>
  <c r="L160" i="22"/>
  <c r="L151" i="22"/>
  <c r="L150" i="22"/>
  <c r="L162" i="22"/>
  <c r="AC13" i="53"/>
  <c r="AD12" i="53"/>
  <c r="AT12" i="53"/>
  <c r="W260" i="42"/>
  <c r="U258" i="52"/>
  <c r="AK13" i="52" a="1"/>
  <c r="AK13" i="52" s="1"/>
  <c r="B15" i="53" s="1"/>
  <c r="AJ14" i="52" a="1"/>
  <c r="AJ14" i="52" s="1"/>
  <c r="AJ15" i="52" s="1" a="1"/>
  <c r="AJ15" i="52" s="1"/>
  <c r="G4" i="110" l="1"/>
  <c r="F4" i="110"/>
  <c r="X12" i="53"/>
  <c r="AB12" i="53" s="1"/>
  <c r="AC15" i="53"/>
  <c r="O15" i="53"/>
  <c r="N15" i="53"/>
  <c r="K14" i="53"/>
  <c r="AH14" i="53" s="1"/>
  <c r="P14" i="53"/>
  <c r="G14" i="53"/>
  <c r="C14" i="53"/>
  <c r="AC14" i="53" s="1"/>
  <c r="H14" i="53"/>
  <c r="N14" i="53"/>
  <c r="L14" i="53"/>
  <c r="I14" i="53"/>
  <c r="D14" i="53"/>
  <c r="J14" i="53"/>
  <c r="F14" i="53"/>
  <c r="R13" i="53"/>
  <c r="X13" i="53" s="1"/>
  <c r="AB13" i="53" s="1"/>
  <c r="AT13" i="53"/>
  <c r="AD13" i="53"/>
  <c r="Q13" i="53"/>
  <c r="AK14" i="52" a="1"/>
  <c r="AK14" i="52" s="1"/>
  <c r="B16" i="53" s="1"/>
  <c r="AJ16" i="52" a="1"/>
  <c r="AJ16" i="52" s="1"/>
  <c r="AA12" i="53" l="1"/>
  <c r="AE12" i="53" s="1"/>
  <c r="AF12" i="53" s="1"/>
  <c r="O16" i="53"/>
  <c r="N16" i="53"/>
  <c r="R14" i="53"/>
  <c r="X14" i="53" s="1"/>
  <c r="AB14" i="53" s="1"/>
  <c r="Q14" i="53"/>
  <c r="AD14" i="53"/>
  <c r="AT14" i="53"/>
  <c r="AA13" i="53"/>
  <c r="AC12" i="53"/>
  <c r="AE13" i="53"/>
  <c r="AG12" i="53"/>
  <c r="AK15" i="52" a="1"/>
  <c r="AK15" i="52" s="1"/>
  <c r="B17" i="53" s="1"/>
  <c r="K15" i="53"/>
  <c r="AH15" i="53" s="1"/>
  <c r="I15" i="53"/>
  <c r="H15" i="53"/>
  <c r="G15" i="53"/>
  <c r="P15" i="53"/>
  <c r="E15" i="53"/>
  <c r="L15" i="53"/>
  <c r="D15" i="53"/>
  <c r="C15" i="53"/>
  <c r="J15" i="53"/>
  <c r="F15" i="53"/>
  <c r="P16" i="53"/>
  <c r="H16" i="53"/>
  <c r="K16" i="53"/>
  <c r="AH16" i="53" s="1"/>
  <c r="G16" i="53"/>
  <c r="F16" i="53"/>
  <c r="J16" i="53"/>
  <c r="D16" i="53"/>
  <c r="C16" i="53"/>
  <c r="L16" i="53"/>
  <c r="I16" i="53"/>
  <c r="E16" i="53"/>
  <c r="AJ17" i="52" a="1"/>
  <c r="AJ17" i="52" s="1"/>
  <c r="AH12" i="53" l="1"/>
  <c r="O17" i="53"/>
  <c r="N17" i="53"/>
  <c r="AA14" i="53"/>
  <c r="AF13" i="53"/>
  <c r="AE14" i="53"/>
  <c r="AF14" i="53" s="1"/>
  <c r="Q8" i="107"/>
  <c r="S8" i="107" s="1"/>
  <c r="U8" i="107" s="1"/>
  <c r="AC16" i="53"/>
  <c r="AG13" i="53"/>
  <c r="C17" i="53"/>
  <c r="K17" i="53"/>
  <c r="AH17" i="53" s="1"/>
  <c r="G17" i="53"/>
  <c r="E17" i="53"/>
  <c r="I17" i="53"/>
  <c r="D17" i="53"/>
  <c r="H17" i="53"/>
  <c r="L17" i="53"/>
  <c r="P17" i="53"/>
  <c r="F17" i="53"/>
  <c r="J17" i="53"/>
  <c r="AK16" i="52" a="1"/>
  <c r="AK16" i="52" s="1"/>
  <c r="B18" i="53" s="1"/>
  <c r="AJ18" i="52" a="1"/>
  <c r="AJ18" i="52" s="1"/>
  <c r="AJ19" i="52" s="1" a="1"/>
  <c r="AJ19" i="52" s="1"/>
  <c r="Q7" i="107" l="1"/>
  <c r="S7" i="107" s="1"/>
  <c r="U7" i="107" s="1"/>
  <c r="AC17" i="53"/>
  <c r="O18" i="53"/>
  <c r="N18" i="53"/>
  <c r="R16" i="53"/>
  <c r="X16" i="53" s="1"/>
  <c r="AB16" i="53" s="1"/>
  <c r="R15" i="53"/>
  <c r="X15" i="53" s="1"/>
  <c r="AB15" i="53" s="1"/>
  <c r="R17" i="53"/>
  <c r="X17" i="53" s="1"/>
  <c r="AB17" i="53" s="1"/>
  <c r="Q16" i="53"/>
  <c r="AD15" i="53"/>
  <c r="AT15" i="53"/>
  <c r="Q15" i="53"/>
  <c r="AT16" i="53"/>
  <c r="AD16" i="53"/>
  <c r="AT17" i="53"/>
  <c r="AG14" i="53"/>
  <c r="AD17" i="53"/>
  <c r="P18" i="53"/>
  <c r="H18" i="53"/>
  <c r="K18" i="53"/>
  <c r="AH18" i="53" s="1"/>
  <c r="C18" i="53"/>
  <c r="F18" i="53"/>
  <c r="I18" i="53"/>
  <c r="E18" i="53"/>
  <c r="G18" i="53"/>
  <c r="J18" i="53"/>
  <c r="L18" i="53"/>
  <c r="D18" i="53"/>
  <c r="Q17" i="53"/>
  <c r="AK17" i="52" a="1"/>
  <c r="AK17" i="52" s="1"/>
  <c r="B19" i="53" s="1"/>
  <c r="AJ20" i="52" a="1"/>
  <c r="AJ20" i="52" s="1"/>
  <c r="AJ21" i="52" s="1" a="1"/>
  <c r="AJ21" i="52" s="1"/>
  <c r="AJ22" i="52" s="1" a="1"/>
  <c r="AJ22" i="52" s="1"/>
  <c r="AJ23" i="52" s="1" a="1"/>
  <c r="AJ23" i="52" s="1"/>
  <c r="AJ24" i="52" s="1" a="1"/>
  <c r="AJ24" i="52" s="1"/>
  <c r="AJ25" i="52" s="1" a="1"/>
  <c r="AJ25" i="52" s="1"/>
  <c r="AJ26" i="52" s="1" a="1"/>
  <c r="AJ26" i="52" s="1"/>
  <c r="AJ27" i="52" s="1" a="1"/>
  <c r="AJ27" i="52" s="1"/>
  <c r="AJ28" i="52" s="1" a="1"/>
  <c r="AJ28" i="52" s="1"/>
  <c r="AJ29" i="52" s="1" a="1"/>
  <c r="AJ29" i="52" s="1"/>
  <c r="AJ30" i="52" s="1" a="1"/>
  <c r="AJ30" i="52" s="1"/>
  <c r="AJ31" i="52" s="1" a="1"/>
  <c r="AJ31" i="52" s="1"/>
  <c r="AJ32" i="52" s="1" a="1"/>
  <c r="AJ32" i="52" s="1"/>
  <c r="AJ33" i="52" s="1" a="1"/>
  <c r="AJ33" i="52" s="1"/>
  <c r="AJ34" i="52" s="1" a="1"/>
  <c r="AJ34" i="52" s="1"/>
  <c r="AJ35" i="52" s="1" a="1"/>
  <c r="AJ35" i="52" s="1"/>
  <c r="AJ36" i="52" s="1" a="1"/>
  <c r="AJ36" i="52" s="1"/>
  <c r="AJ37" i="52" s="1" a="1"/>
  <c r="AJ37" i="52" s="1"/>
  <c r="AJ38" i="52" s="1" a="1"/>
  <c r="AJ38" i="52" s="1"/>
  <c r="AJ39" i="52" s="1" a="1"/>
  <c r="AJ39" i="52" s="1"/>
  <c r="AJ40" i="52" s="1" a="1"/>
  <c r="AJ40" i="52" s="1"/>
  <c r="AJ41" i="52" s="1" a="1"/>
  <c r="AJ41" i="52" s="1"/>
  <c r="AJ42" i="52" s="1" a="1"/>
  <c r="AJ42" i="52" s="1"/>
  <c r="AJ43" i="52" s="1" a="1"/>
  <c r="AJ43" i="52" s="1"/>
  <c r="AJ44" i="52" s="1" a="1"/>
  <c r="AJ44" i="52" s="1"/>
  <c r="AJ45" i="52" s="1" a="1"/>
  <c r="AJ45" i="52" s="1"/>
  <c r="AJ46" i="52" s="1" a="1"/>
  <c r="AJ46" i="52" s="1"/>
  <c r="AJ47" i="52" s="1" a="1"/>
  <c r="AJ47" i="52" s="1"/>
  <c r="AJ48" i="52" s="1" a="1"/>
  <c r="AJ48" i="52" s="1"/>
  <c r="AJ49" i="52" s="1" a="1"/>
  <c r="AJ49" i="52" s="1"/>
  <c r="AJ50" i="52" s="1" a="1"/>
  <c r="AJ50" i="52" s="1"/>
  <c r="AJ51" i="52" s="1" a="1"/>
  <c r="AJ51" i="52" s="1"/>
  <c r="AJ52" i="52" s="1" a="1"/>
  <c r="AJ52" i="52" s="1"/>
  <c r="AJ53" i="52" s="1" a="1"/>
  <c r="AJ53" i="52" s="1"/>
  <c r="AJ54" i="52" s="1" a="1"/>
  <c r="AJ54" i="52" s="1"/>
  <c r="AJ55" i="52" s="1" a="1"/>
  <c r="AJ55" i="52" s="1"/>
  <c r="AJ56" i="52" s="1" a="1"/>
  <c r="AJ56" i="52" s="1"/>
  <c r="AJ57" i="52" s="1" a="1"/>
  <c r="AJ57" i="52" s="1"/>
  <c r="AJ58" i="52" s="1" a="1"/>
  <c r="AJ58" i="52" s="1"/>
  <c r="AJ59" i="52" s="1" a="1"/>
  <c r="AJ59" i="52" s="1"/>
  <c r="AJ60" i="52" s="1" a="1"/>
  <c r="AJ60" i="52" s="1"/>
  <c r="AJ61" i="52" s="1" a="1"/>
  <c r="AJ61" i="52" s="1"/>
  <c r="AJ62" i="52" s="1" a="1"/>
  <c r="AJ62" i="52" s="1"/>
  <c r="AJ63" i="52" s="1" a="1"/>
  <c r="AJ63" i="52" s="1"/>
  <c r="AJ64" i="52" s="1" a="1"/>
  <c r="AJ64" i="52" s="1"/>
  <c r="AJ65" i="52" s="1" a="1"/>
  <c r="AJ65" i="52" s="1"/>
  <c r="AJ66" i="52" s="1" a="1"/>
  <c r="AJ66" i="52" s="1"/>
  <c r="AJ67" i="52" s="1" a="1"/>
  <c r="AJ67" i="52" s="1"/>
  <c r="AJ68" i="52" s="1" a="1"/>
  <c r="AJ68" i="52" s="1"/>
  <c r="AJ69" i="52" s="1" a="1"/>
  <c r="AJ69" i="52" s="1"/>
  <c r="AJ70" i="52" s="1" a="1"/>
  <c r="AJ70" i="52" s="1"/>
  <c r="AJ71" i="52" s="1" a="1"/>
  <c r="AJ71" i="52" s="1"/>
  <c r="AJ72" i="52" s="1" a="1"/>
  <c r="AJ72" i="52" s="1"/>
  <c r="AJ73" i="52" s="1" a="1"/>
  <c r="AJ73" i="52" s="1"/>
  <c r="AJ74" i="52" s="1" a="1"/>
  <c r="AJ74" i="52" s="1"/>
  <c r="AJ75" i="52" s="1" a="1"/>
  <c r="AJ75" i="52" s="1"/>
  <c r="AJ76" i="52" s="1" a="1"/>
  <c r="AJ76" i="52" s="1"/>
  <c r="AJ77" i="52" s="1" a="1"/>
  <c r="AJ77" i="52" s="1"/>
  <c r="AJ78" i="52" s="1" a="1"/>
  <c r="AJ78" i="52" s="1"/>
  <c r="AJ79" i="52" s="1" a="1"/>
  <c r="AJ79" i="52" s="1"/>
  <c r="AJ80" i="52" s="1" a="1"/>
  <c r="AJ80" i="52" s="1"/>
  <c r="AJ81" i="52" s="1" a="1"/>
  <c r="AJ81" i="52" s="1"/>
  <c r="AJ82" i="52" s="1" a="1"/>
  <c r="AJ82" i="52" s="1"/>
  <c r="AJ83" i="52" s="1" a="1"/>
  <c r="AJ83" i="52" s="1"/>
  <c r="AJ84" i="52" s="1" a="1"/>
  <c r="AJ84" i="52" s="1"/>
  <c r="AJ85" i="52" s="1" a="1"/>
  <c r="AJ85" i="52" s="1"/>
  <c r="AJ86" i="52" s="1" a="1"/>
  <c r="AJ86" i="52" s="1"/>
  <c r="AJ87" i="52" s="1" a="1"/>
  <c r="AJ87" i="52" s="1"/>
  <c r="AJ88" i="52" s="1" a="1"/>
  <c r="AJ88" i="52" s="1"/>
  <c r="AJ89" i="52" s="1" a="1"/>
  <c r="AJ89" i="52" s="1"/>
  <c r="AJ90" i="52" s="1" a="1"/>
  <c r="AJ90" i="52" s="1"/>
  <c r="AJ91" i="52" s="1" a="1"/>
  <c r="AJ91" i="52" s="1"/>
  <c r="AJ92" i="52" s="1" a="1"/>
  <c r="AJ92" i="52" s="1"/>
  <c r="AJ93" i="52" s="1" a="1"/>
  <c r="AJ93" i="52" s="1"/>
  <c r="AJ94" i="52" s="1" a="1"/>
  <c r="AJ94" i="52" s="1"/>
  <c r="AJ95" i="52" s="1" a="1"/>
  <c r="AJ95" i="52" s="1"/>
  <c r="AJ96" i="52" s="1" a="1"/>
  <c r="AJ96" i="52" s="1"/>
  <c r="AJ97" i="52" s="1" a="1"/>
  <c r="AJ97" i="52" s="1"/>
  <c r="AJ98" i="52" s="1" a="1"/>
  <c r="AJ98" i="52" s="1"/>
  <c r="AJ99" i="52" s="1" a="1"/>
  <c r="AJ99" i="52" s="1"/>
  <c r="AJ100" i="52" s="1" a="1"/>
  <c r="AJ100" i="52" s="1"/>
  <c r="AJ101" i="52" s="1" a="1"/>
  <c r="AJ101" i="52" s="1"/>
  <c r="AJ102" i="52" s="1" a="1"/>
  <c r="AJ102" i="52" s="1"/>
  <c r="AJ103" i="52" s="1" a="1"/>
  <c r="AJ103" i="52" s="1"/>
  <c r="AJ104" i="52" s="1" a="1"/>
  <c r="AJ104" i="52" s="1"/>
  <c r="AC19" i="53" l="1"/>
  <c r="O19" i="53"/>
  <c r="N19" i="53"/>
  <c r="AA17" i="53"/>
  <c r="AA15" i="53"/>
  <c r="AA16" i="53"/>
  <c r="AG17" i="53"/>
  <c r="AC18" i="53"/>
  <c r="AK18" i="52" a="1"/>
  <c r="AK18" i="52" s="1"/>
  <c r="B20" i="53" s="1"/>
  <c r="L19" i="53"/>
  <c r="K19" i="53"/>
  <c r="AH19" i="53" s="1"/>
  <c r="I19" i="53"/>
  <c r="H19" i="53"/>
  <c r="G19" i="53"/>
  <c r="C19" i="53"/>
  <c r="P19" i="53"/>
  <c r="E19" i="53"/>
  <c r="D19" i="53"/>
  <c r="F19" i="53"/>
  <c r="J19" i="53"/>
  <c r="AJ105" i="52" a="1"/>
  <c r="AJ105" i="52" s="1"/>
  <c r="AJ106" i="52" s="1" a="1"/>
  <c r="AJ106" i="52" s="1"/>
  <c r="AJ107" i="52" s="1" a="1"/>
  <c r="AJ107" i="52" s="1"/>
  <c r="AJ108" i="52" s="1" a="1"/>
  <c r="AJ108" i="52" s="1"/>
  <c r="AJ109" i="52" s="1" a="1"/>
  <c r="AJ109" i="52" s="1"/>
  <c r="AJ110" i="52" s="1" a="1"/>
  <c r="AJ110" i="52" s="1"/>
  <c r="AJ111" i="52" s="1" a="1"/>
  <c r="AJ111" i="52" s="1"/>
  <c r="AJ112" i="52" s="1" a="1"/>
  <c r="AJ112" i="52" s="1"/>
  <c r="AJ113" i="52" s="1" a="1"/>
  <c r="AJ113" i="52" s="1"/>
  <c r="AJ114" i="52" s="1" a="1"/>
  <c r="AJ114" i="52" s="1"/>
  <c r="AJ115" i="52" s="1" a="1"/>
  <c r="AJ115" i="52" s="1"/>
  <c r="AJ116" i="52" s="1" a="1"/>
  <c r="AJ116" i="52" s="1"/>
  <c r="AJ117" i="52" s="1" a="1"/>
  <c r="AJ117" i="52" s="1"/>
  <c r="AJ118" i="52" s="1" a="1"/>
  <c r="AJ118" i="52" s="1"/>
  <c r="AJ119" i="52" s="1" a="1"/>
  <c r="AJ119" i="52" s="1"/>
  <c r="AJ120" i="52" s="1" a="1"/>
  <c r="AJ120" i="52" s="1"/>
  <c r="AJ121" i="52" s="1" a="1"/>
  <c r="AJ121" i="52" s="1"/>
  <c r="AJ122" i="52" s="1" a="1"/>
  <c r="AJ122" i="52" s="1"/>
  <c r="AJ123" i="52" s="1" a="1"/>
  <c r="AJ123" i="52" s="1"/>
  <c r="AJ124" i="52" s="1" a="1"/>
  <c r="AJ124" i="52" s="1"/>
  <c r="AJ125" i="52" s="1" a="1"/>
  <c r="AJ125" i="52" s="1"/>
  <c r="AJ126" i="52" s="1" a="1"/>
  <c r="AJ126" i="52" s="1"/>
  <c r="AJ127" i="52" s="1" a="1"/>
  <c r="AJ127" i="52" s="1"/>
  <c r="AJ128" i="52" s="1" a="1"/>
  <c r="AJ128" i="52" s="1"/>
  <c r="AJ129" i="52" s="1" a="1"/>
  <c r="AJ129" i="52" s="1"/>
  <c r="AJ130" i="52" s="1" a="1"/>
  <c r="AJ130" i="52" s="1"/>
  <c r="AJ131" i="52" s="1" a="1"/>
  <c r="AJ131" i="52" s="1"/>
  <c r="AJ132" i="52" s="1" a="1"/>
  <c r="AJ132" i="52" s="1"/>
  <c r="AJ133" i="52" s="1" a="1"/>
  <c r="AJ133" i="52" s="1"/>
  <c r="AJ134" i="52" s="1" a="1"/>
  <c r="AJ134" i="52" s="1"/>
  <c r="AJ135" i="52" s="1" a="1"/>
  <c r="AJ135" i="52" s="1"/>
  <c r="AJ136" i="52" s="1" a="1"/>
  <c r="AJ136" i="52" s="1"/>
  <c r="AJ137" i="52" s="1" a="1"/>
  <c r="AJ137" i="52" s="1"/>
  <c r="AJ138" i="52" s="1" a="1"/>
  <c r="AJ138" i="52" s="1"/>
  <c r="AJ139" i="52" s="1" a="1"/>
  <c r="AJ139" i="52" s="1"/>
  <c r="AJ140" i="52" s="1" a="1"/>
  <c r="AJ140" i="52" s="1"/>
  <c r="AJ141" i="52" s="1" a="1"/>
  <c r="AJ141" i="52" s="1"/>
  <c r="AJ142" i="52" s="1" a="1"/>
  <c r="AJ142" i="52" s="1"/>
  <c r="AJ143" i="52" s="1" a="1"/>
  <c r="AJ143" i="52" s="1"/>
  <c r="AJ144" i="52" s="1" a="1"/>
  <c r="AJ144" i="52" s="1"/>
  <c r="AJ145" i="52" s="1" a="1"/>
  <c r="AJ145" i="52" s="1"/>
  <c r="AJ146" i="52" s="1" a="1"/>
  <c r="AJ146" i="52" s="1"/>
  <c r="AJ147" i="52" s="1" a="1"/>
  <c r="AJ147" i="52" s="1"/>
  <c r="AJ148" i="52" s="1" a="1"/>
  <c r="AJ148" i="52" s="1"/>
  <c r="AJ149" i="52" s="1" a="1"/>
  <c r="AJ149" i="52" s="1"/>
  <c r="AJ150" i="52" s="1" a="1"/>
  <c r="AJ150" i="52" s="1"/>
  <c r="AJ151" i="52" s="1" a="1"/>
  <c r="AJ151" i="52" s="1"/>
  <c r="AJ152" i="52" s="1" a="1"/>
  <c r="AJ152" i="52" s="1"/>
  <c r="AJ153" i="52" s="1" a="1"/>
  <c r="AJ153" i="52" s="1"/>
  <c r="AJ154" i="52" s="1" a="1"/>
  <c r="AJ154" i="52" s="1"/>
  <c r="AJ155" i="52" s="1" a="1"/>
  <c r="AJ155" i="52" s="1"/>
  <c r="AJ156" i="52" s="1" a="1"/>
  <c r="AJ156" i="52" s="1"/>
  <c r="AJ157" i="52" s="1" a="1"/>
  <c r="AJ157" i="52" s="1"/>
  <c r="AJ158" i="52" s="1" a="1"/>
  <c r="AJ158" i="52" s="1"/>
  <c r="AJ159" i="52" s="1" a="1"/>
  <c r="AJ159" i="52" s="1"/>
  <c r="AJ160" i="52" s="1" a="1"/>
  <c r="AJ160" i="52" s="1"/>
  <c r="AJ161" i="52" s="1" a="1"/>
  <c r="AJ161" i="52" s="1"/>
  <c r="AJ162" i="52" s="1" a="1"/>
  <c r="AJ162" i="52" s="1"/>
  <c r="AJ163" i="52" s="1" a="1"/>
  <c r="AJ163" i="52" s="1"/>
  <c r="AJ164" i="52" s="1" a="1"/>
  <c r="AJ164" i="52" s="1"/>
  <c r="AJ165" i="52" s="1" a="1"/>
  <c r="AJ165" i="52" s="1"/>
  <c r="AJ166" i="52" s="1" a="1"/>
  <c r="AJ166" i="52" s="1"/>
  <c r="AJ167" i="52" s="1" a="1"/>
  <c r="AJ167" i="52" s="1"/>
  <c r="AJ168" i="52" s="1" a="1"/>
  <c r="AJ168" i="52" s="1"/>
  <c r="AJ169" i="52" s="1" a="1"/>
  <c r="AJ169" i="52" s="1"/>
  <c r="AJ170" i="52" s="1" a="1"/>
  <c r="AJ170" i="52" s="1"/>
  <c r="AJ171" i="52" s="1" a="1"/>
  <c r="AJ171" i="52" s="1"/>
  <c r="AJ172" i="52" s="1" a="1"/>
  <c r="AJ172" i="52" s="1"/>
  <c r="AJ173" i="52" s="1" a="1"/>
  <c r="AJ173" i="52" s="1"/>
  <c r="AJ174" i="52" s="1" a="1"/>
  <c r="AJ174" i="52" s="1"/>
  <c r="AJ175" i="52" s="1" a="1"/>
  <c r="AJ175" i="52" s="1"/>
  <c r="AJ176" i="52" s="1" a="1"/>
  <c r="AJ176" i="52" s="1"/>
  <c r="AJ177" i="52" s="1" a="1"/>
  <c r="AJ177" i="52" s="1"/>
  <c r="AJ178" i="52" s="1" a="1"/>
  <c r="AJ178" i="52" s="1"/>
  <c r="AJ179" i="52" s="1" a="1"/>
  <c r="AJ179" i="52" s="1"/>
  <c r="AJ180" i="52" s="1" a="1"/>
  <c r="AJ180" i="52" s="1"/>
  <c r="AJ181" i="52" s="1" a="1"/>
  <c r="AJ181" i="52" s="1"/>
  <c r="AJ182" i="52" s="1" a="1"/>
  <c r="AJ182" i="52" s="1"/>
  <c r="AJ183" i="52" s="1" a="1"/>
  <c r="AJ183" i="52" s="1"/>
  <c r="AJ184" i="52" s="1" a="1"/>
  <c r="AJ184" i="52" s="1"/>
  <c r="AJ185" i="52" s="1" a="1"/>
  <c r="AJ185" i="52" s="1"/>
  <c r="AJ186" i="52" s="1" a="1"/>
  <c r="AJ186" i="52" s="1"/>
  <c r="AJ187" i="52" s="1" a="1"/>
  <c r="AJ187" i="52" s="1"/>
  <c r="AJ188" i="52" s="1" a="1"/>
  <c r="AJ188" i="52" s="1"/>
  <c r="AJ189" i="52" s="1" a="1"/>
  <c r="AJ189" i="52" s="1"/>
  <c r="AJ190" i="52" s="1" a="1"/>
  <c r="AJ190" i="52" s="1"/>
  <c r="AJ191" i="52" s="1" a="1"/>
  <c r="AJ191" i="52" s="1"/>
  <c r="AJ192" i="52" s="1" a="1"/>
  <c r="AJ192" i="52" s="1"/>
  <c r="AJ193" i="52" s="1" a="1"/>
  <c r="AJ193" i="52" s="1"/>
  <c r="AJ194" i="52" s="1" a="1"/>
  <c r="AJ194" i="52" s="1"/>
  <c r="AJ195" i="52" s="1" a="1"/>
  <c r="AJ195" i="52" s="1"/>
  <c r="AJ196" i="52" s="1" a="1"/>
  <c r="AJ196" i="52" s="1"/>
  <c r="AJ197" i="52" s="1" a="1"/>
  <c r="AJ197" i="52" s="1"/>
  <c r="AJ198" i="52" s="1" a="1"/>
  <c r="AJ198" i="52" s="1"/>
  <c r="AJ199" i="52" s="1" a="1"/>
  <c r="AJ199" i="52" s="1"/>
  <c r="AJ200" i="52" s="1" a="1"/>
  <c r="AJ200" i="52" s="1"/>
  <c r="AJ201" i="52" s="1" a="1"/>
  <c r="AJ201" i="52" s="1"/>
  <c r="AJ202" i="52" s="1" a="1"/>
  <c r="AJ202" i="52" s="1"/>
  <c r="AJ203" i="52" s="1" a="1"/>
  <c r="AJ203" i="52" s="1"/>
  <c r="AJ204" i="52" s="1" a="1"/>
  <c r="AJ204" i="52" s="1"/>
  <c r="AJ205" i="52" s="1" a="1"/>
  <c r="AJ205" i="52" s="1"/>
  <c r="AJ206" i="52" s="1" a="1"/>
  <c r="AJ206" i="52" s="1"/>
  <c r="AJ207" i="52" s="1" a="1"/>
  <c r="AJ207" i="52" s="1"/>
  <c r="AJ208" i="52" s="1" a="1"/>
  <c r="AJ208" i="52" s="1"/>
  <c r="AJ209" i="52" s="1" a="1"/>
  <c r="AJ209" i="52" s="1"/>
  <c r="AJ210" i="52" s="1" a="1"/>
  <c r="AJ210" i="52" s="1"/>
  <c r="AJ211" i="52" s="1" a="1"/>
  <c r="AJ211" i="52" s="1"/>
  <c r="AJ212" i="52" s="1" a="1"/>
  <c r="AJ212" i="52" s="1"/>
  <c r="AJ213" i="52" s="1" a="1"/>
  <c r="AJ213" i="52" s="1"/>
  <c r="AJ214" i="52" s="1" a="1"/>
  <c r="AJ214" i="52" s="1"/>
  <c r="AJ215" i="52" s="1" a="1"/>
  <c r="AJ215" i="52" s="1"/>
  <c r="AJ216" i="52" s="1" a="1"/>
  <c r="AJ216" i="52" s="1"/>
  <c r="AJ217" i="52" s="1" a="1"/>
  <c r="AJ217" i="52" s="1"/>
  <c r="AJ218" i="52" s="1" a="1"/>
  <c r="AJ218" i="52" s="1"/>
  <c r="AJ219" i="52" s="1" a="1"/>
  <c r="AJ219" i="52" s="1"/>
  <c r="AJ220" i="52" s="1" a="1"/>
  <c r="AJ220" i="52" s="1"/>
  <c r="AJ221" i="52" s="1" a="1"/>
  <c r="AJ221" i="52" s="1"/>
  <c r="AJ222" i="52" s="1" a="1"/>
  <c r="AJ222" i="52" s="1"/>
  <c r="AJ223" i="52" s="1" a="1"/>
  <c r="AJ223" i="52" s="1"/>
  <c r="AJ224" i="52" s="1" a="1"/>
  <c r="AJ224" i="52" s="1"/>
  <c r="AJ225" i="52" s="1" a="1"/>
  <c r="AJ225" i="52" s="1"/>
  <c r="AJ226" i="52" s="1" a="1"/>
  <c r="AJ226" i="52" s="1"/>
  <c r="AJ227" i="52" s="1" a="1"/>
  <c r="AJ227" i="52" s="1"/>
  <c r="AJ228" i="52" s="1" a="1"/>
  <c r="AJ228" i="52" s="1"/>
  <c r="AJ229" i="52" s="1" a="1"/>
  <c r="AJ229" i="52" s="1"/>
  <c r="AJ230" i="52" s="1" a="1"/>
  <c r="AJ230" i="52" s="1"/>
  <c r="AJ231" i="52" s="1" a="1"/>
  <c r="AJ231" i="52" s="1"/>
  <c r="AJ232" i="52" s="1" a="1"/>
  <c r="AJ232" i="52" s="1"/>
  <c r="AJ233" i="52" s="1" a="1"/>
  <c r="AJ233" i="52" s="1"/>
  <c r="AJ234" i="52" s="1" a="1"/>
  <c r="AJ234" i="52" s="1"/>
  <c r="AJ235" i="52" s="1" a="1"/>
  <c r="AJ235" i="52" s="1"/>
  <c r="AJ236" i="52" s="1" a="1"/>
  <c r="AJ236" i="52" s="1"/>
  <c r="AJ237" i="52" s="1" a="1"/>
  <c r="AJ237" i="52" s="1"/>
  <c r="AJ238" i="52" s="1" a="1"/>
  <c r="AJ238" i="52" s="1"/>
  <c r="AJ239" i="52" s="1" a="1"/>
  <c r="AJ239" i="52" s="1"/>
  <c r="AJ240" i="52" s="1" a="1"/>
  <c r="AJ240" i="52" s="1"/>
  <c r="AJ241" i="52" s="1" a="1"/>
  <c r="AJ241" i="52" s="1"/>
  <c r="AJ242" i="52" s="1" a="1"/>
  <c r="AJ242" i="52" s="1"/>
  <c r="AJ243" i="52" s="1" a="1"/>
  <c r="AJ243" i="52" s="1"/>
  <c r="AJ244" i="52" s="1" a="1"/>
  <c r="AJ244" i="52" s="1"/>
  <c r="AJ245" i="52" s="1" a="1"/>
  <c r="AJ245" i="52" s="1"/>
  <c r="AJ246" i="52" s="1" a="1"/>
  <c r="AJ246" i="52" s="1"/>
  <c r="AJ247" i="52" s="1" a="1"/>
  <c r="AJ247" i="52" s="1"/>
  <c r="AJ248" i="52" s="1" a="1"/>
  <c r="AJ248" i="52" s="1"/>
  <c r="AJ249" i="52" s="1" a="1"/>
  <c r="AJ249" i="52" s="1"/>
  <c r="AJ250" i="52" s="1" a="1"/>
  <c r="AJ250" i="52" s="1"/>
  <c r="AJ251" i="52" s="1" a="1"/>
  <c r="AJ251" i="52" s="1"/>
  <c r="AJ252" i="52" s="1" a="1"/>
  <c r="AJ252" i="52" s="1"/>
  <c r="AJ253" i="52" s="1" a="1"/>
  <c r="AJ253" i="52" s="1"/>
  <c r="AJ254" i="52" s="1" a="1"/>
  <c r="AJ254" i="52" s="1"/>
  <c r="AJ255" i="52" s="1" a="1"/>
  <c r="AJ255" i="52" s="1"/>
  <c r="AJ256" i="52" s="1" a="1"/>
  <c r="AJ256" i="52" s="1"/>
  <c r="AJ257" i="52" s="1" a="1"/>
  <c r="AJ257" i="52" s="1"/>
  <c r="AC20" i="53" l="1"/>
  <c r="O20" i="53"/>
  <c r="N20" i="53"/>
  <c r="AE17" i="53"/>
  <c r="AF17" i="53" s="1"/>
  <c r="R18" i="53"/>
  <c r="X18" i="53" s="1"/>
  <c r="AB18" i="53" s="1"/>
  <c r="Q18" i="53"/>
  <c r="AT18" i="53"/>
  <c r="AD18" i="53"/>
  <c r="AE16" i="53"/>
  <c r="AF16" i="53" s="1"/>
  <c r="AE15" i="53"/>
  <c r="AF15" i="53" s="1"/>
  <c r="AG15" i="53"/>
  <c r="AG16" i="53"/>
  <c r="L20" i="53"/>
  <c r="P20" i="53"/>
  <c r="H20" i="53"/>
  <c r="F20" i="53"/>
  <c r="D20" i="53"/>
  <c r="E20" i="53"/>
  <c r="J20" i="53"/>
  <c r="K20" i="53"/>
  <c r="AH20" i="53" s="1"/>
  <c r="G20" i="53"/>
  <c r="C20" i="53"/>
  <c r="I20" i="53"/>
  <c r="AK19" i="52" a="1"/>
  <c r="AK19" i="52" s="1"/>
  <c r="B21" i="53" s="1"/>
  <c r="A133" i="99"/>
  <c r="A132" i="99"/>
  <c r="A131" i="99"/>
  <c r="A130" i="99"/>
  <c r="A129" i="99"/>
  <c r="A124" i="99"/>
  <c r="A123" i="99"/>
  <c r="A119" i="99"/>
  <c r="A116" i="99"/>
  <c r="C131" i="33"/>
  <c r="C130" i="33"/>
  <c r="C134" i="33"/>
  <c r="C133" i="33"/>
  <c r="C132" i="33"/>
  <c r="C125" i="33"/>
  <c r="C124" i="33"/>
  <c r="C120" i="33"/>
  <c r="C117" i="33"/>
  <c r="F133" i="20"/>
  <c r="F132" i="20"/>
  <c r="F131" i="20"/>
  <c r="F130" i="20"/>
  <c r="F129" i="20"/>
  <c r="F124" i="20"/>
  <c r="F123" i="20"/>
  <c r="F119" i="20"/>
  <c r="F116" i="20"/>
  <c r="D132" i="28"/>
  <c r="B132" i="28"/>
  <c r="A132" i="28"/>
  <c r="D131" i="28"/>
  <c r="B131" i="28"/>
  <c r="A131" i="28"/>
  <c r="D130" i="28"/>
  <c r="B130" i="28"/>
  <c r="A130" i="28"/>
  <c r="D129" i="28"/>
  <c r="B129" i="28"/>
  <c r="A129" i="28"/>
  <c r="D128" i="28"/>
  <c r="B128" i="28"/>
  <c r="A128" i="28"/>
  <c r="D127" i="28"/>
  <c r="B127" i="28"/>
  <c r="A127" i="28"/>
  <c r="D126" i="28"/>
  <c r="B126" i="28"/>
  <c r="A126" i="28"/>
  <c r="D125" i="28"/>
  <c r="B125" i="28"/>
  <c r="A125" i="28"/>
  <c r="A124" i="28"/>
  <c r="C124" i="22"/>
  <c r="B124" i="22"/>
  <c r="A124" i="22"/>
  <c r="C123" i="22"/>
  <c r="B123" i="22"/>
  <c r="A123" i="22"/>
  <c r="C116" i="22"/>
  <c r="B116" i="22"/>
  <c r="A116" i="22"/>
  <c r="C115" i="22"/>
  <c r="B115" i="22"/>
  <c r="A115" i="22"/>
  <c r="C119" i="22"/>
  <c r="B119" i="22"/>
  <c r="A119" i="22"/>
  <c r="L120" i="29"/>
  <c r="M120" i="29"/>
  <c r="D119" i="22" s="1"/>
  <c r="Q120" i="29"/>
  <c r="E130" i="28" s="1"/>
  <c r="O120" i="29"/>
  <c r="C130" i="28" s="1"/>
  <c r="Q114" i="29"/>
  <c r="E129" i="28" s="1"/>
  <c r="O114" i="29"/>
  <c r="C129" i="28" s="1"/>
  <c r="Q134" i="29"/>
  <c r="E128" i="28" s="1"/>
  <c r="O134" i="29"/>
  <c r="C128" i="28" s="1"/>
  <c r="Q133" i="29"/>
  <c r="E127" i="28" s="1"/>
  <c r="O133" i="29"/>
  <c r="C127" i="28" s="1"/>
  <c r="Q132" i="29"/>
  <c r="E126" i="28" s="1"/>
  <c r="O132" i="29"/>
  <c r="C126" i="28" s="1"/>
  <c r="Q131" i="29"/>
  <c r="E125" i="28" s="1"/>
  <c r="O131" i="29"/>
  <c r="C125" i="28" s="1"/>
  <c r="M131" i="29"/>
  <c r="L131" i="29"/>
  <c r="M125" i="29"/>
  <c r="D124" i="22" s="1"/>
  <c r="M124" i="29"/>
  <c r="D123" i="22" s="1"/>
  <c r="Q125" i="29"/>
  <c r="E132" i="28" s="1"/>
  <c r="Q124" i="29"/>
  <c r="E131" i="28" s="1"/>
  <c r="O125" i="29"/>
  <c r="C132" i="28" s="1"/>
  <c r="O124" i="29"/>
  <c r="C131" i="28" s="1"/>
  <c r="Q130" i="29"/>
  <c r="O130" i="29"/>
  <c r="S119" i="22" l="1"/>
  <c r="E119" i="22"/>
  <c r="S124" i="22"/>
  <c r="E124" i="22"/>
  <c r="G119" i="22"/>
  <c r="V119" i="22"/>
  <c r="I119" i="22"/>
  <c r="H119" i="22"/>
  <c r="T119" i="22"/>
  <c r="U119" i="22"/>
  <c r="F119" i="22"/>
  <c r="J119" i="22"/>
  <c r="S115" i="22"/>
  <c r="E115" i="22"/>
  <c r="U123" i="22"/>
  <c r="J123" i="22"/>
  <c r="V123" i="22"/>
  <c r="H123" i="22"/>
  <c r="T123" i="22"/>
  <c r="I123" i="22"/>
  <c r="F123" i="22"/>
  <c r="G123" i="22"/>
  <c r="U116" i="22"/>
  <c r="V116" i="22"/>
  <c r="T116" i="22"/>
  <c r="G116" i="22"/>
  <c r="I116" i="22"/>
  <c r="J116" i="22"/>
  <c r="F116" i="22"/>
  <c r="H116" i="22"/>
  <c r="V115" i="22"/>
  <c r="H115" i="22"/>
  <c r="J115" i="22"/>
  <c r="U115" i="22"/>
  <c r="T115" i="22"/>
  <c r="I115" i="22"/>
  <c r="G115" i="22"/>
  <c r="F115" i="22"/>
  <c r="S123" i="22"/>
  <c r="E123" i="22"/>
  <c r="S116" i="22"/>
  <c r="E116" i="22"/>
  <c r="T124" i="22"/>
  <c r="J124" i="22"/>
  <c r="V124" i="22"/>
  <c r="U124" i="22"/>
  <c r="H124" i="22"/>
  <c r="I124" i="22"/>
  <c r="G124" i="22"/>
  <c r="F124" i="22"/>
  <c r="X123" i="22"/>
  <c r="X115" i="22"/>
  <c r="X124" i="22"/>
  <c r="X116" i="22"/>
  <c r="X119" i="22"/>
  <c r="AC21" i="53"/>
  <c r="O21" i="53"/>
  <c r="N21" i="53"/>
  <c r="AA18" i="53"/>
  <c r="AG18" i="53"/>
  <c r="Q19" i="53"/>
  <c r="AD19" i="53"/>
  <c r="AT19" i="53"/>
  <c r="R19" i="53"/>
  <c r="AK20" i="52" a="1"/>
  <c r="AK20" i="52" s="1"/>
  <c r="B22" i="53" s="1"/>
  <c r="K21" i="53"/>
  <c r="AH21" i="53" s="1"/>
  <c r="I21" i="53"/>
  <c r="G21" i="53"/>
  <c r="E21" i="53"/>
  <c r="C21" i="53"/>
  <c r="H21" i="53"/>
  <c r="L21" i="53"/>
  <c r="P21" i="53"/>
  <c r="D21" i="53"/>
  <c r="J21" i="53"/>
  <c r="F21" i="53"/>
  <c r="W123" i="22"/>
  <c r="W124" i="22"/>
  <c r="K123" i="22"/>
  <c r="K124" i="22"/>
  <c r="L123" i="22"/>
  <c r="L124" i="22"/>
  <c r="K115" i="22"/>
  <c r="K116" i="22"/>
  <c r="L116" i="22"/>
  <c r="W116" i="22"/>
  <c r="W115" i="22"/>
  <c r="W119" i="22"/>
  <c r="K119" i="22"/>
  <c r="X19" i="53" l="1"/>
  <c r="AB19" i="53" s="1"/>
  <c r="AC22" i="53"/>
  <c r="O22" i="53"/>
  <c r="N22" i="53"/>
  <c r="AG19" i="53"/>
  <c r="AD20" i="53"/>
  <c r="R20" i="53"/>
  <c r="Q20" i="53"/>
  <c r="AT20" i="53"/>
  <c r="AE18" i="53"/>
  <c r="AF18" i="53" s="1"/>
  <c r="AK21" i="52" a="1"/>
  <c r="AK21" i="52" s="1"/>
  <c r="B23" i="53" s="1"/>
  <c r="L22" i="53"/>
  <c r="P22" i="53"/>
  <c r="H22" i="53"/>
  <c r="F22" i="53"/>
  <c r="D22" i="53"/>
  <c r="G22" i="53"/>
  <c r="C22" i="53"/>
  <c r="J22" i="53"/>
  <c r="I22" i="53"/>
  <c r="E22" i="53"/>
  <c r="K22" i="53"/>
  <c r="AH22" i="53" s="1"/>
  <c r="AA19" i="53" l="1"/>
  <c r="X20" i="53"/>
  <c r="AB20" i="53" s="1"/>
  <c r="AC23" i="53"/>
  <c r="O23" i="53"/>
  <c r="N23" i="53"/>
  <c r="AG20" i="53"/>
  <c r="AT21" i="53"/>
  <c r="Q21" i="53"/>
  <c r="R21" i="53"/>
  <c r="AD21" i="53"/>
  <c r="R22" i="53"/>
  <c r="AT22" i="53"/>
  <c r="AD22" i="53"/>
  <c r="Q22" i="53"/>
  <c r="AK22" i="52" a="1"/>
  <c r="AK22" i="52" s="1"/>
  <c r="B24" i="53" s="1"/>
  <c r="H23" i="53"/>
  <c r="G23" i="53"/>
  <c r="P23" i="53"/>
  <c r="E23" i="53"/>
  <c r="D23" i="53"/>
  <c r="C23" i="53"/>
  <c r="K23" i="53"/>
  <c r="AH23" i="53" s="1"/>
  <c r="I23" i="53"/>
  <c r="L23" i="53"/>
  <c r="F23" i="53"/>
  <c r="J23" i="53"/>
  <c r="AA20" i="53" l="1"/>
  <c r="X21" i="53"/>
  <c r="AB21" i="53" s="1"/>
  <c r="X22" i="53"/>
  <c r="AB22" i="53" s="1"/>
  <c r="AC24" i="53"/>
  <c r="O24" i="53"/>
  <c r="N24" i="53"/>
  <c r="AE20" i="53"/>
  <c r="AF20" i="53" s="1"/>
  <c r="AG22" i="53"/>
  <c r="AE19" i="53"/>
  <c r="AF19" i="53" s="1"/>
  <c r="AE22" i="53"/>
  <c r="AG21" i="53"/>
  <c r="R23" i="53"/>
  <c r="AT23" i="53"/>
  <c r="AD23" i="53"/>
  <c r="AK23" i="52" a="1"/>
  <c r="AK23" i="52" s="1"/>
  <c r="B25" i="53" s="1"/>
  <c r="Q23" i="53"/>
  <c r="L24" i="53"/>
  <c r="H24" i="53"/>
  <c r="F24" i="53"/>
  <c r="D24" i="53"/>
  <c r="P24" i="53"/>
  <c r="G24" i="53"/>
  <c r="C24" i="53"/>
  <c r="I24" i="53"/>
  <c r="E24" i="53"/>
  <c r="J24" i="53"/>
  <c r="K24" i="53"/>
  <c r="AH24" i="53" s="1"/>
  <c r="L12" i="64"/>
  <c r="L13" i="64"/>
  <c r="O13" i="64" s="1"/>
  <c r="P13" i="64" s="1"/>
  <c r="L14" i="64"/>
  <c r="O14" i="64" s="1"/>
  <c r="P14" i="64" s="1"/>
  <c r="L15" i="64"/>
  <c r="O15" i="64" s="1"/>
  <c r="P15" i="64" s="1"/>
  <c r="L16" i="64"/>
  <c r="O16" i="64" s="1"/>
  <c r="P16" i="64" s="1"/>
  <c r="L17" i="64"/>
  <c r="O17" i="64" s="1"/>
  <c r="P17" i="64" s="1"/>
  <c r="L18" i="64"/>
  <c r="O18" i="64" s="1"/>
  <c r="P18" i="64" s="1"/>
  <c r="L19" i="64"/>
  <c r="O19" i="64" s="1"/>
  <c r="P19" i="64" s="1"/>
  <c r="L20" i="64"/>
  <c r="O20" i="64" s="1"/>
  <c r="P20" i="64" s="1"/>
  <c r="L21" i="64"/>
  <c r="O21" i="64" s="1"/>
  <c r="P21" i="64" s="1"/>
  <c r="L22" i="64"/>
  <c r="O22" i="64" s="1"/>
  <c r="P22" i="64" s="1"/>
  <c r="L23" i="64"/>
  <c r="O23" i="64" s="1"/>
  <c r="P23" i="64" s="1"/>
  <c r="L24" i="64"/>
  <c r="O24" i="64" s="1"/>
  <c r="P24" i="64" s="1"/>
  <c r="L25" i="64"/>
  <c r="O25" i="64" s="1"/>
  <c r="P25" i="64" s="1"/>
  <c r="L26" i="64"/>
  <c r="O26" i="64" s="1"/>
  <c r="P26" i="64" s="1"/>
  <c r="L27" i="64"/>
  <c r="O27" i="64" s="1"/>
  <c r="P27" i="64" s="1"/>
  <c r="L28" i="64"/>
  <c r="O28" i="64" s="1"/>
  <c r="P28" i="64" s="1"/>
  <c r="L29" i="64"/>
  <c r="O29" i="64" s="1"/>
  <c r="P29" i="64" s="1"/>
  <c r="L30" i="64"/>
  <c r="O30" i="64" s="1"/>
  <c r="P30" i="64" s="1"/>
  <c r="L31" i="64"/>
  <c r="O31" i="64" s="1"/>
  <c r="P31" i="64" s="1"/>
  <c r="L32" i="64"/>
  <c r="O32" i="64" s="1"/>
  <c r="P32" i="64" s="1"/>
  <c r="L33" i="64"/>
  <c r="O33" i="64" s="1"/>
  <c r="P33" i="64" s="1"/>
  <c r="L34" i="64"/>
  <c r="O34" i="64" s="1"/>
  <c r="P34" i="64" s="1"/>
  <c r="L35" i="64"/>
  <c r="O35" i="64" s="1"/>
  <c r="P35" i="64" s="1"/>
  <c r="L36" i="64"/>
  <c r="O36" i="64" s="1"/>
  <c r="P36" i="64" s="1"/>
  <c r="L37" i="64"/>
  <c r="O37" i="64" s="1"/>
  <c r="P37" i="64" s="1"/>
  <c r="L38" i="64"/>
  <c r="O38" i="64" s="1"/>
  <c r="P38" i="64" s="1"/>
  <c r="L39" i="64"/>
  <c r="O39" i="64" s="1"/>
  <c r="P39" i="64" s="1"/>
  <c r="L40" i="64"/>
  <c r="O40" i="64" s="1"/>
  <c r="P40" i="64" s="1"/>
  <c r="L41" i="64"/>
  <c r="O41" i="64" s="1"/>
  <c r="P41" i="64" s="1"/>
  <c r="L42" i="64"/>
  <c r="O42" i="64" s="1"/>
  <c r="P42" i="64" s="1"/>
  <c r="L43" i="64"/>
  <c r="O43" i="64" s="1"/>
  <c r="P43" i="64" s="1"/>
  <c r="L44" i="64"/>
  <c r="O44" i="64" s="1"/>
  <c r="P44" i="64" s="1"/>
  <c r="L45" i="64"/>
  <c r="O45" i="64" s="1"/>
  <c r="P45" i="64" s="1"/>
  <c r="L46" i="64"/>
  <c r="O46" i="64" s="1"/>
  <c r="P46" i="64" s="1"/>
  <c r="L47" i="64"/>
  <c r="O47" i="64" s="1"/>
  <c r="P47" i="64" s="1"/>
  <c r="L48" i="64"/>
  <c r="O48" i="64" s="1"/>
  <c r="P48" i="64" s="1"/>
  <c r="L49" i="64"/>
  <c r="O49" i="64" s="1"/>
  <c r="P49" i="64" s="1"/>
  <c r="L50" i="64"/>
  <c r="O50" i="64" s="1"/>
  <c r="P50" i="64" s="1"/>
  <c r="L51" i="64"/>
  <c r="O51" i="64" s="1"/>
  <c r="P51" i="64" s="1"/>
  <c r="L52" i="64"/>
  <c r="O52" i="64" s="1"/>
  <c r="P52" i="64" s="1"/>
  <c r="L53" i="64"/>
  <c r="O53" i="64" s="1"/>
  <c r="P53" i="64" s="1"/>
  <c r="L54" i="64"/>
  <c r="O54" i="64" s="1"/>
  <c r="P54" i="64" s="1"/>
  <c r="L55" i="64"/>
  <c r="O55" i="64" s="1"/>
  <c r="P55" i="64" s="1"/>
  <c r="L56" i="64"/>
  <c r="O56" i="64" s="1"/>
  <c r="P56" i="64" s="1"/>
  <c r="L57" i="64"/>
  <c r="O57" i="64" s="1"/>
  <c r="P57" i="64" s="1"/>
  <c r="L58" i="64"/>
  <c r="O58" i="64" s="1"/>
  <c r="P58" i="64" s="1"/>
  <c r="L59" i="64"/>
  <c r="O59" i="64" s="1"/>
  <c r="P59" i="64" s="1"/>
  <c r="L60" i="64"/>
  <c r="O60" i="64" s="1"/>
  <c r="P60" i="64" s="1"/>
  <c r="L61" i="64"/>
  <c r="O61" i="64" s="1"/>
  <c r="P61" i="64" s="1"/>
  <c r="L62" i="64"/>
  <c r="O62" i="64" s="1"/>
  <c r="P62" i="64" s="1"/>
  <c r="L63" i="64"/>
  <c r="O63" i="64" s="1"/>
  <c r="P63" i="64" s="1"/>
  <c r="L64" i="64"/>
  <c r="O64" i="64" s="1"/>
  <c r="P64" i="64" s="1"/>
  <c r="L65" i="64"/>
  <c r="O65" i="64" s="1"/>
  <c r="P65" i="64" s="1"/>
  <c r="L66" i="64"/>
  <c r="O66" i="64" s="1"/>
  <c r="P66" i="64" s="1"/>
  <c r="L67" i="64"/>
  <c r="O67" i="64" s="1"/>
  <c r="P67" i="64" s="1"/>
  <c r="L68" i="64"/>
  <c r="O68" i="64" s="1"/>
  <c r="P68" i="64" s="1"/>
  <c r="L69" i="64"/>
  <c r="O69" i="64" s="1"/>
  <c r="P69" i="64" s="1"/>
  <c r="L70" i="64"/>
  <c r="O70" i="64" s="1"/>
  <c r="P70" i="64" s="1"/>
  <c r="L71" i="64"/>
  <c r="O71" i="64" s="1"/>
  <c r="P71" i="64" s="1"/>
  <c r="L72" i="64"/>
  <c r="O72" i="64" s="1"/>
  <c r="P72" i="64" s="1"/>
  <c r="L73" i="64"/>
  <c r="O73" i="64" s="1"/>
  <c r="P73" i="64" s="1"/>
  <c r="L74" i="64"/>
  <c r="O74" i="64" s="1"/>
  <c r="P74" i="64" s="1"/>
  <c r="L75" i="64"/>
  <c r="O75" i="64" s="1"/>
  <c r="P75" i="64" s="1"/>
  <c r="L76" i="64"/>
  <c r="O76" i="64" s="1"/>
  <c r="P76" i="64" s="1"/>
  <c r="L77" i="64"/>
  <c r="O77" i="64" s="1"/>
  <c r="P77" i="64" s="1"/>
  <c r="L78" i="64"/>
  <c r="O78" i="64" s="1"/>
  <c r="P78" i="64" s="1"/>
  <c r="L79" i="64"/>
  <c r="O79" i="64" s="1"/>
  <c r="P79" i="64" s="1"/>
  <c r="L80" i="64"/>
  <c r="O80" i="64" s="1"/>
  <c r="P80" i="64" s="1"/>
  <c r="L81" i="64"/>
  <c r="O81" i="64" s="1"/>
  <c r="P81" i="64" s="1"/>
  <c r="L82" i="64"/>
  <c r="O82" i="64" s="1"/>
  <c r="P82" i="64" s="1"/>
  <c r="L83" i="64"/>
  <c r="O83" i="64" s="1"/>
  <c r="P83" i="64" s="1"/>
  <c r="L84" i="64"/>
  <c r="O84" i="64" s="1"/>
  <c r="P84" i="64" s="1"/>
  <c r="L85" i="64"/>
  <c r="O85" i="64" s="1"/>
  <c r="P85" i="64" s="1"/>
  <c r="L86" i="64"/>
  <c r="O86" i="64" s="1"/>
  <c r="P86" i="64" s="1"/>
  <c r="L87" i="64"/>
  <c r="O87" i="64" s="1"/>
  <c r="P87" i="64" s="1"/>
  <c r="L88" i="64"/>
  <c r="O88" i="64" s="1"/>
  <c r="P88" i="64" s="1"/>
  <c r="L89" i="64"/>
  <c r="O89" i="64" s="1"/>
  <c r="P89" i="64" s="1"/>
  <c r="L90" i="64"/>
  <c r="O90" i="64" s="1"/>
  <c r="P90" i="64" s="1"/>
  <c r="L91" i="64"/>
  <c r="O91" i="64" s="1"/>
  <c r="P91" i="64" s="1"/>
  <c r="L92" i="64"/>
  <c r="O92" i="64" s="1"/>
  <c r="P92" i="64" s="1"/>
  <c r="L93" i="64"/>
  <c r="O93" i="64" s="1"/>
  <c r="P93" i="64" s="1"/>
  <c r="L94" i="64"/>
  <c r="O94" i="64" s="1"/>
  <c r="P94" i="64" s="1"/>
  <c r="L95" i="64"/>
  <c r="O95" i="64" s="1"/>
  <c r="P95" i="64" s="1"/>
  <c r="L96" i="64"/>
  <c r="O96" i="64" s="1"/>
  <c r="P96" i="64" s="1"/>
  <c r="L97" i="64"/>
  <c r="O97" i="64" s="1"/>
  <c r="P97" i="64" s="1"/>
  <c r="L98" i="64"/>
  <c r="O98" i="64" s="1"/>
  <c r="P98" i="64" s="1"/>
  <c r="L99" i="64"/>
  <c r="O99" i="64" s="1"/>
  <c r="P99" i="64" s="1"/>
  <c r="L100" i="64"/>
  <c r="O100" i="64" s="1"/>
  <c r="P100" i="64" s="1"/>
  <c r="L101" i="64"/>
  <c r="O101" i="64" s="1"/>
  <c r="P101" i="64" s="1"/>
  <c r="L102" i="64"/>
  <c r="O102" i="64" s="1"/>
  <c r="P102" i="64" s="1"/>
  <c r="L103" i="64"/>
  <c r="O103" i="64" s="1"/>
  <c r="P103" i="64" s="1"/>
  <c r="L104" i="64"/>
  <c r="O104" i="64" s="1"/>
  <c r="P104" i="64" s="1"/>
  <c r="L105" i="64"/>
  <c r="O105" i="64" s="1"/>
  <c r="P105" i="64" s="1"/>
  <c r="L106" i="64"/>
  <c r="O106" i="64" s="1"/>
  <c r="P106" i="64" s="1"/>
  <c r="L107" i="64"/>
  <c r="O107" i="64" s="1"/>
  <c r="P107" i="64" s="1"/>
  <c r="L108" i="64"/>
  <c r="O108" i="64" s="1"/>
  <c r="P108" i="64" s="1"/>
  <c r="L109" i="64"/>
  <c r="O109" i="64" s="1"/>
  <c r="P109" i="64" s="1"/>
  <c r="L110" i="64"/>
  <c r="O110" i="64" s="1"/>
  <c r="P110" i="64" s="1"/>
  <c r="L111" i="64"/>
  <c r="O111" i="64" s="1"/>
  <c r="P111" i="64" s="1"/>
  <c r="L112" i="64"/>
  <c r="O112" i="64" s="1"/>
  <c r="P112" i="64" s="1"/>
  <c r="L113" i="64"/>
  <c r="O113" i="64" s="1"/>
  <c r="P113" i="64" s="1"/>
  <c r="L114" i="64"/>
  <c r="O114" i="64" s="1"/>
  <c r="P114" i="64" s="1"/>
  <c r="L115" i="64"/>
  <c r="O115" i="64" s="1"/>
  <c r="P115" i="64" s="1"/>
  <c r="L116" i="64"/>
  <c r="O116" i="64" s="1"/>
  <c r="P116" i="64" s="1"/>
  <c r="L117" i="64"/>
  <c r="O117" i="64" s="1"/>
  <c r="P117" i="64" s="1"/>
  <c r="L118" i="64"/>
  <c r="O118" i="64" s="1"/>
  <c r="P118" i="64" s="1"/>
  <c r="L119" i="64"/>
  <c r="O119" i="64" s="1"/>
  <c r="P119" i="64" s="1"/>
  <c r="L120" i="64"/>
  <c r="O120" i="64" s="1"/>
  <c r="P120" i="64" s="1"/>
  <c r="L121" i="64"/>
  <c r="O121" i="64" s="1"/>
  <c r="P121" i="64" s="1"/>
  <c r="L122" i="64"/>
  <c r="O122" i="64" s="1"/>
  <c r="P122" i="64" s="1"/>
  <c r="L123" i="64"/>
  <c r="O123" i="64" s="1"/>
  <c r="P123" i="64" s="1"/>
  <c r="L124" i="64"/>
  <c r="O124" i="64" s="1"/>
  <c r="P124" i="64" s="1"/>
  <c r="L125" i="64"/>
  <c r="O125" i="64" s="1"/>
  <c r="P125" i="64" s="1"/>
  <c r="L126" i="64"/>
  <c r="O126" i="64" s="1"/>
  <c r="P126" i="64" s="1"/>
  <c r="L127" i="64"/>
  <c r="O127" i="64" s="1"/>
  <c r="P127" i="64" s="1"/>
  <c r="L128" i="64"/>
  <c r="O128" i="64" s="1"/>
  <c r="P128" i="64" s="1"/>
  <c r="L129" i="64"/>
  <c r="O129" i="64" s="1"/>
  <c r="P129" i="64" s="1"/>
  <c r="L130" i="64"/>
  <c r="O130" i="64" s="1"/>
  <c r="P130" i="64" s="1"/>
  <c r="L131" i="64"/>
  <c r="O131" i="64" s="1"/>
  <c r="P131" i="64" s="1"/>
  <c r="L132" i="64"/>
  <c r="O132" i="64" s="1"/>
  <c r="P132" i="64" s="1"/>
  <c r="L133" i="64"/>
  <c r="O133" i="64" s="1"/>
  <c r="P133" i="64" s="1"/>
  <c r="L134" i="64"/>
  <c r="O134" i="64" s="1"/>
  <c r="P134" i="64" s="1"/>
  <c r="L135" i="64"/>
  <c r="O135" i="64" s="1"/>
  <c r="P135" i="64" s="1"/>
  <c r="L136" i="64"/>
  <c r="O136" i="64" s="1"/>
  <c r="P136" i="64" s="1"/>
  <c r="L137" i="64"/>
  <c r="O137" i="64" s="1"/>
  <c r="P137" i="64" s="1"/>
  <c r="L138" i="64"/>
  <c r="O138" i="64" s="1"/>
  <c r="P138" i="64" s="1"/>
  <c r="L139" i="64"/>
  <c r="O139" i="64" s="1"/>
  <c r="P139" i="64" s="1"/>
  <c r="L140" i="64"/>
  <c r="O140" i="64" s="1"/>
  <c r="P140" i="64" s="1"/>
  <c r="L141" i="64"/>
  <c r="O141" i="64" s="1"/>
  <c r="P141" i="64" s="1"/>
  <c r="L142" i="64"/>
  <c r="O142" i="64" s="1"/>
  <c r="P142" i="64" s="1"/>
  <c r="L143" i="64"/>
  <c r="O143" i="64" s="1"/>
  <c r="P143" i="64" s="1"/>
  <c r="L144" i="64"/>
  <c r="O144" i="64" s="1"/>
  <c r="P144" i="64" s="1"/>
  <c r="L145" i="64"/>
  <c r="O145" i="64" s="1"/>
  <c r="P145" i="64" s="1"/>
  <c r="L146" i="64"/>
  <c r="O146" i="64" s="1"/>
  <c r="P146" i="64" s="1"/>
  <c r="L147" i="64"/>
  <c r="O147" i="64" s="1"/>
  <c r="P147" i="64" s="1"/>
  <c r="L148" i="64"/>
  <c r="O148" i="64" s="1"/>
  <c r="P148" i="64" s="1"/>
  <c r="L149" i="64"/>
  <c r="O149" i="64" s="1"/>
  <c r="P149" i="64" s="1"/>
  <c r="L150" i="64"/>
  <c r="O150" i="64" s="1"/>
  <c r="P150" i="64" s="1"/>
  <c r="L151" i="64"/>
  <c r="O151" i="64" s="1"/>
  <c r="P151" i="64" s="1"/>
  <c r="L152" i="64"/>
  <c r="O152" i="64" s="1"/>
  <c r="P152" i="64" s="1"/>
  <c r="L153" i="64"/>
  <c r="O153" i="64" s="1"/>
  <c r="P153" i="64" s="1"/>
  <c r="L154" i="64"/>
  <c r="O154" i="64" s="1"/>
  <c r="P154" i="64" s="1"/>
  <c r="L155" i="64"/>
  <c r="O155" i="64" s="1"/>
  <c r="P155" i="64" s="1"/>
  <c r="L156" i="64"/>
  <c r="O156" i="64" s="1"/>
  <c r="P156" i="64" s="1"/>
  <c r="L157" i="64"/>
  <c r="O157" i="64" s="1"/>
  <c r="P157" i="64" s="1"/>
  <c r="L158" i="64"/>
  <c r="O158" i="64" s="1"/>
  <c r="P158" i="64" s="1"/>
  <c r="L159" i="64"/>
  <c r="O159" i="64" s="1"/>
  <c r="P159" i="64" s="1"/>
  <c r="L160" i="64"/>
  <c r="O160" i="64" s="1"/>
  <c r="P160" i="64" s="1"/>
  <c r="L161" i="64"/>
  <c r="O161" i="64" s="1"/>
  <c r="P161" i="64" s="1"/>
  <c r="L162" i="64"/>
  <c r="O162" i="64" s="1"/>
  <c r="P162" i="64" s="1"/>
  <c r="L163" i="64"/>
  <c r="O163" i="64" s="1"/>
  <c r="P163" i="64" s="1"/>
  <c r="L164" i="64"/>
  <c r="O164" i="64" s="1"/>
  <c r="P164" i="64" s="1"/>
  <c r="L165" i="64"/>
  <c r="O165" i="64" s="1"/>
  <c r="P165" i="64" s="1"/>
  <c r="L166" i="64"/>
  <c r="O166" i="64" s="1"/>
  <c r="P166" i="64" s="1"/>
  <c r="L167" i="64"/>
  <c r="O167" i="64" s="1"/>
  <c r="P167" i="64" s="1"/>
  <c r="L168" i="64"/>
  <c r="O168" i="64" s="1"/>
  <c r="P168" i="64" s="1"/>
  <c r="L169" i="64"/>
  <c r="O169" i="64" s="1"/>
  <c r="P169" i="64" s="1"/>
  <c r="L170" i="64"/>
  <c r="O170" i="64" s="1"/>
  <c r="P170" i="64" s="1"/>
  <c r="L171" i="64"/>
  <c r="O171" i="64" s="1"/>
  <c r="P171" i="64" s="1"/>
  <c r="L172" i="64"/>
  <c r="O172" i="64" s="1"/>
  <c r="P172" i="64" s="1"/>
  <c r="L173" i="64"/>
  <c r="O173" i="64" s="1"/>
  <c r="P173" i="64" s="1"/>
  <c r="L174" i="64"/>
  <c r="O174" i="64" s="1"/>
  <c r="P174" i="64" s="1"/>
  <c r="L175" i="64"/>
  <c r="O175" i="64" s="1"/>
  <c r="P175" i="64" s="1"/>
  <c r="L176" i="64"/>
  <c r="O176" i="64" s="1"/>
  <c r="P176" i="64" s="1"/>
  <c r="L177" i="64"/>
  <c r="O177" i="64" s="1"/>
  <c r="P177" i="64" s="1"/>
  <c r="L178" i="64"/>
  <c r="O178" i="64" s="1"/>
  <c r="P178" i="64" s="1"/>
  <c r="L179" i="64"/>
  <c r="O179" i="64" s="1"/>
  <c r="P179" i="64" s="1"/>
  <c r="L180" i="64"/>
  <c r="O180" i="64" s="1"/>
  <c r="P180" i="64" s="1"/>
  <c r="L181" i="64"/>
  <c r="O181" i="64" s="1"/>
  <c r="P181" i="64" s="1"/>
  <c r="L182" i="64"/>
  <c r="O182" i="64" s="1"/>
  <c r="P182" i="64" s="1"/>
  <c r="L183" i="64"/>
  <c r="O183" i="64" s="1"/>
  <c r="P183" i="64" s="1"/>
  <c r="L184" i="64"/>
  <c r="O184" i="64" s="1"/>
  <c r="P184" i="64" s="1"/>
  <c r="L185" i="64"/>
  <c r="O185" i="64" s="1"/>
  <c r="P185" i="64" s="1"/>
  <c r="L186" i="64"/>
  <c r="O186" i="64" s="1"/>
  <c r="P186" i="64" s="1"/>
  <c r="L187" i="64"/>
  <c r="O187" i="64" s="1"/>
  <c r="P187" i="64" s="1"/>
  <c r="L188" i="64"/>
  <c r="O188" i="64" s="1"/>
  <c r="P188" i="64" s="1"/>
  <c r="L189" i="64"/>
  <c r="O189" i="64" s="1"/>
  <c r="P189" i="64" s="1"/>
  <c r="L190" i="64"/>
  <c r="O190" i="64" s="1"/>
  <c r="P190" i="64" s="1"/>
  <c r="L191" i="64"/>
  <c r="O191" i="64" s="1"/>
  <c r="P191" i="64" s="1"/>
  <c r="L192" i="64"/>
  <c r="O192" i="64" s="1"/>
  <c r="P192" i="64" s="1"/>
  <c r="L193" i="64"/>
  <c r="O193" i="64" s="1"/>
  <c r="P193" i="64" s="1"/>
  <c r="L194" i="64"/>
  <c r="O194" i="64" s="1"/>
  <c r="P194" i="64" s="1"/>
  <c r="L195" i="64"/>
  <c r="O195" i="64" s="1"/>
  <c r="P195" i="64" s="1"/>
  <c r="L196" i="64"/>
  <c r="O196" i="64" s="1"/>
  <c r="P196" i="64" s="1"/>
  <c r="L197" i="64"/>
  <c r="O197" i="64" s="1"/>
  <c r="P197" i="64" s="1"/>
  <c r="L198" i="64"/>
  <c r="O198" i="64" s="1"/>
  <c r="P198" i="64" s="1"/>
  <c r="L199" i="64"/>
  <c r="O199" i="64" s="1"/>
  <c r="P199" i="64" s="1"/>
  <c r="L200" i="64"/>
  <c r="O200" i="64" s="1"/>
  <c r="P200" i="64" s="1"/>
  <c r="L201" i="64"/>
  <c r="O201" i="64" s="1"/>
  <c r="P201" i="64" s="1"/>
  <c r="L202" i="64"/>
  <c r="O202" i="64" s="1"/>
  <c r="P202" i="64" s="1"/>
  <c r="L203" i="64"/>
  <c r="O203" i="64" s="1"/>
  <c r="P203" i="64" s="1"/>
  <c r="L204" i="64"/>
  <c r="O204" i="64" s="1"/>
  <c r="P204" i="64" s="1"/>
  <c r="L205" i="64"/>
  <c r="O205" i="64" s="1"/>
  <c r="P205" i="64" s="1"/>
  <c r="L206" i="64"/>
  <c r="O206" i="64" s="1"/>
  <c r="P206" i="64" s="1"/>
  <c r="L207" i="64"/>
  <c r="O207" i="64" s="1"/>
  <c r="P207" i="64" s="1"/>
  <c r="L208" i="64"/>
  <c r="O208" i="64" s="1"/>
  <c r="P208" i="64" s="1"/>
  <c r="L209" i="64"/>
  <c r="O209" i="64" s="1"/>
  <c r="P209" i="64" s="1"/>
  <c r="L210" i="64"/>
  <c r="O210" i="64" s="1"/>
  <c r="P210" i="64" s="1"/>
  <c r="L211" i="64"/>
  <c r="O211" i="64" s="1"/>
  <c r="P211" i="64" s="1"/>
  <c r="L212" i="64"/>
  <c r="O212" i="64" s="1"/>
  <c r="P212" i="64" s="1"/>
  <c r="L213" i="64"/>
  <c r="O213" i="64" s="1"/>
  <c r="P213" i="64" s="1"/>
  <c r="L214" i="64"/>
  <c r="O214" i="64" s="1"/>
  <c r="P214" i="64" s="1"/>
  <c r="L215" i="64"/>
  <c r="O215" i="64" s="1"/>
  <c r="P215" i="64" s="1"/>
  <c r="L216" i="64"/>
  <c r="O216" i="64" s="1"/>
  <c r="P216" i="64" s="1"/>
  <c r="L217" i="64"/>
  <c r="O217" i="64" s="1"/>
  <c r="P217" i="64" s="1"/>
  <c r="L218" i="64"/>
  <c r="O218" i="64" s="1"/>
  <c r="P218" i="64" s="1"/>
  <c r="L219" i="64"/>
  <c r="O219" i="64" s="1"/>
  <c r="P219" i="64" s="1"/>
  <c r="L220" i="64"/>
  <c r="O220" i="64" s="1"/>
  <c r="P220" i="64" s="1"/>
  <c r="L221" i="64"/>
  <c r="O221" i="64" s="1"/>
  <c r="P221" i="64" s="1"/>
  <c r="L222" i="64"/>
  <c r="O222" i="64" s="1"/>
  <c r="P222" i="64" s="1"/>
  <c r="L223" i="64"/>
  <c r="O223" i="64" s="1"/>
  <c r="P223" i="64" s="1"/>
  <c r="L224" i="64"/>
  <c r="O224" i="64" s="1"/>
  <c r="P224" i="64" s="1"/>
  <c r="L225" i="64"/>
  <c r="O225" i="64" s="1"/>
  <c r="P225" i="64" s="1"/>
  <c r="L226" i="64"/>
  <c r="O226" i="64" s="1"/>
  <c r="P226" i="64" s="1"/>
  <c r="L227" i="64"/>
  <c r="O227" i="64" s="1"/>
  <c r="P227" i="64" s="1"/>
  <c r="L228" i="64"/>
  <c r="O228" i="64" s="1"/>
  <c r="P228" i="64" s="1"/>
  <c r="L229" i="64"/>
  <c r="O229" i="64" s="1"/>
  <c r="P229" i="64" s="1"/>
  <c r="L230" i="64"/>
  <c r="O230" i="64" s="1"/>
  <c r="P230" i="64" s="1"/>
  <c r="L231" i="64"/>
  <c r="O231" i="64" s="1"/>
  <c r="P231" i="64" s="1"/>
  <c r="L232" i="64"/>
  <c r="O232" i="64" s="1"/>
  <c r="P232" i="64" s="1"/>
  <c r="L233" i="64"/>
  <c r="O233" i="64" s="1"/>
  <c r="P233" i="64" s="1"/>
  <c r="L234" i="64"/>
  <c r="O234" i="64" s="1"/>
  <c r="P234" i="64" s="1"/>
  <c r="L235" i="64"/>
  <c r="O235" i="64" s="1"/>
  <c r="P235" i="64" s="1"/>
  <c r="L236" i="64"/>
  <c r="O236" i="64" s="1"/>
  <c r="P236" i="64" s="1"/>
  <c r="L237" i="64"/>
  <c r="O237" i="64" s="1"/>
  <c r="P237" i="64" s="1"/>
  <c r="L238" i="64"/>
  <c r="O238" i="64" s="1"/>
  <c r="P238" i="64" s="1"/>
  <c r="L239" i="64"/>
  <c r="O239" i="64" s="1"/>
  <c r="P239" i="64" s="1"/>
  <c r="L240" i="64"/>
  <c r="O240" i="64" s="1"/>
  <c r="P240" i="64" s="1"/>
  <c r="L241" i="64"/>
  <c r="O241" i="64" s="1"/>
  <c r="P241" i="64" s="1"/>
  <c r="L242" i="64"/>
  <c r="O242" i="64" s="1"/>
  <c r="P242" i="64" s="1"/>
  <c r="L243" i="64"/>
  <c r="O243" i="64" s="1"/>
  <c r="P243" i="64" s="1"/>
  <c r="L244" i="64"/>
  <c r="O244" i="64" s="1"/>
  <c r="P244" i="64" s="1"/>
  <c r="L245" i="64"/>
  <c r="O245" i="64" s="1"/>
  <c r="P245" i="64" s="1"/>
  <c r="L246" i="64"/>
  <c r="O246" i="64" s="1"/>
  <c r="P246" i="64" s="1"/>
  <c r="L247" i="64"/>
  <c r="O247" i="64" s="1"/>
  <c r="P247" i="64" s="1"/>
  <c r="L248" i="64"/>
  <c r="O248" i="64" s="1"/>
  <c r="P248" i="64" s="1"/>
  <c r="L249" i="64"/>
  <c r="O249" i="64" s="1"/>
  <c r="P249" i="64" s="1"/>
  <c r="L250" i="64"/>
  <c r="O250" i="64" s="1"/>
  <c r="P250" i="64" s="1"/>
  <c r="L251" i="64"/>
  <c r="O251" i="64" s="1"/>
  <c r="P251" i="64" s="1"/>
  <c r="L252" i="64"/>
  <c r="O252" i="64" s="1"/>
  <c r="P252" i="64" s="1"/>
  <c r="L253" i="64"/>
  <c r="O253" i="64" s="1"/>
  <c r="P253" i="64" s="1"/>
  <c r="L254" i="64"/>
  <c r="O254" i="64" s="1"/>
  <c r="P254" i="64" s="1"/>
  <c r="L255" i="64"/>
  <c r="O255" i="64" s="1"/>
  <c r="P255" i="64" s="1"/>
  <c r="L256" i="64"/>
  <c r="O256" i="64" s="1"/>
  <c r="P256" i="64" s="1"/>
  <c r="L257" i="64"/>
  <c r="O257" i="64" s="1"/>
  <c r="P257" i="64" s="1"/>
  <c r="AF22" i="53" l="1"/>
  <c r="AA22" i="53"/>
  <c r="AA21" i="53"/>
  <c r="X23" i="53"/>
  <c r="AB23" i="53" s="1"/>
  <c r="AC25" i="53"/>
  <c r="O25" i="53"/>
  <c r="N25" i="53"/>
  <c r="O12" i="64"/>
  <c r="P12" i="64" s="1"/>
  <c r="AG23" i="53"/>
  <c r="Q16" i="64"/>
  <c r="Q15" i="64"/>
  <c r="Q14" i="64"/>
  <c r="Q13" i="64"/>
  <c r="Q257" i="64"/>
  <c r="T257" i="64"/>
  <c r="Q249" i="64"/>
  <c r="T249" i="64"/>
  <c r="Q241" i="64"/>
  <c r="T241" i="64"/>
  <c r="Q233" i="64"/>
  <c r="T233" i="64"/>
  <c r="Q225" i="64"/>
  <c r="T225" i="64"/>
  <c r="Q217" i="64"/>
  <c r="T217" i="64"/>
  <c r="Q209" i="64"/>
  <c r="T209" i="64"/>
  <c r="Q201" i="64"/>
  <c r="T201" i="64"/>
  <c r="Q193" i="64"/>
  <c r="T193" i="64"/>
  <c r="Q185" i="64"/>
  <c r="T185" i="64"/>
  <c r="Q177" i="64"/>
  <c r="T177" i="64"/>
  <c r="Q169" i="64"/>
  <c r="T169" i="64"/>
  <c r="Q161" i="64"/>
  <c r="T161" i="64"/>
  <c r="Q153" i="64"/>
  <c r="T153" i="64"/>
  <c r="Q145" i="64"/>
  <c r="T145" i="64"/>
  <c r="Q137" i="64"/>
  <c r="T137" i="64"/>
  <c r="Q129" i="64"/>
  <c r="T129" i="64"/>
  <c r="Q121" i="64"/>
  <c r="T121" i="64"/>
  <c r="Q113" i="64"/>
  <c r="T113" i="64"/>
  <c r="Q105" i="64"/>
  <c r="T105" i="64"/>
  <c r="Q97" i="64"/>
  <c r="T97" i="64"/>
  <c r="Q89" i="64"/>
  <c r="T89" i="64"/>
  <c r="Q81" i="64"/>
  <c r="T81" i="64"/>
  <c r="Q73" i="64"/>
  <c r="T73" i="64"/>
  <c r="Q65" i="64"/>
  <c r="T65" i="64"/>
  <c r="Q57" i="64"/>
  <c r="T57" i="64"/>
  <c r="Q49" i="64"/>
  <c r="T49" i="64"/>
  <c r="Q41" i="64"/>
  <c r="T41" i="64"/>
  <c r="Q33" i="64"/>
  <c r="T33" i="64"/>
  <c r="Q25" i="64"/>
  <c r="T25" i="64"/>
  <c r="Q17" i="64"/>
  <c r="Q256" i="64"/>
  <c r="T256" i="64"/>
  <c r="Q248" i="64"/>
  <c r="T248" i="64"/>
  <c r="Q240" i="64"/>
  <c r="T240" i="64"/>
  <c r="Q232" i="64"/>
  <c r="T232" i="64"/>
  <c r="Q224" i="64"/>
  <c r="T224" i="64"/>
  <c r="Q216" i="64"/>
  <c r="T216" i="64"/>
  <c r="Q208" i="64"/>
  <c r="T208" i="64"/>
  <c r="Q200" i="64"/>
  <c r="T200" i="64"/>
  <c r="Q192" i="64"/>
  <c r="T192" i="64"/>
  <c r="Q184" i="64"/>
  <c r="T184" i="64"/>
  <c r="Q176" i="64"/>
  <c r="T176" i="64"/>
  <c r="Q168" i="64"/>
  <c r="T168" i="64"/>
  <c r="Q160" i="64"/>
  <c r="T160" i="64"/>
  <c r="Q152" i="64"/>
  <c r="T152" i="64"/>
  <c r="Q144" i="64"/>
  <c r="T144" i="64"/>
  <c r="Q136" i="64"/>
  <c r="T136" i="64"/>
  <c r="Q128" i="64"/>
  <c r="T128" i="64"/>
  <c r="Q120" i="64"/>
  <c r="T120" i="64"/>
  <c r="Q112" i="64"/>
  <c r="T112" i="64"/>
  <c r="Q104" i="64"/>
  <c r="T104" i="64"/>
  <c r="Q96" i="64"/>
  <c r="T96" i="64"/>
  <c r="Q88" i="64"/>
  <c r="T88" i="64"/>
  <c r="Q80" i="64"/>
  <c r="T80" i="64"/>
  <c r="Q72" i="64"/>
  <c r="T72" i="64"/>
  <c r="Q64" i="64"/>
  <c r="T64" i="64"/>
  <c r="Q56" i="64"/>
  <c r="T56" i="64"/>
  <c r="Q48" i="64"/>
  <c r="T48" i="64"/>
  <c r="Q40" i="64"/>
  <c r="T40" i="64"/>
  <c r="Q32" i="64"/>
  <c r="T32" i="64"/>
  <c r="Q24" i="64"/>
  <c r="T24" i="64"/>
  <c r="Q255" i="64"/>
  <c r="T255" i="64"/>
  <c r="Q247" i="64"/>
  <c r="T247" i="64"/>
  <c r="Q239" i="64"/>
  <c r="T239" i="64"/>
  <c r="Q231" i="64"/>
  <c r="T231" i="64"/>
  <c r="Q223" i="64"/>
  <c r="T223" i="64"/>
  <c r="Q215" i="64"/>
  <c r="T215" i="64"/>
  <c r="Q207" i="64"/>
  <c r="T207" i="64"/>
  <c r="Q199" i="64"/>
  <c r="T199" i="64"/>
  <c r="Q191" i="64"/>
  <c r="T191" i="64"/>
  <c r="Q183" i="64"/>
  <c r="T183" i="64"/>
  <c r="Q175" i="64"/>
  <c r="T175" i="64"/>
  <c r="Q167" i="64"/>
  <c r="T167" i="64"/>
  <c r="Q159" i="64"/>
  <c r="T159" i="64"/>
  <c r="Q151" i="64"/>
  <c r="T151" i="64"/>
  <c r="Q143" i="64"/>
  <c r="T143" i="64"/>
  <c r="Q135" i="64"/>
  <c r="T135" i="64"/>
  <c r="Q127" i="64"/>
  <c r="T127" i="64"/>
  <c r="Q119" i="64"/>
  <c r="T119" i="64"/>
  <c r="Q111" i="64"/>
  <c r="T111" i="64"/>
  <c r="Q103" i="64"/>
  <c r="T103" i="64"/>
  <c r="Q95" i="64"/>
  <c r="T95" i="64"/>
  <c r="Q87" i="64"/>
  <c r="T87" i="64"/>
  <c r="Q79" i="64"/>
  <c r="T79" i="64"/>
  <c r="Q71" i="64"/>
  <c r="T71" i="64"/>
  <c r="Q63" i="64"/>
  <c r="T63" i="64"/>
  <c r="Q55" i="64"/>
  <c r="T55" i="64"/>
  <c r="Q47" i="64"/>
  <c r="T47" i="64"/>
  <c r="Q39" i="64"/>
  <c r="T39" i="64"/>
  <c r="Q31" i="64"/>
  <c r="T31" i="64"/>
  <c r="Q23" i="64"/>
  <c r="T23" i="64"/>
  <c r="Q254" i="64"/>
  <c r="T254" i="64"/>
  <c r="Q246" i="64"/>
  <c r="T246" i="64"/>
  <c r="Q238" i="64"/>
  <c r="T238" i="64"/>
  <c r="Q230" i="64"/>
  <c r="T230" i="64"/>
  <c r="Q222" i="64"/>
  <c r="T222" i="64"/>
  <c r="Q214" i="64"/>
  <c r="T214" i="64"/>
  <c r="Q206" i="64"/>
  <c r="T206" i="64"/>
  <c r="Q198" i="64"/>
  <c r="T198" i="64"/>
  <c r="Q190" i="64"/>
  <c r="T190" i="64"/>
  <c r="Q182" i="64"/>
  <c r="T182" i="64"/>
  <c r="Q174" i="64"/>
  <c r="T174" i="64"/>
  <c r="Q166" i="64"/>
  <c r="T166" i="64"/>
  <c r="Q158" i="64"/>
  <c r="T158" i="64"/>
  <c r="Q150" i="64"/>
  <c r="T150" i="64"/>
  <c r="Q142" i="64"/>
  <c r="T142" i="64"/>
  <c r="Q134" i="64"/>
  <c r="T134" i="64"/>
  <c r="Q126" i="64"/>
  <c r="T126" i="64"/>
  <c r="Q118" i="64"/>
  <c r="T118" i="64"/>
  <c r="Q110" i="64"/>
  <c r="T110" i="64"/>
  <c r="Q102" i="64"/>
  <c r="T102" i="64"/>
  <c r="Q94" i="64"/>
  <c r="T94" i="64"/>
  <c r="Q86" i="64"/>
  <c r="T86" i="64"/>
  <c r="Q78" i="64"/>
  <c r="T78" i="64"/>
  <c r="Q70" i="64"/>
  <c r="T70" i="64"/>
  <c r="Q62" i="64"/>
  <c r="T62" i="64"/>
  <c r="Q54" i="64"/>
  <c r="T54" i="64"/>
  <c r="Q46" i="64"/>
  <c r="T46" i="64"/>
  <c r="Q38" i="64"/>
  <c r="T38" i="64"/>
  <c r="Q30" i="64"/>
  <c r="T30" i="64"/>
  <c r="Q22" i="64"/>
  <c r="T22" i="64"/>
  <c r="Q253" i="64"/>
  <c r="T253" i="64"/>
  <c r="Q245" i="64"/>
  <c r="T245" i="64"/>
  <c r="Q237" i="64"/>
  <c r="T237" i="64"/>
  <c r="Q229" i="64"/>
  <c r="T229" i="64"/>
  <c r="Q221" i="64"/>
  <c r="T221" i="64"/>
  <c r="Q213" i="64"/>
  <c r="T213" i="64"/>
  <c r="Q205" i="64"/>
  <c r="T205" i="64"/>
  <c r="Q197" i="64"/>
  <c r="T197" i="64"/>
  <c r="Q189" i="64"/>
  <c r="T189" i="64"/>
  <c r="Q181" i="64"/>
  <c r="T181" i="64"/>
  <c r="Q173" i="64"/>
  <c r="T173" i="64"/>
  <c r="Q165" i="64"/>
  <c r="T165" i="64"/>
  <c r="Q157" i="64"/>
  <c r="T157" i="64"/>
  <c r="Q149" i="64"/>
  <c r="T149" i="64"/>
  <c r="Q141" i="64"/>
  <c r="T141" i="64"/>
  <c r="Q133" i="64"/>
  <c r="T133" i="64"/>
  <c r="Q125" i="64"/>
  <c r="T125" i="64"/>
  <c r="Q117" i="64"/>
  <c r="T117" i="64"/>
  <c r="Q109" i="64"/>
  <c r="T109" i="64"/>
  <c r="Q101" i="64"/>
  <c r="T101" i="64"/>
  <c r="Q93" i="64"/>
  <c r="T93" i="64"/>
  <c r="Q85" i="64"/>
  <c r="T85" i="64"/>
  <c r="Q77" i="64"/>
  <c r="T77" i="64"/>
  <c r="Q69" i="64"/>
  <c r="T69" i="64"/>
  <c r="Q61" i="64"/>
  <c r="T61" i="64"/>
  <c r="Q53" i="64"/>
  <c r="T53" i="64"/>
  <c r="Q45" i="64"/>
  <c r="T45" i="64"/>
  <c r="Q37" i="64"/>
  <c r="T37" i="64"/>
  <c r="Q29" i="64"/>
  <c r="T29" i="64"/>
  <c r="Q21" i="64"/>
  <c r="Q252" i="64"/>
  <c r="T252" i="64"/>
  <c r="Q244" i="64"/>
  <c r="T244" i="64"/>
  <c r="Q236" i="64"/>
  <c r="T236" i="64"/>
  <c r="Q228" i="64"/>
  <c r="T228" i="64"/>
  <c r="Q220" i="64"/>
  <c r="T220" i="64"/>
  <c r="Q212" i="64"/>
  <c r="T212" i="64"/>
  <c r="Q204" i="64"/>
  <c r="T204" i="64"/>
  <c r="Q196" i="64"/>
  <c r="T196" i="64"/>
  <c r="Q188" i="64"/>
  <c r="T188" i="64"/>
  <c r="Q180" i="64"/>
  <c r="T180" i="64"/>
  <c r="Q172" i="64"/>
  <c r="T172" i="64"/>
  <c r="Q164" i="64"/>
  <c r="T164" i="64"/>
  <c r="Q156" i="64"/>
  <c r="T156" i="64"/>
  <c r="Q148" i="64"/>
  <c r="T148" i="64"/>
  <c r="Q140" i="64"/>
  <c r="T140" i="64"/>
  <c r="Q132" i="64"/>
  <c r="T132" i="64"/>
  <c r="Q124" i="64"/>
  <c r="T124" i="64"/>
  <c r="Q116" i="64"/>
  <c r="T116" i="64"/>
  <c r="Q108" i="64"/>
  <c r="T108" i="64"/>
  <c r="Q100" i="64"/>
  <c r="T100" i="64"/>
  <c r="Q92" i="64"/>
  <c r="T92" i="64"/>
  <c r="Q84" i="64"/>
  <c r="T84" i="64"/>
  <c r="Q76" i="64"/>
  <c r="T76" i="64"/>
  <c r="Q68" i="64"/>
  <c r="T68" i="64"/>
  <c r="Q60" i="64"/>
  <c r="T60" i="64"/>
  <c r="Q52" i="64"/>
  <c r="T52" i="64"/>
  <c r="Q44" i="64"/>
  <c r="Q36" i="64"/>
  <c r="T36" i="64"/>
  <c r="Q28" i="64"/>
  <c r="T28" i="64"/>
  <c r="Q20" i="64"/>
  <c r="Q251" i="64"/>
  <c r="T251" i="64"/>
  <c r="Q243" i="64"/>
  <c r="T243" i="64"/>
  <c r="Q235" i="64"/>
  <c r="T235" i="64"/>
  <c r="Q227" i="64"/>
  <c r="T227" i="64"/>
  <c r="Q219" i="64"/>
  <c r="T219" i="64"/>
  <c r="Q211" i="64"/>
  <c r="T211" i="64"/>
  <c r="Q203" i="64"/>
  <c r="T203" i="64"/>
  <c r="Q195" i="64"/>
  <c r="T195" i="64"/>
  <c r="Q187" i="64"/>
  <c r="T187" i="64"/>
  <c r="Q179" i="64"/>
  <c r="T179" i="64"/>
  <c r="Q171" i="64"/>
  <c r="T171" i="64"/>
  <c r="Q163" i="64"/>
  <c r="T163" i="64"/>
  <c r="Q155" i="64"/>
  <c r="T155" i="64"/>
  <c r="Q147" i="64"/>
  <c r="T147" i="64"/>
  <c r="Q139" i="64"/>
  <c r="T139" i="64"/>
  <c r="Q131" i="64"/>
  <c r="T131" i="64"/>
  <c r="Q123" i="64"/>
  <c r="T123" i="64"/>
  <c r="Q115" i="64"/>
  <c r="T115" i="64"/>
  <c r="Q107" i="64"/>
  <c r="T107" i="64"/>
  <c r="Q99" i="64"/>
  <c r="T99" i="64"/>
  <c r="Q91" i="64"/>
  <c r="T91" i="64"/>
  <c r="Q83" i="64"/>
  <c r="T83" i="64"/>
  <c r="Q75" i="64"/>
  <c r="T75" i="64"/>
  <c r="Q67" i="64"/>
  <c r="T67" i="64"/>
  <c r="Q59" i="64"/>
  <c r="T59" i="64"/>
  <c r="Q51" i="64"/>
  <c r="T51" i="64"/>
  <c r="Q43" i="64"/>
  <c r="T43" i="64"/>
  <c r="Q35" i="64"/>
  <c r="T35" i="64"/>
  <c r="Q27" i="64"/>
  <c r="T27" i="64"/>
  <c r="Q19" i="64"/>
  <c r="Q250" i="64"/>
  <c r="T250" i="64"/>
  <c r="Q242" i="64"/>
  <c r="T242" i="64"/>
  <c r="Q234" i="64"/>
  <c r="T234" i="64"/>
  <c r="Q226" i="64"/>
  <c r="T226" i="64"/>
  <c r="Q218" i="64"/>
  <c r="T218" i="64"/>
  <c r="Q210" i="64"/>
  <c r="T210" i="64"/>
  <c r="Q202" i="64"/>
  <c r="T202" i="64"/>
  <c r="Q194" i="64"/>
  <c r="T194" i="64"/>
  <c r="Q186" i="64"/>
  <c r="T186" i="64"/>
  <c r="Q178" i="64"/>
  <c r="T178" i="64"/>
  <c r="Q170" i="64"/>
  <c r="T170" i="64"/>
  <c r="Q162" i="64"/>
  <c r="T162" i="64"/>
  <c r="Q154" i="64"/>
  <c r="T154" i="64"/>
  <c r="Q146" i="64"/>
  <c r="T146" i="64"/>
  <c r="Q138" i="64"/>
  <c r="T138" i="64"/>
  <c r="Q130" i="64"/>
  <c r="T130" i="64"/>
  <c r="Q122" i="64"/>
  <c r="T122" i="64"/>
  <c r="Q114" i="64"/>
  <c r="T114" i="64"/>
  <c r="Q106" i="64"/>
  <c r="T106" i="64"/>
  <c r="Q98" i="64"/>
  <c r="T98" i="64"/>
  <c r="Q90" i="64"/>
  <c r="T90" i="64"/>
  <c r="Q82" i="64"/>
  <c r="T82" i="64"/>
  <c r="Q74" i="64"/>
  <c r="T74" i="64"/>
  <c r="Q66" i="64"/>
  <c r="T66" i="64"/>
  <c r="Q58" i="64"/>
  <c r="T58" i="64"/>
  <c r="Q50" i="64"/>
  <c r="T50" i="64"/>
  <c r="Q42" i="64"/>
  <c r="T42" i="64"/>
  <c r="Q34" i="64"/>
  <c r="T34" i="64"/>
  <c r="Q26" i="64"/>
  <c r="T26" i="64"/>
  <c r="Q18" i="64"/>
  <c r="R24" i="53"/>
  <c r="X24" i="53" s="1"/>
  <c r="AB24" i="53" s="1"/>
  <c r="AK24" i="52" a="1"/>
  <c r="AK24" i="52" s="1"/>
  <c r="B26" i="53" s="1"/>
  <c r="E25" i="53"/>
  <c r="C25" i="53"/>
  <c r="K25" i="53"/>
  <c r="AH25" i="53" s="1"/>
  <c r="I25" i="53"/>
  <c r="G25" i="53"/>
  <c r="L25" i="53"/>
  <c r="F25" i="53"/>
  <c r="P25" i="53"/>
  <c r="J25" i="53"/>
  <c r="H25" i="53"/>
  <c r="D25" i="53"/>
  <c r="L258" i="64"/>
  <c r="O258" i="64" s="1"/>
  <c r="P258" i="64" s="1"/>
  <c r="L259" i="64"/>
  <c r="O259" i="64" s="1"/>
  <c r="P259" i="64" s="1"/>
  <c r="H13" i="64"/>
  <c r="H14" i="64"/>
  <c r="H15" i="64"/>
  <c r="H16" i="64"/>
  <c r="H17" i="64"/>
  <c r="H18" i="64"/>
  <c r="H19" i="64"/>
  <c r="H20" i="64"/>
  <c r="H21" i="64"/>
  <c r="H22" i="64"/>
  <c r="H23" i="64"/>
  <c r="H24" i="64"/>
  <c r="H25" i="64"/>
  <c r="H26" i="64"/>
  <c r="H27" i="64"/>
  <c r="H28" i="64"/>
  <c r="H29" i="64"/>
  <c r="H30" i="64"/>
  <c r="H31" i="64"/>
  <c r="H32" i="64"/>
  <c r="H33" i="64"/>
  <c r="H34" i="64"/>
  <c r="H35" i="64"/>
  <c r="H36" i="64"/>
  <c r="H37" i="64"/>
  <c r="H38" i="64"/>
  <c r="H39" i="64"/>
  <c r="H40" i="64"/>
  <c r="H41" i="64"/>
  <c r="H42" i="64"/>
  <c r="H43" i="64"/>
  <c r="H44" i="64"/>
  <c r="H45" i="64"/>
  <c r="H46" i="64"/>
  <c r="H47" i="64"/>
  <c r="H48" i="64"/>
  <c r="H49" i="64"/>
  <c r="H50" i="64"/>
  <c r="H51" i="64"/>
  <c r="H52" i="64"/>
  <c r="H53" i="64"/>
  <c r="H54" i="64"/>
  <c r="H55" i="64"/>
  <c r="H56" i="64"/>
  <c r="H57" i="64"/>
  <c r="H58" i="64"/>
  <c r="H59" i="64"/>
  <c r="H60" i="64"/>
  <c r="H61" i="64"/>
  <c r="H62" i="64"/>
  <c r="H63" i="64"/>
  <c r="H64" i="64"/>
  <c r="H65" i="64"/>
  <c r="H66" i="64"/>
  <c r="H67" i="64"/>
  <c r="H68" i="64"/>
  <c r="H69" i="64"/>
  <c r="H70" i="64"/>
  <c r="H71" i="64"/>
  <c r="H72" i="64"/>
  <c r="H73" i="64"/>
  <c r="H74" i="64"/>
  <c r="H75" i="64"/>
  <c r="H76" i="64"/>
  <c r="H77" i="64"/>
  <c r="H78" i="64"/>
  <c r="H79" i="64"/>
  <c r="H80" i="64"/>
  <c r="H81" i="64"/>
  <c r="H82" i="64"/>
  <c r="H83" i="64"/>
  <c r="H84" i="64"/>
  <c r="H85" i="64"/>
  <c r="H86" i="64"/>
  <c r="H87" i="64"/>
  <c r="H88" i="64"/>
  <c r="H89" i="64"/>
  <c r="H90" i="64"/>
  <c r="H91" i="64"/>
  <c r="H92" i="64"/>
  <c r="H93" i="64"/>
  <c r="H94" i="64"/>
  <c r="H95" i="64"/>
  <c r="H96" i="64"/>
  <c r="H97" i="64"/>
  <c r="H98" i="64"/>
  <c r="H99" i="64"/>
  <c r="H100" i="64"/>
  <c r="H101" i="64"/>
  <c r="H102" i="64"/>
  <c r="H103" i="64"/>
  <c r="H104" i="64"/>
  <c r="H105" i="64"/>
  <c r="H106" i="64"/>
  <c r="H107" i="64"/>
  <c r="H108" i="64"/>
  <c r="H109" i="64"/>
  <c r="H110" i="64"/>
  <c r="H111" i="64"/>
  <c r="H112" i="64"/>
  <c r="H113" i="64"/>
  <c r="H114" i="64"/>
  <c r="H115" i="64"/>
  <c r="H116" i="64"/>
  <c r="H117" i="64"/>
  <c r="H118" i="64"/>
  <c r="H119" i="64"/>
  <c r="H120" i="64"/>
  <c r="H121" i="64"/>
  <c r="H122" i="64"/>
  <c r="H123" i="64"/>
  <c r="H124" i="64"/>
  <c r="H125" i="64"/>
  <c r="H126" i="64"/>
  <c r="H127" i="64"/>
  <c r="H128" i="64"/>
  <c r="H129" i="64"/>
  <c r="H130" i="64"/>
  <c r="H131" i="64"/>
  <c r="H132" i="64"/>
  <c r="H133" i="64"/>
  <c r="H134" i="64"/>
  <c r="H135" i="64"/>
  <c r="H136" i="64"/>
  <c r="H137" i="64"/>
  <c r="H138" i="64"/>
  <c r="H139" i="64"/>
  <c r="H140" i="64"/>
  <c r="H141" i="64"/>
  <c r="H142" i="64"/>
  <c r="H143" i="64"/>
  <c r="H144" i="64"/>
  <c r="H145" i="64"/>
  <c r="H146" i="64"/>
  <c r="H147" i="64"/>
  <c r="H148" i="64"/>
  <c r="H149" i="64"/>
  <c r="H150" i="64"/>
  <c r="H151" i="64"/>
  <c r="H152" i="64"/>
  <c r="H153" i="64"/>
  <c r="H154" i="64"/>
  <c r="H155" i="64"/>
  <c r="H156" i="64"/>
  <c r="H157" i="64"/>
  <c r="H158" i="64"/>
  <c r="H159" i="64"/>
  <c r="H160" i="64"/>
  <c r="H161" i="64"/>
  <c r="H162" i="64"/>
  <c r="H163" i="64"/>
  <c r="H164" i="64"/>
  <c r="H165" i="64"/>
  <c r="H166" i="64"/>
  <c r="H167" i="64"/>
  <c r="H168" i="64"/>
  <c r="H169" i="64"/>
  <c r="H170" i="64"/>
  <c r="H171" i="64"/>
  <c r="H172" i="64"/>
  <c r="H173" i="64"/>
  <c r="H174" i="64"/>
  <c r="H175" i="64"/>
  <c r="H176" i="64"/>
  <c r="H177" i="64"/>
  <c r="H178" i="64"/>
  <c r="H179" i="64"/>
  <c r="H180" i="64"/>
  <c r="H181" i="64"/>
  <c r="H182" i="64"/>
  <c r="H183" i="64"/>
  <c r="H184" i="64"/>
  <c r="H185" i="64"/>
  <c r="H186" i="64"/>
  <c r="H187" i="64"/>
  <c r="H188" i="64"/>
  <c r="H189" i="64"/>
  <c r="H190" i="64"/>
  <c r="H191" i="64"/>
  <c r="H192" i="64"/>
  <c r="H193" i="64"/>
  <c r="H194" i="64"/>
  <c r="H195" i="64"/>
  <c r="H196" i="64"/>
  <c r="H197" i="64"/>
  <c r="H198" i="64"/>
  <c r="H199" i="64"/>
  <c r="H200" i="64"/>
  <c r="H201" i="64"/>
  <c r="H202" i="64"/>
  <c r="H203" i="64"/>
  <c r="H204" i="64"/>
  <c r="H205" i="64"/>
  <c r="H206" i="64"/>
  <c r="H207" i="64"/>
  <c r="H208" i="64"/>
  <c r="H209" i="64"/>
  <c r="H210" i="64"/>
  <c r="H211" i="64"/>
  <c r="H212" i="64"/>
  <c r="H213" i="64"/>
  <c r="H214" i="64"/>
  <c r="H215" i="64"/>
  <c r="H216" i="64"/>
  <c r="H217" i="64"/>
  <c r="H218" i="64"/>
  <c r="H219" i="64"/>
  <c r="H220" i="64"/>
  <c r="H221" i="64"/>
  <c r="H222" i="64"/>
  <c r="H223" i="64"/>
  <c r="H224" i="64"/>
  <c r="H225" i="64"/>
  <c r="H226" i="64"/>
  <c r="H227" i="64"/>
  <c r="H228" i="64"/>
  <c r="H229" i="64"/>
  <c r="H230" i="64"/>
  <c r="H231" i="64"/>
  <c r="H232" i="64"/>
  <c r="H233" i="64"/>
  <c r="H234" i="64"/>
  <c r="H235" i="64"/>
  <c r="H236" i="64"/>
  <c r="H237" i="64"/>
  <c r="H238" i="64"/>
  <c r="H239" i="64"/>
  <c r="H240" i="64"/>
  <c r="H241" i="64"/>
  <c r="H242" i="64"/>
  <c r="H243" i="64"/>
  <c r="H244" i="64"/>
  <c r="H245" i="64"/>
  <c r="H246" i="64"/>
  <c r="H247" i="64"/>
  <c r="H248" i="64"/>
  <c r="H249" i="64"/>
  <c r="H250" i="64"/>
  <c r="H251" i="64"/>
  <c r="H252" i="64"/>
  <c r="H253" i="64"/>
  <c r="H254" i="64"/>
  <c r="H255" i="64"/>
  <c r="H256" i="64"/>
  <c r="H257" i="64"/>
  <c r="H258" i="64"/>
  <c r="H259" i="64"/>
  <c r="H12" i="64"/>
  <c r="E13" i="64"/>
  <c r="E14" i="64"/>
  <c r="E15" i="64"/>
  <c r="E16" i="64"/>
  <c r="E17" i="64"/>
  <c r="E18" i="64"/>
  <c r="E19" i="64"/>
  <c r="E20" i="64"/>
  <c r="E21" i="64"/>
  <c r="E22" i="64"/>
  <c r="E23" i="64"/>
  <c r="E24" i="64"/>
  <c r="E25" i="64"/>
  <c r="E26" i="64"/>
  <c r="E27" i="64"/>
  <c r="E28" i="64"/>
  <c r="E29" i="64"/>
  <c r="E30" i="64"/>
  <c r="E31" i="64"/>
  <c r="E32" i="64"/>
  <c r="E33" i="64"/>
  <c r="E34" i="64"/>
  <c r="E35" i="64"/>
  <c r="E36" i="64"/>
  <c r="E37" i="64"/>
  <c r="E38" i="64"/>
  <c r="E39" i="64"/>
  <c r="E40" i="64"/>
  <c r="E41" i="64"/>
  <c r="E42" i="64"/>
  <c r="E43" i="64"/>
  <c r="E44" i="64"/>
  <c r="E45" i="64"/>
  <c r="E46" i="64"/>
  <c r="E47" i="64"/>
  <c r="E48" i="64"/>
  <c r="E49" i="64"/>
  <c r="E50" i="64"/>
  <c r="E51" i="64"/>
  <c r="E52" i="64"/>
  <c r="E53" i="64"/>
  <c r="E54" i="64"/>
  <c r="E55" i="64"/>
  <c r="E56" i="64"/>
  <c r="E57" i="64"/>
  <c r="E58" i="64"/>
  <c r="E59" i="64"/>
  <c r="E60" i="64"/>
  <c r="E61" i="64"/>
  <c r="E62" i="64"/>
  <c r="E63" i="64"/>
  <c r="E64" i="64"/>
  <c r="E65" i="64"/>
  <c r="E66" i="64"/>
  <c r="E67" i="64"/>
  <c r="E68" i="64"/>
  <c r="E69" i="64"/>
  <c r="E70" i="64"/>
  <c r="E71" i="64"/>
  <c r="E72" i="64"/>
  <c r="E73" i="64"/>
  <c r="E74" i="64"/>
  <c r="E75" i="64"/>
  <c r="E76" i="64"/>
  <c r="E77" i="64"/>
  <c r="E78" i="64"/>
  <c r="E79" i="64"/>
  <c r="E80" i="64"/>
  <c r="E81" i="64"/>
  <c r="E82" i="64"/>
  <c r="E83" i="64"/>
  <c r="E84" i="64"/>
  <c r="E85" i="64"/>
  <c r="E86" i="64"/>
  <c r="E87" i="64"/>
  <c r="E88" i="64"/>
  <c r="E89" i="64"/>
  <c r="E90" i="64"/>
  <c r="E91" i="64"/>
  <c r="E92" i="64"/>
  <c r="E93" i="64"/>
  <c r="E94" i="64"/>
  <c r="E95" i="64"/>
  <c r="E96" i="64"/>
  <c r="E97" i="64"/>
  <c r="E98" i="64"/>
  <c r="E99" i="64"/>
  <c r="E100" i="64"/>
  <c r="E101" i="64"/>
  <c r="E102" i="64"/>
  <c r="E103" i="64"/>
  <c r="E104" i="64"/>
  <c r="E105" i="64"/>
  <c r="E106" i="64"/>
  <c r="E107" i="64"/>
  <c r="E108" i="64"/>
  <c r="E109" i="64"/>
  <c r="E110" i="64"/>
  <c r="E111" i="64"/>
  <c r="E112" i="64"/>
  <c r="E113" i="64"/>
  <c r="E114" i="64"/>
  <c r="E115" i="64"/>
  <c r="E116" i="64"/>
  <c r="E117" i="64"/>
  <c r="E118" i="64"/>
  <c r="E119" i="64"/>
  <c r="E120" i="64"/>
  <c r="E121" i="64"/>
  <c r="E122" i="64"/>
  <c r="E123" i="64"/>
  <c r="E124" i="64"/>
  <c r="E125" i="64"/>
  <c r="E126" i="64"/>
  <c r="E127" i="64"/>
  <c r="E128" i="64"/>
  <c r="E129" i="64"/>
  <c r="E130" i="64"/>
  <c r="E131" i="64"/>
  <c r="E132" i="64"/>
  <c r="E133" i="64"/>
  <c r="E134" i="64"/>
  <c r="E135" i="64"/>
  <c r="E136" i="64"/>
  <c r="E137" i="64"/>
  <c r="E138" i="64"/>
  <c r="E139" i="64"/>
  <c r="E140" i="64"/>
  <c r="E141" i="64"/>
  <c r="E142" i="64"/>
  <c r="E143" i="64"/>
  <c r="E144" i="64"/>
  <c r="E145" i="64"/>
  <c r="E146" i="64"/>
  <c r="E147" i="64"/>
  <c r="E148" i="64"/>
  <c r="E149" i="64"/>
  <c r="E150" i="64"/>
  <c r="E151" i="64"/>
  <c r="E152" i="64"/>
  <c r="E153" i="64"/>
  <c r="E154" i="64"/>
  <c r="E155" i="64"/>
  <c r="E156" i="64"/>
  <c r="E157" i="64"/>
  <c r="E158" i="64"/>
  <c r="E159" i="64"/>
  <c r="E160" i="64"/>
  <c r="E161" i="64"/>
  <c r="E162" i="64"/>
  <c r="E163" i="64"/>
  <c r="E164" i="64"/>
  <c r="E165" i="64"/>
  <c r="E166" i="64"/>
  <c r="E167" i="64"/>
  <c r="E168" i="64"/>
  <c r="E169" i="64"/>
  <c r="E170" i="64"/>
  <c r="E171" i="64"/>
  <c r="E172" i="64"/>
  <c r="E173" i="64"/>
  <c r="E174" i="64"/>
  <c r="E175" i="64"/>
  <c r="E176" i="64"/>
  <c r="E177" i="64"/>
  <c r="E178" i="64"/>
  <c r="E179" i="64"/>
  <c r="E180" i="64"/>
  <c r="E181" i="64"/>
  <c r="E182" i="64"/>
  <c r="E183" i="64"/>
  <c r="E184" i="64"/>
  <c r="E185" i="64"/>
  <c r="E186" i="64"/>
  <c r="E187" i="64"/>
  <c r="E188" i="64"/>
  <c r="E189" i="64"/>
  <c r="E190" i="64"/>
  <c r="E191" i="64"/>
  <c r="E192" i="64"/>
  <c r="E193" i="64"/>
  <c r="E194" i="64"/>
  <c r="E195" i="64"/>
  <c r="E196" i="64"/>
  <c r="E197" i="64"/>
  <c r="E198" i="64"/>
  <c r="E199" i="64"/>
  <c r="E200" i="64"/>
  <c r="E201" i="64"/>
  <c r="E202" i="64"/>
  <c r="E203" i="64"/>
  <c r="E204" i="64"/>
  <c r="E205" i="64"/>
  <c r="E206" i="64"/>
  <c r="E207" i="64"/>
  <c r="E208" i="64"/>
  <c r="E209" i="64"/>
  <c r="E210" i="64"/>
  <c r="E211" i="64"/>
  <c r="E212" i="64"/>
  <c r="E213" i="64"/>
  <c r="E214" i="64"/>
  <c r="E215" i="64"/>
  <c r="E216" i="64"/>
  <c r="E217" i="64"/>
  <c r="E218" i="64"/>
  <c r="E219" i="64"/>
  <c r="E220" i="64"/>
  <c r="E221" i="64"/>
  <c r="E222" i="64"/>
  <c r="E223" i="64"/>
  <c r="E224" i="64"/>
  <c r="E225" i="64"/>
  <c r="E226" i="64"/>
  <c r="E227" i="64"/>
  <c r="E228" i="64"/>
  <c r="E229" i="64"/>
  <c r="E230" i="64"/>
  <c r="E231" i="64"/>
  <c r="E232" i="64"/>
  <c r="E233" i="64"/>
  <c r="E234" i="64"/>
  <c r="E235" i="64"/>
  <c r="E236" i="64"/>
  <c r="E237" i="64"/>
  <c r="E238" i="64"/>
  <c r="E239" i="64"/>
  <c r="E240" i="64"/>
  <c r="E241" i="64"/>
  <c r="E242" i="64"/>
  <c r="E243" i="64"/>
  <c r="E244" i="64"/>
  <c r="E245" i="64"/>
  <c r="E246" i="64"/>
  <c r="E247" i="64"/>
  <c r="E248" i="64"/>
  <c r="E249" i="64"/>
  <c r="E250" i="64"/>
  <c r="E251" i="64"/>
  <c r="E252" i="64"/>
  <c r="E253" i="64"/>
  <c r="E254" i="64"/>
  <c r="E255" i="64"/>
  <c r="E256" i="64"/>
  <c r="E257" i="64"/>
  <c r="E258" i="64"/>
  <c r="F258" i="64" s="1"/>
  <c r="E259" i="64"/>
  <c r="F259" i="64" s="1"/>
  <c r="E12" i="64"/>
  <c r="Q11" i="63"/>
  <c r="Q12" i="63"/>
  <c r="Q13" i="63"/>
  <c r="Q15" i="63"/>
  <c r="Q16" i="63"/>
  <c r="Q17" i="63"/>
  <c r="Q18" i="63"/>
  <c r="Q19" i="63"/>
  <c r="Q20" i="63"/>
  <c r="Q21" i="63"/>
  <c r="Q22" i="63"/>
  <c r="Q23" i="63"/>
  <c r="Q24" i="63"/>
  <c r="Q25" i="63"/>
  <c r="Q26" i="63"/>
  <c r="Q27" i="63"/>
  <c r="Q28" i="63"/>
  <c r="Q29" i="63"/>
  <c r="Q30" i="63"/>
  <c r="Q31" i="63"/>
  <c r="Q32" i="63"/>
  <c r="Q33" i="63"/>
  <c r="Q34" i="63"/>
  <c r="Q35" i="63"/>
  <c r="Q36" i="63"/>
  <c r="Q37" i="63"/>
  <c r="Q38" i="63"/>
  <c r="Q39" i="63"/>
  <c r="Q40" i="63"/>
  <c r="Q41" i="63"/>
  <c r="Q42" i="63"/>
  <c r="Q43" i="63"/>
  <c r="Q44" i="63"/>
  <c r="Q45" i="63"/>
  <c r="Q46" i="63"/>
  <c r="Q47" i="63"/>
  <c r="Q48" i="63"/>
  <c r="Q49" i="63"/>
  <c r="Q50" i="63"/>
  <c r="Q51" i="63"/>
  <c r="Q52" i="63"/>
  <c r="Q53" i="63"/>
  <c r="Q54" i="63"/>
  <c r="Q55" i="63"/>
  <c r="Q56" i="63"/>
  <c r="Q57" i="63"/>
  <c r="Q58" i="63"/>
  <c r="Q59" i="63"/>
  <c r="Q60" i="63"/>
  <c r="Q61" i="63"/>
  <c r="Q62" i="63"/>
  <c r="Q63" i="63"/>
  <c r="Q64" i="63"/>
  <c r="Q65" i="63"/>
  <c r="Q66" i="63"/>
  <c r="Q67" i="63"/>
  <c r="Q68" i="63"/>
  <c r="Q69" i="63"/>
  <c r="Q70" i="63"/>
  <c r="Q71" i="63"/>
  <c r="Q72" i="63"/>
  <c r="Q73" i="63"/>
  <c r="Q74" i="63"/>
  <c r="Q75" i="63"/>
  <c r="Q76" i="63"/>
  <c r="Q77" i="63"/>
  <c r="Q78" i="63"/>
  <c r="Q79" i="63"/>
  <c r="Q80" i="63"/>
  <c r="Q81" i="63"/>
  <c r="Q82" i="63"/>
  <c r="Q83" i="63"/>
  <c r="Q84" i="63"/>
  <c r="Q85" i="63"/>
  <c r="Q86" i="63"/>
  <c r="Q87" i="63"/>
  <c r="Q88" i="63"/>
  <c r="Q89" i="63"/>
  <c r="Q90" i="63"/>
  <c r="Q91" i="63"/>
  <c r="Q92" i="63"/>
  <c r="Q93" i="63"/>
  <c r="Q94" i="63"/>
  <c r="Q95" i="63"/>
  <c r="Q96" i="63"/>
  <c r="Q97" i="63"/>
  <c r="Q98" i="63"/>
  <c r="Q99" i="63"/>
  <c r="Q100" i="63"/>
  <c r="Q101" i="63"/>
  <c r="Q102" i="63"/>
  <c r="Q103" i="63"/>
  <c r="Q104" i="63"/>
  <c r="Q105" i="63"/>
  <c r="Q106" i="63"/>
  <c r="Q107" i="63"/>
  <c r="Q108" i="63"/>
  <c r="Q109" i="63"/>
  <c r="Q110" i="63"/>
  <c r="Q111" i="63"/>
  <c r="Q112" i="63"/>
  <c r="Q113" i="63"/>
  <c r="Q114" i="63"/>
  <c r="Q115" i="63"/>
  <c r="Q116" i="63"/>
  <c r="Q117" i="63"/>
  <c r="Q118" i="63"/>
  <c r="Q119" i="63"/>
  <c r="Q120" i="63"/>
  <c r="Q121" i="63"/>
  <c r="Q122" i="63"/>
  <c r="Q123" i="63"/>
  <c r="Q124" i="63"/>
  <c r="Q125" i="63"/>
  <c r="Q126" i="63"/>
  <c r="Q127" i="63"/>
  <c r="Q128" i="63"/>
  <c r="Q129" i="63"/>
  <c r="Q130" i="63"/>
  <c r="Q131" i="63"/>
  <c r="Q132" i="63"/>
  <c r="Q133" i="63"/>
  <c r="Q134" i="63"/>
  <c r="Q135" i="63"/>
  <c r="Q136" i="63"/>
  <c r="Q137" i="63"/>
  <c r="Q138" i="63"/>
  <c r="Q139" i="63"/>
  <c r="Q140" i="63"/>
  <c r="Q141" i="63"/>
  <c r="Q142" i="63"/>
  <c r="Q143" i="63"/>
  <c r="Q144" i="63"/>
  <c r="Q145" i="63"/>
  <c r="Q146" i="63"/>
  <c r="Q147" i="63"/>
  <c r="Q148" i="63"/>
  <c r="Q149" i="63"/>
  <c r="Q150" i="63"/>
  <c r="Q151" i="63"/>
  <c r="Q152" i="63"/>
  <c r="Q153" i="63"/>
  <c r="Q154" i="63"/>
  <c r="Q155" i="63"/>
  <c r="Q156" i="63"/>
  <c r="Q157" i="63"/>
  <c r="Q158" i="63"/>
  <c r="Q159" i="63"/>
  <c r="Q160" i="63"/>
  <c r="Q161" i="63"/>
  <c r="Q162" i="63"/>
  <c r="Q163" i="63"/>
  <c r="Q164" i="63"/>
  <c r="Q165" i="63"/>
  <c r="Q166" i="63"/>
  <c r="Q167" i="63"/>
  <c r="Q168" i="63"/>
  <c r="Q169" i="63"/>
  <c r="Q170" i="63"/>
  <c r="Q171" i="63"/>
  <c r="Q172" i="63"/>
  <c r="Q173" i="63"/>
  <c r="Q174" i="63"/>
  <c r="Q175" i="63"/>
  <c r="Q176" i="63"/>
  <c r="Q177" i="63"/>
  <c r="Q178" i="63"/>
  <c r="Q179" i="63"/>
  <c r="Q180" i="63"/>
  <c r="Q181" i="63"/>
  <c r="Q182" i="63"/>
  <c r="Q183" i="63"/>
  <c r="Q184" i="63"/>
  <c r="Q185" i="63"/>
  <c r="Q186" i="63"/>
  <c r="Q187" i="63"/>
  <c r="Q188" i="63"/>
  <c r="Q189" i="63"/>
  <c r="Q190" i="63"/>
  <c r="Q191" i="63"/>
  <c r="Q192" i="63"/>
  <c r="Q193" i="63"/>
  <c r="Q194" i="63"/>
  <c r="Q195" i="63"/>
  <c r="Q196" i="63"/>
  <c r="Q197" i="63"/>
  <c r="Q198" i="63"/>
  <c r="Q199" i="63"/>
  <c r="Q200" i="63"/>
  <c r="Q201" i="63"/>
  <c r="Q202" i="63"/>
  <c r="Q203" i="63"/>
  <c r="Q204" i="63"/>
  <c r="Q205" i="63"/>
  <c r="Q206" i="63"/>
  <c r="Q207" i="63"/>
  <c r="Q208" i="63"/>
  <c r="Q209" i="63"/>
  <c r="Q210" i="63"/>
  <c r="Q211" i="63"/>
  <c r="Q212" i="63"/>
  <c r="Q213" i="63"/>
  <c r="Q214" i="63"/>
  <c r="Q215" i="63"/>
  <c r="Q216" i="63"/>
  <c r="Q217" i="63"/>
  <c r="Q218" i="63"/>
  <c r="Q219" i="63"/>
  <c r="Q220" i="63"/>
  <c r="Q221" i="63"/>
  <c r="Q222" i="63"/>
  <c r="Q223" i="63"/>
  <c r="Q224" i="63"/>
  <c r="Q225" i="63"/>
  <c r="Q226" i="63"/>
  <c r="Q227" i="63"/>
  <c r="Q228" i="63"/>
  <c r="Q229" i="63"/>
  <c r="Q230" i="63"/>
  <c r="Q231" i="63"/>
  <c r="Q232" i="63"/>
  <c r="Q233" i="63"/>
  <c r="Q234" i="63"/>
  <c r="Q235" i="63"/>
  <c r="Q236" i="63"/>
  <c r="Q237" i="63"/>
  <c r="Q238" i="63"/>
  <c r="Q239" i="63"/>
  <c r="Q240" i="63"/>
  <c r="Q241" i="63"/>
  <c r="Q242" i="63"/>
  <c r="Q243" i="63"/>
  <c r="Q244" i="63"/>
  <c r="Q245" i="63"/>
  <c r="Q246" i="63"/>
  <c r="Q247" i="63"/>
  <c r="Q248" i="63"/>
  <c r="Q249" i="63"/>
  <c r="Q250" i="63"/>
  <c r="Q251" i="63"/>
  <c r="Q252" i="63"/>
  <c r="Q253" i="63"/>
  <c r="Q254" i="63"/>
  <c r="Q255" i="63"/>
  <c r="Q256" i="63"/>
  <c r="Q257" i="63"/>
  <c r="Q10" i="63"/>
  <c r="F11" i="63"/>
  <c r="F12" i="63"/>
  <c r="F13" i="63"/>
  <c r="F15" i="63"/>
  <c r="G15" i="63" s="1"/>
  <c r="W15" i="63" s="1"/>
  <c r="G16" i="63"/>
  <c r="W16" i="63" s="1"/>
  <c r="F17" i="63"/>
  <c r="G17" i="63" s="1"/>
  <c r="W17" i="63" s="1"/>
  <c r="F18" i="63"/>
  <c r="G18" i="63" s="1"/>
  <c r="W18" i="63" s="1"/>
  <c r="F19" i="63"/>
  <c r="G19" i="63" s="1"/>
  <c r="W19" i="63" s="1"/>
  <c r="F20" i="63"/>
  <c r="G20" i="63" s="1"/>
  <c r="W20" i="63" s="1"/>
  <c r="F21" i="63"/>
  <c r="G21" i="63" s="1"/>
  <c r="W21" i="63" s="1"/>
  <c r="F22" i="63"/>
  <c r="G22" i="63" s="1"/>
  <c r="W22" i="63" s="1"/>
  <c r="F23" i="63"/>
  <c r="G23" i="63" s="1"/>
  <c r="W23" i="63" s="1"/>
  <c r="F24" i="63"/>
  <c r="G24" i="63" s="1"/>
  <c r="W24" i="63" s="1"/>
  <c r="F25" i="63"/>
  <c r="G25" i="63" s="1"/>
  <c r="W25" i="63" s="1"/>
  <c r="F26" i="63"/>
  <c r="G26" i="63" s="1"/>
  <c r="W26" i="63" s="1"/>
  <c r="F27" i="63"/>
  <c r="G27" i="63" s="1"/>
  <c r="W27" i="63" s="1"/>
  <c r="F28" i="63"/>
  <c r="G28" i="63" s="1"/>
  <c r="W28" i="63" s="1"/>
  <c r="F29" i="63"/>
  <c r="G29" i="63" s="1"/>
  <c r="W29" i="63" s="1"/>
  <c r="F30" i="63"/>
  <c r="G30" i="63" s="1"/>
  <c r="W30" i="63" s="1"/>
  <c r="F31" i="63"/>
  <c r="G31" i="63" s="1"/>
  <c r="W31" i="63" s="1"/>
  <c r="F32" i="63"/>
  <c r="G32" i="63" s="1"/>
  <c r="W32" i="63" s="1"/>
  <c r="F33" i="63"/>
  <c r="G33" i="63" s="1"/>
  <c r="W33" i="63" s="1"/>
  <c r="F34" i="63"/>
  <c r="G34" i="63" s="1"/>
  <c r="W34" i="63" s="1"/>
  <c r="F35" i="63"/>
  <c r="G35" i="63" s="1"/>
  <c r="W35" i="63" s="1"/>
  <c r="F36" i="63"/>
  <c r="G36" i="63" s="1"/>
  <c r="W36" i="63" s="1"/>
  <c r="F37" i="63"/>
  <c r="G37" i="63" s="1"/>
  <c r="W37" i="63" s="1"/>
  <c r="F38" i="63"/>
  <c r="G38" i="63" s="1"/>
  <c r="W38" i="63" s="1"/>
  <c r="F39" i="63"/>
  <c r="G39" i="63" s="1"/>
  <c r="W39" i="63" s="1"/>
  <c r="F40" i="63"/>
  <c r="G40" i="63" s="1"/>
  <c r="W40" i="63" s="1"/>
  <c r="F41" i="63"/>
  <c r="G41" i="63" s="1"/>
  <c r="W41" i="63" s="1"/>
  <c r="F42" i="63"/>
  <c r="G42" i="63" s="1"/>
  <c r="W42" i="63" s="1"/>
  <c r="F43" i="63"/>
  <c r="G43" i="63" s="1"/>
  <c r="W43" i="63" s="1"/>
  <c r="F44" i="63"/>
  <c r="G44" i="63" s="1"/>
  <c r="W44" i="63" s="1"/>
  <c r="F45" i="63"/>
  <c r="G45" i="63" s="1"/>
  <c r="W45" i="63" s="1"/>
  <c r="F46" i="63"/>
  <c r="G46" i="63" s="1"/>
  <c r="W46" i="63" s="1"/>
  <c r="F47" i="63"/>
  <c r="G47" i="63" s="1"/>
  <c r="W47" i="63" s="1"/>
  <c r="F48" i="63"/>
  <c r="G48" i="63" s="1"/>
  <c r="W48" i="63" s="1"/>
  <c r="F49" i="63"/>
  <c r="G49" i="63" s="1"/>
  <c r="W49" i="63" s="1"/>
  <c r="F50" i="63"/>
  <c r="G50" i="63" s="1"/>
  <c r="W50" i="63" s="1"/>
  <c r="F51" i="63"/>
  <c r="G51" i="63" s="1"/>
  <c r="W51" i="63" s="1"/>
  <c r="F52" i="63"/>
  <c r="G52" i="63" s="1"/>
  <c r="W52" i="63" s="1"/>
  <c r="F53" i="63"/>
  <c r="G53" i="63" s="1"/>
  <c r="W53" i="63" s="1"/>
  <c r="F54" i="63"/>
  <c r="G54" i="63" s="1"/>
  <c r="W54" i="63" s="1"/>
  <c r="F55" i="63"/>
  <c r="G55" i="63" s="1"/>
  <c r="W55" i="63" s="1"/>
  <c r="F56" i="63"/>
  <c r="G56" i="63" s="1"/>
  <c r="W56" i="63" s="1"/>
  <c r="F57" i="63"/>
  <c r="G57" i="63" s="1"/>
  <c r="W57" i="63" s="1"/>
  <c r="F58" i="63"/>
  <c r="G58" i="63" s="1"/>
  <c r="W58" i="63" s="1"/>
  <c r="F59" i="63"/>
  <c r="G59" i="63" s="1"/>
  <c r="W59" i="63" s="1"/>
  <c r="F60" i="63"/>
  <c r="G60" i="63" s="1"/>
  <c r="W60" i="63" s="1"/>
  <c r="F61" i="63"/>
  <c r="G61" i="63" s="1"/>
  <c r="W61" i="63" s="1"/>
  <c r="F62" i="63"/>
  <c r="G62" i="63" s="1"/>
  <c r="W62" i="63" s="1"/>
  <c r="F63" i="63"/>
  <c r="G63" i="63" s="1"/>
  <c r="W63" i="63" s="1"/>
  <c r="F64" i="63"/>
  <c r="G64" i="63" s="1"/>
  <c r="W64" i="63" s="1"/>
  <c r="F65" i="63"/>
  <c r="G65" i="63" s="1"/>
  <c r="W65" i="63" s="1"/>
  <c r="F66" i="63"/>
  <c r="G66" i="63" s="1"/>
  <c r="W66" i="63" s="1"/>
  <c r="F67" i="63"/>
  <c r="G67" i="63" s="1"/>
  <c r="W67" i="63" s="1"/>
  <c r="F68" i="63"/>
  <c r="G68" i="63" s="1"/>
  <c r="W68" i="63" s="1"/>
  <c r="F69" i="63"/>
  <c r="G69" i="63" s="1"/>
  <c r="W69" i="63" s="1"/>
  <c r="F70" i="63"/>
  <c r="G70" i="63" s="1"/>
  <c r="W70" i="63" s="1"/>
  <c r="F71" i="63"/>
  <c r="G71" i="63" s="1"/>
  <c r="W71" i="63" s="1"/>
  <c r="F72" i="63"/>
  <c r="G72" i="63" s="1"/>
  <c r="W72" i="63" s="1"/>
  <c r="F73" i="63"/>
  <c r="G73" i="63" s="1"/>
  <c r="W73" i="63" s="1"/>
  <c r="F74" i="63"/>
  <c r="G74" i="63" s="1"/>
  <c r="W74" i="63" s="1"/>
  <c r="F75" i="63"/>
  <c r="G75" i="63" s="1"/>
  <c r="W75" i="63" s="1"/>
  <c r="F76" i="63"/>
  <c r="G76" i="63" s="1"/>
  <c r="W76" i="63" s="1"/>
  <c r="F77" i="63"/>
  <c r="G77" i="63" s="1"/>
  <c r="W77" i="63" s="1"/>
  <c r="F78" i="63"/>
  <c r="G78" i="63" s="1"/>
  <c r="W78" i="63" s="1"/>
  <c r="F79" i="63"/>
  <c r="G79" i="63" s="1"/>
  <c r="W79" i="63" s="1"/>
  <c r="F80" i="63"/>
  <c r="G80" i="63" s="1"/>
  <c r="W80" i="63" s="1"/>
  <c r="F81" i="63"/>
  <c r="G81" i="63" s="1"/>
  <c r="W81" i="63" s="1"/>
  <c r="F82" i="63"/>
  <c r="G82" i="63" s="1"/>
  <c r="W82" i="63" s="1"/>
  <c r="F83" i="63"/>
  <c r="G83" i="63" s="1"/>
  <c r="W83" i="63" s="1"/>
  <c r="F84" i="63"/>
  <c r="G84" i="63" s="1"/>
  <c r="W84" i="63" s="1"/>
  <c r="F85" i="63"/>
  <c r="G85" i="63" s="1"/>
  <c r="W85" i="63" s="1"/>
  <c r="F86" i="63"/>
  <c r="G86" i="63" s="1"/>
  <c r="W86" i="63" s="1"/>
  <c r="F87" i="63"/>
  <c r="G87" i="63" s="1"/>
  <c r="W87" i="63" s="1"/>
  <c r="F88" i="63"/>
  <c r="G88" i="63" s="1"/>
  <c r="W88" i="63" s="1"/>
  <c r="F89" i="63"/>
  <c r="G89" i="63" s="1"/>
  <c r="W89" i="63" s="1"/>
  <c r="F90" i="63"/>
  <c r="G90" i="63" s="1"/>
  <c r="W90" i="63" s="1"/>
  <c r="F91" i="63"/>
  <c r="G91" i="63" s="1"/>
  <c r="W91" i="63" s="1"/>
  <c r="F92" i="63"/>
  <c r="G92" i="63" s="1"/>
  <c r="W92" i="63" s="1"/>
  <c r="F93" i="63"/>
  <c r="G93" i="63" s="1"/>
  <c r="W93" i="63" s="1"/>
  <c r="F94" i="63"/>
  <c r="G94" i="63" s="1"/>
  <c r="W94" i="63" s="1"/>
  <c r="F95" i="63"/>
  <c r="G95" i="63" s="1"/>
  <c r="W95" i="63" s="1"/>
  <c r="F96" i="63"/>
  <c r="G96" i="63" s="1"/>
  <c r="W96" i="63" s="1"/>
  <c r="F97" i="63"/>
  <c r="G97" i="63" s="1"/>
  <c r="W97" i="63" s="1"/>
  <c r="F98" i="63"/>
  <c r="G98" i="63" s="1"/>
  <c r="W98" i="63" s="1"/>
  <c r="F99" i="63"/>
  <c r="G99" i="63" s="1"/>
  <c r="W99" i="63" s="1"/>
  <c r="F100" i="63"/>
  <c r="G100" i="63" s="1"/>
  <c r="W100" i="63" s="1"/>
  <c r="F101" i="63"/>
  <c r="G101" i="63" s="1"/>
  <c r="W101" i="63" s="1"/>
  <c r="F102" i="63"/>
  <c r="G102" i="63" s="1"/>
  <c r="W102" i="63" s="1"/>
  <c r="F103" i="63"/>
  <c r="G103" i="63" s="1"/>
  <c r="W103" i="63" s="1"/>
  <c r="F104" i="63"/>
  <c r="G104" i="63" s="1"/>
  <c r="W104" i="63" s="1"/>
  <c r="F105" i="63"/>
  <c r="G105" i="63" s="1"/>
  <c r="W105" i="63" s="1"/>
  <c r="F106" i="63"/>
  <c r="G106" i="63" s="1"/>
  <c r="W106" i="63" s="1"/>
  <c r="F107" i="63"/>
  <c r="G107" i="63" s="1"/>
  <c r="W107" i="63" s="1"/>
  <c r="F108" i="63"/>
  <c r="G108" i="63" s="1"/>
  <c r="W108" i="63" s="1"/>
  <c r="F109" i="63"/>
  <c r="G109" i="63" s="1"/>
  <c r="W109" i="63" s="1"/>
  <c r="F110" i="63"/>
  <c r="G110" i="63" s="1"/>
  <c r="W110" i="63" s="1"/>
  <c r="F111" i="63"/>
  <c r="G111" i="63" s="1"/>
  <c r="W111" i="63" s="1"/>
  <c r="F112" i="63"/>
  <c r="G112" i="63" s="1"/>
  <c r="W112" i="63" s="1"/>
  <c r="F113" i="63"/>
  <c r="G113" i="63" s="1"/>
  <c r="W113" i="63" s="1"/>
  <c r="F114" i="63"/>
  <c r="G114" i="63" s="1"/>
  <c r="W114" i="63" s="1"/>
  <c r="F115" i="63"/>
  <c r="G115" i="63" s="1"/>
  <c r="W115" i="63" s="1"/>
  <c r="F116" i="63"/>
  <c r="G116" i="63" s="1"/>
  <c r="W116" i="63" s="1"/>
  <c r="F117" i="63"/>
  <c r="G117" i="63" s="1"/>
  <c r="W117" i="63" s="1"/>
  <c r="F118" i="63"/>
  <c r="G118" i="63" s="1"/>
  <c r="W118" i="63" s="1"/>
  <c r="F119" i="63"/>
  <c r="G119" i="63" s="1"/>
  <c r="W119" i="63" s="1"/>
  <c r="F120" i="63"/>
  <c r="G120" i="63" s="1"/>
  <c r="W120" i="63" s="1"/>
  <c r="F121" i="63"/>
  <c r="G121" i="63" s="1"/>
  <c r="W121" i="63" s="1"/>
  <c r="F122" i="63"/>
  <c r="G122" i="63" s="1"/>
  <c r="W122" i="63" s="1"/>
  <c r="F123" i="63"/>
  <c r="G123" i="63" s="1"/>
  <c r="W123" i="63" s="1"/>
  <c r="F124" i="63"/>
  <c r="G124" i="63" s="1"/>
  <c r="W124" i="63" s="1"/>
  <c r="F125" i="63"/>
  <c r="G125" i="63" s="1"/>
  <c r="W125" i="63" s="1"/>
  <c r="F126" i="63"/>
  <c r="G126" i="63" s="1"/>
  <c r="W126" i="63" s="1"/>
  <c r="F127" i="63"/>
  <c r="G127" i="63" s="1"/>
  <c r="W127" i="63" s="1"/>
  <c r="F128" i="63"/>
  <c r="G128" i="63" s="1"/>
  <c r="W128" i="63" s="1"/>
  <c r="F129" i="63"/>
  <c r="G129" i="63" s="1"/>
  <c r="W129" i="63" s="1"/>
  <c r="F130" i="63"/>
  <c r="G130" i="63" s="1"/>
  <c r="W130" i="63" s="1"/>
  <c r="F131" i="63"/>
  <c r="G131" i="63" s="1"/>
  <c r="W131" i="63" s="1"/>
  <c r="F132" i="63"/>
  <c r="G132" i="63" s="1"/>
  <c r="W132" i="63" s="1"/>
  <c r="F133" i="63"/>
  <c r="G133" i="63" s="1"/>
  <c r="W133" i="63" s="1"/>
  <c r="F134" i="63"/>
  <c r="G134" i="63" s="1"/>
  <c r="W134" i="63" s="1"/>
  <c r="F135" i="63"/>
  <c r="G135" i="63" s="1"/>
  <c r="W135" i="63" s="1"/>
  <c r="F136" i="63"/>
  <c r="G136" i="63" s="1"/>
  <c r="W136" i="63" s="1"/>
  <c r="F137" i="63"/>
  <c r="G137" i="63" s="1"/>
  <c r="W137" i="63" s="1"/>
  <c r="F138" i="63"/>
  <c r="G138" i="63" s="1"/>
  <c r="W138" i="63" s="1"/>
  <c r="F139" i="63"/>
  <c r="G139" i="63" s="1"/>
  <c r="W139" i="63" s="1"/>
  <c r="F140" i="63"/>
  <c r="G140" i="63" s="1"/>
  <c r="W140" i="63" s="1"/>
  <c r="F141" i="63"/>
  <c r="G141" i="63" s="1"/>
  <c r="W141" i="63" s="1"/>
  <c r="F142" i="63"/>
  <c r="G142" i="63" s="1"/>
  <c r="W142" i="63" s="1"/>
  <c r="F143" i="63"/>
  <c r="G143" i="63" s="1"/>
  <c r="W143" i="63" s="1"/>
  <c r="F144" i="63"/>
  <c r="G144" i="63" s="1"/>
  <c r="W144" i="63" s="1"/>
  <c r="F145" i="63"/>
  <c r="G145" i="63" s="1"/>
  <c r="W145" i="63" s="1"/>
  <c r="F146" i="63"/>
  <c r="G146" i="63" s="1"/>
  <c r="W146" i="63" s="1"/>
  <c r="F147" i="63"/>
  <c r="G147" i="63" s="1"/>
  <c r="W147" i="63" s="1"/>
  <c r="F148" i="63"/>
  <c r="G148" i="63" s="1"/>
  <c r="W148" i="63" s="1"/>
  <c r="F149" i="63"/>
  <c r="G149" i="63" s="1"/>
  <c r="W149" i="63" s="1"/>
  <c r="F150" i="63"/>
  <c r="G150" i="63" s="1"/>
  <c r="W150" i="63" s="1"/>
  <c r="F151" i="63"/>
  <c r="G151" i="63" s="1"/>
  <c r="W151" i="63" s="1"/>
  <c r="F152" i="63"/>
  <c r="G152" i="63" s="1"/>
  <c r="W152" i="63" s="1"/>
  <c r="F153" i="63"/>
  <c r="G153" i="63" s="1"/>
  <c r="W153" i="63" s="1"/>
  <c r="F154" i="63"/>
  <c r="G154" i="63" s="1"/>
  <c r="W154" i="63" s="1"/>
  <c r="F155" i="63"/>
  <c r="G155" i="63" s="1"/>
  <c r="W155" i="63" s="1"/>
  <c r="F156" i="63"/>
  <c r="G156" i="63" s="1"/>
  <c r="W156" i="63" s="1"/>
  <c r="F157" i="63"/>
  <c r="G157" i="63" s="1"/>
  <c r="W157" i="63" s="1"/>
  <c r="F158" i="63"/>
  <c r="G158" i="63" s="1"/>
  <c r="W158" i="63" s="1"/>
  <c r="F159" i="63"/>
  <c r="G159" i="63" s="1"/>
  <c r="W159" i="63" s="1"/>
  <c r="F160" i="63"/>
  <c r="G160" i="63" s="1"/>
  <c r="W160" i="63" s="1"/>
  <c r="F161" i="63"/>
  <c r="G161" i="63" s="1"/>
  <c r="W161" i="63" s="1"/>
  <c r="F162" i="63"/>
  <c r="G162" i="63" s="1"/>
  <c r="W162" i="63" s="1"/>
  <c r="F163" i="63"/>
  <c r="G163" i="63" s="1"/>
  <c r="W163" i="63" s="1"/>
  <c r="F164" i="63"/>
  <c r="G164" i="63" s="1"/>
  <c r="W164" i="63" s="1"/>
  <c r="F165" i="63"/>
  <c r="G165" i="63" s="1"/>
  <c r="W165" i="63" s="1"/>
  <c r="F166" i="63"/>
  <c r="G166" i="63" s="1"/>
  <c r="W166" i="63" s="1"/>
  <c r="F167" i="63"/>
  <c r="G167" i="63" s="1"/>
  <c r="W167" i="63" s="1"/>
  <c r="F168" i="63"/>
  <c r="G168" i="63" s="1"/>
  <c r="W168" i="63" s="1"/>
  <c r="F169" i="63"/>
  <c r="G169" i="63" s="1"/>
  <c r="W169" i="63" s="1"/>
  <c r="F170" i="63"/>
  <c r="G170" i="63" s="1"/>
  <c r="W170" i="63" s="1"/>
  <c r="F171" i="63"/>
  <c r="G171" i="63" s="1"/>
  <c r="W171" i="63" s="1"/>
  <c r="F172" i="63"/>
  <c r="G172" i="63" s="1"/>
  <c r="W172" i="63" s="1"/>
  <c r="F173" i="63"/>
  <c r="G173" i="63" s="1"/>
  <c r="W173" i="63" s="1"/>
  <c r="F174" i="63"/>
  <c r="G174" i="63" s="1"/>
  <c r="W174" i="63" s="1"/>
  <c r="F175" i="63"/>
  <c r="G175" i="63" s="1"/>
  <c r="W175" i="63" s="1"/>
  <c r="F176" i="63"/>
  <c r="G176" i="63" s="1"/>
  <c r="W176" i="63" s="1"/>
  <c r="F177" i="63"/>
  <c r="G177" i="63" s="1"/>
  <c r="W177" i="63" s="1"/>
  <c r="F178" i="63"/>
  <c r="G178" i="63" s="1"/>
  <c r="W178" i="63" s="1"/>
  <c r="F179" i="63"/>
  <c r="G179" i="63" s="1"/>
  <c r="W179" i="63" s="1"/>
  <c r="F180" i="63"/>
  <c r="G180" i="63" s="1"/>
  <c r="W180" i="63" s="1"/>
  <c r="F181" i="63"/>
  <c r="G181" i="63" s="1"/>
  <c r="W181" i="63" s="1"/>
  <c r="F182" i="63"/>
  <c r="G182" i="63" s="1"/>
  <c r="W182" i="63" s="1"/>
  <c r="F183" i="63"/>
  <c r="G183" i="63" s="1"/>
  <c r="W183" i="63" s="1"/>
  <c r="F184" i="63"/>
  <c r="G184" i="63" s="1"/>
  <c r="W184" i="63" s="1"/>
  <c r="F185" i="63"/>
  <c r="G185" i="63" s="1"/>
  <c r="W185" i="63" s="1"/>
  <c r="F186" i="63"/>
  <c r="G186" i="63" s="1"/>
  <c r="W186" i="63" s="1"/>
  <c r="F187" i="63"/>
  <c r="G187" i="63" s="1"/>
  <c r="W187" i="63" s="1"/>
  <c r="F188" i="63"/>
  <c r="G188" i="63" s="1"/>
  <c r="W188" i="63" s="1"/>
  <c r="F189" i="63"/>
  <c r="G189" i="63" s="1"/>
  <c r="W189" i="63" s="1"/>
  <c r="F190" i="63"/>
  <c r="G190" i="63" s="1"/>
  <c r="W190" i="63" s="1"/>
  <c r="F191" i="63"/>
  <c r="G191" i="63" s="1"/>
  <c r="W191" i="63" s="1"/>
  <c r="F192" i="63"/>
  <c r="G192" i="63" s="1"/>
  <c r="W192" i="63" s="1"/>
  <c r="F193" i="63"/>
  <c r="G193" i="63" s="1"/>
  <c r="W193" i="63" s="1"/>
  <c r="F194" i="63"/>
  <c r="G194" i="63" s="1"/>
  <c r="W194" i="63" s="1"/>
  <c r="F195" i="63"/>
  <c r="G195" i="63" s="1"/>
  <c r="W195" i="63" s="1"/>
  <c r="F196" i="63"/>
  <c r="G196" i="63" s="1"/>
  <c r="W196" i="63" s="1"/>
  <c r="F197" i="63"/>
  <c r="G197" i="63" s="1"/>
  <c r="W197" i="63" s="1"/>
  <c r="F198" i="63"/>
  <c r="G198" i="63" s="1"/>
  <c r="W198" i="63" s="1"/>
  <c r="F199" i="63"/>
  <c r="G199" i="63" s="1"/>
  <c r="W199" i="63" s="1"/>
  <c r="F200" i="63"/>
  <c r="G200" i="63" s="1"/>
  <c r="W200" i="63" s="1"/>
  <c r="F201" i="63"/>
  <c r="G201" i="63" s="1"/>
  <c r="W201" i="63" s="1"/>
  <c r="F202" i="63"/>
  <c r="G202" i="63" s="1"/>
  <c r="W202" i="63" s="1"/>
  <c r="F203" i="63"/>
  <c r="G203" i="63" s="1"/>
  <c r="W203" i="63" s="1"/>
  <c r="F204" i="63"/>
  <c r="G204" i="63" s="1"/>
  <c r="W204" i="63" s="1"/>
  <c r="F205" i="63"/>
  <c r="G205" i="63" s="1"/>
  <c r="W205" i="63" s="1"/>
  <c r="F206" i="63"/>
  <c r="G206" i="63" s="1"/>
  <c r="W206" i="63" s="1"/>
  <c r="F207" i="63"/>
  <c r="G207" i="63" s="1"/>
  <c r="W207" i="63" s="1"/>
  <c r="F208" i="63"/>
  <c r="G208" i="63" s="1"/>
  <c r="W208" i="63" s="1"/>
  <c r="F209" i="63"/>
  <c r="G209" i="63" s="1"/>
  <c r="W209" i="63" s="1"/>
  <c r="F210" i="63"/>
  <c r="G210" i="63" s="1"/>
  <c r="W210" i="63" s="1"/>
  <c r="F211" i="63"/>
  <c r="G211" i="63" s="1"/>
  <c r="W211" i="63" s="1"/>
  <c r="F212" i="63"/>
  <c r="G212" i="63" s="1"/>
  <c r="W212" i="63" s="1"/>
  <c r="F213" i="63"/>
  <c r="G213" i="63" s="1"/>
  <c r="W213" i="63" s="1"/>
  <c r="F214" i="63"/>
  <c r="G214" i="63" s="1"/>
  <c r="W214" i="63" s="1"/>
  <c r="F215" i="63"/>
  <c r="G215" i="63" s="1"/>
  <c r="W215" i="63" s="1"/>
  <c r="F216" i="63"/>
  <c r="G216" i="63" s="1"/>
  <c r="W216" i="63" s="1"/>
  <c r="F217" i="63"/>
  <c r="G217" i="63" s="1"/>
  <c r="W217" i="63" s="1"/>
  <c r="F218" i="63"/>
  <c r="G218" i="63" s="1"/>
  <c r="W218" i="63" s="1"/>
  <c r="F219" i="63"/>
  <c r="G219" i="63" s="1"/>
  <c r="W219" i="63" s="1"/>
  <c r="F220" i="63"/>
  <c r="G220" i="63" s="1"/>
  <c r="W220" i="63" s="1"/>
  <c r="F221" i="63"/>
  <c r="G221" i="63" s="1"/>
  <c r="W221" i="63" s="1"/>
  <c r="F222" i="63"/>
  <c r="G222" i="63" s="1"/>
  <c r="W222" i="63" s="1"/>
  <c r="F223" i="63"/>
  <c r="G223" i="63" s="1"/>
  <c r="W223" i="63" s="1"/>
  <c r="F224" i="63"/>
  <c r="G224" i="63" s="1"/>
  <c r="W224" i="63" s="1"/>
  <c r="F225" i="63"/>
  <c r="G225" i="63" s="1"/>
  <c r="W225" i="63" s="1"/>
  <c r="F226" i="63"/>
  <c r="G226" i="63" s="1"/>
  <c r="W226" i="63" s="1"/>
  <c r="F227" i="63"/>
  <c r="G227" i="63" s="1"/>
  <c r="W227" i="63" s="1"/>
  <c r="F228" i="63"/>
  <c r="G228" i="63" s="1"/>
  <c r="W228" i="63" s="1"/>
  <c r="F229" i="63"/>
  <c r="G229" i="63" s="1"/>
  <c r="W229" i="63" s="1"/>
  <c r="F230" i="63"/>
  <c r="G230" i="63" s="1"/>
  <c r="W230" i="63" s="1"/>
  <c r="F231" i="63"/>
  <c r="G231" i="63" s="1"/>
  <c r="W231" i="63" s="1"/>
  <c r="F232" i="63"/>
  <c r="G232" i="63" s="1"/>
  <c r="W232" i="63" s="1"/>
  <c r="F233" i="63"/>
  <c r="G233" i="63" s="1"/>
  <c r="W233" i="63" s="1"/>
  <c r="F234" i="63"/>
  <c r="G234" i="63" s="1"/>
  <c r="W234" i="63" s="1"/>
  <c r="F235" i="63"/>
  <c r="G235" i="63" s="1"/>
  <c r="W235" i="63" s="1"/>
  <c r="F236" i="63"/>
  <c r="G236" i="63" s="1"/>
  <c r="W236" i="63" s="1"/>
  <c r="F237" i="63"/>
  <c r="G237" i="63" s="1"/>
  <c r="W237" i="63" s="1"/>
  <c r="F238" i="63"/>
  <c r="G238" i="63" s="1"/>
  <c r="W238" i="63" s="1"/>
  <c r="F239" i="63"/>
  <c r="G239" i="63" s="1"/>
  <c r="W239" i="63" s="1"/>
  <c r="F240" i="63"/>
  <c r="G240" i="63" s="1"/>
  <c r="W240" i="63" s="1"/>
  <c r="F241" i="63"/>
  <c r="G241" i="63" s="1"/>
  <c r="W241" i="63" s="1"/>
  <c r="F242" i="63"/>
  <c r="G242" i="63" s="1"/>
  <c r="W242" i="63" s="1"/>
  <c r="F243" i="63"/>
  <c r="G243" i="63" s="1"/>
  <c r="W243" i="63" s="1"/>
  <c r="F244" i="63"/>
  <c r="G244" i="63" s="1"/>
  <c r="W244" i="63" s="1"/>
  <c r="F245" i="63"/>
  <c r="G245" i="63" s="1"/>
  <c r="W245" i="63" s="1"/>
  <c r="F246" i="63"/>
  <c r="G246" i="63" s="1"/>
  <c r="W246" i="63" s="1"/>
  <c r="F247" i="63"/>
  <c r="G247" i="63" s="1"/>
  <c r="W247" i="63" s="1"/>
  <c r="F248" i="63"/>
  <c r="G248" i="63" s="1"/>
  <c r="W248" i="63" s="1"/>
  <c r="F249" i="63"/>
  <c r="G249" i="63" s="1"/>
  <c r="W249" i="63" s="1"/>
  <c r="F250" i="63"/>
  <c r="G250" i="63" s="1"/>
  <c r="W250" i="63" s="1"/>
  <c r="F251" i="63"/>
  <c r="G251" i="63" s="1"/>
  <c r="W251" i="63" s="1"/>
  <c r="F252" i="63"/>
  <c r="G252" i="63" s="1"/>
  <c r="W252" i="63" s="1"/>
  <c r="F253" i="63"/>
  <c r="G253" i="63" s="1"/>
  <c r="W253" i="63" s="1"/>
  <c r="F254" i="63"/>
  <c r="G254" i="63" s="1"/>
  <c r="W254" i="63" s="1"/>
  <c r="F255" i="63"/>
  <c r="G255" i="63" s="1"/>
  <c r="W255" i="63" s="1"/>
  <c r="F256" i="63"/>
  <c r="G256" i="63" s="1"/>
  <c r="W256" i="63" s="1"/>
  <c r="F257" i="63"/>
  <c r="G257" i="63" s="1"/>
  <c r="W257" i="63" s="1"/>
  <c r="F10" i="63"/>
  <c r="Y258" i="63" s="1"/>
  <c r="B3" i="65"/>
  <c r="D260" i="64"/>
  <c r="B3" i="64"/>
  <c r="AK257" i="63"/>
  <c r="AJ257" i="63"/>
  <c r="AK256" i="63"/>
  <c r="AJ256" i="63"/>
  <c r="AK255" i="63"/>
  <c r="AJ255" i="63"/>
  <c r="AK254" i="63"/>
  <c r="AJ254" i="63"/>
  <c r="AK253" i="63"/>
  <c r="AJ253" i="63"/>
  <c r="AK252" i="63"/>
  <c r="AJ252" i="63"/>
  <c r="AK251" i="63"/>
  <c r="AJ251" i="63"/>
  <c r="AK250" i="63"/>
  <c r="AJ250" i="63"/>
  <c r="AK249" i="63"/>
  <c r="AJ249" i="63"/>
  <c r="AK248" i="63"/>
  <c r="AJ248" i="63"/>
  <c r="AK247" i="63"/>
  <c r="AJ247" i="63"/>
  <c r="AK246" i="63"/>
  <c r="AJ246" i="63"/>
  <c r="AK245" i="63"/>
  <c r="AJ245" i="63"/>
  <c r="AK244" i="63"/>
  <c r="AJ244" i="63"/>
  <c r="AK243" i="63"/>
  <c r="AJ243" i="63"/>
  <c r="AK242" i="63"/>
  <c r="AJ242" i="63"/>
  <c r="AK241" i="63"/>
  <c r="AJ241" i="63"/>
  <c r="AK240" i="63"/>
  <c r="AJ240" i="63"/>
  <c r="AK239" i="63"/>
  <c r="AJ239" i="63"/>
  <c r="AK238" i="63"/>
  <c r="AJ238" i="63"/>
  <c r="AK237" i="63"/>
  <c r="AJ237" i="63"/>
  <c r="AK236" i="63"/>
  <c r="AJ236" i="63"/>
  <c r="AK235" i="63"/>
  <c r="AJ235" i="63"/>
  <c r="AK234" i="63"/>
  <c r="AJ234" i="63"/>
  <c r="AK233" i="63"/>
  <c r="AJ233" i="63"/>
  <c r="AK232" i="63"/>
  <c r="AJ232" i="63"/>
  <c r="AK231" i="63"/>
  <c r="AJ231" i="63"/>
  <c r="AK230" i="63"/>
  <c r="AJ230" i="63"/>
  <c r="AK229" i="63"/>
  <c r="AJ229" i="63"/>
  <c r="AK228" i="63"/>
  <c r="AJ228" i="63"/>
  <c r="AK227" i="63"/>
  <c r="AJ227" i="63"/>
  <c r="AK226" i="63"/>
  <c r="AJ226" i="63"/>
  <c r="AK225" i="63"/>
  <c r="AJ225" i="63"/>
  <c r="AK224" i="63"/>
  <c r="AJ224" i="63"/>
  <c r="AK223" i="63"/>
  <c r="AJ223" i="63"/>
  <c r="AK222" i="63"/>
  <c r="AJ222" i="63"/>
  <c r="AK221" i="63"/>
  <c r="AJ221" i="63"/>
  <c r="AK220" i="63"/>
  <c r="AJ220" i="63"/>
  <c r="AK219" i="63"/>
  <c r="AJ219" i="63"/>
  <c r="AK218" i="63"/>
  <c r="AJ218" i="63"/>
  <c r="AK217" i="63"/>
  <c r="AJ217" i="63"/>
  <c r="AK216" i="63"/>
  <c r="AJ216" i="63"/>
  <c r="AK215" i="63"/>
  <c r="AJ215" i="63"/>
  <c r="AK214" i="63"/>
  <c r="AJ214" i="63"/>
  <c r="AK213" i="63"/>
  <c r="AJ213" i="63"/>
  <c r="AK212" i="63"/>
  <c r="AJ212" i="63"/>
  <c r="AK211" i="63"/>
  <c r="AJ211" i="63"/>
  <c r="AK210" i="63"/>
  <c r="AJ210" i="63"/>
  <c r="AK209" i="63"/>
  <c r="AJ209" i="63"/>
  <c r="AK208" i="63"/>
  <c r="AJ208" i="63"/>
  <c r="AK207" i="63"/>
  <c r="AJ207" i="63"/>
  <c r="AK206" i="63"/>
  <c r="AJ206" i="63"/>
  <c r="AK205" i="63"/>
  <c r="AJ205" i="63"/>
  <c r="AK204" i="63"/>
  <c r="AJ204" i="63"/>
  <c r="AK203" i="63"/>
  <c r="AJ203" i="63"/>
  <c r="AK202" i="63"/>
  <c r="AJ202" i="63"/>
  <c r="AK201" i="63"/>
  <c r="AJ201" i="63"/>
  <c r="AK200" i="63"/>
  <c r="AJ200" i="63"/>
  <c r="AK199" i="63"/>
  <c r="AJ199" i="63"/>
  <c r="AK198" i="63"/>
  <c r="AJ198" i="63"/>
  <c r="AK197" i="63"/>
  <c r="AJ197" i="63"/>
  <c r="AK196" i="63"/>
  <c r="AJ196" i="63"/>
  <c r="AK195" i="63"/>
  <c r="AJ195" i="63"/>
  <c r="AK194" i="63"/>
  <c r="AJ194" i="63"/>
  <c r="AK193" i="63"/>
  <c r="AJ193" i="63"/>
  <c r="AK192" i="63"/>
  <c r="AJ192" i="63"/>
  <c r="AK191" i="63"/>
  <c r="AJ191" i="63"/>
  <c r="AK190" i="63"/>
  <c r="AJ190" i="63"/>
  <c r="AK189" i="63"/>
  <c r="AJ189" i="63"/>
  <c r="AK188" i="63"/>
  <c r="AJ188" i="63"/>
  <c r="AK187" i="63"/>
  <c r="AJ187" i="63"/>
  <c r="AK186" i="63"/>
  <c r="AJ186" i="63"/>
  <c r="AK185" i="63"/>
  <c r="AJ185" i="63"/>
  <c r="AK184" i="63"/>
  <c r="AJ184" i="63"/>
  <c r="AK183" i="63"/>
  <c r="AJ183" i="63"/>
  <c r="AK182" i="63"/>
  <c r="AJ182" i="63"/>
  <c r="AK181" i="63"/>
  <c r="AJ181" i="63"/>
  <c r="AK180" i="63"/>
  <c r="AJ180" i="63"/>
  <c r="AK179" i="63"/>
  <c r="AJ179" i="63"/>
  <c r="AK178" i="63"/>
  <c r="AJ178" i="63"/>
  <c r="AK177" i="63"/>
  <c r="AJ177" i="63"/>
  <c r="AK176" i="63"/>
  <c r="AJ176" i="63"/>
  <c r="AK175" i="63"/>
  <c r="AJ175" i="63"/>
  <c r="AK174" i="63"/>
  <c r="AJ174" i="63"/>
  <c r="AK173" i="63"/>
  <c r="AJ173" i="63"/>
  <c r="AK172" i="63"/>
  <c r="AJ172" i="63"/>
  <c r="AK171" i="63"/>
  <c r="AJ171" i="63"/>
  <c r="AK170" i="63"/>
  <c r="AJ170" i="63"/>
  <c r="AK169" i="63"/>
  <c r="AJ169" i="63"/>
  <c r="AK168" i="63"/>
  <c r="AJ168" i="63"/>
  <c r="AK167" i="63"/>
  <c r="AJ167" i="63"/>
  <c r="AK166" i="63"/>
  <c r="AJ166" i="63"/>
  <c r="AK165" i="63"/>
  <c r="AJ165" i="63"/>
  <c r="AK164" i="63"/>
  <c r="AJ164" i="63"/>
  <c r="AK163" i="63"/>
  <c r="AJ163" i="63"/>
  <c r="AK162" i="63"/>
  <c r="AJ162" i="63"/>
  <c r="AK161" i="63"/>
  <c r="AJ161" i="63"/>
  <c r="AK160" i="63"/>
  <c r="AJ160" i="63"/>
  <c r="AK159" i="63"/>
  <c r="AJ159" i="63"/>
  <c r="AK158" i="63"/>
  <c r="AJ158" i="63"/>
  <c r="AK157" i="63"/>
  <c r="AJ157" i="63"/>
  <c r="AK156" i="63"/>
  <c r="AJ156" i="63"/>
  <c r="AK155" i="63"/>
  <c r="AJ155" i="63"/>
  <c r="AK154" i="63"/>
  <c r="AJ154" i="63"/>
  <c r="AK153" i="63"/>
  <c r="AJ153" i="63"/>
  <c r="AK152" i="63"/>
  <c r="AJ152" i="63"/>
  <c r="AK151" i="63"/>
  <c r="AJ151" i="63"/>
  <c r="AK150" i="63"/>
  <c r="AJ150" i="63"/>
  <c r="AK149" i="63"/>
  <c r="AJ149" i="63"/>
  <c r="AK148" i="63"/>
  <c r="AJ148" i="63"/>
  <c r="AK147" i="63"/>
  <c r="AJ147" i="63"/>
  <c r="AK146" i="63"/>
  <c r="AJ146" i="63"/>
  <c r="AK145" i="63"/>
  <c r="AJ145" i="63"/>
  <c r="AK144" i="63"/>
  <c r="AJ144" i="63"/>
  <c r="AK143" i="63"/>
  <c r="AJ143" i="63"/>
  <c r="AK142" i="63"/>
  <c r="AJ142" i="63"/>
  <c r="AK141" i="63"/>
  <c r="AJ141" i="63"/>
  <c r="AK140" i="63"/>
  <c r="AJ140" i="63"/>
  <c r="AK139" i="63"/>
  <c r="AJ139" i="63"/>
  <c r="AK138" i="63"/>
  <c r="AJ138" i="63"/>
  <c r="AK137" i="63"/>
  <c r="AJ137" i="63"/>
  <c r="AK136" i="63"/>
  <c r="AJ136" i="63"/>
  <c r="AK135" i="63"/>
  <c r="AJ135" i="63"/>
  <c r="AK134" i="63"/>
  <c r="AJ134" i="63"/>
  <c r="AK133" i="63"/>
  <c r="AJ133" i="63"/>
  <c r="AK132" i="63"/>
  <c r="AJ132" i="63"/>
  <c r="AK131" i="63"/>
  <c r="AJ131" i="63"/>
  <c r="AK130" i="63"/>
  <c r="AJ130" i="63"/>
  <c r="AK129" i="63"/>
  <c r="AJ129" i="63"/>
  <c r="AK128" i="63"/>
  <c r="AJ128" i="63"/>
  <c r="AK127" i="63"/>
  <c r="AJ127" i="63"/>
  <c r="AK126" i="63"/>
  <c r="AJ126" i="63"/>
  <c r="AK125" i="63"/>
  <c r="AJ125" i="63"/>
  <c r="AK124" i="63"/>
  <c r="AJ124" i="63"/>
  <c r="AK123" i="63"/>
  <c r="AJ123" i="63"/>
  <c r="AK122" i="63"/>
  <c r="AJ122" i="63"/>
  <c r="AK121" i="63"/>
  <c r="AJ121" i="63"/>
  <c r="AK120" i="63"/>
  <c r="AJ120" i="63"/>
  <c r="AK119" i="63"/>
  <c r="AJ119" i="63"/>
  <c r="AK118" i="63"/>
  <c r="AJ118" i="63"/>
  <c r="AK117" i="63"/>
  <c r="AJ117" i="63"/>
  <c r="AK116" i="63"/>
  <c r="AJ116" i="63"/>
  <c r="AK115" i="63"/>
  <c r="AJ115" i="63"/>
  <c r="AK114" i="63"/>
  <c r="AJ114" i="63"/>
  <c r="AK113" i="63"/>
  <c r="AJ113" i="63"/>
  <c r="AK112" i="63"/>
  <c r="AJ112" i="63"/>
  <c r="AK111" i="63"/>
  <c r="AJ111" i="63"/>
  <c r="AK110" i="63"/>
  <c r="AJ110" i="63"/>
  <c r="AK109" i="63"/>
  <c r="AJ109" i="63"/>
  <c r="AK108" i="63"/>
  <c r="AJ108" i="63"/>
  <c r="AK107" i="63"/>
  <c r="AJ107" i="63"/>
  <c r="AK106" i="63"/>
  <c r="AJ106" i="63"/>
  <c r="AK105" i="63"/>
  <c r="AJ105" i="63"/>
  <c r="AK104" i="63"/>
  <c r="AJ104" i="63"/>
  <c r="AK103" i="63"/>
  <c r="AJ103" i="63"/>
  <c r="AK102" i="63"/>
  <c r="AJ102" i="63"/>
  <c r="AK101" i="63"/>
  <c r="AJ101" i="63"/>
  <c r="AK100" i="63"/>
  <c r="AJ100" i="63"/>
  <c r="AK99" i="63"/>
  <c r="AJ99" i="63"/>
  <c r="AK98" i="63"/>
  <c r="AJ98" i="63"/>
  <c r="AK97" i="63"/>
  <c r="AJ97" i="63"/>
  <c r="AK96" i="63"/>
  <c r="AJ96" i="63"/>
  <c r="AK95" i="63"/>
  <c r="AJ95" i="63"/>
  <c r="AK94" i="63"/>
  <c r="AJ94" i="63"/>
  <c r="AK93" i="63"/>
  <c r="AJ93" i="63"/>
  <c r="AK92" i="63"/>
  <c r="AJ92" i="63"/>
  <c r="AK91" i="63"/>
  <c r="AJ91" i="63"/>
  <c r="AK90" i="63"/>
  <c r="AJ90" i="63"/>
  <c r="AK89" i="63"/>
  <c r="AJ89" i="63"/>
  <c r="AK88" i="63"/>
  <c r="AJ88" i="63"/>
  <c r="AK87" i="63"/>
  <c r="AJ87" i="63"/>
  <c r="AK86" i="63"/>
  <c r="AJ86" i="63"/>
  <c r="AK85" i="63"/>
  <c r="AJ85" i="63"/>
  <c r="AK84" i="63"/>
  <c r="AJ84" i="63"/>
  <c r="AK83" i="63"/>
  <c r="AJ83" i="63"/>
  <c r="AK82" i="63"/>
  <c r="AJ82" i="63"/>
  <c r="AK81" i="63"/>
  <c r="AJ81" i="63"/>
  <c r="AK80" i="63"/>
  <c r="AJ80" i="63"/>
  <c r="AK79" i="63"/>
  <c r="AJ79" i="63"/>
  <c r="AK78" i="63"/>
  <c r="AJ78" i="63"/>
  <c r="AK77" i="63"/>
  <c r="AJ77" i="63"/>
  <c r="AK76" i="63"/>
  <c r="AJ76" i="63"/>
  <c r="AK75" i="63"/>
  <c r="AJ75" i="63"/>
  <c r="AK74" i="63"/>
  <c r="AJ74" i="63"/>
  <c r="AK73" i="63"/>
  <c r="AJ73" i="63"/>
  <c r="AK72" i="63"/>
  <c r="AJ72" i="63"/>
  <c r="AK71" i="63"/>
  <c r="AJ71" i="63"/>
  <c r="AK70" i="63"/>
  <c r="AJ70" i="63"/>
  <c r="AK69" i="63"/>
  <c r="AJ69" i="63"/>
  <c r="AK68" i="63"/>
  <c r="AJ68" i="63"/>
  <c r="AK67" i="63"/>
  <c r="AJ67" i="63"/>
  <c r="AK66" i="63"/>
  <c r="AJ66" i="63"/>
  <c r="AK65" i="63"/>
  <c r="AJ65" i="63"/>
  <c r="AK64" i="63"/>
  <c r="AJ64" i="63"/>
  <c r="AK63" i="63"/>
  <c r="AJ63" i="63"/>
  <c r="AK62" i="63"/>
  <c r="AJ62" i="63"/>
  <c r="AK61" i="63"/>
  <c r="AJ61" i="63"/>
  <c r="AK60" i="63"/>
  <c r="AJ60" i="63"/>
  <c r="AK59" i="63"/>
  <c r="AJ59" i="63"/>
  <c r="AK58" i="63"/>
  <c r="AJ58" i="63"/>
  <c r="AK57" i="63"/>
  <c r="AJ57" i="63"/>
  <c r="AK56" i="63"/>
  <c r="AJ56" i="63"/>
  <c r="AK55" i="63"/>
  <c r="AJ55" i="63"/>
  <c r="AK54" i="63"/>
  <c r="AJ54" i="63"/>
  <c r="AK53" i="63"/>
  <c r="AJ53" i="63"/>
  <c r="AK52" i="63"/>
  <c r="AJ52" i="63"/>
  <c r="AK51" i="63"/>
  <c r="AJ51" i="63"/>
  <c r="AK50" i="63"/>
  <c r="AJ50" i="63"/>
  <c r="AK49" i="63"/>
  <c r="AJ49" i="63"/>
  <c r="AK48" i="63"/>
  <c r="AJ48" i="63"/>
  <c r="AK47" i="63"/>
  <c r="AJ47" i="63"/>
  <c r="AK46" i="63"/>
  <c r="AJ46" i="63"/>
  <c r="AK45" i="63"/>
  <c r="AJ45" i="63"/>
  <c r="AK44" i="63"/>
  <c r="AJ44" i="63"/>
  <c r="AK43" i="63"/>
  <c r="AJ43" i="63"/>
  <c r="AK42" i="63"/>
  <c r="AJ42" i="63"/>
  <c r="AK41" i="63"/>
  <c r="AJ41" i="63"/>
  <c r="AK40" i="63"/>
  <c r="AJ40" i="63"/>
  <c r="AK39" i="63"/>
  <c r="AJ39" i="63"/>
  <c r="AK38" i="63"/>
  <c r="AJ38" i="63"/>
  <c r="AK37" i="63"/>
  <c r="AJ37" i="63"/>
  <c r="AK36" i="63"/>
  <c r="AJ36" i="63"/>
  <c r="AK35" i="63"/>
  <c r="AJ35" i="63"/>
  <c r="AK34" i="63"/>
  <c r="AJ34" i="63"/>
  <c r="AK33" i="63"/>
  <c r="AJ33" i="63"/>
  <c r="AK32" i="63"/>
  <c r="AJ32" i="63"/>
  <c r="AK31" i="63"/>
  <c r="AJ31" i="63"/>
  <c r="AK30" i="63"/>
  <c r="AJ30" i="63"/>
  <c r="AK29" i="63"/>
  <c r="AJ29" i="63"/>
  <c r="AK28" i="63"/>
  <c r="AJ28" i="63"/>
  <c r="AK27" i="63"/>
  <c r="AJ27" i="63"/>
  <c r="AK26" i="63"/>
  <c r="AJ26" i="63"/>
  <c r="AK25" i="63"/>
  <c r="AJ25" i="63"/>
  <c r="AK24" i="63"/>
  <c r="AJ24" i="63"/>
  <c r="AK23" i="63"/>
  <c r="AJ23" i="63"/>
  <c r="AK22" i="63"/>
  <c r="AJ22" i="63"/>
  <c r="AK21" i="63"/>
  <c r="AJ21" i="63"/>
  <c r="AK20" i="63"/>
  <c r="AJ20" i="63"/>
  <c r="AK19" i="63"/>
  <c r="AJ19" i="63"/>
  <c r="AK18" i="63"/>
  <c r="AJ18" i="63"/>
  <c r="AK17" i="63"/>
  <c r="AJ17" i="63"/>
  <c r="AK16" i="63"/>
  <c r="AJ16" i="63"/>
  <c r="AK15" i="63"/>
  <c r="AJ15" i="63"/>
  <c r="AK13" i="63"/>
  <c r="AJ13" i="63"/>
  <c r="AK12" i="63"/>
  <c r="AJ12" i="63"/>
  <c r="AK11" i="63"/>
  <c r="AJ11" i="63"/>
  <c r="AK10" i="63"/>
  <c r="AJ10" i="63"/>
  <c r="B3" i="63"/>
  <c r="AA23" i="53" l="1"/>
  <c r="Y7" i="107"/>
  <c r="AE13" i="63"/>
  <c r="R13" i="63" s="1"/>
  <c r="AE12" i="63"/>
  <c r="R12" i="63" s="1"/>
  <c r="AE252" i="63"/>
  <c r="R252" i="63" s="1"/>
  <c r="AE244" i="63"/>
  <c r="R244" i="63" s="1"/>
  <c r="AE236" i="63"/>
  <c r="R236" i="63" s="1"/>
  <c r="AE228" i="63"/>
  <c r="R228" i="63" s="1"/>
  <c r="AE220" i="63"/>
  <c r="R220" i="63" s="1"/>
  <c r="AE212" i="63"/>
  <c r="R212" i="63" s="1"/>
  <c r="AE204" i="63"/>
  <c r="R204" i="63" s="1"/>
  <c r="AE196" i="63"/>
  <c r="R196" i="63" s="1"/>
  <c r="AE188" i="63"/>
  <c r="R188" i="63" s="1"/>
  <c r="AE180" i="63"/>
  <c r="R180" i="63" s="1"/>
  <c r="AE172" i="63"/>
  <c r="R172" i="63" s="1"/>
  <c r="AE164" i="63"/>
  <c r="R164" i="63" s="1"/>
  <c r="AE156" i="63"/>
  <c r="R156" i="63" s="1"/>
  <c r="AE148" i="63"/>
  <c r="R148" i="63" s="1"/>
  <c r="AE140" i="63"/>
  <c r="R140" i="63" s="1"/>
  <c r="AE132" i="63"/>
  <c r="R132" i="63" s="1"/>
  <c r="AE124" i="63"/>
  <c r="R124" i="63" s="1"/>
  <c r="AE116" i="63"/>
  <c r="R116" i="63" s="1"/>
  <c r="AE108" i="63"/>
  <c r="R108" i="63" s="1"/>
  <c r="AE100" i="63"/>
  <c r="R100" i="63" s="1"/>
  <c r="AE92" i="63"/>
  <c r="R92" i="63" s="1"/>
  <c r="AE84" i="63"/>
  <c r="R84" i="63" s="1"/>
  <c r="AE76" i="63"/>
  <c r="R76" i="63" s="1"/>
  <c r="AE68" i="63"/>
  <c r="R68" i="63" s="1"/>
  <c r="AE60" i="63"/>
  <c r="R60" i="63" s="1"/>
  <c r="AE52" i="63"/>
  <c r="R52" i="63" s="1"/>
  <c r="AE44" i="63"/>
  <c r="R44" i="63" s="1"/>
  <c r="AE36" i="63"/>
  <c r="R36" i="63" s="1"/>
  <c r="AE28" i="63"/>
  <c r="R28" i="63" s="1"/>
  <c r="AE20" i="63"/>
  <c r="R20" i="63" s="1"/>
  <c r="AE251" i="63"/>
  <c r="R251" i="63" s="1"/>
  <c r="AE243" i="63"/>
  <c r="R243" i="63" s="1"/>
  <c r="AE235" i="63"/>
  <c r="R235" i="63" s="1"/>
  <c r="AE227" i="63"/>
  <c r="R227" i="63" s="1"/>
  <c r="AE219" i="63"/>
  <c r="R219" i="63" s="1"/>
  <c r="AE211" i="63"/>
  <c r="R211" i="63" s="1"/>
  <c r="AE203" i="63"/>
  <c r="R203" i="63" s="1"/>
  <c r="AE195" i="63"/>
  <c r="R195" i="63" s="1"/>
  <c r="AE187" i="63"/>
  <c r="R187" i="63" s="1"/>
  <c r="AE179" i="63"/>
  <c r="R179" i="63" s="1"/>
  <c r="AE171" i="63"/>
  <c r="R171" i="63" s="1"/>
  <c r="AE163" i="63"/>
  <c r="R163" i="63" s="1"/>
  <c r="AE155" i="63"/>
  <c r="R155" i="63" s="1"/>
  <c r="AE147" i="63"/>
  <c r="R147" i="63" s="1"/>
  <c r="AE139" i="63"/>
  <c r="R139" i="63" s="1"/>
  <c r="AE131" i="63"/>
  <c r="R131" i="63" s="1"/>
  <c r="AE123" i="63"/>
  <c r="R123" i="63" s="1"/>
  <c r="AE115" i="63"/>
  <c r="R115" i="63" s="1"/>
  <c r="AE107" i="63"/>
  <c r="R107" i="63" s="1"/>
  <c r="AE99" i="63"/>
  <c r="R99" i="63" s="1"/>
  <c r="AE91" i="63"/>
  <c r="R91" i="63" s="1"/>
  <c r="AE83" i="63"/>
  <c r="R83" i="63" s="1"/>
  <c r="AE75" i="63"/>
  <c r="R75" i="63" s="1"/>
  <c r="AE67" i="63"/>
  <c r="R67" i="63" s="1"/>
  <c r="AE59" i="63"/>
  <c r="R59" i="63" s="1"/>
  <c r="AE51" i="63"/>
  <c r="R51" i="63" s="1"/>
  <c r="AE43" i="63"/>
  <c r="R43" i="63" s="1"/>
  <c r="AE35" i="63"/>
  <c r="R35" i="63" s="1"/>
  <c r="AE27" i="63"/>
  <c r="R27" i="63" s="1"/>
  <c r="AE19" i="63"/>
  <c r="R19" i="63" s="1"/>
  <c r="AE250" i="63"/>
  <c r="R250" i="63" s="1"/>
  <c r="AE242" i="63"/>
  <c r="R242" i="63" s="1"/>
  <c r="AE234" i="63"/>
  <c r="R234" i="63" s="1"/>
  <c r="AE226" i="63"/>
  <c r="R226" i="63" s="1"/>
  <c r="AE218" i="63"/>
  <c r="R218" i="63" s="1"/>
  <c r="AE210" i="63"/>
  <c r="R210" i="63" s="1"/>
  <c r="AE202" i="63"/>
  <c r="R202" i="63" s="1"/>
  <c r="AE194" i="63"/>
  <c r="R194" i="63" s="1"/>
  <c r="AE186" i="63"/>
  <c r="R186" i="63" s="1"/>
  <c r="AE178" i="63"/>
  <c r="R178" i="63" s="1"/>
  <c r="AE170" i="63"/>
  <c r="R170" i="63" s="1"/>
  <c r="AE162" i="63"/>
  <c r="R162" i="63" s="1"/>
  <c r="AE154" i="63"/>
  <c r="R154" i="63" s="1"/>
  <c r="AE146" i="63"/>
  <c r="R146" i="63" s="1"/>
  <c r="AE138" i="63"/>
  <c r="R138" i="63" s="1"/>
  <c r="AE130" i="63"/>
  <c r="R130" i="63" s="1"/>
  <c r="AE122" i="63"/>
  <c r="R122" i="63" s="1"/>
  <c r="AE114" i="63"/>
  <c r="R114" i="63" s="1"/>
  <c r="AE106" i="63"/>
  <c r="R106" i="63" s="1"/>
  <c r="AE98" i="63"/>
  <c r="R98" i="63" s="1"/>
  <c r="AE90" i="63"/>
  <c r="R90" i="63" s="1"/>
  <c r="AE82" i="63"/>
  <c r="R82" i="63" s="1"/>
  <c r="AE74" i="63"/>
  <c r="R74" i="63" s="1"/>
  <c r="AE66" i="63"/>
  <c r="R66" i="63" s="1"/>
  <c r="AE58" i="63"/>
  <c r="R58" i="63" s="1"/>
  <c r="AE50" i="63"/>
  <c r="R50" i="63" s="1"/>
  <c r="AE42" i="63"/>
  <c r="R42" i="63" s="1"/>
  <c r="AE34" i="63"/>
  <c r="R34" i="63" s="1"/>
  <c r="AE26" i="63"/>
  <c r="R26" i="63" s="1"/>
  <c r="AE18" i="63"/>
  <c r="R18" i="63" s="1"/>
  <c r="AE257" i="63"/>
  <c r="R257" i="63" s="1"/>
  <c r="AE249" i="63"/>
  <c r="R249" i="63" s="1"/>
  <c r="AE241" i="63"/>
  <c r="R241" i="63" s="1"/>
  <c r="AE233" i="63"/>
  <c r="R233" i="63" s="1"/>
  <c r="AE225" i="63"/>
  <c r="R225" i="63" s="1"/>
  <c r="AE217" i="63"/>
  <c r="R217" i="63" s="1"/>
  <c r="AE209" i="63"/>
  <c r="R209" i="63" s="1"/>
  <c r="AE201" i="63"/>
  <c r="R201" i="63" s="1"/>
  <c r="AE193" i="63"/>
  <c r="R193" i="63" s="1"/>
  <c r="AE185" i="63"/>
  <c r="R185" i="63" s="1"/>
  <c r="AE177" i="63"/>
  <c r="R177" i="63" s="1"/>
  <c r="AE169" i="63"/>
  <c r="R169" i="63" s="1"/>
  <c r="AE161" i="63"/>
  <c r="R161" i="63" s="1"/>
  <c r="AE153" i="63"/>
  <c r="R153" i="63" s="1"/>
  <c r="AE145" i="63"/>
  <c r="R145" i="63" s="1"/>
  <c r="AE137" i="63"/>
  <c r="R137" i="63" s="1"/>
  <c r="AE129" i="63"/>
  <c r="R129" i="63" s="1"/>
  <c r="AE121" i="63"/>
  <c r="R121" i="63" s="1"/>
  <c r="AE113" i="63"/>
  <c r="R113" i="63" s="1"/>
  <c r="AE105" i="63"/>
  <c r="R105" i="63" s="1"/>
  <c r="AE97" i="63"/>
  <c r="R97" i="63" s="1"/>
  <c r="AE89" i="63"/>
  <c r="R89" i="63" s="1"/>
  <c r="AE81" i="63"/>
  <c r="R81" i="63" s="1"/>
  <c r="AE73" i="63"/>
  <c r="R73" i="63" s="1"/>
  <c r="AE65" i="63"/>
  <c r="R65" i="63" s="1"/>
  <c r="AE57" i="63"/>
  <c r="R57" i="63" s="1"/>
  <c r="AE49" i="63"/>
  <c r="R49" i="63" s="1"/>
  <c r="AE41" i="63"/>
  <c r="R41" i="63" s="1"/>
  <c r="AE33" i="63"/>
  <c r="R33" i="63" s="1"/>
  <c r="AE25" i="63"/>
  <c r="R25" i="63" s="1"/>
  <c r="AE17" i="63"/>
  <c r="R17" i="63" s="1"/>
  <c r="AE256" i="63"/>
  <c r="R256" i="63" s="1"/>
  <c r="AE248" i="63"/>
  <c r="R248" i="63" s="1"/>
  <c r="AE240" i="63"/>
  <c r="R240" i="63" s="1"/>
  <c r="AE232" i="63"/>
  <c r="R232" i="63" s="1"/>
  <c r="AE224" i="63"/>
  <c r="R224" i="63" s="1"/>
  <c r="AE216" i="63"/>
  <c r="R216" i="63" s="1"/>
  <c r="AE208" i="63"/>
  <c r="R208" i="63" s="1"/>
  <c r="AE200" i="63"/>
  <c r="R200" i="63" s="1"/>
  <c r="AE192" i="63"/>
  <c r="R192" i="63" s="1"/>
  <c r="AE184" i="63"/>
  <c r="R184" i="63" s="1"/>
  <c r="AE176" i="63"/>
  <c r="R176" i="63" s="1"/>
  <c r="AE168" i="63"/>
  <c r="R168" i="63" s="1"/>
  <c r="AE160" i="63"/>
  <c r="R160" i="63" s="1"/>
  <c r="AE152" i="63"/>
  <c r="R152" i="63" s="1"/>
  <c r="AE144" i="63"/>
  <c r="R144" i="63" s="1"/>
  <c r="AE136" i="63"/>
  <c r="R136" i="63" s="1"/>
  <c r="AE128" i="63"/>
  <c r="R128" i="63" s="1"/>
  <c r="AE120" i="63"/>
  <c r="R120" i="63" s="1"/>
  <c r="AE112" i="63"/>
  <c r="R112" i="63" s="1"/>
  <c r="AE104" i="63"/>
  <c r="R104" i="63" s="1"/>
  <c r="AE96" i="63"/>
  <c r="R96" i="63" s="1"/>
  <c r="AE88" i="63"/>
  <c r="R88" i="63" s="1"/>
  <c r="AE80" i="63"/>
  <c r="R80" i="63" s="1"/>
  <c r="AE72" i="63"/>
  <c r="R72" i="63" s="1"/>
  <c r="AE64" i="63"/>
  <c r="R64" i="63" s="1"/>
  <c r="AE56" i="63"/>
  <c r="R56" i="63" s="1"/>
  <c r="AE48" i="63"/>
  <c r="R48" i="63" s="1"/>
  <c r="AE40" i="63"/>
  <c r="R40" i="63" s="1"/>
  <c r="AE32" i="63"/>
  <c r="R32" i="63" s="1"/>
  <c r="AE24" i="63"/>
  <c r="R24" i="63" s="1"/>
  <c r="AE16" i="63"/>
  <c r="R16" i="63" s="1"/>
  <c r="AE255" i="63"/>
  <c r="R255" i="63" s="1"/>
  <c r="AE247" i="63"/>
  <c r="R247" i="63" s="1"/>
  <c r="AE239" i="63"/>
  <c r="R239" i="63" s="1"/>
  <c r="AE231" i="63"/>
  <c r="R231" i="63" s="1"/>
  <c r="AE223" i="63"/>
  <c r="R223" i="63" s="1"/>
  <c r="AE215" i="63"/>
  <c r="R215" i="63" s="1"/>
  <c r="AE207" i="63"/>
  <c r="R207" i="63" s="1"/>
  <c r="AE199" i="63"/>
  <c r="R199" i="63" s="1"/>
  <c r="AE191" i="63"/>
  <c r="R191" i="63" s="1"/>
  <c r="AE183" i="63"/>
  <c r="R183" i="63" s="1"/>
  <c r="AE175" i="63"/>
  <c r="R175" i="63" s="1"/>
  <c r="AE167" i="63"/>
  <c r="R167" i="63" s="1"/>
  <c r="AE159" i="63"/>
  <c r="R159" i="63" s="1"/>
  <c r="AE151" i="63"/>
  <c r="R151" i="63" s="1"/>
  <c r="AE143" i="63"/>
  <c r="R143" i="63" s="1"/>
  <c r="AE135" i="63"/>
  <c r="R135" i="63" s="1"/>
  <c r="AE127" i="63"/>
  <c r="R127" i="63" s="1"/>
  <c r="AE119" i="63"/>
  <c r="R119" i="63" s="1"/>
  <c r="AE111" i="63"/>
  <c r="R111" i="63" s="1"/>
  <c r="AE103" i="63"/>
  <c r="R103" i="63" s="1"/>
  <c r="AE95" i="63"/>
  <c r="R95" i="63" s="1"/>
  <c r="AE87" i="63"/>
  <c r="R87" i="63" s="1"/>
  <c r="AE79" i="63"/>
  <c r="R79" i="63" s="1"/>
  <c r="AE71" i="63"/>
  <c r="R71" i="63" s="1"/>
  <c r="AE63" i="63"/>
  <c r="R63" i="63" s="1"/>
  <c r="AE55" i="63"/>
  <c r="R55" i="63" s="1"/>
  <c r="AE47" i="63"/>
  <c r="R47" i="63" s="1"/>
  <c r="AE39" i="63"/>
  <c r="R39" i="63" s="1"/>
  <c r="AE31" i="63"/>
  <c r="R31" i="63" s="1"/>
  <c r="AE23" i="63"/>
  <c r="R23" i="63" s="1"/>
  <c r="AE15" i="63"/>
  <c r="R15" i="63" s="1"/>
  <c r="AE254" i="63"/>
  <c r="R254" i="63" s="1"/>
  <c r="AE246" i="63"/>
  <c r="R246" i="63" s="1"/>
  <c r="AE238" i="63"/>
  <c r="R238" i="63" s="1"/>
  <c r="AE230" i="63"/>
  <c r="R230" i="63" s="1"/>
  <c r="AE222" i="63"/>
  <c r="R222" i="63" s="1"/>
  <c r="AE214" i="63"/>
  <c r="R214" i="63" s="1"/>
  <c r="AE206" i="63"/>
  <c r="R206" i="63" s="1"/>
  <c r="AE198" i="63"/>
  <c r="R198" i="63" s="1"/>
  <c r="AE190" i="63"/>
  <c r="R190" i="63" s="1"/>
  <c r="AE182" i="63"/>
  <c r="R182" i="63" s="1"/>
  <c r="AE174" i="63"/>
  <c r="R174" i="63" s="1"/>
  <c r="AE166" i="63"/>
  <c r="R166" i="63" s="1"/>
  <c r="AE158" i="63"/>
  <c r="R158" i="63" s="1"/>
  <c r="AE150" i="63"/>
  <c r="R150" i="63" s="1"/>
  <c r="AE142" i="63"/>
  <c r="R142" i="63" s="1"/>
  <c r="AE134" i="63"/>
  <c r="R134" i="63" s="1"/>
  <c r="AE126" i="63"/>
  <c r="R126" i="63" s="1"/>
  <c r="AE118" i="63"/>
  <c r="R118" i="63" s="1"/>
  <c r="AE110" i="63"/>
  <c r="R110" i="63" s="1"/>
  <c r="AE102" i="63"/>
  <c r="R102" i="63" s="1"/>
  <c r="AE94" i="63"/>
  <c r="R94" i="63" s="1"/>
  <c r="AE86" i="63"/>
  <c r="R86" i="63" s="1"/>
  <c r="AE78" i="63"/>
  <c r="R78" i="63" s="1"/>
  <c r="AE70" i="63"/>
  <c r="R70" i="63" s="1"/>
  <c r="AE62" i="63"/>
  <c r="R62" i="63" s="1"/>
  <c r="AE54" i="63"/>
  <c r="R54" i="63" s="1"/>
  <c r="AE46" i="63"/>
  <c r="R46" i="63" s="1"/>
  <c r="AE38" i="63"/>
  <c r="R38" i="63" s="1"/>
  <c r="AE30" i="63"/>
  <c r="R30" i="63" s="1"/>
  <c r="AE22" i="63"/>
  <c r="R22" i="63" s="1"/>
  <c r="AE253" i="63"/>
  <c r="R253" i="63" s="1"/>
  <c r="AE245" i="63"/>
  <c r="R245" i="63" s="1"/>
  <c r="AE237" i="63"/>
  <c r="R237" i="63" s="1"/>
  <c r="AE229" i="63"/>
  <c r="R229" i="63" s="1"/>
  <c r="AE221" i="63"/>
  <c r="R221" i="63" s="1"/>
  <c r="AE213" i="63"/>
  <c r="R213" i="63" s="1"/>
  <c r="AE205" i="63"/>
  <c r="R205" i="63" s="1"/>
  <c r="AE197" i="63"/>
  <c r="R197" i="63" s="1"/>
  <c r="AE189" i="63"/>
  <c r="R189" i="63" s="1"/>
  <c r="AE181" i="63"/>
  <c r="R181" i="63" s="1"/>
  <c r="AE173" i="63"/>
  <c r="R173" i="63" s="1"/>
  <c r="AE165" i="63"/>
  <c r="R165" i="63" s="1"/>
  <c r="AE157" i="63"/>
  <c r="R157" i="63" s="1"/>
  <c r="AE149" i="63"/>
  <c r="R149" i="63" s="1"/>
  <c r="AE141" i="63"/>
  <c r="R141" i="63" s="1"/>
  <c r="AE133" i="63"/>
  <c r="R133" i="63" s="1"/>
  <c r="AE125" i="63"/>
  <c r="R125" i="63" s="1"/>
  <c r="AE117" i="63"/>
  <c r="R117" i="63" s="1"/>
  <c r="AE109" i="63"/>
  <c r="R109" i="63" s="1"/>
  <c r="AE101" i="63"/>
  <c r="R101" i="63" s="1"/>
  <c r="AE93" i="63"/>
  <c r="R93" i="63" s="1"/>
  <c r="AE85" i="63"/>
  <c r="R85" i="63" s="1"/>
  <c r="AE77" i="63"/>
  <c r="R77" i="63" s="1"/>
  <c r="AE69" i="63"/>
  <c r="R69" i="63" s="1"/>
  <c r="AE61" i="63"/>
  <c r="R61" i="63" s="1"/>
  <c r="AE53" i="63"/>
  <c r="R53" i="63" s="1"/>
  <c r="AE45" i="63"/>
  <c r="R45" i="63" s="1"/>
  <c r="AE37" i="63"/>
  <c r="R37" i="63" s="1"/>
  <c r="AE29" i="63"/>
  <c r="R29" i="63" s="1"/>
  <c r="AE21" i="63"/>
  <c r="R21" i="63" s="1"/>
  <c r="AE10" i="63"/>
  <c r="R10" i="63" s="1"/>
  <c r="AE11" i="63"/>
  <c r="R11" i="63" s="1"/>
  <c r="X176" i="22"/>
  <c r="X172" i="22"/>
  <c r="BK43" i="108"/>
  <c r="T174" i="22"/>
  <c r="AF13" i="63"/>
  <c r="AF12" i="63"/>
  <c r="AF18" i="63"/>
  <c r="AF17" i="63"/>
  <c r="AF16" i="63"/>
  <c r="AF15" i="63"/>
  <c r="AF243" i="63"/>
  <c r="AF211" i="63"/>
  <c r="AF179" i="63"/>
  <c r="AF139" i="63"/>
  <c r="AF91" i="63"/>
  <c r="AF67" i="63"/>
  <c r="AF19" i="63"/>
  <c r="AF250" i="63"/>
  <c r="AF242" i="63"/>
  <c r="AF234" i="63"/>
  <c r="AF226" i="63"/>
  <c r="AF218" i="63"/>
  <c r="AF210" i="63"/>
  <c r="AF202" i="63"/>
  <c r="AF194" i="63"/>
  <c r="AF186" i="63"/>
  <c r="AF178" i="63"/>
  <c r="AF170" i="63"/>
  <c r="AF162" i="63"/>
  <c r="AF154" i="63"/>
  <c r="AF146" i="63"/>
  <c r="AF138" i="63"/>
  <c r="AF130" i="63"/>
  <c r="AF122" i="63"/>
  <c r="AF114" i="63"/>
  <c r="AF106" i="63"/>
  <c r="AF98" i="63"/>
  <c r="AF90" i="63"/>
  <c r="AF82" i="63"/>
  <c r="AF74" i="63"/>
  <c r="AF66" i="63"/>
  <c r="AF58" i="63"/>
  <c r="AF50" i="63"/>
  <c r="AF42" i="63"/>
  <c r="AF34" i="63"/>
  <c r="AF26" i="63"/>
  <c r="AF107" i="63"/>
  <c r="AF257" i="63"/>
  <c r="AF249" i="63"/>
  <c r="AF241" i="63"/>
  <c r="AF233" i="63"/>
  <c r="AF225" i="63"/>
  <c r="AF217" i="63"/>
  <c r="AF209" i="63"/>
  <c r="AF201" i="63"/>
  <c r="AF193" i="63"/>
  <c r="AF185" i="63"/>
  <c r="AF177" i="63"/>
  <c r="AF169" i="63"/>
  <c r="AF161" i="63"/>
  <c r="AF153" i="63"/>
  <c r="AF145" i="63"/>
  <c r="AF137" i="63"/>
  <c r="AF129" i="63"/>
  <c r="AF121" i="63"/>
  <c r="AF113" i="63"/>
  <c r="AF105" i="63"/>
  <c r="AF97" i="63"/>
  <c r="AF89" i="63"/>
  <c r="AF81" i="63"/>
  <c r="AF73" i="63"/>
  <c r="AF65" i="63"/>
  <c r="AF57" i="63"/>
  <c r="AF49" i="63"/>
  <c r="AF41" i="63"/>
  <c r="AF33" i="63"/>
  <c r="AF25" i="63"/>
  <c r="AF227" i="63"/>
  <c r="AF187" i="63"/>
  <c r="AF123" i="63"/>
  <c r="AF51" i="63"/>
  <c r="AF256" i="63"/>
  <c r="AF248" i="63"/>
  <c r="AF240" i="63"/>
  <c r="AF232" i="63"/>
  <c r="AF224" i="63"/>
  <c r="AF216" i="63"/>
  <c r="AF208" i="63"/>
  <c r="AF200" i="63"/>
  <c r="AF192" i="63"/>
  <c r="AF184" i="63"/>
  <c r="AF176" i="63"/>
  <c r="AF168" i="63"/>
  <c r="AF160" i="63"/>
  <c r="AF152" i="63"/>
  <c r="AF144" i="63"/>
  <c r="AF136" i="63"/>
  <c r="AF128" i="63"/>
  <c r="AF120" i="63"/>
  <c r="AF112" i="63"/>
  <c r="AF104" i="63"/>
  <c r="AF96" i="63"/>
  <c r="AF88" i="63"/>
  <c r="AF80" i="63"/>
  <c r="AF72" i="63"/>
  <c r="AF64" i="63"/>
  <c r="AF56" i="63"/>
  <c r="AF48" i="63"/>
  <c r="AF40" i="63"/>
  <c r="AF32" i="63"/>
  <c r="AF24" i="63"/>
  <c r="AF235" i="63"/>
  <c r="AF203" i="63"/>
  <c r="AF163" i="63"/>
  <c r="AF131" i="63"/>
  <c r="AF83" i="63"/>
  <c r="AF59" i="63"/>
  <c r="AF27" i="63"/>
  <c r="AF255" i="63"/>
  <c r="AF247" i="63"/>
  <c r="AF239" i="63"/>
  <c r="AF231" i="63"/>
  <c r="AF223" i="63"/>
  <c r="AF215" i="63"/>
  <c r="AF207" i="63"/>
  <c r="AF199" i="63"/>
  <c r="AF191" i="63"/>
  <c r="AF183" i="63"/>
  <c r="AF175" i="63"/>
  <c r="AF167" i="63"/>
  <c r="AF159" i="63"/>
  <c r="AF151" i="63"/>
  <c r="AF143" i="63"/>
  <c r="AF135" i="63"/>
  <c r="AF127" i="63"/>
  <c r="AF119" i="63"/>
  <c r="AF111" i="63"/>
  <c r="AF103" i="63"/>
  <c r="AF95" i="63"/>
  <c r="AF87" i="63"/>
  <c r="AF79" i="63"/>
  <c r="AF71" i="63"/>
  <c r="AF63" i="63"/>
  <c r="AF55" i="63"/>
  <c r="AF47" i="63"/>
  <c r="AF39" i="63"/>
  <c r="AF31" i="63"/>
  <c r="AF23" i="63"/>
  <c r="AF251" i="63"/>
  <c r="AF195" i="63"/>
  <c r="AF155" i="63"/>
  <c r="AF99" i="63"/>
  <c r="AF75" i="63"/>
  <c r="AF35" i="63"/>
  <c r="AF254" i="63"/>
  <c r="AF246" i="63"/>
  <c r="AF238" i="63"/>
  <c r="AF230" i="63"/>
  <c r="AF222" i="63"/>
  <c r="AF214" i="63"/>
  <c r="AF206" i="63"/>
  <c r="AF198" i="63"/>
  <c r="AF190" i="63"/>
  <c r="AF182" i="63"/>
  <c r="AF174" i="63"/>
  <c r="AF166" i="63"/>
  <c r="AF158" i="63"/>
  <c r="AF150" i="63"/>
  <c r="AF142" i="63"/>
  <c r="AF134" i="63"/>
  <c r="AF126" i="63"/>
  <c r="AF118" i="63"/>
  <c r="AF110" i="63"/>
  <c r="AF102" i="63"/>
  <c r="AF94" i="63"/>
  <c r="AF86" i="63"/>
  <c r="AF78" i="63"/>
  <c r="AF70" i="63"/>
  <c r="AF62" i="63"/>
  <c r="AF54" i="63"/>
  <c r="AF46" i="63"/>
  <c r="AF38" i="63"/>
  <c r="AF30" i="63"/>
  <c r="AF22" i="63"/>
  <c r="AF147" i="63"/>
  <c r="AF253" i="63"/>
  <c r="AF245" i="63"/>
  <c r="AF237" i="63"/>
  <c r="AF229" i="63"/>
  <c r="AF221" i="63"/>
  <c r="AF213" i="63"/>
  <c r="AF205" i="63"/>
  <c r="AF197" i="63"/>
  <c r="AF189" i="63"/>
  <c r="AF181" i="63"/>
  <c r="AF173" i="63"/>
  <c r="AF165" i="63"/>
  <c r="AF157" i="63"/>
  <c r="AF149" i="63"/>
  <c r="AF141" i="63"/>
  <c r="AF133" i="63"/>
  <c r="AF125" i="63"/>
  <c r="AF117" i="63"/>
  <c r="AF109" i="63"/>
  <c r="AF101" i="63"/>
  <c r="AF93" i="63"/>
  <c r="AF85" i="63"/>
  <c r="AF77" i="63"/>
  <c r="AF69" i="63"/>
  <c r="AF61" i="63"/>
  <c r="AF53" i="63"/>
  <c r="AF45" i="63"/>
  <c r="AF37" i="63"/>
  <c r="AF29" i="63"/>
  <c r="AF21" i="63"/>
  <c r="AF219" i="63"/>
  <c r="AF171" i="63"/>
  <c r="AF115" i="63"/>
  <c r="AF43" i="63"/>
  <c r="AF252" i="63"/>
  <c r="AF244" i="63"/>
  <c r="AF236" i="63"/>
  <c r="AF228" i="63"/>
  <c r="AF220" i="63"/>
  <c r="AF212" i="63"/>
  <c r="AF204" i="63"/>
  <c r="AF196" i="63"/>
  <c r="AF188" i="63"/>
  <c r="AF180" i="63"/>
  <c r="AF172" i="63"/>
  <c r="AF164" i="63"/>
  <c r="AF156" i="63"/>
  <c r="AF148" i="63"/>
  <c r="AF140" i="63"/>
  <c r="AF132" i="63"/>
  <c r="AF124" i="63"/>
  <c r="AF116" i="63"/>
  <c r="AF108" i="63"/>
  <c r="AF100" i="63"/>
  <c r="AF92" i="63"/>
  <c r="AF84" i="63"/>
  <c r="AF76" i="63"/>
  <c r="AF68" i="63"/>
  <c r="AF60" i="63"/>
  <c r="AF52" i="63"/>
  <c r="AF44" i="63"/>
  <c r="AF36" i="63"/>
  <c r="AF28" i="63"/>
  <c r="AF20" i="63"/>
  <c r="G13" i="63"/>
  <c r="W13" i="63" s="1"/>
  <c r="G12" i="63"/>
  <c r="W12" i="63" s="1"/>
  <c r="G11" i="63"/>
  <c r="W11" i="63" s="1"/>
  <c r="AC26" i="53"/>
  <c r="O26" i="53"/>
  <c r="Q12" i="64"/>
  <c r="AA24" i="53"/>
  <c r="N26" i="53"/>
  <c r="V174" i="22"/>
  <c r="S21" i="64"/>
  <c r="T21" i="64" s="1"/>
  <c r="U21" i="64" s="1"/>
  <c r="S20" i="64"/>
  <c r="T20" i="64" s="1"/>
  <c r="U20" i="64" s="1"/>
  <c r="S19" i="64"/>
  <c r="T19" i="64" s="1"/>
  <c r="U19" i="64" s="1"/>
  <c r="S18" i="64"/>
  <c r="T18" i="64" s="1"/>
  <c r="U18" i="64" s="1"/>
  <c r="S17" i="64"/>
  <c r="T17" i="64" s="1"/>
  <c r="U17" i="64" s="1"/>
  <c r="S16" i="64"/>
  <c r="T16" i="64" s="1"/>
  <c r="U16" i="64" s="1"/>
  <c r="S15" i="64"/>
  <c r="T15" i="64" s="1"/>
  <c r="U15" i="64" s="1"/>
  <c r="S14" i="64"/>
  <c r="T14" i="64" s="1"/>
  <c r="U14" i="64" s="1"/>
  <c r="X170" i="63"/>
  <c r="AT24" i="53"/>
  <c r="Q24" i="53"/>
  <c r="AD24" i="53"/>
  <c r="S44" i="64"/>
  <c r="T44" i="64" s="1"/>
  <c r="S13" i="64"/>
  <c r="T13" i="64" s="1"/>
  <c r="U13" i="64" s="1"/>
  <c r="X32" i="63"/>
  <c r="X31" i="63"/>
  <c r="X30" i="63"/>
  <c r="X29" i="63"/>
  <c r="X28" i="63"/>
  <c r="X27" i="63"/>
  <c r="X26" i="63"/>
  <c r="X25" i="63"/>
  <c r="X24" i="63"/>
  <c r="X23" i="63"/>
  <c r="X22" i="63"/>
  <c r="X21" i="63"/>
  <c r="X20" i="63"/>
  <c r="X19" i="63"/>
  <c r="X18" i="63"/>
  <c r="X17" i="63"/>
  <c r="X16" i="63"/>
  <c r="X256" i="63"/>
  <c r="X47" i="63"/>
  <c r="X38" i="63"/>
  <c r="Q259" i="64"/>
  <c r="T259" i="64"/>
  <c r="Q258" i="64"/>
  <c r="T258" i="64"/>
  <c r="X15" i="63"/>
  <c r="V175" i="22"/>
  <c r="X13" i="63"/>
  <c r="X12" i="63"/>
  <c r="AE21" i="53"/>
  <c r="AF21" i="53" s="1"/>
  <c r="X248" i="63"/>
  <c r="R25" i="53"/>
  <c r="X25" i="53" s="1"/>
  <c r="AB25" i="53" s="1"/>
  <c r="G10" i="63"/>
  <c r="W10" i="63" s="1"/>
  <c r="AT25" i="53"/>
  <c r="AD25" i="53"/>
  <c r="Q25" i="53"/>
  <c r="AK25" i="52" a="1"/>
  <c r="AK25" i="52" s="1"/>
  <c r="B27" i="53" s="1"/>
  <c r="P26" i="53"/>
  <c r="L26" i="53"/>
  <c r="H26" i="53"/>
  <c r="D26" i="53"/>
  <c r="F26" i="53"/>
  <c r="I26" i="53"/>
  <c r="E26" i="53"/>
  <c r="K26" i="53"/>
  <c r="AH26" i="53" s="1"/>
  <c r="J26" i="53"/>
  <c r="G26" i="53"/>
  <c r="C26" i="53"/>
  <c r="F255" i="64"/>
  <c r="F247" i="64"/>
  <c r="F239" i="64"/>
  <c r="F231" i="64"/>
  <c r="F223" i="64"/>
  <c r="F215" i="64"/>
  <c r="F207" i="64"/>
  <c r="F199" i="64"/>
  <c r="F191" i="64"/>
  <c r="F183" i="64"/>
  <c r="F175" i="64"/>
  <c r="F167" i="64"/>
  <c r="F159" i="64"/>
  <c r="F151" i="64"/>
  <c r="F143" i="64"/>
  <c r="F135" i="64"/>
  <c r="F127" i="64"/>
  <c r="F119" i="64"/>
  <c r="F111" i="64"/>
  <c r="F103" i="64"/>
  <c r="F95" i="64"/>
  <c r="F87" i="64"/>
  <c r="F79" i="64"/>
  <c r="F71" i="64"/>
  <c r="F63" i="64"/>
  <c r="F55" i="64"/>
  <c r="F47" i="64"/>
  <c r="F39" i="64"/>
  <c r="F31" i="64"/>
  <c r="F23" i="64"/>
  <c r="F15" i="64"/>
  <c r="F254" i="64"/>
  <c r="F246" i="64"/>
  <c r="F238" i="64"/>
  <c r="F230" i="64"/>
  <c r="F222" i="64"/>
  <c r="F214" i="64"/>
  <c r="F206" i="64"/>
  <c r="F198" i="64"/>
  <c r="F190" i="64"/>
  <c r="F182" i="64"/>
  <c r="F174" i="64"/>
  <c r="F166" i="64"/>
  <c r="F158" i="64"/>
  <c r="F150" i="64"/>
  <c r="F142" i="64"/>
  <c r="F134" i="64"/>
  <c r="F126" i="64"/>
  <c r="F118" i="64"/>
  <c r="F110" i="64"/>
  <c r="F102" i="64"/>
  <c r="F94" i="64"/>
  <c r="F86" i="64"/>
  <c r="F78" i="64"/>
  <c r="F70" i="64"/>
  <c r="F62" i="64"/>
  <c r="F54" i="64"/>
  <c r="F46" i="64"/>
  <c r="F38" i="64"/>
  <c r="F30" i="64"/>
  <c r="F22" i="64"/>
  <c r="F14" i="64"/>
  <c r="F253" i="64"/>
  <c r="F245" i="64"/>
  <c r="F237" i="64"/>
  <c r="F229" i="64"/>
  <c r="F221" i="64"/>
  <c r="F213" i="64"/>
  <c r="F205" i="64"/>
  <c r="F197" i="64"/>
  <c r="F189" i="64"/>
  <c r="F181" i="64"/>
  <c r="F173" i="64"/>
  <c r="F165" i="64"/>
  <c r="F157" i="64"/>
  <c r="F149" i="64"/>
  <c r="F141" i="64"/>
  <c r="F133" i="64"/>
  <c r="F125" i="64"/>
  <c r="F117" i="64"/>
  <c r="F109" i="64"/>
  <c r="F101" i="64"/>
  <c r="F93" i="64"/>
  <c r="F85" i="64"/>
  <c r="F77" i="64"/>
  <c r="F69" i="64"/>
  <c r="F61" i="64"/>
  <c r="F53" i="64"/>
  <c r="F45" i="64"/>
  <c r="F37" i="64"/>
  <c r="F29" i="64"/>
  <c r="F21" i="64"/>
  <c r="Z21" i="64" s="1"/>
  <c r="F13" i="64"/>
  <c r="F12" i="64"/>
  <c r="F252" i="64"/>
  <c r="F244" i="64"/>
  <c r="F236" i="64"/>
  <c r="F228" i="64"/>
  <c r="F220" i="64"/>
  <c r="F212" i="64"/>
  <c r="F204" i="64"/>
  <c r="F196" i="64"/>
  <c r="F188" i="64"/>
  <c r="F180" i="64"/>
  <c r="F172" i="64"/>
  <c r="F164" i="64"/>
  <c r="F156" i="64"/>
  <c r="F148" i="64"/>
  <c r="F140" i="64"/>
  <c r="F132" i="64"/>
  <c r="F124" i="64"/>
  <c r="F116" i="64"/>
  <c r="F108" i="64"/>
  <c r="F100" i="64"/>
  <c r="F92" i="64"/>
  <c r="F84" i="64"/>
  <c r="F76" i="64"/>
  <c r="F68" i="64"/>
  <c r="F60" i="64"/>
  <c r="F52" i="64"/>
  <c r="F44" i="64"/>
  <c r="F36" i="64"/>
  <c r="F28" i="64"/>
  <c r="F20" i="64"/>
  <c r="Z20" i="64" s="1"/>
  <c r="F251" i="64"/>
  <c r="F243" i="64"/>
  <c r="F235" i="64"/>
  <c r="F227" i="64"/>
  <c r="F219" i="64"/>
  <c r="F211" i="64"/>
  <c r="F203" i="64"/>
  <c r="F195" i="64"/>
  <c r="F187" i="64"/>
  <c r="F179" i="64"/>
  <c r="F171" i="64"/>
  <c r="F163" i="64"/>
  <c r="F155" i="64"/>
  <c r="F147" i="64"/>
  <c r="F139" i="64"/>
  <c r="F131" i="64"/>
  <c r="F123" i="64"/>
  <c r="F115" i="64"/>
  <c r="F107" i="64"/>
  <c r="F99" i="64"/>
  <c r="F91" i="64"/>
  <c r="F83" i="64"/>
  <c r="F75" i="64"/>
  <c r="F67" i="64"/>
  <c r="F59" i="64"/>
  <c r="F51" i="64"/>
  <c r="F43" i="64"/>
  <c r="F35" i="64"/>
  <c r="F27" i="64"/>
  <c r="F19" i="64"/>
  <c r="Z19" i="64" s="1"/>
  <c r="F250" i="64"/>
  <c r="F242" i="64"/>
  <c r="F234" i="64"/>
  <c r="F226" i="64"/>
  <c r="F218" i="64"/>
  <c r="F210" i="64"/>
  <c r="F202" i="64"/>
  <c r="F194" i="64"/>
  <c r="F186" i="64"/>
  <c r="F178" i="64"/>
  <c r="F170" i="64"/>
  <c r="F162" i="64"/>
  <c r="F154" i="64"/>
  <c r="F146" i="64"/>
  <c r="F138" i="64"/>
  <c r="F130" i="64"/>
  <c r="F122" i="64"/>
  <c r="F114" i="64"/>
  <c r="F106" i="64"/>
  <c r="F98" i="64"/>
  <c r="F90" i="64"/>
  <c r="F82" i="64"/>
  <c r="F74" i="64"/>
  <c r="F66" i="64"/>
  <c r="F58" i="64"/>
  <c r="F50" i="64"/>
  <c r="F42" i="64"/>
  <c r="F34" i="64"/>
  <c r="F26" i="64"/>
  <c r="F18" i="64"/>
  <c r="Z18" i="64" s="1"/>
  <c r="F257" i="64"/>
  <c r="F249" i="64"/>
  <c r="F241" i="64"/>
  <c r="F233" i="64"/>
  <c r="F225" i="64"/>
  <c r="F217" i="64"/>
  <c r="F209" i="64"/>
  <c r="F201" i="64"/>
  <c r="F193" i="64"/>
  <c r="F185" i="64"/>
  <c r="F177" i="64"/>
  <c r="F169" i="64"/>
  <c r="F161" i="64"/>
  <c r="F153" i="64"/>
  <c r="F145" i="64"/>
  <c r="F137" i="64"/>
  <c r="F129" i="64"/>
  <c r="F121" i="64"/>
  <c r="F113" i="64"/>
  <c r="F105" i="64"/>
  <c r="F97" i="64"/>
  <c r="F89" i="64"/>
  <c r="F81" i="64"/>
  <c r="F73" i="64"/>
  <c r="F65" i="64"/>
  <c r="F57" i="64"/>
  <c r="F49" i="64"/>
  <c r="F41" i="64"/>
  <c r="F33" i="64"/>
  <c r="F25" i="64"/>
  <c r="F17" i="64"/>
  <c r="F256" i="64"/>
  <c r="F248" i="64"/>
  <c r="F240" i="64"/>
  <c r="F232" i="64"/>
  <c r="F224" i="64"/>
  <c r="F216" i="64"/>
  <c r="F208" i="64"/>
  <c r="F200" i="64"/>
  <c r="F192" i="64"/>
  <c r="F184" i="64"/>
  <c r="F176" i="64"/>
  <c r="F168" i="64"/>
  <c r="F160" i="64"/>
  <c r="F152" i="64"/>
  <c r="F144" i="64"/>
  <c r="F136" i="64"/>
  <c r="F128" i="64"/>
  <c r="F120" i="64"/>
  <c r="F112" i="64"/>
  <c r="F104" i="64"/>
  <c r="F96" i="64"/>
  <c r="F88" i="64"/>
  <c r="F80" i="64"/>
  <c r="F72" i="64"/>
  <c r="F64" i="64"/>
  <c r="F56" i="64"/>
  <c r="F48" i="64"/>
  <c r="F40" i="64"/>
  <c r="F32" i="64"/>
  <c r="F24" i="64"/>
  <c r="F16" i="64"/>
  <c r="X7" i="107" l="1"/>
  <c r="AF10" i="63"/>
  <c r="V176" i="22"/>
  <c r="AF11" i="63"/>
  <c r="V173" i="22"/>
  <c r="V172" i="22"/>
  <c r="X11" i="63"/>
  <c r="S12" i="64"/>
  <c r="T12" i="64" s="1"/>
  <c r="U12" i="64" s="1"/>
  <c r="Z12" i="64" s="1"/>
  <c r="AC27" i="53"/>
  <c r="O27" i="53"/>
  <c r="AA25" i="53"/>
  <c r="N27" i="53"/>
  <c r="Z17" i="64"/>
  <c r="Z16" i="64"/>
  <c r="V2" i="64"/>
  <c r="AG24" i="53"/>
  <c r="AE25" i="53"/>
  <c r="AF25" i="53" s="1"/>
  <c r="AE24" i="53"/>
  <c r="AF24" i="53" s="1"/>
  <c r="AE23" i="53"/>
  <c r="AF23" i="53" s="1"/>
  <c r="Z44" i="64"/>
  <c r="R26" i="53"/>
  <c r="X26" i="53" s="1"/>
  <c r="AB26" i="53" s="1"/>
  <c r="X10" i="63"/>
  <c r="Z15" i="64"/>
  <c r="Z14" i="64"/>
  <c r="Z13" i="64"/>
  <c r="AT26" i="53"/>
  <c r="AD26" i="53"/>
  <c r="AK26" i="52" a="1"/>
  <c r="AK26" i="52" s="1"/>
  <c r="B28" i="53" s="1"/>
  <c r="Q26" i="53"/>
  <c r="H27" i="53"/>
  <c r="G27" i="53"/>
  <c r="P27" i="53"/>
  <c r="E27" i="53"/>
  <c r="D27" i="53"/>
  <c r="C27" i="53"/>
  <c r="L27" i="53"/>
  <c r="K27" i="53"/>
  <c r="AH27" i="53" s="1"/>
  <c r="I27" i="53"/>
  <c r="F27" i="53"/>
  <c r="J27" i="53"/>
  <c r="Z10" i="63" l="1"/>
  <c r="T173" i="22"/>
  <c r="T176" i="22"/>
  <c r="AA26" i="53"/>
  <c r="AC28" i="53"/>
  <c r="O28" i="53"/>
  <c r="N28" i="53"/>
  <c r="L175" i="22"/>
  <c r="L174" i="22"/>
  <c r="AG25" i="53"/>
  <c r="AG26" i="53"/>
  <c r="L173" i="22"/>
  <c r="L172" i="22"/>
  <c r="L176" i="22"/>
  <c r="Z260" i="64"/>
  <c r="P28" i="53"/>
  <c r="F28" i="53"/>
  <c r="K28" i="53"/>
  <c r="AH28" i="53" s="1"/>
  <c r="E28" i="53"/>
  <c r="I28" i="53"/>
  <c r="J28" i="53"/>
  <c r="G28" i="53"/>
  <c r="AK27" i="52" a="1"/>
  <c r="AK27" i="52" s="1"/>
  <c r="B29" i="53" s="1"/>
  <c r="C28" i="53"/>
  <c r="H28" i="53"/>
  <c r="D28" i="53"/>
  <c r="L28" i="53"/>
  <c r="L125" i="29"/>
  <c r="L124" i="29"/>
  <c r="M132" i="29"/>
  <c r="L132" i="29"/>
  <c r="M133" i="29"/>
  <c r="L133" i="29"/>
  <c r="M134" i="29"/>
  <c r="L134" i="29"/>
  <c r="AC29" i="53" l="1"/>
  <c r="O29" i="53"/>
  <c r="N29" i="53"/>
  <c r="AD27" i="53"/>
  <c r="Q27" i="53"/>
  <c r="AT27" i="53"/>
  <c r="R27" i="53"/>
  <c r="D116" i="22"/>
  <c r="H29" i="53"/>
  <c r="F29" i="53"/>
  <c r="K29" i="53"/>
  <c r="AH29" i="53" s="1"/>
  <c r="C29" i="53"/>
  <c r="L29" i="53"/>
  <c r="G29" i="53"/>
  <c r="E29" i="53"/>
  <c r="D29" i="53"/>
  <c r="P29" i="53"/>
  <c r="AK28" i="52" a="1"/>
  <c r="AK28" i="52" s="1"/>
  <c r="B30" i="53" s="1"/>
  <c r="J29" i="53"/>
  <c r="I29" i="53"/>
  <c r="M130" i="29"/>
  <c r="L130" i="29"/>
  <c r="A133" i="22"/>
  <c r="A132" i="22"/>
  <c r="A131" i="22"/>
  <c r="D140" i="22"/>
  <c r="C140" i="22"/>
  <c r="B140" i="22"/>
  <c r="A140" i="22"/>
  <c r="D139" i="22"/>
  <c r="C139" i="22"/>
  <c r="B139" i="22"/>
  <c r="A139" i="22"/>
  <c r="D138" i="22"/>
  <c r="C138" i="22"/>
  <c r="B138" i="22"/>
  <c r="A138" i="22"/>
  <c r="D137" i="22"/>
  <c r="C137" i="22"/>
  <c r="B137" i="22"/>
  <c r="A137" i="22"/>
  <c r="D136" i="22"/>
  <c r="C136" i="22"/>
  <c r="B136" i="22"/>
  <c r="A136" i="22"/>
  <c r="D135" i="22"/>
  <c r="C135" i="22"/>
  <c r="D133" i="22"/>
  <c r="C133" i="22"/>
  <c r="B133" i="22"/>
  <c r="D132" i="22"/>
  <c r="C132" i="22"/>
  <c r="B132" i="22"/>
  <c r="A130" i="22"/>
  <c r="A129" i="22"/>
  <c r="B129" i="22"/>
  <c r="C129" i="22"/>
  <c r="U132" i="22" l="1"/>
  <c r="V132" i="22"/>
  <c r="T132" i="22"/>
  <c r="J132" i="22"/>
  <c r="F132" i="22"/>
  <c r="G132" i="22"/>
  <c r="H132" i="22"/>
  <c r="I132" i="22"/>
  <c r="V129" i="22"/>
  <c r="U129" i="22"/>
  <c r="T129" i="22"/>
  <c r="J129" i="22"/>
  <c r="I129" i="22"/>
  <c r="F129" i="22"/>
  <c r="H129" i="22"/>
  <c r="G129" i="22"/>
  <c r="S135" i="22"/>
  <c r="E135" i="22"/>
  <c r="S136" i="22"/>
  <c r="E136" i="22"/>
  <c r="S137" i="22"/>
  <c r="E137" i="22"/>
  <c r="S138" i="22"/>
  <c r="E138" i="22"/>
  <c r="S139" i="22"/>
  <c r="E139" i="22"/>
  <c r="S140" i="22"/>
  <c r="E140" i="22"/>
  <c r="U133" i="22"/>
  <c r="G133" i="22"/>
  <c r="U130" i="22"/>
  <c r="I130" i="22"/>
  <c r="V130" i="22"/>
  <c r="T130" i="22"/>
  <c r="F130" i="22"/>
  <c r="H130" i="22"/>
  <c r="J130" i="22"/>
  <c r="G130" i="22"/>
  <c r="S132" i="22"/>
  <c r="E132" i="22"/>
  <c r="S129" i="22"/>
  <c r="E129" i="22"/>
  <c r="S133" i="22"/>
  <c r="E133" i="22"/>
  <c r="V136" i="22"/>
  <c r="U136" i="22"/>
  <c r="T136" i="22"/>
  <c r="J136" i="22"/>
  <c r="F136" i="22"/>
  <c r="G136" i="22"/>
  <c r="I136" i="22"/>
  <c r="H136" i="22"/>
  <c r="I137" i="22"/>
  <c r="U137" i="22"/>
  <c r="T137" i="22"/>
  <c r="J137" i="22"/>
  <c r="V137" i="22"/>
  <c r="F137" i="22"/>
  <c r="H137" i="22"/>
  <c r="G137" i="22"/>
  <c r="V138" i="22"/>
  <c r="U138" i="22"/>
  <c r="T138" i="22"/>
  <c r="J138" i="22"/>
  <c r="F138" i="22"/>
  <c r="I138" i="22"/>
  <c r="G138" i="22"/>
  <c r="H138" i="22"/>
  <c r="T139" i="22"/>
  <c r="V139" i="22"/>
  <c r="H139" i="22"/>
  <c r="U139" i="22"/>
  <c r="J139" i="22"/>
  <c r="F139" i="22"/>
  <c r="G139" i="22"/>
  <c r="I139" i="22"/>
  <c r="T140" i="22"/>
  <c r="V140" i="22"/>
  <c r="U140" i="22"/>
  <c r="H140" i="22"/>
  <c r="F140" i="22"/>
  <c r="J140" i="22"/>
  <c r="I140" i="22"/>
  <c r="G140" i="22"/>
  <c r="T131" i="22"/>
  <c r="H131" i="22"/>
  <c r="U131" i="22"/>
  <c r="J131" i="22"/>
  <c r="V131" i="22"/>
  <c r="G131" i="22"/>
  <c r="I131" i="22"/>
  <c r="F131" i="22"/>
  <c r="X137" i="22"/>
  <c r="X139" i="22"/>
  <c r="X131" i="22"/>
  <c r="X132" i="22"/>
  <c r="X130" i="22"/>
  <c r="X136" i="22"/>
  <c r="X138" i="22"/>
  <c r="X140" i="22"/>
  <c r="X129" i="22"/>
  <c r="X27" i="53"/>
  <c r="AB27" i="53" s="1"/>
  <c r="AC30" i="53"/>
  <c r="O30" i="53"/>
  <c r="N30" i="53"/>
  <c r="R28" i="53"/>
  <c r="AD28" i="53"/>
  <c r="AT28" i="53"/>
  <c r="AG27" i="53"/>
  <c r="Q28" i="53"/>
  <c r="AE26" i="53"/>
  <c r="AF26" i="53" s="1"/>
  <c r="R29" i="53"/>
  <c r="D129" i="22"/>
  <c r="W136" i="22"/>
  <c r="AT29" i="53"/>
  <c r="L30" i="53"/>
  <c r="AD29" i="53"/>
  <c r="Q29" i="53"/>
  <c r="AK29" i="52" a="1"/>
  <c r="AK29" i="52" s="1"/>
  <c r="B31" i="53" s="1"/>
  <c r="G30" i="53"/>
  <c r="I30" i="53"/>
  <c r="P30" i="53"/>
  <c r="J30" i="53"/>
  <c r="D30" i="53"/>
  <c r="E30" i="53"/>
  <c r="K30" i="53"/>
  <c r="AH30" i="53" s="1"/>
  <c r="C30" i="53"/>
  <c r="F30" i="53"/>
  <c r="H30" i="53"/>
  <c r="W135" i="22"/>
  <c r="W129" i="22"/>
  <c r="L129" i="22"/>
  <c r="W133" i="22"/>
  <c r="W137" i="22"/>
  <c r="W132" i="22"/>
  <c r="L139" i="22"/>
  <c r="K139" i="22"/>
  <c r="L140" i="22"/>
  <c r="K140" i="22"/>
  <c r="L136" i="22"/>
  <c r="L137" i="22"/>
  <c r="L138" i="22"/>
  <c r="K132" i="22"/>
  <c r="K133" i="22"/>
  <c r="K135" i="22"/>
  <c r="K136" i="22"/>
  <c r="K137" i="22"/>
  <c r="K138" i="22"/>
  <c r="W138" i="22"/>
  <c r="W139" i="22"/>
  <c r="W140" i="22"/>
  <c r="K129" i="22"/>
  <c r="AA27" i="53" l="1"/>
  <c r="X28" i="53"/>
  <c r="AB28" i="53" s="1"/>
  <c r="X29" i="53"/>
  <c r="AB29" i="53" s="1"/>
  <c r="AC31" i="53"/>
  <c r="O31" i="53"/>
  <c r="N31" i="53"/>
  <c r="AG28" i="53"/>
  <c r="AG29" i="53"/>
  <c r="AE27" i="53"/>
  <c r="AF27" i="53" s="1"/>
  <c r="R30" i="53"/>
  <c r="X30" i="53" s="1"/>
  <c r="AB30" i="53" s="1"/>
  <c r="AT30" i="53"/>
  <c r="AD30" i="53"/>
  <c r="Q30" i="53"/>
  <c r="AK30" i="52" a="1"/>
  <c r="AK30" i="52" s="1"/>
  <c r="B32" i="53" s="1"/>
  <c r="F31" i="53"/>
  <c r="K31" i="53"/>
  <c r="AH31" i="53" s="1"/>
  <c r="P31" i="53"/>
  <c r="H31" i="53"/>
  <c r="L31" i="53"/>
  <c r="J31" i="53"/>
  <c r="I31" i="53"/>
  <c r="C31" i="53"/>
  <c r="E31" i="53"/>
  <c r="G31" i="53"/>
  <c r="D31" i="53"/>
  <c r="E124" i="28"/>
  <c r="D124" i="28"/>
  <c r="C124" i="28"/>
  <c r="B124" i="28"/>
  <c r="D131" i="22"/>
  <c r="C131" i="22"/>
  <c r="B131" i="22"/>
  <c r="AA28" i="53" l="1"/>
  <c r="S131" i="22"/>
  <c r="E131" i="22"/>
  <c r="AA29" i="53"/>
  <c r="AA30" i="53"/>
  <c r="O32" i="53"/>
  <c r="N32" i="53"/>
  <c r="AE29" i="53"/>
  <c r="AF29" i="53" s="1"/>
  <c r="AE28" i="53"/>
  <c r="AF28" i="53" s="1"/>
  <c r="AG30" i="53"/>
  <c r="R31" i="53"/>
  <c r="X31" i="53" s="1"/>
  <c r="AB31" i="53" s="1"/>
  <c r="AT31" i="53"/>
  <c r="AD31" i="53"/>
  <c r="AK31" i="52" a="1"/>
  <c r="AK31" i="52" s="1"/>
  <c r="B33" i="53" s="1"/>
  <c r="L32" i="53"/>
  <c r="C32" i="53"/>
  <c r="G32" i="53"/>
  <c r="P32" i="53"/>
  <c r="E32" i="53"/>
  <c r="F32" i="53"/>
  <c r="Q31" i="53"/>
  <c r="J32" i="53"/>
  <c r="I32" i="53"/>
  <c r="H32" i="53"/>
  <c r="D32" i="53"/>
  <c r="K32" i="53"/>
  <c r="AH32" i="53" s="1"/>
  <c r="W131" i="22"/>
  <c r="K131" i="22"/>
  <c r="L131" i="22"/>
  <c r="Y4" i="28"/>
  <c r="Z4" i="28" s="1"/>
  <c r="Y5" i="28"/>
  <c r="Y6" i="28"/>
  <c r="A3" i="28"/>
  <c r="B3" i="28"/>
  <c r="D3" i="28"/>
  <c r="A4" i="28"/>
  <c r="B4" i="28"/>
  <c r="D4" i="28"/>
  <c r="A5" i="28"/>
  <c r="B5" i="28"/>
  <c r="D5" i="28"/>
  <c r="A6" i="28"/>
  <c r="B6" i="28"/>
  <c r="D6" i="28"/>
  <c r="A7" i="28"/>
  <c r="B7" i="28"/>
  <c r="D7" i="28"/>
  <c r="A8" i="28"/>
  <c r="B8" i="28"/>
  <c r="D8" i="28"/>
  <c r="A9" i="28"/>
  <c r="B9" i="28"/>
  <c r="D9" i="28"/>
  <c r="A10" i="28"/>
  <c r="B10" i="28"/>
  <c r="D10" i="28"/>
  <c r="A11" i="28"/>
  <c r="B11" i="28"/>
  <c r="D11" i="28"/>
  <c r="A12" i="28"/>
  <c r="B12" i="28"/>
  <c r="D12" i="28"/>
  <c r="A13" i="28"/>
  <c r="B13" i="28"/>
  <c r="D13" i="28"/>
  <c r="A14" i="28"/>
  <c r="B14" i="28"/>
  <c r="D14" i="28"/>
  <c r="A15" i="28"/>
  <c r="B15" i="28"/>
  <c r="D15" i="28"/>
  <c r="A16" i="28"/>
  <c r="B16" i="28"/>
  <c r="D16" i="28"/>
  <c r="A17" i="28"/>
  <c r="B17" i="28"/>
  <c r="D17" i="28"/>
  <c r="A18" i="28"/>
  <c r="B18" i="28"/>
  <c r="D18" i="28"/>
  <c r="A19" i="28"/>
  <c r="B19" i="28"/>
  <c r="D19" i="28"/>
  <c r="A20" i="28"/>
  <c r="B20" i="28"/>
  <c r="D20" i="28"/>
  <c r="A21" i="28"/>
  <c r="B21" i="28"/>
  <c r="D21" i="28"/>
  <c r="A22" i="28"/>
  <c r="B22" i="28"/>
  <c r="D22" i="28"/>
  <c r="A23" i="28"/>
  <c r="B23" i="28"/>
  <c r="D23" i="28"/>
  <c r="A24" i="28"/>
  <c r="B24" i="28"/>
  <c r="D24" i="28"/>
  <c r="A25" i="28"/>
  <c r="B25" i="28"/>
  <c r="D25" i="28"/>
  <c r="A26" i="28"/>
  <c r="B26" i="28"/>
  <c r="D26" i="28"/>
  <c r="A27" i="28"/>
  <c r="B27" i="28"/>
  <c r="D27" i="28"/>
  <c r="A28" i="28"/>
  <c r="B28" i="28"/>
  <c r="D28" i="28"/>
  <c r="A29" i="28"/>
  <c r="B29" i="28"/>
  <c r="D29" i="28"/>
  <c r="A30" i="28"/>
  <c r="B30" i="28"/>
  <c r="D30" i="28"/>
  <c r="A31" i="28"/>
  <c r="B31" i="28"/>
  <c r="D31" i="28"/>
  <c r="A32" i="28"/>
  <c r="A34" i="28"/>
  <c r="B34" i="28"/>
  <c r="D34" i="28"/>
  <c r="A35" i="28"/>
  <c r="B35" i="28"/>
  <c r="D35" i="28"/>
  <c r="A36" i="28"/>
  <c r="B36" i="28"/>
  <c r="D36" i="28"/>
  <c r="A37" i="28"/>
  <c r="B37" i="28"/>
  <c r="D37" i="28"/>
  <c r="A38" i="28"/>
  <c r="B38" i="28"/>
  <c r="D38" i="28"/>
  <c r="A39" i="28"/>
  <c r="B39" i="28"/>
  <c r="D39" i="28"/>
  <c r="A40" i="28"/>
  <c r="B40" i="28"/>
  <c r="D40" i="28"/>
  <c r="A41" i="28"/>
  <c r="B41" i="28"/>
  <c r="D41" i="28"/>
  <c r="A42" i="28"/>
  <c r="B42" i="28"/>
  <c r="D42" i="28"/>
  <c r="A43" i="28"/>
  <c r="B43" i="28"/>
  <c r="D43" i="28"/>
  <c r="A44" i="28"/>
  <c r="B44" i="28"/>
  <c r="D44" i="28"/>
  <c r="A45" i="28"/>
  <c r="B45" i="28"/>
  <c r="D45" i="28"/>
  <c r="A46" i="28"/>
  <c r="B46" i="28"/>
  <c r="D46" i="28"/>
  <c r="A47" i="28"/>
  <c r="B47" i="28"/>
  <c r="D47" i="28"/>
  <c r="A48" i="28"/>
  <c r="B48" i="28"/>
  <c r="D48" i="28"/>
  <c r="A49" i="28"/>
  <c r="B49" i="28"/>
  <c r="D49" i="28"/>
  <c r="A50" i="28"/>
  <c r="B50" i="28"/>
  <c r="D50" i="28"/>
  <c r="A51" i="28"/>
  <c r="B51" i="28"/>
  <c r="D51" i="28"/>
  <c r="B52" i="28"/>
  <c r="D52" i="28"/>
  <c r="A53" i="28"/>
  <c r="B53" i="28"/>
  <c r="D53" i="28"/>
  <c r="A54" i="28"/>
  <c r="B54" i="28"/>
  <c r="D54" i="28"/>
  <c r="A55" i="28"/>
  <c r="B55" i="28"/>
  <c r="D55" i="28"/>
  <c r="A56" i="28"/>
  <c r="B56" i="28"/>
  <c r="D56" i="28"/>
  <c r="A57" i="28"/>
  <c r="B57" i="28"/>
  <c r="D57" i="28"/>
  <c r="A58" i="28"/>
  <c r="B58" i="28"/>
  <c r="D58" i="28"/>
  <c r="A59" i="28"/>
  <c r="B59" i="28"/>
  <c r="D59" i="28"/>
  <c r="A60" i="28"/>
  <c r="B60" i="28"/>
  <c r="D60" i="28"/>
  <c r="A61" i="28"/>
  <c r="B61" i="28"/>
  <c r="D61" i="28"/>
  <c r="A62" i="28"/>
  <c r="B62" i="28"/>
  <c r="D62" i="28"/>
  <c r="A63" i="28"/>
  <c r="B63" i="28"/>
  <c r="D63" i="28"/>
  <c r="A64" i="28"/>
  <c r="B64" i="28"/>
  <c r="D64" i="28"/>
  <c r="A65" i="28"/>
  <c r="B65" i="28"/>
  <c r="D65" i="28"/>
  <c r="A66" i="28"/>
  <c r="B66" i="28"/>
  <c r="D66" i="28"/>
  <c r="A67" i="28"/>
  <c r="B67" i="28"/>
  <c r="D67" i="28"/>
  <c r="A68" i="28"/>
  <c r="B68" i="28"/>
  <c r="D68" i="28"/>
  <c r="A69" i="28"/>
  <c r="B69" i="28"/>
  <c r="D69" i="28"/>
  <c r="A70" i="28"/>
  <c r="B70" i="28"/>
  <c r="D70" i="28"/>
  <c r="A71" i="28"/>
  <c r="B71" i="28"/>
  <c r="D71" i="28"/>
  <c r="A72" i="28"/>
  <c r="B72" i="28"/>
  <c r="D72" i="28"/>
  <c r="A73" i="28"/>
  <c r="B73" i="28"/>
  <c r="D73" i="28"/>
  <c r="A74" i="28"/>
  <c r="B74" i="28"/>
  <c r="D74" i="28"/>
  <c r="A75" i="28"/>
  <c r="B75" i="28"/>
  <c r="D75" i="28"/>
  <c r="A76" i="28"/>
  <c r="B76" i="28"/>
  <c r="D76" i="28"/>
  <c r="A77" i="28"/>
  <c r="B77" i="28"/>
  <c r="D77" i="28"/>
  <c r="A78" i="28"/>
  <c r="B78" i="28"/>
  <c r="D78" i="28"/>
  <c r="A79" i="28"/>
  <c r="B79" i="28"/>
  <c r="D79" i="28"/>
  <c r="A81" i="28"/>
  <c r="B81" i="28"/>
  <c r="D81" i="28"/>
  <c r="A83" i="28"/>
  <c r="B83" i="28"/>
  <c r="D83" i="28"/>
  <c r="A84" i="28"/>
  <c r="B84" i="28"/>
  <c r="D84" i="28"/>
  <c r="A85" i="28"/>
  <c r="B85" i="28"/>
  <c r="D85" i="28"/>
  <c r="A86" i="28"/>
  <c r="B86" i="28"/>
  <c r="D86" i="28"/>
  <c r="A87" i="28"/>
  <c r="B87" i="28"/>
  <c r="D87" i="28"/>
  <c r="A88" i="28"/>
  <c r="B88" i="28"/>
  <c r="D88" i="28"/>
  <c r="A89" i="28"/>
  <c r="B89" i="28"/>
  <c r="D89" i="28"/>
  <c r="A90" i="28"/>
  <c r="B90" i="28"/>
  <c r="D90" i="28"/>
  <c r="A91" i="28"/>
  <c r="B91" i="28"/>
  <c r="D91" i="28"/>
  <c r="A92" i="28"/>
  <c r="B92" i="28"/>
  <c r="D92" i="28"/>
  <c r="A93" i="28"/>
  <c r="B93" i="28"/>
  <c r="D93" i="28"/>
  <c r="A94" i="28"/>
  <c r="B94" i="28"/>
  <c r="D94" i="28"/>
  <c r="A95" i="28"/>
  <c r="B95" i="28"/>
  <c r="D95" i="28"/>
  <c r="A96" i="28"/>
  <c r="B96" i="28"/>
  <c r="D96" i="28"/>
  <c r="A97" i="28"/>
  <c r="B97" i="28"/>
  <c r="D97" i="28"/>
  <c r="A98" i="28"/>
  <c r="B98" i="28"/>
  <c r="D98" i="28"/>
  <c r="A99" i="28"/>
  <c r="B99" i="28"/>
  <c r="D99" i="28"/>
  <c r="A100" i="28"/>
  <c r="B100" i="28"/>
  <c r="D100" i="28"/>
  <c r="A101" i="28"/>
  <c r="B101" i="28"/>
  <c r="D101" i="28"/>
  <c r="A102" i="28"/>
  <c r="D102" i="28"/>
  <c r="A103" i="28"/>
  <c r="B103" i="28"/>
  <c r="D103" i="28"/>
  <c r="A104" i="28"/>
  <c r="B104" i="28"/>
  <c r="D104" i="28"/>
  <c r="A105" i="28"/>
  <c r="B105" i="28"/>
  <c r="D105" i="28"/>
  <c r="A106" i="28"/>
  <c r="B106" i="28"/>
  <c r="D106" i="28"/>
  <c r="A107" i="28"/>
  <c r="B107" i="28"/>
  <c r="D107" i="28"/>
  <c r="A108" i="28"/>
  <c r="B108" i="28"/>
  <c r="D108" i="28"/>
  <c r="A109" i="28"/>
  <c r="B109" i="28"/>
  <c r="D109" i="28"/>
  <c r="A110" i="28"/>
  <c r="B110" i="28"/>
  <c r="D110" i="28"/>
  <c r="A111" i="28"/>
  <c r="D111" i="28"/>
  <c r="A112" i="28"/>
  <c r="B112" i="28"/>
  <c r="D112" i="28"/>
  <c r="A113" i="28"/>
  <c r="B113" i="28"/>
  <c r="D113" i="28"/>
  <c r="A114" i="28"/>
  <c r="B114" i="28"/>
  <c r="D114" i="28"/>
  <c r="A115" i="28"/>
  <c r="B115" i="28"/>
  <c r="D115" i="28"/>
  <c r="A116" i="28"/>
  <c r="B116" i="28"/>
  <c r="D116" i="28"/>
  <c r="A117" i="28"/>
  <c r="B117" i="28"/>
  <c r="D117" i="28"/>
  <c r="A118" i="28"/>
  <c r="B118" i="28"/>
  <c r="D118" i="28"/>
  <c r="A119" i="28"/>
  <c r="B119" i="28"/>
  <c r="D119" i="28"/>
  <c r="A120" i="28"/>
  <c r="B120" i="28"/>
  <c r="D120" i="28"/>
  <c r="A121" i="28"/>
  <c r="B121" i="28"/>
  <c r="D121" i="28"/>
  <c r="A122" i="28"/>
  <c r="B122" i="28"/>
  <c r="D122" i="28"/>
  <c r="A123" i="28"/>
  <c r="B123" i="28"/>
  <c r="D123" i="28"/>
  <c r="AA31" i="53" l="1"/>
  <c r="O33" i="53"/>
  <c r="N33" i="53"/>
  <c r="U11" i="46"/>
  <c r="AG31" i="53"/>
  <c r="AC32" i="53"/>
  <c r="K33" i="53"/>
  <c r="AH33" i="53" s="1"/>
  <c r="AK32" i="52" a="1"/>
  <c r="AK32" i="52" s="1"/>
  <c r="B34" i="53" s="1"/>
  <c r="H33" i="53"/>
  <c r="G33" i="53"/>
  <c r="L33" i="53"/>
  <c r="F33" i="53"/>
  <c r="I33" i="53"/>
  <c r="J33" i="53"/>
  <c r="E33" i="53"/>
  <c r="P33" i="53"/>
  <c r="D33" i="53"/>
  <c r="C33" i="53"/>
  <c r="C73" i="33"/>
  <c r="D2" i="61"/>
  <c r="D3" i="61"/>
  <c r="D4" i="61"/>
  <c r="D5" i="61"/>
  <c r="D6" i="61"/>
  <c r="D7" i="61"/>
  <c r="D8" i="61"/>
  <c r="D9" i="61"/>
  <c r="D10" i="61"/>
  <c r="D11" i="61"/>
  <c r="D12" i="61"/>
  <c r="D13" i="61"/>
  <c r="D14" i="61"/>
  <c r="D15" i="61"/>
  <c r="D16" i="61"/>
  <c r="D17" i="61"/>
  <c r="D18" i="61"/>
  <c r="D19" i="61"/>
  <c r="D20" i="61"/>
  <c r="D21" i="61"/>
  <c r="D22" i="61"/>
  <c r="D23" i="61"/>
  <c r="D24" i="61"/>
  <c r="D25" i="61"/>
  <c r="D26" i="61"/>
  <c r="D27" i="61"/>
  <c r="D28" i="61"/>
  <c r="D29" i="61"/>
  <c r="D30" i="61"/>
  <c r="D31" i="61"/>
  <c r="D32" i="61"/>
  <c r="D33" i="61"/>
  <c r="D34" i="61"/>
  <c r="D35" i="61"/>
  <c r="D36" i="61"/>
  <c r="D37" i="61"/>
  <c r="D38" i="61"/>
  <c r="D39" i="61"/>
  <c r="D40" i="61"/>
  <c r="D41" i="61"/>
  <c r="D42" i="61"/>
  <c r="D43" i="61"/>
  <c r="D44" i="61"/>
  <c r="D45" i="61"/>
  <c r="D46" i="61"/>
  <c r="D47" i="61"/>
  <c r="D48" i="61"/>
  <c r="D49" i="61"/>
  <c r="D50" i="61"/>
  <c r="D51" i="61"/>
  <c r="D52" i="61"/>
  <c r="D53" i="61"/>
  <c r="D54" i="61"/>
  <c r="D55" i="61"/>
  <c r="D56" i="61"/>
  <c r="D57" i="61"/>
  <c r="D58" i="61"/>
  <c r="D59" i="61"/>
  <c r="D60" i="61"/>
  <c r="D61" i="61"/>
  <c r="D62" i="61"/>
  <c r="D63" i="61"/>
  <c r="D64" i="61"/>
  <c r="D65" i="61"/>
  <c r="D66" i="61"/>
  <c r="D67" i="61"/>
  <c r="D68" i="61"/>
  <c r="D69" i="61"/>
  <c r="D70" i="61"/>
  <c r="D71" i="61"/>
  <c r="D72" i="61"/>
  <c r="D73" i="61"/>
  <c r="D74" i="61"/>
  <c r="D75" i="61"/>
  <c r="D76" i="61"/>
  <c r="D77" i="61"/>
  <c r="D78" i="61"/>
  <c r="D79" i="61"/>
  <c r="D80" i="61"/>
  <c r="D81" i="61"/>
  <c r="D82" i="61"/>
  <c r="D83" i="61"/>
  <c r="D84" i="61"/>
  <c r="D85" i="61"/>
  <c r="D86" i="61"/>
  <c r="D87" i="61"/>
  <c r="D88" i="61"/>
  <c r="D89" i="61"/>
  <c r="D90" i="61"/>
  <c r="D91" i="61"/>
  <c r="D92" i="61"/>
  <c r="D93" i="61"/>
  <c r="D94" i="61"/>
  <c r="D95" i="61"/>
  <c r="D96" i="61"/>
  <c r="D97" i="61"/>
  <c r="D98" i="61"/>
  <c r="D99" i="61"/>
  <c r="D100" i="61"/>
  <c r="D101" i="61"/>
  <c r="D102" i="61"/>
  <c r="D103" i="61"/>
  <c r="D104" i="61"/>
  <c r="D105" i="61"/>
  <c r="D106" i="61"/>
  <c r="D107" i="61"/>
  <c r="D108" i="61"/>
  <c r="D109" i="61"/>
  <c r="D110" i="61"/>
  <c r="D111" i="61"/>
  <c r="D112" i="61"/>
  <c r="D113" i="61"/>
  <c r="D114" i="61"/>
  <c r="D115" i="61"/>
  <c r="D116" i="61"/>
  <c r="D117" i="61"/>
  <c r="D118" i="61"/>
  <c r="D119" i="61"/>
  <c r="D120" i="61"/>
  <c r="D121" i="61"/>
  <c r="D122" i="61"/>
  <c r="D123" i="61"/>
  <c r="D124" i="61"/>
  <c r="D125" i="61"/>
  <c r="D126" i="61"/>
  <c r="D127" i="61"/>
  <c r="D128" i="61"/>
  <c r="D129" i="61"/>
  <c r="D130" i="61"/>
  <c r="D131" i="61"/>
  <c r="D132" i="61"/>
  <c r="D133" i="61"/>
  <c r="D134" i="61"/>
  <c r="D135" i="61"/>
  <c r="D136" i="61"/>
  <c r="D137" i="61"/>
  <c r="D138" i="61"/>
  <c r="D139" i="61"/>
  <c r="D140" i="61"/>
  <c r="O34" i="53" l="1"/>
  <c r="N34" i="53"/>
  <c r="Z7" i="107"/>
  <c r="AB7" i="107" s="1"/>
  <c r="AD7" i="107" s="1"/>
  <c r="Q32" i="53"/>
  <c r="R32" i="53"/>
  <c r="X32" i="53" s="1"/>
  <c r="AB32" i="53" s="1"/>
  <c r="AD32" i="53"/>
  <c r="AT32" i="53"/>
  <c r="AE30" i="53"/>
  <c r="AF30" i="53" s="1"/>
  <c r="AC33" i="53"/>
  <c r="AK33" i="52" a="1"/>
  <c r="AK33" i="52" s="1"/>
  <c r="B35" i="53" s="1"/>
  <c r="F34" i="53"/>
  <c r="H34" i="53"/>
  <c r="D34" i="53"/>
  <c r="C34" i="53"/>
  <c r="L34" i="53"/>
  <c r="I34" i="53"/>
  <c r="G34" i="53"/>
  <c r="P34" i="53"/>
  <c r="K34" i="53"/>
  <c r="AH34" i="53" s="1"/>
  <c r="J34" i="53"/>
  <c r="E34" i="53"/>
  <c r="O35" i="53" l="1"/>
  <c r="N35" i="53"/>
  <c r="AA32" i="53"/>
  <c r="AG32" i="53"/>
  <c r="AD33" i="53"/>
  <c r="AE31" i="53"/>
  <c r="AF31" i="53" s="1"/>
  <c r="AT33" i="53"/>
  <c r="AE32" i="53"/>
  <c r="AF32" i="53" s="1"/>
  <c r="Q33" i="53"/>
  <c r="R33" i="53"/>
  <c r="X33" i="53" s="1"/>
  <c r="AB33" i="53" s="1"/>
  <c r="E35" i="53"/>
  <c r="J35" i="53"/>
  <c r="K35" i="53"/>
  <c r="AH35" i="53" s="1"/>
  <c r="P35" i="53"/>
  <c r="F35" i="53"/>
  <c r="D35" i="53"/>
  <c r="G35" i="53"/>
  <c r="H35" i="53"/>
  <c r="L35" i="53"/>
  <c r="AK34" i="52" a="1"/>
  <c r="AK34" i="52" s="1"/>
  <c r="B36" i="53" s="1"/>
  <c r="I35" i="53"/>
  <c r="C35" i="53"/>
  <c r="O36" i="53" l="1"/>
  <c r="N36" i="53"/>
  <c r="R34" i="53"/>
  <c r="AC34" i="53"/>
  <c r="AA33" i="53"/>
  <c r="Q34" i="53"/>
  <c r="AC35" i="53"/>
  <c r="AD34" i="53"/>
  <c r="AT34" i="53"/>
  <c r="AG33" i="53"/>
  <c r="L36" i="53"/>
  <c r="AK35" i="52" a="1"/>
  <c r="AK35" i="52" s="1"/>
  <c r="B37" i="53" s="1"/>
  <c r="C36" i="53"/>
  <c r="J36" i="53"/>
  <c r="F36" i="53"/>
  <c r="I36" i="53"/>
  <c r="G36" i="53"/>
  <c r="D36" i="53"/>
  <c r="H36" i="53"/>
  <c r="E36" i="53"/>
  <c r="K36" i="53"/>
  <c r="AH36" i="53" s="1"/>
  <c r="P36" i="53"/>
  <c r="M256" i="46"/>
  <c r="I256" i="46"/>
  <c r="M255" i="46"/>
  <c r="I255" i="46"/>
  <c r="M254" i="46"/>
  <c r="I254" i="46"/>
  <c r="M253" i="46"/>
  <c r="I253" i="46"/>
  <c r="M252" i="46"/>
  <c r="I252" i="46"/>
  <c r="M251" i="46"/>
  <c r="I251" i="46"/>
  <c r="M250" i="46"/>
  <c r="I250" i="46"/>
  <c r="M249" i="46"/>
  <c r="I249" i="46"/>
  <c r="M248" i="46"/>
  <c r="I248" i="46"/>
  <c r="M247" i="46"/>
  <c r="I247" i="46"/>
  <c r="M246" i="46"/>
  <c r="I246" i="46"/>
  <c r="M245" i="46"/>
  <c r="I245" i="46"/>
  <c r="M244" i="46"/>
  <c r="I244" i="46"/>
  <c r="M243" i="46"/>
  <c r="I243" i="46"/>
  <c r="M242" i="46"/>
  <c r="I242" i="46"/>
  <c r="M241" i="46"/>
  <c r="I241" i="46"/>
  <c r="M240" i="46"/>
  <c r="I240" i="46"/>
  <c r="M239" i="46"/>
  <c r="I239" i="46"/>
  <c r="M238" i="46"/>
  <c r="I238" i="46"/>
  <c r="M237" i="46"/>
  <c r="I237" i="46"/>
  <c r="M236" i="46"/>
  <c r="I236" i="46"/>
  <c r="M235" i="46"/>
  <c r="I235" i="46"/>
  <c r="M234" i="46"/>
  <c r="I234" i="46"/>
  <c r="M233" i="46"/>
  <c r="I233" i="46"/>
  <c r="M232" i="46"/>
  <c r="I232" i="46"/>
  <c r="M231" i="46"/>
  <c r="I231" i="46"/>
  <c r="M230" i="46"/>
  <c r="I230" i="46"/>
  <c r="M229" i="46"/>
  <c r="I229" i="46"/>
  <c r="M228" i="46"/>
  <c r="I228" i="46"/>
  <c r="M227" i="46"/>
  <c r="I227" i="46"/>
  <c r="M226" i="46"/>
  <c r="I226" i="46"/>
  <c r="M225" i="46"/>
  <c r="I225" i="46"/>
  <c r="M224" i="46"/>
  <c r="I224" i="46"/>
  <c r="M223" i="46"/>
  <c r="I223" i="46"/>
  <c r="M222" i="46"/>
  <c r="I222" i="46"/>
  <c r="M221" i="46"/>
  <c r="I221" i="46"/>
  <c r="M220" i="46"/>
  <c r="I220" i="46"/>
  <c r="M219" i="46"/>
  <c r="I219" i="46"/>
  <c r="M218" i="46"/>
  <c r="I218" i="46"/>
  <c r="M217" i="46"/>
  <c r="I217" i="46"/>
  <c r="M216" i="46"/>
  <c r="I216" i="46"/>
  <c r="M215" i="46"/>
  <c r="I215" i="46"/>
  <c r="M214" i="46"/>
  <c r="I214" i="46"/>
  <c r="M213" i="46"/>
  <c r="I213" i="46"/>
  <c r="M212" i="46"/>
  <c r="I212" i="46"/>
  <c r="M211" i="46"/>
  <c r="I211" i="46"/>
  <c r="M210" i="46"/>
  <c r="I210" i="46"/>
  <c r="M209" i="46"/>
  <c r="I209" i="46"/>
  <c r="M208" i="46"/>
  <c r="I208" i="46"/>
  <c r="M207" i="46"/>
  <c r="I207" i="46"/>
  <c r="M206" i="46"/>
  <c r="I206" i="46"/>
  <c r="M205" i="46"/>
  <c r="I205" i="46"/>
  <c r="M204" i="46"/>
  <c r="I204" i="46"/>
  <c r="M203" i="46"/>
  <c r="I203" i="46"/>
  <c r="M202" i="46"/>
  <c r="I202" i="46"/>
  <c r="M201" i="46"/>
  <c r="I201" i="46"/>
  <c r="M200" i="46"/>
  <c r="I200" i="46"/>
  <c r="M199" i="46"/>
  <c r="I199" i="46"/>
  <c r="M198" i="46"/>
  <c r="I198" i="46"/>
  <c r="M197" i="46"/>
  <c r="I197" i="46"/>
  <c r="M196" i="46"/>
  <c r="I196" i="46"/>
  <c r="M195" i="46"/>
  <c r="I195" i="46"/>
  <c r="M194" i="46"/>
  <c r="I194" i="46"/>
  <c r="M193" i="46"/>
  <c r="I193" i="46"/>
  <c r="M192" i="46"/>
  <c r="I192" i="46"/>
  <c r="M191" i="46"/>
  <c r="I191" i="46"/>
  <c r="M190" i="46"/>
  <c r="I190" i="46"/>
  <c r="M189" i="46"/>
  <c r="I189" i="46"/>
  <c r="M188" i="46"/>
  <c r="I188" i="46"/>
  <c r="M187" i="46"/>
  <c r="I187" i="46"/>
  <c r="M186" i="46"/>
  <c r="I186" i="46"/>
  <c r="M185" i="46"/>
  <c r="I185" i="46"/>
  <c r="M184" i="46"/>
  <c r="I184" i="46"/>
  <c r="M183" i="46"/>
  <c r="I183" i="46"/>
  <c r="M182" i="46"/>
  <c r="I182" i="46"/>
  <c r="M181" i="46"/>
  <c r="I181" i="46"/>
  <c r="M180" i="46"/>
  <c r="I180" i="46"/>
  <c r="M179" i="46"/>
  <c r="I179" i="46"/>
  <c r="M178" i="46"/>
  <c r="I178" i="46"/>
  <c r="M177" i="46"/>
  <c r="I177" i="46"/>
  <c r="M176" i="46"/>
  <c r="I176" i="46"/>
  <c r="M175" i="46"/>
  <c r="I175" i="46"/>
  <c r="M174" i="46"/>
  <c r="I174" i="46"/>
  <c r="M173" i="46"/>
  <c r="I173" i="46"/>
  <c r="M172" i="46"/>
  <c r="I172" i="46"/>
  <c r="M171" i="46"/>
  <c r="I171" i="46"/>
  <c r="M170" i="46"/>
  <c r="I170" i="46"/>
  <c r="M169" i="46"/>
  <c r="I169" i="46"/>
  <c r="M168" i="46"/>
  <c r="I168" i="46"/>
  <c r="M167" i="46"/>
  <c r="I167" i="46"/>
  <c r="M166" i="46"/>
  <c r="I166" i="46"/>
  <c r="M165" i="46"/>
  <c r="I165" i="46"/>
  <c r="M164" i="46"/>
  <c r="I164" i="46"/>
  <c r="M163" i="46"/>
  <c r="I163" i="46"/>
  <c r="M162" i="46"/>
  <c r="I162" i="46"/>
  <c r="M161" i="46"/>
  <c r="I161" i="46"/>
  <c r="M160" i="46"/>
  <c r="I160" i="46"/>
  <c r="M159" i="46"/>
  <c r="I159" i="46"/>
  <c r="M158" i="46"/>
  <c r="I158" i="46"/>
  <c r="M157" i="46"/>
  <c r="I157" i="46"/>
  <c r="M156" i="46"/>
  <c r="I156" i="46"/>
  <c r="M155" i="46"/>
  <c r="I155" i="46"/>
  <c r="M154" i="46"/>
  <c r="I154" i="46"/>
  <c r="M153" i="46"/>
  <c r="I153" i="46"/>
  <c r="M152" i="46"/>
  <c r="I152" i="46"/>
  <c r="M151" i="46"/>
  <c r="I151" i="46"/>
  <c r="M150" i="46"/>
  <c r="I150" i="46"/>
  <c r="M149" i="46"/>
  <c r="I149" i="46"/>
  <c r="M148" i="46"/>
  <c r="I148" i="46"/>
  <c r="M147" i="46"/>
  <c r="I147" i="46"/>
  <c r="M146" i="46"/>
  <c r="I146" i="46"/>
  <c r="M145" i="46"/>
  <c r="I145" i="46"/>
  <c r="M144" i="46"/>
  <c r="I144" i="46"/>
  <c r="M143" i="46"/>
  <c r="I143" i="46"/>
  <c r="M142" i="46"/>
  <c r="I142" i="46"/>
  <c r="M141" i="46"/>
  <c r="I141" i="46"/>
  <c r="M140" i="46"/>
  <c r="I140" i="46"/>
  <c r="M139" i="46"/>
  <c r="I139" i="46"/>
  <c r="M138" i="46"/>
  <c r="I138" i="46"/>
  <c r="M137" i="46"/>
  <c r="I137" i="46"/>
  <c r="M136" i="46"/>
  <c r="I136" i="46"/>
  <c r="M135" i="46"/>
  <c r="I135" i="46"/>
  <c r="M134" i="46"/>
  <c r="I134" i="46"/>
  <c r="M133" i="46"/>
  <c r="I133" i="46"/>
  <c r="M132" i="46"/>
  <c r="I132" i="46"/>
  <c r="M131" i="46"/>
  <c r="I131" i="46"/>
  <c r="M130" i="46"/>
  <c r="I130" i="46"/>
  <c r="M129" i="46"/>
  <c r="I129" i="46"/>
  <c r="M128" i="46"/>
  <c r="I128" i="46"/>
  <c r="M127" i="46"/>
  <c r="I127" i="46"/>
  <c r="M126" i="46"/>
  <c r="I126" i="46"/>
  <c r="M125" i="46"/>
  <c r="I125" i="46"/>
  <c r="M124" i="46"/>
  <c r="I124" i="46"/>
  <c r="M123" i="46"/>
  <c r="I123" i="46"/>
  <c r="M122" i="46"/>
  <c r="I122" i="46"/>
  <c r="M121" i="46"/>
  <c r="I121" i="46"/>
  <c r="M120" i="46"/>
  <c r="I120" i="46"/>
  <c r="M119" i="46"/>
  <c r="I119" i="46"/>
  <c r="M118" i="46"/>
  <c r="I118" i="46"/>
  <c r="M117" i="46"/>
  <c r="I117" i="46"/>
  <c r="M116" i="46"/>
  <c r="I116" i="46"/>
  <c r="M115" i="46"/>
  <c r="I115" i="46"/>
  <c r="M114" i="46"/>
  <c r="I114" i="46"/>
  <c r="M113" i="46"/>
  <c r="I113" i="46"/>
  <c r="M112" i="46"/>
  <c r="I112" i="46"/>
  <c r="M111" i="46"/>
  <c r="I111" i="46"/>
  <c r="M110" i="46"/>
  <c r="I110" i="46"/>
  <c r="M109" i="46"/>
  <c r="I109" i="46"/>
  <c r="M108" i="46"/>
  <c r="I108" i="46"/>
  <c r="M107" i="46"/>
  <c r="I107" i="46"/>
  <c r="M106" i="46"/>
  <c r="I106" i="46"/>
  <c r="M105" i="46"/>
  <c r="I105" i="46"/>
  <c r="M104" i="46"/>
  <c r="I104" i="46"/>
  <c r="M103" i="46"/>
  <c r="I103" i="46"/>
  <c r="M102" i="46"/>
  <c r="I102" i="46"/>
  <c r="M101" i="46"/>
  <c r="I101" i="46"/>
  <c r="M100" i="46"/>
  <c r="I100" i="46"/>
  <c r="M99" i="46"/>
  <c r="I99" i="46"/>
  <c r="M98" i="46"/>
  <c r="I98" i="46"/>
  <c r="M97" i="46"/>
  <c r="I97" i="46"/>
  <c r="M96" i="46"/>
  <c r="I96" i="46"/>
  <c r="M95" i="46"/>
  <c r="I95" i="46"/>
  <c r="M94" i="46"/>
  <c r="I94" i="46"/>
  <c r="M93" i="46"/>
  <c r="I93" i="46"/>
  <c r="M92" i="46"/>
  <c r="I92" i="46"/>
  <c r="M91" i="46"/>
  <c r="I91" i="46"/>
  <c r="M90" i="46"/>
  <c r="I90" i="46"/>
  <c r="M89" i="46"/>
  <c r="I89" i="46"/>
  <c r="M88" i="46"/>
  <c r="I88" i="46"/>
  <c r="M87" i="46"/>
  <c r="I87" i="46"/>
  <c r="M86" i="46"/>
  <c r="I86" i="46"/>
  <c r="M85" i="46"/>
  <c r="I85" i="46"/>
  <c r="M84" i="46"/>
  <c r="I84" i="46"/>
  <c r="M83" i="46"/>
  <c r="I83" i="46"/>
  <c r="M82" i="46"/>
  <c r="I82" i="46"/>
  <c r="M81" i="46"/>
  <c r="I81" i="46"/>
  <c r="M80" i="46"/>
  <c r="I80" i="46"/>
  <c r="M79" i="46"/>
  <c r="I79" i="46"/>
  <c r="M78" i="46"/>
  <c r="I78" i="46"/>
  <c r="M77" i="46"/>
  <c r="I77" i="46"/>
  <c r="M76" i="46"/>
  <c r="I76" i="46"/>
  <c r="M75" i="46"/>
  <c r="I75" i="46"/>
  <c r="M74" i="46"/>
  <c r="I74" i="46"/>
  <c r="M73" i="46"/>
  <c r="I73" i="46"/>
  <c r="M72" i="46"/>
  <c r="I72" i="46"/>
  <c r="M71" i="46"/>
  <c r="I71" i="46"/>
  <c r="M70" i="46"/>
  <c r="I70" i="46"/>
  <c r="M69" i="46"/>
  <c r="I69" i="46"/>
  <c r="M68" i="46"/>
  <c r="I68" i="46"/>
  <c r="M67" i="46"/>
  <c r="I67" i="46"/>
  <c r="M66" i="46"/>
  <c r="I66" i="46"/>
  <c r="M65" i="46"/>
  <c r="I65" i="46"/>
  <c r="M64" i="46"/>
  <c r="I64" i="46"/>
  <c r="M63" i="46"/>
  <c r="I63" i="46"/>
  <c r="M62" i="46"/>
  <c r="I62" i="46"/>
  <c r="M61" i="46"/>
  <c r="I61" i="46"/>
  <c r="M60" i="46"/>
  <c r="I60" i="46"/>
  <c r="M59" i="46"/>
  <c r="I59" i="46"/>
  <c r="M58" i="46"/>
  <c r="I58" i="46"/>
  <c r="M57" i="46"/>
  <c r="I57" i="46"/>
  <c r="M56" i="46"/>
  <c r="I56" i="46"/>
  <c r="M55" i="46"/>
  <c r="I55" i="46"/>
  <c r="M54" i="46"/>
  <c r="I54" i="46"/>
  <c r="M53" i="46"/>
  <c r="I53" i="46"/>
  <c r="M52" i="46"/>
  <c r="I52" i="46"/>
  <c r="M51" i="46"/>
  <c r="I51" i="46"/>
  <c r="M50" i="46"/>
  <c r="I50" i="46"/>
  <c r="M49" i="46"/>
  <c r="I49" i="46"/>
  <c r="M48" i="46"/>
  <c r="I48" i="46"/>
  <c r="M47" i="46"/>
  <c r="I47" i="46"/>
  <c r="M46" i="46"/>
  <c r="I46" i="46"/>
  <c r="M45" i="46"/>
  <c r="I45" i="46"/>
  <c r="M44" i="46"/>
  <c r="I44" i="46"/>
  <c r="M43" i="46"/>
  <c r="I43" i="46"/>
  <c r="M42" i="46"/>
  <c r="I42" i="46"/>
  <c r="M41" i="46"/>
  <c r="I41" i="46"/>
  <c r="M40" i="46"/>
  <c r="I40" i="46"/>
  <c r="M39" i="46"/>
  <c r="I39" i="46"/>
  <c r="M38" i="46"/>
  <c r="I38" i="46"/>
  <c r="M37" i="46"/>
  <c r="I37" i="46"/>
  <c r="M36" i="46"/>
  <c r="I36" i="46"/>
  <c r="M35" i="46"/>
  <c r="I35" i="46"/>
  <c r="M34" i="46"/>
  <c r="I34" i="46"/>
  <c r="M33" i="46"/>
  <c r="I33" i="46"/>
  <c r="M32" i="46"/>
  <c r="I32" i="46"/>
  <c r="M31" i="46"/>
  <c r="I31" i="46"/>
  <c r="M30" i="46"/>
  <c r="I30" i="46"/>
  <c r="M29" i="46"/>
  <c r="I29" i="46"/>
  <c r="M28" i="46"/>
  <c r="I28" i="46"/>
  <c r="M27" i="46"/>
  <c r="I27" i="46"/>
  <c r="M26" i="46"/>
  <c r="I26" i="46"/>
  <c r="M25" i="46"/>
  <c r="I25" i="46"/>
  <c r="M24" i="46"/>
  <c r="I24" i="46"/>
  <c r="M23" i="46"/>
  <c r="I23" i="46"/>
  <c r="M22" i="46"/>
  <c r="I22" i="46"/>
  <c r="M21" i="46"/>
  <c r="I21" i="46"/>
  <c r="M20" i="46"/>
  <c r="I20" i="46"/>
  <c r="M19" i="46"/>
  <c r="I19" i="46"/>
  <c r="M18" i="46"/>
  <c r="I18" i="46"/>
  <c r="M17" i="46"/>
  <c r="I17" i="46"/>
  <c r="M16" i="46"/>
  <c r="I16" i="46"/>
  <c r="M15" i="46"/>
  <c r="I15" i="46"/>
  <c r="M14" i="46"/>
  <c r="I14" i="46"/>
  <c r="M13" i="46"/>
  <c r="I13" i="46"/>
  <c r="M12" i="46"/>
  <c r="I12" i="46"/>
  <c r="Q104" i="29"/>
  <c r="E3" i="28" s="1"/>
  <c r="Q129" i="29"/>
  <c r="E41" i="28" s="1"/>
  <c r="O129" i="29"/>
  <c r="C41" i="28" s="1"/>
  <c r="M129" i="29"/>
  <c r="L129" i="29"/>
  <c r="Q128" i="29"/>
  <c r="E45" i="28" s="1"/>
  <c r="O128" i="29"/>
  <c r="C45" i="28" s="1"/>
  <c r="M128" i="29"/>
  <c r="L128" i="29"/>
  <c r="Q127" i="29"/>
  <c r="E43" i="28" s="1"/>
  <c r="O127" i="29"/>
  <c r="C43" i="28" s="1"/>
  <c r="M127" i="29"/>
  <c r="L127" i="29"/>
  <c r="Q126" i="29"/>
  <c r="E44" i="28" s="1"/>
  <c r="O126" i="29"/>
  <c r="C44" i="28" s="1"/>
  <c r="M126" i="29"/>
  <c r="L126" i="29"/>
  <c r="Q123" i="29"/>
  <c r="E42" i="28" s="1"/>
  <c r="O123" i="29"/>
  <c r="C42" i="28" s="1"/>
  <c r="M123" i="29"/>
  <c r="L123" i="29"/>
  <c r="Q122" i="29"/>
  <c r="E46" i="28" s="1"/>
  <c r="O122" i="29"/>
  <c r="C46" i="28" s="1"/>
  <c r="M122" i="29"/>
  <c r="L122" i="29"/>
  <c r="Q121" i="29"/>
  <c r="E47" i="28" s="1"/>
  <c r="O121" i="29"/>
  <c r="C47" i="28" s="1"/>
  <c r="M121" i="29"/>
  <c r="L121" i="29"/>
  <c r="Q119" i="29"/>
  <c r="E52" i="28" s="1"/>
  <c r="O119" i="29"/>
  <c r="C52" i="28" s="1"/>
  <c r="M119" i="29"/>
  <c r="L119" i="29"/>
  <c r="Q118" i="29"/>
  <c r="E51" i="28" s="1"/>
  <c r="O118" i="29"/>
  <c r="C51" i="28" s="1"/>
  <c r="M118" i="29"/>
  <c r="L118" i="29"/>
  <c r="Q113" i="29"/>
  <c r="E4" i="28" s="1"/>
  <c r="O113" i="29"/>
  <c r="C4" i="28" s="1"/>
  <c r="Q117" i="29"/>
  <c r="E49" i="28" s="1"/>
  <c r="O117" i="29"/>
  <c r="C49" i="28" s="1"/>
  <c r="M117" i="29"/>
  <c r="L117" i="29"/>
  <c r="Q116" i="29"/>
  <c r="E50" i="28" s="1"/>
  <c r="O116" i="29"/>
  <c r="C50" i="28" s="1"/>
  <c r="M116" i="29"/>
  <c r="L116" i="29"/>
  <c r="Q115" i="29"/>
  <c r="E48" i="28" s="1"/>
  <c r="O115" i="29"/>
  <c r="C48" i="28" s="1"/>
  <c r="M115" i="29"/>
  <c r="L115" i="29"/>
  <c r="Q112" i="29"/>
  <c r="E65" i="28" s="1"/>
  <c r="O112" i="29"/>
  <c r="C65" i="28" s="1"/>
  <c r="Q111" i="29"/>
  <c r="E64" i="28" s="1"/>
  <c r="O111" i="29"/>
  <c r="C64" i="28" s="1"/>
  <c r="Q110" i="29"/>
  <c r="E69" i="28" s="1"/>
  <c r="O110" i="29"/>
  <c r="C69" i="28" s="1"/>
  <c r="Q109" i="29"/>
  <c r="E68" i="28" s="1"/>
  <c r="O109" i="29"/>
  <c r="C68" i="28" s="1"/>
  <c r="Q108" i="29"/>
  <c r="E71" i="28" s="1"/>
  <c r="O108" i="29"/>
  <c r="C71" i="28" s="1"/>
  <c r="Q107" i="29"/>
  <c r="E70" i="28" s="1"/>
  <c r="O107" i="29"/>
  <c r="C70" i="28" s="1"/>
  <c r="Q106" i="29"/>
  <c r="E67" i="28" s="1"/>
  <c r="O106" i="29"/>
  <c r="C67" i="28" s="1"/>
  <c r="Q105" i="29"/>
  <c r="E66" i="28" s="1"/>
  <c r="O105" i="29"/>
  <c r="C66" i="28" s="1"/>
  <c r="O104" i="29"/>
  <c r="C3" i="28" s="1"/>
  <c r="AC36" i="53" l="1"/>
  <c r="X34" i="53"/>
  <c r="AB34" i="53" s="1"/>
  <c r="O37" i="53"/>
  <c r="N37" i="53"/>
  <c r="AD35" i="53"/>
  <c r="AE33" i="53"/>
  <c r="AF33" i="53" s="1"/>
  <c r="AG34" i="53"/>
  <c r="Q35" i="53"/>
  <c r="AT35" i="53"/>
  <c r="R35" i="53"/>
  <c r="X35" i="53" s="1"/>
  <c r="AB35" i="53" s="1"/>
  <c r="R36" i="53"/>
  <c r="X36" i="53" s="1"/>
  <c r="AB36" i="53" s="1"/>
  <c r="D115" i="22"/>
  <c r="AT36" i="53"/>
  <c r="Q36" i="53"/>
  <c r="AD36" i="53"/>
  <c r="I37" i="53"/>
  <c r="C37" i="53"/>
  <c r="F37" i="53"/>
  <c r="L37" i="53"/>
  <c r="K37" i="53"/>
  <c r="AH37" i="53" s="1"/>
  <c r="E37" i="53"/>
  <c r="P37" i="53"/>
  <c r="H37" i="53"/>
  <c r="G37" i="53"/>
  <c r="AK36" i="52" a="1"/>
  <c r="AK36" i="52" s="1"/>
  <c r="B38" i="53" s="1"/>
  <c r="J37" i="53"/>
  <c r="D37" i="53"/>
  <c r="AA34" i="53" l="1"/>
  <c r="AC38" i="53"/>
  <c r="O38" i="53"/>
  <c r="N38" i="53"/>
  <c r="AA36" i="53"/>
  <c r="AA35" i="53"/>
  <c r="AG36" i="53"/>
  <c r="AC37" i="53"/>
  <c r="AE34" i="53"/>
  <c r="AF34" i="53" s="1"/>
  <c r="AG35" i="53"/>
  <c r="H38" i="53"/>
  <c r="AK37" i="52" a="1"/>
  <c r="AK37" i="52" s="1"/>
  <c r="B39" i="53" s="1"/>
  <c r="K38" i="53"/>
  <c r="AH38" i="53" s="1"/>
  <c r="D38" i="53"/>
  <c r="C38" i="53"/>
  <c r="G38" i="53"/>
  <c r="I38" i="53"/>
  <c r="F38" i="53"/>
  <c r="P38" i="53"/>
  <c r="L38" i="53"/>
  <c r="E38" i="53"/>
  <c r="J38" i="53"/>
  <c r="A128" i="99"/>
  <c r="A127" i="99"/>
  <c r="A126" i="99"/>
  <c r="A125" i="99"/>
  <c r="A122" i="99"/>
  <c r="A121" i="99"/>
  <c r="A120" i="99"/>
  <c r="A118" i="99"/>
  <c r="A117" i="99"/>
  <c r="A115" i="99"/>
  <c r="A114" i="99"/>
  <c r="A113" i="99"/>
  <c r="A112" i="99"/>
  <c r="A111" i="99"/>
  <c r="A110" i="99"/>
  <c r="A109" i="99"/>
  <c r="A108" i="99"/>
  <c r="A107" i="99"/>
  <c r="A106" i="99"/>
  <c r="A105" i="99"/>
  <c r="A104" i="99"/>
  <c r="A103" i="99"/>
  <c r="C129" i="33"/>
  <c r="C128" i="33"/>
  <c r="C127" i="33"/>
  <c r="C126" i="33"/>
  <c r="C123" i="33"/>
  <c r="C122" i="33"/>
  <c r="C121" i="33"/>
  <c r="C119" i="33"/>
  <c r="C118" i="33"/>
  <c r="C116" i="33"/>
  <c r="C115" i="33"/>
  <c r="C114" i="33"/>
  <c r="C113" i="33"/>
  <c r="C112" i="33"/>
  <c r="C111" i="33"/>
  <c r="C110" i="33"/>
  <c r="C109" i="33"/>
  <c r="C108" i="33"/>
  <c r="C107" i="33"/>
  <c r="C106" i="33"/>
  <c r="C105" i="33"/>
  <c r="C104" i="33"/>
  <c r="F128" i="20"/>
  <c r="F127" i="20"/>
  <c r="F126" i="20"/>
  <c r="F125" i="20"/>
  <c r="F122" i="20"/>
  <c r="F121" i="20"/>
  <c r="F120" i="20"/>
  <c r="F118" i="20"/>
  <c r="F117" i="20"/>
  <c r="F115" i="20"/>
  <c r="F114" i="20"/>
  <c r="F113" i="20"/>
  <c r="F112" i="20"/>
  <c r="F111" i="20"/>
  <c r="F110" i="20"/>
  <c r="F109" i="20"/>
  <c r="F108" i="20"/>
  <c r="F107" i="20"/>
  <c r="F106" i="20"/>
  <c r="F105" i="20"/>
  <c r="F104" i="20"/>
  <c r="F103" i="20"/>
  <c r="D130" i="22"/>
  <c r="C130" i="22"/>
  <c r="B130" i="22"/>
  <c r="D128" i="22"/>
  <c r="C128" i="22"/>
  <c r="B128" i="22"/>
  <c r="A128" i="22"/>
  <c r="D127" i="22"/>
  <c r="C127" i="22"/>
  <c r="B127" i="22"/>
  <c r="A127" i="22"/>
  <c r="D126" i="22"/>
  <c r="C126" i="22"/>
  <c r="B126" i="22"/>
  <c r="A126" i="22"/>
  <c r="D125" i="22"/>
  <c r="C125" i="22"/>
  <c r="B125" i="22"/>
  <c r="A125" i="22"/>
  <c r="D122" i="22"/>
  <c r="C122" i="22"/>
  <c r="B122" i="22"/>
  <c r="A122" i="22"/>
  <c r="D121" i="22"/>
  <c r="C121" i="22"/>
  <c r="B121" i="22"/>
  <c r="A121" i="22"/>
  <c r="D120" i="22"/>
  <c r="C120" i="22"/>
  <c r="B120" i="22"/>
  <c r="A120" i="22"/>
  <c r="D118" i="22"/>
  <c r="C118" i="22"/>
  <c r="B118" i="22"/>
  <c r="A118" i="22"/>
  <c r="D117" i="22"/>
  <c r="C117" i="22"/>
  <c r="B117" i="22"/>
  <c r="A117" i="22"/>
  <c r="D114" i="22"/>
  <c r="C114" i="22"/>
  <c r="B114" i="22"/>
  <c r="A114" i="22"/>
  <c r="D113" i="22"/>
  <c r="C113" i="22"/>
  <c r="B113" i="22"/>
  <c r="A113" i="22"/>
  <c r="D112" i="22"/>
  <c r="C112" i="22"/>
  <c r="B112" i="22"/>
  <c r="A112" i="22"/>
  <c r="D111" i="22"/>
  <c r="C111" i="22"/>
  <c r="B111" i="22"/>
  <c r="A111" i="22"/>
  <c r="D110" i="22"/>
  <c r="C110" i="22"/>
  <c r="B110" i="22"/>
  <c r="A110" i="22"/>
  <c r="D109" i="22"/>
  <c r="C109" i="22"/>
  <c r="B109" i="22"/>
  <c r="A109" i="22"/>
  <c r="D108" i="22"/>
  <c r="C108" i="22"/>
  <c r="B108" i="22"/>
  <c r="A108" i="22"/>
  <c r="D107" i="22"/>
  <c r="C107" i="22"/>
  <c r="B107" i="22"/>
  <c r="A107" i="22"/>
  <c r="D106" i="22"/>
  <c r="C106" i="22"/>
  <c r="B106" i="22"/>
  <c r="A106" i="22"/>
  <c r="D105" i="22"/>
  <c r="C105" i="22"/>
  <c r="B105" i="22"/>
  <c r="A105" i="22"/>
  <c r="D104" i="22"/>
  <c r="C104" i="22"/>
  <c r="B104" i="22"/>
  <c r="A104" i="22"/>
  <c r="D103" i="22"/>
  <c r="C103" i="22"/>
  <c r="A103" i="22"/>
  <c r="V104" i="22" l="1"/>
  <c r="T104" i="22"/>
  <c r="J104" i="22"/>
  <c r="U104" i="22"/>
  <c r="I104" i="22"/>
  <c r="H104" i="22"/>
  <c r="G104" i="22"/>
  <c r="F104" i="22"/>
  <c r="F105" i="22"/>
  <c r="T105" i="22"/>
  <c r="I105" i="22"/>
  <c r="J105" i="22"/>
  <c r="V105" i="22"/>
  <c r="U105" i="22"/>
  <c r="H105" i="22"/>
  <c r="G105" i="22"/>
  <c r="V106" i="22"/>
  <c r="U106" i="22"/>
  <c r="T106" i="22"/>
  <c r="J106" i="22"/>
  <c r="I106" i="22"/>
  <c r="H106" i="22"/>
  <c r="G106" i="22"/>
  <c r="F106" i="22"/>
  <c r="U107" i="22"/>
  <c r="T107" i="22"/>
  <c r="H107" i="22"/>
  <c r="V107" i="22"/>
  <c r="J107" i="22"/>
  <c r="G107" i="22"/>
  <c r="F107" i="22"/>
  <c r="I107" i="22"/>
  <c r="T108" i="22"/>
  <c r="U108" i="22"/>
  <c r="I108" i="22"/>
  <c r="V108" i="22"/>
  <c r="H108" i="22"/>
  <c r="F108" i="22"/>
  <c r="J108" i="22"/>
  <c r="G108" i="22"/>
  <c r="U109" i="22"/>
  <c r="J109" i="22"/>
  <c r="T109" i="22"/>
  <c r="I109" i="22"/>
  <c r="V109" i="22"/>
  <c r="F109" i="22"/>
  <c r="G109" i="22"/>
  <c r="H109" i="22"/>
  <c r="T110" i="22"/>
  <c r="U110" i="22"/>
  <c r="J110" i="22"/>
  <c r="I110" i="22"/>
  <c r="G110" i="22"/>
  <c r="V110" i="22"/>
  <c r="F110" i="22"/>
  <c r="H110" i="22"/>
  <c r="V111" i="22"/>
  <c r="U111" i="22"/>
  <c r="T111" i="22"/>
  <c r="J111" i="22"/>
  <c r="I111" i="22"/>
  <c r="G111" i="22"/>
  <c r="F111" i="22"/>
  <c r="H111" i="22"/>
  <c r="U112" i="22"/>
  <c r="V112" i="22"/>
  <c r="H112" i="22"/>
  <c r="T112" i="22"/>
  <c r="J112" i="22"/>
  <c r="G112" i="22"/>
  <c r="I112" i="22"/>
  <c r="F112" i="22"/>
  <c r="V113" i="22"/>
  <c r="U113" i="22"/>
  <c r="T113" i="22"/>
  <c r="J113" i="22"/>
  <c r="H113" i="22"/>
  <c r="F113" i="22"/>
  <c r="I113" i="22"/>
  <c r="G113" i="22"/>
  <c r="U114" i="22"/>
  <c r="J114" i="22"/>
  <c r="I114" i="22"/>
  <c r="V114" i="22"/>
  <c r="T114" i="22"/>
  <c r="G114" i="22"/>
  <c r="F114" i="22"/>
  <c r="H114" i="22"/>
  <c r="V117" i="22"/>
  <c r="I117" i="22"/>
  <c r="U117" i="22"/>
  <c r="J117" i="22"/>
  <c r="T117" i="22"/>
  <c r="H117" i="22"/>
  <c r="G117" i="22"/>
  <c r="F117" i="22"/>
  <c r="V118" i="22"/>
  <c r="T118" i="22"/>
  <c r="J118" i="22"/>
  <c r="F118" i="22"/>
  <c r="U118" i="22"/>
  <c r="I118" i="22"/>
  <c r="G118" i="22"/>
  <c r="H118" i="22"/>
  <c r="V120" i="22"/>
  <c r="J120" i="22"/>
  <c r="U120" i="22"/>
  <c r="T120" i="22"/>
  <c r="H120" i="22"/>
  <c r="F120" i="22"/>
  <c r="I120" i="22"/>
  <c r="G120" i="22"/>
  <c r="T121" i="22"/>
  <c r="F121" i="22"/>
  <c r="V121" i="22"/>
  <c r="I121" i="22"/>
  <c r="U121" i="22"/>
  <c r="G121" i="22"/>
  <c r="H121" i="22"/>
  <c r="J121" i="22"/>
  <c r="V122" i="22"/>
  <c r="U122" i="22"/>
  <c r="T122" i="22"/>
  <c r="J122" i="22"/>
  <c r="G122" i="22"/>
  <c r="F122" i="22"/>
  <c r="I122" i="22"/>
  <c r="H122" i="22"/>
  <c r="J125" i="22"/>
  <c r="T125" i="22"/>
  <c r="V125" i="22"/>
  <c r="I125" i="22"/>
  <c r="U125" i="22"/>
  <c r="G125" i="22"/>
  <c r="F125" i="22"/>
  <c r="H125" i="22"/>
  <c r="T126" i="22"/>
  <c r="I126" i="22"/>
  <c r="G126" i="22"/>
  <c r="V126" i="22"/>
  <c r="J126" i="22"/>
  <c r="U126" i="22"/>
  <c r="H126" i="22"/>
  <c r="F126" i="22"/>
  <c r="V127" i="22"/>
  <c r="U127" i="22"/>
  <c r="T127" i="22"/>
  <c r="J127" i="22"/>
  <c r="I127" i="22"/>
  <c r="H127" i="22"/>
  <c r="G127" i="22"/>
  <c r="F127" i="22"/>
  <c r="U128" i="22"/>
  <c r="T128" i="22"/>
  <c r="I128" i="22"/>
  <c r="H128" i="22"/>
  <c r="V128" i="22"/>
  <c r="J128" i="22"/>
  <c r="G128" i="22"/>
  <c r="F128" i="22"/>
  <c r="S130" i="22"/>
  <c r="E130" i="22"/>
  <c r="S103" i="22"/>
  <c r="E103" i="22"/>
  <c r="E104" i="22"/>
  <c r="S104" i="22"/>
  <c r="S105" i="22"/>
  <c r="E105" i="22"/>
  <c r="S106" i="22"/>
  <c r="E106" i="22"/>
  <c r="S107" i="22"/>
  <c r="E107" i="22"/>
  <c r="S108" i="22"/>
  <c r="E108" i="22"/>
  <c r="S109" i="22"/>
  <c r="E109" i="22"/>
  <c r="S110" i="22"/>
  <c r="E110" i="22"/>
  <c r="S111" i="22"/>
  <c r="E111" i="22"/>
  <c r="S112" i="22"/>
  <c r="E112" i="22"/>
  <c r="E113" i="22"/>
  <c r="S113" i="22"/>
  <c r="S114" i="22"/>
  <c r="E114" i="22"/>
  <c r="S117" i="22"/>
  <c r="E117" i="22"/>
  <c r="S118" i="22"/>
  <c r="E118" i="22"/>
  <c r="E120" i="22"/>
  <c r="S120" i="22"/>
  <c r="S121" i="22"/>
  <c r="E121" i="22"/>
  <c r="S122" i="22"/>
  <c r="E122" i="22"/>
  <c r="S125" i="22"/>
  <c r="E125" i="22"/>
  <c r="S126" i="22"/>
  <c r="E126" i="22"/>
  <c r="S127" i="22"/>
  <c r="E127" i="22"/>
  <c r="S128" i="22"/>
  <c r="E128" i="22"/>
  <c r="U103" i="22"/>
  <c r="G103" i="22"/>
  <c r="T103" i="22"/>
  <c r="H103" i="22"/>
  <c r="V103" i="22"/>
  <c r="J103" i="22"/>
  <c r="F103" i="22"/>
  <c r="I103" i="22"/>
  <c r="X107" i="22"/>
  <c r="X109" i="22"/>
  <c r="X111" i="22"/>
  <c r="X113" i="22"/>
  <c r="X117" i="22"/>
  <c r="X120" i="22"/>
  <c r="X122" i="22"/>
  <c r="X126" i="22"/>
  <c r="X128" i="22"/>
  <c r="X105" i="22"/>
  <c r="X103" i="22"/>
  <c r="X104" i="22"/>
  <c r="X106" i="22"/>
  <c r="X108" i="22"/>
  <c r="X110" i="22"/>
  <c r="X112" i="22"/>
  <c r="X114" i="22"/>
  <c r="X118" i="22"/>
  <c r="X121" i="22"/>
  <c r="X125" i="22"/>
  <c r="X127" i="22"/>
  <c r="AC39" i="53"/>
  <c r="O39" i="53"/>
  <c r="N39" i="53"/>
  <c r="AD37" i="53"/>
  <c r="R37" i="53"/>
  <c r="X37" i="53" s="1"/>
  <c r="AB37" i="53" s="1"/>
  <c r="AT37" i="53"/>
  <c r="Q37" i="53"/>
  <c r="AE38" i="53"/>
  <c r="R38" i="53"/>
  <c r="X38" i="53" s="1"/>
  <c r="AB38" i="53" s="1"/>
  <c r="AT38" i="53"/>
  <c r="AG38" i="53"/>
  <c r="C39" i="53"/>
  <c r="AD38" i="53"/>
  <c r="Q38" i="53"/>
  <c r="F39" i="53"/>
  <c r="G39" i="53"/>
  <c r="K39" i="53"/>
  <c r="AH39" i="53" s="1"/>
  <c r="D39" i="53"/>
  <c r="H39" i="53"/>
  <c r="L39" i="53"/>
  <c r="AK38" i="52" a="1"/>
  <c r="AK38" i="52" s="1"/>
  <c r="B40" i="53" s="1"/>
  <c r="P39" i="53"/>
  <c r="J39" i="53"/>
  <c r="E39" i="53"/>
  <c r="I39" i="53"/>
  <c r="W112" i="22"/>
  <c r="W113" i="22"/>
  <c r="W118" i="22"/>
  <c r="W110" i="22"/>
  <c r="L110" i="22"/>
  <c r="W106" i="22"/>
  <c r="L108" i="22"/>
  <c r="L121" i="22"/>
  <c r="W108" i="22"/>
  <c r="K105" i="22"/>
  <c r="K118" i="22"/>
  <c r="L120" i="22"/>
  <c r="L105" i="22"/>
  <c r="K113" i="22"/>
  <c r="K112" i="22"/>
  <c r="K106" i="22"/>
  <c r="K108" i="22"/>
  <c r="K110" i="22"/>
  <c r="L112" i="22"/>
  <c r="W103" i="22"/>
  <c r="K103" i="22"/>
  <c r="W114" i="22"/>
  <c r="K114" i="22"/>
  <c r="L111" i="22"/>
  <c r="L114" i="22"/>
  <c r="W117" i="22"/>
  <c r="K117" i="22"/>
  <c r="W111" i="22"/>
  <c r="K111" i="22"/>
  <c r="W125" i="22"/>
  <c r="K125" i="22"/>
  <c r="L125" i="22"/>
  <c r="W107" i="22"/>
  <c r="K107" i="22"/>
  <c r="K104" i="22"/>
  <c r="W104" i="22"/>
  <c r="W105" i="22"/>
  <c r="W109" i="22"/>
  <c r="K109" i="22"/>
  <c r="L122" i="22"/>
  <c r="W122" i="22"/>
  <c r="K122" i="22"/>
  <c r="K120" i="22"/>
  <c r="W120" i="22"/>
  <c r="K121" i="22"/>
  <c r="W121" i="22"/>
  <c r="K127" i="22"/>
  <c r="W127" i="22"/>
  <c r="K130" i="22"/>
  <c r="W130" i="22"/>
  <c r="K126" i="22"/>
  <c r="W126" i="22"/>
  <c r="K128" i="22"/>
  <c r="W128" i="22"/>
  <c r="L126" i="22"/>
  <c r="L128" i="22"/>
  <c r="AC40" i="53" l="1"/>
  <c r="O40" i="53"/>
  <c r="N40" i="53"/>
  <c r="AA37" i="53"/>
  <c r="AA38" i="53"/>
  <c r="AG37" i="53"/>
  <c r="AE36" i="53"/>
  <c r="AF36" i="53" s="1"/>
  <c r="AE35" i="53"/>
  <c r="AF35" i="53" s="1"/>
  <c r="AE39" i="53"/>
  <c r="AF38" i="53"/>
  <c r="R39" i="53"/>
  <c r="X39" i="53" s="1"/>
  <c r="AB39" i="53" s="1"/>
  <c r="AT39" i="53"/>
  <c r="AG39" i="53"/>
  <c r="H40" i="53"/>
  <c r="AD39" i="53"/>
  <c r="AK39" i="52" a="1"/>
  <c r="AK39" i="52" s="1"/>
  <c r="B41" i="53" s="1"/>
  <c r="G40" i="53"/>
  <c r="E40" i="53"/>
  <c r="D40" i="53"/>
  <c r="J40" i="53"/>
  <c r="F40" i="53"/>
  <c r="P40" i="53"/>
  <c r="Q39" i="53"/>
  <c r="K40" i="53"/>
  <c r="AH40" i="53" s="1"/>
  <c r="L40" i="53"/>
  <c r="I40" i="53"/>
  <c r="C40" i="53"/>
  <c r="AC41" i="53" l="1"/>
  <c r="O41" i="53"/>
  <c r="N41" i="53"/>
  <c r="AA39" i="53"/>
  <c r="AE37" i="53"/>
  <c r="AF37" i="53" s="1"/>
  <c r="AF39" i="53"/>
  <c r="AE40" i="53"/>
  <c r="R40" i="53"/>
  <c r="X40" i="53" s="1"/>
  <c r="AB40" i="53" s="1"/>
  <c r="AG40" i="53"/>
  <c r="AT40" i="53"/>
  <c r="I41" i="53"/>
  <c r="AD40" i="53"/>
  <c r="D41" i="53"/>
  <c r="K41" i="53"/>
  <c r="AH41" i="53" s="1"/>
  <c r="P41" i="53"/>
  <c r="J41" i="53"/>
  <c r="E41" i="53"/>
  <c r="L41" i="53"/>
  <c r="F41" i="53"/>
  <c r="G41" i="53"/>
  <c r="Q40" i="53"/>
  <c r="AK40" i="52" a="1"/>
  <c r="AK40" i="52" s="1"/>
  <c r="B42" i="53" s="1"/>
  <c r="H41" i="53"/>
  <c r="C41" i="53"/>
  <c r="AC42" i="53" l="1"/>
  <c r="O42" i="53"/>
  <c r="N42" i="53"/>
  <c r="AA40" i="53"/>
  <c r="AE41" i="53"/>
  <c r="AF40" i="53"/>
  <c r="R41" i="53"/>
  <c r="X41" i="53" s="1"/>
  <c r="AB41" i="53" s="1"/>
  <c r="AG41" i="53"/>
  <c r="AT41" i="53"/>
  <c r="D42" i="53"/>
  <c r="AD41" i="53"/>
  <c r="K42" i="53"/>
  <c r="AH42" i="53" s="1"/>
  <c r="L42" i="53"/>
  <c r="H42" i="53"/>
  <c r="J42" i="53"/>
  <c r="P42" i="53"/>
  <c r="Q41" i="53"/>
  <c r="C42" i="53"/>
  <c r="G42" i="53"/>
  <c r="F42" i="53"/>
  <c r="AK41" i="52" a="1"/>
  <c r="AK41" i="52" s="1"/>
  <c r="B43" i="53" s="1"/>
  <c r="I42" i="53"/>
  <c r="E42" i="53"/>
  <c r="AC43" i="53" l="1"/>
  <c r="O43" i="53"/>
  <c r="N43" i="53"/>
  <c r="AA41" i="53"/>
  <c r="AE42" i="53"/>
  <c r="AF41" i="53"/>
  <c r="R42" i="53"/>
  <c r="X42" i="53" s="1"/>
  <c r="AB42" i="53" s="1"/>
  <c r="AT42" i="53"/>
  <c r="AG42" i="53"/>
  <c r="L43" i="53"/>
  <c r="AD42" i="53"/>
  <c r="Q42" i="53"/>
  <c r="P43" i="53"/>
  <c r="K43" i="53"/>
  <c r="AH43" i="53" s="1"/>
  <c r="F43" i="53"/>
  <c r="E43" i="53"/>
  <c r="I43" i="53"/>
  <c r="C43" i="53"/>
  <c r="J43" i="53"/>
  <c r="G43" i="53"/>
  <c r="AK42" i="52" a="1"/>
  <c r="AK42" i="52" s="1"/>
  <c r="B44" i="53" s="1"/>
  <c r="D43" i="53"/>
  <c r="H43" i="53"/>
  <c r="AC44" i="53" l="1"/>
  <c r="O44" i="53"/>
  <c r="N44" i="53"/>
  <c r="AA42" i="53"/>
  <c r="AF42" i="53"/>
  <c r="AE43" i="53"/>
  <c r="R43" i="53"/>
  <c r="X43" i="53" s="1"/>
  <c r="AB43" i="53" s="1"/>
  <c r="AG43" i="53"/>
  <c r="AT43" i="53"/>
  <c r="E44" i="53"/>
  <c r="Q43" i="53"/>
  <c r="AD43" i="53"/>
  <c r="AK43" i="52" a="1"/>
  <c r="AK43" i="52" s="1"/>
  <c r="B45" i="53" s="1"/>
  <c r="H44" i="53"/>
  <c r="D44" i="53"/>
  <c r="P44" i="53"/>
  <c r="F44" i="53"/>
  <c r="K44" i="53"/>
  <c r="AH44" i="53" s="1"/>
  <c r="I44" i="53"/>
  <c r="J44" i="53"/>
  <c r="C44" i="53"/>
  <c r="G44" i="53"/>
  <c r="L44" i="53"/>
  <c r="C41" i="33"/>
  <c r="AC45" i="53" l="1"/>
  <c r="O45" i="53"/>
  <c r="N45" i="53"/>
  <c r="AA43" i="53"/>
  <c r="AE44" i="53"/>
  <c r="AF43" i="53"/>
  <c r="R44" i="53"/>
  <c r="X44" i="53" s="1"/>
  <c r="AB44" i="53" s="1"/>
  <c r="AT44" i="53"/>
  <c r="AG44" i="53"/>
  <c r="Q44" i="53"/>
  <c r="AD44" i="53"/>
  <c r="AK44" i="52" a="1"/>
  <c r="AK44" i="52" s="1"/>
  <c r="B46" i="53" s="1"/>
  <c r="L45" i="53"/>
  <c r="C45" i="53"/>
  <c r="I45" i="53"/>
  <c r="F45" i="53"/>
  <c r="K45" i="53"/>
  <c r="AH45" i="53" s="1"/>
  <c r="J45" i="53"/>
  <c r="D45" i="53"/>
  <c r="G45" i="53"/>
  <c r="P45" i="53"/>
  <c r="H45" i="53"/>
  <c r="E45" i="53"/>
  <c r="AC46" i="53" l="1"/>
  <c r="O46" i="53"/>
  <c r="N46" i="53"/>
  <c r="AA44" i="53"/>
  <c r="AF44" i="53"/>
  <c r="AE45" i="53"/>
  <c r="R45" i="53"/>
  <c r="X45" i="53" s="1"/>
  <c r="AB45" i="53" s="1"/>
  <c r="AG45" i="53"/>
  <c r="AD45" i="53"/>
  <c r="AT45" i="53"/>
  <c r="Q45" i="53"/>
  <c r="H46" i="53"/>
  <c r="AK45" i="52" a="1"/>
  <c r="AK45" i="52" s="1"/>
  <c r="B47" i="53" s="1"/>
  <c r="K46" i="53"/>
  <c r="AH46" i="53" s="1"/>
  <c r="G46" i="53"/>
  <c r="D46" i="53"/>
  <c r="E46" i="53"/>
  <c r="J46" i="53"/>
  <c r="C46" i="53"/>
  <c r="P46" i="53"/>
  <c r="F46" i="53"/>
  <c r="I46" i="53"/>
  <c r="L46" i="53"/>
  <c r="AC47" i="53" l="1"/>
  <c r="O47" i="53"/>
  <c r="N47" i="53"/>
  <c r="AA45" i="53"/>
  <c r="AE46" i="53"/>
  <c r="AF45" i="53"/>
  <c r="R46" i="53"/>
  <c r="X46" i="53" s="1"/>
  <c r="AB46" i="53" s="1"/>
  <c r="AT46" i="53"/>
  <c r="AG46" i="53"/>
  <c r="K47" i="53"/>
  <c r="AH47" i="53" s="1"/>
  <c r="AD46" i="53"/>
  <c r="Q46" i="53"/>
  <c r="J47" i="53"/>
  <c r="C47" i="53"/>
  <c r="G47" i="53"/>
  <c r="D47" i="53"/>
  <c r="H47" i="53"/>
  <c r="E47" i="53"/>
  <c r="I47" i="53"/>
  <c r="AK46" i="52" a="1"/>
  <c r="AK46" i="52" s="1"/>
  <c r="B48" i="53" s="1"/>
  <c r="L47" i="53"/>
  <c r="F47" i="53"/>
  <c r="P47" i="53"/>
  <c r="H4" i="32"/>
  <c r="AC48" i="53" l="1"/>
  <c r="O48" i="53"/>
  <c r="N48" i="53"/>
  <c r="AA46" i="53"/>
  <c r="AF46" i="53"/>
  <c r="AE47" i="53"/>
  <c r="R47" i="53"/>
  <c r="X47" i="53" s="1"/>
  <c r="AB47" i="53" s="1"/>
  <c r="AG47" i="53"/>
  <c r="AT47" i="53"/>
  <c r="AD47" i="53"/>
  <c r="AK47" i="52" a="1"/>
  <c r="AK47" i="52" s="1"/>
  <c r="B49" i="53" s="1"/>
  <c r="F48" i="53"/>
  <c r="C48" i="53"/>
  <c r="P48" i="53"/>
  <c r="Q47" i="53"/>
  <c r="L48" i="53"/>
  <c r="J48" i="53"/>
  <c r="K48" i="53"/>
  <c r="AH48" i="53" s="1"/>
  <c r="H48" i="53"/>
  <c r="G48" i="53"/>
  <c r="I48" i="53"/>
  <c r="D48" i="53"/>
  <c r="E48" i="53"/>
  <c r="AC49" i="53" l="1"/>
  <c r="O49" i="53"/>
  <c r="N49" i="53"/>
  <c r="AA47" i="53"/>
  <c r="AF47" i="53"/>
  <c r="AE48" i="53"/>
  <c r="R48" i="53"/>
  <c r="X48" i="53" s="1"/>
  <c r="AB48" i="53" s="1"/>
  <c r="AG48" i="53"/>
  <c r="AT48" i="53"/>
  <c r="AD48" i="53"/>
  <c r="Q48" i="53"/>
  <c r="F49" i="53"/>
  <c r="H49" i="53"/>
  <c r="I49" i="53"/>
  <c r="C49" i="53"/>
  <c r="D49" i="53"/>
  <c r="K49" i="53"/>
  <c r="AH49" i="53" s="1"/>
  <c r="P49" i="53"/>
  <c r="E49" i="53"/>
  <c r="AK48" i="52" a="1"/>
  <c r="AK48" i="52" s="1"/>
  <c r="B50" i="53" s="1"/>
  <c r="J49" i="53"/>
  <c r="L49" i="53"/>
  <c r="G49" i="53"/>
  <c r="AC50" i="53" l="1"/>
  <c r="O50" i="53"/>
  <c r="N50" i="53"/>
  <c r="AA48" i="53"/>
  <c r="AF48" i="53"/>
  <c r="AE49" i="53"/>
  <c r="R49" i="53"/>
  <c r="X49" i="53" s="1"/>
  <c r="AB49" i="53" s="1"/>
  <c r="AT49" i="53"/>
  <c r="AG49" i="53"/>
  <c r="H50" i="53"/>
  <c r="Q49" i="53"/>
  <c r="AD49" i="53"/>
  <c r="F50" i="53"/>
  <c r="K50" i="53"/>
  <c r="AH50" i="53" s="1"/>
  <c r="P50" i="53"/>
  <c r="L50" i="53"/>
  <c r="C50" i="53"/>
  <c r="E50" i="53"/>
  <c r="J50" i="53"/>
  <c r="AK49" i="52" a="1"/>
  <c r="AK49" i="52" s="1"/>
  <c r="B51" i="53" s="1"/>
  <c r="G50" i="53"/>
  <c r="I50" i="53"/>
  <c r="D50" i="53"/>
  <c r="AC51" i="53" l="1"/>
  <c r="O51" i="53"/>
  <c r="N51" i="53"/>
  <c r="AA49" i="53"/>
  <c r="AE50" i="53"/>
  <c r="AF49" i="53"/>
  <c r="R50" i="53"/>
  <c r="X50" i="53" s="1"/>
  <c r="AB50" i="53" s="1"/>
  <c r="AT50" i="53"/>
  <c r="AG50" i="53"/>
  <c r="Q50" i="53"/>
  <c r="AD50" i="53"/>
  <c r="AK50" i="52" a="1"/>
  <c r="AK50" i="52" s="1"/>
  <c r="B52" i="53" s="1"/>
  <c r="P51" i="53"/>
  <c r="I51" i="53"/>
  <c r="F51" i="53"/>
  <c r="E51" i="53"/>
  <c r="H51" i="53"/>
  <c r="L51" i="53"/>
  <c r="C51" i="53"/>
  <c r="K51" i="53"/>
  <c r="AH51" i="53" s="1"/>
  <c r="J51" i="53"/>
  <c r="D51" i="53"/>
  <c r="G51" i="53"/>
  <c r="AC52" i="53" l="1"/>
  <c r="O52" i="53"/>
  <c r="N52" i="53"/>
  <c r="AA50" i="53"/>
  <c r="AF50" i="53"/>
  <c r="AE51" i="53"/>
  <c r="R51" i="53"/>
  <c r="X51" i="53" s="1"/>
  <c r="AB51" i="53" s="1"/>
  <c r="AG51" i="53"/>
  <c r="AT51" i="53"/>
  <c r="AD51" i="53"/>
  <c r="Q51" i="53"/>
  <c r="I52" i="53"/>
  <c r="K52" i="53"/>
  <c r="AH52" i="53" s="1"/>
  <c r="H52" i="53"/>
  <c r="L52" i="53"/>
  <c r="E52" i="53"/>
  <c r="C52" i="53"/>
  <c r="D52" i="53"/>
  <c r="P52" i="53"/>
  <c r="AK51" i="52" a="1"/>
  <c r="AK51" i="52" s="1"/>
  <c r="B53" i="53" s="1"/>
  <c r="J52" i="53"/>
  <c r="G52" i="53"/>
  <c r="F52" i="53"/>
  <c r="A102" i="99"/>
  <c r="A101" i="99"/>
  <c r="A100" i="99"/>
  <c r="A99" i="99"/>
  <c r="A98" i="99"/>
  <c r="A97" i="99"/>
  <c r="A96" i="99"/>
  <c r="A95" i="99"/>
  <c r="A94" i="99"/>
  <c r="A93" i="99"/>
  <c r="A92" i="99"/>
  <c r="A91" i="99"/>
  <c r="A90" i="99"/>
  <c r="A89" i="99"/>
  <c r="A88" i="99"/>
  <c r="A87" i="99"/>
  <c r="A86" i="99"/>
  <c r="A85" i="99"/>
  <c r="A84" i="99"/>
  <c r="A83" i="99"/>
  <c r="A82" i="99"/>
  <c r="A81" i="99"/>
  <c r="A79" i="99"/>
  <c r="A78" i="99"/>
  <c r="A77" i="99"/>
  <c r="A76" i="99"/>
  <c r="A75" i="99"/>
  <c r="A74" i="99"/>
  <c r="A73" i="99"/>
  <c r="A72" i="99"/>
  <c r="A71" i="99"/>
  <c r="A70" i="99"/>
  <c r="A69" i="99"/>
  <c r="A68" i="99"/>
  <c r="A67" i="99"/>
  <c r="A66" i="99"/>
  <c r="A65" i="99"/>
  <c r="A64" i="99"/>
  <c r="A63" i="99"/>
  <c r="A62" i="99"/>
  <c r="A61" i="99"/>
  <c r="A60" i="99"/>
  <c r="A59" i="99"/>
  <c r="A58" i="99"/>
  <c r="A57" i="99"/>
  <c r="A56" i="99"/>
  <c r="A55" i="99"/>
  <c r="A53" i="99"/>
  <c r="A52" i="99"/>
  <c r="A51" i="99"/>
  <c r="A50" i="99"/>
  <c r="A49" i="99"/>
  <c r="A48" i="99"/>
  <c r="A47" i="99"/>
  <c r="A46" i="99"/>
  <c r="A45" i="99"/>
  <c r="A44" i="99"/>
  <c r="A43" i="99"/>
  <c r="A42" i="99"/>
  <c r="A41" i="99"/>
  <c r="A40" i="99"/>
  <c r="A39" i="99"/>
  <c r="A37" i="99"/>
  <c r="A36" i="99"/>
  <c r="A35" i="99"/>
  <c r="A34" i="99"/>
  <c r="A33" i="99"/>
  <c r="A32" i="99"/>
  <c r="A31" i="99"/>
  <c r="A30" i="99"/>
  <c r="A29" i="99"/>
  <c r="A28" i="99"/>
  <c r="A27" i="99"/>
  <c r="A26" i="99"/>
  <c r="A25" i="99"/>
  <c r="A24" i="99"/>
  <c r="A23" i="99"/>
  <c r="A22" i="99"/>
  <c r="A21" i="99"/>
  <c r="A20" i="99"/>
  <c r="A19" i="99"/>
  <c r="A18" i="99"/>
  <c r="A17" i="99"/>
  <c r="A16" i="99"/>
  <c r="A15" i="99"/>
  <c r="A14" i="99"/>
  <c r="A13" i="99"/>
  <c r="A12" i="99"/>
  <c r="A11" i="99"/>
  <c r="A10" i="99"/>
  <c r="A9" i="99"/>
  <c r="A8" i="99"/>
  <c r="A7" i="99"/>
  <c r="A6" i="99"/>
  <c r="A5" i="99"/>
  <c r="A4" i="99"/>
  <c r="L11" i="11" l="1"/>
  <c r="V11" i="11" s="1"/>
  <c r="L16" i="11"/>
  <c r="L20" i="11"/>
  <c r="L24" i="11"/>
  <c r="L28" i="11"/>
  <c r="L32" i="11"/>
  <c r="L36" i="11"/>
  <c r="L40" i="11"/>
  <c r="L44" i="11"/>
  <c r="L48" i="11"/>
  <c r="L52" i="11"/>
  <c r="L56" i="11"/>
  <c r="L60" i="11"/>
  <c r="L64" i="11"/>
  <c r="L68" i="11"/>
  <c r="L72" i="11"/>
  <c r="L76" i="11"/>
  <c r="L80" i="11"/>
  <c r="L84" i="11"/>
  <c r="L88" i="11"/>
  <c r="L92" i="11"/>
  <c r="L96" i="11"/>
  <c r="L100" i="11"/>
  <c r="L104" i="11"/>
  <c r="L108" i="11"/>
  <c r="L112" i="11"/>
  <c r="L116" i="11"/>
  <c r="L120" i="11"/>
  <c r="L124" i="11"/>
  <c r="L128" i="11"/>
  <c r="L132" i="11"/>
  <c r="L136" i="11"/>
  <c r="L140" i="11"/>
  <c r="L144" i="11"/>
  <c r="L148" i="11"/>
  <c r="L152" i="11"/>
  <c r="L156" i="11"/>
  <c r="L160" i="11"/>
  <c r="L164" i="11"/>
  <c r="L168" i="11"/>
  <c r="L172" i="11"/>
  <c r="L176" i="11"/>
  <c r="L180" i="11"/>
  <c r="L184" i="11"/>
  <c r="L188" i="11"/>
  <c r="L192" i="11"/>
  <c r="L196" i="11"/>
  <c r="L200" i="11"/>
  <c r="L204" i="11"/>
  <c r="L208" i="11"/>
  <c r="L212" i="11"/>
  <c r="L216" i="11"/>
  <c r="L220" i="11"/>
  <c r="L224" i="11"/>
  <c r="L228" i="11"/>
  <c r="L232" i="11"/>
  <c r="L236" i="11"/>
  <c r="L240" i="11"/>
  <c r="L244" i="11"/>
  <c r="L248" i="11"/>
  <c r="L252" i="11"/>
  <c r="L256" i="11"/>
  <c r="L17" i="11"/>
  <c r="L21" i="11"/>
  <c r="L25" i="11"/>
  <c r="L29" i="11"/>
  <c r="L33" i="11"/>
  <c r="L37" i="11"/>
  <c r="L41" i="11"/>
  <c r="L45" i="11"/>
  <c r="L49" i="11"/>
  <c r="L53" i="11"/>
  <c r="L57" i="11"/>
  <c r="L61" i="11"/>
  <c r="L65" i="11"/>
  <c r="L69" i="11"/>
  <c r="L73" i="11"/>
  <c r="L77" i="11"/>
  <c r="L81" i="11"/>
  <c r="L85" i="11"/>
  <c r="L89" i="11"/>
  <c r="L93" i="11"/>
  <c r="L97" i="11"/>
  <c r="L101" i="11"/>
  <c r="L105" i="11"/>
  <c r="L109" i="11"/>
  <c r="L113" i="11"/>
  <c r="L117" i="11"/>
  <c r="L121" i="11"/>
  <c r="L125" i="11"/>
  <c r="L129" i="11"/>
  <c r="L133" i="11"/>
  <c r="L137" i="11"/>
  <c r="L141" i="11"/>
  <c r="L145" i="11"/>
  <c r="L149" i="11"/>
  <c r="L153" i="11"/>
  <c r="L157" i="11"/>
  <c r="L161" i="11"/>
  <c r="L165" i="11"/>
  <c r="L169" i="11"/>
  <c r="L173" i="11"/>
  <c r="L177" i="11"/>
  <c r="L181" i="11"/>
  <c r="L185" i="11"/>
  <c r="B14" i="11"/>
  <c r="B18" i="11"/>
  <c r="B22" i="11"/>
  <c r="B26" i="11"/>
  <c r="B30" i="11"/>
  <c r="B34" i="11"/>
  <c r="B38" i="11"/>
  <c r="B42" i="11"/>
  <c r="B46" i="11"/>
  <c r="B50" i="11"/>
  <c r="B54" i="11"/>
  <c r="B58" i="11"/>
  <c r="B62" i="11"/>
  <c r="B66" i="11"/>
  <c r="B70" i="11"/>
  <c r="B74" i="11"/>
  <c r="B78" i="11"/>
  <c r="B82" i="11"/>
  <c r="B86" i="11"/>
  <c r="B90" i="11"/>
  <c r="B94" i="11"/>
  <c r="B98" i="11"/>
  <c r="B102" i="11"/>
  <c r="B106" i="11"/>
  <c r="B110" i="11"/>
  <c r="B114" i="11"/>
  <c r="B118" i="11"/>
  <c r="B122" i="11"/>
  <c r="L15" i="11"/>
  <c r="L23" i="11"/>
  <c r="L31" i="11"/>
  <c r="L39" i="11"/>
  <c r="L47" i="11"/>
  <c r="L55" i="11"/>
  <c r="L63" i="11"/>
  <c r="L71" i="11"/>
  <c r="L79" i="11"/>
  <c r="L87" i="11"/>
  <c r="L95" i="11"/>
  <c r="L103" i="11"/>
  <c r="L111" i="11"/>
  <c r="L119" i="11"/>
  <c r="L127" i="11"/>
  <c r="L135" i="11"/>
  <c r="L143" i="11"/>
  <c r="L151" i="11"/>
  <c r="L159" i="11"/>
  <c r="L167" i="11"/>
  <c r="L175" i="11"/>
  <c r="L183" i="11"/>
  <c r="L191" i="11"/>
  <c r="L199" i="11"/>
  <c r="L207" i="11"/>
  <c r="L215" i="11"/>
  <c r="L223" i="11"/>
  <c r="L231" i="11"/>
  <c r="L239" i="11"/>
  <c r="L247" i="11"/>
  <c r="L255" i="11"/>
  <c r="B15" i="11"/>
  <c r="B20" i="11"/>
  <c r="B25" i="11"/>
  <c r="B31" i="11"/>
  <c r="B36" i="11"/>
  <c r="B41" i="11"/>
  <c r="B47" i="11"/>
  <c r="B52" i="11"/>
  <c r="B57" i="11"/>
  <c r="B63" i="11"/>
  <c r="B68" i="11"/>
  <c r="B73" i="11"/>
  <c r="B79" i="11"/>
  <c r="B84" i="11"/>
  <c r="B89" i="11"/>
  <c r="B95" i="11"/>
  <c r="B100" i="11"/>
  <c r="B105" i="11"/>
  <c r="B111" i="11"/>
  <c r="B116" i="11"/>
  <c r="B121" i="11"/>
  <c r="L18" i="11"/>
  <c r="L26" i="11"/>
  <c r="L34" i="11"/>
  <c r="L42" i="11"/>
  <c r="L50" i="11"/>
  <c r="L58" i="11"/>
  <c r="L66" i="11"/>
  <c r="L74" i="11"/>
  <c r="L82" i="11"/>
  <c r="L90" i="11"/>
  <c r="L98" i="11"/>
  <c r="L106" i="11"/>
  <c r="L114" i="11"/>
  <c r="L122" i="11"/>
  <c r="L130" i="11"/>
  <c r="L138" i="11"/>
  <c r="L146" i="11"/>
  <c r="L154" i="11"/>
  <c r="L162" i="11"/>
  <c r="L170" i="11"/>
  <c r="L178" i="11"/>
  <c r="L186" i="11"/>
  <c r="L194" i="11"/>
  <c r="L202" i="11"/>
  <c r="L210" i="11"/>
  <c r="L218" i="11"/>
  <c r="L226" i="11"/>
  <c r="L234" i="11"/>
  <c r="L242" i="11"/>
  <c r="L250" i="11"/>
  <c r="L258" i="11"/>
  <c r="B16" i="11"/>
  <c r="B21" i="11"/>
  <c r="B27" i="11"/>
  <c r="B32" i="11"/>
  <c r="B37" i="11"/>
  <c r="B43" i="11"/>
  <c r="B48" i="11"/>
  <c r="L19" i="11"/>
  <c r="L27" i="11"/>
  <c r="L35" i="11"/>
  <c r="L43" i="11"/>
  <c r="L51" i="11"/>
  <c r="L59" i="11"/>
  <c r="L67" i="11"/>
  <c r="L75" i="11"/>
  <c r="L83" i="11"/>
  <c r="L91" i="11"/>
  <c r="L99" i="11"/>
  <c r="L107" i="11"/>
  <c r="L115" i="11"/>
  <c r="L123" i="11"/>
  <c r="L131" i="11"/>
  <c r="L139" i="11"/>
  <c r="L147" i="11"/>
  <c r="L155" i="11"/>
  <c r="L163" i="11"/>
  <c r="L171" i="11"/>
  <c r="L179" i="11"/>
  <c r="L187" i="11"/>
  <c r="L195" i="11"/>
  <c r="L203" i="11"/>
  <c r="L211" i="11"/>
  <c r="L219" i="11"/>
  <c r="L227" i="11"/>
  <c r="L235" i="11"/>
  <c r="L243" i="11"/>
  <c r="L251" i="11"/>
  <c r="AD11" i="11"/>
  <c r="L14" i="11"/>
  <c r="L22" i="11"/>
  <c r="L30" i="11"/>
  <c r="L38" i="11"/>
  <c r="L46" i="11"/>
  <c r="L54" i="11"/>
  <c r="L62" i="11"/>
  <c r="L70" i="11"/>
  <c r="L78" i="11"/>
  <c r="L86" i="11"/>
  <c r="L94" i="11"/>
  <c r="L102" i="11"/>
  <c r="L110" i="11"/>
  <c r="L118" i="11"/>
  <c r="L126" i="11"/>
  <c r="L134" i="11"/>
  <c r="L142" i="11"/>
  <c r="L150" i="11"/>
  <c r="L158" i="11"/>
  <c r="L166" i="11"/>
  <c r="L174" i="11"/>
  <c r="L182" i="11"/>
  <c r="L190" i="11"/>
  <c r="L198" i="11"/>
  <c r="L206" i="11"/>
  <c r="L214" i="11"/>
  <c r="L222" i="11"/>
  <c r="L230" i="11"/>
  <c r="L238" i="11"/>
  <c r="L246" i="11"/>
  <c r="L254" i="11"/>
  <c r="B19" i="11"/>
  <c r="B24" i="11"/>
  <c r="B29" i="11"/>
  <c r="B35" i="11"/>
  <c r="B40" i="11"/>
  <c r="B45" i="11"/>
  <c r="B51" i="11"/>
  <c r="B56" i="11"/>
  <c r="B61" i="11"/>
  <c r="B67" i="11"/>
  <c r="B72" i="11"/>
  <c r="B77" i="11"/>
  <c r="B83" i="11"/>
  <c r="B88" i="11"/>
  <c r="B93" i="11"/>
  <c r="B99" i="11"/>
  <c r="B104" i="11"/>
  <c r="B109" i="11"/>
  <c r="B115" i="11"/>
  <c r="B120" i="11"/>
  <c r="B125" i="11"/>
  <c r="B129" i="11"/>
  <c r="B133" i="11"/>
  <c r="B137" i="11"/>
  <c r="B141" i="11"/>
  <c r="B145" i="11"/>
  <c r="B149" i="11"/>
  <c r="B153" i="11"/>
  <c r="B157" i="11"/>
  <c r="B161" i="11"/>
  <c r="B165" i="11"/>
  <c r="B169" i="11"/>
  <c r="B173" i="11"/>
  <c r="B177" i="11"/>
  <c r="B181" i="11"/>
  <c r="B185" i="11"/>
  <c r="B189" i="11"/>
  <c r="B193" i="11"/>
  <c r="B197" i="11"/>
  <c r="B201" i="11"/>
  <c r="B205" i="11"/>
  <c r="B209" i="11"/>
  <c r="B213" i="11"/>
  <c r="B217" i="11"/>
  <c r="B221" i="11"/>
  <c r="B225" i="11"/>
  <c r="B229" i="11"/>
  <c r="B233" i="11"/>
  <c r="B237" i="11"/>
  <c r="B241" i="11"/>
  <c r="B245" i="11"/>
  <c r="B249" i="11"/>
  <c r="B253" i="11"/>
  <c r="B257" i="11"/>
  <c r="B17" i="11"/>
  <c r="B39" i="11"/>
  <c r="B55" i="11"/>
  <c r="B65" i="11"/>
  <c r="B76" i="11"/>
  <c r="B87" i="11"/>
  <c r="B97" i="11"/>
  <c r="B108" i="11"/>
  <c r="B119" i="11"/>
  <c r="B127" i="11"/>
  <c r="B132" i="11"/>
  <c r="B138" i="11"/>
  <c r="B143" i="11"/>
  <c r="B148" i="11"/>
  <c r="B154" i="11"/>
  <c r="B159" i="11"/>
  <c r="B164" i="11"/>
  <c r="B170" i="11"/>
  <c r="B175" i="11"/>
  <c r="B180" i="11"/>
  <c r="B186" i="11"/>
  <c r="B191" i="11"/>
  <c r="B196" i="11"/>
  <c r="B202" i="11"/>
  <c r="B207" i="11"/>
  <c r="B212" i="11"/>
  <c r="B218" i="11"/>
  <c r="B223" i="11"/>
  <c r="B228" i="11"/>
  <c r="B234" i="11"/>
  <c r="B239" i="11"/>
  <c r="B244" i="11"/>
  <c r="B250" i="11"/>
  <c r="B255" i="11"/>
  <c r="B85" i="11"/>
  <c r="B147" i="11"/>
  <c r="B168" i="11"/>
  <c r="B190" i="11"/>
  <c r="B206" i="11"/>
  <c r="B222" i="11"/>
  <c r="B243" i="11"/>
  <c r="B23" i="11"/>
  <c r="B44" i="11"/>
  <c r="B59" i="11"/>
  <c r="B69" i="11"/>
  <c r="B80" i="11"/>
  <c r="B91" i="11"/>
  <c r="B101" i="11"/>
  <c r="B112" i="11"/>
  <c r="B123" i="11"/>
  <c r="B128" i="11"/>
  <c r="B134" i="11"/>
  <c r="B139" i="11"/>
  <c r="B144" i="11"/>
  <c r="B150" i="11"/>
  <c r="B155" i="11"/>
  <c r="B160" i="11"/>
  <c r="B166" i="11"/>
  <c r="B171" i="11"/>
  <c r="B176" i="11"/>
  <c r="B182" i="11"/>
  <c r="B187" i="11"/>
  <c r="B192" i="11"/>
  <c r="B198" i="11"/>
  <c r="B203" i="11"/>
  <c r="B208" i="11"/>
  <c r="B214" i="11"/>
  <c r="B219" i="11"/>
  <c r="B224" i="11"/>
  <c r="B230" i="11"/>
  <c r="B235" i="11"/>
  <c r="B240" i="11"/>
  <c r="B246" i="11"/>
  <c r="B251" i="11"/>
  <c r="B256" i="11"/>
  <c r="B33" i="11"/>
  <c r="B75" i="11"/>
  <c r="B96" i="11"/>
  <c r="B126" i="11"/>
  <c r="B142" i="11"/>
  <c r="B163" i="11"/>
  <c r="B179" i="11"/>
  <c r="B195" i="11"/>
  <c r="B216" i="11"/>
  <c r="B238" i="11"/>
  <c r="B11" i="11"/>
  <c r="B28" i="11"/>
  <c r="B49" i="11"/>
  <c r="B60" i="11"/>
  <c r="B71" i="11"/>
  <c r="B81" i="11"/>
  <c r="B92" i="11"/>
  <c r="B103" i="11"/>
  <c r="B113" i="11"/>
  <c r="B124" i="11"/>
  <c r="B130" i="11"/>
  <c r="B135" i="11"/>
  <c r="B140" i="11"/>
  <c r="B146" i="11"/>
  <c r="B151" i="11"/>
  <c r="B156" i="11"/>
  <c r="B162" i="11"/>
  <c r="B167" i="11"/>
  <c r="B172" i="11"/>
  <c r="B178" i="11"/>
  <c r="B183" i="11"/>
  <c r="B188" i="11"/>
  <c r="B194" i="11"/>
  <c r="B199" i="11"/>
  <c r="B204" i="11"/>
  <c r="B210" i="11"/>
  <c r="B215" i="11"/>
  <c r="B220" i="11"/>
  <c r="B226" i="11"/>
  <c r="B231" i="11"/>
  <c r="B236" i="11"/>
  <c r="B242" i="11"/>
  <c r="B247" i="11"/>
  <c r="B252" i="11"/>
  <c r="B258" i="11"/>
  <c r="B64" i="11"/>
  <c r="B107" i="11"/>
  <c r="B136" i="11"/>
  <c r="B158" i="11"/>
  <c r="B174" i="11"/>
  <c r="B200" i="11"/>
  <c r="B227" i="11"/>
  <c r="B254" i="11"/>
  <c r="B53" i="11"/>
  <c r="B117" i="11"/>
  <c r="B131" i="11"/>
  <c r="B152" i="11"/>
  <c r="B184" i="11"/>
  <c r="B211" i="11"/>
  <c r="B232" i="11"/>
  <c r="B248" i="11"/>
  <c r="L253" i="11"/>
  <c r="L237" i="11"/>
  <c r="L221" i="11"/>
  <c r="L205" i="11"/>
  <c r="L189" i="11"/>
  <c r="L249" i="11"/>
  <c r="L233" i="11"/>
  <c r="L217" i="11"/>
  <c r="L201" i="11"/>
  <c r="L12" i="11"/>
  <c r="V12" i="11" s="1"/>
  <c r="B13" i="11"/>
  <c r="L245" i="11"/>
  <c r="L229" i="11"/>
  <c r="L213" i="11"/>
  <c r="L197" i="11"/>
  <c r="L257" i="11"/>
  <c r="L241" i="11"/>
  <c r="L225" i="11"/>
  <c r="L209" i="11"/>
  <c r="L193" i="11"/>
  <c r="B12" i="11"/>
  <c r="L13" i="11"/>
  <c r="A11" i="46"/>
  <c r="AC53" i="53"/>
  <c r="O53" i="53"/>
  <c r="N53" i="53"/>
  <c r="AA51" i="53"/>
  <c r="K247" i="46"/>
  <c r="K243" i="46"/>
  <c r="K231" i="46"/>
  <c r="K211" i="46"/>
  <c r="K119" i="46"/>
  <c r="K67" i="46"/>
  <c r="K25" i="46"/>
  <c r="K163" i="46"/>
  <c r="K83" i="46"/>
  <c r="K254" i="46"/>
  <c r="K234" i="46"/>
  <c r="K218" i="46"/>
  <c r="K202" i="46"/>
  <c r="K186" i="46"/>
  <c r="K166" i="46"/>
  <c r="K142" i="46"/>
  <c r="K126" i="46"/>
  <c r="K110" i="46"/>
  <c r="K86" i="46"/>
  <c r="K70" i="46"/>
  <c r="K54" i="46"/>
  <c r="K38" i="46"/>
  <c r="K20" i="46"/>
  <c r="K111" i="46"/>
  <c r="K217" i="46"/>
  <c r="K193" i="46"/>
  <c r="K173" i="46"/>
  <c r="K157" i="46"/>
  <c r="K141" i="46"/>
  <c r="K125" i="46"/>
  <c r="K105" i="46"/>
  <c r="K89" i="46"/>
  <c r="K73" i="46"/>
  <c r="K57" i="46"/>
  <c r="K41" i="46"/>
  <c r="K35" i="46"/>
  <c r="K19" i="46"/>
  <c r="K123" i="46"/>
  <c r="K237" i="46"/>
  <c r="K205" i="46"/>
  <c r="K164" i="46"/>
  <c r="K132" i="46"/>
  <c r="K112" i="46"/>
  <c r="K88" i="46"/>
  <c r="K68" i="46"/>
  <c r="K227" i="46"/>
  <c r="K223" i="46"/>
  <c r="K219" i="46"/>
  <c r="K179" i="46"/>
  <c r="K107" i="46"/>
  <c r="K55" i="46"/>
  <c r="K21" i="46"/>
  <c r="K139" i="46"/>
  <c r="K59" i="46"/>
  <c r="K250" i="46"/>
  <c r="K230" i="46"/>
  <c r="K214" i="46"/>
  <c r="K198" i="46"/>
  <c r="K182" i="46"/>
  <c r="K158" i="46"/>
  <c r="K138" i="46"/>
  <c r="K122" i="46"/>
  <c r="K102" i="46"/>
  <c r="K82" i="46"/>
  <c r="K66" i="46"/>
  <c r="K50" i="46"/>
  <c r="K32" i="46"/>
  <c r="K16" i="46"/>
  <c r="K249" i="46"/>
  <c r="K209" i="46"/>
  <c r="K189" i="46"/>
  <c r="K169" i="46"/>
  <c r="K153" i="46"/>
  <c r="K137" i="46"/>
  <c r="K121" i="46"/>
  <c r="K101" i="46"/>
  <c r="K85" i="46"/>
  <c r="K69" i="46"/>
  <c r="K53" i="46"/>
  <c r="K37" i="46"/>
  <c r="K31" i="46"/>
  <c r="K15" i="46"/>
  <c r="K99" i="46"/>
  <c r="K229" i="46"/>
  <c r="K204" i="46"/>
  <c r="K152" i="46"/>
  <c r="K124" i="46"/>
  <c r="K100" i="46"/>
  <c r="K84" i="46"/>
  <c r="K60" i="46"/>
  <c r="K40" i="46"/>
  <c r="K18" i="46"/>
  <c r="K207" i="46"/>
  <c r="K195" i="46"/>
  <c r="K203" i="46"/>
  <c r="K167" i="46"/>
  <c r="K91" i="46"/>
  <c r="K47" i="46"/>
  <c r="K33" i="46"/>
  <c r="K17" i="46"/>
  <c r="K115" i="46"/>
  <c r="K51" i="46"/>
  <c r="K246" i="46"/>
  <c r="K226" i="46"/>
  <c r="K210" i="46"/>
  <c r="K194" i="46"/>
  <c r="K174" i="46"/>
  <c r="K154" i="46"/>
  <c r="K134" i="46"/>
  <c r="K118" i="46"/>
  <c r="K94" i="46"/>
  <c r="K78" i="46"/>
  <c r="K62" i="46"/>
  <c r="K46" i="46"/>
  <c r="K28" i="46"/>
  <c r="K12" i="46"/>
  <c r="K233" i="46"/>
  <c r="K201" i="46"/>
  <c r="K185" i="46"/>
  <c r="K165" i="46"/>
  <c r="K149" i="46"/>
  <c r="K133" i="46"/>
  <c r="K113" i="46"/>
  <c r="K97" i="46"/>
  <c r="K81" i="46"/>
  <c r="K65" i="46"/>
  <c r="K49" i="46"/>
  <c r="K27" i="46"/>
  <c r="K155" i="46"/>
  <c r="K253" i="46"/>
  <c r="K221" i="46"/>
  <c r="K184" i="46"/>
  <c r="K140" i="46"/>
  <c r="K120" i="46"/>
  <c r="K96" i="46"/>
  <c r="K76" i="46"/>
  <c r="K56" i="46"/>
  <c r="K187" i="46"/>
  <c r="K251" i="46"/>
  <c r="K235" i="46"/>
  <c r="K151" i="46"/>
  <c r="K75" i="46"/>
  <c r="K39" i="46"/>
  <c r="K29" i="46"/>
  <c r="K13" i="46"/>
  <c r="K95" i="46"/>
  <c r="K43" i="46"/>
  <c r="K238" i="46"/>
  <c r="K222" i="46"/>
  <c r="K206" i="46"/>
  <c r="K190" i="46"/>
  <c r="K170" i="46"/>
  <c r="K150" i="46"/>
  <c r="K130" i="46"/>
  <c r="K114" i="46"/>
  <c r="K90" i="46"/>
  <c r="K74" i="46"/>
  <c r="K58" i="46"/>
  <c r="K42" i="46"/>
  <c r="K24" i="46"/>
  <c r="K131" i="46"/>
  <c r="K225" i="46"/>
  <c r="K197" i="46"/>
  <c r="K177" i="46"/>
  <c r="K161" i="46"/>
  <c r="K145" i="46"/>
  <c r="K129" i="46"/>
  <c r="K109" i="46"/>
  <c r="K93" i="46"/>
  <c r="K77" i="46"/>
  <c r="K61" i="46"/>
  <c r="K45" i="46"/>
  <c r="K23" i="46"/>
  <c r="K147" i="46"/>
  <c r="K241" i="46"/>
  <c r="K213" i="46"/>
  <c r="K168" i="46"/>
  <c r="K136" i="46"/>
  <c r="K116" i="46"/>
  <c r="K92" i="46"/>
  <c r="K72" i="46"/>
  <c r="K52" i="46"/>
  <c r="K26" i="46"/>
  <c r="K48" i="46"/>
  <c r="K22" i="46"/>
  <c r="K239" i="46"/>
  <c r="K242" i="46"/>
  <c r="K162" i="46"/>
  <c r="K106" i="46"/>
  <c r="K36" i="46"/>
  <c r="K14" i="46"/>
  <c r="K255" i="46"/>
  <c r="K178" i="46"/>
  <c r="K146" i="46"/>
  <c r="K98" i="46"/>
  <c r="K30" i="46"/>
  <c r="K181" i="46"/>
  <c r="K117" i="46"/>
  <c r="K245" i="46"/>
  <c r="K252" i="46"/>
  <c r="K244" i="46"/>
  <c r="K236" i="46"/>
  <c r="K228" i="46"/>
  <c r="K220" i="46"/>
  <c r="K212" i="46"/>
  <c r="K200" i="46"/>
  <c r="K192" i="46"/>
  <c r="K180" i="46"/>
  <c r="K172" i="46"/>
  <c r="K156" i="46"/>
  <c r="K144" i="46"/>
  <c r="K108" i="46"/>
  <c r="K80" i="46"/>
  <c r="K44" i="46"/>
  <c r="K240" i="46"/>
  <c r="K208" i="46"/>
  <c r="K160" i="46"/>
  <c r="K64" i="46"/>
  <c r="K248" i="46"/>
  <c r="K216" i="46"/>
  <c r="K176" i="46"/>
  <c r="K104" i="46"/>
  <c r="K215" i="46"/>
  <c r="K191" i="46"/>
  <c r="K175" i="46"/>
  <c r="K159" i="46"/>
  <c r="K135" i="46"/>
  <c r="K103" i="46"/>
  <c r="K79" i="46"/>
  <c r="K63" i="46"/>
  <c r="K34" i="46"/>
  <c r="K256" i="46"/>
  <c r="K224" i="46"/>
  <c r="K188" i="46"/>
  <c r="K128" i="46"/>
  <c r="K232" i="46"/>
  <c r="K196" i="46"/>
  <c r="K148" i="46"/>
  <c r="K199" i="46"/>
  <c r="K183" i="46"/>
  <c r="K171" i="46"/>
  <c r="K143" i="46"/>
  <c r="K127" i="46"/>
  <c r="K87" i="46"/>
  <c r="K71" i="46"/>
  <c r="A12" i="46"/>
  <c r="A13" i="46"/>
  <c r="A16" i="46"/>
  <c r="A25" i="46"/>
  <c r="A34" i="46"/>
  <c r="A43" i="46"/>
  <c r="A53" i="46"/>
  <c r="A62" i="46"/>
  <c r="A71" i="46"/>
  <c r="A80" i="46"/>
  <c r="A89" i="46"/>
  <c r="A98" i="46"/>
  <c r="A107" i="46"/>
  <c r="A117" i="46"/>
  <c r="A126" i="46"/>
  <c r="A135" i="46"/>
  <c r="A144" i="46"/>
  <c r="A153" i="46"/>
  <c r="A162" i="46"/>
  <c r="A171" i="46"/>
  <c r="A181" i="46"/>
  <c r="A190" i="46"/>
  <c r="A199" i="46"/>
  <c r="A208" i="46"/>
  <c r="A217" i="46"/>
  <c r="A226" i="46"/>
  <c r="A235" i="46"/>
  <c r="A245" i="46"/>
  <c r="A254" i="46"/>
  <c r="A17" i="46"/>
  <c r="A26" i="46"/>
  <c r="A35" i="46"/>
  <c r="A45" i="46"/>
  <c r="A54" i="46"/>
  <c r="A63" i="46"/>
  <c r="A72" i="46"/>
  <c r="A81" i="46"/>
  <c r="A90" i="46"/>
  <c r="A99" i="46"/>
  <c r="A109" i="46"/>
  <c r="A118" i="46"/>
  <c r="A127" i="46"/>
  <c r="A136" i="46"/>
  <c r="A145" i="46"/>
  <c r="A154" i="46"/>
  <c r="A163" i="46"/>
  <c r="A173" i="46"/>
  <c r="A182" i="46"/>
  <c r="A191" i="46"/>
  <c r="A200" i="46"/>
  <c r="A209" i="46"/>
  <c r="A218" i="46"/>
  <c r="A227" i="46"/>
  <c r="A237" i="46"/>
  <c r="A246" i="46"/>
  <c r="A255" i="46"/>
  <c r="A18" i="46"/>
  <c r="A27" i="46"/>
  <c r="A37" i="46"/>
  <c r="A46" i="46"/>
  <c r="A55" i="46"/>
  <c r="A64" i="46"/>
  <c r="A73" i="46"/>
  <c r="A82" i="46"/>
  <c r="A91" i="46"/>
  <c r="A101" i="46"/>
  <c r="A110" i="46"/>
  <c r="A119" i="46"/>
  <c r="A128" i="46"/>
  <c r="A137" i="46"/>
  <c r="A146" i="46"/>
  <c r="A155" i="46"/>
  <c r="A165" i="46"/>
  <c r="A174" i="46"/>
  <c r="A183" i="46"/>
  <c r="A192" i="46"/>
  <c r="A201" i="46"/>
  <c r="A210" i="46"/>
  <c r="A219" i="46"/>
  <c r="A229" i="46"/>
  <c r="A238" i="46"/>
  <c r="A247" i="46"/>
  <c r="A256" i="46"/>
  <c r="A19" i="46"/>
  <c r="A29" i="46"/>
  <c r="A38" i="46"/>
  <c r="A47" i="46"/>
  <c r="A56" i="46"/>
  <c r="A65" i="46"/>
  <c r="A74" i="46"/>
  <c r="A83" i="46"/>
  <c r="A93" i="46"/>
  <c r="A102" i="46"/>
  <c r="A111" i="46"/>
  <c r="A120" i="46"/>
  <c r="A129" i="46"/>
  <c r="A138" i="46"/>
  <c r="A147" i="46"/>
  <c r="A157" i="46"/>
  <c r="A166" i="46"/>
  <c r="A175" i="46"/>
  <c r="A184" i="46"/>
  <c r="A193" i="46"/>
  <c r="A202" i="46"/>
  <c r="A211" i="46"/>
  <c r="A221" i="46"/>
  <c r="A230" i="46"/>
  <c r="A239" i="46"/>
  <c r="A248" i="46"/>
  <c r="A21" i="46"/>
  <c r="A30" i="46"/>
  <c r="A39" i="46"/>
  <c r="A48" i="46"/>
  <c r="A57" i="46"/>
  <c r="A66" i="46"/>
  <c r="A75" i="46"/>
  <c r="A85" i="46"/>
  <c r="A94" i="46"/>
  <c r="A103" i="46"/>
  <c r="A112" i="46"/>
  <c r="A121" i="46"/>
  <c r="A130" i="46"/>
  <c r="A139" i="46"/>
  <c r="A149" i="46"/>
  <c r="A158" i="46"/>
  <c r="A167" i="46"/>
  <c r="A176" i="46"/>
  <c r="A185" i="46"/>
  <c r="A194" i="46"/>
  <c r="A203" i="46"/>
  <c r="A213" i="46"/>
  <c r="A222" i="46"/>
  <c r="A231" i="46"/>
  <c r="A240" i="46"/>
  <c r="A249" i="46"/>
  <c r="A22" i="46"/>
  <c r="A31" i="46"/>
  <c r="A40" i="46"/>
  <c r="A49" i="46"/>
  <c r="A58" i="46"/>
  <c r="A67" i="46"/>
  <c r="A77" i="46"/>
  <c r="A86" i="46"/>
  <c r="A95" i="46"/>
  <c r="A104" i="46"/>
  <c r="A113" i="46"/>
  <c r="A122" i="46"/>
  <c r="A131" i="46"/>
  <c r="A141" i="46"/>
  <c r="A150" i="46"/>
  <c r="A159" i="46"/>
  <c r="A14" i="46"/>
  <c r="A23" i="46"/>
  <c r="A32" i="46"/>
  <c r="A41" i="46"/>
  <c r="A50" i="46"/>
  <c r="A59" i="46"/>
  <c r="A69" i="46"/>
  <c r="A78" i="46"/>
  <c r="A87" i="46"/>
  <c r="A96" i="46"/>
  <c r="A105" i="46"/>
  <c r="A114" i="46"/>
  <c r="A123" i="46"/>
  <c r="A133" i="46"/>
  <c r="A142" i="46"/>
  <c r="A151" i="46"/>
  <c r="A160" i="46"/>
  <c r="A169" i="46"/>
  <c r="A178" i="46"/>
  <c r="A187" i="46"/>
  <c r="A197" i="46"/>
  <c r="A206" i="46"/>
  <c r="A215" i="46"/>
  <c r="A224" i="46"/>
  <c r="A15" i="46"/>
  <c r="A24" i="46"/>
  <c r="A33" i="46"/>
  <c r="A42" i="46"/>
  <c r="A51" i="46"/>
  <c r="A61" i="46"/>
  <c r="A70" i="46"/>
  <c r="A79" i="46"/>
  <c r="A88" i="46"/>
  <c r="A97" i="46"/>
  <c r="A106" i="46"/>
  <c r="A115" i="46"/>
  <c r="A125" i="46"/>
  <c r="A134" i="46"/>
  <c r="A143" i="46"/>
  <c r="A152" i="46"/>
  <c r="A161" i="46"/>
  <c r="A170" i="46"/>
  <c r="A179" i="46"/>
  <c r="A189" i="46"/>
  <c r="A198" i="46"/>
  <c r="A207" i="46"/>
  <c r="A216" i="46"/>
  <c r="A225" i="46"/>
  <c r="A234" i="46"/>
  <c r="A243" i="46"/>
  <c r="A253" i="46"/>
  <c r="A214" i="46"/>
  <c r="A223" i="46"/>
  <c r="A232" i="46"/>
  <c r="A168" i="46"/>
  <c r="A233" i="46"/>
  <c r="A177" i="46"/>
  <c r="A241" i="46"/>
  <c r="A186" i="46"/>
  <c r="A242" i="46"/>
  <c r="A195" i="46"/>
  <c r="A250" i="46"/>
  <c r="A205" i="46"/>
  <c r="A251" i="46"/>
  <c r="A188" i="46"/>
  <c r="A252" i="46"/>
  <c r="A228" i="46"/>
  <c r="A156" i="46"/>
  <c r="A100" i="46"/>
  <c r="A84" i="46"/>
  <c r="A68" i="46"/>
  <c r="A52" i="46"/>
  <c r="A204" i="46"/>
  <c r="A180" i="46"/>
  <c r="A132" i="46"/>
  <c r="A116" i="46"/>
  <c r="A28" i="46"/>
  <c r="A196" i="46"/>
  <c r="A172" i="46"/>
  <c r="A92" i="46"/>
  <c r="A76" i="46"/>
  <c r="A60" i="46"/>
  <c r="K11" i="46"/>
  <c r="A108" i="46"/>
  <c r="A236" i="46"/>
  <c r="A212" i="46"/>
  <c r="A164" i="46"/>
  <c r="A140" i="46"/>
  <c r="A124" i="46"/>
  <c r="A36" i="46"/>
  <c r="A20" i="46"/>
  <c r="A220" i="46"/>
  <c r="A148" i="46"/>
  <c r="A44" i="46"/>
  <c r="A244" i="46"/>
  <c r="AE52" i="53"/>
  <c r="AF51" i="53"/>
  <c r="R52" i="53"/>
  <c r="X52" i="53" s="1"/>
  <c r="AB52" i="53" s="1"/>
  <c r="AT52" i="53"/>
  <c r="AG52" i="53"/>
  <c r="AD52" i="53"/>
  <c r="Q52" i="53"/>
  <c r="C53" i="53"/>
  <c r="K53" i="53"/>
  <c r="AH53" i="53" s="1"/>
  <c r="AK52" i="52" a="1"/>
  <c r="AK52" i="52" s="1"/>
  <c r="B54" i="53" s="1"/>
  <c r="D53" i="53"/>
  <c r="H53" i="53"/>
  <c r="I53" i="53"/>
  <c r="F53" i="53"/>
  <c r="P53" i="53"/>
  <c r="E53" i="53"/>
  <c r="J53" i="53"/>
  <c r="L53" i="53"/>
  <c r="G53" i="53"/>
  <c r="U15" i="11" l="1"/>
  <c r="V15" i="11"/>
  <c r="U257" i="11"/>
  <c r="Q257" i="11" s="1"/>
  <c r="V257" i="11"/>
  <c r="U217" i="11"/>
  <c r="Q217" i="11" s="1"/>
  <c r="V217" i="11"/>
  <c r="U238" i="11"/>
  <c r="Q238" i="11" s="1"/>
  <c r="V238" i="11"/>
  <c r="U174" i="11"/>
  <c r="Q174" i="11" s="1"/>
  <c r="V174" i="11"/>
  <c r="U110" i="11"/>
  <c r="Q110" i="11" s="1"/>
  <c r="V110" i="11"/>
  <c r="U46" i="11"/>
  <c r="Q46" i="11" s="1"/>
  <c r="V46" i="11"/>
  <c r="U235" i="11"/>
  <c r="Q235" i="11" s="1"/>
  <c r="V235" i="11"/>
  <c r="U171" i="11"/>
  <c r="Q171" i="11" s="1"/>
  <c r="V171" i="11"/>
  <c r="U107" i="11"/>
  <c r="Q107" i="11" s="1"/>
  <c r="V107" i="11"/>
  <c r="U43" i="11"/>
  <c r="Q43" i="11" s="1"/>
  <c r="V43" i="11"/>
  <c r="U218" i="11"/>
  <c r="Q218" i="11" s="1"/>
  <c r="V218" i="11"/>
  <c r="U154" i="11"/>
  <c r="Q154" i="11" s="1"/>
  <c r="V154" i="11"/>
  <c r="U90" i="11"/>
  <c r="Q90" i="11" s="1"/>
  <c r="V90" i="11"/>
  <c r="U26" i="11"/>
  <c r="Q26" i="11" s="1"/>
  <c r="V26" i="11"/>
  <c r="U247" i="11"/>
  <c r="Q247" i="11" s="1"/>
  <c r="V247" i="11"/>
  <c r="U183" i="11"/>
  <c r="Q183" i="11" s="1"/>
  <c r="V183" i="11"/>
  <c r="U119" i="11"/>
  <c r="Q119" i="11" s="1"/>
  <c r="V119" i="11"/>
  <c r="U55" i="11"/>
  <c r="Q55" i="11" s="1"/>
  <c r="V55" i="11"/>
  <c r="U161" i="11"/>
  <c r="Q161" i="11" s="1"/>
  <c r="V161" i="11"/>
  <c r="U129" i="11"/>
  <c r="Q129" i="11" s="1"/>
  <c r="V129" i="11"/>
  <c r="U97" i="11"/>
  <c r="Q97" i="11" s="1"/>
  <c r="V97" i="11"/>
  <c r="U65" i="11"/>
  <c r="Q65" i="11" s="1"/>
  <c r="V65" i="11"/>
  <c r="U33" i="11"/>
  <c r="Q33" i="11" s="1"/>
  <c r="V33" i="11"/>
  <c r="U244" i="11"/>
  <c r="Q244" i="11" s="1"/>
  <c r="V244" i="11"/>
  <c r="U212" i="11"/>
  <c r="Q212" i="11" s="1"/>
  <c r="V212" i="11"/>
  <c r="U180" i="11"/>
  <c r="Q180" i="11" s="1"/>
  <c r="V180" i="11"/>
  <c r="U148" i="11"/>
  <c r="Q148" i="11" s="1"/>
  <c r="V148" i="11"/>
  <c r="U116" i="11"/>
  <c r="Q116" i="11" s="1"/>
  <c r="V116" i="11"/>
  <c r="U84" i="11"/>
  <c r="Q84" i="11" s="1"/>
  <c r="V84" i="11"/>
  <c r="U52" i="11"/>
  <c r="Q52" i="11" s="1"/>
  <c r="V52" i="11"/>
  <c r="U20" i="11"/>
  <c r="Q20" i="11" s="1"/>
  <c r="V20" i="11"/>
  <c r="U197" i="11"/>
  <c r="Q197" i="11" s="1"/>
  <c r="V197" i="11"/>
  <c r="U233" i="11"/>
  <c r="Q233" i="11" s="1"/>
  <c r="V233" i="11"/>
  <c r="U230" i="11"/>
  <c r="Q230" i="11" s="1"/>
  <c r="V230" i="11"/>
  <c r="U166" i="11"/>
  <c r="Q166" i="11" s="1"/>
  <c r="V166" i="11"/>
  <c r="U102" i="11"/>
  <c r="Q102" i="11" s="1"/>
  <c r="V102" i="11"/>
  <c r="U38" i="11"/>
  <c r="Q38" i="11" s="1"/>
  <c r="V38" i="11"/>
  <c r="U227" i="11"/>
  <c r="Q227" i="11" s="1"/>
  <c r="V227" i="11"/>
  <c r="U163" i="11"/>
  <c r="Q163" i="11" s="1"/>
  <c r="V163" i="11"/>
  <c r="U99" i="11"/>
  <c r="Q99" i="11" s="1"/>
  <c r="V99" i="11"/>
  <c r="U35" i="11"/>
  <c r="Q35" i="11" s="1"/>
  <c r="V35" i="11"/>
  <c r="U210" i="11"/>
  <c r="Q210" i="11" s="1"/>
  <c r="V210" i="11"/>
  <c r="U146" i="11"/>
  <c r="Q146" i="11" s="1"/>
  <c r="V146" i="11"/>
  <c r="U82" i="11"/>
  <c r="Q82" i="11" s="1"/>
  <c r="V82" i="11"/>
  <c r="U18" i="11"/>
  <c r="Q18" i="11" s="1"/>
  <c r="V18" i="11"/>
  <c r="U239" i="11"/>
  <c r="Q239" i="11" s="1"/>
  <c r="V239" i="11"/>
  <c r="U175" i="11"/>
  <c r="Q175" i="11" s="1"/>
  <c r="V175" i="11"/>
  <c r="U111" i="11"/>
  <c r="Q111" i="11" s="1"/>
  <c r="V111" i="11"/>
  <c r="U47" i="11"/>
  <c r="Q47" i="11" s="1"/>
  <c r="V47" i="11"/>
  <c r="U157" i="11"/>
  <c r="Q157" i="11" s="1"/>
  <c r="V157" i="11"/>
  <c r="U125" i="11"/>
  <c r="Q125" i="11" s="1"/>
  <c r="V125" i="11"/>
  <c r="U93" i="11"/>
  <c r="Q93" i="11" s="1"/>
  <c r="V93" i="11"/>
  <c r="U61" i="11"/>
  <c r="Q61" i="11" s="1"/>
  <c r="V61" i="11"/>
  <c r="U29" i="11"/>
  <c r="Q29" i="11" s="1"/>
  <c r="V29" i="11"/>
  <c r="U240" i="11"/>
  <c r="Q240" i="11" s="1"/>
  <c r="V240" i="11"/>
  <c r="U208" i="11"/>
  <c r="Q208" i="11" s="1"/>
  <c r="V208" i="11"/>
  <c r="U176" i="11"/>
  <c r="Q176" i="11" s="1"/>
  <c r="V176" i="11"/>
  <c r="U144" i="11"/>
  <c r="Q144" i="11" s="1"/>
  <c r="V144" i="11"/>
  <c r="U112" i="11"/>
  <c r="Q112" i="11" s="1"/>
  <c r="V112" i="11"/>
  <c r="U80" i="11"/>
  <c r="Q80" i="11" s="1"/>
  <c r="V80" i="11"/>
  <c r="U48" i="11"/>
  <c r="Q48" i="11" s="1"/>
  <c r="V48" i="11"/>
  <c r="U16" i="11"/>
  <c r="Q16" i="11" s="1"/>
  <c r="V16" i="11"/>
  <c r="U213" i="11"/>
  <c r="Q213" i="11" s="1"/>
  <c r="V213" i="11"/>
  <c r="U249" i="11"/>
  <c r="Q249" i="11" s="1"/>
  <c r="V249" i="11"/>
  <c r="U222" i="11"/>
  <c r="Q222" i="11" s="1"/>
  <c r="V222" i="11"/>
  <c r="U158" i="11"/>
  <c r="Q158" i="11" s="1"/>
  <c r="V158" i="11"/>
  <c r="U94" i="11"/>
  <c r="Q94" i="11" s="1"/>
  <c r="V94" i="11"/>
  <c r="U30" i="11"/>
  <c r="Q30" i="11" s="1"/>
  <c r="V30" i="11"/>
  <c r="U219" i="11"/>
  <c r="Q219" i="11" s="1"/>
  <c r="V219" i="11"/>
  <c r="U155" i="11"/>
  <c r="Q155" i="11" s="1"/>
  <c r="V155" i="11"/>
  <c r="U91" i="11"/>
  <c r="Q91" i="11" s="1"/>
  <c r="V91" i="11"/>
  <c r="U27" i="11"/>
  <c r="Q27" i="11" s="1"/>
  <c r="V27" i="11"/>
  <c r="U202" i="11"/>
  <c r="Q202" i="11" s="1"/>
  <c r="V202" i="11"/>
  <c r="U138" i="11"/>
  <c r="Q138" i="11" s="1"/>
  <c r="V138" i="11"/>
  <c r="U74" i="11"/>
  <c r="Q74" i="11" s="1"/>
  <c r="V74" i="11"/>
  <c r="U231" i="11"/>
  <c r="Q231" i="11" s="1"/>
  <c r="V231" i="11"/>
  <c r="U167" i="11"/>
  <c r="Q167" i="11" s="1"/>
  <c r="V167" i="11"/>
  <c r="U103" i="11"/>
  <c r="Q103" i="11" s="1"/>
  <c r="V103" i="11"/>
  <c r="U39" i="11"/>
  <c r="Q39" i="11" s="1"/>
  <c r="V39" i="11"/>
  <c r="U185" i="11"/>
  <c r="Q185" i="11" s="1"/>
  <c r="V185" i="11"/>
  <c r="U153" i="11"/>
  <c r="Q153" i="11" s="1"/>
  <c r="V153" i="11"/>
  <c r="U121" i="11"/>
  <c r="Q121" i="11" s="1"/>
  <c r="V121" i="11"/>
  <c r="U89" i="11"/>
  <c r="Q89" i="11" s="1"/>
  <c r="V89" i="11"/>
  <c r="U57" i="11"/>
  <c r="Q57" i="11" s="1"/>
  <c r="V57" i="11"/>
  <c r="U25" i="11"/>
  <c r="Q25" i="11" s="1"/>
  <c r="V25" i="11"/>
  <c r="U236" i="11"/>
  <c r="Q236" i="11" s="1"/>
  <c r="V236" i="11"/>
  <c r="U204" i="11"/>
  <c r="Q204" i="11" s="1"/>
  <c r="V204" i="11"/>
  <c r="U172" i="11"/>
  <c r="Q172" i="11" s="1"/>
  <c r="V172" i="11"/>
  <c r="U140" i="11"/>
  <c r="Q140" i="11" s="1"/>
  <c r="V140" i="11"/>
  <c r="U108" i="11"/>
  <c r="Q108" i="11" s="1"/>
  <c r="V108" i="11"/>
  <c r="U76" i="11"/>
  <c r="Q76" i="11" s="1"/>
  <c r="V76" i="11"/>
  <c r="U44" i="11"/>
  <c r="Q44" i="11" s="1"/>
  <c r="V44" i="11"/>
  <c r="U229" i="11"/>
  <c r="Q229" i="11" s="1"/>
  <c r="V229" i="11"/>
  <c r="U189" i="11"/>
  <c r="Q189" i="11" s="1"/>
  <c r="V189" i="11"/>
  <c r="U214" i="11"/>
  <c r="Q214" i="11" s="1"/>
  <c r="V214" i="11"/>
  <c r="U150" i="11"/>
  <c r="Q150" i="11" s="1"/>
  <c r="V150" i="11"/>
  <c r="U86" i="11"/>
  <c r="Q86" i="11" s="1"/>
  <c r="V86" i="11"/>
  <c r="U22" i="11"/>
  <c r="Q22" i="11" s="1"/>
  <c r="V22" i="11"/>
  <c r="U211" i="11"/>
  <c r="Q211" i="11" s="1"/>
  <c r="V211" i="11"/>
  <c r="U147" i="11"/>
  <c r="Q147" i="11" s="1"/>
  <c r="V147" i="11"/>
  <c r="U83" i="11"/>
  <c r="Q83" i="11" s="1"/>
  <c r="V83" i="11"/>
  <c r="U19" i="11"/>
  <c r="Q19" i="11" s="1"/>
  <c r="V19" i="11"/>
  <c r="U258" i="11"/>
  <c r="Q258" i="11" s="1"/>
  <c r="V258" i="11"/>
  <c r="U194" i="11"/>
  <c r="Q194" i="11" s="1"/>
  <c r="V194" i="11"/>
  <c r="U130" i="11"/>
  <c r="Q130" i="11" s="1"/>
  <c r="V130" i="11"/>
  <c r="U66" i="11"/>
  <c r="Q66" i="11" s="1"/>
  <c r="V66" i="11"/>
  <c r="U223" i="11"/>
  <c r="Q223" i="11" s="1"/>
  <c r="V223" i="11"/>
  <c r="U159" i="11"/>
  <c r="Q159" i="11" s="1"/>
  <c r="V159" i="11"/>
  <c r="U95" i="11"/>
  <c r="Q95" i="11" s="1"/>
  <c r="V95" i="11"/>
  <c r="U31" i="11"/>
  <c r="Q31" i="11" s="1"/>
  <c r="V31" i="11"/>
  <c r="U181" i="11"/>
  <c r="Q181" i="11" s="1"/>
  <c r="V181" i="11"/>
  <c r="U149" i="11"/>
  <c r="Q149" i="11" s="1"/>
  <c r="V149" i="11"/>
  <c r="U117" i="11"/>
  <c r="Q117" i="11" s="1"/>
  <c r="V117" i="11"/>
  <c r="U85" i="11"/>
  <c r="Q85" i="11" s="1"/>
  <c r="V85" i="11"/>
  <c r="U53" i="11"/>
  <c r="Q53" i="11" s="1"/>
  <c r="V53" i="11"/>
  <c r="U21" i="11"/>
  <c r="Q21" i="11" s="1"/>
  <c r="V21" i="11"/>
  <c r="U232" i="11"/>
  <c r="Q232" i="11" s="1"/>
  <c r="V232" i="11"/>
  <c r="U200" i="11"/>
  <c r="Q200" i="11" s="1"/>
  <c r="V200" i="11"/>
  <c r="U168" i="11"/>
  <c r="Q168" i="11" s="1"/>
  <c r="V168" i="11"/>
  <c r="U136" i="11"/>
  <c r="Q136" i="11" s="1"/>
  <c r="V136" i="11"/>
  <c r="U104" i="11"/>
  <c r="Q104" i="11" s="1"/>
  <c r="V104" i="11"/>
  <c r="U72" i="11"/>
  <c r="Q72" i="11" s="1"/>
  <c r="V72" i="11"/>
  <c r="U40" i="11"/>
  <c r="Q40" i="11" s="1"/>
  <c r="V40" i="11"/>
  <c r="U193" i="11"/>
  <c r="Q193" i="11" s="1"/>
  <c r="V193" i="11"/>
  <c r="U245" i="11"/>
  <c r="Q245" i="11" s="1"/>
  <c r="V245" i="11"/>
  <c r="U205" i="11"/>
  <c r="Q205" i="11" s="1"/>
  <c r="V205" i="11"/>
  <c r="U206" i="11"/>
  <c r="Q206" i="11" s="1"/>
  <c r="V206" i="11"/>
  <c r="U142" i="11"/>
  <c r="Q142" i="11" s="1"/>
  <c r="V142" i="11"/>
  <c r="U78" i="11"/>
  <c r="Q78" i="11" s="1"/>
  <c r="V78" i="11"/>
  <c r="U203" i="11"/>
  <c r="Q203" i="11" s="1"/>
  <c r="V203" i="11"/>
  <c r="U139" i="11"/>
  <c r="Q139" i="11" s="1"/>
  <c r="V139" i="11"/>
  <c r="U75" i="11"/>
  <c r="Q75" i="11" s="1"/>
  <c r="V75" i="11"/>
  <c r="U250" i="11"/>
  <c r="Q250" i="11" s="1"/>
  <c r="V250" i="11"/>
  <c r="U186" i="11"/>
  <c r="Q186" i="11" s="1"/>
  <c r="V186" i="11"/>
  <c r="U122" i="11"/>
  <c r="Q122" i="11" s="1"/>
  <c r="V122" i="11"/>
  <c r="U58" i="11"/>
  <c r="Q58" i="11" s="1"/>
  <c r="V58" i="11"/>
  <c r="U215" i="11"/>
  <c r="Q215" i="11" s="1"/>
  <c r="V215" i="11"/>
  <c r="U151" i="11"/>
  <c r="Q151" i="11" s="1"/>
  <c r="V151" i="11"/>
  <c r="U87" i="11"/>
  <c r="Q87" i="11" s="1"/>
  <c r="V87" i="11"/>
  <c r="U23" i="11"/>
  <c r="Q23" i="11" s="1"/>
  <c r="V23" i="11"/>
  <c r="U177" i="11"/>
  <c r="Q177" i="11" s="1"/>
  <c r="V177" i="11"/>
  <c r="U145" i="11"/>
  <c r="Q145" i="11" s="1"/>
  <c r="V145" i="11"/>
  <c r="U113" i="11"/>
  <c r="Q113" i="11" s="1"/>
  <c r="V113" i="11"/>
  <c r="U81" i="11"/>
  <c r="Q81" i="11" s="1"/>
  <c r="V81" i="11"/>
  <c r="U49" i="11"/>
  <c r="Q49" i="11" s="1"/>
  <c r="V49" i="11"/>
  <c r="U17" i="11"/>
  <c r="Q17" i="11" s="1"/>
  <c r="V17" i="11"/>
  <c r="U228" i="11"/>
  <c r="Q228" i="11" s="1"/>
  <c r="V228" i="11"/>
  <c r="U196" i="11"/>
  <c r="Q196" i="11" s="1"/>
  <c r="V196" i="11"/>
  <c r="U164" i="11"/>
  <c r="Q164" i="11" s="1"/>
  <c r="V164" i="11"/>
  <c r="U132" i="11"/>
  <c r="Q132" i="11" s="1"/>
  <c r="V132" i="11"/>
  <c r="U100" i="11"/>
  <c r="Q100" i="11" s="1"/>
  <c r="V100" i="11"/>
  <c r="U68" i="11"/>
  <c r="Q68" i="11" s="1"/>
  <c r="V68" i="11"/>
  <c r="U36" i="11"/>
  <c r="Q36" i="11" s="1"/>
  <c r="V36" i="11"/>
  <c r="U209" i="11"/>
  <c r="Q209" i="11" s="1"/>
  <c r="V209" i="11"/>
  <c r="U221" i="11"/>
  <c r="Q221" i="11" s="1"/>
  <c r="V221" i="11"/>
  <c r="U198" i="11"/>
  <c r="Q198" i="11" s="1"/>
  <c r="V198" i="11"/>
  <c r="U134" i="11"/>
  <c r="Q134" i="11" s="1"/>
  <c r="V134" i="11"/>
  <c r="U70" i="11"/>
  <c r="Q70" i="11" s="1"/>
  <c r="V70" i="11"/>
  <c r="U195" i="11"/>
  <c r="Q195" i="11" s="1"/>
  <c r="V195" i="11"/>
  <c r="U131" i="11"/>
  <c r="Q131" i="11" s="1"/>
  <c r="V131" i="11"/>
  <c r="U67" i="11"/>
  <c r="Q67" i="11" s="1"/>
  <c r="V67" i="11"/>
  <c r="U242" i="11"/>
  <c r="Q242" i="11" s="1"/>
  <c r="V242" i="11"/>
  <c r="U178" i="11"/>
  <c r="Q178" i="11" s="1"/>
  <c r="V178" i="11"/>
  <c r="U114" i="11"/>
  <c r="Q114" i="11" s="1"/>
  <c r="V114" i="11"/>
  <c r="U50" i="11"/>
  <c r="Q50" i="11" s="1"/>
  <c r="V50" i="11"/>
  <c r="U207" i="11"/>
  <c r="Q207" i="11" s="1"/>
  <c r="V207" i="11"/>
  <c r="U143" i="11"/>
  <c r="Q143" i="11" s="1"/>
  <c r="V143" i="11"/>
  <c r="U79" i="11"/>
  <c r="Q79" i="11" s="1"/>
  <c r="V79" i="11"/>
  <c r="U173" i="11"/>
  <c r="Q173" i="11" s="1"/>
  <c r="V173" i="11"/>
  <c r="U141" i="11"/>
  <c r="Q141" i="11" s="1"/>
  <c r="V141" i="11"/>
  <c r="U109" i="11"/>
  <c r="Q109" i="11" s="1"/>
  <c r="V109" i="11"/>
  <c r="U77" i="11"/>
  <c r="Q77" i="11" s="1"/>
  <c r="V77" i="11"/>
  <c r="U45" i="11"/>
  <c r="Q45" i="11" s="1"/>
  <c r="V45" i="11"/>
  <c r="U256" i="11"/>
  <c r="Q256" i="11" s="1"/>
  <c r="V256" i="11"/>
  <c r="U224" i="11"/>
  <c r="Q224" i="11" s="1"/>
  <c r="V224" i="11"/>
  <c r="U192" i="11"/>
  <c r="Q192" i="11" s="1"/>
  <c r="V192" i="11"/>
  <c r="U160" i="11"/>
  <c r="Q160" i="11" s="1"/>
  <c r="V160" i="11"/>
  <c r="U128" i="11"/>
  <c r="Q128" i="11" s="1"/>
  <c r="V128" i="11"/>
  <c r="U96" i="11"/>
  <c r="Q96" i="11" s="1"/>
  <c r="V96" i="11"/>
  <c r="U64" i="11"/>
  <c r="Q64" i="11" s="1"/>
  <c r="V64" i="11"/>
  <c r="U32" i="11"/>
  <c r="Q32" i="11" s="1"/>
  <c r="V32" i="11"/>
  <c r="U225" i="11"/>
  <c r="Q225" i="11" s="1"/>
  <c r="V225" i="11"/>
  <c r="U237" i="11"/>
  <c r="Q237" i="11" s="1"/>
  <c r="V237" i="11"/>
  <c r="U254" i="11"/>
  <c r="Q254" i="11" s="1"/>
  <c r="V254" i="11"/>
  <c r="U190" i="11"/>
  <c r="Q190" i="11" s="1"/>
  <c r="V190" i="11"/>
  <c r="U126" i="11"/>
  <c r="Q126" i="11" s="1"/>
  <c r="V126" i="11"/>
  <c r="U62" i="11"/>
  <c r="Q62" i="11" s="1"/>
  <c r="V62" i="11"/>
  <c r="U251" i="11"/>
  <c r="Q251" i="11" s="1"/>
  <c r="V251" i="11"/>
  <c r="U187" i="11"/>
  <c r="Q187" i="11" s="1"/>
  <c r="V187" i="11"/>
  <c r="U123" i="11"/>
  <c r="Q123" i="11" s="1"/>
  <c r="V123" i="11"/>
  <c r="U59" i="11"/>
  <c r="Q59" i="11" s="1"/>
  <c r="V59" i="11"/>
  <c r="U234" i="11"/>
  <c r="Q234" i="11" s="1"/>
  <c r="V234" i="11"/>
  <c r="U170" i="11"/>
  <c r="Q170" i="11" s="1"/>
  <c r="V170" i="11"/>
  <c r="U106" i="11"/>
  <c r="Q106" i="11" s="1"/>
  <c r="V106" i="11"/>
  <c r="U42" i="11"/>
  <c r="Q42" i="11" s="1"/>
  <c r="V42" i="11"/>
  <c r="U199" i="11"/>
  <c r="Q199" i="11" s="1"/>
  <c r="V199" i="11"/>
  <c r="U135" i="11"/>
  <c r="Q135" i="11" s="1"/>
  <c r="V135" i="11"/>
  <c r="U71" i="11"/>
  <c r="Q71" i="11" s="1"/>
  <c r="V71" i="11"/>
  <c r="U169" i="11"/>
  <c r="Q169" i="11" s="1"/>
  <c r="V169" i="11"/>
  <c r="U137" i="11"/>
  <c r="Q137" i="11" s="1"/>
  <c r="V137" i="11"/>
  <c r="U105" i="11"/>
  <c r="Q105" i="11" s="1"/>
  <c r="V105" i="11"/>
  <c r="U73" i="11"/>
  <c r="Q73" i="11" s="1"/>
  <c r="V73" i="11"/>
  <c r="U41" i="11"/>
  <c r="Q41" i="11" s="1"/>
  <c r="V41" i="11"/>
  <c r="U252" i="11"/>
  <c r="Q252" i="11" s="1"/>
  <c r="V252" i="11"/>
  <c r="U220" i="11"/>
  <c r="Q220" i="11" s="1"/>
  <c r="V220" i="11"/>
  <c r="U188" i="11"/>
  <c r="Q188" i="11" s="1"/>
  <c r="V188" i="11"/>
  <c r="U156" i="11"/>
  <c r="Q156" i="11" s="1"/>
  <c r="V156" i="11"/>
  <c r="U124" i="11"/>
  <c r="Q124" i="11" s="1"/>
  <c r="V124" i="11"/>
  <c r="U92" i="11"/>
  <c r="Q92" i="11" s="1"/>
  <c r="V92" i="11"/>
  <c r="U60" i="11"/>
  <c r="Q60" i="11" s="1"/>
  <c r="V60" i="11"/>
  <c r="U28" i="11"/>
  <c r="Q28" i="11" s="1"/>
  <c r="V28" i="11"/>
  <c r="U241" i="11"/>
  <c r="Q241" i="11" s="1"/>
  <c r="V241" i="11"/>
  <c r="U201" i="11"/>
  <c r="Q201" i="11" s="1"/>
  <c r="V201" i="11"/>
  <c r="U253" i="11"/>
  <c r="Q253" i="11" s="1"/>
  <c r="V253" i="11"/>
  <c r="U246" i="11"/>
  <c r="Q246" i="11" s="1"/>
  <c r="V246" i="11"/>
  <c r="U182" i="11"/>
  <c r="Q182" i="11" s="1"/>
  <c r="V182" i="11"/>
  <c r="U118" i="11"/>
  <c r="Q118" i="11" s="1"/>
  <c r="V118" i="11"/>
  <c r="U54" i="11"/>
  <c r="Q54" i="11" s="1"/>
  <c r="V54" i="11"/>
  <c r="U243" i="11"/>
  <c r="Q243" i="11" s="1"/>
  <c r="V243" i="11"/>
  <c r="U179" i="11"/>
  <c r="Q179" i="11" s="1"/>
  <c r="V179" i="11"/>
  <c r="U115" i="11"/>
  <c r="Q115" i="11" s="1"/>
  <c r="V115" i="11"/>
  <c r="U51" i="11"/>
  <c r="Q51" i="11" s="1"/>
  <c r="V51" i="11"/>
  <c r="U226" i="11"/>
  <c r="Q226" i="11" s="1"/>
  <c r="V226" i="11"/>
  <c r="U162" i="11"/>
  <c r="Q162" i="11" s="1"/>
  <c r="V162" i="11"/>
  <c r="U98" i="11"/>
  <c r="Q98" i="11" s="1"/>
  <c r="V98" i="11"/>
  <c r="U34" i="11"/>
  <c r="Q34" i="11" s="1"/>
  <c r="V34" i="11"/>
  <c r="U255" i="11"/>
  <c r="Q255" i="11" s="1"/>
  <c r="V255" i="11"/>
  <c r="U191" i="11"/>
  <c r="Q191" i="11" s="1"/>
  <c r="V191" i="11"/>
  <c r="U127" i="11"/>
  <c r="Q127" i="11" s="1"/>
  <c r="V127" i="11"/>
  <c r="U63" i="11"/>
  <c r="Q63" i="11" s="1"/>
  <c r="V63" i="11"/>
  <c r="U165" i="11"/>
  <c r="Q165" i="11" s="1"/>
  <c r="V165" i="11"/>
  <c r="U133" i="11"/>
  <c r="Q133" i="11" s="1"/>
  <c r="V133" i="11"/>
  <c r="U101" i="11"/>
  <c r="Q101" i="11" s="1"/>
  <c r="V101" i="11"/>
  <c r="U69" i="11"/>
  <c r="Q69" i="11" s="1"/>
  <c r="V69" i="11"/>
  <c r="U37" i="11"/>
  <c r="Q37" i="11" s="1"/>
  <c r="V37" i="11"/>
  <c r="U248" i="11"/>
  <c r="Q248" i="11" s="1"/>
  <c r="V248" i="11"/>
  <c r="U216" i="11"/>
  <c r="Q216" i="11" s="1"/>
  <c r="V216" i="11"/>
  <c r="U184" i="11"/>
  <c r="Q184" i="11" s="1"/>
  <c r="V184" i="11"/>
  <c r="U152" i="11"/>
  <c r="Q152" i="11" s="1"/>
  <c r="V152" i="11"/>
  <c r="U120" i="11"/>
  <c r="Q120" i="11" s="1"/>
  <c r="V120" i="11"/>
  <c r="U88" i="11"/>
  <c r="Q88" i="11" s="1"/>
  <c r="V88" i="11"/>
  <c r="U56" i="11"/>
  <c r="Q56" i="11" s="1"/>
  <c r="V56" i="11"/>
  <c r="U24" i="11"/>
  <c r="Q24" i="11" s="1"/>
  <c r="V24" i="11"/>
  <c r="U14" i="11"/>
  <c r="V14" i="11"/>
  <c r="U13" i="11"/>
  <c r="V13" i="11"/>
  <c r="U12" i="11"/>
  <c r="U11" i="11"/>
  <c r="AC54" i="53"/>
  <c r="O54" i="53"/>
  <c r="N54" i="53"/>
  <c r="AA52" i="53"/>
  <c r="AF52" i="53"/>
  <c r="AE53" i="53"/>
  <c r="R53" i="53"/>
  <c r="X53" i="53" s="1"/>
  <c r="AB53" i="53" s="1"/>
  <c r="AG53" i="53"/>
  <c r="AT53" i="53"/>
  <c r="L54" i="53"/>
  <c r="AD53" i="53"/>
  <c r="Q53" i="53"/>
  <c r="G54" i="53"/>
  <c r="D54" i="53"/>
  <c r="J54" i="53"/>
  <c r="AK53" i="52" a="1"/>
  <c r="AK53" i="52" s="1"/>
  <c r="B55" i="53" s="1"/>
  <c r="H54" i="53"/>
  <c r="C54" i="53"/>
  <c r="E54" i="53"/>
  <c r="P54" i="53"/>
  <c r="K54" i="53"/>
  <c r="AH54" i="53" s="1"/>
  <c r="I54" i="53"/>
  <c r="F54" i="53"/>
  <c r="Q15" i="11" l="1"/>
  <c r="Q14" i="11"/>
  <c r="Q11" i="11"/>
  <c r="H134" i="22"/>
  <c r="H135" i="22"/>
  <c r="H133" i="22"/>
  <c r="U259" i="11"/>
  <c r="AC55" i="53"/>
  <c r="O55" i="53"/>
  <c r="N55" i="53"/>
  <c r="AA53" i="53"/>
  <c r="AF53" i="53"/>
  <c r="AE54" i="53"/>
  <c r="R54" i="53"/>
  <c r="X54" i="53" s="1"/>
  <c r="AB54" i="53" s="1"/>
  <c r="AG54" i="53"/>
  <c r="AT54" i="53"/>
  <c r="G55" i="53"/>
  <c r="Q54" i="53"/>
  <c r="AD54" i="53"/>
  <c r="AK54" i="52" a="1"/>
  <c r="AK54" i="52" s="1"/>
  <c r="B56" i="53" s="1"/>
  <c r="F55" i="53"/>
  <c r="H55" i="53"/>
  <c r="I55" i="53"/>
  <c r="C55" i="53"/>
  <c r="E55" i="53"/>
  <c r="K55" i="53"/>
  <c r="AH55" i="53" s="1"/>
  <c r="P55" i="53"/>
  <c r="J55" i="53"/>
  <c r="L55" i="53"/>
  <c r="D55" i="53"/>
  <c r="L15" i="29"/>
  <c r="X11" i="11" l="1"/>
  <c r="AC56" i="53"/>
  <c r="O56" i="53"/>
  <c r="N56" i="53"/>
  <c r="AA54" i="53"/>
  <c r="AF54" i="53"/>
  <c r="AE55" i="53"/>
  <c r="R55" i="53"/>
  <c r="X55" i="53" s="1"/>
  <c r="AB55" i="53" s="1"/>
  <c r="AG55" i="53"/>
  <c r="AT55" i="53"/>
  <c r="F56" i="53"/>
  <c r="AD55" i="53"/>
  <c r="Q55" i="53"/>
  <c r="AK55" i="52" a="1"/>
  <c r="AK55" i="52" s="1"/>
  <c r="B57" i="53" s="1"/>
  <c r="D56" i="53"/>
  <c r="L56" i="53"/>
  <c r="I56" i="53"/>
  <c r="C56" i="53"/>
  <c r="G56" i="53"/>
  <c r="E56" i="53"/>
  <c r="P56" i="53"/>
  <c r="H56" i="53"/>
  <c r="J56" i="53"/>
  <c r="K56" i="53"/>
  <c r="AH56" i="53" s="1"/>
  <c r="AQ11" i="11" l="1"/>
  <c r="AC57" i="53"/>
  <c r="O57" i="53"/>
  <c r="N57" i="53"/>
  <c r="AA55" i="53"/>
  <c r="AE56" i="53"/>
  <c r="AF55" i="53"/>
  <c r="R56" i="53"/>
  <c r="X56" i="53" s="1"/>
  <c r="AB56" i="53" s="1"/>
  <c r="AG56" i="53"/>
  <c r="AT56" i="53"/>
  <c r="C57" i="53"/>
  <c r="Q56" i="53"/>
  <c r="AD56" i="53"/>
  <c r="H57" i="53"/>
  <c r="F57" i="53"/>
  <c r="K57" i="53"/>
  <c r="AH57" i="53" s="1"/>
  <c r="E57" i="53"/>
  <c r="L57" i="53"/>
  <c r="J57" i="53"/>
  <c r="G57" i="53"/>
  <c r="AK56" i="52" a="1"/>
  <c r="AK56" i="52" s="1"/>
  <c r="B58" i="53" s="1"/>
  <c r="D57" i="53"/>
  <c r="P57" i="53"/>
  <c r="I57" i="53"/>
  <c r="AC58" i="53" l="1"/>
  <c r="O58" i="53"/>
  <c r="N58" i="53"/>
  <c r="AA56" i="53"/>
  <c r="AE57" i="53"/>
  <c r="AF56" i="53"/>
  <c r="R57" i="53"/>
  <c r="X57" i="53" s="1"/>
  <c r="AB57" i="53" s="1"/>
  <c r="AG57" i="53"/>
  <c r="AT57" i="53"/>
  <c r="AD57" i="53"/>
  <c r="Q57" i="53"/>
  <c r="K58" i="53"/>
  <c r="AH58" i="53" s="1"/>
  <c r="P58" i="53"/>
  <c r="I58" i="53"/>
  <c r="E58" i="53"/>
  <c r="H58" i="53"/>
  <c r="AK57" i="52" a="1"/>
  <c r="AK57" i="52" s="1"/>
  <c r="B59" i="53" s="1"/>
  <c r="J58" i="53"/>
  <c r="D58" i="53"/>
  <c r="L58" i="53"/>
  <c r="C58" i="53"/>
  <c r="G58" i="53"/>
  <c r="F58" i="53"/>
  <c r="AC59" i="53" l="1"/>
  <c r="O59" i="53"/>
  <c r="N59" i="53"/>
  <c r="AA57" i="53"/>
  <c r="AE58" i="53"/>
  <c r="AF57" i="53"/>
  <c r="R58" i="53"/>
  <c r="X58" i="53" s="1"/>
  <c r="AB58" i="53" s="1"/>
  <c r="AG58" i="53"/>
  <c r="AT58" i="53"/>
  <c r="H59" i="53"/>
  <c r="Q58" i="53"/>
  <c r="AD58" i="53"/>
  <c r="AK58" i="52" a="1"/>
  <c r="AK58" i="52" s="1"/>
  <c r="B60" i="53" s="1"/>
  <c r="K59" i="53"/>
  <c r="AH59" i="53" s="1"/>
  <c r="P59" i="53"/>
  <c r="I59" i="53"/>
  <c r="C59" i="53"/>
  <c r="E59" i="53"/>
  <c r="J59" i="53"/>
  <c r="L59" i="53"/>
  <c r="D59" i="53"/>
  <c r="G59" i="53"/>
  <c r="F59" i="53"/>
  <c r="AC60" i="53" l="1"/>
  <c r="O60" i="53"/>
  <c r="N60" i="53"/>
  <c r="AA58" i="53"/>
  <c r="AE59" i="53"/>
  <c r="AF58" i="53"/>
  <c r="R59" i="53"/>
  <c r="X59" i="53" s="1"/>
  <c r="AB59" i="53" s="1"/>
  <c r="AG59" i="53"/>
  <c r="AT59" i="53"/>
  <c r="Q59" i="53"/>
  <c r="AD59" i="53"/>
  <c r="J60" i="53"/>
  <c r="K60" i="53"/>
  <c r="AH60" i="53" s="1"/>
  <c r="E60" i="53"/>
  <c r="F60" i="53"/>
  <c r="P60" i="53"/>
  <c r="I60" i="53"/>
  <c r="L60" i="53"/>
  <c r="C60" i="53"/>
  <c r="AK59" i="52" a="1"/>
  <c r="AK59" i="52" s="1"/>
  <c r="B61" i="53" s="1"/>
  <c r="D60" i="53"/>
  <c r="H60" i="53"/>
  <c r="G60" i="53"/>
  <c r="AC61" i="53" l="1"/>
  <c r="O61" i="53"/>
  <c r="N61" i="53"/>
  <c r="AA59" i="53"/>
  <c r="AF59" i="53"/>
  <c r="AE60" i="53"/>
  <c r="R60" i="53"/>
  <c r="X60" i="53" s="1"/>
  <c r="AB60" i="53" s="1"/>
  <c r="AT60" i="53"/>
  <c r="AG60" i="53"/>
  <c r="AD60" i="53"/>
  <c r="Q60" i="53"/>
  <c r="AK60" i="52" a="1"/>
  <c r="AK60" i="52" s="1"/>
  <c r="B62" i="53" s="1"/>
  <c r="H61" i="53"/>
  <c r="F61" i="53"/>
  <c r="I61" i="53"/>
  <c r="C61" i="53"/>
  <c r="L61" i="53"/>
  <c r="P61" i="53"/>
  <c r="K61" i="53"/>
  <c r="AH61" i="53" s="1"/>
  <c r="E61" i="53"/>
  <c r="D61" i="53"/>
  <c r="J61" i="53"/>
  <c r="G61" i="53"/>
  <c r="AC62" i="53" l="1"/>
  <c r="O62" i="53"/>
  <c r="N62" i="53"/>
  <c r="AA60" i="53"/>
  <c r="AE61" i="53"/>
  <c r="AF60" i="53"/>
  <c r="R61" i="53"/>
  <c r="X61" i="53" s="1"/>
  <c r="AB61" i="53" s="1"/>
  <c r="AG61" i="53"/>
  <c r="AT61" i="53"/>
  <c r="H62" i="53"/>
  <c r="AD61" i="53"/>
  <c r="Q61" i="53"/>
  <c r="F62" i="53"/>
  <c r="E62" i="53"/>
  <c r="I62" i="53"/>
  <c r="C62" i="53"/>
  <c r="G62" i="53"/>
  <c r="K62" i="53"/>
  <c r="AH62" i="53" s="1"/>
  <c r="J62" i="53"/>
  <c r="AK61" i="52" a="1"/>
  <c r="AK61" i="52" s="1"/>
  <c r="B63" i="53" s="1"/>
  <c r="L62" i="53"/>
  <c r="P62" i="53"/>
  <c r="D62" i="53"/>
  <c r="AC63" i="53" l="1"/>
  <c r="O63" i="53"/>
  <c r="N63" i="53"/>
  <c r="AA61" i="53"/>
  <c r="AF61" i="53"/>
  <c r="AE62" i="53"/>
  <c r="R62" i="53"/>
  <c r="X62" i="53" s="1"/>
  <c r="AB62" i="53" s="1"/>
  <c r="AG62" i="53"/>
  <c r="AT62" i="53"/>
  <c r="P63" i="53"/>
  <c r="Q62" i="53"/>
  <c r="AD62" i="53"/>
  <c r="AK62" i="52" a="1"/>
  <c r="AK62" i="52" s="1"/>
  <c r="B64" i="53" s="1"/>
  <c r="J63" i="53"/>
  <c r="I63" i="53"/>
  <c r="C63" i="53"/>
  <c r="E63" i="53"/>
  <c r="G63" i="53"/>
  <c r="D63" i="53"/>
  <c r="H63" i="53"/>
  <c r="L63" i="53"/>
  <c r="F63" i="53"/>
  <c r="K63" i="53"/>
  <c r="AH63" i="53" s="1"/>
  <c r="AC64" i="53" l="1"/>
  <c r="O64" i="53"/>
  <c r="N64" i="53"/>
  <c r="AA62" i="53"/>
  <c r="AF62" i="53"/>
  <c r="AE63" i="53"/>
  <c r="R63" i="53"/>
  <c r="X63" i="53" s="1"/>
  <c r="AB63" i="53" s="1"/>
  <c r="AG63" i="53"/>
  <c r="AT63" i="53"/>
  <c r="P64" i="53"/>
  <c r="Q63" i="53"/>
  <c r="AD63" i="53"/>
  <c r="G64" i="53"/>
  <c r="E64" i="53"/>
  <c r="C64" i="53"/>
  <c r="L64" i="53"/>
  <c r="H64" i="53"/>
  <c r="AK63" i="52" a="1"/>
  <c r="AK63" i="52" s="1"/>
  <c r="B65" i="53" s="1"/>
  <c r="F64" i="53"/>
  <c r="J64" i="53"/>
  <c r="I64" i="53"/>
  <c r="D64" i="53"/>
  <c r="K64" i="53"/>
  <c r="AH64" i="53" s="1"/>
  <c r="M15" i="29"/>
  <c r="A96" i="22"/>
  <c r="B96" i="22"/>
  <c r="C96" i="22"/>
  <c r="A97" i="22"/>
  <c r="B97" i="22"/>
  <c r="C97" i="22"/>
  <c r="A98" i="22"/>
  <c r="B98" i="22"/>
  <c r="C98" i="22"/>
  <c r="A99" i="22"/>
  <c r="B99" i="22"/>
  <c r="C99" i="22"/>
  <c r="A100" i="22"/>
  <c r="B100" i="22"/>
  <c r="C100" i="22"/>
  <c r="A101" i="22"/>
  <c r="B101" i="22"/>
  <c r="C101" i="22"/>
  <c r="A102" i="22"/>
  <c r="B102" i="22"/>
  <c r="C102" i="22"/>
  <c r="A5" i="22"/>
  <c r="B5" i="22"/>
  <c r="C5" i="22"/>
  <c r="A6" i="22"/>
  <c r="B6" i="22"/>
  <c r="C6" i="22"/>
  <c r="A7" i="22"/>
  <c r="B7" i="22"/>
  <c r="C7" i="22"/>
  <c r="A8" i="22"/>
  <c r="B8" i="22"/>
  <c r="C8" i="22"/>
  <c r="A9" i="22"/>
  <c r="B9" i="22"/>
  <c r="C9" i="22"/>
  <c r="A10" i="22"/>
  <c r="B10" i="22"/>
  <c r="C10" i="22"/>
  <c r="A11" i="22"/>
  <c r="B11" i="22"/>
  <c r="C11" i="22"/>
  <c r="A12" i="22"/>
  <c r="B12" i="22"/>
  <c r="C12" i="22"/>
  <c r="A13" i="22"/>
  <c r="B13" i="22"/>
  <c r="C13" i="22"/>
  <c r="A14" i="22"/>
  <c r="B14" i="22"/>
  <c r="C14" i="22"/>
  <c r="A15" i="22"/>
  <c r="B15" i="22"/>
  <c r="C15" i="22"/>
  <c r="A16" i="22"/>
  <c r="B16" i="22"/>
  <c r="C16" i="22"/>
  <c r="A17" i="22"/>
  <c r="B17" i="22"/>
  <c r="C17" i="22"/>
  <c r="A18" i="22"/>
  <c r="B18" i="22"/>
  <c r="C18" i="22"/>
  <c r="A19" i="22"/>
  <c r="B19" i="22"/>
  <c r="C19" i="22"/>
  <c r="A20" i="22"/>
  <c r="B20" i="22"/>
  <c r="C20" i="22"/>
  <c r="A21" i="22"/>
  <c r="B21" i="22"/>
  <c r="C21" i="22"/>
  <c r="A22" i="22"/>
  <c r="B22" i="22"/>
  <c r="C22" i="22"/>
  <c r="A23" i="22"/>
  <c r="B23" i="22"/>
  <c r="C23" i="22"/>
  <c r="A24" i="22"/>
  <c r="B24" i="22"/>
  <c r="C24" i="22"/>
  <c r="A25" i="22"/>
  <c r="B25" i="22"/>
  <c r="C25" i="22"/>
  <c r="A26" i="22"/>
  <c r="B26" i="22"/>
  <c r="C26" i="22"/>
  <c r="A27" i="22"/>
  <c r="B27" i="22"/>
  <c r="C27" i="22"/>
  <c r="A28" i="22"/>
  <c r="B28" i="22"/>
  <c r="C28" i="22"/>
  <c r="A29" i="22"/>
  <c r="B29" i="22"/>
  <c r="C29" i="22"/>
  <c r="A30" i="22"/>
  <c r="B30" i="22"/>
  <c r="C30" i="22"/>
  <c r="A31" i="22"/>
  <c r="B31" i="22"/>
  <c r="C31" i="22"/>
  <c r="A32" i="22"/>
  <c r="B32" i="22"/>
  <c r="C32" i="22"/>
  <c r="A33" i="22"/>
  <c r="B33" i="22"/>
  <c r="C33" i="22"/>
  <c r="A34" i="22"/>
  <c r="B34" i="22"/>
  <c r="C34" i="22"/>
  <c r="A35" i="22"/>
  <c r="B35" i="22"/>
  <c r="C35" i="22"/>
  <c r="A36" i="22"/>
  <c r="B36" i="22"/>
  <c r="C36" i="22"/>
  <c r="A37" i="22"/>
  <c r="B37" i="22"/>
  <c r="C37" i="22"/>
  <c r="A39" i="22"/>
  <c r="B39" i="22"/>
  <c r="C39" i="22"/>
  <c r="A40" i="22"/>
  <c r="B40" i="22"/>
  <c r="C40" i="22"/>
  <c r="A42" i="22"/>
  <c r="B42" i="22"/>
  <c r="C42" i="22"/>
  <c r="A43" i="22"/>
  <c r="B43" i="22"/>
  <c r="C43" i="22"/>
  <c r="A44" i="22"/>
  <c r="B44" i="22"/>
  <c r="C44" i="22"/>
  <c r="A45" i="22"/>
  <c r="B45" i="22"/>
  <c r="C45" i="22"/>
  <c r="A46" i="22"/>
  <c r="B46" i="22"/>
  <c r="C46" i="22"/>
  <c r="A47" i="22"/>
  <c r="B47" i="22"/>
  <c r="C47" i="22"/>
  <c r="A48" i="22"/>
  <c r="B48" i="22"/>
  <c r="C48" i="22"/>
  <c r="A49" i="22"/>
  <c r="B49" i="22"/>
  <c r="C49" i="22"/>
  <c r="A50" i="22"/>
  <c r="B50" i="22"/>
  <c r="C50" i="22"/>
  <c r="A51" i="22"/>
  <c r="B51" i="22"/>
  <c r="C51" i="22"/>
  <c r="A52" i="22"/>
  <c r="B52" i="22"/>
  <c r="C52" i="22"/>
  <c r="A53" i="22"/>
  <c r="B53" i="22"/>
  <c r="C53" i="22"/>
  <c r="A54" i="22"/>
  <c r="B54" i="22"/>
  <c r="C54" i="22"/>
  <c r="A56" i="22"/>
  <c r="B56" i="22"/>
  <c r="C56" i="22"/>
  <c r="A57" i="22"/>
  <c r="B57" i="22"/>
  <c r="C57" i="22"/>
  <c r="A58" i="22"/>
  <c r="B58" i="22"/>
  <c r="C58" i="22"/>
  <c r="A59" i="22"/>
  <c r="B59" i="22"/>
  <c r="C59" i="22"/>
  <c r="A60" i="22"/>
  <c r="B60" i="22"/>
  <c r="C60" i="22"/>
  <c r="A41" i="22"/>
  <c r="B41" i="22"/>
  <c r="C41" i="22"/>
  <c r="A61" i="22"/>
  <c r="B61" i="22"/>
  <c r="C61" i="22"/>
  <c r="A62" i="22"/>
  <c r="B62" i="22"/>
  <c r="C62" i="22"/>
  <c r="A63" i="22"/>
  <c r="B63" i="22"/>
  <c r="C63" i="22"/>
  <c r="A64" i="22"/>
  <c r="B64" i="22"/>
  <c r="C64" i="22"/>
  <c r="A65" i="22"/>
  <c r="B65" i="22"/>
  <c r="C65" i="22"/>
  <c r="A66" i="22"/>
  <c r="B66" i="22"/>
  <c r="C66" i="22"/>
  <c r="A67" i="22"/>
  <c r="B67" i="22"/>
  <c r="C67" i="22"/>
  <c r="A68" i="22"/>
  <c r="B68" i="22"/>
  <c r="C68" i="22"/>
  <c r="A69" i="22"/>
  <c r="B69" i="22"/>
  <c r="C69" i="22"/>
  <c r="A70" i="22"/>
  <c r="B70" i="22"/>
  <c r="C70" i="22"/>
  <c r="A71" i="22"/>
  <c r="B71" i="22"/>
  <c r="C71" i="22"/>
  <c r="A72" i="22"/>
  <c r="B72" i="22"/>
  <c r="C72" i="22"/>
  <c r="A73" i="22"/>
  <c r="B73" i="22"/>
  <c r="C73" i="22"/>
  <c r="A74" i="22"/>
  <c r="B74" i="22"/>
  <c r="C74" i="22"/>
  <c r="A75" i="22"/>
  <c r="B75" i="22"/>
  <c r="C75" i="22"/>
  <c r="A76" i="22"/>
  <c r="C76" i="22"/>
  <c r="A77" i="22"/>
  <c r="B77" i="22"/>
  <c r="C77" i="22"/>
  <c r="A78" i="22"/>
  <c r="B78" i="22"/>
  <c r="C78" i="22"/>
  <c r="A79" i="22"/>
  <c r="B79" i="22"/>
  <c r="C79" i="22"/>
  <c r="A81" i="22"/>
  <c r="B81" i="22"/>
  <c r="C81" i="22"/>
  <c r="A82" i="22"/>
  <c r="B82" i="22"/>
  <c r="C82" i="22"/>
  <c r="A83" i="22"/>
  <c r="B83" i="22"/>
  <c r="C83" i="22"/>
  <c r="A84" i="22"/>
  <c r="B84" i="22"/>
  <c r="C84" i="22"/>
  <c r="A85" i="22"/>
  <c r="B85" i="22"/>
  <c r="C85" i="22"/>
  <c r="A86" i="22"/>
  <c r="B86" i="22"/>
  <c r="C86" i="22"/>
  <c r="A87" i="22"/>
  <c r="B87" i="22"/>
  <c r="C87" i="22"/>
  <c r="A88" i="22"/>
  <c r="B88" i="22"/>
  <c r="C88" i="22"/>
  <c r="A89" i="22"/>
  <c r="B89" i="22"/>
  <c r="C89" i="22"/>
  <c r="A90" i="22"/>
  <c r="B90" i="22"/>
  <c r="C90" i="22"/>
  <c r="A91" i="22"/>
  <c r="B91" i="22"/>
  <c r="C91" i="22"/>
  <c r="A92" i="22"/>
  <c r="B92" i="22"/>
  <c r="C92" i="22"/>
  <c r="A93" i="22"/>
  <c r="B93" i="22"/>
  <c r="C93" i="22"/>
  <c r="A94" i="22"/>
  <c r="B94" i="22"/>
  <c r="C94" i="22"/>
  <c r="A95" i="22"/>
  <c r="B95" i="22"/>
  <c r="C95" i="22"/>
  <c r="C4" i="22"/>
  <c r="B4" i="22"/>
  <c r="A4" i="22"/>
  <c r="V94" i="22" l="1"/>
  <c r="T94" i="22"/>
  <c r="G94" i="22"/>
  <c r="U94" i="22"/>
  <c r="H94" i="22"/>
  <c r="E88" i="22"/>
  <c r="S88" i="22"/>
  <c r="S84" i="22"/>
  <c r="E84" i="22"/>
  <c r="V77" i="22"/>
  <c r="T77" i="22"/>
  <c r="U77" i="22"/>
  <c r="J77" i="22"/>
  <c r="H77" i="22"/>
  <c r="I77" i="22"/>
  <c r="G77" i="22"/>
  <c r="F77" i="22"/>
  <c r="V70" i="22"/>
  <c r="F70" i="22"/>
  <c r="U70" i="22"/>
  <c r="T70" i="22"/>
  <c r="J70" i="22"/>
  <c r="I70" i="22"/>
  <c r="H70" i="22"/>
  <c r="G70" i="22"/>
  <c r="U66" i="22"/>
  <c r="T66" i="22"/>
  <c r="J66" i="22"/>
  <c r="I66" i="22"/>
  <c r="V66" i="22"/>
  <c r="G66" i="22"/>
  <c r="H66" i="22"/>
  <c r="F66" i="22"/>
  <c r="V54" i="22"/>
  <c r="H54" i="22"/>
  <c r="F54" i="22"/>
  <c r="U54" i="22"/>
  <c r="I54" i="22"/>
  <c r="G54" i="22"/>
  <c r="T54" i="22"/>
  <c r="J54" i="22"/>
  <c r="V50" i="22"/>
  <c r="U50" i="22"/>
  <c r="I50" i="22"/>
  <c r="G50" i="22"/>
  <c r="T50" i="22"/>
  <c r="J50" i="22"/>
  <c r="F50" i="22"/>
  <c r="H50" i="22"/>
  <c r="T46" i="22"/>
  <c r="U46" i="22"/>
  <c r="I46" i="22"/>
  <c r="G46" i="22"/>
  <c r="J46" i="22"/>
  <c r="V46" i="22"/>
  <c r="H46" i="22"/>
  <c r="F46" i="22"/>
  <c r="U42" i="22"/>
  <c r="J42" i="22"/>
  <c r="G42" i="22"/>
  <c r="F42" i="22"/>
  <c r="I42" i="22"/>
  <c r="H42" i="22"/>
  <c r="V36" i="22"/>
  <c r="I36" i="22"/>
  <c r="T36" i="22"/>
  <c r="U36" i="22"/>
  <c r="H36" i="22"/>
  <c r="G36" i="22"/>
  <c r="F36" i="22"/>
  <c r="J36" i="22"/>
  <c r="U32" i="22"/>
  <c r="H32" i="22"/>
  <c r="V32" i="22"/>
  <c r="T32" i="22"/>
  <c r="I32" i="22"/>
  <c r="J32" i="22"/>
  <c r="G32" i="22"/>
  <c r="F32" i="22"/>
  <c r="U28" i="22"/>
  <c r="V28" i="22"/>
  <c r="T28" i="22"/>
  <c r="G28" i="22"/>
  <c r="H28" i="22"/>
  <c r="U24" i="22"/>
  <c r="T24" i="22"/>
  <c r="H24" i="22"/>
  <c r="V24" i="22"/>
  <c r="I24" i="22"/>
  <c r="J24" i="22"/>
  <c r="F24" i="22"/>
  <c r="G24" i="22"/>
  <c r="U20" i="22"/>
  <c r="G20" i="22"/>
  <c r="H20" i="22"/>
  <c r="U16" i="22"/>
  <c r="G16" i="22"/>
  <c r="H16" i="22"/>
  <c r="U12" i="22"/>
  <c r="V12" i="22"/>
  <c r="I12" i="22"/>
  <c r="T12" i="22"/>
  <c r="G12" i="22"/>
  <c r="H12" i="22"/>
  <c r="J12" i="22"/>
  <c r="F12" i="22"/>
  <c r="X102" i="22"/>
  <c r="G102" i="22"/>
  <c r="U102" i="22"/>
  <c r="H102" i="22"/>
  <c r="F98" i="22"/>
  <c r="V98" i="22"/>
  <c r="T98" i="22"/>
  <c r="U98" i="22"/>
  <c r="J98" i="22"/>
  <c r="I98" i="22"/>
  <c r="G98" i="22"/>
  <c r="H98" i="22"/>
  <c r="V95" i="22"/>
  <c r="U95" i="22"/>
  <c r="T95" i="22"/>
  <c r="J95" i="22"/>
  <c r="I95" i="22"/>
  <c r="H95" i="22"/>
  <c r="G95" i="22"/>
  <c r="F95" i="22"/>
  <c r="S93" i="22"/>
  <c r="E93" i="22"/>
  <c r="V91" i="22"/>
  <c r="T91" i="22"/>
  <c r="U91" i="22"/>
  <c r="G91" i="22"/>
  <c r="I91" i="22"/>
  <c r="H91" i="22"/>
  <c r="F91" i="22"/>
  <c r="S89" i="22"/>
  <c r="E89" i="22"/>
  <c r="T87" i="22"/>
  <c r="G87" i="22"/>
  <c r="U87" i="22"/>
  <c r="H87" i="22"/>
  <c r="V87" i="22"/>
  <c r="F87" i="22"/>
  <c r="I87" i="22"/>
  <c r="J87" i="22"/>
  <c r="S85" i="22"/>
  <c r="E85" i="22"/>
  <c r="U83" i="22"/>
  <c r="I83" i="22"/>
  <c r="T83" i="22"/>
  <c r="H83" i="22"/>
  <c r="V83" i="22"/>
  <c r="J83" i="22"/>
  <c r="G83" i="22"/>
  <c r="F83" i="22"/>
  <c r="E81" i="22"/>
  <c r="S81" i="22"/>
  <c r="J78" i="22"/>
  <c r="I78" i="22"/>
  <c r="G78" i="22"/>
  <c r="V78" i="22"/>
  <c r="T78" i="22"/>
  <c r="U78" i="22"/>
  <c r="F78" i="22"/>
  <c r="H78" i="22"/>
  <c r="S76" i="22"/>
  <c r="E76" i="22"/>
  <c r="T75" i="22"/>
  <c r="J75" i="22"/>
  <c r="V75" i="22"/>
  <c r="U75" i="22"/>
  <c r="I75" i="22"/>
  <c r="H75" i="22"/>
  <c r="G75" i="22"/>
  <c r="F75" i="22"/>
  <c r="S73" i="22"/>
  <c r="E73" i="22"/>
  <c r="T71" i="22"/>
  <c r="V71" i="22"/>
  <c r="G71" i="22"/>
  <c r="U71" i="22"/>
  <c r="H71" i="22"/>
  <c r="I71" i="22"/>
  <c r="F71" i="22"/>
  <c r="J71" i="22"/>
  <c r="S69" i="22"/>
  <c r="E69" i="22"/>
  <c r="T67" i="22"/>
  <c r="U67" i="22"/>
  <c r="J67" i="22"/>
  <c r="V67" i="22"/>
  <c r="F67" i="22"/>
  <c r="G67" i="22"/>
  <c r="I67" i="22"/>
  <c r="H67" i="22"/>
  <c r="S65" i="22"/>
  <c r="E65" i="22"/>
  <c r="T63" i="22"/>
  <c r="V63" i="22"/>
  <c r="U63" i="22"/>
  <c r="H63" i="22"/>
  <c r="J63" i="22"/>
  <c r="I63" i="22"/>
  <c r="G63" i="22"/>
  <c r="F63" i="22"/>
  <c r="S61" i="22"/>
  <c r="E61" i="22"/>
  <c r="I60" i="22"/>
  <c r="J60" i="22"/>
  <c r="U60" i="22"/>
  <c r="T60" i="22"/>
  <c r="H60" i="22"/>
  <c r="V60" i="22"/>
  <c r="F60" i="22"/>
  <c r="G60" i="22"/>
  <c r="E58" i="22"/>
  <c r="S58" i="22"/>
  <c r="U56" i="22"/>
  <c r="J56" i="22"/>
  <c r="H56" i="22"/>
  <c r="V56" i="22"/>
  <c r="T56" i="22"/>
  <c r="F56" i="22"/>
  <c r="I56" i="22"/>
  <c r="G56" i="22"/>
  <c r="S53" i="22"/>
  <c r="E53" i="22"/>
  <c r="V51" i="22"/>
  <c r="T51" i="22"/>
  <c r="U51" i="22"/>
  <c r="J51" i="22"/>
  <c r="F51" i="22"/>
  <c r="G51" i="22"/>
  <c r="I51" i="22"/>
  <c r="H51" i="22"/>
  <c r="E49" i="22"/>
  <c r="S49" i="22"/>
  <c r="T47" i="22"/>
  <c r="V47" i="22"/>
  <c r="U47" i="22"/>
  <c r="I47" i="22"/>
  <c r="J47" i="22"/>
  <c r="G47" i="22"/>
  <c r="H47" i="22"/>
  <c r="F47" i="22"/>
  <c r="S45" i="22"/>
  <c r="E45" i="22"/>
  <c r="T43" i="22"/>
  <c r="J43" i="22"/>
  <c r="U43" i="22"/>
  <c r="V43" i="22"/>
  <c r="H43" i="22"/>
  <c r="F43" i="22"/>
  <c r="I43" i="22"/>
  <c r="G43" i="22"/>
  <c r="S40" i="22"/>
  <c r="E40" i="22"/>
  <c r="T37" i="22"/>
  <c r="H37" i="22"/>
  <c r="U37" i="22"/>
  <c r="V37" i="22"/>
  <c r="G37" i="22"/>
  <c r="J37" i="22"/>
  <c r="F37" i="22"/>
  <c r="I37" i="22"/>
  <c r="S35" i="22"/>
  <c r="E35" i="22"/>
  <c r="U33" i="22"/>
  <c r="T33" i="22"/>
  <c r="J33" i="22"/>
  <c r="H33" i="22"/>
  <c r="V33" i="22"/>
  <c r="I33" i="22"/>
  <c r="F33" i="22"/>
  <c r="G33" i="22"/>
  <c r="S31" i="22"/>
  <c r="E31" i="22"/>
  <c r="V29" i="22"/>
  <c r="U29" i="22"/>
  <c r="T29" i="22"/>
  <c r="G29" i="22"/>
  <c r="H29" i="22"/>
  <c r="S27" i="22"/>
  <c r="E27" i="22"/>
  <c r="V25" i="22"/>
  <c r="U25" i="22"/>
  <c r="F25" i="22"/>
  <c r="I25" i="22"/>
  <c r="T25" i="22"/>
  <c r="J25" i="22"/>
  <c r="H25" i="22"/>
  <c r="G25" i="22"/>
  <c r="S23" i="22"/>
  <c r="E23" i="22"/>
  <c r="V21" i="22"/>
  <c r="T21" i="22"/>
  <c r="U21" i="22"/>
  <c r="G21" i="22"/>
  <c r="I21" i="22"/>
  <c r="H21" i="22"/>
  <c r="F21" i="22"/>
  <c r="S19" i="22"/>
  <c r="E19" i="22"/>
  <c r="U17" i="22"/>
  <c r="T17" i="22"/>
  <c r="I17" i="22"/>
  <c r="J17" i="22"/>
  <c r="H17" i="22"/>
  <c r="V17" i="22"/>
  <c r="G17" i="22"/>
  <c r="F17" i="22"/>
  <c r="S15" i="22"/>
  <c r="E15" i="22"/>
  <c r="T13" i="22"/>
  <c r="H13" i="22"/>
  <c r="V13" i="22"/>
  <c r="U13" i="22"/>
  <c r="J13" i="22"/>
  <c r="G13" i="22"/>
  <c r="I13" i="22"/>
  <c r="F13" i="22"/>
  <c r="S11" i="22"/>
  <c r="E11" i="22"/>
  <c r="V9" i="22"/>
  <c r="H9" i="22"/>
  <c r="U9" i="22"/>
  <c r="J9" i="22"/>
  <c r="I9" i="22"/>
  <c r="T9" i="22"/>
  <c r="F9" i="22"/>
  <c r="G9" i="22"/>
  <c r="S7" i="22"/>
  <c r="E7" i="22"/>
  <c r="J5" i="22"/>
  <c r="U5" i="22"/>
  <c r="F5" i="22"/>
  <c r="V5" i="22"/>
  <c r="I5" i="22"/>
  <c r="T5" i="22"/>
  <c r="H5" i="22"/>
  <c r="G5" i="22"/>
  <c r="S101" i="22"/>
  <c r="E101" i="22"/>
  <c r="T99" i="22"/>
  <c r="H99" i="22"/>
  <c r="V99" i="22"/>
  <c r="J99" i="22"/>
  <c r="U99" i="22"/>
  <c r="I99" i="22"/>
  <c r="G99" i="22"/>
  <c r="F99" i="22"/>
  <c r="E97" i="22"/>
  <c r="AW100" i="22" s="1"/>
  <c r="S97" i="22"/>
  <c r="V4" i="22"/>
  <c r="F4" i="22"/>
  <c r="I4" i="22"/>
  <c r="U4" i="22"/>
  <c r="T4" i="22"/>
  <c r="J4" i="22"/>
  <c r="H4" i="22"/>
  <c r="G4" i="22"/>
  <c r="K4" i="22"/>
  <c r="S92" i="22"/>
  <c r="E92" i="22"/>
  <c r="V86" i="22"/>
  <c r="U86" i="22"/>
  <c r="J86" i="22"/>
  <c r="I86" i="22"/>
  <c r="G86" i="22"/>
  <c r="T86" i="22"/>
  <c r="F86" i="22"/>
  <c r="H86" i="22"/>
  <c r="U74" i="22"/>
  <c r="T74" i="22"/>
  <c r="V74" i="22"/>
  <c r="F74" i="22"/>
  <c r="J74" i="22"/>
  <c r="I74" i="22"/>
  <c r="H74" i="22"/>
  <c r="G74" i="22"/>
  <c r="S68" i="22"/>
  <c r="E68" i="22"/>
  <c r="S64" i="22"/>
  <c r="E64" i="22"/>
  <c r="S41" i="22"/>
  <c r="E41" i="22"/>
  <c r="S57" i="22"/>
  <c r="E57" i="22"/>
  <c r="S52" i="22"/>
  <c r="E52" i="22"/>
  <c r="S44" i="22"/>
  <c r="E44" i="22"/>
  <c r="S30" i="22"/>
  <c r="E30" i="22"/>
  <c r="S26" i="22"/>
  <c r="E26" i="22"/>
  <c r="X8" i="22"/>
  <c r="I8" i="22"/>
  <c r="U8" i="22"/>
  <c r="J8" i="22"/>
  <c r="H8" i="22"/>
  <c r="F8" i="22"/>
  <c r="G8" i="22"/>
  <c r="S96" i="22"/>
  <c r="E96" i="22"/>
  <c r="S94" i="22"/>
  <c r="E94" i="22"/>
  <c r="T92" i="22"/>
  <c r="V92" i="22"/>
  <c r="U92" i="22"/>
  <c r="G92" i="22"/>
  <c r="I92" i="22"/>
  <c r="H92" i="22"/>
  <c r="F92" i="22"/>
  <c r="J92" i="22"/>
  <c r="S90" i="22"/>
  <c r="E90" i="22"/>
  <c r="V88" i="22"/>
  <c r="U88" i="22"/>
  <c r="H88" i="22"/>
  <c r="T88" i="22"/>
  <c r="I88" i="22"/>
  <c r="J88" i="22"/>
  <c r="G88" i="22"/>
  <c r="F88" i="22"/>
  <c r="S86" i="22"/>
  <c r="E86" i="22"/>
  <c r="T84" i="22"/>
  <c r="I84" i="22"/>
  <c r="U84" i="22"/>
  <c r="V84" i="22"/>
  <c r="G84" i="22"/>
  <c r="J84" i="22"/>
  <c r="F84" i="22"/>
  <c r="H84" i="22"/>
  <c r="E82" i="22"/>
  <c r="S82" i="22"/>
  <c r="V79" i="22"/>
  <c r="U79" i="22"/>
  <c r="H79" i="22"/>
  <c r="J79" i="22"/>
  <c r="I79" i="22"/>
  <c r="T79" i="22"/>
  <c r="G79" i="22"/>
  <c r="F79" i="22"/>
  <c r="S77" i="22"/>
  <c r="E77" i="22"/>
  <c r="U76" i="22"/>
  <c r="G76" i="22"/>
  <c r="H76" i="22"/>
  <c r="S74" i="22"/>
  <c r="E74" i="22"/>
  <c r="T72" i="22"/>
  <c r="U72" i="22"/>
  <c r="H72" i="22"/>
  <c r="V72" i="22"/>
  <c r="I72" i="22"/>
  <c r="F72" i="22"/>
  <c r="J72" i="22"/>
  <c r="G72" i="22"/>
  <c r="S70" i="22"/>
  <c r="E70" i="22"/>
  <c r="V68" i="22"/>
  <c r="U68" i="22"/>
  <c r="T68" i="22"/>
  <c r="G68" i="22"/>
  <c r="I68" i="22"/>
  <c r="H68" i="22"/>
  <c r="F68" i="22"/>
  <c r="S66" i="22"/>
  <c r="E66" i="22"/>
  <c r="U64" i="22"/>
  <c r="V64" i="22"/>
  <c r="I64" i="22"/>
  <c r="T64" i="22"/>
  <c r="J64" i="22"/>
  <c r="G64" i="22"/>
  <c r="H64" i="22"/>
  <c r="F64" i="22"/>
  <c r="S62" i="22"/>
  <c r="E62" i="22"/>
  <c r="V41" i="22"/>
  <c r="T41" i="22"/>
  <c r="I41" i="22"/>
  <c r="J41" i="22"/>
  <c r="H41" i="22"/>
  <c r="U41" i="22"/>
  <c r="F41" i="22"/>
  <c r="G41" i="22"/>
  <c r="S59" i="22"/>
  <c r="E59" i="22"/>
  <c r="V57" i="22"/>
  <c r="I57" i="22"/>
  <c r="T57" i="22"/>
  <c r="U57" i="22"/>
  <c r="H57" i="22"/>
  <c r="G57" i="22"/>
  <c r="J57" i="22"/>
  <c r="F57" i="22"/>
  <c r="S54" i="22"/>
  <c r="E54" i="22"/>
  <c r="U52" i="22"/>
  <c r="G52" i="22"/>
  <c r="I52" i="22"/>
  <c r="H52" i="22"/>
  <c r="F52" i="22"/>
  <c r="S50" i="22"/>
  <c r="E50" i="22"/>
  <c r="S46" i="22"/>
  <c r="E46" i="22"/>
  <c r="U44" i="22"/>
  <c r="V44" i="22"/>
  <c r="T44" i="22"/>
  <c r="H44" i="22"/>
  <c r="I44" i="22"/>
  <c r="G44" i="22"/>
  <c r="F44" i="22"/>
  <c r="J44" i="22"/>
  <c r="S42" i="22"/>
  <c r="E42" i="22"/>
  <c r="U39" i="22"/>
  <c r="G39" i="22"/>
  <c r="V39" i="22"/>
  <c r="T39" i="22"/>
  <c r="J39" i="22"/>
  <c r="F39" i="22"/>
  <c r="H39" i="22"/>
  <c r="I39" i="22"/>
  <c r="E36" i="22"/>
  <c r="S36" i="22"/>
  <c r="V34" i="22"/>
  <c r="T34" i="22"/>
  <c r="I34" i="22"/>
  <c r="G34" i="22"/>
  <c r="U34" i="22"/>
  <c r="F34" i="22"/>
  <c r="J34" i="22"/>
  <c r="H34" i="22"/>
  <c r="S32" i="22"/>
  <c r="E32" i="22"/>
  <c r="X30" i="22"/>
  <c r="I30" i="22"/>
  <c r="G30" i="22"/>
  <c r="V30" i="22"/>
  <c r="U30" i="22"/>
  <c r="H30" i="22"/>
  <c r="J30" i="22"/>
  <c r="T30" i="22"/>
  <c r="F30" i="22"/>
  <c r="S28" i="22"/>
  <c r="E28" i="22"/>
  <c r="U26" i="22"/>
  <c r="T26" i="22"/>
  <c r="J26" i="22"/>
  <c r="V26" i="22"/>
  <c r="I26" i="22"/>
  <c r="H26" i="22"/>
  <c r="G26" i="22"/>
  <c r="F26" i="22"/>
  <c r="S24" i="22"/>
  <c r="E24" i="22"/>
  <c r="U22" i="22"/>
  <c r="H22" i="22"/>
  <c r="F22" i="22"/>
  <c r="J22" i="22"/>
  <c r="I22" i="22"/>
  <c r="G22" i="22"/>
  <c r="E20" i="22"/>
  <c r="S20" i="22"/>
  <c r="G18" i="22"/>
  <c r="U18" i="22"/>
  <c r="I18" i="22"/>
  <c r="F18" i="22"/>
  <c r="H18" i="22"/>
  <c r="S16" i="22"/>
  <c r="E16" i="22"/>
  <c r="V14" i="22"/>
  <c r="G14" i="22"/>
  <c r="T14" i="22"/>
  <c r="U14" i="22"/>
  <c r="H14" i="22"/>
  <c r="S12" i="22"/>
  <c r="E12" i="22"/>
  <c r="U10" i="22"/>
  <c r="T10" i="22"/>
  <c r="J10" i="22"/>
  <c r="I10" i="22"/>
  <c r="V10" i="22"/>
  <c r="H10" i="22"/>
  <c r="G10" i="22"/>
  <c r="F10" i="22"/>
  <c r="S8" i="22"/>
  <c r="E8" i="22"/>
  <c r="T6" i="22"/>
  <c r="I6" i="22"/>
  <c r="V6" i="22"/>
  <c r="U6" i="22"/>
  <c r="G6" i="22"/>
  <c r="F6" i="22"/>
  <c r="J6" i="22"/>
  <c r="H6" i="22"/>
  <c r="S102" i="22"/>
  <c r="E102" i="22"/>
  <c r="U100" i="22"/>
  <c r="V100" i="22"/>
  <c r="I100" i="22"/>
  <c r="T100" i="22"/>
  <c r="J100" i="22"/>
  <c r="H100" i="22"/>
  <c r="G100" i="22"/>
  <c r="F100" i="22"/>
  <c r="S98" i="22"/>
  <c r="E98" i="22"/>
  <c r="U96" i="22"/>
  <c r="G96" i="22"/>
  <c r="H96" i="22"/>
  <c r="U90" i="22"/>
  <c r="T90" i="22"/>
  <c r="V90" i="22"/>
  <c r="G90" i="22"/>
  <c r="I90" i="22"/>
  <c r="H90" i="22"/>
  <c r="F90" i="22"/>
  <c r="V82" i="22"/>
  <c r="T82" i="22"/>
  <c r="U82" i="22"/>
  <c r="G82" i="22"/>
  <c r="I82" i="22"/>
  <c r="H82" i="22"/>
  <c r="F82" i="22"/>
  <c r="S79" i="22"/>
  <c r="E79" i="22"/>
  <c r="E72" i="22"/>
  <c r="S72" i="22"/>
  <c r="T62" i="22"/>
  <c r="J62" i="22"/>
  <c r="I62" i="22"/>
  <c r="G62" i="22"/>
  <c r="H62" i="22"/>
  <c r="V62" i="22"/>
  <c r="U62" i="22"/>
  <c r="F62" i="22"/>
  <c r="U59" i="22"/>
  <c r="J59" i="22"/>
  <c r="V59" i="22"/>
  <c r="T59" i="22"/>
  <c r="H59" i="22"/>
  <c r="I59" i="22"/>
  <c r="F59" i="22"/>
  <c r="G59" i="22"/>
  <c r="S39" i="22"/>
  <c r="E39" i="22"/>
  <c r="S34" i="22"/>
  <c r="E34" i="22"/>
  <c r="E22" i="22"/>
  <c r="S22" i="22"/>
  <c r="S18" i="22"/>
  <c r="E18" i="22"/>
  <c r="S14" i="22"/>
  <c r="E14" i="22"/>
  <c r="S10" i="22"/>
  <c r="E10" i="22"/>
  <c r="S6" i="22"/>
  <c r="E6" i="22"/>
  <c r="S100" i="22"/>
  <c r="E100" i="22"/>
  <c r="S4" i="22"/>
  <c r="E4" i="22"/>
  <c r="S95" i="22"/>
  <c r="E95" i="22"/>
  <c r="V93" i="22"/>
  <c r="T93" i="22"/>
  <c r="J93" i="22"/>
  <c r="U93" i="22"/>
  <c r="H93" i="22"/>
  <c r="G93" i="22"/>
  <c r="I93" i="22"/>
  <c r="F93" i="22"/>
  <c r="S91" i="22"/>
  <c r="E91" i="22"/>
  <c r="V89" i="22"/>
  <c r="U89" i="22"/>
  <c r="I89" i="22"/>
  <c r="T89" i="22"/>
  <c r="F89" i="22"/>
  <c r="J89" i="22"/>
  <c r="G89" i="22"/>
  <c r="H89" i="22"/>
  <c r="S87" i="22"/>
  <c r="E87" i="22"/>
  <c r="F85" i="22"/>
  <c r="I85" i="22"/>
  <c r="T85" i="22"/>
  <c r="V85" i="22"/>
  <c r="U85" i="22"/>
  <c r="J85" i="22"/>
  <c r="H85" i="22"/>
  <c r="G85" i="22"/>
  <c r="S83" i="22"/>
  <c r="E83" i="22"/>
  <c r="U81" i="22"/>
  <c r="I81" i="22"/>
  <c r="T81" i="22"/>
  <c r="V81" i="22"/>
  <c r="J81" i="22"/>
  <c r="F81" i="22"/>
  <c r="H81" i="22"/>
  <c r="G81" i="22"/>
  <c r="S78" i="22"/>
  <c r="E78" i="22"/>
  <c r="S75" i="22"/>
  <c r="E75" i="22"/>
  <c r="T73" i="22"/>
  <c r="V73" i="22"/>
  <c r="U73" i="22"/>
  <c r="J73" i="22"/>
  <c r="I73" i="22"/>
  <c r="G73" i="22"/>
  <c r="F73" i="22"/>
  <c r="H73" i="22"/>
  <c r="S71" i="22"/>
  <c r="E71" i="22"/>
  <c r="V69" i="22"/>
  <c r="U69" i="22"/>
  <c r="T69" i="22"/>
  <c r="G69" i="22"/>
  <c r="I69" i="22"/>
  <c r="H69" i="22"/>
  <c r="F69" i="22"/>
  <c r="S67" i="22"/>
  <c r="E67" i="22"/>
  <c r="U65" i="22"/>
  <c r="J65" i="22"/>
  <c r="F65" i="22"/>
  <c r="I65" i="22"/>
  <c r="T65" i="22"/>
  <c r="V65" i="22"/>
  <c r="G65" i="22"/>
  <c r="H65" i="22"/>
  <c r="S63" i="22"/>
  <c r="E63" i="22"/>
  <c r="AW150" i="22" s="1"/>
  <c r="U61" i="22"/>
  <c r="G61" i="22"/>
  <c r="I61" i="22"/>
  <c r="H61" i="22"/>
  <c r="F61" i="22"/>
  <c r="S60" i="22"/>
  <c r="E60" i="22"/>
  <c r="U58" i="22"/>
  <c r="J58" i="22"/>
  <c r="T58" i="22"/>
  <c r="V58" i="22"/>
  <c r="I58" i="22"/>
  <c r="G58" i="22"/>
  <c r="F58" i="22"/>
  <c r="H58" i="22"/>
  <c r="S56" i="22"/>
  <c r="E56" i="22"/>
  <c r="U53" i="22"/>
  <c r="J53" i="22"/>
  <c r="H53" i="22"/>
  <c r="V53" i="22"/>
  <c r="T53" i="22"/>
  <c r="I53" i="22"/>
  <c r="F53" i="22"/>
  <c r="G53" i="22"/>
  <c r="S51" i="22"/>
  <c r="E51" i="22"/>
  <c r="U49" i="22"/>
  <c r="T49" i="22"/>
  <c r="H49" i="22"/>
  <c r="V49" i="22"/>
  <c r="I49" i="22"/>
  <c r="J49" i="22"/>
  <c r="F49" i="22"/>
  <c r="G49" i="22"/>
  <c r="S47" i="22"/>
  <c r="E47" i="22"/>
  <c r="V45" i="22"/>
  <c r="U45" i="22"/>
  <c r="J45" i="22"/>
  <c r="F45" i="22"/>
  <c r="I45" i="22"/>
  <c r="T45" i="22"/>
  <c r="G45" i="22"/>
  <c r="H45" i="22"/>
  <c r="S43" i="22"/>
  <c r="E43" i="22"/>
  <c r="J40" i="22"/>
  <c r="V40" i="22"/>
  <c r="I40" i="22"/>
  <c r="U40" i="22"/>
  <c r="T40" i="22"/>
  <c r="H40" i="22"/>
  <c r="G40" i="22"/>
  <c r="F40" i="22"/>
  <c r="S37" i="22"/>
  <c r="E37" i="22"/>
  <c r="V35" i="22"/>
  <c r="T35" i="22"/>
  <c r="U35" i="22"/>
  <c r="G35" i="22"/>
  <c r="H35" i="22"/>
  <c r="E33" i="22"/>
  <c r="S33" i="22"/>
  <c r="T31" i="22"/>
  <c r="V31" i="22"/>
  <c r="U31" i="22"/>
  <c r="H31" i="22"/>
  <c r="J31" i="22"/>
  <c r="I31" i="22"/>
  <c r="F31" i="22"/>
  <c r="G31" i="22"/>
  <c r="S29" i="22"/>
  <c r="E29" i="22"/>
  <c r="V27" i="22"/>
  <c r="T27" i="22"/>
  <c r="J27" i="22"/>
  <c r="U27" i="22"/>
  <c r="G27" i="22"/>
  <c r="H27" i="22"/>
  <c r="I27" i="22"/>
  <c r="F27" i="22"/>
  <c r="S25" i="22"/>
  <c r="E25" i="22"/>
  <c r="T23" i="22"/>
  <c r="J23" i="22"/>
  <c r="G23" i="22"/>
  <c r="U23" i="22"/>
  <c r="V23" i="22"/>
  <c r="H23" i="22"/>
  <c r="I23" i="22"/>
  <c r="F23" i="22"/>
  <c r="S21" i="22"/>
  <c r="E21" i="22"/>
  <c r="U19" i="22"/>
  <c r="G19" i="22"/>
  <c r="H19" i="22"/>
  <c r="E17" i="22"/>
  <c r="S17" i="22"/>
  <c r="U15" i="22"/>
  <c r="G15" i="22"/>
  <c r="H15" i="22"/>
  <c r="S13" i="22"/>
  <c r="E13" i="22"/>
  <c r="V11" i="22"/>
  <c r="T11" i="22"/>
  <c r="U11" i="22"/>
  <c r="G11" i="22"/>
  <c r="F11" i="22"/>
  <c r="J11" i="22"/>
  <c r="I11" i="22"/>
  <c r="H11" i="22"/>
  <c r="S9" i="22"/>
  <c r="E9" i="22"/>
  <c r="T7" i="22"/>
  <c r="V7" i="22"/>
  <c r="G7" i="22"/>
  <c r="U7" i="22"/>
  <c r="J7" i="22"/>
  <c r="H7" i="22"/>
  <c r="F7" i="22"/>
  <c r="I7" i="22"/>
  <c r="S5" i="22"/>
  <c r="E5" i="22"/>
  <c r="U101" i="22"/>
  <c r="G101" i="22"/>
  <c r="H101" i="22"/>
  <c r="S99" i="22"/>
  <c r="E99" i="22"/>
  <c r="U97" i="22"/>
  <c r="I97" i="22"/>
  <c r="J97" i="22"/>
  <c r="H97" i="22"/>
  <c r="G97" i="22"/>
  <c r="F97" i="22"/>
  <c r="U48" i="22"/>
  <c r="V48" i="22"/>
  <c r="S48" i="22"/>
  <c r="I48" i="22"/>
  <c r="T48" i="22"/>
  <c r="J48" i="22"/>
  <c r="H48" i="22"/>
  <c r="E48" i="22"/>
  <c r="G48" i="22"/>
  <c r="F48" i="22"/>
  <c r="X82" i="22"/>
  <c r="X70" i="22"/>
  <c r="X62" i="22"/>
  <c r="X54" i="22"/>
  <c r="X46" i="22"/>
  <c r="X36" i="22"/>
  <c r="X12" i="22"/>
  <c r="X78" i="22"/>
  <c r="X75" i="22"/>
  <c r="X67" i="22"/>
  <c r="X60" i="22"/>
  <c r="X51" i="22"/>
  <c r="X43" i="22"/>
  <c r="X25" i="22"/>
  <c r="X17" i="22"/>
  <c r="X9" i="22"/>
  <c r="X99" i="22"/>
  <c r="X93" i="22"/>
  <c r="X92" i="22"/>
  <c r="X84" i="22"/>
  <c r="X72" i="22"/>
  <c r="X64" i="22"/>
  <c r="X57" i="22"/>
  <c r="X48" i="22"/>
  <c r="X39" i="22"/>
  <c r="X89" i="22"/>
  <c r="X81" i="22"/>
  <c r="X69" i="22"/>
  <c r="X61" i="22"/>
  <c r="X53" i="22"/>
  <c r="X45" i="22"/>
  <c r="X35" i="22"/>
  <c r="X27" i="22"/>
  <c r="X19" i="22"/>
  <c r="X11" i="22"/>
  <c r="X101" i="22"/>
  <c r="X95" i="22"/>
  <c r="AW104" i="22"/>
  <c r="AW73" i="22"/>
  <c r="X86" i="22"/>
  <c r="X77" i="22"/>
  <c r="X74" i="22"/>
  <c r="X66" i="22"/>
  <c r="X59" i="22"/>
  <c r="X50" i="22"/>
  <c r="X42" i="22"/>
  <c r="X16" i="22"/>
  <c r="X98" i="22"/>
  <c r="X24" i="22"/>
  <c r="AK18" i="22"/>
  <c r="AL35" i="22"/>
  <c r="AK35" i="22"/>
  <c r="X91" i="22"/>
  <c r="X83" i="22"/>
  <c r="X71" i="22"/>
  <c r="X63" i="22"/>
  <c r="X56" i="22"/>
  <c r="X37" i="22"/>
  <c r="X21" i="22"/>
  <c r="X13" i="22"/>
  <c r="X5" i="22"/>
  <c r="X94" i="22"/>
  <c r="X88" i="22"/>
  <c r="X79" i="22"/>
  <c r="X68" i="22"/>
  <c r="X41" i="22"/>
  <c r="X52" i="22"/>
  <c r="X44" i="22"/>
  <c r="X26" i="22"/>
  <c r="X10" i="22"/>
  <c r="X100" i="22"/>
  <c r="X85" i="22"/>
  <c r="X73" i="22"/>
  <c r="X65" i="22"/>
  <c r="X58" i="22"/>
  <c r="X49" i="22"/>
  <c r="X40" i="22"/>
  <c r="X31" i="22"/>
  <c r="X23" i="22"/>
  <c r="X7" i="22"/>
  <c r="X97" i="22"/>
  <c r="AC65" i="53"/>
  <c r="O65" i="53"/>
  <c r="N65" i="53"/>
  <c r="AA63" i="53"/>
  <c r="AW151" i="22"/>
  <c r="AW80" i="22"/>
  <c r="AW134" i="22"/>
  <c r="AF63" i="53"/>
  <c r="AE64" i="53"/>
  <c r="R64" i="53"/>
  <c r="X64" i="53" s="1"/>
  <c r="AB64" i="53" s="1"/>
  <c r="AW19" i="22"/>
  <c r="AW99" i="22"/>
  <c r="AK34" i="22"/>
  <c r="AW71" i="22"/>
  <c r="AW70" i="22"/>
  <c r="AW66" i="22"/>
  <c r="AW62" i="22"/>
  <c r="AW69" i="22"/>
  <c r="AW65" i="22"/>
  <c r="AW72" i="22"/>
  <c r="AW68" i="22"/>
  <c r="AW64" i="22"/>
  <c r="AW67" i="22"/>
  <c r="AW63" i="22"/>
  <c r="BG24" i="22"/>
  <c r="AW24" i="22"/>
  <c r="D16" i="22"/>
  <c r="AW103" i="22"/>
  <c r="AG64" i="53"/>
  <c r="Q64" i="53"/>
  <c r="AT64" i="53"/>
  <c r="I65" i="53"/>
  <c r="AD64" i="53"/>
  <c r="AK64" i="52" a="1"/>
  <c r="AK64" i="52" s="1"/>
  <c r="B66" i="53" s="1"/>
  <c r="J65" i="53"/>
  <c r="E65" i="53"/>
  <c r="H65" i="53"/>
  <c r="G65" i="53"/>
  <c r="P65" i="53"/>
  <c r="D65" i="53"/>
  <c r="C65" i="53"/>
  <c r="K65" i="53"/>
  <c r="AH65" i="53" s="1"/>
  <c r="L65" i="53"/>
  <c r="F65" i="53"/>
  <c r="AW139" i="22"/>
  <c r="AW102" i="22"/>
  <c r="AW101" i="22"/>
  <c r="AK16" i="22"/>
  <c r="AK33" i="22"/>
  <c r="AK30" i="22"/>
  <c r="AK32" i="22"/>
  <c r="AK29" i="22"/>
  <c r="AK31" i="22"/>
  <c r="K100" i="22"/>
  <c r="K102" i="22"/>
  <c r="AW21" i="22"/>
  <c r="BG21" i="22"/>
  <c r="BG23" i="22"/>
  <c r="BG22" i="22"/>
  <c r="AW147" i="22"/>
  <c r="AW146" i="22"/>
  <c r="AW23" i="22"/>
  <c r="AW148" i="22"/>
  <c r="AW144" i="22"/>
  <c r="AW22" i="22"/>
  <c r="AW140" i="22"/>
  <c r="AW145" i="22"/>
  <c r="AW143" i="22"/>
  <c r="AW141" i="22"/>
  <c r="AW142" i="22"/>
  <c r="AW20" i="22"/>
  <c r="AK12" i="22"/>
  <c r="AK13" i="22"/>
  <c r="AK14" i="22"/>
  <c r="AK15" i="22"/>
  <c r="K99" i="22"/>
  <c r="W97" i="22"/>
  <c r="K97" i="22"/>
  <c r="W101" i="22"/>
  <c r="K101" i="22"/>
  <c r="W99" i="22"/>
  <c r="W102" i="22"/>
  <c r="W98" i="22"/>
  <c r="K98" i="22"/>
  <c r="W96" i="22"/>
  <c r="K96" i="22"/>
  <c r="W100" i="22"/>
  <c r="Q4" i="29"/>
  <c r="E6" i="28" s="1"/>
  <c r="Q5" i="29"/>
  <c r="E7" i="28" s="1"/>
  <c r="Q6" i="29"/>
  <c r="E8" i="28" s="1"/>
  <c r="Q7" i="29"/>
  <c r="E9" i="28" s="1"/>
  <c r="Q8" i="29"/>
  <c r="E10" i="28" s="1"/>
  <c r="Q9" i="29"/>
  <c r="E11" i="28" s="1"/>
  <c r="Q10" i="29"/>
  <c r="E12" i="28" s="1"/>
  <c r="Q11" i="29"/>
  <c r="E13" i="28" s="1"/>
  <c r="Q12" i="29"/>
  <c r="E14" i="28" s="1"/>
  <c r="Q13" i="29"/>
  <c r="E15" i="28" s="1"/>
  <c r="Q14" i="29"/>
  <c r="E16" i="28" s="1"/>
  <c r="Q15" i="29"/>
  <c r="E17" i="28" s="1"/>
  <c r="Q16" i="29"/>
  <c r="E18" i="28" s="1"/>
  <c r="Q17" i="29"/>
  <c r="E19" i="28" s="1"/>
  <c r="Q18" i="29"/>
  <c r="E20" i="28" s="1"/>
  <c r="Q19" i="29"/>
  <c r="E21" i="28" s="1"/>
  <c r="Q20" i="29"/>
  <c r="E22" i="28" s="1"/>
  <c r="Q21" i="29"/>
  <c r="E23" i="28" s="1"/>
  <c r="Q22" i="29"/>
  <c r="E24" i="28" s="1"/>
  <c r="Q23" i="29"/>
  <c r="E25" i="28" s="1"/>
  <c r="Q24" i="29"/>
  <c r="E26" i="28" s="1"/>
  <c r="Q25" i="29"/>
  <c r="E27" i="28" s="1"/>
  <c r="Q26" i="29"/>
  <c r="E28" i="28" s="1"/>
  <c r="Q27" i="29"/>
  <c r="E29" i="28" s="1"/>
  <c r="Q28" i="29"/>
  <c r="E30" i="28" s="1"/>
  <c r="Q29" i="29"/>
  <c r="E31" i="28" s="1"/>
  <c r="Q30" i="29"/>
  <c r="E32" i="28" s="1"/>
  <c r="Q31" i="29"/>
  <c r="E34" i="28" s="1"/>
  <c r="Q32" i="29"/>
  <c r="E35" i="28" s="1"/>
  <c r="Q33" i="29"/>
  <c r="E36" i="28" s="1"/>
  <c r="Q34" i="29"/>
  <c r="E37" i="28" s="1"/>
  <c r="Q35" i="29"/>
  <c r="E38" i="28" s="1"/>
  <c r="Q36" i="29"/>
  <c r="E39" i="28" s="1"/>
  <c r="Q38" i="29"/>
  <c r="E40" i="28" s="1"/>
  <c r="Q39" i="29"/>
  <c r="E53" i="28" s="1"/>
  <c r="Q41" i="29"/>
  <c r="E55" i="28" s="1"/>
  <c r="Q42" i="29"/>
  <c r="E56" i="28" s="1"/>
  <c r="Q43" i="29"/>
  <c r="E57" i="28" s="1"/>
  <c r="Q44" i="29"/>
  <c r="E58" i="28" s="1"/>
  <c r="Q45" i="29"/>
  <c r="E59" i="28" s="1"/>
  <c r="Q46" i="29"/>
  <c r="E61" i="28" s="1"/>
  <c r="Q47" i="29"/>
  <c r="E60" i="28" s="1"/>
  <c r="Q48" i="29"/>
  <c r="E62" i="28" s="1"/>
  <c r="Q49" i="29"/>
  <c r="E63" i="28" s="1"/>
  <c r="Q50" i="29"/>
  <c r="E72" i="28" s="1"/>
  <c r="Q51" i="29"/>
  <c r="E73" i="28" s="1"/>
  <c r="Q52" i="29"/>
  <c r="E74" i="28" s="1"/>
  <c r="Q53" i="29"/>
  <c r="E79" i="28" s="1"/>
  <c r="Q55" i="29"/>
  <c r="E75" i="28" s="1"/>
  <c r="Q56" i="29"/>
  <c r="E76" i="28" s="1"/>
  <c r="Q57" i="29"/>
  <c r="E77" i="28" s="1"/>
  <c r="Q58" i="29"/>
  <c r="E78" i="28" s="1"/>
  <c r="Q59" i="29"/>
  <c r="E83" i="28" s="1"/>
  <c r="Q40" i="29"/>
  <c r="E54" i="28" s="1"/>
  <c r="Q60" i="29"/>
  <c r="E84" i="28" s="1"/>
  <c r="Q61" i="29"/>
  <c r="E85" i="28" s="1"/>
  <c r="Q62" i="29"/>
  <c r="E86" i="28" s="1"/>
  <c r="Q63" i="29"/>
  <c r="E87" i="28" s="1"/>
  <c r="Q64" i="29"/>
  <c r="E88" i="28" s="1"/>
  <c r="Q65" i="29"/>
  <c r="E89" i="28" s="1"/>
  <c r="Q66" i="29"/>
  <c r="E90" i="28" s="1"/>
  <c r="Q67" i="29"/>
  <c r="E91" i="28" s="1"/>
  <c r="Q68" i="29"/>
  <c r="E92" i="28" s="1"/>
  <c r="Q69" i="29"/>
  <c r="E93" i="28" s="1"/>
  <c r="Q70" i="29"/>
  <c r="E94" i="28" s="1"/>
  <c r="Q71" i="29"/>
  <c r="E95" i="28" s="1"/>
  <c r="Q72" i="29"/>
  <c r="E96" i="28" s="1"/>
  <c r="Q73" i="29"/>
  <c r="E97" i="28" s="1"/>
  <c r="Q74" i="29"/>
  <c r="E98" i="28" s="1"/>
  <c r="Q80" i="29"/>
  <c r="E99" i="28" s="1"/>
  <c r="Q75" i="29"/>
  <c r="E100" i="28" s="1"/>
  <c r="Q76" i="29"/>
  <c r="E101" i="28" s="1"/>
  <c r="Q77" i="29"/>
  <c r="E81" i="28" s="1"/>
  <c r="Q79" i="29"/>
  <c r="E102" i="28" s="1"/>
  <c r="Q82" i="29"/>
  <c r="E103" i="28" s="1"/>
  <c r="Q83" i="29"/>
  <c r="E104" i="28" s="1"/>
  <c r="Q84" i="29"/>
  <c r="E105" i="28" s="1"/>
  <c r="Q85" i="29"/>
  <c r="E106" i="28" s="1"/>
  <c r="Q86" i="29"/>
  <c r="E107" i="28" s="1"/>
  <c r="Q87" i="29"/>
  <c r="E108" i="28" s="1"/>
  <c r="Q88" i="29"/>
  <c r="E109" i="28" s="1"/>
  <c r="Q89" i="29"/>
  <c r="E110" i="28" s="1"/>
  <c r="Q90" i="29"/>
  <c r="E111" i="28" s="1"/>
  <c r="Q91" i="29"/>
  <c r="E112" i="28" s="1"/>
  <c r="Q92" i="29"/>
  <c r="E113" i="28" s="1"/>
  <c r="Q93" i="29"/>
  <c r="E114" i="28" s="1"/>
  <c r="Q94" i="29"/>
  <c r="E115" i="28" s="1"/>
  <c r="Q95" i="29"/>
  <c r="E116" i="28" s="1"/>
  <c r="Q96" i="29"/>
  <c r="E117" i="28" s="1"/>
  <c r="Q97" i="29"/>
  <c r="E118" i="28" s="1"/>
  <c r="Q98" i="29"/>
  <c r="E119" i="28" s="1"/>
  <c r="Q99" i="29"/>
  <c r="E120" i="28" s="1"/>
  <c r="Q100" i="29"/>
  <c r="E121" i="28" s="1"/>
  <c r="Q101" i="29"/>
  <c r="E122" i="28" s="1"/>
  <c r="Q102" i="29"/>
  <c r="E123" i="28" s="1"/>
  <c r="Q3" i="29"/>
  <c r="O4" i="29"/>
  <c r="C6" i="28" s="1"/>
  <c r="O5" i="29"/>
  <c r="C7" i="28" s="1"/>
  <c r="O6" i="29"/>
  <c r="C8" i="28" s="1"/>
  <c r="O7" i="29"/>
  <c r="O8" i="29"/>
  <c r="C10" i="28" s="1"/>
  <c r="O9" i="29"/>
  <c r="C11" i="28" s="1"/>
  <c r="O10" i="29"/>
  <c r="C12" i="28" s="1"/>
  <c r="O11" i="29"/>
  <c r="C13" i="28" s="1"/>
  <c r="O12" i="29"/>
  <c r="C14" i="28" s="1"/>
  <c r="O13" i="29"/>
  <c r="C15" i="28" s="1"/>
  <c r="O14" i="29"/>
  <c r="C16" i="28" s="1"/>
  <c r="O15" i="29"/>
  <c r="C17" i="28" s="1"/>
  <c r="O16" i="29"/>
  <c r="O17" i="29"/>
  <c r="C19" i="28" s="1"/>
  <c r="O18" i="29"/>
  <c r="C20" i="28" s="1"/>
  <c r="O19" i="29"/>
  <c r="C21" i="28" s="1"/>
  <c r="O20" i="29"/>
  <c r="C22" i="28" s="1"/>
  <c r="O21" i="29"/>
  <c r="C23" i="28" s="1"/>
  <c r="O22" i="29"/>
  <c r="C24" i="28" s="1"/>
  <c r="O23" i="29"/>
  <c r="C25" i="28" s="1"/>
  <c r="O24" i="29"/>
  <c r="C26" i="28" s="1"/>
  <c r="O25" i="29"/>
  <c r="C27" i="28" s="1"/>
  <c r="O26" i="29"/>
  <c r="C28" i="28" s="1"/>
  <c r="O27" i="29"/>
  <c r="C29" i="28" s="1"/>
  <c r="O28" i="29"/>
  <c r="C30" i="28" s="1"/>
  <c r="O29" i="29"/>
  <c r="C31" i="28" s="1"/>
  <c r="O30" i="29"/>
  <c r="C32" i="28" s="1"/>
  <c r="O31" i="29"/>
  <c r="C34" i="28" s="1"/>
  <c r="O32" i="29"/>
  <c r="C35" i="28" s="1"/>
  <c r="O33" i="29"/>
  <c r="C36" i="28" s="1"/>
  <c r="O34" i="29"/>
  <c r="C37" i="28" s="1"/>
  <c r="O35" i="29"/>
  <c r="C38" i="28" s="1"/>
  <c r="O36" i="29"/>
  <c r="C39" i="28" s="1"/>
  <c r="O38" i="29"/>
  <c r="C40" i="28" s="1"/>
  <c r="O39" i="29"/>
  <c r="C53" i="28" s="1"/>
  <c r="O41" i="29"/>
  <c r="C55" i="28" s="1"/>
  <c r="O42" i="29"/>
  <c r="C56" i="28" s="1"/>
  <c r="O43" i="29"/>
  <c r="C57" i="28" s="1"/>
  <c r="O44" i="29"/>
  <c r="C58" i="28" s="1"/>
  <c r="O45" i="29"/>
  <c r="C59" i="28" s="1"/>
  <c r="O46" i="29"/>
  <c r="C61" i="28" s="1"/>
  <c r="O47" i="29"/>
  <c r="C60" i="28" s="1"/>
  <c r="O48" i="29"/>
  <c r="C62" i="28" s="1"/>
  <c r="O49" i="29"/>
  <c r="C63" i="28" s="1"/>
  <c r="O50" i="29"/>
  <c r="C72" i="28" s="1"/>
  <c r="O51" i="29"/>
  <c r="C73" i="28" s="1"/>
  <c r="O52" i="29"/>
  <c r="C74" i="28" s="1"/>
  <c r="O53" i="29"/>
  <c r="C79" i="28" s="1"/>
  <c r="O55" i="29"/>
  <c r="C75" i="28" s="1"/>
  <c r="O56" i="29"/>
  <c r="C76" i="28" s="1"/>
  <c r="O57" i="29"/>
  <c r="C77" i="28" s="1"/>
  <c r="O58" i="29"/>
  <c r="C78" i="28" s="1"/>
  <c r="O59" i="29"/>
  <c r="C83" i="28" s="1"/>
  <c r="O40" i="29"/>
  <c r="C54" i="28" s="1"/>
  <c r="O60" i="29"/>
  <c r="C84" i="28" s="1"/>
  <c r="O61" i="29"/>
  <c r="C85" i="28" s="1"/>
  <c r="O62" i="29"/>
  <c r="C86" i="28" s="1"/>
  <c r="O63" i="29"/>
  <c r="C87" i="28" s="1"/>
  <c r="O64" i="29"/>
  <c r="C88" i="28" s="1"/>
  <c r="O65" i="29"/>
  <c r="C89" i="28" s="1"/>
  <c r="O66" i="29"/>
  <c r="C90" i="28" s="1"/>
  <c r="O67" i="29"/>
  <c r="C91" i="28" s="1"/>
  <c r="O68" i="29"/>
  <c r="C92" i="28" s="1"/>
  <c r="O69" i="29"/>
  <c r="C93" i="28" s="1"/>
  <c r="O70" i="29"/>
  <c r="C94" i="28" s="1"/>
  <c r="O71" i="29"/>
  <c r="C95" i="28" s="1"/>
  <c r="O72" i="29"/>
  <c r="C96" i="28" s="1"/>
  <c r="O73" i="29"/>
  <c r="C97" i="28" s="1"/>
  <c r="O74" i="29"/>
  <c r="C98" i="28" s="1"/>
  <c r="O80" i="29"/>
  <c r="C99" i="28" s="1"/>
  <c r="O75" i="29"/>
  <c r="C100" i="28" s="1"/>
  <c r="O76" i="29"/>
  <c r="C101" i="28" s="1"/>
  <c r="O77" i="29"/>
  <c r="C81" i="28" s="1"/>
  <c r="O79" i="29"/>
  <c r="C102" i="28" s="1"/>
  <c r="O82" i="29"/>
  <c r="C103" i="28" s="1"/>
  <c r="O83" i="29"/>
  <c r="C104" i="28" s="1"/>
  <c r="O84" i="29"/>
  <c r="C105" i="28" s="1"/>
  <c r="O85" i="29"/>
  <c r="C106" i="28" s="1"/>
  <c r="O86" i="29"/>
  <c r="C107" i="28" s="1"/>
  <c r="O87" i="29"/>
  <c r="C108" i="28" s="1"/>
  <c r="O88" i="29"/>
  <c r="C109" i="28" s="1"/>
  <c r="O89" i="29"/>
  <c r="C110" i="28" s="1"/>
  <c r="O90" i="29"/>
  <c r="C111" i="28" s="1"/>
  <c r="O91" i="29"/>
  <c r="C112" i="28" s="1"/>
  <c r="O92" i="29"/>
  <c r="C113" i="28" s="1"/>
  <c r="O93" i="29"/>
  <c r="C114" i="28" s="1"/>
  <c r="O94" i="29"/>
  <c r="C115" i="28" s="1"/>
  <c r="O95" i="29"/>
  <c r="C116" i="28" s="1"/>
  <c r="O96" i="29"/>
  <c r="C117" i="28" s="1"/>
  <c r="O97" i="29"/>
  <c r="C118" i="28" s="1"/>
  <c r="O98" i="29"/>
  <c r="C119" i="28" s="1"/>
  <c r="O99" i="29"/>
  <c r="C120" i="28" s="1"/>
  <c r="O100" i="29"/>
  <c r="C121" i="28" s="1"/>
  <c r="O101" i="29"/>
  <c r="C122" i="28" s="1"/>
  <c r="O102" i="29"/>
  <c r="C123" i="28" s="1"/>
  <c r="O3" i="29"/>
  <c r="C6" i="33"/>
  <c r="C7"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C34" i="33"/>
  <c r="C35" i="33"/>
  <c r="C36" i="33"/>
  <c r="C37" i="33"/>
  <c r="C38" i="33"/>
  <c r="C39" i="33"/>
  <c r="C40" i="33"/>
  <c r="C42" i="33"/>
  <c r="C43" i="33"/>
  <c r="C44" i="33"/>
  <c r="C45" i="33"/>
  <c r="C46" i="33"/>
  <c r="C47" i="33"/>
  <c r="C48" i="33"/>
  <c r="C49" i="33"/>
  <c r="C50" i="33"/>
  <c r="C51" i="33"/>
  <c r="C52" i="33"/>
  <c r="C53" i="33"/>
  <c r="C54" i="33"/>
  <c r="C56" i="33"/>
  <c r="C57" i="33"/>
  <c r="C58" i="33"/>
  <c r="C59" i="33"/>
  <c r="C60" i="33"/>
  <c r="C61" i="33"/>
  <c r="C62" i="33"/>
  <c r="C63" i="33"/>
  <c r="C64" i="33"/>
  <c r="C65" i="33"/>
  <c r="C66" i="33"/>
  <c r="C67" i="33"/>
  <c r="C68" i="33"/>
  <c r="C69" i="33"/>
  <c r="C70" i="33"/>
  <c r="C71" i="33"/>
  <c r="C72" i="33"/>
  <c r="C74" i="33"/>
  <c r="C75" i="33"/>
  <c r="C76" i="33"/>
  <c r="C77" i="33"/>
  <c r="C78" i="33"/>
  <c r="C79" i="33"/>
  <c r="C80" i="33"/>
  <c r="C82" i="33"/>
  <c r="C83" i="33"/>
  <c r="C84" i="33"/>
  <c r="C85" i="33"/>
  <c r="C86" i="33"/>
  <c r="C87" i="33"/>
  <c r="C88" i="33"/>
  <c r="C89" i="33"/>
  <c r="C90" i="33"/>
  <c r="C91" i="33"/>
  <c r="C92" i="33"/>
  <c r="C93" i="33"/>
  <c r="C94" i="33"/>
  <c r="C95" i="33"/>
  <c r="C96" i="33"/>
  <c r="C97" i="33"/>
  <c r="C98" i="33"/>
  <c r="C99" i="33"/>
  <c r="C100" i="33"/>
  <c r="C101" i="33"/>
  <c r="C102" i="33"/>
  <c r="C103" i="33"/>
  <c r="C5" i="33"/>
  <c r="F98" i="20"/>
  <c r="F99" i="20"/>
  <c r="F100" i="20"/>
  <c r="F101" i="20"/>
  <c r="F102"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3" i="20"/>
  <c r="F34" i="20"/>
  <c r="F35" i="20"/>
  <c r="F36" i="20"/>
  <c r="F37" i="20"/>
  <c r="F38" i="20"/>
  <c r="F39" i="20"/>
  <c r="F40" i="20"/>
  <c r="F41" i="20"/>
  <c r="F42" i="20"/>
  <c r="F43" i="20"/>
  <c r="F44" i="20"/>
  <c r="F45" i="20"/>
  <c r="F46" i="20"/>
  <c r="F47" i="20"/>
  <c r="F48" i="20"/>
  <c r="F49" i="20"/>
  <c r="F50" i="20"/>
  <c r="F51" i="20"/>
  <c r="F52" i="20"/>
  <c r="F53" i="20"/>
  <c r="F55" i="20"/>
  <c r="F56" i="20"/>
  <c r="F57" i="20"/>
  <c r="F58" i="20"/>
  <c r="F59" i="20"/>
  <c r="F60" i="20"/>
  <c r="F61" i="20"/>
  <c r="F62" i="20"/>
  <c r="F63" i="20"/>
  <c r="F64" i="20"/>
  <c r="F65" i="20"/>
  <c r="F66" i="20"/>
  <c r="F67" i="20"/>
  <c r="F68" i="20"/>
  <c r="F69" i="20"/>
  <c r="F70" i="20"/>
  <c r="F71" i="20"/>
  <c r="F72" i="20"/>
  <c r="F73" i="20"/>
  <c r="F74" i="20"/>
  <c r="F75" i="20"/>
  <c r="F76" i="20"/>
  <c r="F77" i="20"/>
  <c r="F78" i="20"/>
  <c r="F79" i="20"/>
  <c r="F81" i="20"/>
  <c r="F82" i="20"/>
  <c r="F83" i="20"/>
  <c r="F84" i="20"/>
  <c r="F85" i="20"/>
  <c r="F86" i="20"/>
  <c r="F87" i="20"/>
  <c r="F88" i="20"/>
  <c r="F89" i="20"/>
  <c r="F90" i="20"/>
  <c r="F91" i="20"/>
  <c r="F92" i="20"/>
  <c r="F93" i="20"/>
  <c r="F94" i="20"/>
  <c r="F95" i="20"/>
  <c r="F96" i="20"/>
  <c r="F97" i="20"/>
  <c r="F4" i="20"/>
  <c r="L41" i="29"/>
  <c r="M41" i="29"/>
  <c r="L42" i="29"/>
  <c r="M42" i="29"/>
  <c r="L43" i="29"/>
  <c r="M43" i="29"/>
  <c r="L44" i="29"/>
  <c r="M44" i="29"/>
  <c r="L45" i="29"/>
  <c r="M45" i="29"/>
  <c r="L46" i="29"/>
  <c r="M46" i="29"/>
  <c r="L36" i="29"/>
  <c r="M36" i="29"/>
  <c r="O11" i="46" l="1"/>
  <c r="AK17" i="22"/>
  <c r="AW105" i="22"/>
  <c r="AK26" i="22"/>
  <c r="AK9" i="22"/>
  <c r="AC66" i="53"/>
  <c r="O66" i="53"/>
  <c r="N66" i="53"/>
  <c r="AA64" i="53"/>
  <c r="AE65" i="53"/>
  <c r="AF64" i="53"/>
  <c r="R65" i="53"/>
  <c r="X65" i="53" s="1"/>
  <c r="AB65" i="53" s="1"/>
  <c r="AW61" i="22"/>
  <c r="D46" i="22"/>
  <c r="D42" i="22"/>
  <c r="D45" i="22"/>
  <c r="D37" i="22"/>
  <c r="D44" i="22"/>
  <c r="D47" i="22"/>
  <c r="D43" i="22"/>
  <c r="AE13" i="46"/>
  <c r="AE12" i="46"/>
  <c r="AE15" i="46"/>
  <c r="AE14" i="46"/>
  <c r="AE11" i="46"/>
  <c r="AE226" i="46"/>
  <c r="AE150" i="46"/>
  <c r="AE130" i="46"/>
  <c r="AE118" i="46"/>
  <c r="AE98" i="46"/>
  <c r="AE86" i="46"/>
  <c r="AE66" i="46"/>
  <c r="AE54" i="46"/>
  <c r="AE22" i="46"/>
  <c r="AE246" i="46"/>
  <c r="AE182" i="46"/>
  <c r="AE205" i="46"/>
  <c r="AE169" i="46"/>
  <c r="AE57" i="46"/>
  <c r="AE25" i="46"/>
  <c r="AE241" i="46"/>
  <c r="AE177" i="46"/>
  <c r="AE204" i="46"/>
  <c r="AE128" i="46"/>
  <c r="AE96" i="46"/>
  <c r="AE76" i="46"/>
  <c r="AE64" i="46"/>
  <c r="AE44" i="46"/>
  <c r="AE32" i="46"/>
  <c r="AE224" i="46"/>
  <c r="AE255" i="46"/>
  <c r="AE155" i="46"/>
  <c r="AE143" i="46"/>
  <c r="AE123" i="46"/>
  <c r="AE111" i="46"/>
  <c r="AE91" i="46"/>
  <c r="AE79" i="46"/>
  <c r="AE47" i="46"/>
  <c r="AE211" i="46"/>
  <c r="AE191" i="46"/>
  <c r="AE202" i="46"/>
  <c r="AE42" i="46"/>
  <c r="AE222" i="46"/>
  <c r="AE245" i="46"/>
  <c r="AE181" i="46"/>
  <c r="AE153" i="46"/>
  <c r="AE141" i="46"/>
  <c r="AE121" i="46"/>
  <c r="AE109" i="46"/>
  <c r="AE89" i="46"/>
  <c r="AE77" i="46"/>
  <c r="AE45" i="46"/>
  <c r="AE253" i="46"/>
  <c r="AE217" i="46"/>
  <c r="AE244" i="46"/>
  <c r="AE180" i="46"/>
  <c r="AE140" i="46"/>
  <c r="AE108" i="46"/>
  <c r="AE200" i="46"/>
  <c r="AE231" i="46"/>
  <c r="AE187" i="46"/>
  <c r="AE167" i="46"/>
  <c r="AE67" i="46"/>
  <c r="AE35" i="46"/>
  <c r="AE251" i="46"/>
  <c r="AE159" i="46"/>
  <c r="AE16" i="46"/>
  <c r="AE242" i="46"/>
  <c r="AE178" i="46"/>
  <c r="AE138" i="46"/>
  <c r="AE126" i="46"/>
  <c r="AE106" i="46"/>
  <c r="AE94" i="46"/>
  <c r="AE74" i="46"/>
  <c r="AE62" i="46"/>
  <c r="AE30" i="46"/>
  <c r="AE198" i="46"/>
  <c r="AE221" i="46"/>
  <c r="AE33" i="46"/>
  <c r="AE193" i="46"/>
  <c r="AE165" i="46"/>
  <c r="AE220" i="46"/>
  <c r="AE164" i="46"/>
  <c r="AE136" i="46"/>
  <c r="AE104" i="46"/>
  <c r="AE84" i="46"/>
  <c r="AE72" i="46"/>
  <c r="AE52" i="46"/>
  <c r="AE40" i="46"/>
  <c r="AE20" i="46"/>
  <c r="AE240" i="46"/>
  <c r="AE176" i="46"/>
  <c r="AE151" i="46"/>
  <c r="AE131" i="46"/>
  <c r="AE119" i="46"/>
  <c r="AE99" i="46"/>
  <c r="AE87" i="46"/>
  <c r="AE55" i="46"/>
  <c r="AE23" i="46"/>
  <c r="AE227" i="46"/>
  <c r="AE207" i="46"/>
  <c r="AE218" i="46"/>
  <c r="AE162" i="46"/>
  <c r="AE50" i="46"/>
  <c r="AE18" i="46"/>
  <c r="AE238" i="46"/>
  <c r="AE174" i="46"/>
  <c r="AE197" i="46"/>
  <c r="AE161" i="46"/>
  <c r="AE149" i="46"/>
  <c r="AE129" i="46"/>
  <c r="AE117" i="46"/>
  <c r="AE97" i="46"/>
  <c r="AE85" i="46"/>
  <c r="AE65" i="46"/>
  <c r="AE53" i="46"/>
  <c r="AE21" i="46"/>
  <c r="AE233" i="46"/>
  <c r="AE196" i="46"/>
  <c r="AE148" i="46"/>
  <c r="AE116" i="46"/>
  <c r="AE216" i="46"/>
  <c r="AE247" i="46"/>
  <c r="AE203" i="46"/>
  <c r="AE75" i="46"/>
  <c r="AE43" i="46"/>
  <c r="AE183" i="46"/>
  <c r="AE194" i="46"/>
  <c r="AE146" i="46"/>
  <c r="AE134" i="46"/>
  <c r="AE114" i="46"/>
  <c r="AE102" i="46"/>
  <c r="AE82" i="46"/>
  <c r="AE70" i="46"/>
  <c r="AE38" i="46"/>
  <c r="AE214" i="46"/>
  <c r="AE237" i="46"/>
  <c r="AE173" i="46"/>
  <c r="AE41" i="46"/>
  <c r="AE209" i="46"/>
  <c r="AE236" i="46"/>
  <c r="AE172" i="46"/>
  <c r="AE144" i="46"/>
  <c r="AE112" i="46"/>
  <c r="AE80" i="46"/>
  <c r="AE60" i="46"/>
  <c r="AE48" i="46"/>
  <c r="AE28" i="46"/>
  <c r="AE256" i="46"/>
  <c r="AE192" i="46"/>
  <c r="AE223" i="46"/>
  <c r="AE179" i="46"/>
  <c r="AE139" i="46"/>
  <c r="AE127" i="46"/>
  <c r="AE107" i="46"/>
  <c r="AE95" i="46"/>
  <c r="AE63" i="46"/>
  <c r="AE31" i="46"/>
  <c r="AE243" i="46"/>
  <c r="AE234" i="46"/>
  <c r="AE170" i="46"/>
  <c r="AE58" i="46"/>
  <c r="AE26" i="46"/>
  <c r="AE254" i="46"/>
  <c r="AE190" i="46"/>
  <c r="AE213" i="46"/>
  <c r="AE157" i="46"/>
  <c r="AE137" i="46"/>
  <c r="AE125" i="46"/>
  <c r="AE105" i="46"/>
  <c r="AE93" i="46"/>
  <c r="AE73" i="46"/>
  <c r="AE61" i="46"/>
  <c r="AE29" i="46"/>
  <c r="AE249" i="46"/>
  <c r="AE185" i="46"/>
  <c r="AE212" i="46"/>
  <c r="AE168" i="46"/>
  <c r="AE156" i="46"/>
  <c r="AE124" i="46"/>
  <c r="AE92" i="46"/>
  <c r="AE232" i="46"/>
  <c r="AE160" i="46"/>
  <c r="AE163" i="46"/>
  <c r="AE83" i="46"/>
  <c r="AE51" i="46"/>
  <c r="AE19" i="46"/>
  <c r="AE219" i="46"/>
  <c r="AE199" i="46"/>
  <c r="AE210" i="46"/>
  <c r="AE154" i="46"/>
  <c r="AE142" i="46"/>
  <c r="AE122" i="46"/>
  <c r="AE110" i="46"/>
  <c r="AE90" i="46"/>
  <c r="AE78" i="46"/>
  <c r="AE46" i="46"/>
  <c r="AE230" i="46"/>
  <c r="AE158" i="46"/>
  <c r="AE189" i="46"/>
  <c r="AE49" i="46"/>
  <c r="AE17" i="46"/>
  <c r="AE225" i="46"/>
  <c r="AE252" i="46"/>
  <c r="AE188" i="46"/>
  <c r="AE152" i="46"/>
  <c r="AE120" i="46"/>
  <c r="AE88" i="46"/>
  <c r="AE68" i="46"/>
  <c r="AE56" i="46"/>
  <c r="AE36" i="46"/>
  <c r="AE24" i="46"/>
  <c r="AE208" i="46"/>
  <c r="AE239" i="46"/>
  <c r="AE195" i="46"/>
  <c r="AE147" i="46"/>
  <c r="AE135" i="46"/>
  <c r="AE115" i="46"/>
  <c r="AE103" i="46"/>
  <c r="AE71" i="46"/>
  <c r="AE39" i="46"/>
  <c r="AE175" i="46"/>
  <c r="AE250" i="46"/>
  <c r="AE186" i="46"/>
  <c r="AE166" i="46"/>
  <c r="AE34" i="46"/>
  <c r="AE206" i="46"/>
  <c r="AE229" i="46"/>
  <c r="AE145" i="46"/>
  <c r="AE133" i="46"/>
  <c r="AE113" i="46"/>
  <c r="AE101" i="46"/>
  <c r="AE81" i="46"/>
  <c r="AE69" i="46"/>
  <c r="AE37" i="46"/>
  <c r="AE201" i="46"/>
  <c r="AE228" i="46"/>
  <c r="AE132" i="46"/>
  <c r="AE100" i="46"/>
  <c r="AE248" i="46"/>
  <c r="AE184" i="46"/>
  <c r="AE215" i="46"/>
  <c r="AE171" i="46"/>
  <c r="AE59" i="46"/>
  <c r="AE27" i="46"/>
  <c r="AE235" i="46"/>
  <c r="AG65" i="53"/>
  <c r="AT65" i="53"/>
  <c r="P66" i="53"/>
  <c r="AD65" i="53"/>
  <c r="Q65" i="53"/>
  <c r="G66" i="53"/>
  <c r="I66" i="53"/>
  <c r="AK65" i="52" a="1"/>
  <c r="AK65" i="52" s="1"/>
  <c r="B67" i="53" s="1"/>
  <c r="C66" i="53"/>
  <c r="F66" i="53"/>
  <c r="H66" i="53"/>
  <c r="L66" i="53"/>
  <c r="E66" i="53"/>
  <c r="K66" i="53"/>
  <c r="AH66" i="53" s="1"/>
  <c r="J66" i="53"/>
  <c r="D66" i="53"/>
  <c r="C18" i="28"/>
  <c r="E5" i="28"/>
  <c r="C9" i="28"/>
  <c r="C5" i="28"/>
  <c r="O106" i="46"/>
  <c r="S106" i="46" s="1"/>
  <c r="T106" i="46" s="1"/>
  <c r="O90" i="46"/>
  <c r="S90" i="46" s="1"/>
  <c r="T90" i="46" s="1"/>
  <c r="O74" i="46"/>
  <c r="S74" i="46" s="1"/>
  <c r="T74" i="46" s="1"/>
  <c r="O58" i="46"/>
  <c r="S58" i="46" s="1"/>
  <c r="T58" i="46" s="1"/>
  <c r="O251" i="46"/>
  <c r="S251" i="46" s="1"/>
  <c r="T251" i="46" s="1"/>
  <c r="O217" i="46"/>
  <c r="S217" i="46" s="1"/>
  <c r="T217" i="46" s="1"/>
  <c r="O185" i="46"/>
  <c r="S185" i="46" s="1"/>
  <c r="T185" i="46" s="1"/>
  <c r="O153" i="46"/>
  <c r="S153" i="46" s="1"/>
  <c r="T153" i="46" s="1"/>
  <c r="O121" i="46"/>
  <c r="S121" i="46" s="1"/>
  <c r="T121" i="46" s="1"/>
  <c r="O71" i="46"/>
  <c r="S71" i="46" s="1"/>
  <c r="T71" i="46" s="1"/>
  <c r="O26" i="46"/>
  <c r="S26" i="46" s="1"/>
  <c r="T26" i="46" s="1"/>
  <c r="O253" i="46"/>
  <c r="S253" i="46" s="1"/>
  <c r="T253" i="46" s="1"/>
  <c r="O214" i="46"/>
  <c r="S214" i="46" s="1"/>
  <c r="T214" i="46" s="1"/>
  <c r="O182" i="46"/>
  <c r="S182" i="46" s="1"/>
  <c r="T182" i="46" s="1"/>
  <c r="O150" i="46"/>
  <c r="S150" i="46" s="1"/>
  <c r="T150" i="46" s="1"/>
  <c r="O118" i="46"/>
  <c r="S118" i="46" s="1"/>
  <c r="T118" i="46" s="1"/>
  <c r="O73" i="46"/>
  <c r="S73" i="46" s="1"/>
  <c r="T73" i="46" s="1"/>
  <c r="O23" i="46"/>
  <c r="O236" i="46"/>
  <c r="S236" i="46" s="1"/>
  <c r="T236" i="46" s="1"/>
  <c r="O173" i="46"/>
  <c r="O109" i="46"/>
  <c r="S109" i="46" s="1"/>
  <c r="T109" i="46" s="1"/>
  <c r="O14" i="46"/>
  <c r="R14" i="46" s="1"/>
  <c r="O197" i="46"/>
  <c r="S197" i="46" s="1"/>
  <c r="T197" i="46" s="1"/>
  <c r="O159" i="46"/>
  <c r="S159" i="46" s="1"/>
  <c r="T159" i="46" s="1"/>
  <c r="O85" i="46"/>
  <c r="S85" i="46" s="1"/>
  <c r="T85" i="46" s="1"/>
  <c r="O215" i="46"/>
  <c r="S215" i="46" s="1"/>
  <c r="T215" i="46" s="1"/>
  <c r="O151" i="46"/>
  <c r="S151" i="46" s="1"/>
  <c r="T151" i="46" s="1"/>
  <c r="O61" i="46"/>
  <c r="S61" i="46" s="1"/>
  <c r="T61" i="46" s="1"/>
  <c r="O160" i="46"/>
  <c r="S160" i="46" s="1"/>
  <c r="T160" i="46" s="1"/>
  <c r="O22" i="46"/>
  <c r="O175" i="46"/>
  <c r="S175" i="46" s="1"/>
  <c r="T175" i="46" s="1"/>
  <c r="O104" i="46"/>
  <c r="S104" i="46" s="1"/>
  <c r="T104" i="46" s="1"/>
  <c r="O88" i="46"/>
  <c r="S88" i="46" s="1"/>
  <c r="T88" i="46" s="1"/>
  <c r="O72" i="46"/>
  <c r="S72" i="46" s="1"/>
  <c r="T72" i="46" s="1"/>
  <c r="O56" i="46"/>
  <c r="S56" i="46" s="1"/>
  <c r="T56" i="46" s="1"/>
  <c r="O248" i="46"/>
  <c r="S248" i="46" s="1"/>
  <c r="T248" i="46" s="1"/>
  <c r="O212" i="46"/>
  <c r="S212" i="46" s="1"/>
  <c r="T212" i="46" s="1"/>
  <c r="O180" i="46"/>
  <c r="S180" i="46" s="1"/>
  <c r="T180" i="46" s="1"/>
  <c r="O148" i="46"/>
  <c r="S148" i="46" s="1"/>
  <c r="T148" i="46" s="1"/>
  <c r="O116" i="46"/>
  <c r="S116" i="46" s="1"/>
  <c r="T116" i="46" s="1"/>
  <c r="O63" i="46"/>
  <c r="S63" i="46" s="1"/>
  <c r="T63" i="46" s="1"/>
  <c r="O21" i="46"/>
  <c r="O250" i="46"/>
  <c r="S250" i="46" s="1"/>
  <c r="T250" i="46" s="1"/>
  <c r="O211" i="46"/>
  <c r="S211" i="46" s="1"/>
  <c r="T211" i="46" s="1"/>
  <c r="O179" i="46"/>
  <c r="S179" i="46" s="1"/>
  <c r="T179" i="46" s="1"/>
  <c r="O147" i="46"/>
  <c r="S147" i="46" s="1"/>
  <c r="T147" i="46" s="1"/>
  <c r="O115" i="46"/>
  <c r="S115" i="46" s="1"/>
  <c r="T115" i="46" s="1"/>
  <c r="O65" i="46"/>
  <c r="S65" i="46" s="1"/>
  <c r="T65" i="46" s="1"/>
  <c r="O20" i="46"/>
  <c r="O226" i="46"/>
  <c r="S226" i="46" s="1"/>
  <c r="T226" i="46" s="1"/>
  <c r="O168" i="46"/>
  <c r="S168" i="46" s="1"/>
  <c r="T168" i="46" s="1"/>
  <c r="O99" i="46"/>
  <c r="S99" i="46" s="1"/>
  <c r="T99" i="46" s="1"/>
  <c r="O181" i="46"/>
  <c r="S181" i="46" s="1"/>
  <c r="T181" i="46" s="1"/>
  <c r="O154" i="46"/>
  <c r="S154" i="46" s="1"/>
  <c r="T154" i="46" s="1"/>
  <c r="O16" i="46"/>
  <c r="R16" i="46" s="1"/>
  <c r="O210" i="46"/>
  <c r="S210" i="46" s="1"/>
  <c r="T210" i="46" s="1"/>
  <c r="O146" i="46"/>
  <c r="S146" i="46" s="1"/>
  <c r="T146" i="46" s="1"/>
  <c r="O45" i="46"/>
  <c r="S45" i="46" s="1"/>
  <c r="T45" i="46" s="1"/>
  <c r="O149" i="46"/>
  <c r="S149" i="46" s="1"/>
  <c r="T149" i="46" s="1"/>
  <c r="O17" i="46"/>
  <c r="O170" i="46"/>
  <c r="S170" i="46" s="1"/>
  <c r="T170" i="46" s="1"/>
  <c r="O102" i="46"/>
  <c r="S102" i="46" s="1"/>
  <c r="T102" i="46" s="1"/>
  <c r="O86" i="46"/>
  <c r="S86" i="46" s="1"/>
  <c r="T86" i="46" s="1"/>
  <c r="O70" i="46"/>
  <c r="S70" i="46" s="1"/>
  <c r="T70" i="46" s="1"/>
  <c r="O54" i="46"/>
  <c r="S54" i="46" s="1"/>
  <c r="T54" i="46" s="1"/>
  <c r="O243" i="46"/>
  <c r="S243" i="46" s="1"/>
  <c r="T243" i="46" s="1"/>
  <c r="O209" i="46"/>
  <c r="S209" i="46" s="1"/>
  <c r="T209" i="46" s="1"/>
  <c r="O177" i="46"/>
  <c r="S177" i="46" s="1"/>
  <c r="T177" i="46" s="1"/>
  <c r="O100" i="46"/>
  <c r="S100" i="46" s="1"/>
  <c r="T100" i="46" s="1"/>
  <c r="O84" i="46"/>
  <c r="S84" i="46" s="1"/>
  <c r="T84" i="46" s="1"/>
  <c r="O68" i="46"/>
  <c r="S68" i="46" s="1"/>
  <c r="T68" i="46" s="1"/>
  <c r="O52" i="46"/>
  <c r="S52" i="46" s="1"/>
  <c r="T52" i="46" s="1"/>
  <c r="O240" i="46"/>
  <c r="S240" i="46" s="1"/>
  <c r="T240" i="46" s="1"/>
  <c r="O204" i="46"/>
  <c r="S204" i="46" s="1"/>
  <c r="T204" i="46" s="1"/>
  <c r="O172" i="46"/>
  <c r="S172" i="46" s="1"/>
  <c r="T172" i="46" s="1"/>
  <c r="O140" i="46"/>
  <c r="S140" i="46" s="1"/>
  <c r="T140" i="46" s="1"/>
  <c r="O108" i="46"/>
  <c r="S108" i="46" s="1"/>
  <c r="T108" i="46" s="1"/>
  <c r="O47" i="46"/>
  <c r="S47" i="46" s="1"/>
  <c r="T47" i="46" s="1"/>
  <c r="O13" i="46"/>
  <c r="R13" i="46" s="1"/>
  <c r="O242" i="46"/>
  <c r="S242" i="46" s="1"/>
  <c r="T242" i="46" s="1"/>
  <c r="O203" i="46"/>
  <c r="S203" i="46" s="1"/>
  <c r="T203" i="46" s="1"/>
  <c r="O171" i="46"/>
  <c r="S171" i="46" s="1"/>
  <c r="T171" i="46" s="1"/>
  <c r="O139" i="46"/>
  <c r="S139" i="46" s="1"/>
  <c r="T139" i="46" s="1"/>
  <c r="O107" i="46"/>
  <c r="S107" i="46" s="1"/>
  <c r="T107" i="46" s="1"/>
  <c r="O49" i="46"/>
  <c r="S49" i="46" s="1"/>
  <c r="T49" i="46" s="1"/>
  <c r="O12" i="46"/>
  <c r="R12" i="46" s="1"/>
  <c r="V12" i="46" s="1"/>
  <c r="O216" i="46"/>
  <c r="S216" i="46" s="1"/>
  <c r="T216" i="46" s="1"/>
  <c r="O152" i="46"/>
  <c r="S152" i="46" s="1"/>
  <c r="T152" i="46" s="1"/>
  <c r="O67" i="46"/>
  <c r="S67" i="46" s="1"/>
  <c r="T67" i="46" s="1"/>
  <c r="O133" i="46"/>
  <c r="S133" i="46" s="1"/>
  <c r="T133" i="46" s="1"/>
  <c r="O254" i="46"/>
  <c r="S254" i="46" s="1"/>
  <c r="T254" i="46" s="1"/>
  <c r="O138" i="46"/>
  <c r="S138" i="46" s="1"/>
  <c r="T138" i="46" s="1"/>
  <c r="O194" i="46"/>
  <c r="S194" i="46" s="1"/>
  <c r="T194" i="46" s="1"/>
  <c r="O130" i="46"/>
  <c r="S130" i="46" s="1"/>
  <c r="T130" i="46" s="1"/>
  <c r="O35" i="46"/>
  <c r="S35" i="46" s="1"/>
  <c r="T35" i="46" s="1"/>
  <c r="O239" i="46"/>
  <c r="S239" i="46" s="1"/>
  <c r="T239" i="46" s="1"/>
  <c r="O117" i="46"/>
  <c r="S117" i="46" s="1"/>
  <c r="T117" i="46" s="1"/>
  <c r="O238" i="46"/>
  <c r="S238" i="46" s="1"/>
  <c r="T238" i="46" s="1"/>
  <c r="O53" i="46"/>
  <c r="S53" i="46" s="1"/>
  <c r="T53" i="46" s="1"/>
  <c r="O229" i="46"/>
  <c r="S229" i="46" s="1"/>
  <c r="T229" i="46" s="1"/>
  <c r="O94" i="46"/>
  <c r="S94" i="46" s="1"/>
  <c r="T94" i="46" s="1"/>
  <c r="O78" i="46"/>
  <c r="S78" i="46" s="1"/>
  <c r="T78" i="46" s="1"/>
  <c r="O62" i="46"/>
  <c r="S62" i="46" s="1"/>
  <c r="T62" i="46" s="1"/>
  <c r="O46" i="46"/>
  <c r="S46" i="46" s="1"/>
  <c r="T46" i="46" s="1"/>
  <c r="O225" i="46"/>
  <c r="S225" i="46" s="1"/>
  <c r="T225" i="46" s="1"/>
  <c r="O193" i="46"/>
  <c r="S193" i="46" s="1"/>
  <c r="T193" i="46" s="1"/>
  <c r="O161" i="46"/>
  <c r="S161" i="46" s="1"/>
  <c r="T161" i="46" s="1"/>
  <c r="O129" i="46"/>
  <c r="S129" i="46" s="1"/>
  <c r="T129" i="46" s="1"/>
  <c r="O87" i="46"/>
  <c r="S87" i="46" s="1"/>
  <c r="T87" i="46" s="1"/>
  <c r="O34" i="46"/>
  <c r="S34" i="46" s="1"/>
  <c r="T34" i="46" s="1"/>
  <c r="O227" i="46"/>
  <c r="S227" i="46" s="1"/>
  <c r="T227" i="46" s="1"/>
  <c r="O92" i="46"/>
  <c r="S92" i="46" s="1"/>
  <c r="T92" i="46" s="1"/>
  <c r="O76" i="46"/>
  <c r="S76" i="46" s="1"/>
  <c r="T76" i="46" s="1"/>
  <c r="O60" i="46"/>
  <c r="S60" i="46" s="1"/>
  <c r="T60" i="46" s="1"/>
  <c r="O44" i="46"/>
  <c r="S44" i="46" s="1"/>
  <c r="T44" i="46" s="1"/>
  <c r="O256" i="46"/>
  <c r="S256" i="46" s="1"/>
  <c r="T256" i="46" s="1"/>
  <c r="O220" i="46"/>
  <c r="S220" i="46" s="1"/>
  <c r="T220" i="46" s="1"/>
  <c r="O188" i="46"/>
  <c r="S188" i="46" s="1"/>
  <c r="T188" i="46" s="1"/>
  <c r="O156" i="46"/>
  <c r="S156" i="46" s="1"/>
  <c r="T156" i="46" s="1"/>
  <c r="O124" i="46"/>
  <c r="S124" i="46" s="1"/>
  <c r="T124" i="46" s="1"/>
  <c r="O79" i="46"/>
  <c r="S79" i="46" s="1"/>
  <c r="T79" i="46" s="1"/>
  <c r="O29" i="46"/>
  <c r="S29" i="46" s="1"/>
  <c r="T29" i="46" s="1"/>
  <c r="O219" i="46"/>
  <c r="S219" i="46" s="1"/>
  <c r="T219" i="46" s="1"/>
  <c r="O187" i="46"/>
  <c r="S187" i="46" s="1"/>
  <c r="T187" i="46" s="1"/>
  <c r="O155" i="46"/>
  <c r="S155" i="46" s="1"/>
  <c r="T155" i="46" s="1"/>
  <c r="O123" i="46"/>
  <c r="S123" i="46" s="1"/>
  <c r="T123" i="46" s="1"/>
  <c r="O81" i="46"/>
  <c r="S81" i="46" s="1"/>
  <c r="T81" i="46" s="1"/>
  <c r="O28" i="46"/>
  <c r="S28" i="46" s="1"/>
  <c r="T28" i="46" s="1"/>
  <c r="O247" i="46"/>
  <c r="S247" i="46" s="1"/>
  <c r="T247" i="46" s="1"/>
  <c r="O184" i="46"/>
  <c r="S184" i="46" s="1"/>
  <c r="T184" i="46" s="1"/>
  <c r="O120" i="46"/>
  <c r="S120" i="46" s="1"/>
  <c r="T120" i="46" s="1"/>
  <c r="O25" i="46"/>
  <c r="O224" i="46"/>
  <c r="S224" i="46" s="1"/>
  <c r="T224" i="46" s="1"/>
  <c r="O33" i="46"/>
  <c r="S33" i="46" s="1"/>
  <c r="T33" i="46" s="1"/>
  <c r="O202" i="46"/>
  <c r="S202" i="46" s="1"/>
  <c r="T202" i="46" s="1"/>
  <c r="O101" i="46"/>
  <c r="S101" i="46" s="1"/>
  <c r="T101" i="46" s="1"/>
  <c r="O241" i="46"/>
  <c r="S241" i="46" s="1"/>
  <c r="T241" i="46" s="1"/>
  <c r="O162" i="46"/>
  <c r="S162" i="46" s="1"/>
  <c r="T162" i="46" s="1"/>
  <c r="O77" i="46"/>
  <c r="S77" i="46" s="1"/>
  <c r="T77" i="46" s="1"/>
  <c r="O165" i="46"/>
  <c r="S165" i="46" s="1"/>
  <c r="T165" i="46" s="1"/>
  <c r="O38" i="46"/>
  <c r="O186" i="46"/>
  <c r="S186" i="46" s="1"/>
  <c r="T186" i="46" s="1"/>
  <c r="O66" i="46"/>
  <c r="S66" i="46" s="1"/>
  <c r="T66" i="46" s="1"/>
  <c r="O169" i="46"/>
  <c r="S169" i="46" s="1"/>
  <c r="T169" i="46" s="1"/>
  <c r="O55" i="46"/>
  <c r="S55" i="46" s="1"/>
  <c r="T55" i="46" s="1"/>
  <c r="O198" i="46"/>
  <c r="S198" i="46" s="1"/>
  <c r="T198" i="46" s="1"/>
  <c r="O134" i="46"/>
  <c r="S134" i="46" s="1"/>
  <c r="T134" i="46" s="1"/>
  <c r="O39" i="46"/>
  <c r="S39" i="46" s="1"/>
  <c r="T39" i="46" s="1"/>
  <c r="O205" i="46"/>
  <c r="S205" i="46" s="1"/>
  <c r="T205" i="46" s="1"/>
  <c r="O51" i="46"/>
  <c r="S51" i="46" s="1"/>
  <c r="T51" i="46" s="1"/>
  <c r="O128" i="46"/>
  <c r="S128" i="46" s="1"/>
  <c r="T128" i="46" s="1"/>
  <c r="O127" i="46"/>
  <c r="S127" i="46" s="1"/>
  <c r="T127" i="46" s="1"/>
  <c r="O183" i="46"/>
  <c r="S183" i="46" s="1"/>
  <c r="T183" i="46" s="1"/>
  <c r="O24" i="46"/>
  <c r="O112" i="46"/>
  <c r="S112" i="46" s="1"/>
  <c r="T112" i="46" s="1"/>
  <c r="O32" i="46"/>
  <c r="S32" i="46" s="1"/>
  <c r="T32" i="46" s="1"/>
  <c r="O64" i="46"/>
  <c r="S64" i="46" s="1"/>
  <c r="T64" i="46" s="1"/>
  <c r="O164" i="46"/>
  <c r="S164" i="46" s="1"/>
  <c r="T164" i="46" s="1"/>
  <c r="O42" i="46"/>
  <c r="S42" i="46" s="1"/>
  <c r="T42" i="46" s="1"/>
  <c r="O195" i="46"/>
  <c r="S195" i="46" s="1"/>
  <c r="T195" i="46" s="1"/>
  <c r="O131" i="46"/>
  <c r="S131" i="46" s="1"/>
  <c r="T131" i="46" s="1"/>
  <c r="O36" i="46"/>
  <c r="S36" i="46" s="1"/>
  <c r="T36" i="46" s="1"/>
  <c r="O200" i="46"/>
  <c r="S200" i="46" s="1"/>
  <c r="T200" i="46" s="1"/>
  <c r="O41" i="46"/>
  <c r="S41" i="46" s="1"/>
  <c r="T41" i="46" s="1"/>
  <c r="O91" i="46"/>
  <c r="S91" i="46" s="1"/>
  <c r="T91" i="46" s="1"/>
  <c r="O122" i="46"/>
  <c r="S122" i="46" s="1"/>
  <c r="T122" i="46" s="1"/>
  <c r="O178" i="46"/>
  <c r="S178" i="46" s="1"/>
  <c r="T178" i="46" s="1"/>
  <c r="O19" i="46"/>
  <c r="O59" i="46"/>
  <c r="S59" i="46" s="1"/>
  <c r="T59" i="46" s="1"/>
  <c r="O27" i="46"/>
  <c r="S27" i="46" s="1"/>
  <c r="T27" i="46" s="1"/>
  <c r="O233" i="46"/>
  <c r="S233" i="46" s="1"/>
  <c r="T233" i="46" s="1"/>
  <c r="O50" i="46"/>
  <c r="S50" i="46" s="1"/>
  <c r="T50" i="46" s="1"/>
  <c r="O145" i="46"/>
  <c r="S145" i="46" s="1"/>
  <c r="T145" i="46" s="1"/>
  <c r="O37" i="46"/>
  <c r="S37" i="46" s="1"/>
  <c r="T37" i="46" s="1"/>
  <c r="O190" i="46"/>
  <c r="S190" i="46" s="1"/>
  <c r="T190" i="46" s="1"/>
  <c r="O126" i="46"/>
  <c r="S126" i="46" s="1"/>
  <c r="T126" i="46" s="1"/>
  <c r="O31" i="46"/>
  <c r="S31" i="46" s="1"/>
  <c r="T31" i="46" s="1"/>
  <c r="O189" i="46"/>
  <c r="S189" i="46" s="1"/>
  <c r="T189" i="46" s="1"/>
  <c r="O30" i="46"/>
  <c r="S30" i="46" s="1"/>
  <c r="T30" i="46" s="1"/>
  <c r="O75" i="46"/>
  <c r="S75" i="46" s="1"/>
  <c r="T75" i="46" s="1"/>
  <c r="O111" i="46"/>
  <c r="S111" i="46" s="1"/>
  <c r="T111" i="46" s="1"/>
  <c r="O167" i="46"/>
  <c r="S167" i="46" s="1"/>
  <c r="T167" i="46" s="1"/>
  <c r="O43" i="46"/>
  <c r="S43" i="46" s="1"/>
  <c r="T43" i="46" s="1"/>
  <c r="O231" i="46"/>
  <c r="S231" i="46" s="1"/>
  <c r="T231" i="46" s="1"/>
  <c r="O48" i="46"/>
  <c r="S48" i="46" s="1"/>
  <c r="T48" i="46" s="1"/>
  <c r="O137" i="46"/>
  <c r="S137" i="46" s="1"/>
  <c r="T137" i="46" s="1"/>
  <c r="O18" i="46"/>
  <c r="O245" i="46"/>
  <c r="S245" i="46" s="1"/>
  <c r="T245" i="46" s="1"/>
  <c r="O174" i="46"/>
  <c r="S174" i="46" s="1"/>
  <c r="T174" i="46" s="1"/>
  <c r="O110" i="46"/>
  <c r="S110" i="46" s="1"/>
  <c r="T110" i="46" s="1"/>
  <c r="O15" i="46"/>
  <c r="R15" i="46" s="1"/>
  <c r="O157" i="46"/>
  <c r="S157" i="46" s="1"/>
  <c r="T157" i="46" s="1"/>
  <c r="O135" i="46"/>
  <c r="S135" i="46" s="1"/>
  <c r="T135" i="46" s="1"/>
  <c r="O244" i="46"/>
  <c r="S244" i="46" s="1"/>
  <c r="T244" i="46" s="1"/>
  <c r="O98" i="46"/>
  <c r="S98" i="46" s="1"/>
  <c r="T98" i="46" s="1"/>
  <c r="O235" i="46"/>
  <c r="S235" i="46" s="1"/>
  <c r="T235" i="46" s="1"/>
  <c r="O132" i="46"/>
  <c r="S132" i="46" s="1"/>
  <c r="T132" i="46" s="1"/>
  <c r="O237" i="46"/>
  <c r="S237" i="46" s="1"/>
  <c r="T237" i="46" s="1"/>
  <c r="O166" i="46"/>
  <c r="S166" i="46" s="1"/>
  <c r="T166" i="46" s="1"/>
  <c r="O105" i="46"/>
  <c r="S105" i="46" s="1"/>
  <c r="T105" i="46" s="1"/>
  <c r="O141" i="46"/>
  <c r="S141" i="46" s="1"/>
  <c r="T141" i="46" s="1"/>
  <c r="O249" i="46"/>
  <c r="S249" i="46" s="1"/>
  <c r="T249" i="46" s="1"/>
  <c r="O119" i="46"/>
  <c r="S119" i="46" s="1"/>
  <c r="T119" i="46" s="1"/>
  <c r="O213" i="46"/>
  <c r="S213" i="46" s="1"/>
  <c r="T213" i="46" s="1"/>
  <c r="O223" i="46"/>
  <c r="S223" i="46" s="1"/>
  <c r="T223" i="46" s="1"/>
  <c r="O82" i="46"/>
  <c r="S82" i="46" s="1"/>
  <c r="T82" i="46" s="1"/>
  <c r="O201" i="46"/>
  <c r="S201" i="46" s="1"/>
  <c r="T201" i="46" s="1"/>
  <c r="O103" i="46"/>
  <c r="S103" i="46" s="1"/>
  <c r="T103" i="46" s="1"/>
  <c r="O222" i="46"/>
  <c r="S222" i="46" s="1"/>
  <c r="T222" i="46" s="1"/>
  <c r="O158" i="46"/>
  <c r="S158" i="46" s="1"/>
  <c r="T158" i="46" s="1"/>
  <c r="O89" i="46"/>
  <c r="S89" i="46" s="1"/>
  <c r="T89" i="46" s="1"/>
  <c r="O252" i="46"/>
  <c r="S252" i="46" s="1"/>
  <c r="T252" i="46" s="1"/>
  <c r="O125" i="46"/>
  <c r="S125" i="46" s="1"/>
  <c r="T125" i="46" s="1"/>
  <c r="O234" i="46"/>
  <c r="S234" i="46" s="1"/>
  <c r="T234" i="46" s="1"/>
  <c r="O207" i="46"/>
  <c r="S207" i="46" s="1"/>
  <c r="T207" i="46" s="1"/>
  <c r="O246" i="46"/>
  <c r="S246" i="46" s="1"/>
  <c r="T246" i="46" s="1"/>
  <c r="O93" i="46"/>
  <c r="S93" i="46" s="1"/>
  <c r="T93" i="46" s="1"/>
  <c r="O192" i="46"/>
  <c r="S192" i="46" s="1"/>
  <c r="T192" i="46" s="1"/>
  <c r="O191" i="46"/>
  <c r="S191" i="46" s="1"/>
  <c r="T191" i="46" s="1"/>
  <c r="O221" i="46"/>
  <c r="S221" i="46" s="1"/>
  <c r="T221" i="46" s="1"/>
  <c r="O199" i="46"/>
  <c r="S199" i="46" s="1"/>
  <c r="T199" i="46" s="1"/>
  <c r="O232" i="46"/>
  <c r="S232" i="46" s="1"/>
  <c r="T232" i="46" s="1"/>
  <c r="O136" i="46"/>
  <c r="S136" i="46" s="1"/>
  <c r="T136" i="46" s="1"/>
  <c r="O114" i="46"/>
  <c r="S114" i="46" s="1"/>
  <c r="T114" i="46" s="1"/>
  <c r="O206" i="46"/>
  <c r="S206" i="46" s="1"/>
  <c r="T206" i="46" s="1"/>
  <c r="O83" i="46"/>
  <c r="S83" i="46" s="1"/>
  <c r="T83" i="46" s="1"/>
  <c r="O40" i="46"/>
  <c r="S40" i="46" s="1"/>
  <c r="T40" i="46" s="1"/>
  <c r="O230" i="46"/>
  <c r="S230" i="46" s="1"/>
  <c r="T230" i="46" s="1"/>
  <c r="O163" i="46"/>
  <c r="S163" i="46" s="1"/>
  <c r="T163" i="46" s="1"/>
  <c r="O255" i="46"/>
  <c r="S255" i="46" s="1"/>
  <c r="T255" i="46" s="1"/>
  <c r="O208" i="46"/>
  <c r="S208" i="46" s="1"/>
  <c r="T208" i="46" s="1"/>
  <c r="O96" i="46"/>
  <c r="S96" i="46" s="1"/>
  <c r="T96" i="46" s="1"/>
  <c r="O113" i="46"/>
  <c r="S113" i="46" s="1"/>
  <c r="T113" i="46" s="1"/>
  <c r="O97" i="46"/>
  <c r="S97" i="46" s="1"/>
  <c r="T97" i="46" s="1"/>
  <c r="O228" i="46"/>
  <c r="S228" i="46" s="1"/>
  <c r="T228" i="46" s="1"/>
  <c r="O218" i="46"/>
  <c r="S218" i="46" s="1"/>
  <c r="T218" i="46" s="1"/>
  <c r="O80" i="46"/>
  <c r="S80" i="46" s="1"/>
  <c r="T80" i="46" s="1"/>
  <c r="O95" i="46"/>
  <c r="S95" i="46" s="1"/>
  <c r="T95" i="46" s="1"/>
  <c r="O57" i="46"/>
  <c r="S57" i="46" s="1"/>
  <c r="T57" i="46" s="1"/>
  <c r="O143" i="46"/>
  <c r="S143" i="46" s="1"/>
  <c r="T143" i="46" s="1"/>
  <c r="O69" i="46"/>
  <c r="S69" i="46" s="1"/>
  <c r="T69" i="46" s="1"/>
  <c r="O176" i="46"/>
  <c r="S176" i="46" s="1"/>
  <c r="T176" i="46" s="1"/>
  <c r="O144" i="46"/>
  <c r="S144" i="46" s="1"/>
  <c r="T144" i="46" s="1"/>
  <c r="O142" i="46"/>
  <c r="S142" i="46" s="1"/>
  <c r="T142" i="46" s="1"/>
  <c r="O196" i="46"/>
  <c r="S196" i="46" s="1"/>
  <c r="T196" i="46" s="1"/>
  <c r="M4" i="29"/>
  <c r="M5" i="29"/>
  <c r="M6" i="29"/>
  <c r="M7" i="29"/>
  <c r="M8" i="29"/>
  <c r="M9" i="29"/>
  <c r="M10" i="29"/>
  <c r="M11" i="29"/>
  <c r="M12" i="29"/>
  <c r="M13" i="29"/>
  <c r="M14" i="29"/>
  <c r="M16" i="29"/>
  <c r="M17" i="29"/>
  <c r="M18" i="29"/>
  <c r="M19" i="29"/>
  <c r="M20" i="29"/>
  <c r="M21" i="29"/>
  <c r="M22" i="29"/>
  <c r="M23" i="29"/>
  <c r="M24" i="29"/>
  <c r="M25" i="29"/>
  <c r="M26" i="29"/>
  <c r="M27" i="29"/>
  <c r="M28" i="29"/>
  <c r="M29" i="29"/>
  <c r="M30" i="29"/>
  <c r="M31" i="29"/>
  <c r="M32" i="29"/>
  <c r="M33" i="29"/>
  <c r="M34" i="29"/>
  <c r="P12" i="11" s="1"/>
  <c r="M35" i="29"/>
  <c r="M38" i="29"/>
  <c r="M39" i="29"/>
  <c r="M47" i="29"/>
  <c r="M48" i="29"/>
  <c r="M49" i="29"/>
  <c r="M50" i="29"/>
  <c r="M51" i="29"/>
  <c r="M52" i="29"/>
  <c r="M53" i="29"/>
  <c r="M55" i="29"/>
  <c r="M56" i="29"/>
  <c r="M57" i="29"/>
  <c r="M58" i="29"/>
  <c r="M59" i="29"/>
  <c r="M40" i="29"/>
  <c r="M60" i="29"/>
  <c r="M61" i="29"/>
  <c r="M62" i="29"/>
  <c r="M63" i="29"/>
  <c r="M64" i="29"/>
  <c r="M65" i="29"/>
  <c r="M66" i="29"/>
  <c r="M67" i="29"/>
  <c r="D68" i="22" s="1"/>
  <c r="M68" i="29"/>
  <c r="M69" i="29"/>
  <c r="M70" i="29"/>
  <c r="M71" i="29"/>
  <c r="M72" i="29"/>
  <c r="M73" i="29"/>
  <c r="M74" i="29"/>
  <c r="M80" i="29"/>
  <c r="P13" i="11" s="1"/>
  <c r="M75" i="29"/>
  <c r="M76" i="29"/>
  <c r="M77" i="29"/>
  <c r="M79" i="29"/>
  <c r="M82" i="29"/>
  <c r="M83" i="29"/>
  <c r="M84" i="29"/>
  <c r="M85" i="29"/>
  <c r="M86" i="29"/>
  <c r="D86" i="22" s="1"/>
  <c r="M87" i="29"/>
  <c r="M88" i="29"/>
  <c r="M89" i="29"/>
  <c r="M90" i="29"/>
  <c r="M91" i="29"/>
  <c r="D91" i="22" s="1"/>
  <c r="M92" i="29"/>
  <c r="M93" i="29"/>
  <c r="M94" i="29"/>
  <c r="M95" i="29"/>
  <c r="D95" i="22" s="1"/>
  <c r="M96" i="29"/>
  <c r="M97" i="29"/>
  <c r="M98" i="29"/>
  <c r="M99" i="29"/>
  <c r="D99" i="22" s="1"/>
  <c r="M100" i="29"/>
  <c r="M101" i="29"/>
  <c r="M102" i="29"/>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W34" i="22"/>
  <c r="W35" i="22"/>
  <c r="W36" i="22"/>
  <c r="W37" i="22"/>
  <c r="W39" i="22"/>
  <c r="W40" i="22"/>
  <c r="W42" i="22"/>
  <c r="W43" i="22"/>
  <c r="W44" i="22"/>
  <c r="W45" i="22"/>
  <c r="W46" i="22"/>
  <c r="W47" i="22"/>
  <c r="W48" i="22"/>
  <c r="W49" i="22"/>
  <c r="W50" i="22"/>
  <c r="W51" i="22"/>
  <c r="W52" i="22"/>
  <c r="W53" i="22"/>
  <c r="W54" i="22"/>
  <c r="W56" i="22"/>
  <c r="W57" i="22"/>
  <c r="W58" i="22"/>
  <c r="W59" i="22"/>
  <c r="W60" i="22"/>
  <c r="W41" i="22"/>
  <c r="W61" i="22"/>
  <c r="W62" i="22"/>
  <c r="W63" i="22"/>
  <c r="W64" i="22"/>
  <c r="W65" i="22"/>
  <c r="W66" i="22"/>
  <c r="W67" i="22"/>
  <c r="W68" i="22"/>
  <c r="W69" i="22"/>
  <c r="W70" i="22"/>
  <c r="W71" i="22"/>
  <c r="W72" i="22"/>
  <c r="W73" i="22"/>
  <c r="W74" i="22"/>
  <c r="W75" i="22"/>
  <c r="W76" i="22"/>
  <c r="W77" i="22"/>
  <c r="W78" i="22"/>
  <c r="W79" i="22"/>
  <c r="W81" i="22"/>
  <c r="W82" i="22"/>
  <c r="W83" i="22"/>
  <c r="W84" i="22"/>
  <c r="W85" i="22"/>
  <c r="W86" i="22"/>
  <c r="W87" i="22"/>
  <c r="W88" i="22"/>
  <c r="W89" i="22"/>
  <c r="W90" i="22"/>
  <c r="W91" i="22"/>
  <c r="W92" i="22"/>
  <c r="W93" i="22"/>
  <c r="W94" i="22"/>
  <c r="W95" i="22"/>
  <c r="W4" i="22"/>
  <c r="AW81" i="22"/>
  <c r="K5" i="22"/>
  <c r="AW82" i="22"/>
  <c r="K6" i="22"/>
  <c r="AW83" i="22"/>
  <c r="K7" i="22"/>
  <c r="K8" i="22"/>
  <c r="AW118" i="22"/>
  <c r="K9" i="22"/>
  <c r="AW114" i="22"/>
  <c r="K10" i="22"/>
  <c r="AW115" i="22"/>
  <c r="K11" i="22"/>
  <c r="AW116" i="22"/>
  <c r="K12" i="22"/>
  <c r="AW117" i="22"/>
  <c r="K13" i="22"/>
  <c r="AW30" i="22"/>
  <c r="K14" i="22"/>
  <c r="AW120" i="22"/>
  <c r="K15" i="22"/>
  <c r="AW31" i="22"/>
  <c r="K16" i="22"/>
  <c r="AW32" i="22"/>
  <c r="K17" i="22"/>
  <c r="K18" i="22"/>
  <c r="K19" i="22"/>
  <c r="AW119" i="22"/>
  <c r="K20" i="22"/>
  <c r="AW84" i="22"/>
  <c r="K21" i="22"/>
  <c r="AW85" i="22"/>
  <c r="K22" i="22"/>
  <c r="K23" i="22"/>
  <c r="AW86" i="22"/>
  <c r="K24" i="22"/>
  <c r="AW34" i="22"/>
  <c r="K25" i="22"/>
  <c r="K26" i="22"/>
  <c r="K27" i="22"/>
  <c r="AW88" i="22"/>
  <c r="K28" i="22"/>
  <c r="K29" i="22"/>
  <c r="K30" i="22"/>
  <c r="K31" i="22"/>
  <c r="K32" i="22"/>
  <c r="K33" i="22"/>
  <c r="K34" i="22"/>
  <c r="AW121" i="22"/>
  <c r="K35" i="22"/>
  <c r="K36" i="22"/>
  <c r="AW149" i="22"/>
  <c r="K37" i="22"/>
  <c r="K39" i="22"/>
  <c r="K40" i="22"/>
  <c r="K42" i="22"/>
  <c r="K43" i="22"/>
  <c r="K44" i="22"/>
  <c r="K45" i="22"/>
  <c r="K46" i="22"/>
  <c r="K47" i="22"/>
  <c r="AW93" i="22"/>
  <c r="K48" i="22"/>
  <c r="K49" i="22"/>
  <c r="K50" i="22"/>
  <c r="K51" i="22"/>
  <c r="K52" i="22"/>
  <c r="K53" i="22"/>
  <c r="K54" i="22"/>
  <c r="K56" i="22"/>
  <c r="K57" i="22"/>
  <c r="K58" i="22"/>
  <c r="K59" i="22"/>
  <c r="AW125" i="22"/>
  <c r="K60" i="22"/>
  <c r="K41" i="22"/>
  <c r="K61" i="22"/>
  <c r="AW124" i="22"/>
  <c r="K62" i="22"/>
  <c r="K63" i="22"/>
  <c r="K64" i="22"/>
  <c r="K65" i="22"/>
  <c r="K66" i="22"/>
  <c r="K67" i="22"/>
  <c r="K68" i="22"/>
  <c r="K69" i="22"/>
  <c r="K70" i="22"/>
  <c r="K71" i="22"/>
  <c r="K72" i="22"/>
  <c r="AW57" i="22"/>
  <c r="K73" i="22"/>
  <c r="AW131" i="22"/>
  <c r="K74" i="22"/>
  <c r="K75" i="22"/>
  <c r="K76" i="22"/>
  <c r="K77" i="22"/>
  <c r="AW159" i="22"/>
  <c r="K78" i="22"/>
  <c r="K79" i="22"/>
  <c r="K81" i="22"/>
  <c r="K82" i="22"/>
  <c r="AW9" i="22"/>
  <c r="K83" i="22"/>
  <c r="K84" i="22"/>
  <c r="K85" i="22"/>
  <c r="K86" i="22"/>
  <c r="K87" i="22"/>
  <c r="AW58" i="22"/>
  <c r="K88" i="22"/>
  <c r="K89" i="22"/>
  <c r="AW52" i="22"/>
  <c r="K90" i="22"/>
  <c r="AW60" i="22"/>
  <c r="K91" i="22"/>
  <c r="K92" i="22"/>
  <c r="K93" i="22"/>
  <c r="K94" i="22"/>
  <c r="AW98" i="22"/>
  <c r="K95" i="22"/>
  <c r="W13" i="11" l="1"/>
  <c r="F134" i="22"/>
  <c r="R38" i="46"/>
  <c r="X38" i="46" s="1"/>
  <c r="AD13" i="11"/>
  <c r="AC13" i="11"/>
  <c r="Q13" i="11" s="1"/>
  <c r="AC12" i="11"/>
  <c r="AD12" i="11" s="1"/>
  <c r="AC67" i="53"/>
  <c r="O67" i="53"/>
  <c r="N67" i="53"/>
  <c r="AA65" i="53"/>
  <c r="X25" i="46"/>
  <c r="X24" i="46"/>
  <c r="X23" i="46"/>
  <c r="X22" i="46"/>
  <c r="X21" i="46"/>
  <c r="X20" i="46"/>
  <c r="X19" i="46"/>
  <c r="X18" i="46"/>
  <c r="X17" i="46"/>
  <c r="X173" i="46"/>
  <c r="AF65" i="53"/>
  <c r="AE66" i="53"/>
  <c r="Y79" i="46"/>
  <c r="Y143" i="46"/>
  <c r="Y232" i="46"/>
  <c r="Y235" i="46"/>
  <c r="Y48" i="46"/>
  <c r="Y91" i="46"/>
  <c r="Y164" i="46"/>
  <c r="Y205" i="46"/>
  <c r="Y124" i="46"/>
  <c r="Y227" i="46"/>
  <c r="Y193" i="46"/>
  <c r="Y194" i="46"/>
  <c r="Y216" i="46"/>
  <c r="Y209" i="46"/>
  <c r="Y160" i="46"/>
  <c r="Y197" i="46"/>
  <c r="Y150" i="46"/>
  <c r="Y153" i="46"/>
  <c r="Y69" i="46"/>
  <c r="Y190" i="46"/>
  <c r="Y186" i="46"/>
  <c r="Y118" i="46"/>
  <c r="Y196" i="46"/>
  <c r="Y57" i="46"/>
  <c r="Y96" i="46"/>
  <c r="Y207" i="46"/>
  <c r="Y103" i="46"/>
  <c r="Y141" i="46"/>
  <c r="Y231" i="46"/>
  <c r="Y111" i="46"/>
  <c r="Y37" i="46"/>
  <c r="Y41" i="46"/>
  <c r="Y165" i="46"/>
  <c r="Y224" i="46"/>
  <c r="Y155" i="46"/>
  <c r="Y156" i="46"/>
  <c r="Y225" i="46"/>
  <c r="Y68" i="46"/>
  <c r="Y243" i="46"/>
  <c r="Y154" i="46"/>
  <c r="Y65" i="46"/>
  <c r="Y63" i="46"/>
  <c r="Y88" i="46"/>
  <c r="Y182" i="46"/>
  <c r="Y185" i="46"/>
  <c r="Y51" i="46"/>
  <c r="Y152" i="46"/>
  <c r="Y83" i="46"/>
  <c r="Y201" i="46"/>
  <c r="Y244" i="46"/>
  <c r="Y174" i="46"/>
  <c r="Y75" i="46"/>
  <c r="Y145" i="46"/>
  <c r="Y134" i="46"/>
  <c r="Y187" i="46"/>
  <c r="Y188" i="46"/>
  <c r="Y46" i="46"/>
  <c r="Y49" i="46"/>
  <c r="Y47" i="46"/>
  <c r="Y84" i="46"/>
  <c r="Y115" i="46"/>
  <c r="Y116" i="46"/>
  <c r="Y61" i="46"/>
  <c r="Y109" i="46"/>
  <c r="Y214" i="46"/>
  <c r="Y217" i="46"/>
  <c r="Y97" i="46"/>
  <c r="Y132" i="46"/>
  <c r="Y202" i="46"/>
  <c r="Y161" i="46"/>
  <c r="Y56" i="46"/>
  <c r="Y142" i="46"/>
  <c r="Y80" i="46"/>
  <c r="Y208" i="46"/>
  <c r="Y125" i="46"/>
  <c r="Y223" i="46"/>
  <c r="Y105" i="46"/>
  <c r="Y98" i="46"/>
  <c r="Y64" i="46"/>
  <c r="Y198" i="46"/>
  <c r="Y77" i="46"/>
  <c r="Y220" i="46"/>
  <c r="Y238" i="46"/>
  <c r="Y107" i="46"/>
  <c r="Y108" i="46"/>
  <c r="Y100" i="46"/>
  <c r="Y70" i="46"/>
  <c r="Y149" i="46"/>
  <c r="Y181" i="46"/>
  <c r="Y147" i="46"/>
  <c r="Y253" i="46"/>
  <c r="Y157" i="46"/>
  <c r="Y42" i="46"/>
  <c r="Y106" i="46"/>
  <c r="Y221" i="46"/>
  <c r="Y213" i="46"/>
  <c r="Y131" i="46"/>
  <c r="Y183" i="46"/>
  <c r="Y256" i="46"/>
  <c r="Y44" i="46"/>
  <c r="Y78" i="46"/>
  <c r="Y117" i="46"/>
  <c r="Y133" i="46"/>
  <c r="Y139" i="46"/>
  <c r="Y140" i="46"/>
  <c r="Y86" i="46"/>
  <c r="Y179" i="46"/>
  <c r="Y215" i="46"/>
  <c r="Y236" i="46"/>
  <c r="Y58" i="46"/>
  <c r="Y222" i="46"/>
  <c r="Y177" i="46"/>
  <c r="Y226" i="46"/>
  <c r="Y121" i="46"/>
  <c r="Y218" i="46"/>
  <c r="Y163" i="46"/>
  <c r="Y191" i="46"/>
  <c r="Y89" i="46"/>
  <c r="Y82" i="46"/>
  <c r="Y119" i="46"/>
  <c r="Y237" i="46"/>
  <c r="Y137" i="46"/>
  <c r="Y50" i="46"/>
  <c r="Y195" i="46"/>
  <c r="Y127" i="46"/>
  <c r="Y55" i="46"/>
  <c r="Y241" i="46"/>
  <c r="Y247" i="46"/>
  <c r="Y60" i="46"/>
  <c r="Y87" i="46"/>
  <c r="Y94" i="46"/>
  <c r="Y239" i="46"/>
  <c r="Y171" i="46"/>
  <c r="Y172" i="46"/>
  <c r="Y102" i="46"/>
  <c r="Y45" i="46"/>
  <c r="Y99" i="46"/>
  <c r="Y211" i="46"/>
  <c r="Y212" i="46"/>
  <c r="Y85" i="46"/>
  <c r="Y74" i="46"/>
  <c r="Y249" i="46"/>
  <c r="Y122" i="46"/>
  <c r="Y81" i="46"/>
  <c r="Y242" i="46"/>
  <c r="Y176" i="46"/>
  <c r="Y228" i="46"/>
  <c r="Y230" i="46"/>
  <c r="Y114" i="46"/>
  <c r="Y192" i="46"/>
  <c r="Y158" i="46"/>
  <c r="Y43" i="46"/>
  <c r="Y126" i="46"/>
  <c r="Y233" i="46"/>
  <c r="Y178" i="46"/>
  <c r="Y128" i="46"/>
  <c r="Y169" i="46"/>
  <c r="Y101" i="46"/>
  <c r="Y76" i="46"/>
  <c r="Y129" i="46"/>
  <c r="Y229" i="46"/>
  <c r="Y67" i="46"/>
  <c r="Y203" i="46"/>
  <c r="Y204" i="46"/>
  <c r="Y146" i="46"/>
  <c r="Y168" i="46"/>
  <c r="Y250" i="46"/>
  <c r="Y248" i="46"/>
  <c r="Y175" i="46"/>
  <c r="Y159" i="46"/>
  <c r="Y73" i="46"/>
  <c r="Y71" i="46"/>
  <c r="Y90" i="46"/>
  <c r="R66" i="53"/>
  <c r="X66" i="53" s="1"/>
  <c r="AB66" i="53" s="1"/>
  <c r="AW11" i="22"/>
  <c r="AW6" i="22"/>
  <c r="AW10" i="22"/>
  <c r="AW126" i="22"/>
  <c r="D88" i="22"/>
  <c r="D79" i="22"/>
  <c r="D71" i="22"/>
  <c r="D63" i="22"/>
  <c r="D56" i="22"/>
  <c r="D40" i="22"/>
  <c r="D30" i="22"/>
  <c r="D22" i="22"/>
  <c r="D13" i="22"/>
  <c r="D6" i="22"/>
  <c r="D87" i="22"/>
  <c r="D78" i="22"/>
  <c r="D62" i="22"/>
  <c r="D54" i="22"/>
  <c r="D39" i="22"/>
  <c r="D29" i="22"/>
  <c r="D21" i="22"/>
  <c r="D5" i="22"/>
  <c r="D102" i="22"/>
  <c r="D94" i="22"/>
  <c r="D77" i="22"/>
  <c r="D69" i="22"/>
  <c r="D61" i="22"/>
  <c r="D53" i="22"/>
  <c r="D36" i="22"/>
  <c r="D28" i="22"/>
  <c r="D20" i="22"/>
  <c r="D11" i="22"/>
  <c r="D101" i="22"/>
  <c r="D93" i="22"/>
  <c r="D41" i="22"/>
  <c r="D52" i="22"/>
  <c r="D35" i="22"/>
  <c r="D27" i="22"/>
  <c r="D19" i="22"/>
  <c r="D10" i="22"/>
  <c r="D100" i="22"/>
  <c r="D92" i="22"/>
  <c r="D84" i="22"/>
  <c r="D75" i="22"/>
  <c r="D67" i="22"/>
  <c r="D60" i="22"/>
  <c r="D51" i="22"/>
  <c r="D34" i="22"/>
  <c r="D26" i="22"/>
  <c r="D18" i="22"/>
  <c r="D9" i="22"/>
  <c r="D83" i="22"/>
  <c r="D74" i="22"/>
  <c r="D66" i="22"/>
  <c r="D59" i="22"/>
  <c r="D50" i="22"/>
  <c r="D33" i="22"/>
  <c r="D25" i="22"/>
  <c r="D98" i="22"/>
  <c r="D90" i="22"/>
  <c r="D82" i="22"/>
  <c r="D73" i="22"/>
  <c r="D65" i="22"/>
  <c r="D58" i="22"/>
  <c r="D49" i="22"/>
  <c r="D32" i="22"/>
  <c r="D24" i="22"/>
  <c r="D15" i="22"/>
  <c r="D8" i="22"/>
  <c r="D97" i="22"/>
  <c r="D89" i="22"/>
  <c r="D81" i="22"/>
  <c r="D72" i="22"/>
  <c r="D64" i="22"/>
  <c r="D57" i="22"/>
  <c r="D48" i="22"/>
  <c r="D23" i="22"/>
  <c r="D7" i="22"/>
  <c r="D85" i="22"/>
  <c r="D96" i="22"/>
  <c r="Y40" i="46"/>
  <c r="Y110" i="46"/>
  <c r="Y39" i="46"/>
  <c r="Y66" i="46"/>
  <c r="Y170" i="46"/>
  <c r="Y95" i="46"/>
  <c r="Y234" i="46"/>
  <c r="Y200" i="46"/>
  <c r="Y112" i="46"/>
  <c r="Y53" i="46"/>
  <c r="Y138" i="46"/>
  <c r="Y54" i="46"/>
  <c r="Y104" i="46"/>
  <c r="Y206" i="46"/>
  <c r="Y199" i="46"/>
  <c r="Y135" i="46"/>
  <c r="Y245" i="46"/>
  <c r="Y120" i="46"/>
  <c r="Y219" i="46"/>
  <c r="Y62" i="46"/>
  <c r="Y148" i="46"/>
  <c r="Y151" i="46"/>
  <c r="Y251" i="46"/>
  <c r="Y252" i="46"/>
  <c r="Y166" i="46"/>
  <c r="Y189" i="46"/>
  <c r="Y59" i="46"/>
  <c r="Y162" i="46"/>
  <c r="Y184" i="46"/>
  <c r="Y180" i="46"/>
  <c r="Y144" i="46"/>
  <c r="Y136" i="46"/>
  <c r="Y93" i="46"/>
  <c r="Y92" i="46"/>
  <c r="Y130" i="46"/>
  <c r="Y240" i="46"/>
  <c r="Y113" i="46"/>
  <c r="Y246" i="46"/>
  <c r="Y167" i="46"/>
  <c r="Y123" i="46"/>
  <c r="Y52" i="46"/>
  <c r="Y72" i="46"/>
  <c r="AG66" i="53"/>
  <c r="AT66" i="53"/>
  <c r="G67" i="53"/>
  <c r="AD66" i="53"/>
  <c r="D17" i="22"/>
  <c r="Q66" i="53"/>
  <c r="H67" i="53"/>
  <c r="C67" i="53"/>
  <c r="E67" i="53"/>
  <c r="J67" i="53"/>
  <c r="I67" i="53"/>
  <c r="P67" i="53"/>
  <c r="AK66" i="52" a="1"/>
  <c r="AK66" i="52" s="1"/>
  <c r="B68" i="53" s="1"/>
  <c r="L67" i="53"/>
  <c r="F67" i="53"/>
  <c r="K67" i="53"/>
  <c r="AH67" i="53" s="1"/>
  <c r="D67" i="53"/>
  <c r="L117" i="22"/>
  <c r="D31" i="22"/>
  <c r="D14" i="22"/>
  <c r="D70" i="22"/>
  <c r="AK27" i="22"/>
  <c r="AK24" i="22"/>
  <c r="AK23" i="22"/>
  <c r="AK22" i="22"/>
  <c r="AK28" i="22"/>
  <c r="AK21" i="22"/>
  <c r="AK25" i="22"/>
  <c r="AK8" i="22"/>
  <c r="AK7" i="22"/>
  <c r="AW87" i="22"/>
  <c r="AK6" i="22"/>
  <c r="AK5" i="22"/>
  <c r="AK10" i="22"/>
  <c r="AK11" i="22"/>
  <c r="AW12" i="22"/>
  <c r="D76" i="22"/>
  <c r="D12" i="22"/>
  <c r="AW56" i="22"/>
  <c r="AW96" i="22"/>
  <c r="AW33" i="22"/>
  <c r="AW15" i="22"/>
  <c r="AW97" i="22"/>
  <c r="AW8" i="22"/>
  <c r="AW54" i="22"/>
  <c r="AW53" i="22"/>
  <c r="AW48" i="22"/>
  <c r="AW43" i="22"/>
  <c r="AW40" i="22"/>
  <c r="AW39" i="22"/>
  <c r="AW59" i="22"/>
  <c r="AW14" i="22"/>
  <c r="AW51" i="22"/>
  <c r="AW50" i="22"/>
  <c r="AW18" i="22"/>
  <c r="AW49" i="22"/>
  <c r="AW47" i="22"/>
  <c r="AW45" i="22"/>
  <c r="AW44" i="22"/>
  <c r="AW7" i="22"/>
  <c r="AW17" i="22"/>
  <c r="AW36" i="22"/>
  <c r="AW35" i="22"/>
  <c r="AW16" i="22"/>
  <c r="AW13" i="22"/>
  <c r="AW46" i="22"/>
  <c r="AW42" i="22"/>
  <c r="AW41" i="22"/>
  <c r="AW157" i="22"/>
  <c r="AW156" i="22"/>
  <c r="AW135" i="22"/>
  <c r="AW158" i="22"/>
  <c r="AW137" i="22"/>
  <c r="AW132" i="22"/>
  <c r="AW138" i="22"/>
  <c r="AW130" i="22"/>
  <c r="AW92" i="22"/>
  <c r="AW129" i="22"/>
  <c r="AW91" i="22"/>
  <c r="AW127" i="22"/>
  <c r="AW89" i="22"/>
  <c r="AW123" i="22"/>
  <c r="AW95" i="22"/>
  <c r="AW94" i="22"/>
  <c r="AW37" i="22"/>
  <c r="AW128" i="22"/>
  <c r="AW90" i="22"/>
  <c r="AW122" i="22"/>
  <c r="AW136" i="22"/>
  <c r="I133" i="22" l="1"/>
  <c r="I135" i="22"/>
  <c r="Q12" i="11"/>
  <c r="F76" i="22" s="1"/>
  <c r="F35" i="22"/>
  <c r="F14" i="22"/>
  <c r="S38" i="46"/>
  <c r="T38" i="46" s="1"/>
  <c r="Y38" i="46" s="1"/>
  <c r="W12" i="11"/>
  <c r="X15" i="46"/>
  <c r="AC68" i="53"/>
  <c r="O68" i="53"/>
  <c r="N68" i="53"/>
  <c r="AA66" i="53"/>
  <c r="S25" i="46"/>
  <c r="T25" i="46" s="1"/>
  <c r="S24" i="46"/>
  <c r="T24" i="46" s="1"/>
  <c r="S23" i="46"/>
  <c r="T23" i="46" s="1"/>
  <c r="S22" i="46"/>
  <c r="T22" i="46" s="1"/>
  <c r="S21" i="46"/>
  <c r="T21" i="46" s="1"/>
  <c r="S20" i="46"/>
  <c r="T20" i="46" s="1"/>
  <c r="S19" i="46"/>
  <c r="T19" i="46" s="1"/>
  <c r="S18" i="46"/>
  <c r="T18" i="46" s="1"/>
  <c r="S17" i="46"/>
  <c r="T17" i="46" s="1"/>
  <c r="S15" i="46"/>
  <c r="T15" i="46" s="1"/>
  <c r="S173" i="46"/>
  <c r="T173" i="46" s="1"/>
  <c r="Y173" i="46" s="1"/>
  <c r="X12" i="46"/>
  <c r="X13" i="46"/>
  <c r="S13" i="46"/>
  <c r="T13" i="46" s="1"/>
  <c r="S16" i="46"/>
  <c r="T16" i="46" s="1"/>
  <c r="S14" i="46"/>
  <c r="T14" i="46" s="1"/>
  <c r="S12" i="46"/>
  <c r="T12" i="46" s="1"/>
  <c r="AE67" i="53"/>
  <c r="AF66" i="53"/>
  <c r="Y210" i="46"/>
  <c r="R67" i="53"/>
  <c r="X67" i="53" s="1"/>
  <c r="AB67" i="53" s="1"/>
  <c r="Y255" i="46"/>
  <c r="Y254" i="46"/>
  <c r="AG67" i="53"/>
  <c r="AT67" i="53"/>
  <c r="H68" i="53"/>
  <c r="Q67" i="53"/>
  <c r="AD67" i="53"/>
  <c r="C68" i="53"/>
  <c r="P68" i="53"/>
  <c r="E68" i="53"/>
  <c r="G68" i="53"/>
  <c r="L68" i="53"/>
  <c r="AK67" i="52" a="1"/>
  <c r="AK67" i="52" s="1"/>
  <c r="B69" i="53" s="1"/>
  <c r="I68" i="53"/>
  <c r="K68" i="53"/>
  <c r="AH68" i="53" s="1"/>
  <c r="F68" i="53"/>
  <c r="J68" i="53"/>
  <c r="D68" i="53"/>
  <c r="L130" i="22"/>
  <c r="H9" i="107" l="1"/>
  <c r="J9" i="107" s="1"/>
  <c r="L9" i="107" s="1"/>
  <c r="X18" i="22"/>
  <c r="I35" i="22"/>
  <c r="I76" i="22"/>
  <c r="I134" i="22"/>
  <c r="I14" i="22"/>
  <c r="I94" i="22"/>
  <c r="W261" i="11"/>
  <c r="I20" i="22"/>
  <c r="H8" i="107"/>
  <c r="X16" i="46"/>
  <c r="Y16" i="46" s="1"/>
  <c r="L107" i="22" s="1"/>
  <c r="X14" i="46"/>
  <c r="Y14" i="46" s="1"/>
  <c r="X87" i="22"/>
  <c r="AC69" i="53"/>
  <c r="O69" i="53"/>
  <c r="N69" i="53"/>
  <c r="AA67" i="53"/>
  <c r="AE68" i="53"/>
  <c r="AF67" i="53"/>
  <c r="Y32" i="46"/>
  <c r="Y17" i="46"/>
  <c r="L109" i="22" s="1"/>
  <c r="Y33" i="46"/>
  <c r="Y30" i="46"/>
  <c r="Y26" i="46"/>
  <c r="Y20" i="46"/>
  <c r="L106" i="22" s="1"/>
  <c r="Y29" i="46"/>
  <c r="Y36" i="46"/>
  <c r="Y27" i="46"/>
  <c r="Y28" i="46"/>
  <c r="Y34" i="46"/>
  <c r="Y35" i="46"/>
  <c r="Y19" i="46"/>
  <c r="Y25" i="46"/>
  <c r="Y22" i="46"/>
  <c r="L113" i="22" s="1"/>
  <c r="Y31" i="46"/>
  <c r="Y23" i="46"/>
  <c r="Y18" i="46"/>
  <c r="Y24" i="46"/>
  <c r="Y21" i="46"/>
  <c r="R68" i="53"/>
  <c r="X68" i="53" s="1"/>
  <c r="AB68" i="53" s="1"/>
  <c r="L115" i="22"/>
  <c r="L119" i="22"/>
  <c r="Y15" i="46"/>
  <c r="Y12" i="46"/>
  <c r="Y13" i="46"/>
  <c r="AG68" i="53"/>
  <c r="AT68" i="53"/>
  <c r="C69" i="53"/>
  <c r="Q68" i="53"/>
  <c r="AD68" i="53"/>
  <c r="P69" i="53"/>
  <c r="L69" i="53"/>
  <c r="I69" i="53"/>
  <c r="E69" i="53"/>
  <c r="F69" i="53"/>
  <c r="H69" i="53"/>
  <c r="K69" i="53"/>
  <c r="AH69" i="53" s="1"/>
  <c r="G69" i="53"/>
  <c r="J69" i="53"/>
  <c r="D69" i="53"/>
  <c r="AK68" i="52" a="1"/>
  <c r="AK68" i="52" s="1"/>
  <c r="B70" i="53" s="1"/>
  <c r="X33" i="22" l="1"/>
  <c r="X135" i="22"/>
  <c r="F20" i="22"/>
  <c r="F133" i="22"/>
  <c r="I28" i="22"/>
  <c r="F28" i="22"/>
  <c r="I29" i="22"/>
  <c r="I16" i="22"/>
  <c r="I19" i="22"/>
  <c r="I15" i="22"/>
  <c r="I96" i="22"/>
  <c r="F15" i="22"/>
  <c r="F96" i="22"/>
  <c r="AC70" i="53"/>
  <c r="O70" i="53"/>
  <c r="N70" i="53"/>
  <c r="AA68" i="53"/>
  <c r="X22" i="22"/>
  <c r="L103" i="22"/>
  <c r="AF68" i="53"/>
  <c r="AE69" i="53"/>
  <c r="R69" i="53"/>
  <c r="X69" i="53" s="1"/>
  <c r="AB69" i="53" s="1"/>
  <c r="AT69" i="53"/>
  <c r="AG69" i="53"/>
  <c r="P70" i="53"/>
  <c r="AD69" i="53"/>
  <c r="Q69" i="53"/>
  <c r="C70" i="53"/>
  <c r="D70" i="53"/>
  <c r="J70" i="53"/>
  <c r="E70" i="53"/>
  <c r="H70" i="53"/>
  <c r="F70" i="53"/>
  <c r="G70" i="53"/>
  <c r="I70" i="53"/>
  <c r="L70" i="53"/>
  <c r="AK69" i="52" a="1"/>
  <c r="AK69" i="52" s="1"/>
  <c r="B71" i="53" s="1"/>
  <c r="K70" i="53"/>
  <c r="AH70" i="53" s="1"/>
  <c r="X6" i="22" l="1"/>
  <c r="H7" i="107"/>
  <c r="X34" i="22"/>
  <c r="X32" i="22"/>
  <c r="X15" i="22"/>
  <c r="X29" i="22"/>
  <c r="X28" i="22"/>
  <c r="X47" i="22"/>
  <c r="X90" i="22"/>
  <c r="X133" i="22"/>
  <c r="F29" i="22"/>
  <c r="F16" i="22"/>
  <c r="X76" i="22"/>
  <c r="X4" i="22"/>
  <c r="X20" i="22"/>
  <c r="X14" i="22"/>
  <c r="AC71" i="53"/>
  <c r="O71" i="53"/>
  <c r="N71" i="53"/>
  <c r="AA69" i="53"/>
  <c r="AE70" i="53"/>
  <c r="AF69" i="53"/>
  <c r="R70" i="53"/>
  <c r="X70" i="53" s="1"/>
  <c r="AB70" i="53" s="1"/>
  <c r="Q70" i="53"/>
  <c r="AT70" i="53"/>
  <c r="AG70" i="53"/>
  <c r="L71" i="53"/>
  <c r="AD70" i="53"/>
  <c r="J71" i="53"/>
  <c r="D71" i="53"/>
  <c r="I71" i="53"/>
  <c r="C71" i="53"/>
  <c r="F71" i="53"/>
  <c r="K71" i="53"/>
  <c r="AH71" i="53" s="1"/>
  <c r="E71" i="53"/>
  <c r="P71" i="53"/>
  <c r="AK70" i="52" a="1"/>
  <c r="AK70" i="52" s="1"/>
  <c r="B72" i="53" s="1"/>
  <c r="G71" i="53"/>
  <c r="H71" i="53"/>
  <c r="AC72" i="53" l="1"/>
  <c r="O72" i="53"/>
  <c r="X96" i="22"/>
  <c r="N72" i="53"/>
  <c r="AA70" i="53"/>
  <c r="AF70" i="53"/>
  <c r="AE71" i="53"/>
  <c r="R71" i="53"/>
  <c r="X71" i="53" s="1"/>
  <c r="AB71" i="53" s="1"/>
  <c r="AG71" i="53"/>
  <c r="AT71" i="53"/>
  <c r="L72" i="53"/>
  <c r="AD71" i="53"/>
  <c r="Q71" i="53"/>
  <c r="AK71" i="52" a="1"/>
  <c r="AK71" i="52" s="1"/>
  <c r="B73" i="53" s="1"/>
  <c r="P72" i="53"/>
  <c r="E72" i="53"/>
  <c r="D72" i="53"/>
  <c r="C72" i="53"/>
  <c r="F72" i="53"/>
  <c r="K72" i="53"/>
  <c r="AH72" i="53" s="1"/>
  <c r="H72" i="53"/>
  <c r="G72" i="53"/>
  <c r="J72" i="53"/>
  <c r="I72" i="53"/>
  <c r="L7" i="29"/>
  <c r="AC73" i="53" l="1"/>
  <c r="O73" i="53"/>
  <c r="N73" i="53"/>
  <c r="AA71" i="53"/>
  <c r="AE72" i="53"/>
  <c r="AF71" i="53"/>
  <c r="R72" i="53"/>
  <c r="X72" i="53" s="1"/>
  <c r="AB72" i="53" s="1"/>
  <c r="AL30" i="22"/>
  <c r="AL32" i="22"/>
  <c r="AT72" i="53"/>
  <c r="AG72" i="53"/>
  <c r="Q72" i="53"/>
  <c r="AD72" i="53"/>
  <c r="P73" i="53"/>
  <c r="J73" i="53"/>
  <c r="G73" i="53"/>
  <c r="L73" i="53"/>
  <c r="F73" i="53"/>
  <c r="I73" i="53"/>
  <c r="AK72" i="52" a="1"/>
  <c r="AK72" i="52" s="1"/>
  <c r="B74" i="53" s="1"/>
  <c r="H73" i="53"/>
  <c r="C73" i="53"/>
  <c r="K73" i="53"/>
  <c r="AH73" i="53" s="1"/>
  <c r="D73" i="53"/>
  <c r="E73" i="53"/>
  <c r="AC74" i="53" l="1"/>
  <c r="O74" i="53"/>
  <c r="N74" i="53"/>
  <c r="AA72" i="53"/>
  <c r="AL31" i="22"/>
  <c r="AF72" i="53"/>
  <c r="AE73" i="53"/>
  <c r="R73" i="53"/>
  <c r="X73" i="53" s="1"/>
  <c r="AB73" i="53" s="1"/>
  <c r="AG73" i="53"/>
  <c r="AT73" i="53"/>
  <c r="Q73" i="53"/>
  <c r="AD73" i="53"/>
  <c r="D74" i="53"/>
  <c r="I74" i="53"/>
  <c r="G74" i="53"/>
  <c r="F74" i="53"/>
  <c r="P74" i="53"/>
  <c r="K74" i="53"/>
  <c r="AH74" i="53" s="1"/>
  <c r="L74" i="53"/>
  <c r="AK73" i="52" a="1"/>
  <c r="AK73" i="52" s="1"/>
  <c r="B75" i="53" s="1"/>
  <c r="C74" i="53"/>
  <c r="E74" i="53"/>
  <c r="H74" i="53"/>
  <c r="J74" i="53"/>
  <c r="V22" i="22" l="1"/>
  <c r="V97" i="22"/>
  <c r="V96" i="22"/>
  <c r="AC75" i="53"/>
  <c r="O75" i="53"/>
  <c r="N75" i="53"/>
  <c r="AA73" i="53"/>
  <c r="AF73" i="53"/>
  <c r="AE74" i="53"/>
  <c r="R74" i="53"/>
  <c r="X74" i="53" s="1"/>
  <c r="AB74" i="53" s="1"/>
  <c r="AT74" i="53"/>
  <c r="AG74" i="53"/>
  <c r="E75" i="53"/>
  <c r="AD74" i="53"/>
  <c r="Q74" i="53"/>
  <c r="F75" i="53"/>
  <c r="H75" i="53"/>
  <c r="P75" i="53"/>
  <c r="J75" i="53"/>
  <c r="I75" i="53"/>
  <c r="D75" i="53"/>
  <c r="G75" i="53"/>
  <c r="K75" i="53"/>
  <c r="AH75" i="53" s="1"/>
  <c r="L75" i="53"/>
  <c r="AK74" i="52" a="1"/>
  <c r="AK74" i="52" s="1"/>
  <c r="B76" i="53" s="1"/>
  <c r="C75" i="53"/>
  <c r="T97" i="22" l="1"/>
  <c r="T22" i="22"/>
  <c r="T96" i="22"/>
  <c r="AC76" i="53"/>
  <c r="O76" i="53"/>
  <c r="N76" i="53"/>
  <c r="AA74" i="53"/>
  <c r="AE75" i="53"/>
  <c r="AF74" i="53"/>
  <c r="R75" i="53"/>
  <c r="X75" i="53" s="1"/>
  <c r="AB75" i="53" s="1"/>
  <c r="AG75" i="53"/>
  <c r="AT75" i="53"/>
  <c r="AD75" i="53"/>
  <c r="Q75" i="53"/>
  <c r="H76" i="53"/>
  <c r="P76" i="53"/>
  <c r="E76" i="53"/>
  <c r="K76" i="53"/>
  <c r="AH76" i="53" s="1"/>
  <c r="C76" i="53"/>
  <c r="I76" i="53"/>
  <c r="D76" i="53"/>
  <c r="F76" i="53"/>
  <c r="L76" i="53"/>
  <c r="AK75" i="52" a="1"/>
  <c r="AK75" i="52" s="1"/>
  <c r="B77" i="53" s="1"/>
  <c r="G76" i="53"/>
  <c r="J76" i="53"/>
  <c r="D8" i="107" l="1"/>
  <c r="V42" i="22"/>
  <c r="V16" i="22"/>
  <c r="AC77" i="53"/>
  <c r="O77" i="53"/>
  <c r="N77" i="53"/>
  <c r="AA75" i="53"/>
  <c r="AE76" i="53"/>
  <c r="AF75" i="53"/>
  <c r="R76" i="53"/>
  <c r="X76" i="53" s="1"/>
  <c r="AB76" i="53" s="1"/>
  <c r="AT76" i="53"/>
  <c r="AG76" i="53"/>
  <c r="C77" i="53"/>
  <c r="AD76" i="53"/>
  <c r="Q76" i="53"/>
  <c r="L77" i="53"/>
  <c r="I77" i="53"/>
  <c r="J77" i="53"/>
  <c r="D77" i="53"/>
  <c r="K77" i="53"/>
  <c r="AH77" i="53" s="1"/>
  <c r="F77" i="53"/>
  <c r="G77" i="53"/>
  <c r="AK76" i="52" a="1"/>
  <c r="AK76" i="52" s="1"/>
  <c r="B78" i="53" s="1"/>
  <c r="P77" i="53"/>
  <c r="H77" i="53"/>
  <c r="E77" i="53"/>
  <c r="T42" i="22" l="1"/>
  <c r="C8" i="107"/>
  <c r="T16" i="22"/>
  <c r="AC78" i="53"/>
  <c r="O78" i="53"/>
  <c r="N78" i="53"/>
  <c r="AA76" i="53"/>
  <c r="AE77" i="53"/>
  <c r="AF76" i="53"/>
  <c r="R77" i="53"/>
  <c r="X77" i="53" s="1"/>
  <c r="AB77" i="53" s="1"/>
  <c r="D4" i="22"/>
  <c r="AG77" i="53"/>
  <c r="AT77" i="53"/>
  <c r="P78" i="53"/>
  <c r="AD77" i="53"/>
  <c r="Q77" i="53"/>
  <c r="J78" i="53"/>
  <c r="C78" i="53"/>
  <c r="F78" i="53"/>
  <c r="G78" i="53"/>
  <c r="K78" i="53"/>
  <c r="AH78" i="53" s="1"/>
  <c r="L78" i="53"/>
  <c r="E78" i="53"/>
  <c r="D78" i="53"/>
  <c r="AK77" i="52" a="1"/>
  <c r="AK77" i="52" s="1"/>
  <c r="B79" i="53" s="1"/>
  <c r="H78" i="53"/>
  <c r="I78" i="53"/>
  <c r="X16" i="11" l="1"/>
  <c r="AQ16" i="11" s="1"/>
  <c r="AC79" i="53"/>
  <c r="O79" i="53"/>
  <c r="N79" i="53"/>
  <c r="AA77" i="53"/>
  <c r="AE78" i="53"/>
  <c r="AF77" i="53"/>
  <c r="R78" i="53"/>
  <c r="X78" i="53" s="1"/>
  <c r="AB78" i="53" s="1"/>
  <c r="AX63" i="22"/>
  <c r="AG78" i="53"/>
  <c r="AT78" i="53"/>
  <c r="AD78" i="53"/>
  <c r="H79" i="53"/>
  <c r="K79" i="53"/>
  <c r="AH79" i="53" s="1"/>
  <c r="AK78" i="52" a="1"/>
  <c r="AK78" i="52" s="1"/>
  <c r="B80" i="53" s="1"/>
  <c r="Q78" i="53"/>
  <c r="F79" i="53"/>
  <c r="E79" i="53"/>
  <c r="D79" i="53"/>
  <c r="G79" i="53"/>
  <c r="I79" i="53"/>
  <c r="C79" i="53"/>
  <c r="J79" i="53"/>
  <c r="P79" i="53"/>
  <c r="L79" i="53"/>
  <c r="X15" i="11"/>
  <c r="AQ15" i="11" l="1"/>
  <c r="J69" i="22"/>
  <c r="F94" i="22"/>
  <c r="AC259" i="11"/>
  <c r="X14" i="11"/>
  <c r="X13" i="11"/>
  <c r="AQ13" i="11" s="1"/>
  <c r="I101" i="22"/>
  <c r="AC80" i="53"/>
  <c r="O80" i="53"/>
  <c r="N80" i="53"/>
  <c r="AA78" i="53"/>
  <c r="AF78" i="53"/>
  <c r="AE79" i="53"/>
  <c r="R79" i="53"/>
  <c r="X79" i="53" s="1"/>
  <c r="AB79" i="53" s="1"/>
  <c r="AX23" i="22"/>
  <c r="AX24" i="22"/>
  <c r="AX141" i="22"/>
  <c r="AX102" i="22"/>
  <c r="AX70" i="22"/>
  <c r="AX65" i="22"/>
  <c r="AX69" i="22"/>
  <c r="AX72" i="22"/>
  <c r="AX71" i="22"/>
  <c r="AX21" i="22"/>
  <c r="AX148" i="22"/>
  <c r="AX143" i="22"/>
  <c r="AX144" i="22"/>
  <c r="AX142" i="22"/>
  <c r="AX20" i="22"/>
  <c r="AX146" i="22"/>
  <c r="AX140" i="22"/>
  <c r="BG20" i="22"/>
  <c r="AG79" i="53"/>
  <c r="AT79" i="53"/>
  <c r="P80" i="53"/>
  <c r="AD79" i="53"/>
  <c r="Q79" i="53"/>
  <c r="AK79" i="52" a="1"/>
  <c r="AK79" i="52" s="1"/>
  <c r="B81" i="53" s="1"/>
  <c r="K80" i="53"/>
  <c r="AH80" i="53" s="1"/>
  <c r="J80" i="53"/>
  <c r="F80" i="53"/>
  <c r="I80" i="53"/>
  <c r="H80" i="53"/>
  <c r="G80" i="53"/>
  <c r="D80" i="53"/>
  <c r="C80" i="53"/>
  <c r="L80" i="53"/>
  <c r="E80" i="53"/>
  <c r="AX64" i="22"/>
  <c r="BG5" i="22"/>
  <c r="AG12" i="11"/>
  <c r="AG13" i="11"/>
  <c r="AG14" i="11"/>
  <c r="AG15" i="11"/>
  <c r="AG16" i="11"/>
  <c r="AG17" i="11"/>
  <c r="AG18" i="11"/>
  <c r="AG19" i="11"/>
  <c r="AG20" i="11"/>
  <c r="AG21" i="11"/>
  <c r="AG22" i="11"/>
  <c r="AG23" i="11"/>
  <c r="AG24" i="11"/>
  <c r="AG25" i="11"/>
  <c r="AG26" i="11"/>
  <c r="AG27" i="11"/>
  <c r="AG28" i="11"/>
  <c r="AG29" i="11"/>
  <c r="AG30" i="11"/>
  <c r="AG31" i="11"/>
  <c r="AG32" i="11"/>
  <c r="AG33" i="11"/>
  <c r="AG34" i="11"/>
  <c r="AG35" i="11"/>
  <c r="AG36" i="11"/>
  <c r="AG37" i="11"/>
  <c r="AG38" i="11"/>
  <c r="AG39" i="11"/>
  <c r="AG40" i="11"/>
  <c r="AG41" i="11"/>
  <c r="AG42" i="11"/>
  <c r="AG43" i="11"/>
  <c r="AG44" i="11"/>
  <c r="AG45" i="11"/>
  <c r="AG46" i="11"/>
  <c r="AG47" i="11"/>
  <c r="AG48" i="11"/>
  <c r="AG49" i="11"/>
  <c r="AG50" i="11"/>
  <c r="AG51" i="11"/>
  <c r="AG52" i="11"/>
  <c r="AG53" i="11"/>
  <c r="AG54" i="11"/>
  <c r="AG55" i="11"/>
  <c r="AG56" i="11"/>
  <c r="AG57" i="11"/>
  <c r="AG58" i="11"/>
  <c r="AG59" i="11"/>
  <c r="AG60" i="11"/>
  <c r="AG61" i="11"/>
  <c r="AG62" i="11"/>
  <c r="AG63" i="11"/>
  <c r="AG64" i="11"/>
  <c r="AG65" i="11"/>
  <c r="AG66" i="11"/>
  <c r="AG67" i="11"/>
  <c r="AG68" i="11"/>
  <c r="AG69" i="11"/>
  <c r="AG70" i="11"/>
  <c r="AG71" i="11"/>
  <c r="AG72" i="11"/>
  <c r="AG73" i="11"/>
  <c r="AG74" i="11"/>
  <c r="AG75" i="11"/>
  <c r="AG76" i="11"/>
  <c r="AG77" i="11"/>
  <c r="AG78" i="11"/>
  <c r="AG79" i="11"/>
  <c r="AG80" i="11"/>
  <c r="AG81" i="11"/>
  <c r="AG82" i="11"/>
  <c r="AG83" i="11"/>
  <c r="AG84" i="11"/>
  <c r="AG85" i="11"/>
  <c r="AG86" i="11"/>
  <c r="AG87" i="11"/>
  <c r="AG88" i="11"/>
  <c r="AG89" i="11"/>
  <c r="AG90" i="11"/>
  <c r="AG91" i="11"/>
  <c r="AG92" i="11"/>
  <c r="AG93" i="11"/>
  <c r="AG94" i="11"/>
  <c r="AG95" i="11"/>
  <c r="AG96" i="11"/>
  <c r="AG97" i="11"/>
  <c r="AG98" i="11"/>
  <c r="AG99" i="11"/>
  <c r="AG100" i="11"/>
  <c r="AG101" i="11"/>
  <c r="AG102" i="11"/>
  <c r="AG103" i="11"/>
  <c r="AG104" i="11"/>
  <c r="AG105" i="11"/>
  <c r="AG106" i="11"/>
  <c r="AG107" i="11"/>
  <c r="AG108" i="11"/>
  <c r="AG109" i="11"/>
  <c r="AG110" i="11"/>
  <c r="AG111" i="11"/>
  <c r="AG112" i="11"/>
  <c r="AG113" i="11"/>
  <c r="AG114" i="11"/>
  <c r="AG115" i="11"/>
  <c r="AG116" i="11"/>
  <c r="AG117" i="11"/>
  <c r="AG118" i="11"/>
  <c r="AG119" i="11"/>
  <c r="AG120" i="11"/>
  <c r="AG121" i="11"/>
  <c r="AG122" i="11"/>
  <c r="AG123" i="11"/>
  <c r="AG124" i="11"/>
  <c r="AG125" i="11"/>
  <c r="AG126" i="11"/>
  <c r="AG127" i="11"/>
  <c r="AG128" i="11"/>
  <c r="AG129" i="11"/>
  <c r="AG130" i="11"/>
  <c r="AG131" i="11"/>
  <c r="AG132" i="11"/>
  <c r="AG133" i="11"/>
  <c r="AG134" i="11"/>
  <c r="AG135" i="11"/>
  <c r="AG136" i="11"/>
  <c r="AG137" i="11"/>
  <c r="AG138" i="11"/>
  <c r="AG139" i="11"/>
  <c r="AG140" i="11"/>
  <c r="AG141" i="11"/>
  <c r="AG142" i="11"/>
  <c r="AG143" i="11"/>
  <c r="AG144" i="11"/>
  <c r="AG145" i="11"/>
  <c r="AG146" i="11"/>
  <c r="AG147" i="11"/>
  <c r="AG148" i="11"/>
  <c r="AG149" i="11"/>
  <c r="AG150" i="11"/>
  <c r="AG151" i="11"/>
  <c r="AG152" i="11"/>
  <c r="AG153" i="11"/>
  <c r="AG154" i="11"/>
  <c r="AG155" i="11"/>
  <c r="AG156" i="11"/>
  <c r="AG157" i="11"/>
  <c r="AG158" i="11"/>
  <c r="AG159" i="11"/>
  <c r="AG160" i="11"/>
  <c r="AG161" i="11"/>
  <c r="AG162" i="11"/>
  <c r="AG163" i="11"/>
  <c r="AG164" i="11"/>
  <c r="AG165" i="11"/>
  <c r="AG166" i="11"/>
  <c r="AG167" i="11"/>
  <c r="AG168" i="11"/>
  <c r="AG169" i="11"/>
  <c r="AG170" i="11"/>
  <c r="AG171" i="11"/>
  <c r="AG172" i="11"/>
  <c r="AG173" i="11"/>
  <c r="AG174" i="11"/>
  <c r="AG175" i="11"/>
  <c r="AG176" i="11"/>
  <c r="AG177" i="11"/>
  <c r="AG178" i="11"/>
  <c r="AG179" i="11"/>
  <c r="AG180" i="11"/>
  <c r="AG181" i="11"/>
  <c r="AG182" i="11"/>
  <c r="AG183" i="11"/>
  <c r="AG184" i="11"/>
  <c r="AG185" i="11"/>
  <c r="AG186" i="11"/>
  <c r="AG187" i="11"/>
  <c r="AG188" i="11"/>
  <c r="AG189" i="11"/>
  <c r="AG190" i="11"/>
  <c r="AG191" i="11"/>
  <c r="AG192" i="11"/>
  <c r="AG193" i="11"/>
  <c r="AG194" i="11"/>
  <c r="AG195" i="11"/>
  <c r="AG196" i="11"/>
  <c r="AG197" i="11"/>
  <c r="AG198" i="11"/>
  <c r="AG199" i="11"/>
  <c r="AG200" i="11"/>
  <c r="AG201" i="11"/>
  <c r="AG202" i="11"/>
  <c r="AG203" i="11"/>
  <c r="AG204" i="11"/>
  <c r="AG205" i="11"/>
  <c r="AG206" i="11"/>
  <c r="AG207" i="11"/>
  <c r="AG208" i="11"/>
  <c r="AG209" i="11"/>
  <c r="AG210" i="11"/>
  <c r="AG211" i="11"/>
  <c r="AG212" i="11"/>
  <c r="AG213" i="11"/>
  <c r="AG214" i="11"/>
  <c r="AG215" i="11"/>
  <c r="AG216" i="11"/>
  <c r="AG217" i="11"/>
  <c r="AG218" i="11"/>
  <c r="AG219" i="11"/>
  <c r="AG220" i="11"/>
  <c r="AG221" i="11"/>
  <c r="AG222" i="11"/>
  <c r="AG223" i="11"/>
  <c r="AG224" i="11"/>
  <c r="AG225" i="11"/>
  <c r="AG226" i="11"/>
  <c r="AG227" i="11"/>
  <c r="AG228" i="11"/>
  <c r="AG229" i="11"/>
  <c r="AG230" i="11"/>
  <c r="AG231" i="11"/>
  <c r="AG232" i="11"/>
  <c r="AG233" i="11"/>
  <c r="AG234" i="11"/>
  <c r="AG235" i="11"/>
  <c r="AG236" i="11"/>
  <c r="AG237" i="11"/>
  <c r="AG238" i="11"/>
  <c r="AG239" i="11"/>
  <c r="AG240" i="11"/>
  <c r="AG241" i="11"/>
  <c r="AG242" i="11"/>
  <c r="AG243" i="11"/>
  <c r="AG244" i="11"/>
  <c r="AG245" i="11"/>
  <c r="AG246" i="11"/>
  <c r="AG247" i="11"/>
  <c r="AG248" i="11"/>
  <c r="AG249" i="11"/>
  <c r="AG250" i="11"/>
  <c r="AG251" i="11"/>
  <c r="AG252" i="11"/>
  <c r="AG253" i="11"/>
  <c r="AG254" i="11"/>
  <c r="AG255" i="11"/>
  <c r="AG256" i="11"/>
  <c r="AG257" i="11"/>
  <c r="AG258" i="11"/>
  <c r="AG11" i="11"/>
  <c r="AQ14" i="11" l="1"/>
  <c r="J68" i="22"/>
  <c r="F101" i="22"/>
  <c r="W259" i="11"/>
  <c r="X12" i="11"/>
  <c r="F102" i="22"/>
  <c r="I102" i="22"/>
  <c r="BG19" i="22" s="1"/>
  <c r="AL11" i="11" a="1"/>
  <c r="AL11" i="11" s="1"/>
  <c r="AL12" i="11" s="1" a="1"/>
  <c r="AL12" i="11" s="1"/>
  <c r="AC81" i="53"/>
  <c r="O81" i="53"/>
  <c r="N81" i="53"/>
  <c r="AA79" i="53"/>
  <c r="AE80" i="53"/>
  <c r="AF79" i="53"/>
  <c r="R80" i="53"/>
  <c r="X80" i="53" s="1"/>
  <c r="AB80" i="53" s="1"/>
  <c r="BG14" i="22"/>
  <c r="BG11" i="22"/>
  <c r="AX101" i="22"/>
  <c r="AG80" i="53"/>
  <c r="AT80" i="53"/>
  <c r="Q80" i="53"/>
  <c r="AD80" i="53"/>
  <c r="AK80" i="52" a="1"/>
  <c r="AK80" i="52" s="1"/>
  <c r="B82" i="53" s="1"/>
  <c r="F81" i="53"/>
  <c r="H81" i="53"/>
  <c r="I81" i="53"/>
  <c r="P81" i="53"/>
  <c r="K81" i="53"/>
  <c r="AH81" i="53" s="1"/>
  <c r="E81" i="53"/>
  <c r="J81" i="53"/>
  <c r="L81" i="53"/>
  <c r="G81" i="53"/>
  <c r="D81" i="53"/>
  <c r="C81" i="53"/>
  <c r="AX9" i="22"/>
  <c r="AX18" i="22"/>
  <c r="J35" i="22" l="1"/>
  <c r="AQ12" i="11"/>
  <c r="J94" i="22"/>
  <c r="J134" i="22"/>
  <c r="J101" i="22"/>
  <c r="E12" i="32"/>
  <c r="AC82" i="53"/>
  <c r="O82" i="53"/>
  <c r="N82" i="53"/>
  <c r="AA80" i="53"/>
  <c r="AE81" i="53"/>
  <c r="AF80" i="53"/>
  <c r="R81" i="53"/>
  <c r="X81" i="53" s="1"/>
  <c r="AB81" i="53" s="1"/>
  <c r="BG18" i="22"/>
  <c r="BG10" i="22"/>
  <c r="BG17" i="22"/>
  <c r="AG81" i="53"/>
  <c r="AT81" i="53"/>
  <c r="H82" i="53"/>
  <c r="AD81" i="53"/>
  <c r="Q81" i="53"/>
  <c r="AK81" i="52" a="1"/>
  <c r="AK81" i="52" s="1"/>
  <c r="B83" i="53" s="1"/>
  <c r="K82" i="53"/>
  <c r="AH82" i="53" s="1"/>
  <c r="I82" i="53"/>
  <c r="P82" i="53"/>
  <c r="D82" i="53"/>
  <c r="F82" i="53"/>
  <c r="L82" i="53"/>
  <c r="G82" i="53"/>
  <c r="J82" i="53"/>
  <c r="C82" i="53"/>
  <c r="E82" i="53"/>
  <c r="E13" i="32"/>
  <c r="AC83" i="53" l="1"/>
  <c r="O83" i="53"/>
  <c r="N83" i="53"/>
  <c r="AA81" i="53"/>
  <c r="AE82" i="53"/>
  <c r="AF81" i="53"/>
  <c r="R82" i="53"/>
  <c r="X82" i="53" s="1"/>
  <c r="AB82" i="53" s="1"/>
  <c r="AT82" i="53"/>
  <c r="AG82" i="53"/>
  <c r="E83" i="53"/>
  <c r="AD82" i="53"/>
  <c r="Q82" i="53"/>
  <c r="F83" i="53"/>
  <c r="K83" i="53"/>
  <c r="AH83" i="53" s="1"/>
  <c r="P83" i="53"/>
  <c r="G83" i="53"/>
  <c r="D83" i="53"/>
  <c r="H83" i="53"/>
  <c r="L83" i="53"/>
  <c r="AK82" i="52" a="1"/>
  <c r="AK82" i="52" s="1"/>
  <c r="B84" i="53" s="1"/>
  <c r="J83" i="53"/>
  <c r="I83" i="53"/>
  <c r="C83" i="53"/>
  <c r="AL13" i="11" a="1"/>
  <c r="AL13" i="11" s="1"/>
  <c r="E14" i="32" s="1"/>
  <c r="O14" i="32" s="1"/>
  <c r="AU14" i="32" l="1"/>
  <c r="AC84" i="53"/>
  <c r="O84" i="53"/>
  <c r="N84" i="53"/>
  <c r="AA82" i="53"/>
  <c r="AF82" i="53"/>
  <c r="AE83" i="53"/>
  <c r="R83" i="53"/>
  <c r="X83" i="53" s="1"/>
  <c r="AB83" i="53" s="1"/>
  <c r="AG83" i="53"/>
  <c r="AT83" i="53"/>
  <c r="D84" i="53"/>
  <c r="AD83" i="53"/>
  <c r="Q83" i="53"/>
  <c r="G84" i="53"/>
  <c r="P84" i="53"/>
  <c r="H84" i="53"/>
  <c r="F84" i="53"/>
  <c r="AK83" i="52" a="1"/>
  <c r="AK83" i="52" s="1"/>
  <c r="B85" i="53" s="1"/>
  <c r="K84" i="53"/>
  <c r="AH84" i="53" s="1"/>
  <c r="E84" i="53"/>
  <c r="L84" i="53"/>
  <c r="C84" i="53"/>
  <c r="J84" i="53"/>
  <c r="I84" i="53"/>
  <c r="AL14" i="11" a="1"/>
  <c r="AL14" i="11" s="1"/>
  <c r="E15" i="32" s="1"/>
  <c r="O15" i="32" s="1"/>
  <c r="F15" i="32" l="1"/>
  <c r="AU15" i="32"/>
  <c r="AC85" i="53"/>
  <c r="O85" i="53"/>
  <c r="N85" i="53"/>
  <c r="T15" i="32"/>
  <c r="AA83" i="53"/>
  <c r="AF83" i="53"/>
  <c r="AE84" i="53"/>
  <c r="R84" i="53"/>
  <c r="X84" i="53" s="1"/>
  <c r="AB84" i="53" s="1"/>
  <c r="AG84" i="53"/>
  <c r="AT84" i="53"/>
  <c r="J85" i="53"/>
  <c r="AD84" i="53"/>
  <c r="Q84" i="53"/>
  <c r="E85" i="53"/>
  <c r="D85" i="53"/>
  <c r="P85" i="53"/>
  <c r="C85" i="53"/>
  <c r="AK84" i="52" a="1"/>
  <c r="AK84" i="52" s="1"/>
  <c r="B86" i="53" s="1"/>
  <c r="G85" i="53"/>
  <c r="H85" i="53"/>
  <c r="F85" i="53"/>
  <c r="L85" i="53"/>
  <c r="K85" i="53"/>
  <c r="AH85" i="53" s="1"/>
  <c r="I85" i="53"/>
  <c r="AL15" i="11" a="1"/>
  <c r="AL15" i="11" s="1"/>
  <c r="E16" i="32" s="1"/>
  <c r="U15" i="32" l="1"/>
  <c r="O16" i="32"/>
  <c r="M16" i="32"/>
  <c r="F16" i="32"/>
  <c r="AU16" i="32"/>
  <c r="AC86" i="53"/>
  <c r="O86" i="53"/>
  <c r="N86" i="53"/>
  <c r="T16" i="32"/>
  <c r="AA84" i="53"/>
  <c r="AE85" i="53"/>
  <c r="AF84" i="53"/>
  <c r="R85" i="53"/>
  <c r="X85" i="53" s="1"/>
  <c r="AB85" i="53" s="1"/>
  <c r="AT85" i="53"/>
  <c r="AG85" i="53"/>
  <c r="AD85" i="53"/>
  <c r="Q85" i="53"/>
  <c r="C86" i="53"/>
  <c r="H86" i="53"/>
  <c r="AK85" i="52" a="1"/>
  <c r="AK85" i="52" s="1"/>
  <c r="B87" i="53" s="1"/>
  <c r="J86" i="53"/>
  <c r="E86" i="53"/>
  <c r="I86" i="53"/>
  <c r="F86" i="53"/>
  <c r="L86" i="53"/>
  <c r="P86" i="53"/>
  <c r="K86" i="53"/>
  <c r="AH86" i="53" s="1"/>
  <c r="D86" i="53"/>
  <c r="G86" i="53"/>
  <c r="AL16" i="11" a="1"/>
  <c r="AL16" i="11" s="1"/>
  <c r="E17" i="32" s="1"/>
  <c r="O17" i="32" s="1"/>
  <c r="U16" i="32" l="1"/>
  <c r="F17" i="32"/>
  <c r="AU17" i="32"/>
  <c r="AC87" i="53"/>
  <c r="O87" i="53"/>
  <c r="N87" i="53"/>
  <c r="I17" i="32"/>
  <c r="T17" i="32"/>
  <c r="AA85" i="53"/>
  <c r="AE86" i="53"/>
  <c r="AF85" i="53"/>
  <c r="R86" i="53"/>
  <c r="X86" i="53" s="1"/>
  <c r="AB86" i="53" s="1"/>
  <c r="AT86" i="53"/>
  <c r="AG86" i="53"/>
  <c r="J87" i="53"/>
  <c r="AD86" i="53"/>
  <c r="Q86" i="53"/>
  <c r="C87" i="53"/>
  <c r="D87" i="53"/>
  <c r="AK86" i="52" a="1"/>
  <c r="AK86" i="52" s="1"/>
  <c r="B88" i="53" s="1"/>
  <c r="L87" i="53"/>
  <c r="I87" i="53"/>
  <c r="G87" i="53"/>
  <c r="P87" i="53"/>
  <c r="K87" i="53"/>
  <c r="AH87" i="53" s="1"/>
  <c r="E87" i="53"/>
  <c r="H87" i="53"/>
  <c r="F87" i="53"/>
  <c r="AL17" i="11" a="1"/>
  <c r="AL17" i="11" s="1"/>
  <c r="E18" i="32" s="1"/>
  <c r="O18" i="32" s="1"/>
  <c r="U17" i="32" l="1"/>
  <c r="F18" i="32"/>
  <c r="AU18" i="32"/>
  <c r="AC88" i="53"/>
  <c r="O88" i="53"/>
  <c r="N88" i="53"/>
  <c r="T18" i="32"/>
  <c r="AA86" i="53"/>
  <c r="AF86" i="53"/>
  <c r="AE87" i="53"/>
  <c r="R87" i="53"/>
  <c r="X87" i="53" s="1"/>
  <c r="AB87" i="53" s="1"/>
  <c r="AG87" i="53"/>
  <c r="AT87" i="53"/>
  <c r="K88" i="53"/>
  <c r="AH88" i="53" s="1"/>
  <c r="AD87" i="53"/>
  <c r="Q87" i="53"/>
  <c r="P88" i="53"/>
  <c r="D88" i="53"/>
  <c r="C88" i="53"/>
  <c r="E88" i="53"/>
  <c r="H88" i="53"/>
  <c r="F88" i="53"/>
  <c r="AK87" i="52" a="1"/>
  <c r="AK87" i="52" s="1"/>
  <c r="B89" i="53" s="1"/>
  <c r="L88" i="53"/>
  <c r="I88" i="53"/>
  <c r="G88" i="53"/>
  <c r="J88" i="53"/>
  <c r="AL18" i="11" a="1"/>
  <c r="AL18" i="11" s="1"/>
  <c r="E19" i="32" s="1"/>
  <c r="O19" i="32" s="1"/>
  <c r="U18" i="32" l="1"/>
  <c r="F19" i="32"/>
  <c r="AU19" i="32"/>
  <c r="AC89" i="53"/>
  <c r="O89" i="53"/>
  <c r="N89" i="53"/>
  <c r="T19" i="32"/>
  <c r="AA87" i="53"/>
  <c r="AE88" i="53"/>
  <c r="AF87" i="53"/>
  <c r="R88" i="53"/>
  <c r="X88" i="53" s="1"/>
  <c r="AB88" i="53" s="1"/>
  <c r="AG88" i="53"/>
  <c r="AT88" i="53"/>
  <c r="J89" i="53"/>
  <c r="AD88" i="53"/>
  <c r="Q88" i="53"/>
  <c r="E89" i="53"/>
  <c r="L89" i="53"/>
  <c r="K89" i="53"/>
  <c r="AH89" i="53" s="1"/>
  <c r="C89" i="53"/>
  <c r="G89" i="53"/>
  <c r="D89" i="53"/>
  <c r="P89" i="53"/>
  <c r="H89" i="53"/>
  <c r="AK88" i="52" a="1"/>
  <c r="AK88" i="52" s="1"/>
  <c r="B90" i="53" s="1"/>
  <c r="I89" i="53"/>
  <c r="F89" i="53"/>
  <c r="AL19" i="11" a="1"/>
  <c r="AL19" i="11" s="1"/>
  <c r="E20" i="32" s="1"/>
  <c r="O20" i="32" s="1"/>
  <c r="U19" i="32" l="1"/>
  <c r="F20" i="32"/>
  <c r="AU20" i="32"/>
  <c r="AC90" i="53"/>
  <c r="O90" i="53"/>
  <c r="N90" i="53"/>
  <c r="T20" i="32"/>
  <c r="AA88" i="53"/>
  <c r="AF88" i="53"/>
  <c r="AE89" i="53"/>
  <c r="R89" i="53"/>
  <c r="X89" i="53" s="1"/>
  <c r="AB89" i="53" s="1"/>
  <c r="AG89" i="53"/>
  <c r="AT89" i="53"/>
  <c r="P90" i="53"/>
  <c r="AD89" i="53"/>
  <c r="Q89" i="53"/>
  <c r="F90" i="53"/>
  <c r="L90" i="53"/>
  <c r="D90" i="53"/>
  <c r="G90" i="53"/>
  <c r="H90" i="53"/>
  <c r="I90" i="53"/>
  <c r="C90" i="53"/>
  <c r="E90" i="53"/>
  <c r="AK89" i="52" a="1"/>
  <c r="AK89" i="52" s="1"/>
  <c r="B91" i="53" s="1"/>
  <c r="J90" i="53"/>
  <c r="K90" i="53"/>
  <c r="AH90" i="53" s="1"/>
  <c r="AL20" i="11" a="1"/>
  <c r="AL20" i="11" s="1"/>
  <c r="E21" i="32" s="1"/>
  <c r="O21" i="32" s="1"/>
  <c r="U20" i="32" l="1"/>
  <c r="F21" i="32"/>
  <c r="AU21" i="32"/>
  <c r="AC91" i="53"/>
  <c r="O91" i="53"/>
  <c r="N91" i="53"/>
  <c r="T21" i="32"/>
  <c r="AA89" i="53"/>
  <c r="AE90" i="53"/>
  <c r="AF89" i="53"/>
  <c r="R90" i="53"/>
  <c r="X90" i="53" s="1"/>
  <c r="AB90" i="53" s="1"/>
  <c r="AT90" i="53"/>
  <c r="AG90" i="53"/>
  <c r="G91" i="53"/>
  <c r="AD90" i="53"/>
  <c r="Q90" i="53"/>
  <c r="F91" i="53"/>
  <c r="H91" i="53"/>
  <c r="E91" i="53"/>
  <c r="J91" i="53"/>
  <c r="C91" i="53"/>
  <c r="I91" i="53"/>
  <c r="D91" i="53"/>
  <c r="AK90" i="52" a="1"/>
  <c r="AK90" i="52" s="1"/>
  <c r="B92" i="53" s="1"/>
  <c r="P91" i="53"/>
  <c r="L91" i="53"/>
  <c r="K91" i="53"/>
  <c r="AH91" i="53" s="1"/>
  <c r="AL21" i="11" a="1"/>
  <c r="AL21" i="11" s="1"/>
  <c r="E22" i="32" s="1"/>
  <c r="O22" i="32" s="1"/>
  <c r="U21" i="32" l="1"/>
  <c r="F22" i="32"/>
  <c r="AU22" i="32"/>
  <c r="AC92" i="53"/>
  <c r="O92" i="53"/>
  <c r="N92" i="53"/>
  <c r="T22" i="32"/>
  <c r="AA90" i="53"/>
  <c r="AF90" i="53"/>
  <c r="AE91" i="53"/>
  <c r="AK22" i="32"/>
  <c r="R91" i="53"/>
  <c r="X91" i="53" s="1"/>
  <c r="AB91" i="53" s="1"/>
  <c r="AG91" i="53"/>
  <c r="AT91" i="53"/>
  <c r="I92" i="53"/>
  <c r="Q91" i="53"/>
  <c r="AD91" i="53"/>
  <c r="G92" i="53"/>
  <c r="L92" i="53"/>
  <c r="J92" i="53"/>
  <c r="E92" i="53"/>
  <c r="H92" i="53"/>
  <c r="C92" i="53"/>
  <c r="P92" i="53"/>
  <c r="K92" i="53"/>
  <c r="AH92" i="53" s="1"/>
  <c r="F92" i="53"/>
  <c r="AK91" i="52" a="1"/>
  <c r="AK91" i="52" s="1"/>
  <c r="B93" i="53" s="1"/>
  <c r="D92" i="53"/>
  <c r="AL22" i="11" a="1"/>
  <c r="AL22" i="11" s="1"/>
  <c r="E23" i="32" s="1"/>
  <c r="O23" i="32" s="1"/>
  <c r="U22" i="32" l="1"/>
  <c r="F23" i="32"/>
  <c r="AU23" i="32"/>
  <c r="AC93" i="53"/>
  <c r="O93" i="53"/>
  <c r="N93" i="53"/>
  <c r="T23" i="32"/>
  <c r="AA91" i="53"/>
  <c r="AE92" i="53"/>
  <c r="AF91" i="53"/>
  <c r="AK23" i="32"/>
  <c r="R92" i="53"/>
  <c r="X92" i="53" s="1"/>
  <c r="AB92" i="53" s="1"/>
  <c r="AG92" i="53"/>
  <c r="AT92" i="53"/>
  <c r="C93" i="53"/>
  <c r="AD92" i="53"/>
  <c r="Q92" i="53"/>
  <c r="G93" i="53"/>
  <c r="F93" i="53"/>
  <c r="P93" i="53"/>
  <c r="I93" i="53"/>
  <c r="J93" i="53"/>
  <c r="K93" i="53"/>
  <c r="AH93" i="53" s="1"/>
  <c r="H93" i="53"/>
  <c r="E93" i="53"/>
  <c r="AK92" i="52" a="1"/>
  <c r="AK92" i="52" s="1"/>
  <c r="B94" i="53" s="1"/>
  <c r="L93" i="53"/>
  <c r="D93" i="53"/>
  <c r="AL23" i="11" a="1"/>
  <c r="AL23" i="11" s="1"/>
  <c r="E24" i="32" s="1"/>
  <c r="O24" i="32" s="1"/>
  <c r="U23" i="32" l="1"/>
  <c r="F24" i="32"/>
  <c r="AU24" i="32"/>
  <c r="AC94" i="53"/>
  <c r="O94" i="53"/>
  <c r="N94" i="53"/>
  <c r="T24" i="32"/>
  <c r="AA92" i="53"/>
  <c r="AE93" i="53"/>
  <c r="AF92" i="53"/>
  <c r="AK24" i="32"/>
  <c r="R93" i="53"/>
  <c r="X93" i="53" s="1"/>
  <c r="AB93" i="53" s="1"/>
  <c r="AT93" i="53"/>
  <c r="AG93" i="53"/>
  <c r="AD93" i="53"/>
  <c r="Q93" i="53"/>
  <c r="F94" i="53"/>
  <c r="K94" i="53"/>
  <c r="AH94" i="53" s="1"/>
  <c r="P94" i="53"/>
  <c r="H94" i="53"/>
  <c r="J94" i="53"/>
  <c r="G94" i="53"/>
  <c r="C94" i="53"/>
  <c r="E94" i="53"/>
  <c r="AK93" i="52" a="1"/>
  <c r="AK93" i="52" s="1"/>
  <c r="B95" i="53" s="1"/>
  <c r="I94" i="53"/>
  <c r="L94" i="53"/>
  <c r="D94" i="53"/>
  <c r="AL24" i="11" a="1"/>
  <c r="AL24" i="11" s="1"/>
  <c r="E25" i="32" s="1"/>
  <c r="O25" i="32" s="1"/>
  <c r="U24" i="32" l="1"/>
  <c r="F25" i="32"/>
  <c r="AU25" i="32"/>
  <c r="AC95" i="53"/>
  <c r="O95" i="53"/>
  <c r="N95" i="53"/>
  <c r="T25" i="32"/>
  <c r="AA93" i="53"/>
  <c r="AE94" i="53"/>
  <c r="AF93" i="53"/>
  <c r="AK25" i="32"/>
  <c r="R94" i="53"/>
  <c r="X94" i="53" s="1"/>
  <c r="AB94" i="53" s="1"/>
  <c r="AT94" i="53"/>
  <c r="AG94" i="53"/>
  <c r="G95" i="53"/>
  <c r="AD94" i="53"/>
  <c r="Q94" i="53"/>
  <c r="I95" i="53"/>
  <c r="L95" i="53"/>
  <c r="F95" i="53"/>
  <c r="E95" i="53"/>
  <c r="AK94" i="52" a="1"/>
  <c r="AK94" i="52" s="1"/>
  <c r="B96" i="53" s="1"/>
  <c r="H95" i="53"/>
  <c r="K95" i="53"/>
  <c r="AH95" i="53" s="1"/>
  <c r="J95" i="53"/>
  <c r="C95" i="53"/>
  <c r="D95" i="53"/>
  <c r="P95" i="53"/>
  <c r="AL25" i="11" a="1"/>
  <c r="AL25" i="11" s="1"/>
  <c r="E26" i="32" s="1"/>
  <c r="O26" i="32" s="1"/>
  <c r="U25" i="32" l="1"/>
  <c r="F26" i="32"/>
  <c r="AU26" i="32"/>
  <c r="AC96" i="53"/>
  <c r="O96" i="53"/>
  <c r="N96" i="53"/>
  <c r="T26" i="32"/>
  <c r="AA94" i="53"/>
  <c r="AF94" i="53"/>
  <c r="AE95" i="53"/>
  <c r="AK26" i="32"/>
  <c r="R95" i="53"/>
  <c r="X95" i="53" s="1"/>
  <c r="AB95" i="53" s="1"/>
  <c r="AG95" i="53"/>
  <c r="AT95" i="53"/>
  <c r="AD95" i="53"/>
  <c r="J96" i="53"/>
  <c r="F96" i="53"/>
  <c r="H96" i="53"/>
  <c r="I96" i="53"/>
  <c r="P96" i="53"/>
  <c r="G96" i="53"/>
  <c r="E96" i="53"/>
  <c r="K96" i="53"/>
  <c r="AH96" i="53" s="1"/>
  <c r="Q95" i="53"/>
  <c r="AK95" i="52" a="1"/>
  <c r="AK95" i="52" s="1"/>
  <c r="B97" i="53" s="1"/>
  <c r="L96" i="53"/>
  <c r="D96" i="53"/>
  <c r="C96" i="53"/>
  <c r="AL26" i="11" a="1"/>
  <c r="AL26" i="11" s="1"/>
  <c r="E27" i="32" s="1"/>
  <c r="O27" i="32" s="1"/>
  <c r="U26" i="32" l="1"/>
  <c r="F27" i="32"/>
  <c r="AU27" i="32"/>
  <c r="AC97" i="53"/>
  <c r="O97" i="53"/>
  <c r="N97" i="53"/>
  <c r="T27" i="32"/>
  <c r="AA95" i="53"/>
  <c r="AF95" i="53"/>
  <c r="AE96" i="53"/>
  <c r="AK27" i="32"/>
  <c r="R96" i="53"/>
  <c r="X96" i="53" s="1"/>
  <c r="AB96" i="53" s="1"/>
  <c r="AG96" i="53"/>
  <c r="AT96" i="53"/>
  <c r="J97" i="53"/>
  <c r="AD96" i="53"/>
  <c r="Q96" i="53"/>
  <c r="C97" i="53"/>
  <c r="E97" i="53"/>
  <c r="P97" i="53"/>
  <c r="G97" i="53"/>
  <c r="K97" i="53"/>
  <c r="AH97" i="53" s="1"/>
  <c r="F97" i="53"/>
  <c r="L97" i="53"/>
  <c r="H97" i="53"/>
  <c r="AK96" i="52" a="1"/>
  <c r="AK96" i="52" s="1"/>
  <c r="B98" i="53" s="1"/>
  <c r="I97" i="53"/>
  <c r="D97" i="53"/>
  <c r="AL27" i="11" a="1"/>
  <c r="AL27" i="11" s="1"/>
  <c r="E28" i="32" s="1"/>
  <c r="O28" i="32" s="1"/>
  <c r="U27" i="32" l="1"/>
  <c r="F28" i="32"/>
  <c r="AU28" i="32"/>
  <c r="AC98" i="53"/>
  <c r="O98" i="53"/>
  <c r="N98" i="53"/>
  <c r="T28" i="32"/>
  <c r="AA96" i="53"/>
  <c r="AE97" i="53"/>
  <c r="AF96" i="53"/>
  <c r="AK28" i="32"/>
  <c r="R97" i="53"/>
  <c r="X97" i="53" s="1"/>
  <c r="AB97" i="53" s="1"/>
  <c r="AG97" i="53"/>
  <c r="AT97" i="53"/>
  <c r="G98" i="53"/>
  <c r="AD97" i="53"/>
  <c r="Q97" i="53"/>
  <c r="J98" i="53"/>
  <c r="E98" i="53"/>
  <c r="I98" i="53"/>
  <c r="AK97" i="52" a="1"/>
  <c r="AK97" i="52" s="1"/>
  <c r="B99" i="53" s="1"/>
  <c r="K98" i="53"/>
  <c r="AH98" i="53" s="1"/>
  <c r="P98" i="53"/>
  <c r="F98" i="53"/>
  <c r="L98" i="53"/>
  <c r="H98" i="53"/>
  <c r="C98" i="53"/>
  <c r="D98" i="53"/>
  <c r="AL28" i="11" a="1"/>
  <c r="AL28" i="11" s="1"/>
  <c r="E29" i="32" s="1"/>
  <c r="O29" i="32" s="1"/>
  <c r="U28" i="32" l="1"/>
  <c r="F29" i="32"/>
  <c r="AU29" i="32"/>
  <c r="AC99" i="53"/>
  <c r="O99" i="53"/>
  <c r="N99" i="53"/>
  <c r="T29" i="32"/>
  <c r="AA97" i="53"/>
  <c r="AF97" i="53"/>
  <c r="AE98" i="53"/>
  <c r="AK29" i="32"/>
  <c r="R98" i="53"/>
  <c r="X98" i="53" s="1"/>
  <c r="AB98" i="53" s="1"/>
  <c r="AT98" i="53"/>
  <c r="AG98" i="53"/>
  <c r="L99" i="53"/>
  <c r="Q98" i="53"/>
  <c r="AD98" i="53"/>
  <c r="G99" i="53"/>
  <c r="C99" i="53"/>
  <c r="P99" i="53"/>
  <c r="I99" i="53"/>
  <c r="D99" i="53"/>
  <c r="J99" i="53"/>
  <c r="F99" i="53"/>
  <c r="H99" i="53"/>
  <c r="AK98" i="52" a="1"/>
  <c r="AK98" i="52" s="1"/>
  <c r="B100" i="53" s="1"/>
  <c r="K99" i="53"/>
  <c r="AH99" i="53" s="1"/>
  <c r="E99" i="53"/>
  <c r="AL29" i="11" a="1"/>
  <c r="AL29" i="11" s="1"/>
  <c r="E30" i="32" s="1"/>
  <c r="O30" i="32" s="1"/>
  <c r="U29" i="32" l="1"/>
  <c r="F30" i="32"/>
  <c r="AU30" i="32"/>
  <c r="AC100" i="53"/>
  <c r="O100" i="53"/>
  <c r="N100" i="53"/>
  <c r="T30" i="32"/>
  <c r="AA98" i="53"/>
  <c r="AE99" i="53"/>
  <c r="AF98" i="53"/>
  <c r="AK30" i="32"/>
  <c r="R99" i="53"/>
  <c r="X99" i="53" s="1"/>
  <c r="AB99" i="53" s="1"/>
  <c r="AT99" i="53"/>
  <c r="AG99" i="53"/>
  <c r="K100" i="53"/>
  <c r="AH100" i="53" s="1"/>
  <c r="Q99" i="53"/>
  <c r="AD99" i="53"/>
  <c r="L100" i="53"/>
  <c r="D100" i="53"/>
  <c r="G100" i="53"/>
  <c r="P100" i="53"/>
  <c r="F100" i="53"/>
  <c r="E100" i="53"/>
  <c r="J100" i="53"/>
  <c r="C100" i="53"/>
  <c r="I100" i="53"/>
  <c r="AK99" i="52" a="1"/>
  <c r="AK99" i="52" s="1"/>
  <c r="B101" i="53" s="1"/>
  <c r="H100" i="53"/>
  <c r="AL30" i="11" a="1"/>
  <c r="AL30" i="11" s="1"/>
  <c r="E31" i="32" s="1"/>
  <c r="O31" i="32" s="1"/>
  <c r="U30" i="32" l="1"/>
  <c r="F31" i="32"/>
  <c r="AU31" i="32"/>
  <c r="AC101" i="53"/>
  <c r="O101" i="53"/>
  <c r="N101" i="53"/>
  <c r="T31" i="32"/>
  <c r="AA99" i="53"/>
  <c r="AE100" i="53"/>
  <c r="AF99" i="53"/>
  <c r="AK31" i="32"/>
  <c r="R100" i="53"/>
  <c r="X100" i="53" s="1"/>
  <c r="AB100" i="53" s="1"/>
  <c r="AT100" i="53"/>
  <c r="AG100" i="53"/>
  <c r="AD100" i="53"/>
  <c r="Q100" i="53"/>
  <c r="K101" i="53"/>
  <c r="AH101" i="53" s="1"/>
  <c r="L101" i="53"/>
  <c r="C101" i="53"/>
  <c r="P101" i="53"/>
  <c r="AK100" i="52" a="1"/>
  <c r="AK100" i="52" s="1"/>
  <c r="B102" i="53" s="1"/>
  <c r="I101" i="53"/>
  <c r="F101" i="53"/>
  <c r="E101" i="53"/>
  <c r="D101" i="53"/>
  <c r="J101" i="53"/>
  <c r="G101" i="53"/>
  <c r="H101" i="53"/>
  <c r="AL31" i="11" a="1"/>
  <c r="AL31" i="11" s="1"/>
  <c r="E32" i="32" s="1"/>
  <c r="O32" i="32" s="1"/>
  <c r="U31" i="32" l="1"/>
  <c r="F32" i="32"/>
  <c r="AU32" i="32"/>
  <c r="AC102" i="53"/>
  <c r="O102" i="53"/>
  <c r="N102" i="53"/>
  <c r="T32" i="32"/>
  <c r="AA100" i="53"/>
  <c r="AE101" i="53"/>
  <c r="AF100" i="53"/>
  <c r="AK32" i="32"/>
  <c r="R101" i="53"/>
  <c r="X101" i="53" s="1"/>
  <c r="AB101" i="53" s="1"/>
  <c r="AT101" i="53"/>
  <c r="AG101" i="53"/>
  <c r="AD101" i="53"/>
  <c r="Q101" i="53"/>
  <c r="G102" i="53"/>
  <c r="I102" i="53"/>
  <c r="C102" i="53"/>
  <c r="H102" i="53"/>
  <c r="J102" i="53"/>
  <c r="E102" i="53"/>
  <c r="K102" i="53"/>
  <c r="AH102" i="53" s="1"/>
  <c r="D102" i="53"/>
  <c r="AK101" i="52" a="1"/>
  <c r="AK101" i="52" s="1"/>
  <c r="B103" i="53" s="1"/>
  <c r="F102" i="53"/>
  <c r="P102" i="53"/>
  <c r="L102" i="53"/>
  <c r="AL32" i="11" a="1"/>
  <c r="AL32" i="11" s="1"/>
  <c r="E33" i="32" s="1"/>
  <c r="O33" i="32" s="1"/>
  <c r="U32" i="32" l="1"/>
  <c r="F33" i="32"/>
  <c r="AU33" i="32"/>
  <c r="AC103" i="53"/>
  <c r="O103" i="53"/>
  <c r="N103" i="53"/>
  <c r="T33" i="32"/>
  <c r="AA101" i="53"/>
  <c r="AF101" i="53"/>
  <c r="AE102" i="53"/>
  <c r="AK33" i="32"/>
  <c r="R102" i="53"/>
  <c r="X102" i="53" s="1"/>
  <c r="AB102" i="53" s="1"/>
  <c r="AG102" i="53"/>
  <c r="AT102" i="53"/>
  <c r="Q102" i="53"/>
  <c r="AD102" i="53"/>
  <c r="J103" i="53"/>
  <c r="E103" i="53"/>
  <c r="AK102" i="52" a="1"/>
  <c r="AK102" i="52" s="1"/>
  <c r="B104" i="53" s="1"/>
  <c r="F103" i="53"/>
  <c r="D103" i="53"/>
  <c r="G103" i="53"/>
  <c r="K103" i="53"/>
  <c r="AH103" i="53" s="1"/>
  <c r="C103" i="53"/>
  <c r="P103" i="53"/>
  <c r="H103" i="53"/>
  <c r="I103" i="53"/>
  <c r="L103" i="53"/>
  <c r="AL33" i="11" a="1"/>
  <c r="AL33" i="11" s="1"/>
  <c r="E34" i="32" s="1"/>
  <c r="O34" i="32" s="1"/>
  <c r="U33" i="32" l="1"/>
  <c r="F34" i="32"/>
  <c r="AU34" i="32"/>
  <c r="AC104" i="53"/>
  <c r="O104" i="53"/>
  <c r="N104" i="53"/>
  <c r="T34" i="32"/>
  <c r="AA102" i="53"/>
  <c r="AE103" i="53"/>
  <c r="AF102" i="53"/>
  <c r="AK34" i="32"/>
  <c r="R103" i="53"/>
  <c r="X103" i="53" s="1"/>
  <c r="AB103" i="53" s="1"/>
  <c r="AG103" i="53"/>
  <c r="AT103" i="53"/>
  <c r="I104" i="53"/>
  <c r="AD103" i="53"/>
  <c r="Q103" i="53"/>
  <c r="D104" i="53"/>
  <c r="L104" i="53"/>
  <c r="H104" i="53"/>
  <c r="G104" i="53"/>
  <c r="AK103" i="52" a="1"/>
  <c r="AK103" i="52" s="1"/>
  <c r="B105" i="53" s="1"/>
  <c r="P104" i="53"/>
  <c r="K104" i="53"/>
  <c r="AH104" i="53" s="1"/>
  <c r="J104" i="53"/>
  <c r="E104" i="53"/>
  <c r="F104" i="53"/>
  <c r="C104" i="53"/>
  <c r="AL34" i="11" a="1"/>
  <c r="AL34" i="11" s="1"/>
  <c r="E35" i="32" s="1"/>
  <c r="O35" i="32" s="1"/>
  <c r="U34" i="32" l="1"/>
  <c r="F35" i="32"/>
  <c r="AU35" i="32"/>
  <c r="AC105" i="53"/>
  <c r="O105" i="53"/>
  <c r="N105" i="53"/>
  <c r="T35" i="32"/>
  <c r="AA103" i="53"/>
  <c r="AE104" i="53"/>
  <c r="AF103" i="53"/>
  <c r="AK35" i="32"/>
  <c r="R104" i="53"/>
  <c r="X104" i="53" s="1"/>
  <c r="AB104" i="53" s="1"/>
  <c r="AT104" i="53"/>
  <c r="AG104" i="53"/>
  <c r="F105" i="53"/>
  <c r="AD104" i="53"/>
  <c r="D105" i="53"/>
  <c r="E105" i="53"/>
  <c r="C105" i="53"/>
  <c r="G105" i="53"/>
  <c r="AK104" i="52" a="1"/>
  <c r="AK104" i="52" s="1"/>
  <c r="B106" i="53" s="1"/>
  <c r="P105" i="53"/>
  <c r="I105" i="53"/>
  <c r="Q104" i="53"/>
  <c r="L105" i="53"/>
  <c r="H105" i="53"/>
  <c r="K105" i="53"/>
  <c r="AH105" i="53" s="1"/>
  <c r="J105" i="53"/>
  <c r="AL35" i="11" a="1"/>
  <c r="AL35" i="11" s="1"/>
  <c r="E36" i="32" s="1"/>
  <c r="O36" i="32" s="1"/>
  <c r="U35" i="32" l="1"/>
  <c r="F36" i="32"/>
  <c r="AU36" i="32"/>
  <c r="AC106" i="53"/>
  <c r="O106" i="53"/>
  <c r="N106" i="53"/>
  <c r="T36" i="32"/>
  <c r="AA104" i="53"/>
  <c r="AF104" i="53"/>
  <c r="AE105" i="53"/>
  <c r="AK36" i="32"/>
  <c r="R105" i="53"/>
  <c r="X105" i="53" s="1"/>
  <c r="AB105" i="53" s="1"/>
  <c r="AT105" i="53"/>
  <c r="AG105" i="53"/>
  <c r="AD105" i="53"/>
  <c r="Q105" i="53"/>
  <c r="K106" i="53"/>
  <c r="AH106" i="53" s="1"/>
  <c r="D106" i="53"/>
  <c r="G106" i="53"/>
  <c r="J106" i="53"/>
  <c r="L106" i="53"/>
  <c r="H106" i="53"/>
  <c r="AK105" i="52" a="1"/>
  <c r="AK105" i="52" s="1"/>
  <c r="B107" i="53" s="1"/>
  <c r="F106" i="53"/>
  <c r="E106" i="53"/>
  <c r="I106" i="53"/>
  <c r="C106" i="53"/>
  <c r="P106" i="53"/>
  <c r="AL36" i="11" a="1"/>
  <c r="AL36" i="11" s="1"/>
  <c r="E37" i="32" s="1"/>
  <c r="O37" i="32" s="1"/>
  <c r="U36" i="32" l="1"/>
  <c r="F37" i="32"/>
  <c r="AU37" i="32"/>
  <c r="AC107" i="53"/>
  <c r="O107" i="53"/>
  <c r="N107" i="53"/>
  <c r="T37" i="32"/>
  <c r="AA105" i="53"/>
  <c r="AE106" i="53"/>
  <c r="AF105" i="53"/>
  <c r="AK37" i="32"/>
  <c r="R106" i="53"/>
  <c r="X106" i="53" s="1"/>
  <c r="AB106" i="53" s="1"/>
  <c r="AT106" i="53"/>
  <c r="AG106" i="53"/>
  <c r="H107" i="53"/>
  <c r="AD106" i="53"/>
  <c r="Q106" i="53"/>
  <c r="C107" i="53"/>
  <c r="J107" i="53"/>
  <c r="AK106" i="52" a="1"/>
  <c r="AK106" i="52" s="1"/>
  <c r="B108" i="53" s="1"/>
  <c r="G107" i="53"/>
  <c r="E107" i="53"/>
  <c r="F107" i="53"/>
  <c r="I107" i="53"/>
  <c r="D107" i="53"/>
  <c r="L107" i="53"/>
  <c r="K107" i="53"/>
  <c r="AH107" i="53" s="1"/>
  <c r="P107" i="53"/>
  <c r="AL37" i="11" a="1"/>
  <c r="AL37" i="11" s="1"/>
  <c r="E38" i="32" s="1"/>
  <c r="O38" i="32" s="1"/>
  <c r="U37" i="32" l="1"/>
  <c r="F38" i="32"/>
  <c r="AU38" i="32"/>
  <c r="AC108" i="53"/>
  <c r="O108" i="53"/>
  <c r="N108" i="53"/>
  <c r="T38" i="32"/>
  <c r="AA106" i="53"/>
  <c r="AF106" i="53"/>
  <c r="AE107" i="53"/>
  <c r="AK38" i="32"/>
  <c r="R107" i="53"/>
  <c r="X107" i="53" s="1"/>
  <c r="AB107" i="53" s="1"/>
  <c r="AG107" i="53"/>
  <c r="AT107" i="53"/>
  <c r="E108" i="53"/>
  <c r="AD107" i="53"/>
  <c r="H108" i="53"/>
  <c r="P108" i="53"/>
  <c r="G108" i="53"/>
  <c r="Q107" i="53"/>
  <c r="J108" i="53"/>
  <c r="L108" i="53"/>
  <c r="F108" i="53"/>
  <c r="I108" i="53"/>
  <c r="C108" i="53"/>
  <c r="AK107" i="52" a="1"/>
  <c r="AK107" i="52" s="1"/>
  <c r="B109" i="53" s="1"/>
  <c r="D108" i="53"/>
  <c r="K108" i="53"/>
  <c r="AH108" i="53" s="1"/>
  <c r="AL38" i="11" a="1"/>
  <c r="AL38" i="11" s="1"/>
  <c r="E39" i="32" s="1"/>
  <c r="O39" i="32" s="1"/>
  <c r="U38" i="32" l="1"/>
  <c r="F39" i="32"/>
  <c r="AU39" i="32"/>
  <c r="AC109" i="53"/>
  <c r="O109" i="53"/>
  <c r="N109" i="53"/>
  <c r="T39" i="32"/>
  <c r="AA107" i="53"/>
  <c r="AF107" i="53"/>
  <c r="AE108" i="53"/>
  <c r="AK39" i="32"/>
  <c r="R108" i="53"/>
  <c r="X108" i="53" s="1"/>
  <c r="AB108" i="53" s="1"/>
  <c r="AT108" i="53"/>
  <c r="AG108" i="53"/>
  <c r="P109" i="53"/>
  <c r="Q108" i="53"/>
  <c r="AD108" i="53"/>
  <c r="I109" i="53"/>
  <c r="G109" i="53"/>
  <c r="D109" i="53"/>
  <c r="L109" i="53"/>
  <c r="K109" i="53"/>
  <c r="AH109" i="53" s="1"/>
  <c r="J109" i="53"/>
  <c r="F109" i="53"/>
  <c r="AK108" i="52" a="1"/>
  <c r="AK108" i="52" s="1"/>
  <c r="B110" i="53" s="1"/>
  <c r="E109" i="53"/>
  <c r="C109" i="53"/>
  <c r="H109" i="53"/>
  <c r="AL39" i="11" a="1"/>
  <c r="AL39" i="11" s="1"/>
  <c r="E40" i="32" s="1"/>
  <c r="O40" i="32" s="1"/>
  <c r="U39" i="32" l="1"/>
  <c r="F40" i="32"/>
  <c r="AU40" i="32"/>
  <c r="AC110" i="53"/>
  <c r="O110" i="53"/>
  <c r="N110" i="53"/>
  <c r="T40" i="32"/>
  <c r="AA108" i="53"/>
  <c r="AF108" i="53"/>
  <c r="AE109" i="53"/>
  <c r="AK40" i="32"/>
  <c r="R109" i="53"/>
  <c r="X109" i="53" s="1"/>
  <c r="AB109" i="53" s="1"/>
  <c r="AG109" i="53"/>
  <c r="AT109" i="53"/>
  <c r="I110" i="53"/>
  <c r="AD109" i="53"/>
  <c r="Q109" i="53"/>
  <c r="C110" i="53"/>
  <c r="D110" i="53"/>
  <c r="G110" i="53"/>
  <c r="AK109" i="52" a="1"/>
  <c r="AK109" i="52" s="1"/>
  <c r="B111" i="53" s="1"/>
  <c r="K110" i="53"/>
  <c r="AH110" i="53" s="1"/>
  <c r="H110" i="53"/>
  <c r="F110" i="53"/>
  <c r="P110" i="53"/>
  <c r="J110" i="53"/>
  <c r="L110" i="53"/>
  <c r="E110" i="53"/>
  <c r="AL40" i="11" a="1"/>
  <c r="AL40" i="11" s="1"/>
  <c r="E41" i="32" s="1"/>
  <c r="O41" i="32" s="1"/>
  <c r="U40" i="32" l="1"/>
  <c r="F41" i="32"/>
  <c r="AU41" i="32"/>
  <c r="AC111" i="53"/>
  <c r="O111" i="53"/>
  <c r="N111" i="53"/>
  <c r="T41" i="32"/>
  <c r="AA109" i="53"/>
  <c r="AF109" i="53"/>
  <c r="AE110" i="53"/>
  <c r="AK41" i="32"/>
  <c r="R110" i="53"/>
  <c r="X110" i="53" s="1"/>
  <c r="AB110" i="53" s="1"/>
  <c r="AT110" i="53"/>
  <c r="AG110" i="53"/>
  <c r="Q110" i="53"/>
  <c r="AD110" i="53"/>
  <c r="AK110" i="52" a="1"/>
  <c r="AK110" i="52" s="1"/>
  <c r="B112" i="53" s="1"/>
  <c r="D111" i="53"/>
  <c r="G111" i="53"/>
  <c r="H111" i="53"/>
  <c r="L111" i="53"/>
  <c r="P111" i="53"/>
  <c r="K111" i="53"/>
  <c r="AH111" i="53" s="1"/>
  <c r="E111" i="53"/>
  <c r="J111" i="53"/>
  <c r="I111" i="53"/>
  <c r="C111" i="53"/>
  <c r="F111" i="53"/>
  <c r="AL41" i="11" a="1"/>
  <c r="AL41" i="11" s="1"/>
  <c r="E42" i="32" s="1"/>
  <c r="O42" i="32" s="1"/>
  <c r="U41" i="32" l="1"/>
  <c r="F42" i="32"/>
  <c r="AU42" i="32"/>
  <c r="AC112" i="53"/>
  <c r="O112" i="53"/>
  <c r="N112" i="53"/>
  <c r="T42" i="32"/>
  <c r="AA110" i="53"/>
  <c r="AE111" i="53"/>
  <c r="AF110" i="53"/>
  <c r="AK42" i="32"/>
  <c r="R111" i="53"/>
  <c r="X111" i="53" s="1"/>
  <c r="AB111" i="53" s="1"/>
  <c r="AG111" i="53"/>
  <c r="Q111" i="53"/>
  <c r="AT111" i="53"/>
  <c r="E112" i="53"/>
  <c r="AD111" i="53"/>
  <c r="H112" i="53"/>
  <c r="G112" i="53"/>
  <c r="J112" i="53"/>
  <c r="P112" i="53"/>
  <c r="L112" i="53"/>
  <c r="I112" i="53"/>
  <c r="C112" i="53"/>
  <c r="AK111" i="52" a="1"/>
  <c r="AK111" i="52" s="1"/>
  <c r="B113" i="53" s="1"/>
  <c r="F112" i="53"/>
  <c r="D112" i="53"/>
  <c r="K112" i="53"/>
  <c r="AH112" i="53" s="1"/>
  <c r="AL42" i="11" a="1"/>
  <c r="AL42" i="11" s="1"/>
  <c r="E43" i="32" s="1"/>
  <c r="O43" i="32" s="1"/>
  <c r="U42" i="32" l="1"/>
  <c r="F43" i="32"/>
  <c r="AU43" i="32"/>
  <c r="AC113" i="53"/>
  <c r="O113" i="53"/>
  <c r="N113" i="53"/>
  <c r="T43" i="32"/>
  <c r="AA111" i="53"/>
  <c r="AE112" i="53"/>
  <c r="AF111" i="53"/>
  <c r="AK43" i="32"/>
  <c r="R112" i="53"/>
  <c r="X112" i="53" s="1"/>
  <c r="AB112" i="53" s="1"/>
  <c r="AT112" i="53"/>
  <c r="AG112" i="53"/>
  <c r="E113" i="53"/>
  <c r="AD112" i="53"/>
  <c r="Q112" i="53"/>
  <c r="H113" i="53"/>
  <c r="F113" i="53"/>
  <c r="D113" i="53"/>
  <c r="P113" i="53"/>
  <c r="AK112" i="52" a="1"/>
  <c r="AK112" i="52" s="1"/>
  <c r="B114" i="53" s="1"/>
  <c r="I113" i="53"/>
  <c r="K113" i="53"/>
  <c r="AH113" i="53" s="1"/>
  <c r="L113" i="53"/>
  <c r="C113" i="53"/>
  <c r="J113" i="53"/>
  <c r="G113" i="53"/>
  <c r="AL43" i="11" a="1"/>
  <c r="AL43" i="11" s="1"/>
  <c r="E44" i="32" s="1"/>
  <c r="O44" i="32" s="1"/>
  <c r="U43" i="32" l="1"/>
  <c r="F44" i="32"/>
  <c r="AU44" i="32"/>
  <c r="AC114" i="53"/>
  <c r="O114" i="53"/>
  <c r="N114" i="53"/>
  <c r="T44" i="32"/>
  <c r="AA112" i="53"/>
  <c r="AE113" i="53"/>
  <c r="AF112" i="53"/>
  <c r="AK44" i="32"/>
  <c r="R113" i="53"/>
  <c r="X113" i="53" s="1"/>
  <c r="AB113" i="53" s="1"/>
  <c r="AT113" i="53"/>
  <c r="AG113" i="53"/>
  <c r="G114" i="53"/>
  <c r="AD113" i="53"/>
  <c r="Q113" i="53"/>
  <c r="F114" i="53"/>
  <c r="L114" i="53"/>
  <c r="H114" i="53"/>
  <c r="E114" i="53"/>
  <c r="I114" i="53"/>
  <c r="P114" i="53"/>
  <c r="AK113" i="52" a="1"/>
  <c r="AK113" i="52" s="1"/>
  <c r="B115" i="53" s="1"/>
  <c r="C114" i="53"/>
  <c r="J114" i="53"/>
  <c r="K114" i="53"/>
  <c r="AH114" i="53" s="1"/>
  <c r="D114" i="53"/>
  <c r="AL44" i="11" a="1"/>
  <c r="AL44" i="11" s="1"/>
  <c r="E45" i="32" s="1"/>
  <c r="O45" i="32" s="1"/>
  <c r="U44" i="32" l="1"/>
  <c r="F45" i="32"/>
  <c r="AU45" i="32"/>
  <c r="AC115" i="53"/>
  <c r="O115" i="53"/>
  <c r="N115" i="53"/>
  <c r="T45" i="32"/>
  <c r="AA113" i="53"/>
  <c r="AF113" i="53"/>
  <c r="AE114" i="53"/>
  <c r="AK45" i="32"/>
  <c r="R114" i="53"/>
  <c r="X114" i="53" s="1"/>
  <c r="AB114" i="53" s="1"/>
  <c r="AG114" i="53"/>
  <c r="AT114" i="53"/>
  <c r="AD114" i="53"/>
  <c r="Q114" i="53"/>
  <c r="G115" i="53"/>
  <c r="H115" i="53"/>
  <c r="E115" i="53"/>
  <c r="I115" i="53"/>
  <c r="K115" i="53"/>
  <c r="AH115" i="53" s="1"/>
  <c r="L115" i="53"/>
  <c r="F115" i="53"/>
  <c r="P115" i="53"/>
  <c r="AK114" i="52" a="1"/>
  <c r="AK114" i="52" s="1"/>
  <c r="B116" i="53" s="1"/>
  <c r="J115" i="53"/>
  <c r="C115" i="53"/>
  <c r="D115" i="53"/>
  <c r="AL45" i="11" a="1"/>
  <c r="AL45" i="11" s="1"/>
  <c r="E46" i="32" s="1"/>
  <c r="O46" i="32" s="1"/>
  <c r="U45" i="32" l="1"/>
  <c r="F46" i="32"/>
  <c r="AU46" i="32"/>
  <c r="AC116" i="53"/>
  <c r="O116" i="53"/>
  <c r="N116" i="53"/>
  <c r="T46" i="32"/>
  <c r="AA114" i="53"/>
  <c r="AE115" i="53"/>
  <c r="AF114" i="53"/>
  <c r="AK46" i="32"/>
  <c r="R115" i="53"/>
  <c r="X115" i="53" s="1"/>
  <c r="AB115" i="53" s="1"/>
  <c r="AG115" i="53"/>
  <c r="AT115" i="53"/>
  <c r="G116" i="53"/>
  <c r="AD115" i="53"/>
  <c r="Q115" i="53"/>
  <c r="P116" i="53"/>
  <c r="F116" i="53"/>
  <c r="C116" i="53"/>
  <c r="K116" i="53"/>
  <c r="AH116" i="53" s="1"/>
  <c r="AK115" i="52" a="1"/>
  <c r="AK115" i="52" s="1"/>
  <c r="B117" i="53" s="1"/>
  <c r="H116" i="53"/>
  <c r="E116" i="53"/>
  <c r="L116" i="53"/>
  <c r="J116" i="53"/>
  <c r="I116" i="53"/>
  <c r="D116" i="53"/>
  <c r="AL46" i="11" a="1"/>
  <c r="AL46" i="11" s="1"/>
  <c r="E47" i="32" s="1"/>
  <c r="O47" i="32" s="1"/>
  <c r="U46" i="32" l="1"/>
  <c r="F47" i="32"/>
  <c r="AU47" i="32"/>
  <c r="AC117" i="53"/>
  <c r="O117" i="53"/>
  <c r="N117" i="53"/>
  <c r="T47" i="32"/>
  <c r="AA115" i="53"/>
  <c r="AF115" i="53"/>
  <c r="AE116" i="53"/>
  <c r="AK47" i="32"/>
  <c r="R116" i="53"/>
  <c r="X116" i="53" s="1"/>
  <c r="AB116" i="53" s="1"/>
  <c r="AT116" i="53"/>
  <c r="AG116" i="53"/>
  <c r="L117" i="53"/>
  <c r="AD116" i="53"/>
  <c r="Q116" i="53"/>
  <c r="AK116" i="52" a="1"/>
  <c r="AK116" i="52" s="1"/>
  <c r="B118" i="53" s="1"/>
  <c r="K117" i="53"/>
  <c r="AH117" i="53" s="1"/>
  <c r="P117" i="53"/>
  <c r="D117" i="53"/>
  <c r="G117" i="53"/>
  <c r="E117" i="53"/>
  <c r="J117" i="53"/>
  <c r="H117" i="53"/>
  <c r="C117" i="53"/>
  <c r="I117" i="53"/>
  <c r="F117" i="53"/>
  <c r="AL47" i="11" a="1"/>
  <c r="AL47" i="11" s="1"/>
  <c r="E48" i="32" s="1"/>
  <c r="O48" i="32" s="1"/>
  <c r="U47" i="32" l="1"/>
  <c r="F48" i="32"/>
  <c r="AU48" i="32"/>
  <c r="AC118" i="53"/>
  <c r="O118" i="53"/>
  <c r="N118" i="53"/>
  <c r="T48" i="32"/>
  <c r="AA116" i="53"/>
  <c r="AE117" i="53"/>
  <c r="AF116" i="53"/>
  <c r="AK48" i="32"/>
  <c r="R117" i="53"/>
  <c r="X117" i="53" s="1"/>
  <c r="AB117" i="53" s="1"/>
  <c r="AT117" i="53"/>
  <c r="AG117" i="53"/>
  <c r="AD117" i="53"/>
  <c r="Q117" i="53"/>
  <c r="L118" i="53"/>
  <c r="J118" i="53"/>
  <c r="E118" i="53"/>
  <c r="G118" i="53"/>
  <c r="C118" i="53"/>
  <c r="AK117" i="52" a="1"/>
  <c r="AK117" i="52" s="1"/>
  <c r="B119" i="53" s="1"/>
  <c r="P118" i="53"/>
  <c r="K118" i="53"/>
  <c r="AH118" i="53" s="1"/>
  <c r="D118" i="53"/>
  <c r="F118" i="53"/>
  <c r="H118" i="53"/>
  <c r="I118" i="53"/>
  <c r="AL48" i="11" a="1"/>
  <c r="AL48" i="11" s="1"/>
  <c r="E49" i="32" s="1"/>
  <c r="O49" i="32" s="1"/>
  <c r="U48" i="32" l="1"/>
  <c r="F49" i="32"/>
  <c r="AU49" i="32"/>
  <c r="AC119" i="53"/>
  <c r="O119" i="53"/>
  <c r="N119" i="53"/>
  <c r="T49" i="32"/>
  <c r="AA117" i="53"/>
  <c r="AF117" i="53"/>
  <c r="AE118" i="53"/>
  <c r="AK49" i="32"/>
  <c r="R118" i="53"/>
  <c r="X118" i="53" s="1"/>
  <c r="AB118" i="53" s="1"/>
  <c r="AT118" i="53"/>
  <c r="AG118" i="53"/>
  <c r="Q118" i="53"/>
  <c r="AD118" i="53"/>
  <c r="AK118" i="52" a="1"/>
  <c r="AK118" i="52" s="1"/>
  <c r="B120" i="53" s="1"/>
  <c r="G119" i="53"/>
  <c r="E119" i="53"/>
  <c r="F119" i="53"/>
  <c r="K119" i="53"/>
  <c r="AH119" i="53" s="1"/>
  <c r="H119" i="53"/>
  <c r="I119" i="53"/>
  <c r="C119" i="53"/>
  <c r="P119" i="53"/>
  <c r="D119" i="53"/>
  <c r="L119" i="53"/>
  <c r="J119" i="53"/>
  <c r="AL49" i="11" a="1"/>
  <c r="AL49" i="11" s="1"/>
  <c r="E50" i="32" s="1"/>
  <c r="O50" i="32" s="1"/>
  <c r="U49" i="32" l="1"/>
  <c r="F50" i="32"/>
  <c r="AU50" i="32"/>
  <c r="AC120" i="53"/>
  <c r="O120" i="53"/>
  <c r="N120" i="53"/>
  <c r="T50" i="32"/>
  <c r="AA118" i="53"/>
  <c r="AE119" i="53"/>
  <c r="AF118" i="53"/>
  <c r="AK50" i="32"/>
  <c r="R119" i="53"/>
  <c r="X119" i="53" s="1"/>
  <c r="AB119" i="53" s="1"/>
  <c r="AG119" i="53"/>
  <c r="AT119" i="53"/>
  <c r="AD119" i="53"/>
  <c r="Q119" i="53"/>
  <c r="AK119" i="52" a="1"/>
  <c r="AK119" i="52" s="1"/>
  <c r="B121" i="53" s="1"/>
  <c r="H120" i="53"/>
  <c r="J120" i="53"/>
  <c r="E120" i="53"/>
  <c r="D120" i="53"/>
  <c r="K120" i="53"/>
  <c r="AH120" i="53" s="1"/>
  <c r="G120" i="53"/>
  <c r="C120" i="53"/>
  <c r="P120" i="53"/>
  <c r="I120" i="53"/>
  <c r="L120" i="53"/>
  <c r="F120" i="53"/>
  <c r="AL50" i="11" a="1"/>
  <c r="AL50" i="11" s="1"/>
  <c r="E51" i="32" s="1"/>
  <c r="O51" i="32" s="1"/>
  <c r="U50" i="32" l="1"/>
  <c r="F51" i="32"/>
  <c r="AU51" i="32"/>
  <c r="AC121" i="53"/>
  <c r="O121" i="53"/>
  <c r="N121" i="53"/>
  <c r="T51" i="32"/>
  <c r="AA119" i="53"/>
  <c r="AE120" i="53"/>
  <c r="AF119" i="53"/>
  <c r="AK51" i="32"/>
  <c r="R120" i="53"/>
  <c r="X120" i="53" s="1"/>
  <c r="AB120" i="53" s="1"/>
  <c r="AT120" i="53"/>
  <c r="AG120" i="53"/>
  <c r="F121" i="53"/>
  <c r="Q120" i="53"/>
  <c r="AD120" i="53"/>
  <c r="P121" i="53"/>
  <c r="K121" i="53"/>
  <c r="AH121" i="53" s="1"/>
  <c r="L121" i="53"/>
  <c r="D121" i="53"/>
  <c r="J121" i="53"/>
  <c r="E121" i="53"/>
  <c r="I121" i="53"/>
  <c r="C121" i="53"/>
  <c r="AK120" i="52" a="1"/>
  <c r="AK120" i="52" s="1"/>
  <c r="B122" i="53" s="1"/>
  <c r="H121" i="53"/>
  <c r="G121" i="53"/>
  <c r="AL51" i="11" a="1"/>
  <c r="AL51" i="11" s="1"/>
  <c r="E52" i="32" s="1"/>
  <c r="O52" i="32" s="1"/>
  <c r="U51" i="32" l="1"/>
  <c r="F52" i="32"/>
  <c r="AU52" i="32"/>
  <c r="AC122" i="53"/>
  <c r="O122" i="53"/>
  <c r="N122" i="53"/>
  <c r="T52" i="32"/>
  <c r="AA120" i="53"/>
  <c r="AE121" i="53"/>
  <c r="AF120" i="53"/>
  <c r="AK52" i="32"/>
  <c r="R121" i="53"/>
  <c r="X121" i="53" s="1"/>
  <c r="AB121" i="53" s="1"/>
  <c r="AT121" i="53"/>
  <c r="AG121" i="53"/>
  <c r="P122" i="53"/>
  <c r="AD121" i="53"/>
  <c r="Q121" i="53"/>
  <c r="C122" i="53"/>
  <c r="K122" i="53"/>
  <c r="AH122" i="53" s="1"/>
  <c r="D122" i="53"/>
  <c r="J122" i="53"/>
  <c r="G122" i="53"/>
  <c r="I122" i="53"/>
  <c r="E122" i="53"/>
  <c r="AK121" i="52" a="1"/>
  <c r="AK121" i="52" s="1"/>
  <c r="B123" i="53" s="1"/>
  <c r="F122" i="53"/>
  <c r="H122" i="53"/>
  <c r="L122" i="53"/>
  <c r="AL52" i="11" a="1"/>
  <c r="AL52" i="11" s="1"/>
  <c r="E53" i="32" s="1"/>
  <c r="O53" i="32" s="1"/>
  <c r="U52" i="32" l="1"/>
  <c r="F53" i="32"/>
  <c r="AU53" i="32"/>
  <c r="AC123" i="53"/>
  <c r="O123" i="53"/>
  <c r="N123" i="53"/>
  <c r="T53" i="32"/>
  <c r="AA121" i="53"/>
  <c r="AF121" i="53"/>
  <c r="AE122" i="53"/>
  <c r="AK53" i="32"/>
  <c r="R122" i="53"/>
  <c r="X122" i="53" s="1"/>
  <c r="AB122" i="53" s="1"/>
  <c r="AT122" i="53"/>
  <c r="AG122" i="53"/>
  <c r="Q122" i="53"/>
  <c r="AD122" i="53"/>
  <c r="C123" i="53"/>
  <c r="J123" i="53"/>
  <c r="P123" i="53"/>
  <c r="F123" i="53"/>
  <c r="I123" i="53"/>
  <c r="G123" i="53"/>
  <c r="H123" i="53"/>
  <c r="D123" i="53"/>
  <c r="AK122" i="52" a="1"/>
  <c r="AK122" i="52" s="1"/>
  <c r="B124" i="53" s="1"/>
  <c r="E123" i="53"/>
  <c r="K123" i="53"/>
  <c r="AH123" i="53" s="1"/>
  <c r="L123" i="53"/>
  <c r="AL53" i="11" a="1"/>
  <c r="AL53" i="11" s="1"/>
  <c r="E54" i="32" s="1"/>
  <c r="O54" i="32" s="1"/>
  <c r="U53" i="32" l="1"/>
  <c r="F54" i="32"/>
  <c r="AU54" i="32"/>
  <c r="AC124" i="53"/>
  <c r="O124" i="53"/>
  <c r="N124" i="53"/>
  <c r="T54" i="32"/>
  <c r="AA122" i="53"/>
  <c r="AE123" i="53"/>
  <c r="AF122" i="53"/>
  <c r="AK54" i="32"/>
  <c r="R123" i="53"/>
  <c r="X123" i="53" s="1"/>
  <c r="AB123" i="53" s="1"/>
  <c r="AG123" i="53"/>
  <c r="AT123" i="53"/>
  <c r="K124" i="53"/>
  <c r="AH124" i="53" s="1"/>
  <c r="Q123" i="53"/>
  <c r="AD123" i="53"/>
  <c r="P124" i="53"/>
  <c r="D124" i="53"/>
  <c r="J124" i="53"/>
  <c r="H124" i="53"/>
  <c r="I124" i="53"/>
  <c r="F124" i="53"/>
  <c r="E124" i="53"/>
  <c r="G124" i="53"/>
  <c r="AK123" i="52" a="1"/>
  <c r="AK123" i="52" s="1"/>
  <c r="B125" i="53" s="1"/>
  <c r="L124" i="53"/>
  <c r="C124" i="53"/>
  <c r="AL54" i="11" a="1"/>
  <c r="AL54" i="11" s="1"/>
  <c r="U54" i="32" l="1"/>
  <c r="AC125" i="53"/>
  <c r="O125" i="53"/>
  <c r="N125" i="53"/>
  <c r="AA123" i="53"/>
  <c r="AE124" i="53"/>
  <c r="AF123" i="53"/>
  <c r="R124" i="53"/>
  <c r="X124" i="53" s="1"/>
  <c r="AB124" i="53" s="1"/>
  <c r="AT124" i="53"/>
  <c r="AG124" i="53"/>
  <c r="J125" i="53"/>
  <c r="AD124" i="53"/>
  <c r="Q124" i="53"/>
  <c r="E125" i="53"/>
  <c r="H125" i="53"/>
  <c r="G125" i="53"/>
  <c r="K125" i="53"/>
  <c r="AH125" i="53" s="1"/>
  <c r="D125" i="53"/>
  <c r="I125" i="53"/>
  <c r="C125" i="53"/>
  <c r="P125" i="53"/>
  <c r="AK124" i="52" a="1"/>
  <c r="AK124" i="52" s="1"/>
  <c r="B126" i="53" s="1"/>
  <c r="L125" i="53"/>
  <c r="F125" i="53"/>
  <c r="E55" i="32"/>
  <c r="O55" i="32" s="1"/>
  <c r="AL55" i="11" a="1"/>
  <c r="AL55" i="11" s="1"/>
  <c r="E56" i="32" s="1"/>
  <c r="O56" i="32" s="1"/>
  <c r="F56" i="32" l="1"/>
  <c r="AU56" i="32"/>
  <c r="F55" i="32"/>
  <c r="AU55" i="32"/>
  <c r="AC126" i="53"/>
  <c r="O126" i="53"/>
  <c r="N126" i="53"/>
  <c r="T55" i="32"/>
  <c r="T56" i="32"/>
  <c r="AA124" i="53"/>
  <c r="AE125" i="53"/>
  <c r="AF124" i="53"/>
  <c r="AK55" i="32"/>
  <c r="AK56" i="32"/>
  <c r="R125" i="53"/>
  <c r="X125" i="53" s="1"/>
  <c r="AB125" i="53" s="1"/>
  <c r="AT125" i="53"/>
  <c r="AG125" i="53"/>
  <c r="J126" i="53"/>
  <c r="Q125" i="53"/>
  <c r="AD125" i="53"/>
  <c r="I126" i="53"/>
  <c r="D126" i="53"/>
  <c r="F126" i="53"/>
  <c r="E126" i="53"/>
  <c r="L126" i="53"/>
  <c r="C126" i="53"/>
  <c r="K126" i="53"/>
  <c r="AH126" i="53" s="1"/>
  <c r="H126" i="53"/>
  <c r="G126" i="53"/>
  <c r="AK125" i="52" a="1"/>
  <c r="AK125" i="52" s="1"/>
  <c r="B127" i="53" s="1"/>
  <c r="P126" i="53"/>
  <c r="AL56" i="11" a="1"/>
  <c r="AL56" i="11" s="1"/>
  <c r="U55" i="32" l="1"/>
  <c r="U56" i="32"/>
  <c r="AC127" i="53"/>
  <c r="O127" i="53"/>
  <c r="N127" i="53"/>
  <c r="AA125" i="53"/>
  <c r="AE126" i="53"/>
  <c r="AF125" i="53"/>
  <c r="R126" i="53"/>
  <c r="X126" i="53" s="1"/>
  <c r="AB126" i="53" s="1"/>
  <c r="AG126" i="53"/>
  <c r="AT126" i="53"/>
  <c r="L127" i="53"/>
  <c r="AD126" i="53"/>
  <c r="J127" i="53"/>
  <c r="G127" i="53"/>
  <c r="P127" i="53"/>
  <c r="Q126" i="53"/>
  <c r="H127" i="53"/>
  <c r="K127" i="53"/>
  <c r="AH127" i="53" s="1"/>
  <c r="D127" i="53"/>
  <c r="AK126" i="52" a="1"/>
  <c r="AK126" i="52" s="1"/>
  <c r="B128" i="53" s="1"/>
  <c r="E127" i="53"/>
  <c r="F127" i="53"/>
  <c r="I127" i="53"/>
  <c r="C127" i="53"/>
  <c r="E57" i="32"/>
  <c r="O57" i="32" s="1"/>
  <c r="AL57" i="11" a="1"/>
  <c r="AL57" i="11" s="1"/>
  <c r="E58" i="32" s="1"/>
  <c r="O58" i="32" s="1"/>
  <c r="F58" i="32" l="1"/>
  <c r="AU58" i="32"/>
  <c r="F57" i="32"/>
  <c r="AU57" i="32"/>
  <c r="AC128" i="53"/>
  <c r="O128" i="53"/>
  <c r="N128" i="53"/>
  <c r="T58" i="32"/>
  <c r="T57" i="32"/>
  <c r="AA126" i="53"/>
  <c r="AE127" i="53"/>
  <c r="AF126" i="53"/>
  <c r="AK58" i="32"/>
  <c r="AK57" i="32"/>
  <c r="R127" i="53"/>
  <c r="X127" i="53" s="1"/>
  <c r="AB127" i="53" s="1"/>
  <c r="AT127" i="53"/>
  <c r="AG127" i="53"/>
  <c r="Q127" i="53"/>
  <c r="AD127" i="53"/>
  <c r="C128" i="53"/>
  <c r="I128" i="53"/>
  <c r="F128" i="53"/>
  <c r="G128" i="53"/>
  <c r="E128" i="53"/>
  <c r="J128" i="53"/>
  <c r="K128" i="53"/>
  <c r="AH128" i="53" s="1"/>
  <c r="L128" i="53"/>
  <c r="P128" i="53"/>
  <c r="AK127" i="52" a="1"/>
  <c r="AK127" i="52" s="1"/>
  <c r="B129" i="53" s="1"/>
  <c r="H128" i="53"/>
  <c r="D128" i="53"/>
  <c r="AL58" i="11" a="1"/>
  <c r="AL58" i="11" s="1"/>
  <c r="U57" i="32" l="1"/>
  <c r="U58" i="32"/>
  <c r="AC129" i="53"/>
  <c r="O129" i="53"/>
  <c r="N129" i="53"/>
  <c r="AA127" i="53"/>
  <c r="AE128" i="53"/>
  <c r="AF127" i="53"/>
  <c r="R128" i="53"/>
  <c r="X128" i="53" s="1"/>
  <c r="AB128" i="53" s="1"/>
  <c r="AG128" i="53"/>
  <c r="AT128" i="53"/>
  <c r="F129" i="53"/>
  <c r="AD128" i="53"/>
  <c r="Q128" i="53"/>
  <c r="I129" i="53"/>
  <c r="L129" i="53"/>
  <c r="H129" i="53"/>
  <c r="E129" i="53"/>
  <c r="G129" i="53"/>
  <c r="C129" i="53"/>
  <c r="P129" i="53"/>
  <c r="AK128" i="52" a="1"/>
  <c r="AK128" i="52" s="1"/>
  <c r="B130" i="53" s="1"/>
  <c r="J129" i="53"/>
  <c r="D129" i="53"/>
  <c r="K129" i="53"/>
  <c r="AH129" i="53" s="1"/>
  <c r="E59" i="32"/>
  <c r="O59" i="32" s="1"/>
  <c r="AL59" i="11" a="1"/>
  <c r="AL59" i="11" s="1"/>
  <c r="F59" i="32" l="1"/>
  <c r="AU59" i="32"/>
  <c r="AC130" i="53"/>
  <c r="O130" i="53"/>
  <c r="N130" i="53"/>
  <c r="T59" i="32"/>
  <c r="AA128" i="53"/>
  <c r="AE129" i="53"/>
  <c r="AF128" i="53"/>
  <c r="AK59" i="32"/>
  <c r="R129" i="53"/>
  <c r="X129" i="53" s="1"/>
  <c r="AB129" i="53" s="1"/>
  <c r="AG129" i="53"/>
  <c r="AT129" i="53"/>
  <c r="G130" i="53"/>
  <c r="Q129" i="53"/>
  <c r="AD129" i="53"/>
  <c r="I130" i="53"/>
  <c r="E130" i="53"/>
  <c r="L130" i="53"/>
  <c r="K130" i="53"/>
  <c r="AH130" i="53" s="1"/>
  <c r="C130" i="53"/>
  <c r="D130" i="53"/>
  <c r="H130" i="53"/>
  <c r="P130" i="53"/>
  <c r="J130" i="53"/>
  <c r="AK129" i="52" a="1"/>
  <c r="AK129" i="52" s="1"/>
  <c r="B131" i="53" s="1"/>
  <c r="F130" i="53"/>
  <c r="E60" i="32"/>
  <c r="O60" i="32" s="1"/>
  <c r="AL60" i="11" a="1"/>
  <c r="AL60" i="11" s="1"/>
  <c r="E61" i="32" s="1"/>
  <c r="O61" i="32" s="1"/>
  <c r="U59" i="32" l="1"/>
  <c r="F61" i="32"/>
  <c r="AU61" i="32"/>
  <c r="F60" i="32"/>
  <c r="AU60" i="32"/>
  <c r="AC131" i="53"/>
  <c r="O131" i="53"/>
  <c r="N131" i="53"/>
  <c r="T61" i="32"/>
  <c r="T60" i="32"/>
  <c r="AA129" i="53"/>
  <c r="AE130" i="53"/>
  <c r="AF129" i="53"/>
  <c r="AK61" i="32"/>
  <c r="AK60" i="32"/>
  <c r="R130" i="53"/>
  <c r="X130" i="53" s="1"/>
  <c r="AB130" i="53" s="1"/>
  <c r="AT130" i="53"/>
  <c r="AG130" i="53"/>
  <c r="J131" i="53"/>
  <c r="Q130" i="53"/>
  <c r="AD130" i="53"/>
  <c r="AK130" i="52" a="1"/>
  <c r="AK130" i="52" s="1"/>
  <c r="B132" i="53" s="1"/>
  <c r="E131" i="53"/>
  <c r="H131" i="53"/>
  <c r="D131" i="53"/>
  <c r="L131" i="53"/>
  <c r="G131" i="53"/>
  <c r="C131" i="53"/>
  <c r="I131" i="53"/>
  <c r="F131" i="53"/>
  <c r="K131" i="53"/>
  <c r="AH131" i="53" s="1"/>
  <c r="P131" i="53"/>
  <c r="AL61" i="11" a="1"/>
  <c r="AL61" i="11" s="1"/>
  <c r="E62" i="32" s="1"/>
  <c r="O62" i="32" s="1"/>
  <c r="U60" i="32" l="1"/>
  <c r="U61" i="32"/>
  <c r="F62" i="32"/>
  <c r="AU62" i="32"/>
  <c r="AC132" i="53"/>
  <c r="O132" i="53"/>
  <c r="N132" i="53"/>
  <c r="T62" i="32"/>
  <c r="AA130" i="53"/>
  <c r="AE131" i="53"/>
  <c r="AF130" i="53"/>
  <c r="AK62" i="32"/>
  <c r="R131" i="53"/>
  <c r="X131" i="53" s="1"/>
  <c r="AB131" i="53" s="1"/>
  <c r="AG131" i="53"/>
  <c r="AT131" i="53"/>
  <c r="AD131" i="53"/>
  <c r="Q131" i="53"/>
  <c r="AK131" i="52" a="1"/>
  <c r="AK131" i="52" s="1"/>
  <c r="B133" i="53" s="1"/>
  <c r="J132" i="53"/>
  <c r="E132" i="53"/>
  <c r="H132" i="53"/>
  <c r="D132" i="53"/>
  <c r="I132" i="53"/>
  <c r="P132" i="53"/>
  <c r="C132" i="53"/>
  <c r="G132" i="53"/>
  <c r="F132" i="53"/>
  <c r="L132" i="53"/>
  <c r="K132" i="53"/>
  <c r="AH132" i="53" s="1"/>
  <c r="AL62" i="11" a="1"/>
  <c r="AL62" i="11" s="1"/>
  <c r="U62" i="32" l="1"/>
  <c r="AC133" i="53"/>
  <c r="O133" i="53"/>
  <c r="N133" i="53"/>
  <c r="AA131" i="53"/>
  <c r="AE132" i="53"/>
  <c r="AF131" i="53"/>
  <c r="R132" i="53"/>
  <c r="X132" i="53" s="1"/>
  <c r="AB132" i="53" s="1"/>
  <c r="AG132" i="53"/>
  <c r="AT132" i="53"/>
  <c r="J133" i="53"/>
  <c r="AD132" i="53"/>
  <c r="K133" i="53"/>
  <c r="AH133" i="53" s="1"/>
  <c r="C133" i="53"/>
  <c r="D133" i="53"/>
  <c r="L133" i="53"/>
  <c r="E133" i="53"/>
  <c r="Q132" i="53"/>
  <c r="P133" i="53"/>
  <c r="I133" i="53"/>
  <c r="H133" i="53"/>
  <c r="AK132" i="52" a="1"/>
  <c r="AK132" i="52" s="1"/>
  <c r="B134" i="53" s="1"/>
  <c r="G133" i="53"/>
  <c r="F133" i="53"/>
  <c r="E63" i="32"/>
  <c r="O63" i="32" s="1"/>
  <c r="AL63" i="11" a="1"/>
  <c r="AL63" i="11" s="1"/>
  <c r="E64" i="32" s="1"/>
  <c r="O64" i="32" s="1"/>
  <c r="F64" i="32" l="1"/>
  <c r="AU64" i="32"/>
  <c r="F63" i="32"/>
  <c r="AU63" i="32"/>
  <c r="AC134" i="53"/>
  <c r="O134" i="53"/>
  <c r="N134" i="53"/>
  <c r="T64" i="32"/>
  <c r="T63" i="32"/>
  <c r="AA132" i="53"/>
  <c r="AF132" i="53"/>
  <c r="AE133" i="53"/>
  <c r="AK64" i="32"/>
  <c r="AK63" i="32"/>
  <c r="R133" i="53"/>
  <c r="X133" i="53" s="1"/>
  <c r="AB133" i="53" s="1"/>
  <c r="AG133" i="53"/>
  <c r="AT133" i="53"/>
  <c r="L134" i="53"/>
  <c r="AD133" i="53"/>
  <c r="Q133" i="53"/>
  <c r="I134" i="53"/>
  <c r="P134" i="53"/>
  <c r="H134" i="53"/>
  <c r="K134" i="53"/>
  <c r="AH134" i="53" s="1"/>
  <c r="E134" i="53"/>
  <c r="C134" i="53"/>
  <c r="F134" i="53"/>
  <c r="AK133" i="52" a="1"/>
  <c r="AK133" i="52" s="1"/>
  <c r="B135" i="53" s="1"/>
  <c r="G134" i="53"/>
  <c r="J134" i="53"/>
  <c r="D134" i="53"/>
  <c r="AL64" i="11" a="1"/>
  <c r="AL64" i="11" s="1"/>
  <c r="U63" i="32" l="1"/>
  <c r="U64" i="32"/>
  <c r="AC135" i="53"/>
  <c r="O135" i="53"/>
  <c r="N135" i="53"/>
  <c r="AA133" i="53"/>
  <c r="AE134" i="53"/>
  <c r="AF133" i="53"/>
  <c r="R134" i="53"/>
  <c r="X134" i="53" s="1"/>
  <c r="AB134" i="53" s="1"/>
  <c r="AT134" i="53"/>
  <c r="AG134" i="53"/>
  <c r="P135" i="53"/>
  <c r="AD134" i="53"/>
  <c r="Q134" i="53"/>
  <c r="F135" i="53"/>
  <c r="K135" i="53"/>
  <c r="AH135" i="53" s="1"/>
  <c r="I135" i="53"/>
  <c r="AK134" i="52" a="1"/>
  <c r="AK134" i="52" s="1"/>
  <c r="B136" i="53" s="1"/>
  <c r="D135" i="53"/>
  <c r="L135" i="53"/>
  <c r="E135" i="53"/>
  <c r="J135" i="53"/>
  <c r="G135" i="53"/>
  <c r="C135" i="53"/>
  <c r="H135" i="53"/>
  <c r="E65" i="32"/>
  <c r="O65" i="32" s="1"/>
  <c r="AL65" i="11" a="1"/>
  <c r="AL65" i="11" s="1"/>
  <c r="F65" i="32" l="1"/>
  <c r="AU65" i="32"/>
  <c r="AC136" i="53"/>
  <c r="O136" i="53"/>
  <c r="N136" i="53"/>
  <c r="T65" i="32"/>
  <c r="AA134" i="53"/>
  <c r="AF134" i="53"/>
  <c r="AE135" i="53"/>
  <c r="AK65" i="32"/>
  <c r="R135" i="53"/>
  <c r="X135" i="53" s="1"/>
  <c r="AB135" i="53" s="1"/>
  <c r="AG135" i="53"/>
  <c r="AT135" i="53"/>
  <c r="J136" i="53"/>
  <c r="Q135" i="53"/>
  <c r="AD135" i="53"/>
  <c r="AK135" i="52" a="1"/>
  <c r="AK135" i="52" s="1"/>
  <c r="B137" i="53" s="1"/>
  <c r="P136" i="53"/>
  <c r="D136" i="53"/>
  <c r="F136" i="53"/>
  <c r="G136" i="53"/>
  <c r="E136" i="53"/>
  <c r="L136" i="53"/>
  <c r="C136" i="53"/>
  <c r="K136" i="53"/>
  <c r="AH136" i="53" s="1"/>
  <c r="I136" i="53"/>
  <c r="H136" i="53"/>
  <c r="E66" i="32"/>
  <c r="O66" i="32" s="1"/>
  <c r="AL66" i="11" a="1"/>
  <c r="AL66" i="11" s="1"/>
  <c r="E67" i="32" s="1"/>
  <c r="O67" i="32" s="1"/>
  <c r="U65" i="32" l="1"/>
  <c r="F67" i="32"/>
  <c r="AU67" i="32"/>
  <c r="F66" i="32"/>
  <c r="AU66" i="32"/>
  <c r="AC137" i="53"/>
  <c r="O137" i="53"/>
  <c r="N137" i="53"/>
  <c r="T67" i="32"/>
  <c r="T66" i="32"/>
  <c r="AA135" i="53"/>
  <c r="AF135" i="53"/>
  <c r="AE136" i="53"/>
  <c r="AK67" i="32"/>
  <c r="AK66" i="32"/>
  <c r="R136" i="53"/>
  <c r="X136" i="53" s="1"/>
  <c r="AB136" i="53" s="1"/>
  <c r="Q136" i="53"/>
  <c r="AT136" i="53"/>
  <c r="AG136" i="53"/>
  <c r="K137" i="53"/>
  <c r="AH137" i="53" s="1"/>
  <c r="AD136" i="53"/>
  <c r="G137" i="53"/>
  <c r="C137" i="53"/>
  <c r="P137" i="53"/>
  <c r="D137" i="53"/>
  <c r="I137" i="53"/>
  <c r="E137" i="53"/>
  <c r="AK136" i="52" a="1"/>
  <c r="AK136" i="52" s="1"/>
  <c r="B138" i="53" s="1"/>
  <c r="F137" i="53"/>
  <c r="L137" i="53"/>
  <c r="H137" i="53"/>
  <c r="J137" i="53"/>
  <c r="AL67" i="11" a="1"/>
  <c r="AL67" i="11" s="1"/>
  <c r="E68" i="32" s="1"/>
  <c r="O68" i="32" s="1"/>
  <c r="U66" i="32" l="1"/>
  <c r="U67" i="32"/>
  <c r="F68" i="32"/>
  <c r="AU68" i="32"/>
  <c r="AC138" i="53"/>
  <c r="O138" i="53"/>
  <c r="N138" i="53"/>
  <c r="T68" i="32"/>
  <c r="AA136" i="53"/>
  <c r="AE137" i="53"/>
  <c r="AF136" i="53"/>
  <c r="AK68" i="32"/>
  <c r="R137" i="53"/>
  <c r="X137" i="53" s="1"/>
  <c r="AB137" i="53" s="1"/>
  <c r="AT137" i="53"/>
  <c r="AG137" i="53"/>
  <c r="I138" i="53"/>
  <c r="Q137" i="53"/>
  <c r="AD137" i="53"/>
  <c r="AK137" i="52" a="1"/>
  <c r="AK137" i="52" s="1"/>
  <c r="B139" i="53" s="1"/>
  <c r="G138" i="53"/>
  <c r="J138" i="53"/>
  <c r="P138" i="53"/>
  <c r="K138" i="53"/>
  <c r="AH138" i="53" s="1"/>
  <c r="H138" i="53"/>
  <c r="F138" i="53"/>
  <c r="L138" i="53"/>
  <c r="C138" i="53"/>
  <c r="D138" i="53"/>
  <c r="E138" i="53"/>
  <c r="AL68" i="11" a="1"/>
  <c r="AL68" i="11" s="1"/>
  <c r="U68" i="32" l="1"/>
  <c r="AC139" i="53"/>
  <c r="O139" i="53"/>
  <c r="N139" i="53"/>
  <c r="AA137" i="53"/>
  <c r="AE138" i="53"/>
  <c r="AF137" i="53"/>
  <c r="R138" i="53"/>
  <c r="X138" i="53" s="1"/>
  <c r="AB138" i="53" s="1"/>
  <c r="AT138" i="53"/>
  <c r="AG138" i="53"/>
  <c r="AD138" i="53"/>
  <c r="Q138" i="53"/>
  <c r="AK138" i="52" a="1"/>
  <c r="AK138" i="52" s="1"/>
  <c r="B140" i="53" s="1"/>
  <c r="J139" i="53"/>
  <c r="K139" i="53"/>
  <c r="AH139" i="53" s="1"/>
  <c r="I139" i="53"/>
  <c r="L139" i="53"/>
  <c r="E139" i="53"/>
  <c r="G139" i="53"/>
  <c r="C139" i="53"/>
  <c r="H139" i="53"/>
  <c r="F139" i="53"/>
  <c r="D139" i="53"/>
  <c r="P139" i="53"/>
  <c r="E69" i="32"/>
  <c r="O69" i="32" s="1"/>
  <c r="AL69" i="11" a="1"/>
  <c r="AL69" i="11" s="1"/>
  <c r="E70" i="32" s="1"/>
  <c r="O70" i="32" s="1"/>
  <c r="F70" i="32" l="1"/>
  <c r="AU70" i="32"/>
  <c r="F69" i="32"/>
  <c r="AU69" i="32"/>
  <c r="AC140" i="53"/>
  <c r="O140" i="53"/>
  <c r="N140" i="53"/>
  <c r="T70" i="32"/>
  <c r="T69" i="32"/>
  <c r="AA138" i="53"/>
  <c r="AE139" i="53"/>
  <c r="AF138" i="53"/>
  <c r="AK70" i="32"/>
  <c r="AK69" i="32"/>
  <c r="R139" i="53"/>
  <c r="X139" i="53" s="1"/>
  <c r="AB139" i="53" s="1"/>
  <c r="AG139" i="53"/>
  <c r="AT139" i="53"/>
  <c r="Q139" i="53"/>
  <c r="AD139" i="53"/>
  <c r="AK139" i="52" a="1"/>
  <c r="AK139" i="52" s="1"/>
  <c r="B141" i="53" s="1"/>
  <c r="H140" i="53"/>
  <c r="G140" i="53"/>
  <c r="I140" i="53"/>
  <c r="F140" i="53"/>
  <c r="P140" i="53"/>
  <c r="K140" i="53"/>
  <c r="AH140" i="53" s="1"/>
  <c r="E140" i="53"/>
  <c r="D140" i="53"/>
  <c r="C140" i="53"/>
  <c r="L140" i="53"/>
  <c r="J140" i="53"/>
  <c r="AL70" i="11" a="1"/>
  <c r="AL70" i="11" s="1"/>
  <c r="E71" i="32" s="1"/>
  <c r="O71" i="32" s="1"/>
  <c r="U69" i="32" l="1"/>
  <c r="U70" i="32"/>
  <c r="F71" i="32"/>
  <c r="AU71" i="32"/>
  <c r="AC141" i="53"/>
  <c r="O141" i="53"/>
  <c r="N141" i="53"/>
  <c r="T71" i="32"/>
  <c r="AA139" i="53"/>
  <c r="AF139" i="53"/>
  <c r="AE140" i="53"/>
  <c r="AK71" i="32"/>
  <c r="R140" i="53"/>
  <c r="X140" i="53" s="1"/>
  <c r="AB140" i="53" s="1"/>
  <c r="AT140" i="53"/>
  <c r="AG140" i="53"/>
  <c r="Q140" i="53"/>
  <c r="AD140" i="53"/>
  <c r="J141" i="53"/>
  <c r="D141" i="53"/>
  <c r="G141" i="53"/>
  <c r="C141" i="53"/>
  <c r="H141" i="53"/>
  <c r="K141" i="53"/>
  <c r="AH141" i="53" s="1"/>
  <c r="F141" i="53"/>
  <c r="I141" i="53"/>
  <c r="L141" i="53"/>
  <c r="AK140" i="52" a="1"/>
  <c r="AK140" i="52" s="1"/>
  <c r="B142" i="53" s="1"/>
  <c r="E141" i="53"/>
  <c r="P141" i="53"/>
  <c r="AL71" i="11" a="1"/>
  <c r="AL71" i="11" s="1"/>
  <c r="E72" i="32" s="1"/>
  <c r="O72" i="32" s="1"/>
  <c r="U71" i="32" l="1"/>
  <c r="F72" i="32"/>
  <c r="AU72" i="32"/>
  <c r="AC142" i="53"/>
  <c r="O142" i="53"/>
  <c r="N142" i="53"/>
  <c r="T72" i="32"/>
  <c r="AA140" i="53"/>
  <c r="AE141" i="53"/>
  <c r="AF140" i="53"/>
  <c r="AK72" i="32"/>
  <c r="R141" i="53"/>
  <c r="X141" i="53" s="1"/>
  <c r="AB141" i="53" s="1"/>
  <c r="AG141" i="53"/>
  <c r="AT141" i="53"/>
  <c r="Q141" i="53"/>
  <c r="AD141" i="53"/>
  <c r="AK141" i="52" a="1"/>
  <c r="AK141" i="52" s="1"/>
  <c r="B143" i="53" s="1"/>
  <c r="L142" i="53"/>
  <c r="I142" i="53"/>
  <c r="D142" i="53"/>
  <c r="P142" i="53"/>
  <c r="F142" i="53"/>
  <c r="K142" i="53"/>
  <c r="AH142" i="53" s="1"/>
  <c r="H142" i="53"/>
  <c r="C142" i="53"/>
  <c r="E142" i="53"/>
  <c r="G142" i="53"/>
  <c r="J142" i="53"/>
  <c r="AL72" i="11" a="1"/>
  <c r="AL72" i="11" s="1"/>
  <c r="E73" i="32" s="1"/>
  <c r="O73" i="32" s="1"/>
  <c r="U72" i="32" l="1"/>
  <c r="F73" i="32"/>
  <c r="AU73" i="32"/>
  <c r="AC143" i="53"/>
  <c r="O143" i="53"/>
  <c r="N143" i="53"/>
  <c r="T73" i="32"/>
  <c r="AA141" i="53"/>
  <c r="AF141" i="53"/>
  <c r="AE142" i="53"/>
  <c r="AK73" i="32"/>
  <c r="R142" i="53"/>
  <c r="X142" i="53" s="1"/>
  <c r="AB142" i="53" s="1"/>
  <c r="AG142" i="53"/>
  <c r="AT142" i="53"/>
  <c r="AD142" i="53"/>
  <c r="Q142" i="53"/>
  <c r="F143" i="53"/>
  <c r="E143" i="53"/>
  <c r="H143" i="53"/>
  <c r="D143" i="53"/>
  <c r="J143" i="53"/>
  <c r="G143" i="53"/>
  <c r="K143" i="53"/>
  <c r="AH143" i="53" s="1"/>
  <c r="P143" i="53"/>
  <c r="I143" i="53"/>
  <c r="C143" i="53"/>
  <c r="AK142" i="52" a="1"/>
  <c r="AK142" i="52" s="1"/>
  <c r="B144" i="53" s="1"/>
  <c r="L143" i="53"/>
  <c r="AL73" i="11" a="1"/>
  <c r="AL73" i="11" s="1"/>
  <c r="U73" i="32" l="1"/>
  <c r="AC144" i="53"/>
  <c r="O144" i="53"/>
  <c r="N144" i="53"/>
  <c r="AA142" i="53"/>
  <c r="AE143" i="53"/>
  <c r="AF142" i="53"/>
  <c r="R143" i="53"/>
  <c r="X143" i="53" s="1"/>
  <c r="AB143" i="53" s="1"/>
  <c r="Q143" i="53"/>
  <c r="AT143" i="53"/>
  <c r="AG143" i="53"/>
  <c r="D144" i="53"/>
  <c r="AD143" i="53"/>
  <c r="AK143" i="52" a="1"/>
  <c r="AK143" i="52" s="1"/>
  <c r="B145" i="53" s="1"/>
  <c r="F144" i="53"/>
  <c r="H144" i="53"/>
  <c r="P144" i="53"/>
  <c r="E144" i="53"/>
  <c r="G144" i="53"/>
  <c r="J144" i="53"/>
  <c r="C144" i="53"/>
  <c r="L144" i="53"/>
  <c r="I144" i="53"/>
  <c r="K144" i="53"/>
  <c r="AH144" i="53" s="1"/>
  <c r="E74" i="32"/>
  <c r="O74" i="32" s="1"/>
  <c r="AL74" i="11" a="1"/>
  <c r="AL74" i="11" s="1"/>
  <c r="F74" i="32" l="1"/>
  <c r="AU74" i="32"/>
  <c r="AC145" i="53"/>
  <c r="O145" i="53"/>
  <c r="N145" i="53"/>
  <c r="T74" i="32"/>
  <c r="AA143" i="53"/>
  <c r="AF143" i="53"/>
  <c r="AE144" i="53"/>
  <c r="AK74" i="32"/>
  <c r="R144" i="53"/>
  <c r="X144" i="53" s="1"/>
  <c r="AB144" i="53" s="1"/>
  <c r="AT144" i="53"/>
  <c r="AG144" i="53"/>
  <c r="K145" i="53"/>
  <c r="AH145" i="53" s="1"/>
  <c r="Q144" i="53"/>
  <c r="AD144" i="53"/>
  <c r="AK144" i="52" a="1"/>
  <c r="AK144" i="52" s="1"/>
  <c r="B146" i="53" s="1"/>
  <c r="H145" i="53"/>
  <c r="J145" i="53"/>
  <c r="F145" i="53"/>
  <c r="L145" i="53"/>
  <c r="E145" i="53"/>
  <c r="G145" i="53"/>
  <c r="P145" i="53"/>
  <c r="I145" i="53"/>
  <c r="D145" i="53"/>
  <c r="C145" i="53"/>
  <c r="E75" i="32"/>
  <c r="O75" i="32" s="1"/>
  <c r="AL75" i="11" a="1"/>
  <c r="AL75" i="11" s="1"/>
  <c r="E76" i="32" s="1"/>
  <c r="O76" i="32" s="1"/>
  <c r="U74" i="32" l="1"/>
  <c r="F76" i="32"/>
  <c r="AU76" i="32"/>
  <c r="F75" i="32"/>
  <c r="AU75" i="32"/>
  <c r="AC146" i="53"/>
  <c r="O146" i="53"/>
  <c r="N146" i="53"/>
  <c r="T76" i="32"/>
  <c r="T75" i="32"/>
  <c r="AA144" i="53"/>
  <c r="AF144" i="53"/>
  <c r="AE145" i="53"/>
  <c r="AK76" i="32"/>
  <c r="AK75" i="32"/>
  <c r="R145" i="53"/>
  <c r="X145" i="53" s="1"/>
  <c r="AB145" i="53" s="1"/>
  <c r="AT145" i="53"/>
  <c r="AG145" i="53"/>
  <c r="AD145" i="53"/>
  <c r="Q145" i="53"/>
  <c r="AK145" i="52" a="1"/>
  <c r="AK145" i="52" s="1"/>
  <c r="B147" i="53" s="1"/>
  <c r="G146" i="53"/>
  <c r="H146" i="53"/>
  <c r="P146" i="53"/>
  <c r="J146" i="53"/>
  <c r="E146" i="53"/>
  <c r="C146" i="53"/>
  <c r="F146" i="53"/>
  <c r="I146" i="53"/>
  <c r="L146" i="53"/>
  <c r="D146" i="53"/>
  <c r="K146" i="53"/>
  <c r="AH146" i="53" s="1"/>
  <c r="AL76" i="11" a="1"/>
  <c r="AL76" i="11" s="1"/>
  <c r="E77" i="32" s="1"/>
  <c r="O77" i="32" s="1"/>
  <c r="U75" i="32" l="1"/>
  <c r="U76" i="32"/>
  <c r="F77" i="32"/>
  <c r="AU77" i="32"/>
  <c r="AC147" i="53"/>
  <c r="O147" i="53"/>
  <c r="N147" i="53"/>
  <c r="T77" i="32"/>
  <c r="AA145" i="53"/>
  <c r="AE146" i="53"/>
  <c r="AF145" i="53"/>
  <c r="AK77" i="32"/>
  <c r="R146" i="53"/>
  <c r="X146" i="53" s="1"/>
  <c r="AB146" i="53" s="1"/>
  <c r="AG146" i="53"/>
  <c r="Q146" i="53"/>
  <c r="AT146" i="53"/>
  <c r="AD146" i="53"/>
  <c r="G147" i="53"/>
  <c r="K147" i="53"/>
  <c r="AH147" i="53" s="1"/>
  <c r="C147" i="53"/>
  <c r="P147" i="53"/>
  <c r="H147" i="53"/>
  <c r="E147" i="53"/>
  <c r="J147" i="53"/>
  <c r="F147" i="53"/>
  <c r="D147" i="53"/>
  <c r="L147" i="53"/>
  <c r="AK146" i="52" a="1"/>
  <c r="AK146" i="52" s="1"/>
  <c r="B148" i="53" s="1"/>
  <c r="I147" i="53"/>
  <c r="AL77" i="11" a="1"/>
  <c r="AL77" i="11" s="1"/>
  <c r="E78" i="32" s="1"/>
  <c r="O78" i="32" s="1"/>
  <c r="U77" i="32" l="1"/>
  <c r="F78" i="32"/>
  <c r="AU78" i="32"/>
  <c r="AC148" i="53"/>
  <c r="O148" i="53"/>
  <c r="N148" i="53"/>
  <c r="T78" i="32"/>
  <c r="AA146" i="53"/>
  <c r="AE147" i="53"/>
  <c r="AF146" i="53"/>
  <c r="AK78" i="32"/>
  <c r="R147" i="53"/>
  <c r="X147" i="53" s="1"/>
  <c r="AB147" i="53" s="1"/>
  <c r="AT147" i="53"/>
  <c r="AG147" i="53"/>
  <c r="J148" i="53"/>
  <c r="AD147" i="53"/>
  <c r="Q147" i="53"/>
  <c r="D148" i="53"/>
  <c r="I148" i="53"/>
  <c r="E148" i="53"/>
  <c r="L148" i="53"/>
  <c r="K148" i="53"/>
  <c r="AH148" i="53" s="1"/>
  <c r="G148" i="53"/>
  <c r="P148" i="53"/>
  <c r="F148" i="53"/>
  <c r="C148" i="53"/>
  <c r="AK147" i="52" a="1"/>
  <c r="AK147" i="52" s="1"/>
  <c r="B149" i="53" s="1"/>
  <c r="H148" i="53"/>
  <c r="AL78" i="11" a="1"/>
  <c r="AL78" i="11" s="1"/>
  <c r="U78" i="32" l="1"/>
  <c r="AC149" i="53"/>
  <c r="O149" i="53"/>
  <c r="N149" i="53"/>
  <c r="AA147" i="53"/>
  <c r="AF147" i="53"/>
  <c r="AE148" i="53"/>
  <c r="R148" i="53"/>
  <c r="X148" i="53" s="1"/>
  <c r="AB148" i="53" s="1"/>
  <c r="AT148" i="53"/>
  <c r="AG148" i="53"/>
  <c r="AD148" i="53"/>
  <c r="Q148" i="53"/>
  <c r="AK148" i="52" a="1"/>
  <c r="AK148" i="52" s="1"/>
  <c r="B150" i="53" s="1"/>
  <c r="I149" i="53"/>
  <c r="L149" i="53"/>
  <c r="K149" i="53"/>
  <c r="AH149" i="53" s="1"/>
  <c r="F149" i="53"/>
  <c r="C149" i="53"/>
  <c r="E149" i="53"/>
  <c r="P149" i="53"/>
  <c r="D149" i="53"/>
  <c r="J149" i="53"/>
  <c r="H149" i="53"/>
  <c r="G149" i="53"/>
  <c r="E79" i="32"/>
  <c r="O79" i="32" s="1"/>
  <c r="AL79" i="11" a="1"/>
  <c r="AL79" i="11" s="1"/>
  <c r="F79" i="32" l="1"/>
  <c r="AU79" i="32"/>
  <c r="AC150" i="53"/>
  <c r="O150" i="53"/>
  <c r="N150" i="53"/>
  <c r="T79" i="32"/>
  <c r="AA148" i="53"/>
  <c r="AE149" i="53"/>
  <c r="AF148" i="53"/>
  <c r="AK79" i="32"/>
  <c r="R149" i="53"/>
  <c r="X149" i="53" s="1"/>
  <c r="AB149" i="53" s="1"/>
  <c r="AG149" i="53"/>
  <c r="AT149" i="53"/>
  <c r="Q149" i="53"/>
  <c r="AD149" i="53"/>
  <c r="AK149" i="52" a="1"/>
  <c r="AK149" i="52" s="1"/>
  <c r="B151" i="53" s="1"/>
  <c r="J150" i="53"/>
  <c r="G150" i="53"/>
  <c r="H150" i="53"/>
  <c r="D150" i="53"/>
  <c r="F150" i="53"/>
  <c r="I150" i="53"/>
  <c r="K150" i="53"/>
  <c r="AH150" i="53" s="1"/>
  <c r="E150" i="53"/>
  <c r="P150" i="53"/>
  <c r="L150" i="53"/>
  <c r="C150" i="53"/>
  <c r="E80" i="32"/>
  <c r="O80" i="32" s="1"/>
  <c r="AL80" i="11" a="1"/>
  <c r="AL80" i="11" s="1"/>
  <c r="E81" i="32" s="1"/>
  <c r="O81" i="32" s="1"/>
  <c r="U79" i="32" l="1"/>
  <c r="F81" i="32"/>
  <c r="AU81" i="32"/>
  <c r="F80" i="32"/>
  <c r="AU80" i="32"/>
  <c r="AC151" i="53"/>
  <c r="O151" i="53"/>
  <c r="N151" i="53"/>
  <c r="T81" i="32"/>
  <c r="T80" i="32"/>
  <c r="AA149" i="53"/>
  <c r="AE150" i="53"/>
  <c r="AF149" i="53"/>
  <c r="AK81" i="32"/>
  <c r="AK80" i="32"/>
  <c r="R150" i="53"/>
  <c r="X150" i="53" s="1"/>
  <c r="AB150" i="53" s="1"/>
  <c r="AT150" i="53"/>
  <c r="AG150" i="53"/>
  <c r="P151" i="53"/>
  <c r="AD150" i="53"/>
  <c r="Q150" i="53"/>
  <c r="AK150" i="52" a="1"/>
  <c r="AK150" i="52" s="1"/>
  <c r="B152" i="53" s="1"/>
  <c r="L151" i="53"/>
  <c r="I151" i="53"/>
  <c r="C151" i="53"/>
  <c r="F151" i="53"/>
  <c r="E151" i="53"/>
  <c r="J151" i="53"/>
  <c r="H151" i="53"/>
  <c r="G151" i="53"/>
  <c r="K151" i="53"/>
  <c r="AH151" i="53" s="1"/>
  <c r="D151" i="53"/>
  <c r="AL81" i="11" a="1"/>
  <c r="AL81" i="11" s="1"/>
  <c r="E82" i="32" s="1"/>
  <c r="O82" i="32" s="1"/>
  <c r="U81" i="32" l="1"/>
  <c r="U80" i="32"/>
  <c r="F82" i="32"/>
  <c r="AU82" i="32"/>
  <c r="AC152" i="53"/>
  <c r="O152" i="53"/>
  <c r="N152" i="53"/>
  <c r="T82" i="32"/>
  <c r="AA150" i="53"/>
  <c r="AF150" i="53"/>
  <c r="AE151" i="53"/>
  <c r="AK82" i="32"/>
  <c r="R151" i="53"/>
  <c r="X151" i="53" s="1"/>
  <c r="AB151" i="53" s="1"/>
  <c r="AT151" i="53"/>
  <c r="AG151" i="53"/>
  <c r="C152" i="53"/>
  <c r="Q151" i="53"/>
  <c r="AD151" i="53"/>
  <c r="D152" i="53"/>
  <c r="F152" i="53"/>
  <c r="E152" i="53"/>
  <c r="G152" i="53"/>
  <c r="K152" i="53"/>
  <c r="AH152" i="53" s="1"/>
  <c r="J152" i="53"/>
  <c r="H152" i="53"/>
  <c r="AK151" i="52" a="1"/>
  <c r="AK151" i="52" s="1"/>
  <c r="B153" i="53" s="1"/>
  <c r="L152" i="53"/>
  <c r="I152" i="53"/>
  <c r="P152" i="53"/>
  <c r="AL82" i="11" a="1"/>
  <c r="AL82" i="11" s="1"/>
  <c r="E83" i="32" s="1"/>
  <c r="O83" i="32" s="1"/>
  <c r="U82" i="32" l="1"/>
  <c r="F83" i="32"/>
  <c r="AU83" i="32"/>
  <c r="AC153" i="53"/>
  <c r="O153" i="53"/>
  <c r="N153" i="53"/>
  <c r="T83" i="32"/>
  <c r="AA151" i="53"/>
  <c r="AE152" i="53"/>
  <c r="AF151" i="53"/>
  <c r="AK83" i="32"/>
  <c r="R152" i="53"/>
  <c r="X152" i="53" s="1"/>
  <c r="AB152" i="53" s="1"/>
  <c r="AG152" i="53"/>
  <c r="AT152" i="53"/>
  <c r="AD152" i="53"/>
  <c r="Q152" i="53"/>
  <c r="D153" i="53"/>
  <c r="H153" i="53"/>
  <c r="F153" i="53"/>
  <c r="L153" i="53"/>
  <c r="I153" i="53"/>
  <c r="C153" i="53"/>
  <c r="K153" i="53"/>
  <c r="AH153" i="53" s="1"/>
  <c r="E153" i="53"/>
  <c r="J153" i="53"/>
  <c r="P153" i="53"/>
  <c r="AK152" i="52" a="1"/>
  <c r="AK152" i="52" s="1"/>
  <c r="B154" i="53" s="1"/>
  <c r="G153" i="53"/>
  <c r="AL83" i="11" a="1"/>
  <c r="AL83" i="11" s="1"/>
  <c r="E84" i="32" s="1"/>
  <c r="O84" i="32" s="1"/>
  <c r="U83" i="32" l="1"/>
  <c r="F84" i="32"/>
  <c r="AU84" i="32"/>
  <c r="AC154" i="53"/>
  <c r="O154" i="53"/>
  <c r="N154" i="53"/>
  <c r="T84" i="32"/>
  <c r="AA152" i="53"/>
  <c r="AF152" i="53"/>
  <c r="AE153" i="53"/>
  <c r="AK84" i="32"/>
  <c r="R153" i="53"/>
  <c r="X153" i="53" s="1"/>
  <c r="AB153" i="53" s="1"/>
  <c r="AG153" i="53"/>
  <c r="AT153" i="53"/>
  <c r="P154" i="53"/>
  <c r="AD153" i="53"/>
  <c r="Q153" i="53"/>
  <c r="AK153" i="52" a="1"/>
  <c r="AK153" i="52" s="1"/>
  <c r="B155" i="53" s="1"/>
  <c r="D154" i="53"/>
  <c r="H154" i="53"/>
  <c r="E154" i="53"/>
  <c r="F154" i="53"/>
  <c r="L154" i="53"/>
  <c r="C154" i="53"/>
  <c r="G154" i="53"/>
  <c r="J154" i="53"/>
  <c r="I154" i="53"/>
  <c r="K154" i="53"/>
  <c r="AH154" i="53" s="1"/>
  <c r="AL84" i="11" a="1"/>
  <c r="AL84" i="11" s="1"/>
  <c r="E85" i="32" s="1"/>
  <c r="O85" i="32" s="1"/>
  <c r="U84" i="32" l="1"/>
  <c r="F85" i="32"/>
  <c r="AU85" i="32"/>
  <c r="AC155" i="53"/>
  <c r="O155" i="53"/>
  <c r="N155" i="53"/>
  <c r="T85" i="32"/>
  <c r="AA153" i="53"/>
  <c r="AE154" i="53"/>
  <c r="AF153" i="53"/>
  <c r="AK85" i="32"/>
  <c r="R154" i="53"/>
  <c r="X154" i="53" s="1"/>
  <c r="AB154" i="53" s="1"/>
  <c r="AT154" i="53"/>
  <c r="AG154" i="53"/>
  <c r="P155" i="53"/>
  <c r="AD154" i="53"/>
  <c r="AK154" i="52" a="1"/>
  <c r="AK154" i="52" s="1"/>
  <c r="B156" i="53" s="1"/>
  <c r="Q154" i="53"/>
  <c r="C155" i="53"/>
  <c r="H155" i="53"/>
  <c r="I155" i="53"/>
  <c r="K155" i="53"/>
  <c r="AH155" i="53" s="1"/>
  <c r="E155" i="53"/>
  <c r="D155" i="53"/>
  <c r="L155" i="53"/>
  <c r="F155" i="53"/>
  <c r="J155" i="53"/>
  <c r="G155" i="53"/>
  <c r="AL85" i="11" a="1"/>
  <c r="AL85" i="11" s="1"/>
  <c r="E86" i="32" s="1"/>
  <c r="O86" i="32" s="1"/>
  <c r="U85" i="32" l="1"/>
  <c r="F86" i="32"/>
  <c r="AU86" i="32"/>
  <c r="AC156" i="53"/>
  <c r="O156" i="53"/>
  <c r="N156" i="53"/>
  <c r="T86" i="32"/>
  <c r="AA154" i="53"/>
  <c r="AE155" i="53"/>
  <c r="AF154" i="53"/>
  <c r="AK86" i="32"/>
  <c r="R155" i="53"/>
  <c r="X155" i="53" s="1"/>
  <c r="AB155" i="53" s="1"/>
  <c r="AT155" i="53"/>
  <c r="AG155" i="53"/>
  <c r="Q155" i="53"/>
  <c r="AD155" i="53"/>
  <c r="L156" i="53"/>
  <c r="P156" i="53"/>
  <c r="C156" i="53"/>
  <c r="E156" i="53"/>
  <c r="G156" i="53"/>
  <c r="H156" i="53"/>
  <c r="D156" i="53"/>
  <c r="I156" i="53"/>
  <c r="K156" i="53"/>
  <c r="AH156" i="53" s="1"/>
  <c r="AK155" i="52" a="1"/>
  <c r="AK155" i="52" s="1"/>
  <c r="B157" i="53" s="1"/>
  <c r="J156" i="53"/>
  <c r="F156" i="53"/>
  <c r="AL86" i="11" a="1"/>
  <c r="AL86" i="11" s="1"/>
  <c r="E87" i="32" s="1"/>
  <c r="O87" i="32" s="1"/>
  <c r="U86" i="32" l="1"/>
  <c r="F87" i="32"/>
  <c r="AU87" i="32"/>
  <c r="AC157" i="53"/>
  <c r="O157" i="53"/>
  <c r="N157" i="53"/>
  <c r="T87" i="32"/>
  <c r="AA155" i="53"/>
  <c r="AE156" i="53"/>
  <c r="AF155" i="53"/>
  <c r="AK87" i="32"/>
  <c r="R156" i="53"/>
  <c r="X156" i="53" s="1"/>
  <c r="AB156" i="53" s="1"/>
  <c r="AD156" i="53"/>
  <c r="AT156" i="53"/>
  <c r="AG156" i="53"/>
  <c r="I157" i="53"/>
  <c r="Q156" i="53"/>
  <c r="K157" i="53"/>
  <c r="AH157" i="53" s="1"/>
  <c r="P157" i="53"/>
  <c r="J157" i="53"/>
  <c r="F157" i="53"/>
  <c r="D157" i="53"/>
  <c r="E157" i="53"/>
  <c r="C157" i="53"/>
  <c r="H157" i="53"/>
  <c r="AK156" i="52" a="1"/>
  <c r="AK156" i="52" s="1"/>
  <c r="B158" i="53" s="1"/>
  <c r="G157" i="53"/>
  <c r="L157" i="53"/>
  <c r="AL87" i="11" a="1"/>
  <c r="AL87" i="11" s="1"/>
  <c r="E88" i="32" s="1"/>
  <c r="O88" i="32" s="1"/>
  <c r="U87" i="32" l="1"/>
  <c r="F88" i="32"/>
  <c r="AU88" i="32"/>
  <c r="AC158" i="53"/>
  <c r="O158" i="53"/>
  <c r="N158" i="53"/>
  <c r="T88" i="32"/>
  <c r="AA156" i="53"/>
  <c r="AE157" i="53"/>
  <c r="AF156" i="53"/>
  <c r="AK88" i="32"/>
  <c r="R157" i="53"/>
  <c r="X157" i="53" s="1"/>
  <c r="AB157" i="53" s="1"/>
  <c r="AG157" i="53"/>
  <c r="AT157" i="53"/>
  <c r="AD157" i="53"/>
  <c r="Q157" i="53"/>
  <c r="I158" i="53"/>
  <c r="D158" i="53"/>
  <c r="H158" i="53"/>
  <c r="AK157" i="52" a="1"/>
  <c r="AK157" i="52" s="1"/>
  <c r="B159" i="53" s="1"/>
  <c r="G158" i="53"/>
  <c r="K158" i="53"/>
  <c r="AH158" i="53" s="1"/>
  <c r="F158" i="53"/>
  <c r="C158" i="53"/>
  <c r="P158" i="53"/>
  <c r="L158" i="53"/>
  <c r="J158" i="53"/>
  <c r="E158" i="53"/>
  <c r="AL88" i="11" a="1"/>
  <c r="AL88" i="11" s="1"/>
  <c r="E89" i="32" s="1"/>
  <c r="O89" i="32" s="1"/>
  <c r="E3" i="32"/>
  <c r="U88" i="32" l="1"/>
  <c r="F89" i="32"/>
  <c r="AU89" i="32"/>
  <c r="AC159" i="53"/>
  <c r="O159" i="53"/>
  <c r="N159" i="53"/>
  <c r="T89" i="32"/>
  <c r="AA157" i="53"/>
  <c r="AE158" i="53"/>
  <c r="AF157" i="53"/>
  <c r="AK89" i="32"/>
  <c r="R158" i="53"/>
  <c r="X158" i="53" s="1"/>
  <c r="AB158" i="53" s="1"/>
  <c r="AT158" i="53"/>
  <c r="AG158" i="53"/>
  <c r="D159" i="53"/>
  <c r="AD158" i="53"/>
  <c r="Q158" i="53"/>
  <c r="AK158" i="52" a="1"/>
  <c r="AK158" i="52" s="1"/>
  <c r="B160" i="53" s="1"/>
  <c r="C159" i="53"/>
  <c r="I159" i="53"/>
  <c r="H159" i="53"/>
  <c r="L159" i="53"/>
  <c r="G159" i="53"/>
  <c r="E159" i="53"/>
  <c r="F159" i="53"/>
  <c r="K159" i="53"/>
  <c r="AH159" i="53" s="1"/>
  <c r="P159" i="53"/>
  <c r="J159" i="53"/>
  <c r="AL89" i="11" a="1"/>
  <c r="AL89" i="11" s="1"/>
  <c r="E90" i="32" s="1"/>
  <c r="O90" i="32" s="1"/>
  <c r="U89" i="32" l="1"/>
  <c r="F90" i="32"/>
  <c r="AU90" i="32"/>
  <c r="AC160" i="53"/>
  <c r="O160" i="53"/>
  <c r="N160" i="53"/>
  <c r="T90" i="32"/>
  <c r="AA158" i="53"/>
  <c r="AE159" i="53"/>
  <c r="AF158" i="53"/>
  <c r="AK90" i="32"/>
  <c r="R159" i="53"/>
  <c r="X159" i="53" s="1"/>
  <c r="AB159" i="53" s="1"/>
  <c r="AG159" i="53"/>
  <c r="AT159" i="53"/>
  <c r="AD159" i="53"/>
  <c r="Q159" i="53"/>
  <c r="AK159" i="52" a="1"/>
  <c r="AK159" i="52" s="1"/>
  <c r="B161" i="53" s="1"/>
  <c r="D160" i="53"/>
  <c r="E160" i="53"/>
  <c r="L160" i="53"/>
  <c r="J160" i="53"/>
  <c r="G160" i="53"/>
  <c r="K160" i="53"/>
  <c r="AH160" i="53" s="1"/>
  <c r="P160" i="53"/>
  <c r="C160" i="53"/>
  <c r="I160" i="53"/>
  <c r="H160" i="53"/>
  <c r="F160" i="53"/>
  <c r="AL90" i="11" a="1"/>
  <c r="AL90" i="11" s="1"/>
  <c r="E91" i="32" s="1"/>
  <c r="O91" i="32" s="1"/>
  <c r="U90" i="32" l="1"/>
  <c r="F91" i="32"/>
  <c r="AU91" i="32"/>
  <c r="AC161" i="53"/>
  <c r="O161" i="53"/>
  <c r="N161" i="53"/>
  <c r="T91" i="32"/>
  <c r="AA159" i="53"/>
  <c r="AE160" i="53"/>
  <c r="AF159" i="53"/>
  <c r="AK91" i="32"/>
  <c r="R160" i="53"/>
  <c r="X160" i="53" s="1"/>
  <c r="AB160" i="53" s="1"/>
  <c r="AG160" i="53"/>
  <c r="AT160" i="53"/>
  <c r="AD160" i="53"/>
  <c r="Q160" i="53"/>
  <c r="P161" i="53"/>
  <c r="F161" i="53"/>
  <c r="C161" i="53"/>
  <c r="J161" i="53"/>
  <c r="I161" i="53"/>
  <c r="G161" i="53"/>
  <c r="H161" i="53"/>
  <c r="D161" i="53"/>
  <c r="AK160" i="52" a="1"/>
  <c r="AK160" i="52" s="1"/>
  <c r="B162" i="53" s="1"/>
  <c r="E161" i="53"/>
  <c r="K161" i="53"/>
  <c r="AH161" i="53" s="1"/>
  <c r="L161" i="53"/>
  <c r="AL91" i="11" a="1"/>
  <c r="AL91" i="11" s="1"/>
  <c r="E92" i="32" s="1"/>
  <c r="O92" i="32" s="1"/>
  <c r="U91" i="32" l="1"/>
  <c r="F92" i="32"/>
  <c r="AU92" i="32"/>
  <c r="AC162" i="53"/>
  <c r="O162" i="53"/>
  <c r="N162" i="53"/>
  <c r="T92" i="32"/>
  <c r="AA160" i="53"/>
  <c r="AE161" i="53"/>
  <c r="AF160" i="53"/>
  <c r="AK92" i="32"/>
  <c r="R161" i="53"/>
  <c r="X161" i="53" s="1"/>
  <c r="AB161" i="53" s="1"/>
  <c r="AT161" i="53"/>
  <c r="AG161" i="53"/>
  <c r="L162" i="53"/>
  <c r="Q161" i="53"/>
  <c r="AD161" i="53"/>
  <c r="D162" i="53"/>
  <c r="H162" i="53"/>
  <c r="AK161" i="52" a="1"/>
  <c r="AK161" i="52" s="1"/>
  <c r="B163" i="53" s="1"/>
  <c r="F162" i="53"/>
  <c r="K162" i="53"/>
  <c r="AH162" i="53" s="1"/>
  <c r="C162" i="53"/>
  <c r="I162" i="53"/>
  <c r="P162" i="53"/>
  <c r="J162" i="53"/>
  <c r="G162" i="53"/>
  <c r="E162" i="53"/>
  <c r="AL92" i="11" a="1"/>
  <c r="AL92" i="11" s="1"/>
  <c r="E93" i="32" s="1"/>
  <c r="O93" i="32" s="1"/>
  <c r="D3" i="11"/>
  <c r="BM10" i="108" s="1"/>
  <c r="BM14" i="108" l="1"/>
  <c r="E14" i="108"/>
  <c r="K14" i="108"/>
  <c r="M14" i="108"/>
  <c r="O14" i="108"/>
  <c r="BM13" i="108"/>
  <c r="O13" i="108"/>
  <c r="M13" i="108"/>
  <c r="E13" i="108"/>
  <c r="K13" i="108"/>
  <c r="BM12" i="108"/>
  <c r="O12" i="108"/>
  <c r="E12" i="108"/>
  <c r="M12" i="108"/>
  <c r="BM11" i="108"/>
  <c r="U92" i="32"/>
  <c r="U43" i="108"/>
  <c r="O12" i="32"/>
  <c r="O13" i="32"/>
  <c r="AU13" i="32"/>
  <c r="Z10" i="108"/>
  <c r="AU12" i="32"/>
  <c r="F93" i="32"/>
  <c r="AU93" i="32"/>
  <c r="AB10" i="108"/>
  <c r="AB11" i="108"/>
  <c r="AB15" i="108"/>
  <c r="AB19" i="108"/>
  <c r="AB23" i="108"/>
  <c r="AB27" i="108"/>
  <c r="AB31" i="108"/>
  <c r="AB17" i="108"/>
  <c r="AB25" i="108"/>
  <c r="AB14" i="108"/>
  <c r="AB22" i="108"/>
  <c r="AB30" i="108"/>
  <c r="AB12" i="108"/>
  <c r="AB16" i="108"/>
  <c r="AB20" i="108"/>
  <c r="AB24" i="108"/>
  <c r="AB28" i="108"/>
  <c r="AB13" i="108"/>
  <c r="AB21" i="108"/>
  <c r="AB29" i="108"/>
  <c r="AB18" i="108"/>
  <c r="AB26" i="108"/>
  <c r="AA10" i="108"/>
  <c r="AA11" i="108"/>
  <c r="AA15" i="108"/>
  <c r="AA19" i="108"/>
  <c r="AA23" i="108"/>
  <c r="AA27" i="108"/>
  <c r="AA31" i="108"/>
  <c r="AA12" i="108"/>
  <c r="AA16" i="108"/>
  <c r="AA20" i="108"/>
  <c r="AA24" i="108"/>
  <c r="AA28" i="108"/>
  <c r="AA18" i="108"/>
  <c r="AA26" i="108"/>
  <c r="AA30" i="108"/>
  <c r="AA13" i="108"/>
  <c r="AA17" i="108"/>
  <c r="AA21" i="108"/>
  <c r="AA25" i="108"/>
  <c r="AA29" i="108"/>
  <c r="AA14" i="108"/>
  <c r="AA22" i="108"/>
  <c r="Z11" i="108"/>
  <c r="Z15" i="108"/>
  <c r="Z19" i="108"/>
  <c r="Z23" i="108"/>
  <c r="Z27" i="108"/>
  <c r="Z31" i="108"/>
  <c r="Z17" i="108"/>
  <c r="Z25" i="108"/>
  <c r="Z18" i="108"/>
  <c r="Z26" i="108"/>
  <c r="Z12" i="108"/>
  <c r="Z16" i="108"/>
  <c r="Z20" i="108"/>
  <c r="Z24" i="108"/>
  <c r="Z28" i="108"/>
  <c r="Z21" i="108"/>
  <c r="Z29" i="108"/>
  <c r="Z14" i="108"/>
  <c r="Z22" i="108"/>
  <c r="Z30" i="108"/>
  <c r="Z13" i="108"/>
  <c r="O10" i="108"/>
  <c r="K10" i="108"/>
  <c r="AP32" i="108"/>
  <c r="E10" i="108"/>
  <c r="O11" i="108"/>
  <c r="M11" i="108"/>
  <c r="M10" i="108"/>
  <c r="K11" i="108"/>
  <c r="K12" i="108"/>
  <c r="E11" i="108"/>
  <c r="F12" i="32"/>
  <c r="F14" i="32"/>
  <c r="F13" i="32"/>
  <c r="AC163" i="53"/>
  <c r="O163" i="53"/>
  <c r="N163" i="53"/>
  <c r="T93" i="32"/>
  <c r="AA161" i="53"/>
  <c r="A13" i="32"/>
  <c r="Q13" i="32" s="1"/>
  <c r="AF161" i="53"/>
  <c r="AE162" i="53"/>
  <c r="AK93" i="32"/>
  <c r="R162" i="53"/>
  <c r="X162" i="53" s="1"/>
  <c r="AB162" i="53" s="1"/>
  <c r="A12" i="32"/>
  <c r="Q12" i="32" s="1"/>
  <c r="M92" i="32"/>
  <c r="L92" i="32"/>
  <c r="I92" i="32"/>
  <c r="K92" i="32"/>
  <c r="G92" i="32"/>
  <c r="L25" i="32"/>
  <c r="K25" i="32"/>
  <c r="M25" i="32"/>
  <c r="J25" i="32"/>
  <c r="A25" i="32"/>
  <c r="N25" i="32"/>
  <c r="B25" i="32"/>
  <c r="G25" i="32"/>
  <c r="H25" i="32"/>
  <c r="I25" i="32"/>
  <c r="A26" i="32"/>
  <c r="M26" i="32"/>
  <c r="B26" i="32"/>
  <c r="G26" i="32"/>
  <c r="J26" i="32"/>
  <c r="H26" i="32"/>
  <c r="K26" i="32"/>
  <c r="I26" i="32"/>
  <c r="N26" i="32"/>
  <c r="L26" i="32"/>
  <c r="A27" i="32"/>
  <c r="B27" i="32"/>
  <c r="L27" i="32"/>
  <c r="H27" i="32"/>
  <c r="G27" i="32"/>
  <c r="I27" i="32"/>
  <c r="N27" i="32"/>
  <c r="M27" i="32"/>
  <c r="J27" i="32"/>
  <c r="K27" i="32"/>
  <c r="M28" i="32"/>
  <c r="N28" i="32"/>
  <c r="L28" i="32"/>
  <c r="G28" i="32"/>
  <c r="A28" i="32"/>
  <c r="B28" i="32"/>
  <c r="H28" i="32"/>
  <c r="J28" i="32"/>
  <c r="K28" i="32"/>
  <c r="I28" i="32"/>
  <c r="L29" i="32"/>
  <c r="M29" i="32"/>
  <c r="A29" i="32"/>
  <c r="N29" i="32"/>
  <c r="K29" i="32"/>
  <c r="B29" i="32"/>
  <c r="G29" i="32"/>
  <c r="H29" i="32"/>
  <c r="I29" i="32"/>
  <c r="J29" i="32"/>
  <c r="L30" i="32"/>
  <c r="H30" i="32"/>
  <c r="A30" i="32"/>
  <c r="M30" i="32"/>
  <c r="B30" i="32"/>
  <c r="N30" i="32"/>
  <c r="G30" i="32"/>
  <c r="J30" i="32"/>
  <c r="I30" i="32"/>
  <c r="K30" i="32"/>
  <c r="G31" i="32"/>
  <c r="H31" i="32"/>
  <c r="A31" i="32"/>
  <c r="L31" i="32"/>
  <c r="B31" i="32"/>
  <c r="I31" i="32"/>
  <c r="N31" i="32"/>
  <c r="J31" i="32"/>
  <c r="M31" i="32"/>
  <c r="K31" i="32"/>
  <c r="N32" i="32"/>
  <c r="M32" i="32"/>
  <c r="G32" i="32"/>
  <c r="K32" i="32"/>
  <c r="A32" i="32"/>
  <c r="I32" i="32"/>
  <c r="L32" i="32"/>
  <c r="B32" i="32"/>
  <c r="H32" i="32"/>
  <c r="J32" i="32"/>
  <c r="M33" i="32"/>
  <c r="A33" i="32"/>
  <c r="N33" i="32"/>
  <c r="B33" i="32"/>
  <c r="G33" i="32"/>
  <c r="H33" i="32"/>
  <c r="J33" i="32"/>
  <c r="I33" i="32"/>
  <c r="L33" i="32"/>
  <c r="K33" i="32"/>
  <c r="B34" i="32"/>
  <c r="N34" i="32"/>
  <c r="G34" i="32"/>
  <c r="J34" i="32"/>
  <c r="K34" i="32"/>
  <c r="I34" i="32"/>
  <c r="H34" i="32"/>
  <c r="L34" i="32"/>
  <c r="A34" i="32"/>
  <c r="M34" i="32"/>
  <c r="J35" i="32"/>
  <c r="B35" i="32"/>
  <c r="L35" i="32"/>
  <c r="M35" i="32"/>
  <c r="G35" i="32"/>
  <c r="N35" i="32"/>
  <c r="H35" i="32"/>
  <c r="I35" i="32"/>
  <c r="A35" i="32"/>
  <c r="K35" i="32"/>
  <c r="M36" i="32"/>
  <c r="L36" i="32"/>
  <c r="H36" i="32"/>
  <c r="G36" i="32"/>
  <c r="A36" i="32"/>
  <c r="B36" i="32"/>
  <c r="I36" i="32"/>
  <c r="K36" i="32"/>
  <c r="J36" i="32"/>
  <c r="N36" i="32"/>
  <c r="A37" i="32"/>
  <c r="N37" i="32"/>
  <c r="B37" i="32"/>
  <c r="G37" i="32"/>
  <c r="H37" i="32"/>
  <c r="K37" i="32"/>
  <c r="M37" i="32"/>
  <c r="I37" i="32"/>
  <c r="L37" i="32"/>
  <c r="J37" i="32"/>
  <c r="L38" i="32"/>
  <c r="A38" i="32"/>
  <c r="M38" i="32"/>
  <c r="B38" i="32"/>
  <c r="N38" i="32"/>
  <c r="I38" i="32"/>
  <c r="G38" i="32"/>
  <c r="J38" i="32"/>
  <c r="K38" i="32"/>
  <c r="H38" i="32"/>
  <c r="I39" i="32"/>
  <c r="N39" i="32"/>
  <c r="J39" i="32"/>
  <c r="A39" i="32"/>
  <c r="K39" i="32"/>
  <c r="L39" i="32"/>
  <c r="M39" i="32"/>
  <c r="G39" i="32"/>
  <c r="H39" i="32"/>
  <c r="B39" i="32"/>
  <c r="J40" i="32"/>
  <c r="L40" i="32"/>
  <c r="K40" i="32"/>
  <c r="M40" i="32"/>
  <c r="N40" i="32"/>
  <c r="G40" i="32"/>
  <c r="A40" i="32"/>
  <c r="B40" i="32"/>
  <c r="H40" i="32"/>
  <c r="I40" i="32"/>
  <c r="A41" i="32"/>
  <c r="N41" i="32"/>
  <c r="B41" i="32"/>
  <c r="G41" i="32"/>
  <c r="H41" i="32"/>
  <c r="M41" i="32"/>
  <c r="K41" i="32"/>
  <c r="I41" i="32"/>
  <c r="L41" i="32"/>
  <c r="J41" i="32"/>
  <c r="J42" i="32"/>
  <c r="M42" i="32"/>
  <c r="K42" i="32"/>
  <c r="I42" i="32"/>
  <c r="L42" i="32"/>
  <c r="B42" i="32"/>
  <c r="N42" i="32"/>
  <c r="G42" i="32"/>
  <c r="A42" i="32"/>
  <c r="H42" i="32"/>
  <c r="H43" i="32"/>
  <c r="I43" i="32"/>
  <c r="J43" i="32"/>
  <c r="A43" i="32"/>
  <c r="K43" i="32"/>
  <c r="B43" i="32"/>
  <c r="L43" i="32"/>
  <c r="M43" i="32"/>
  <c r="G43" i="32"/>
  <c r="N43" i="32"/>
  <c r="K44" i="32"/>
  <c r="N44" i="32"/>
  <c r="G44" i="32"/>
  <c r="A44" i="32"/>
  <c r="B44" i="32"/>
  <c r="H44" i="32"/>
  <c r="J44" i="32"/>
  <c r="I44" i="32"/>
  <c r="M44" i="32"/>
  <c r="L44" i="32"/>
  <c r="H45" i="32"/>
  <c r="I45" i="32"/>
  <c r="L45" i="32"/>
  <c r="M45" i="32"/>
  <c r="K45" i="32"/>
  <c r="A45" i="32"/>
  <c r="N45" i="32"/>
  <c r="B45" i="32"/>
  <c r="G45" i="32"/>
  <c r="J45" i="32"/>
  <c r="J46" i="32"/>
  <c r="K46" i="32"/>
  <c r="L46" i="32"/>
  <c r="A46" i="32"/>
  <c r="M46" i="32"/>
  <c r="B46" i="32"/>
  <c r="G46" i="32"/>
  <c r="H46" i="32"/>
  <c r="N46" i="32"/>
  <c r="I46" i="32"/>
  <c r="G47" i="32"/>
  <c r="H47" i="32"/>
  <c r="I47" i="32"/>
  <c r="N47" i="32"/>
  <c r="J47" i="32"/>
  <c r="A47" i="32"/>
  <c r="K47" i="32"/>
  <c r="B47" i="32"/>
  <c r="L47" i="32"/>
  <c r="M47" i="32"/>
  <c r="N48" i="32"/>
  <c r="M48" i="32"/>
  <c r="G48" i="32"/>
  <c r="A48" i="32"/>
  <c r="B48" i="32"/>
  <c r="H48" i="32"/>
  <c r="I48" i="32"/>
  <c r="L48" i="32"/>
  <c r="J48" i="32"/>
  <c r="K48" i="32"/>
  <c r="L49" i="32"/>
  <c r="J49" i="32"/>
  <c r="A49" i="32"/>
  <c r="N49" i="32"/>
  <c r="B49" i="32"/>
  <c r="G49" i="32"/>
  <c r="H49" i="32"/>
  <c r="M49" i="32"/>
  <c r="I49" i="32"/>
  <c r="K49" i="32"/>
  <c r="N50" i="32"/>
  <c r="I50" i="32"/>
  <c r="B50" i="32"/>
  <c r="G50" i="32"/>
  <c r="J50" i="32"/>
  <c r="K50" i="32"/>
  <c r="H50" i="32"/>
  <c r="L50" i="32"/>
  <c r="A50" i="32"/>
  <c r="M50" i="32"/>
  <c r="A51" i="32"/>
  <c r="K51" i="32"/>
  <c r="B51" i="32"/>
  <c r="L51" i="32"/>
  <c r="N51" i="32"/>
  <c r="H51" i="32"/>
  <c r="J51" i="32"/>
  <c r="M51" i="32"/>
  <c r="G51" i="32"/>
  <c r="I51" i="32"/>
  <c r="J52" i="32"/>
  <c r="M52" i="32"/>
  <c r="N52" i="32"/>
  <c r="B52" i="32"/>
  <c r="H52" i="32"/>
  <c r="I52" i="32"/>
  <c r="K52" i="32"/>
  <c r="L52" i="32"/>
  <c r="G52" i="32"/>
  <c r="A52" i="32"/>
  <c r="L53" i="32"/>
  <c r="K53" i="32"/>
  <c r="M53" i="32"/>
  <c r="J53" i="32"/>
  <c r="A53" i="32"/>
  <c r="N53" i="32"/>
  <c r="B53" i="32"/>
  <c r="G53" i="32"/>
  <c r="H53" i="32"/>
  <c r="I53" i="32"/>
  <c r="J54" i="32"/>
  <c r="K54" i="32"/>
  <c r="L54" i="32"/>
  <c r="A54" i="32"/>
  <c r="M54" i="32"/>
  <c r="B54" i="32"/>
  <c r="I54" i="32"/>
  <c r="H54" i="32"/>
  <c r="N54" i="32"/>
  <c r="G54" i="32"/>
  <c r="K56" i="32"/>
  <c r="M56" i="32"/>
  <c r="A55" i="32"/>
  <c r="N56" i="32"/>
  <c r="L56" i="32"/>
  <c r="G55" i="32"/>
  <c r="I55" i="32"/>
  <c r="B55" i="32"/>
  <c r="G56" i="32"/>
  <c r="H55" i="32"/>
  <c r="N55" i="32"/>
  <c r="I56" i="32"/>
  <c r="A56" i="32"/>
  <c r="B56" i="32"/>
  <c r="H56" i="32"/>
  <c r="J55" i="32"/>
  <c r="J56" i="32"/>
  <c r="L55" i="32"/>
  <c r="M55" i="32"/>
  <c r="K55" i="32"/>
  <c r="G58" i="32"/>
  <c r="G57" i="32"/>
  <c r="J58" i="32"/>
  <c r="H58" i="32"/>
  <c r="H57" i="32"/>
  <c r="L58" i="32"/>
  <c r="K57" i="32"/>
  <c r="M58" i="32"/>
  <c r="B57" i="32"/>
  <c r="N57" i="32"/>
  <c r="A58" i="32"/>
  <c r="K58" i="32"/>
  <c r="I58" i="32"/>
  <c r="I57" i="32"/>
  <c r="B58" i="32"/>
  <c r="L57" i="32"/>
  <c r="A57" i="32"/>
  <c r="J57" i="32"/>
  <c r="M57" i="32"/>
  <c r="N58" i="32"/>
  <c r="B59" i="32"/>
  <c r="J59" i="32"/>
  <c r="A59" i="32"/>
  <c r="G59" i="32"/>
  <c r="N59" i="32"/>
  <c r="H59" i="32"/>
  <c r="I59" i="32"/>
  <c r="K59" i="32"/>
  <c r="L59" i="32"/>
  <c r="M59" i="32"/>
  <c r="I61" i="32"/>
  <c r="H61" i="32"/>
  <c r="J61" i="32"/>
  <c r="H60" i="32"/>
  <c r="J60" i="32"/>
  <c r="L60" i="32"/>
  <c r="L61" i="32"/>
  <c r="G61" i="32"/>
  <c r="K60" i="32"/>
  <c r="M60" i="32"/>
  <c r="A61" i="32"/>
  <c r="M61" i="32"/>
  <c r="K61" i="32"/>
  <c r="B60" i="32"/>
  <c r="B61" i="32"/>
  <c r="G60" i="32"/>
  <c r="A60" i="32"/>
  <c r="N61" i="32"/>
  <c r="N60" i="32"/>
  <c r="I60" i="32"/>
  <c r="M62" i="32"/>
  <c r="J62" i="32"/>
  <c r="I62" i="32"/>
  <c r="K62" i="32"/>
  <c r="H62" i="32"/>
  <c r="A62" i="32"/>
  <c r="B62" i="32"/>
  <c r="N62" i="32"/>
  <c r="G62" i="32"/>
  <c r="L62" i="32"/>
  <c r="A63" i="32"/>
  <c r="I63" i="32"/>
  <c r="N63" i="32"/>
  <c r="B63" i="32"/>
  <c r="H64" i="32"/>
  <c r="J63" i="32"/>
  <c r="J64" i="32"/>
  <c r="L63" i="32"/>
  <c r="K64" i="32"/>
  <c r="M63" i="32"/>
  <c r="M64" i="32"/>
  <c r="K63" i="32"/>
  <c r="L64" i="32"/>
  <c r="A64" i="32"/>
  <c r="N64" i="32"/>
  <c r="I64" i="32"/>
  <c r="B64" i="32"/>
  <c r="G64" i="32"/>
  <c r="H63" i="32"/>
  <c r="G63" i="32"/>
  <c r="A65" i="32"/>
  <c r="N65" i="32"/>
  <c r="K65" i="32"/>
  <c r="L65" i="32"/>
  <c r="B65" i="32"/>
  <c r="H65" i="32"/>
  <c r="I65" i="32"/>
  <c r="G65" i="32"/>
  <c r="J65" i="32"/>
  <c r="M65" i="32"/>
  <c r="N67" i="32"/>
  <c r="G66" i="32"/>
  <c r="K67" i="32"/>
  <c r="J66" i="32"/>
  <c r="H67" i="32"/>
  <c r="L66" i="32"/>
  <c r="A67" i="32"/>
  <c r="I67" i="32"/>
  <c r="H66" i="32"/>
  <c r="B67" i="32"/>
  <c r="M66" i="32"/>
  <c r="A66" i="32"/>
  <c r="L67" i="32"/>
  <c r="K66" i="32"/>
  <c r="I66" i="32"/>
  <c r="B66" i="32"/>
  <c r="G67" i="32"/>
  <c r="N66" i="32"/>
  <c r="J67" i="32"/>
  <c r="M67" i="32"/>
  <c r="B68" i="32"/>
  <c r="G68" i="32"/>
  <c r="J68" i="32"/>
  <c r="K68" i="32"/>
  <c r="H68" i="32"/>
  <c r="M68" i="32"/>
  <c r="I68" i="32"/>
  <c r="A68" i="32"/>
  <c r="N68" i="32"/>
  <c r="L68" i="32"/>
  <c r="A70" i="32"/>
  <c r="M69" i="32"/>
  <c r="K69" i="32"/>
  <c r="B70" i="32"/>
  <c r="N70" i="32"/>
  <c r="G70" i="32"/>
  <c r="N69" i="32"/>
  <c r="J69" i="32"/>
  <c r="H69" i="32"/>
  <c r="I70" i="32"/>
  <c r="I69" i="32"/>
  <c r="J70" i="32"/>
  <c r="H70" i="32"/>
  <c r="G69" i="32"/>
  <c r="A69" i="32"/>
  <c r="K70" i="32"/>
  <c r="M70" i="32"/>
  <c r="B69" i="32"/>
  <c r="L70" i="32"/>
  <c r="L69" i="32"/>
  <c r="K71" i="32"/>
  <c r="M71" i="32"/>
  <c r="H71" i="32"/>
  <c r="N71" i="32"/>
  <c r="I71" i="32"/>
  <c r="J71" i="32"/>
  <c r="A71" i="32"/>
  <c r="L71" i="32"/>
  <c r="B71" i="32"/>
  <c r="G71" i="32"/>
  <c r="M72" i="32"/>
  <c r="K72" i="32"/>
  <c r="N72" i="32"/>
  <c r="I72" i="32"/>
  <c r="J72" i="32"/>
  <c r="G72" i="32"/>
  <c r="A72" i="32"/>
  <c r="B72" i="32"/>
  <c r="H72" i="32"/>
  <c r="L72" i="32"/>
  <c r="J73" i="32"/>
  <c r="K73" i="32"/>
  <c r="L73" i="32"/>
  <c r="M73" i="32"/>
  <c r="G73" i="32"/>
  <c r="A73" i="32"/>
  <c r="N73" i="32"/>
  <c r="I73" i="32"/>
  <c r="B73" i="32"/>
  <c r="H73" i="32"/>
  <c r="L74" i="32"/>
  <c r="A74" i="32"/>
  <c r="B74" i="32"/>
  <c r="N74" i="32"/>
  <c r="G74" i="32"/>
  <c r="H74" i="32"/>
  <c r="K74" i="32"/>
  <c r="J74" i="32"/>
  <c r="M74" i="32"/>
  <c r="I74" i="32"/>
  <c r="B75" i="32"/>
  <c r="G76" i="32"/>
  <c r="H75" i="32"/>
  <c r="A76" i="32"/>
  <c r="I75" i="32"/>
  <c r="M76" i="32"/>
  <c r="N76" i="32"/>
  <c r="L76" i="32"/>
  <c r="B76" i="32"/>
  <c r="H76" i="32"/>
  <c r="J75" i="32"/>
  <c r="M75" i="32"/>
  <c r="I76" i="32"/>
  <c r="N75" i="32"/>
  <c r="G75" i="32"/>
  <c r="J76" i="32"/>
  <c r="L75" i="32"/>
  <c r="K76" i="32"/>
  <c r="K75" i="32"/>
  <c r="A75" i="32"/>
  <c r="N77" i="32"/>
  <c r="L77" i="32"/>
  <c r="M77" i="32"/>
  <c r="H77" i="32"/>
  <c r="A77" i="32"/>
  <c r="I77" i="32"/>
  <c r="K77" i="32"/>
  <c r="G77" i="32"/>
  <c r="B77" i="32"/>
  <c r="J77" i="32"/>
  <c r="M78" i="32"/>
  <c r="K78" i="32"/>
  <c r="L78" i="32"/>
  <c r="I78" i="32"/>
  <c r="J78" i="32"/>
  <c r="H78" i="32"/>
  <c r="A78" i="32"/>
  <c r="N78" i="32"/>
  <c r="B78" i="32"/>
  <c r="G78" i="32"/>
  <c r="K79" i="32"/>
  <c r="A79" i="32"/>
  <c r="B79" i="32"/>
  <c r="G79" i="32"/>
  <c r="H79" i="32"/>
  <c r="J79" i="32"/>
  <c r="I79" i="32"/>
  <c r="N79" i="32"/>
  <c r="L79" i="32"/>
  <c r="M79" i="32"/>
  <c r="A81" i="32"/>
  <c r="M81" i="32"/>
  <c r="N81" i="32"/>
  <c r="M80" i="32"/>
  <c r="B81" i="32"/>
  <c r="H81" i="32"/>
  <c r="I80" i="32"/>
  <c r="N80" i="32"/>
  <c r="B80" i="32"/>
  <c r="K81" i="32"/>
  <c r="J80" i="32"/>
  <c r="K80" i="32"/>
  <c r="L81" i="32"/>
  <c r="J81" i="32"/>
  <c r="L80" i="32"/>
  <c r="A80" i="32"/>
  <c r="I81" i="32"/>
  <c r="H80" i="32"/>
  <c r="G81" i="32"/>
  <c r="G80" i="32"/>
  <c r="I82" i="32"/>
  <c r="H82" i="32"/>
  <c r="J82" i="32"/>
  <c r="M82" i="32"/>
  <c r="K82" i="32"/>
  <c r="L82" i="32"/>
  <c r="A82" i="32"/>
  <c r="N82" i="32"/>
  <c r="B82" i="32"/>
  <c r="G82" i="32"/>
  <c r="K83" i="32"/>
  <c r="H83" i="32"/>
  <c r="J83" i="32"/>
  <c r="L83" i="32"/>
  <c r="I83" i="32"/>
  <c r="M83" i="32"/>
  <c r="B83" i="32"/>
  <c r="G83" i="32"/>
  <c r="A83" i="32"/>
  <c r="L84" i="32"/>
  <c r="M84" i="32"/>
  <c r="I84" i="32"/>
  <c r="A84" i="32"/>
  <c r="N84" i="32"/>
  <c r="J84" i="32"/>
  <c r="B84" i="32"/>
  <c r="H84" i="32"/>
  <c r="G84" i="32"/>
  <c r="K84" i="32"/>
  <c r="M85" i="32"/>
  <c r="I85" i="32"/>
  <c r="G85" i="32"/>
  <c r="J85" i="32"/>
  <c r="L85" i="32"/>
  <c r="K85" i="32"/>
  <c r="H85" i="32"/>
  <c r="A85" i="32"/>
  <c r="B85" i="32"/>
  <c r="N85" i="32"/>
  <c r="A86" i="32"/>
  <c r="J86" i="32"/>
  <c r="B86" i="32"/>
  <c r="L86" i="32"/>
  <c r="I86" i="32"/>
  <c r="M86" i="32"/>
  <c r="K86" i="32"/>
  <c r="H86" i="32"/>
  <c r="G86" i="32"/>
  <c r="N86" i="32"/>
  <c r="G87" i="32"/>
  <c r="L87" i="32"/>
  <c r="B87" i="32"/>
  <c r="M87" i="32"/>
  <c r="I87" i="32"/>
  <c r="N87" i="32"/>
  <c r="A87" i="32"/>
  <c r="H87" i="32"/>
  <c r="J87" i="32"/>
  <c r="K87" i="32"/>
  <c r="L88" i="32"/>
  <c r="G88" i="32"/>
  <c r="M88" i="32"/>
  <c r="I88" i="32"/>
  <c r="A88" i="32"/>
  <c r="N88" i="32"/>
  <c r="K88" i="32"/>
  <c r="B88" i="32"/>
  <c r="H88" i="32"/>
  <c r="J88" i="32"/>
  <c r="A89" i="32"/>
  <c r="H89" i="32"/>
  <c r="G89" i="32"/>
  <c r="M89" i="32"/>
  <c r="B89" i="32"/>
  <c r="N89" i="32"/>
  <c r="I89" i="32"/>
  <c r="J89" i="32"/>
  <c r="K89" i="32"/>
  <c r="L89" i="32"/>
  <c r="G90" i="32"/>
  <c r="K90" i="32"/>
  <c r="H90" i="32"/>
  <c r="M90" i="32"/>
  <c r="B90" i="32"/>
  <c r="L90" i="32"/>
  <c r="I90" i="32"/>
  <c r="N90" i="32"/>
  <c r="A90" i="32"/>
  <c r="J90" i="32"/>
  <c r="N91" i="32"/>
  <c r="A91" i="32"/>
  <c r="H91" i="32"/>
  <c r="B91" i="32"/>
  <c r="J91" i="32"/>
  <c r="L91" i="32"/>
  <c r="K91" i="32"/>
  <c r="M91" i="32"/>
  <c r="I91" i="32"/>
  <c r="G91" i="32"/>
  <c r="N92" i="32"/>
  <c r="A92" i="32"/>
  <c r="J92" i="32"/>
  <c r="H92" i="32"/>
  <c r="B92" i="32"/>
  <c r="K17" i="32"/>
  <c r="L17" i="32"/>
  <c r="M17" i="32"/>
  <c r="J17" i="32"/>
  <c r="G17" i="32"/>
  <c r="A17" i="32"/>
  <c r="N17" i="32"/>
  <c r="B17" i="32"/>
  <c r="H17" i="32"/>
  <c r="G18" i="32"/>
  <c r="M18" i="32"/>
  <c r="I18" i="32"/>
  <c r="J18" i="32"/>
  <c r="K18" i="32"/>
  <c r="H18" i="32"/>
  <c r="A18" i="32"/>
  <c r="L18" i="32"/>
  <c r="B18" i="32"/>
  <c r="N19" i="32"/>
  <c r="H19" i="32"/>
  <c r="G19" i="32"/>
  <c r="I19" i="32"/>
  <c r="J19" i="32"/>
  <c r="A19" i="32"/>
  <c r="K19" i="32"/>
  <c r="B19" i="32"/>
  <c r="L19" i="32"/>
  <c r="M19" i="32"/>
  <c r="J20" i="32"/>
  <c r="K20" i="32"/>
  <c r="M20" i="32"/>
  <c r="N20" i="32"/>
  <c r="L20" i="32"/>
  <c r="G20" i="32"/>
  <c r="A20" i="32"/>
  <c r="B20" i="32"/>
  <c r="I20" i="32"/>
  <c r="H20" i="32"/>
  <c r="L21" i="32"/>
  <c r="K21" i="32"/>
  <c r="M21" i="32"/>
  <c r="J21" i="32"/>
  <c r="A21" i="32"/>
  <c r="Q21" i="32" s="1"/>
  <c r="P21" i="32" s="1"/>
  <c r="N21" i="32"/>
  <c r="B21" i="32"/>
  <c r="G21" i="32"/>
  <c r="H21" i="32"/>
  <c r="I21" i="32"/>
  <c r="J22" i="32"/>
  <c r="I22" i="32"/>
  <c r="K22" i="32"/>
  <c r="H22" i="32"/>
  <c r="L22" i="32"/>
  <c r="A22" i="32"/>
  <c r="Q22" i="32" s="1"/>
  <c r="P22" i="32" s="1"/>
  <c r="M22" i="32"/>
  <c r="B22" i="32"/>
  <c r="G22" i="32"/>
  <c r="G23" i="32"/>
  <c r="H23" i="32"/>
  <c r="I23" i="32"/>
  <c r="N23" i="32"/>
  <c r="J23" i="32"/>
  <c r="A23" i="32"/>
  <c r="Q23" i="32" s="1"/>
  <c r="P23" i="32" s="1"/>
  <c r="K23" i="32"/>
  <c r="B23" i="32"/>
  <c r="L23" i="32"/>
  <c r="M23" i="32"/>
  <c r="I24" i="32"/>
  <c r="J24" i="32"/>
  <c r="K24" i="32"/>
  <c r="M24" i="32"/>
  <c r="N24" i="32"/>
  <c r="L24" i="32"/>
  <c r="G24" i="32"/>
  <c r="A24" i="32"/>
  <c r="Q24" i="32" s="1"/>
  <c r="P24" i="32" s="1"/>
  <c r="B24" i="32"/>
  <c r="H24" i="32"/>
  <c r="AT162" i="53"/>
  <c r="AG162" i="53"/>
  <c r="J16" i="32"/>
  <c r="K16" i="32"/>
  <c r="L16" i="32"/>
  <c r="N16" i="32"/>
  <c r="A16" i="32"/>
  <c r="Q16" i="32" s="1"/>
  <c r="G16" i="32"/>
  <c r="B16" i="32"/>
  <c r="H16" i="32"/>
  <c r="I16" i="32"/>
  <c r="AD162" i="53"/>
  <c r="Q162" i="53"/>
  <c r="K163" i="53"/>
  <c r="AH163" i="53" s="1"/>
  <c r="E163" i="53"/>
  <c r="F163" i="53"/>
  <c r="C163" i="53"/>
  <c r="P163" i="53"/>
  <c r="I163" i="53"/>
  <c r="J163" i="53"/>
  <c r="L163" i="53"/>
  <c r="AK162" i="52" a="1"/>
  <c r="AK162" i="52" s="1"/>
  <c r="B164" i="53" s="1"/>
  <c r="G163" i="53"/>
  <c r="H163" i="53"/>
  <c r="D163" i="53"/>
  <c r="A93" i="32"/>
  <c r="B93" i="32"/>
  <c r="B12" i="32"/>
  <c r="B13" i="32"/>
  <c r="A14" i="32"/>
  <c r="B14" i="32"/>
  <c r="A15" i="32"/>
  <c r="Q15" i="32" s="1"/>
  <c r="B15" i="32"/>
  <c r="I93" i="32"/>
  <c r="J93" i="32"/>
  <c r="L93" i="32"/>
  <c r="N93" i="32"/>
  <c r="K93" i="32"/>
  <c r="H93" i="32"/>
  <c r="G93" i="32"/>
  <c r="M93" i="32"/>
  <c r="N13" i="32"/>
  <c r="L14" i="32"/>
  <c r="J15" i="32"/>
  <c r="G13" i="32"/>
  <c r="M14" i="32"/>
  <c r="K15" i="32"/>
  <c r="H13" i="32"/>
  <c r="N14" i="32"/>
  <c r="L15" i="32"/>
  <c r="I13" i="32"/>
  <c r="G14" i="32"/>
  <c r="M15" i="32"/>
  <c r="H15" i="32"/>
  <c r="J13" i="32"/>
  <c r="H14" i="32"/>
  <c r="N15" i="32"/>
  <c r="J14" i="32"/>
  <c r="K13" i="32"/>
  <c r="I14" i="32"/>
  <c r="G15" i="32"/>
  <c r="L13" i="32"/>
  <c r="M13" i="32"/>
  <c r="K14" i="32"/>
  <c r="I15" i="32"/>
  <c r="J12" i="32"/>
  <c r="K12" i="32"/>
  <c r="H12" i="32"/>
  <c r="G12" i="32"/>
  <c r="AL93" i="11" a="1"/>
  <c r="AL93" i="11" s="1"/>
  <c r="E94" i="32" s="1"/>
  <c r="O94" i="32" s="1"/>
  <c r="U13" i="32" l="1"/>
  <c r="U14" i="32"/>
  <c r="K33" i="108"/>
  <c r="J24" i="96" s="1"/>
  <c r="S12" i="108"/>
  <c r="U12" i="108" s="1"/>
  <c r="S13" i="108"/>
  <c r="U13" i="108" s="1"/>
  <c r="S14" i="108"/>
  <c r="U14" i="108" s="1"/>
  <c r="Q14" i="32"/>
  <c r="P14" i="32" s="1"/>
  <c r="U93" i="32"/>
  <c r="P12" i="32"/>
  <c r="P13" i="32"/>
  <c r="P15" i="32"/>
  <c r="P16" i="32"/>
  <c r="Q18" i="32"/>
  <c r="P18" i="32" s="1"/>
  <c r="Q20" i="32"/>
  <c r="P20" i="32" s="1"/>
  <c r="Q19" i="32"/>
  <c r="P19" i="32" s="1"/>
  <c r="Q17" i="32"/>
  <c r="P17" i="32" s="1"/>
  <c r="F94" i="32"/>
  <c r="AU94" i="32"/>
  <c r="S11" i="108"/>
  <c r="U11" i="108" s="1"/>
  <c r="S10" i="108"/>
  <c r="U10" i="108" s="1"/>
  <c r="K32" i="108"/>
  <c r="F23" i="96" s="1"/>
  <c r="AC164" i="53"/>
  <c r="O164" i="53"/>
  <c r="Q72" i="32"/>
  <c r="P72" i="32" s="1"/>
  <c r="Q69" i="32"/>
  <c r="P69" i="32" s="1"/>
  <c r="Q50" i="32"/>
  <c r="P50" i="32" s="1"/>
  <c r="Q44" i="32"/>
  <c r="P44" i="32" s="1"/>
  <c r="Q42" i="32"/>
  <c r="P42" i="32" s="1"/>
  <c r="Q40" i="32"/>
  <c r="P40" i="32" s="1"/>
  <c r="Q93" i="32"/>
  <c r="P93" i="32" s="1"/>
  <c r="Q91" i="32"/>
  <c r="P91" i="32" s="1"/>
  <c r="Q90" i="32"/>
  <c r="P90" i="32" s="1"/>
  <c r="Q89" i="32"/>
  <c r="P89" i="32" s="1"/>
  <c r="Q87" i="32"/>
  <c r="P87" i="32" s="1"/>
  <c r="Q83" i="32"/>
  <c r="P83" i="32" s="1"/>
  <c r="Q79" i="32"/>
  <c r="P79" i="32" s="1"/>
  <c r="Q75" i="32"/>
  <c r="P75" i="32" s="1"/>
  <c r="Q60" i="32"/>
  <c r="P60" i="32" s="1"/>
  <c r="Q61" i="32"/>
  <c r="P61" i="32" s="1"/>
  <c r="Q58" i="32"/>
  <c r="P58" i="32" s="1"/>
  <c r="Q56" i="32"/>
  <c r="P56" i="32" s="1"/>
  <c r="Q52" i="32"/>
  <c r="P52" i="32" s="1"/>
  <c r="Q49" i="32"/>
  <c r="P49" i="32" s="1"/>
  <c r="Q35" i="32"/>
  <c r="P35" i="32" s="1"/>
  <c r="Q29" i="32"/>
  <c r="P29" i="32" s="1"/>
  <c r="Q26" i="32"/>
  <c r="P26" i="32" s="1"/>
  <c r="Q77" i="32"/>
  <c r="P77" i="32" s="1"/>
  <c r="Q74" i="32"/>
  <c r="P74" i="32" s="1"/>
  <c r="Q70" i="32"/>
  <c r="P70" i="32" s="1"/>
  <c r="Q62" i="32"/>
  <c r="P62" i="32" s="1"/>
  <c r="Q59" i="32"/>
  <c r="P59" i="32" s="1"/>
  <c r="Q48" i="32"/>
  <c r="P48" i="32" s="1"/>
  <c r="Q38" i="32"/>
  <c r="P38" i="32" s="1"/>
  <c r="Q86" i="32"/>
  <c r="P86" i="32" s="1"/>
  <c r="Q85" i="32"/>
  <c r="P85" i="32" s="1"/>
  <c r="Q82" i="32"/>
  <c r="P82" i="32" s="1"/>
  <c r="Q80" i="32"/>
  <c r="P80" i="32" s="1"/>
  <c r="Q78" i="32"/>
  <c r="P78" i="32" s="1"/>
  <c r="Q73" i="32"/>
  <c r="P73" i="32" s="1"/>
  <c r="Q66" i="32"/>
  <c r="P66" i="32" s="1"/>
  <c r="Q63" i="32"/>
  <c r="P63" i="32" s="1"/>
  <c r="Q54" i="32"/>
  <c r="P54" i="32" s="1"/>
  <c r="Q51" i="32"/>
  <c r="P51" i="32" s="1"/>
  <c r="Q46" i="32"/>
  <c r="P46" i="32" s="1"/>
  <c r="Q45" i="32"/>
  <c r="P45" i="32" s="1"/>
  <c r="Q43" i="32"/>
  <c r="P43" i="32" s="1"/>
  <c r="Q33" i="32"/>
  <c r="P33" i="32" s="1"/>
  <c r="Q28" i="32"/>
  <c r="P28" i="32" s="1"/>
  <c r="Q27" i="32"/>
  <c r="P27" i="32" s="1"/>
  <c r="Q84" i="32"/>
  <c r="P84" i="32" s="1"/>
  <c r="Q68" i="32"/>
  <c r="P68" i="32" s="1"/>
  <c r="Q47" i="32"/>
  <c r="P47" i="32" s="1"/>
  <c r="Q34" i="32"/>
  <c r="P34" i="32" s="1"/>
  <c r="Q31" i="32"/>
  <c r="P31" i="32" s="1"/>
  <c r="Q92" i="32"/>
  <c r="P92" i="32" s="1"/>
  <c r="Q88" i="32"/>
  <c r="P88" i="32" s="1"/>
  <c r="Q81" i="32"/>
  <c r="P81" i="32" s="1"/>
  <c r="Q76" i="32"/>
  <c r="P76" i="32" s="1"/>
  <c r="Q71" i="32"/>
  <c r="P71" i="32" s="1"/>
  <c r="Q67" i="32"/>
  <c r="P67" i="32" s="1"/>
  <c r="Q65" i="32"/>
  <c r="P65" i="32" s="1"/>
  <c r="Q64" i="32"/>
  <c r="P64" i="32" s="1"/>
  <c r="Q57" i="32"/>
  <c r="P57" i="32" s="1"/>
  <c r="Q55" i="32"/>
  <c r="P55" i="32" s="1"/>
  <c r="Q53" i="32"/>
  <c r="P53" i="32" s="1"/>
  <c r="Q41" i="32"/>
  <c r="P41" i="32" s="1"/>
  <c r="Q39" i="32"/>
  <c r="P39" i="32" s="1"/>
  <c r="Q37" i="32"/>
  <c r="P37" i="32" s="1"/>
  <c r="Q36" i="32"/>
  <c r="P36" i="32" s="1"/>
  <c r="Q32" i="32"/>
  <c r="P32" i="32" s="1"/>
  <c r="Q30" i="32"/>
  <c r="P30" i="32" s="1"/>
  <c r="Q25" i="32"/>
  <c r="P25" i="32" s="1"/>
  <c r="N164" i="53"/>
  <c r="T94" i="32"/>
  <c r="AA162" i="53"/>
  <c r="AM93" i="32"/>
  <c r="AM90" i="32"/>
  <c r="AM88" i="32"/>
  <c r="AM87" i="32"/>
  <c r="AM86" i="32"/>
  <c r="AM76" i="32"/>
  <c r="AM69" i="32"/>
  <c r="AM63" i="32"/>
  <c r="AM56" i="32"/>
  <c r="AM49" i="32"/>
  <c r="AM36" i="32"/>
  <c r="AM29" i="32"/>
  <c r="AM26" i="32"/>
  <c r="AM23" i="32"/>
  <c r="AM84" i="32"/>
  <c r="AM82" i="32"/>
  <c r="AM78" i="32"/>
  <c r="AM73" i="32"/>
  <c r="AM72" i="32"/>
  <c r="AM71" i="32"/>
  <c r="AM70" i="32"/>
  <c r="AM64" i="32"/>
  <c r="AM62" i="32"/>
  <c r="AM60" i="32"/>
  <c r="AM54" i="32"/>
  <c r="AM46" i="32"/>
  <c r="AM45" i="32"/>
  <c r="AM42" i="32"/>
  <c r="AM39" i="32"/>
  <c r="AM33" i="32"/>
  <c r="AM28" i="32"/>
  <c r="AM92" i="32"/>
  <c r="AM91" i="32"/>
  <c r="AM89" i="32"/>
  <c r="AM81" i="32"/>
  <c r="AM79" i="32"/>
  <c r="AM77" i="32"/>
  <c r="AM74" i="32"/>
  <c r="AM66" i="32"/>
  <c r="AM65" i="32"/>
  <c r="AM61" i="32"/>
  <c r="AM58" i="32"/>
  <c r="AM55" i="32"/>
  <c r="AM53" i="32"/>
  <c r="AM52" i="32"/>
  <c r="AM51" i="32"/>
  <c r="AM50" i="32"/>
  <c r="AM44" i="32"/>
  <c r="AM41" i="32"/>
  <c r="AM40" i="32"/>
  <c r="AM37" i="32"/>
  <c r="AM34" i="32"/>
  <c r="AM30" i="32"/>
  <c r="AM25" i="32"/>
  <c r="AM24" i="32"/>
  <c r="AM22" i="32"/>
  <c r="AM85" i="32"/>
  <c r="AM83" i="32"/>
  <c r="AM80" i="32"/>
  <c r="AM75" i="32"/>
  <c r="AM68" i="32"/>
  <c r="AM67" i="32"/>
  <c r="AM59" i="32"/>
  <c r="AM57" i="32"/>
  <c r="AM48" i="32"/>
  <c r="AM47" i="32"/>
  <c r="AM43" i="32"/>
  <c r="AM38" i="32"/>
  <c r="AM35" i="32"/>
  <c r="AM32" i="32"/>
  <c r="AM31" i="32"/>
  <c r="AM27" i="32"/>
  <c r="S13" i="32"/>
  <c r="S16" i="32"/>
  <c r="Z16" i="32" s="1"/>
  <c r="S21" i="32"/>
  <c r="Z21" i="32" s="1"/>
  <c r="S19" i="32"/>
  <c r="Z19" i="32" s="1"/>
  <c r="S15" i="32"/>
  <c r="Z15" i="32" s="1"/>
  <c r="S14" i="32"/>
  <c r="S18" i="32"/>
  <c r="Z18" i="32" s="1"/>
  <c r="S17" i="32"/>
  <c r="Z17" i="32" s="1"/>
  <c r="S20" i="32"/>
  <c r="Z20" i="32" s="1"/>
  <c r="S12" i="32"/>
  <c r="S93" i="32"/>
  <c r="Z93" i="32" s="1"/>
  <c r="S24" i="32"/>
  <c r="Z24" i="32" s="1"/>
  <c r="S22" i="32"/>
  <c r="Z22" i="32" s="1"/>
  <c r="S23" i="32"/>
  <c r="Z23" i="32" s="1"/>
  <c r="AE163" i="53"/>
  <c r="AF162" i="53"/>
  <c r="AK94" i="32"/>
  <c r="R163" i="53"/>
  <c r="X163" i="53" s="1"/>
  <c r="AB163" i="53" s="1"/>
  <c r="S87" i="32"/>
  <c r="Z87" i="32" s="1"/>
  <c r="S85" i="32"/>
  <c r="Z85" i="32" s="1"/>
  <c r="S77" i="32"/>
  <c r="Z77" i="32" s="1"/>
  <c r="S58" i="32"/>
  <c r="Z58" i="32" s="1"/>
  <c r="S48" i="32"/>
  <c r="Z48" i="32" s="1"/>
  <c r="S47" i="32"/>
  <c r="Z47" i="32" s="1"/>
  <c r="S44" i="32"/>
  <c r="Z44" i="32" s="1"/>
  <c r="S42" i="32"/>
  <c r="Z42" i="32" s="1"/>
  <c r="S35" i="32"/>
  <c r="Z35" i="32" s="1"/>
  <c r="S90" i="32"/>
  <c r="Z90" i="32" s="1"/>
  <c r="S81" i="32"/>
  <c r="Z81" i="32" s="1"/>
  <c r="S75" i="32"/>
  <c r="Z75" i="32" s="1"/>
  <c r="S59" i="32"/>
  <c r="Z59" i="32" s="1"/>
  <c r="S56" i="32"/>
  <c r="Z56" i="32" s="1"/>
  <c r="S55" i="32"/>
  <c r="Z55" i="32" s="1"/>
  <c r="S45" i="32"/>
  <c r="Z45" i="32" s="1"/>
  <c r="S30" i="32"/>
  <c r="Z30" i="32" s="1"/>
  <c r="S92" i="32"/>
  <c r="Z92" i="32" s="1"/>
  <c r="S83" i="32"/>
  <c r="Z83" i="32" s="1"/>
  <c r="S53" i="32"/>
  <c r="Z53" i="32" s="1"/>
  <c r="S52" i="32"/>
  <c r="Z52" i="32" s="1"/>
  <c r="S50" i="32"/>
  <c r="Z50" i="32" s="1"/>
  <c r="S43" i="32"/>
  <c r="Z43" i="32" s="1"/>
  <c r="S38" i="32"/>
  <c r="Z38" i="32" s="1"/>
  <c r="S25" i="32"/>
  <c r="Z25" i="32" s="1"/>
  <c r="S78" i="32"/>
  <c r="Z78" i="32" s="1"/>
  <c r="S74" i="32"/>
  <c r="Z74" i="32" s="1"/>
  <c r="S67" i="32"/>
  <c r="Z67" i="32" s="1"/>
  <c r="S29" i="32"/>
  <c r="Z29" i="32" s="1"/>
  <c r="S26" i="32"/>
  <c r="Z26" i="32" s="1"/>
  <c r="S86" i="32"/>
  <c r="Z86" i="32" s="1"/>
  <c r="S82" i="32"/>
  <c r="Z82" i="32" s="1"/>
  <c r="S80" i="32"/>
  <c r="Z80" i="32" s="1"/>
  <c r="S72" i="32"/>
  <c r="Z72" i="32" s="1"/>
  <c r="S65" i="32"/>
  <c r="Z65" i="32" s="1"/>
  <c r="S63" i="32"/>
  <c r="Z63" i="32" s="1"/>
  <c r="S49" i="32"/>
  <c r="Z49" i="32" s="1"/>
  <c r="S40" i="32"/>
  <c r="Z40" i="32" s="1"/>
  <c r="S32" i="32"/>
  <c r="Z32" i="32" s="1"/>
  <c r="S89" i="32"/>
  <c r="Z89" i="32" s="1"/>
  <c r="S70" i="32"/>
  <c r="Z70" i="32" s="1"/>
  <c r="S68" i="32"/>
  <c r="Z68" i="32" s="1"/>
  <c r="S66" i="32"/>
  <c r="Z66" i="32" s="1"/>
  <c r="S64" i="32"/>
  <c r="Z64" i="32" s="1"/>
  <c r="S62" i="32"/>
  <c r="Z62" i="32" s="1"/>
  <c r="S61" i="32"/>
  <c r="Z61" i="32" s="1"/>
  <c r="S34" i="32"/>
  <c r="Z34" i="32" s="1"/>
  <c r="S33" i="32"/>
  <c r="Z33" i="32" s="1"/>
  <c r="S31" i="32"/>
  <c r="Z31" i="32" s="1"/>
  <c r="S91" i="32"/>
  <c r="Z91" i="32" s="1"/>
  <c r="S88" i="32"/>
  <c r="Z88" i="32" s="1"/>
  <c r="S84" i="32"/>
  <c r="Z84" i="32" s="1"/>
  <c r="S79" i="32"/>
  <c r="Z79" i="32" s="1"/>
  <c r="S76" i="32"/>
  <c r="Z76" i="32" s="1"/>
  <c r="S69" i="32"/>
  <c r="Z69" i="32" s="1"/>
  <c r="S60" i="32"/>
  <c r="Z60" i="32" s="1"/>
  <c r="S57" i="32"/>
  <c r="Z57" i="32" s="1"/>
  <c r="S41" i="32"/>
  <c r="Z41" i="32" s="1"/>
  <c r="S39" i="32"/>
  <c r="Z39" i="32" s="1"/>
  <c r="S37" i="32"/>
  <c r="Z37" i="32" s="1"/>
  <c r="S28" i="32"/>
  <c r="Z28" i="32" s="1"/>
  <c r="S73" i="32"/>
  <c r="Z73" i="32" s="1"/>
  <c r="S71" i="32"/>
  <c r="Z71" i="32" s="1"/>
  <c r="S54" i="32"/>
  <c r="Z54" i="32" s="1"/>
  <c r="S51" i="32"/>
  <c r="Z51" i="32" s="1"/>
  <c r="S46" i="32"/>
  <c r="Z46" i="32" s="1"/>
  <c r="S36" i="32"/>
  <c r="Z36" i="32" s="1"/>
  <c r="S27" i="32"/>
  <c r="Z27" i="32" s="1"/>
  <c r="AG163" i="53"/>
  <c r="AT163" i="53"/>
  <c r="K164" i="53"/>
  <c r="AH164" i="53" s="1"/>
  <c r="Q163" i="53"/>
  <c r="AD163" i="53"/>
  <c r="P164" i="53"/>
  <c r="J164" i="53"/>
  <c r="D164" i="53"/>
  <c r="C164" i="53"/>
  <c r="AK163" i="52" a="1"/>
  <c r="AK163" i="52" s="1"/>
  <c r="B165" i="53" s="1"/>
  <c r="H164" i="53"/>
  <c r="L164" i="53"/>
  <c r="E164" i="53"/>
  <c r="G164" i="53"/>
  <c r="F164" i="53"/>
  <c r="I164" i="53"/>
  <c r="A94" i="32"/>
  <c r="B94" i="32"/>
  <c r="G94" i="32"/>
  <c r="H94" i="32"/>
  <c r="J94" i="32"/>
  <c r="L94" i="32"/>
  <c r="I94" i="32"/>
  <c r="N94" i="32"/>
  <c r="M94" i="32"/>
  <c r="K94" i="32"/>
  <c r="AL94" i="11" a="1"/>
  <c r="AL94" i="11" s="1"/>
  <c r="AT14" i="32" l="1"/>
  <c r="U94" i="32"/>
  <c r="AT13" i="32"/>
  <c r="AT12" i="32"/>
  <c r="AT20" i="32"/>
  <c r="AT18" i="32"/>
  <c r="AT17" i="32"/>
  <c r="AT16" i="32"/>
  <c r="AT19" i="32"/>
  <c r="AT15" i="32"/>
  <c r="AT30" i="32"/>
  <c r="AT39" i="32"/>
  <c r="AT57" i="32"/>
  <c r="AT71" i="32"/>
  <c r="AT92" i="32"/>
  <c r="AT47" i="32"/>
  <c r="AT27" i="32"/>
  <c r="AT45" i="32"/>
  <c r="AT63" i="32"/>
  <c r="AT80" i="32"/>
  <c r="AT38" i="32"/>
  <c r="AT70" i="32"/>
  <c r="AT29" i="32"/>
  <c r="AT56" i="32"/>
  <c r="AT75" i="32"/>
  <c r="AT89" i="32"/>
  <c r="AT93" i="32"/>
  <c r="AT50" i="32"/>
  <c r="AT32" i="32"/>
  <c r="AT41" i="32"/>
  <c r="AT64" i="32"/>
  <c r="AT76" i="32"/>
  <c r="AT21" i="32"/>
  <c r="AT68" i="32"/>
  <c r="AT28" i="32"/>
  <c r="AT46" i="32"/>
  <c r="AT66" i="32"/>
  <c r="AT82" i="32"/>
  <c r="AT48" i="32"/>
  <c r="AT74" i="32"/>
  <c r="AT35" i="32"/>
  <c r="AT58" i="32"/>
  <c r="AT79" i="32"/>
  <c r="AT90" i="32"/>
  <c r="AT40" i="32"/>
  <c r="AT69" i="32"/>
  <c r="AT36" i="32"/>
  <c r="AT53" i="32"/>
  <c r="AT65" i="32"/>
  <c r="AT81" i="32"/>
  <c r="AT31" i="32"/>
  <c r="AT84" i="32"/>
  <c r="AT33" i="32"/>
  <c r="AT51" i="32"/>
  <c r="AT73" i="32"/>
  <c r="AT85" i="32"/>
  <c r="AT59" i="32"/>
  <c r="AT77" i="32"/>
  <c r="AT49" i="32"/>
  <c r="AT61" i="32"/>
  <c r="AT83" i="32"/>
  <c r="AT91" i="32"/>
  <c r="AT42" i="32"/>
  <c r="AT72" i="32"/>
  <c r="AT25" i="32"/>
  <c r="AT37" i="32"/>
  <c r="AT55" i="32"/>
  <c r="AT67" i="32"/>
  <c r="AT88" i="32"/>
  <c r="AT34" i="32"/>
  <c r="AT24" i="32"/>
  <c r="AT43" i="32"/>
  <c r="AT54" i="32"/>
  <c r="AT78" i="32"/>
  <c r="AT86" i="32"/>
  <c r="AT62" i="32"/>
  <c r="AT26" i="32"/>
  <c r="AT52" i="32"/>
  <c r="AT60" i="32"/>
  <c r="AT87" i="32"/>
  <c r="AT23" i="32"/>
  <c r="AT44" i="32"/>
  <c r="AT22" i="32"/>
  <c r="Z14" i="32"/>
  <c r="Z13" i="32"/>
  <c r="AD33" i="32"/>
  <c r="AD46" i="32"/>
  <c r="AD64" i="32"/>
  <c r="AD73" i="32"/>
  <c r="AD91" i="32"/>
  <c r="AD15" i="32"/>
  <c r="AD49" i="32"/>
  <c r="AD76" i="32"/>
  <c r="AD90" i="32"/>
  <c r="AD93" i="32"/>
  <c r="AG93" i="32" s="1"/>
  <c r="AH93" i="32" s="1"/>
  <c r="AD41" i="32"/>
  <c r="AD65" i="32"/>
  <c r="AG65" i="32" s="1"/>
  <c r="AH65" i="32" s="1"/>
  <c r="AD21" i="32"/>
  <c r="AD32" i="32"/>
  <c r="AD47" i="32"/>
  <c r="AD67" i="32"/>
  <c r="AD83" i="32"/>
  <c r="AG83" i="32" s="1"/>
  <c r="AH83" i="32" s="1"/>
  <c r="AD34" i="32"/>
  <c r="AD52" i="32"/>
  <c r="AD77" i="32"/>
  <c r="AG77" i="32" s="1"/>
  <c r="AH77" i="32" s="1"/>
  <c r="AD39" i="32"/>
  <c r="AG39" i="32" s="1"/>
  <c r="AH39" i="32" s="1"/>
  <c r="AD54" i="32"/>
  <c r="AD70" i="32"/>
  <c r="AD78" i="32"/>
  <c r="AD92" i="32"/>
  <c r="AG92" i="32" s="1"/>
  <c r="AH92" i="32" s="1"/>
  <c r="AD26" i="32"/>
  <c r="AD56" i="32"/>
  <c r="AD86" i="32"/>
  <c r="AG86" i="32" s="1"/>
  <c r="AH86" i="32" s="1"/>
  <c r="AD17" i="32"/>
  <c r="AD25" i="32"/>
  <c r="AD51" i="32"/>
  <c r="AD66" i="32"/>
  <c r="AD35" i="32"/>
  <c r="AD48" i="32"/>
  <c r="AD68" i="32"/>
  <c r="AD85" i="32"/>
  <c r="AD40" i="32"/>
  <c r="AD55" i="32"/>
  <c r="AD79" i="32"/>
  <c r="AD42" i="32"/>
  <c r="AD60" i="32"/>
  <c r="AD71" i="32"/>
  <c r="AG71" i="32" s="1"/>
  <c r="AH71" i="32" s="1"/>
  <c r="AD82" i="32"/>
  <c r="AD18" i="32"/>
  <c r="AD29" i="32"/>
  <c r="AD63" i="32"/>
  <c r="AD87" i="32"/>
  <c r="AD19" i="32"/>
  <c r="AD30" i="32"/>
  <c r="AD53" i="32"/>
  <c r="AD81" i="32"/>
  <c r="AG81" i="32" s="1"/>
  <c r="AH81" i="32" s="1"/>
  <c r="AD27" i="32"/>
  <c r="AD38" i="32"/>
  <c r="AD57" i="32"/>
  <c r="AG57" i="32" s="1"/>
  <c r="AH57" i="32" s="1"/>
  <c r="AD75" i="32"/>
  <c r="AD22" i="32"/>
  <c r="AG22" i="32" s="1"/>
  <c r="AH22" i="32" s="1"/>
  <c r="AD44" i="32"/>
  <c r="AG44" i="32" s="1"/>
  <c r="AH44" i="32" s="1"/>
  <c r="AD58" i="32"/>
  <c r="AD20" i="32"/>
  <c r="AD28" i="32"/>
  <c r="AG28" i="32" s="1"/>
  <c r="AH28" i="32" s="1"/>
  <c r="AD45" i="32"/>
  <c r="AD62" i="32"/>
  <c r="AG62" i="32" s="1"/>
  <c r="AH62" i="32" s="1"/>
  <c r="AD72" i="32"/>
  <c r="AD84" i="32"/>
  <c r="AD23" i="32"/>
  <c r="AG23" i="32" s="1"/>
  <c r="AH23" i="32" s="1"/>
  <c r="AD36" i="32"/>
  <c r="AG36" i="32" s="1"/>
  <c r="AH36" i="32" s="1"/>
  <c r="AD69" i="32"/>
  <c r="AD88" i="32"/>
  <c r="AD16" i="32"/>
  <c r="AD37" i="32"/>
  <c r="AD61" i="32"/>
  <c r="AD89" i="32"/>
  <c r="AD31" i="32"/>
  <c r="AD43" i="32"/>
  <c r="AG43" i="32" s="1"/>
  <c r="AH43" i="32" s="1"/>
  <c r="AD59" i="32"/>
  <c r="AD80" i="32"/>
  <c r="AD24" i="32"/>
  <c r="AG24" i="32" s="1"/>
  <c r="AH24" i="32" s="1"/>
  <c r="AD50" i="32"/>
  <c r="AD74" i="32"/>
  <c r="AC165" i="53"/>
  <c r="O165" i="53"/>
  <c r="Q94" i="32"/>
  <c r="P94" i="32" s="1"/>
  <c r="N165" i="53"/>
  <c r="AA163" i="53"/>
  <c r="AM94" i="32"/>
  <c r="AJ20" i="32"/>
  <c r="W20" i="32"/>
  <c r="X20" i="32" s="1"/>
  <c r="C20" i="32"/>
  <c r="AJ17" i="32"/>
  <c r="W17" i="32"/>
  <c r="X17" i="32" s="1"/>
  <c r="C17" i="32"/>
  <c r="W19" i="32"/>
  <c r="X19" i="32" s="1"/>
  <c r="C19" i="32"/>
  <c r="AJ19" i="32"/>
  <c r="AJ18" i="32"/>
  <c r="C18" i="32"/>
  <c r="W18" i="32"/>
  <c r="X18" i="32" s="1"/>
  <c r="AJ21" i="32"/>
  <c r="W21" i="32"/>
  <c r="X21" i="32" s="1"/>
  <c r="C21" i="32"/>
  <c r="C14" i="32"/>
  <c r="AJ14" i="32"/>
  <c r="W14" i="32"/>
  <c r="X14" i="32" s="1"/>
  <c r="T14" i="32" s="1"/>
  <c r="AD14" i="32" s="1"/>
  <c r="W16" i="32"/>
  <c r="X16" i="32" s="1"/>
  <c r="AJ16" i="32"/>
  <c r="C16" i="32"/>
  <c r="AJ15" i="32"/>
  <c r="W15" i="32"/>
  <c r="C15" i="32"/>
  <c r="C13" i="32"/>
  <c r="W13" i="32"/>
  <c r="AJ13" i="32"/>
  <c r="Z12" i="32"/>
  <c r="W12" i="32"/>
  <c r="C12" i="32"/>
  <c r="AJ12" i="32"/>
  <c r="AJ23" i="32"/>
  <c r="C24" i="32"/>
  <c r="AJ24" i="32"/>
  <c r="C22" i="32"/>
  <c r="AJ22" i="32"/>
  <c r="W22" i="32"/>
  <c r="X22" i="32" s="1"/>
  <c r="AJ93" i="32"/>
  <c r="C93" i="32"/>
  <c r="C23" i="32"/>
  <c r="S94" i="32"/>
  <c r="Z94" i="32" s="1"/>
  <c r="C31" i="32"/>
  <c r="AJ31" i="32"/>
  <c r="C70" i="32"/>
  <c r="AJ70" i="32"/>
  <c r="C80" i="32"/>
  <c r="AJ80" i="32"/>
  <c r="C25" i="32"/>
  <c r="AJ25" i="32"/>
  <c r="C30" i="32"/>
  <c r="AJ30" i="32"/>
  <c r="C35" i="32"/>
  <c r="AJ35" i="32"/>
  <c r="C87" i="32"/>
  <c r="AJ87" i="32"/>
  <c r="C60" i="32"/>
  <c r="AJ60" i="32"/>
  <c r="C33" i="32"/>
  <c r="AJ33" i="32"/>
  <c r="C89" i="32"/>
  <c r="AJ89" i="32"/>
  <c r="C82" i="32"/>
  <c r="AJ82" i="32"/>
  <c r="C38" i="32"/>
  <c r="AJ38" i="32"/>
  <c r="C45" i="32"/>
  <c r="AJ45" i="32"/>
  <c r="C42" i="32"/>
  <c r="AJ42" i="32"/>
  <c r="C51" i="32"/>
  <c r="AJ51" i="32"/>
  <c r="C34" i="32"/>
  <c r="AJ34" i="32"/>
  <c r="C32" i="32"/>
  <c r="AJ32" i="32"/>
  <c r="C86" i="32"/>
  <c r="AJ86" i="32"/>
  <c r="C43" i="32"/>
  <c r="AJ43" i="32"/>
  <c r="C55" i="32"/>
  <c r="AJ55" i="32"/>
  <c r="C44" i="32"/>
  <c r="AJ44" i="32"/>
  <c r="C69" i="32"/>
  <c r="AJ69" i="32"/>
  <c r="C76" i="32"/>
  <c r="AJ76" i="32"/>
  <c r="C61" i="32"/>
  <c r="AJ61" i="32"/>
  <c r="C40" i="32"/>
  <c r="AJ40" i="32"/>
  <c r="C26" i="32"/>
  <c r="AJ26" i="32"/>
  <c r="C50" i="32"/>
  <c r="AJ50" i="32"/>
  <c r="C56" i="32"/>
  <c r="AJ56" i="32"/>
  <c r="C47" i="32"/>
  <c r="AJ47" i="32"/>
  <c r="C54" i="32"/>
  <c r="AJ54" i="32"/>
  <c r="C73" i="32"/>
  <c r="AJ73" i="32"/>
  <c r="C28" i="32"/>
  <c r="AJ28" i="32"/>
  <c r="C79" i="32"/>
  <c r="AJ79" i="32"/>
  <c r="C62" i="32"/>
  <c r="AJ62" i="32"/>
  <c r="C49" i="32"/>
  <c r="AJ49" i="32"/>
  <c r="C29" i="32"/>
  <c r="AJ29" i="32"/>
  <c r="C52" i="32"/>
  <c r="AJ52" i="32"/>
  <c r="C59" i="32"/>
  <c r="AJ59" i="32"/>
  <c r="C48" i="32"/>
  <c r="AJ48" i="32"/>
  <c r="C27" i="32"/>
  <c r="AJ27" i="32"/>
  <c r="C37" i="32"/>
  <c r="AJ37" i="32"/>
  <c r="C84" i="32"/>
  <c r="AJ84" i="32"/>
  <c r="C64" i="32"/>
  <c r="AJ64" i="32"/>
  <c r="C63" i="32"/>
  <c r="AJ63" i="32"/>
  <c r="C67" i="32"/>
  <c r="AJ67" i="32"/>
  <c r="C53" i="32"/>
  <c r="AJ53" i="32"/>
  <c r="C75" i="32"/>
  <c r="AJ75" i="32"/>
  <c r="C58" i="32"/>
  <c r="AJ58" i="32"/>
  <c r="C57" i="32"/>
  <c r="AJ57" i="32"/>
  <c r="C36" i="32"/>
  <c r="AJ36" i="32"/>
  <c r="C39" i="32"/>
  <c r="AJ39" i="32"/>
  <c r="C88" i="32"/>
  <c r="AJ88" i="32"/>
  <c r="C66" i="32"/>
  <c r="AJ66" i="32"/>
  <c r="C65" i="32"/>
  <c r="AJ65" i="32"/>
  <c r="C74" i="32"/>
  <c r="AJ74" i="32"/>
  <c r="C83" i="32"/>
  <c r="AJ83" i="32"/>
  <c r="C81" i="32"/>
  <c r="AJ81" i="32"/>
  <c r="C77" i="32"/>
  <c r="AJ77" i="32"/>
  <c r="C71" i="32"/>
  <c r="AJ71" i="32"/>
  <c r="C46" i="32"/>
  <c r="AJ46" i="32"/>
  <c r="C41" i="32"/>
  <c r="AJ41" i="32"/>
  <c r="C91" i="32"/>
  <c r="AJ91" i="32"/>
  <c r="C68" i="32"/>
  <c r="AJ68" i="32"/>
  <c r="C72" i="32"/>
  <c r="AJ72" i="32"/>
  <c r="C78" i="32"/>
  <c r="AJ78" i="32"/>
  <c r="C92" i="32"/>
  <c r="AJ92" i="32"/>
  <c r="C90" i="32"/>
  <c r="AJ90" i="32"/>
  <c r="C85" i="32"/>
  <c r="AJ85" i="32"/>
  <c r="W23" i="32"/>
  <c r="X23" i="32" s="1"/>
  <c r="W27" i="32"/>
  <c r="X27" i="32" s="1"/>
  <c r="W36" i="32"/>
  <c r="X36" i="32" s="1"/>
  <c r="W71" i="32"/>
  <c r="X71" i="32" s="1"/>
  <c r="W39" i="32"/>
  <c r="X39" i="32" s="1"/>
  <c r="W69" i="32"/>
  <c r="X69" i="32" s="1"/>
  <c r="W88" i="32"/>
  <c r="X88" i="32" s="1"/>
  <c r="W34" i="32"/>
  <c r="X34" i="32" s="1"/>
  <c r="W66" i="32"/>
  <c r="X66" i="32" s="1"/>
  <c r="W32" i="32"/>
  <c r="X32" i="32" s="1"/>
  <c r="W65" i="32"/>
  <c r="X65" i="32" s="1"/>
  <c r="W86" i="32"/>
  <c r="X86" i="32" s="1"/>
  <c r="W74" i="32"/>
  <c r="X74" i="32" s="1"/>
  <c r="W43" i="32"/>
  <c r="X43" i="32" s="1"/>
  <c r="W83" i="32"/>
  <c r="X83" i="32" s="1"/>
  <c r="W55" i="32"/>
  <c r="X55" i="32" s="1"/>
  <c r="W81" i="32"/>
  <c r="X81" i="32" s="1"/>
  <c r="W44" i="32"/>
  <c r="X44" i="32" s="1"/>
  <c r="W77" i="32"/>
  <c r="X77" i="32" s="1"/>
  <c r="W41" i="32"/>
  <c r="X41" i="32" s="1"/>
  <c r="W76" i="32"/>
  <c r="X76" i="32" s="1"/>
  <c r="W91" i="32"/>
  <c r="X91" i="32" s="1"/>
  <c r="W61" i="32"/>
  <c r="X61" i="32" s="1"/>
  <c r="W68" i="32"/>
  <c r="X68" i="32" s="1"/>
  <c r="W40" i="32"/>
  <c r="X40" i="32" s="1"/>
  <c r="W72" i="32"/>
  <c r="X72" i="32" s="1"/>
  <c r="W26" i="32"/>
  <c r="X26" i="32" s="1"/>
  <c r="W78" i="32"/>
  <c r="X78" i="32" s="1"/>
  <c r="W50" i="32"/>
  <c r="X50" i="32" s="1"/>
  <c r="W92" i="32"/>
  <c r="X92" i="32" s="1"/>
  <c r="W56" i="32"/>
  <c r="X56" i="32" s="1"/>
  <c r="W90" i="32"/>
  <c r="X90" i="32" s="1"/>
  <c r="W47" i="32"/>
  <c r="X47" i="32" s="1"/>
  <c r="W85" i="32"/>
  <c r="X85" i="32" s="1"/>
  <c r="W46" i="32"/>
  <c r="X46" i="32" s="1"/>
  <c r="W73" i="32"/>
  <c r="X73" i="32" s="1"/>
  <c r="W51" i="32"/>
  <c r="X51" i="32" s="1"/>
  <c r="W28" i="32"/>
  <c r="X28" i="32" s="1"/>
  <c r="W57" i="32"/>
  <c r="X57" i="32" s="1"/>
  <c r="W79" i="32"/>
  <c r="X79" i="32" s="1"/>
  <c r="W31" i="32"/>
  <c r="X31" i="32" s="1"/>
  <c r="W62" i="32"/>
  <c r="X62" i="32" s="1"/>
  <c r="W70" i="32"/>
  <c r="X70" i="32" s="1"/>
  <c r="W49" i="32"/>
  <c r="X49" i="32" s="1"/>
  <c r="W80" i="32"/>
  <c r="X80" i="32" s="1"/>
  <c r="W29" i="32"/>
  <c r="X29" i="32" s="1"/>
  <c r="W25" i="32"/>
  <c r="X25" i="32" s="1"/>
  <c r="W52" i="32"/>
  <c r="X52" i="32" s="1"/>
  <c r="W30" i="32"/>
  <c r="X30" i="32" s="1"/>
  <c r="W59" i="32"/>
  <c r="X59" i="32" s="1"/>
  <c r="W35" i="32"/>
  <c r="X35" i="32" s="1"/>
  <c r="W48" i="32"/>
  <c r="X48" i="32" s="1"/>
  <c r="W87" i="32"/>
  <c r="X87" i="32" s="1"/>
  <c r="W93" i="32"/>
  <c r="X93" i="32" s="1"/>
  <c r="W24" i="32"/>
  <c r="X24" i="32" s="1"/>
  <c r="W54" i="32"/>
  <c r="X54" i="32" s="1"/>
  <c r="W37" i="32"/>
  <c r="X37" i="32" s="1"/>
  <c r="W60" i="32"/>
  <c r="X60" i="32" s="1"/>
  <c r="W84" i="32"/>
  <c r="X84" i="32" s="1"/>
  <c r="W33" i="32"/>
  <c r="X33" i="32" s="1"/>
  <c r="W64" i="32"/>
  <c r="X64" i="32" s="1"/>
  <c r="W89" i="32"/>
  <c r="X89" i="32" s="1"/>
  <c r="W63" i="32"/>
  <c r="X63" i="32" s="1"/>
  <c r="W82" i="32"/>
  <c r="X82" i="32" s="1"/>
  <c r="W67" i="32"/>
  <c r="X67" i="32" s="1"/>
  <c r="W38" i="32"/>
  <c r="X38" i="32" s="1"/>
  <c r="W53" i="32"/>
  <c r="X53" i="32" s="1"/>
  <c r="W45" i="32"/>
  <c r="X45" i="32" s="1"/>
  <c r="W75" i="32"/>
  <c r="X75" i="32" s="1"/>
  <c r="W42" i="32"/>
  <c r="X42" i="32" s="1"/>
  <c r="W58" i="32"/>
  <c r="X58" i="32" s="1"/>
  <c r="V14" i="32"/>
  <c r="AF163" i="53"/>
  <c r="AE164" i="53"/>
  <c r="R164" i="53"/>
  <c r="X164" i="53" s="1"/>
  <c r="AB164" i="53" s="1"/>
  <c r="V54" i="32"/>
  <c r="V60" i="32"/>
  <c r="V33" i="32"/>
  <c r="V89" i="32"/>
  <c r="V82" i="32"/>
  <c r="V38" i="32"/>
  <c r="V45" i="32"/>
  <c r="V42" i="32"/>
  <c r="V34" i="32"/>
  <c r="V43" i="32"/>
  <c r="V55" i="32"/>
  <c r="V44" i="32"/>
  <c r="V32" i="32"/>
  <c r="V73" i="32"/>
  <c r="V76" i="32"/>
  <c r="V61" i="32"/>
  <c r="V40" i="32"/>
  <c r="V26" i="32"/>
  <c r="V50" i="32"/>
  <c r="V56" i="32"/>
  <c r="V47" i="32"/>
  <c r="V86" i="32"/>
  <c r="V28" i="32"/>
  <c r="V79" i="32"/>
  <c r="V62" i="32"/>
  <c r="V49" i="32"/>
  <c r="V29" i="32"/>
  <c r="V52" i="32"/>
  <c r="V59" i="32"/>
  <c r="V48" i="32"/>
  <c r="V27" i="32"/>
  <c r="V37" i="32"/>
  <c r="V84" i="32"/>
  <c r="V64" i="32"/>
  <c r="V63" i="32"/>
  <c r="V67" i="32"/>
  <c r="V53" i="32"/>
  <c r="V75" i="32"/>
  <c r="V58" i="32"/>
  <c r="V71" i="32"/>
  <c r="V36" i="32"/>
  <c r="V39" i="32"/>
  <c r="V88" i="32"/>
  <c r="V66" i="32"/>
  <c r="V65" i="32"/>
  <c r="V74" i="32"/>
  <c r="V83" i="32"/>
  <c r="V81" i="32"/>
  <c r="V77" i="32"/>
  <c r="V69" i="32"/>
  <c r="V46" i="32"/>
  <c r="V41" i="32"/>
  <c r="V91" i="32"/>
  <c r="V68" i="32"/>
  <c r="V72" i="32"/>
  <c r="V78" i="32"/>
  <c r="V92" i="32"/>
  <c r="V90" i="32"/>
  <c r="V85" i="32"/>
  <c r="V51" i="32"/>
  <c r="V57" i="32"/>
  <c r="V31" i="32"/>
  <c r="V70" i="32"/>
  <c r="V80" i="32"/>
  <c r="V25" i="32"/>
  <c r="V30" i="32"/>
  <c r="V35" i="32"/>
  <c r="V87" i="32"/>
  <c r="V20" i="32"/>
  <c r="V18" i="32"/>
  <c r="V17" i="32"/>
  <c r="V22" i="32"/>
  <c r="V23" i="32"/>
  <c r="V21" i="32"/>
  <c r="V19" i="32"/>
  <c r="V24" i="32"/>
  <c r="AT164" i="53"/>
  <c r="AG164" i="53"/>
  <c r="V16" i="32"/>
  <c r="K165" i="53"/>
  <c r="AH165" i="53" s="1"/>
  <c r="V93" i="32"/>
  <c r="Q164" i="53"/>
  <c r="AD164" i="53"/>
  <c r="E165" i="53"/>
  <c r="H165" i="53"/>
  <c r="J165" i="53"/>
  <c r="D165" i="53"/>
  <c r="P165" i="53"/>
  <c r="C165" i="53"/>
  <c r="L165" i="53"/>
  <c r="I165" i="53"/>
  <c r="G165" i="53"/>
  <c r="F165" i="53"/>
  <c r="AK164" i="52" a="1"/>
  <c r="AK164" i="52" s="1"/>
  <c r="B166" i="53" s="1"/>
  <c r="E95" i="32"/>
  <c r="O95" i="32" s="1"/>
  <c r="AL95" i="11" a="1"/>
  <c r="AL95" i="11" s="1"/>
  <c r="E96" i="32" s="1"/>
  <c r="O96" i="32" s="1"/>
  <c r="F95" i="32" l="1"/>
  <c r="AU95" i="32"/>
  <c r="F96" i="32"/>
  <c r="AU96" i="32"/>
  <c r="AT94" i="32"/>
  <c r="AD94" i="32"/>
  <c r="AG94" i="32" s="1"/>
  <c r="AH94" i="32" s="1"/>
  <c r="AC166" i="53"/>
  <c r="O166" i="53"/>
  <c r="N166" i="53"/>
  <c r="T96" i="32"/>
  <c r="T95" i="32"/>
  <c r="AA164" i="53"/>
  <c r="AG25" i="32"/>
  <c r="AG85" i="32"/>
  <c r="AG78" i="32"/>
  <c r="AG45" i="32"/>
  <c r="AG53" i="32"/>
  <c r="AG75" i="32"/>
  <c r="AG40" i="32"/>
  <c r="AG73" i="32"/>
  <c r="AH73" i="32" s="1"/>
  <c r="AG49" i="32"/>
  <c r="AG35" i="32"/>
  <c r="AG34" i="32"/>
  <c r="AG64" i="32"/>
  <c r="AG68" i="32"/>
  <c r="AH68" i="32" s="1"/>
  <c r="AG26" i="32"/>
  <c r="AG56" i="32"/>
  <c r="AG67" i="32"/>
  <c r="AG30" i="32"/>
  <c r="AG79" i="32"/>
  <c r="AG48" i="32"/>
  <c r="AG80" i="32"/>
  <c r="AG55" i="32"/>
  <c r="AG87" i="32"/>
  <c r="AG59" i="32"/>
  <c r="AG74" i="32"/>
  <c r="AG46" i="32"/>
  <c r="AG60" i="32"/>
  <c r="AG89" i="32"/>
  <c r="AG88" i="32"/>
  <c r="AG41" i="32"/>
  <c r="AG32" i="32"/>
  <c r="AG66" i="32"/>
  <c r="AH66" i="32" s="1"/>
  <c r="AG42" i="32"/>
  <c r="AH42" i="32" s="1"/>
  <c r="AG70" i="32"/>
  <c r="AG33" i="32"/>
  <c r="AH33" i="32" s="1"/>
  <c r="AG47" i="32"/>
  <c r="AG38" i="32"/>
  <c r="AG54" i="32"/>
  <c r="AG76" i="32"/>
  <c r="AG50" i="32"/>
  <c r="AH50" i="32" s="1"/>
  <c r="AG61" i="32"/>
  <c r="AG84" i="32"/>
  <c r="AG72" i="32"/>
  <c r="AG37" i="32"/>
  <c r="AG91" i="32"/>
  <c r="AG52" i="32"/>
  <c r="AG58" i="32"/>
  <c r="AG31" i="32"/>
  <c r="AG63" i="32"/>
  <c r="AG27" i="32"/>
  <c r="AG69" i="32"/>
  <c r="AG90" i="32"/>
  <c r="AH90" i="32" s="1"/>
  <c r="AG51" i="32"/>
  <c r="AG82" i="32"/>
  <c r="AG29" i="32"/>
  <c r="W94" i="32"/>
  <c r="X94" i="32" s="1"/>
  <c r="C94" i="32"/>
  <c r="AJ94" i="32"/>
  <c r="V94" i="32"/>
  <c r="AL78" i="32"/>
  <c r="AL45" i="32"/>
  <c r="AL35" i="32"/>
  <c r="AL49" i="32"/>
  <c r="AL54" i="32"/>
  <c r="AL56" i="32"/>
  <c r="AL30" i="32"/>
  <c r="AL68" i="32"/>
  <c r="AL90" i="32"/>
  <c r="AG14" i="32"/>
  <c r="AH14" i="32" s="1"/>
  <c r="AG21" i="32"/>
  <c r="AH21" i="32" s="1"/>
  <c r="AG20" i="32"/>
  <c r="AH20" i="32" s="1"/>
  <c r="AG18" i="32"/>
  <c r="AH18" i="32" s="1"/>
  <c r="AG19" i="32"/>
  <c r="AH19" i="32" s="1"/>
  <c r="AG17" i="32"/>
  <c r="AH17" i="32" s="1"/>
  <c r="AG16" i="32"/>
  <c r="AH16" i="32" s="1"/>
  <c r="V15" i="32"/>
  <c r="AL60" i="32"/>
  <c r="AL85" i="32"/>
  <c r="AL32" i="32"/>
  <c r="AL72" i="32"/>
  <c r="AL91" i="32"/>
  <c r="AL42" i="32"/>
  <c r="AL74" i="32"/>
  <c r="AL52" i="32"/>
  <c r="AL70" i="32"/>
  <c r="AL67" i="32"/>
  <c r="AL66" i="32"/>
  <c r="AL37" i="32"/>
  <c r="AL33" i="32"/>
  <c r="AL48" i="32"/>
  <c r="AL69" i="32"/>
  <c r="AL26" i="32"/>
  <c r="AL84" i="32"/>
  <c r="AL73" i="32"/>
  <c r="AL41" i="32"/>
  <c r="AL46" i="32"/>
  <c r="AL29" i="32"/>
  <c r="AL80" i="32"/>
  <c r="AE165" i="53"/>
  <c r="AF164" i="53"/>
  <c r="AL82" i="32"/>
  <c r="AK96" i="32"/>
  <c r="AL27" i="32"/>
  <c r="AL50" i="32"/>
  <c r="AL61" i="32"/>
  <c r="AL34" i="32"/>
  <c r="AK95" i="32"/>
  <c r="AL51" i="32"/>
  <c r="AL58" i="32"/>
  <c r="AL63" i="32"/>
  <c r="AL64" i="32"/>
  <c r="AL79" i="32"/>
  <c r="AL76" i="32"/>
  <c r="AL25" i="32"/>
  <c r="AL31" i="32"/>
  <c r="AL89" i="32"/>
  <c r="AL87" i="32"/>
  <c r="AL53" i="32"/>
  <c r="AL55" i="32"/>
  <c r="AL38" i="32"/>
  <c r="AL75" i="32"/>
  <c r="AL59" i="32"/>
  <c r="AL47" i="32"/>
  <c r="AL40" i="32"/>
  <c r="AL88" i="32"/>
  <c r="AI28" i="32"/>
  <c r="AN28" i="32" s="1"/>
  <c r="AL28" i="32"/>
  <c r="AI65" i="32"/>
  <c r="AN65" i="32" s="1"/>
  <c r="AL65" i="32"/>
  <c r="AI62" i="32"/>
  <c r="AN62" i="32" s="1"/>
  <c r="AL62" i="32"/>
  <c r="AI43" i="32"/>
  <c r="AN43" i="32" s="1"/>
  <c r="AL43" i="32"/>
  <c r="AI77" i="32"/>
  <c r="AN77" i="32" s="1"/>
  <c r="AL77" i="32"/>
  <c r="AI39" i="32"/>
  <c r="AN39" i="32" s="1"/>
  <c r="AL39" i="32"/>
  <c r="AI57" i="32"/>
  <c r="AN57" i="32" s="1"/>
  <c r="AL57" i="32"/>
  <c r="AL93" i="32"/>
  <c r="AI44" i="32"/>
  <c r="AN44" i="32" s="1"/>
  <c r="AL44" i="32"/>
  <c r="AI81" i="32"/>
  <c r="AN81" i="32" s="1"/>
  <c r="AL81" i="32"/>
  <c r="AI36" i="32"/>
  <c r="AN36" i="32" s="1"/>
  <c r="AL36" i="32"/>
  <c r="AL71" i="32"/>
  <c r="AI83" i="32"/>
  <c r="AN83" i="32" s="1"/>
  <c r="AL83" i="32"/>
  <c r="AI86" i="32"/>
  <c r="AN86" i="32" s="1"/>
  <c r="AL86" i="32"/>
  <c r="V12" i="32"/>
  <c r="R165" i="53"/>
  <c r="X165" i="53" s="1"/>
  <c r="AB165" i="53" s="1"/>
  <c r="X15" i="32"/>
  <c r="X12" i="32"/>
  <c r="V13" i="32"/>
  <c r="AT165" i="53"/>
  <c r="AG165" i="53"/>
  <c r="P166" i="53"/>
  <c r="AD165" i="53"/>
  <c r="X13" i="32"/>
  <c r="T13" i="32" s="1"/>
  <c r="Q165" i="53"/>
  <c r="AK165" i="52" a="1"/>
  <c r="AK165" i="52" s="1"/>
  <c r="B167" i="53" s="1"/>
  <c r="K166" i="53"/>
  <c r="AH166" i="53" s="1"/>
  <c r="E166" i="53"/>
  <c r="J166" i="53"/>
  <c r="D166" i="53"/>
  <c r="C166" i="53"/>
  <c r="H166" i="53"/>
  <c r="F166" i="53"/>
  <c r="G166" i="53"/>
  <c r="I166" i="53"/>
  <c r="L166" i="53"/>
  <c r="A96" i="32"/>
  <c r="B96" i="32"/>
  <c r="A95" i="32"/>
  <c r="Q95" i="32" s="1"/>
  <c r="P95" i="32" s="1"/>
  <c r="B95" i="32"/>
  <c r="K96" i="32"/>
  <c r="L96" i="32"/>
  <c r="N96" i="32"/>
  <c r="H96" i="32"/>
  <c r="M96" i="32"/>
  <c r="J96" i="32"/>
  <c r="I96" i="32"/>
  <c r="G96" i="32"/>
  <c r="M95" i="32"/>
  <c r="N95" i="32"/>
  <c r="H95" i="32"/>
  <c r="J95" i="32"/>
  <c r="G95" i="32"/>
  <c r="L95" i="32"/>
  <c r="I95" i="32"/>
  <c r="K95" i="32"/>
  <c r="AL96" i="11" a="1"/>
  <c r="AL96" i="11" s="1"/>
  <c r="L8" i="29"/>
  <c r="L5" i="29"/>
  <c r="L4" i="29"/>
  <c r="L3" i="29"/>
  <c r="U96" i="32" l="1"/>
  <c r="U95" i="32"/>
  <c r="AT95" i="32"/>
  <c r="AD13" i="32"/>
  <c r="AG13" i="32" s="1"/>
  <c r="AH13" i="32" s="1"/>
  <c r="AC167" i="53"/>
  <c r="O167" i="53"/>
  <c r="Q96" i="32"/>
  <c r="P96" i="32" s="1"/>
  <c r="N167" i="53"/>
  <c r="AA165" i="53"/>
  <c r="AH45" i="32"/>
  <c r="AI45" i="32" s="1"/>
  <c r="AN45" i="32" s="1"/>
  <c r="AH31" i="32"/>
  <c r="AI31" i="32" s="1"/>
  <c r="AN31" i="32" s="1"/>
  <c r="AH37" i="32"/>
  <c r="AI37" i="32" s="1"/>
  <c r="AN37" i="32" s="1"/>
  <c r="AH47" i="32"/>
  <c r="AI47" i="32" s="1"/>
  <c r="AN47" i="32" s="1"/>
  <c r="AH89" i="32"/>
  <c r="AI89" i="32" s="1"/>
  <c r="AN89" i="32" s="1"/>
  <c r="AH59" i="32"/>
  <c r="AI59" i="32" s="1"/>
  <c r="AN59" i="32" s="1"/>
  <c r="AH48" i="32"/>
  <c r="AI48" i="32" s="1"/>
  <c r="AN48" i="32" s="1"/>
  <c r="AH56" i="32"/>
  <c r="AI56" i="32" s="1"/>
  <c r="AN56" i="32" s="1"/>
  <c r="AH34" i="32"/>
  <c r="AI34" i="32" s="1"/>
  <c r="AN34" i="32" s="1"/>
  <c r="AH40" i="32"/>
  <c r="AI40" i="32" s="1"/>
  <c r="AN40" i="32" s="1"/>
  <c r="AH78" i="32"/>
  <c r="AI78" i="32" s="1"/>
  <c r="AN78" i="32" s="1"/>
  <c r="AH63" i="32"/>
  <c r="AI63" i="32" s="1"/>
  <c r="AN63" i="32" s="1"/>
  <c r="AH61" i="32"/>
  <c r="AI61" i="32" s="1"/>
  <c r="AN61" i="32" s="1"/>
  <c r="AH64" i="32"/>
  <c r="AI64" i="32" s="1"/>
  <c r="AN64" i="32" s="1"/>
  <c r="AH29" i="32"/>
  <c r="AI29" i="32" s="1"/>
  <c r="AN29" i="32" s="1"/>
  <c r="AH69" i="32"/>
  <c r="AI69" i="32" s="1"/>
  <c r="AN69" i="32" s="1"/>
  <c r="AH58" i="32"/>
  <c r="AI58" i="32" s="1"/>
  <c r="AN58" i="32" s="1"/>
  <c r="AH72" i="32"/>
  <c r="AI72" i="32" s="1"/>
  <c r="AN72" i="32" s="1"/>
  <c r="AH76" i="32"/>
  <c r="AI76" i="32" s="1"/>
  <c r="AN76" i="32" s="1"/>
  <c r="AH32" i="32"/>
  <c r="AI32" i="32" s="1"/>
  <c r="AN32" i="32" s="1"/>
  <c r="AH60" i="32"/>
  <c r="AI60" i="32" s="1"/>
  <c r="AN60" i="32" s="1"/>
  <c r="AH87" i="32"/>
  <c r="AI87" i="32" s="1"/>
  <c r="AN87" i="32" s="1"/>
  <c r="AH79" i="32"/>
  <c r="AI79" i="32" s="1"/>
  <c r="AN79" i="32" s="1"/>
  <c r="AH26" i="32"/>
  <c r="AI26" i="32" s="1"/>
  <c r="AN26" i="32" s="1"/>
  <c r="AH35" i="32"/>
  <c r="AI35" i="32" s="1"/>
  <c r="AN35" i="32" s="1"/>
  <c r="AH75" i="32"/>
  <c r="AI75" i="32" s="1"/>
  <c r="AN75" i="32" s="1"/>
  <c r="AH85" i="32"/>
  <c r="AI85" i="32" s="1"/>
  <c r="AN85" i="32" s="1"/>
  <c r="AH51" i="32"/>
  <c r="AI51" i="32" s="1"/>
  <c r="AN51" i="32" s="1"/>
  <c r="AH91" i="32"/>
  <c r="AI91" i="32" s="1"/>
  <c r="AN91" i="32" s="1"/>
  <c r="AH38" i="32"/>
  <c r="AI38" i="32" s="1"/>
  <c r="AN38" i="32" s="1"/>
  <c r="AH88" i="32"/>
  <c r="AI88" i="32" s="1"/>
  <c r="AN88" i="32" s="1"/>
  <c r="AH74" i="32"/>
  <c r="AI74" i="32" s="1"/>
  <c r="AN74" i="32" s="1"/>
  <c r="AH80" i="32"/>
  <c r="AI80" i="32" s="1"/>
  <c r="AN80" i="32" s="1"/>
  <c r="AH67" i="32"/>
  <c r="AI67" i="32" s="1"/>
  <c r="AN67" i="32" s="1"/>
  <c r="AH82" i="32"/>
  <c r="AI82" i="32" s="1"/>
  <c r="AN82" i="32" s="1"/>
  <c r="AH27" i="32"/>
  <c r="AI27" i="32" s="1"/>
  <c r="AN27" i="32" s="1"/>
  <c r="AH52" i="32"/>
  <c r="AI52" i="32" s="1"/>
  <c r="AN52" i="32" s="1"/>
  <c r="AH84" i="32"/>
  <c r="AI84" i="32" s="1"/>
  <c r="AN84" i="32" s="1"/>
  <c r="AH54" i="32"/>
  <c r="AI54" i="32" s="1"/>
  <c r="AN54" i="32" s="1"/>
  <c r="AH70" i="32"/>
  <c r="AI70" i="32" s="1"/>
  <c r="AN70" i="32" s="1"/>
  <c r="AH41" i="32"/>
  <c r="AI41" i="32" s="1"/>
  <c r="AN41" i="32" s="1"/>
  <c r="AH46" i="32"/>
  <c r="AI46" i="32" s="1"/>
  <c r="AN46" i="32" s="1"/>
  <c r="AH55" i="32"/>
  <c r="AI55" i="32" s="1"/>
  <c r="AN55" i="32" s="1"/>
  <c r="AH30" i="32"/>
  <c r="AI30" i="32" s="1"/>
  <c r="AN30" i="32" s="1"/>
  <c r="AH49" i="32"/>
  <c r="AI49" i="32" s="1"/>
  <c r="AN49" i="32" s="1"/>
  <c r="AH53" i="32"/>
  <c r="AI53" i="32" s="1"/>
  <c r="AN53" i="32" s="1"/>
  <c r="AH25" i="32"/>
  <c r="AI25" i="32" s="1"/>
  <c r="AN25" i="32" s="1"/>
  <c r="AM95" i="32"/>
  <c r="AM96" i="32"/>
  <c r="S96" i="32"/>
  <c r="Z96" i="32" s="1"/>
  <c r="S95" i="32"/>
  <c r="Z95" i="32" s="1"/>
  <c r="AG15" i="32"/>
  <c r="AH15" i="32" s="1"/>
  <c r="AE166" i="53"/>
  <c r="AF165" i="53"/>
  <c r="AL22" i="32"/>
  <c r="AL24" i="32"/>
  <c r="AI92" i="32"/>
  <c r="AN92" i="32" s="1"/>
  <c r="AL92" i="32"/>
  <c r="AL23" i="32"/>
  <c r="AI93" i="32"/>
  <c r="AN93" i="32" s="1"/>
  <c r="AI66" i="32"/>
  <c r="AN66" i="32" s="1"/>
  <c r="AI50" i="32"/>
  <c r="AN50" i="32" s="1"/>
  <c r="AI33" i="32"/>
  <c r="AN33" i="32" s="1"/>
  <c r="AI68" i="32"/>
  <c r="AN68" i="32" s="1"/>
  <c r="AI90" i="32"/>
  <c r="AN90" i="32" s="1"/>
  <c r="AI71" i="32"/>
  <c r="AN71" i="32" s="1"/>
  <c r="AI42" i="32"/>
  <c r="AN42" i="32" s="1"/>
  <c r="AI73" i="32"/>
  <c r="AN73" i="32" s="1"/>
  <c r="R166" i="53"/>
  <c r="X166" i="53" s="1"/>
  <c r="AB166" i="53" s="1"/>
  <c r="AT166" i="53"/>
  <c r="AG166" i="53"/>
  <c r="I167" i="53"/>
  <c r="Q166" i="53"/>
  <c r="AD166" i="53"/>
  <c r="C167" i="53"/>
  <c r="L167" i="53"/>
  <c r="P167" i="53"/>
  <c r="K167" i="53"/>
  <c r="AH167" i="53" s="1"/>
  <c r="E167" i="53"/>
  <c r="J167" i="53"/>
  <c r="H167" i="53"/>
  <c r="F167" i="53"/>
  <c r="D167" i="53"/>
  <c r="AK166" i="52" a="1"/>
  <c r="AK166" i="52" s="1"/>
  <c r="B168" i="53" s="1"/>
  <c r="G167" i="53"/>
  <c r="E97" i="32"/>
  <c r="O97" i="32" s="1"/>
  <c r="AW79" i="22"/>
  <c r="AK4" i="22"/>
  <c r="AL97" i="11" a="1"/>
  <c r="AL97" i="11" s="1"/>
  <c r="E98" i="32" s="1"/>
  <c r="O98" i="32" s="1"/>
  <c r="F98" i="32" l="1"/>
  <c r="AU98" i="32"/>
  <c r="F97" i="32"/>
  <c r="AU97" i="32"/>
  <c r="AT96" i="32"/>
  <c r="AD96" i="32"/>
  <c r="AG96" i="32" s="1"/>
  <c r="AH96" i="32" s="1"/>
  <c r="AD95" i="32"/>
  <c r="AG95" i="32" s="1"/>
  <c r="AH95" i="32" s="1"/>
  <c r="AC168" i="53"/>
  <c r="O168" i="53"/>
  <c r="N168" i="53"/>
  <c r="T98" i="32"/>
  <c r="T97" i="32"/>
  <c r="AA166" i="53"/>
  <c r="W95" i="32"/>
  <c r="X95" i="32" s="1"/>
  <c r="C95" i="32"/>
  <c r="AJ95" i="32"/>
  <c r="C96" i="32"/>
  <c r="AJ96" i="32"/>
  <c r="W96" i="32"/>
  <c r="X96" i="32" s="1"/>
  <c r="V96" i="32"/>
  <c r="AK21" i="32"/>
  <c r="AL21" i="32" s="1"/>
  <c r="AK20" i="32"/>
  <c r="AL20" i="32" s="1"/>
  <c r="AK19" i="32"/>
  <c r="AL19" i="32" s="1"/>
  <c r="AK18" i="32"/>
  <c r="AL18" i="32" s="1"/>
  <c r="AK17" i="32"/>
  <c r="AL17" i="32" s="1"/>
  <c r="AK16" i="32"/>
  <c r="AL16" i="32" s="1"/>
  <c r="AK14" i="32"/>
  <c r="AL14" i="32" s="1"/>
  <c r="AE167" i="53"/>
  <c r="AF166" i="53"/>
  <c r="AK98" i="32"/>
  <c r="AK97" i="32"/>
  <c r="AL94" i="32"/>
  <c r="AI23" i="32"/>
  <c r="AN23" i="32" s="1"/>
  <c r="AI22" i="32"/>
  <c r="AN22" i="32" s="1"/>
  <c r="R167" i="53"/>
  <c r="X167" i="53" s="1"/>
  <c r="AB167" i="53" s="1"/>
  <c r="AI24" i="32"/>
  <c r="AN24" i="32" s="1"/>
  <c r="AG167" i="53"/>
  <c r="AT167" i="53"/>
  <c r="E168" i="53"/>
  <c r="V95" i="32"/>
  <c r="AD167" i="53"/>
  <c r="AK167" i="52" a="1"/>
  <c r="AK167" i="52" s="1"/>
  <c r="B169" i="53" s="1"/>
  <c r="J168" i="53"/>
  <c r="Q167" i="53"/>
  <c r="F168" i="53"/>
  <c r="L168" i="53"/>
  <c r="I168" i="53"/>
  <c r="D168" i="53"/>
  <c r="H168" i="53"/>
  <c r="C168" i="53"/>
  <c r="G168" i="53"/>
  <c r="P168" i="53"/>
  <c r="K168" i="53"/>
  <c r="AH168" i="53" s="1"/>
  <c r="A97" i="32"/>
  <c r="Q97" i="32" s="1"/>
  <c r="P97" i="32" s="1"/>
  <c r="B97" i="32"/>
  <c r="A98" i="32"/>
  <c r="B98" i="32"/>
  <c r="I97" i="32"/>
  <c r="J97" i="32"/>
  <c r="L97" i="32"/>
  <c r="N97" i="32"/>
  <c r="H97" i="32"/>
  <c r="K97" i="32"/>
  <c r="G97" i="32"/>
  <c r="M97" i="32"/>
  <c r="G98" i="32"/>
  <c r="H98" i="32"/>
  <c r="J98" i="32"/>
  <c r="L98" i="32"/>
  <c r="I98" i="32"/>
  <c r="N98" i="32"/>
  <c r="K98" i="32"/>
  <c r="M98" i="32"/>
  <c r="AL98" i="11" a="1"/>
  <c r="AL98" i="11" s="1"/>
  <c r="E99" i="32" s="1"/>
  <c r="O99" i="32" s="1"/>
  <c r="U97" i="32" l="1"/>
  <c r="U98" i="32"/>
  <c r="AT97" i="32"/>
  <c r="F99" i="32"/>
  <c r="AU99" i="32"/>
  <c r="AC169" i="53"/>
  <c r="O169" i="53"/>
  <c r="Q98" i="32"/>
  <c r="P98" i="32" s="1"/>
  <c r="N169" i="53"/>
  <c r="T99" i="32"/>
  <c r="AA167" i="53"/>
  <c r="AM97" i="32"/>
  <c r="AM98" i="32"/>
  <c r="AI21" i="32"/>
  <c r="AM21" i="32"/>
  <c r="AI20" i="32"/>
  <c r="AM20" i="32"/>
  <c r="AI19" i="32"/>
  <c r="AM19" i="32"/>
  <c r="AI18" i="32"/>
  <c r="AM18" i="32"/>
  <c r="AI17" i="32"/>
  <c r="AM17" i="32"/>
  <c r="AI16" i="32"/>
  <c r="AM16" i="32"/>
  <c r="AM14" i="32"/>
  <c r="S97" i="32"/>
  <c r="Z97" i="32" s="1"/>
  <c r="S98" i="32"/>
  <c r="Z98" i="32" s="1"/>
  <c r="AK13" i="32"/>
  <c r="AL13" i="32" s="1"/>
  <c r="AE168" i="53"/>
  <c r="AF167" i="53"/>
  <c r="AK99" i="32"/>
  <c r="AL96" i="32"/>
  <c r="AI94" i="32"/>
  <c r="AN94" i="32" s="1"/>
  <c r="R168" i="53"/>
  <c r="X168" i="53" s="1"/>
  <c r="AB168" i="53" s="1"/>
  <c r="AI14" i="32"/>
  <c r="AT168" i="53"/>
  <c r="AG168" i="53"/>
  <c r="K169" i="53"/>
  <c r="AH169" i="53" s="1"/>
  <c r="Q168" i="53"/>
  <c r="AD168" i="53"/>
  <c r="AK168" i="52" a="1"/>
  <c r="AK168" i="52" s="1"/>
  <c r="B170" i="53" s="1"/>
  <c r="I169" i="53"/>
  <c r="P169" i="53"/>
  <c r="D169" i="53"/>
  <c r="G169" i="53"/>
  <c r="J169" i="53"/>
  <c r="H169" i="53"/>
  <c r="F169" i="53"/>
  <c r="L169" i="53"/>
  <c r="E169" i="53"/>
  <c r="C169" i="53"/>
  <c r="A99" i="32"/>
  <c r="B99" i="32"/>
  <c r="M99" i="32"/>
  <c r="N99" i="32"/>
  <c r="H99" i="32"/>
  <c r="J99" i="32"/>
  <c r="G99" i="32"/>
  <c r="L99" i="32"/>
  <c r="K99" i="32"/>
  <c r="I99" i="32"/>
  <c r="AL99" i="11" a="1"/>
  <c r="AL99" i="11" s="1"/>
  <c r="E100" i="32" s="1"/>
  <c r="O100" i="32" s="1"/>
  <c r="AN19" i="32" l="1"/>
  <c r="AN14" i="32"/>
  <c r="AN16" i="32"/>
  <c r="AN20" i="32"/>
  <c r="AN17" i="32"/>
  <c r="AN21" i="32"/>
  <c r="AN18" i="32"/>
  <c r="U99" i="32"/>
  <c r="F100" i="32"/>
  <c r="AU100" i="32"/>
  <c r="AT98" i="32"/>
  <c r="AD97" i="32"/>
  <c r="AG97" i="32" s="1"/>
  <c r="AH97" i="32" s="1"/>
  <c r="AD98" i="32"/>
  <c r="AG98" i="32" s="1"/>
  <c r="AH98" i="32" s="1"/>
  <c r="AC170" i="53"/>
  <c r="O170" i="53"/>
  <c r="Q99" i="32"/>
  <c r="P99" i="32" s="1"/>
  <c r="N170" i="53"/>
  <c r="T100" i="32"/>
  <c r="AA168" i="53"/>
  <c r="AM99" i="32"/>
  <c r="W98" i="32"/>
  <c r="X98" i="32" s="1"/>
  <c r="C98" i="32"/>
  <c r="AJ98" i="32"/>
  <c r="W97" i="32"/>
  <c r="X97" i="32" s="1"/>
  <c r="C97" i="32"/>
  <c r="AJ97" i="32"/>
  <c r="S99" i="32"/>
  <c r="Z99" i="32" s="1"/>
  <c r="V98" i="32"/>
  <c r="AM13" i="32"/>
  <c r="AK15" i="32"/>
  <c r="AL15" i="32" s="1"/>
  <c r="AE169" i="53"/>
  <c r="AF168" i="53"/>
  <c r="AK100" i="32"/>
  <c r="AL95" i="32"/>
  <c r="AI96" i="32"/>
  <c r="AN96" i="32" s="1"/>
  <c r="AI13" i="32"/>
  <c r="R169" i="53"/>
  <c r="X169" i="53" s="1"/>
  <c r="AB169" i="53" s="1"/>
  <c r="AG169" i="53"/>
  <c r="AT169" i="53"/>
  <c r="V97" i="32"/>
  <c r="AD169" i="53"/>
  <c r="Q169" i="53"/>
  <c r="AK169" i="52" a="1"/>
  <c r="AK169" i="52" s="1"/>
  <c r="B171" i="53" s="1"/>
  <c r="G170" i="53"/>
  <c r="P170" i="53"/>
  <c r="K170" i="53"/>
  <c r="AH170" i="53" s="1"/>
  <c r="J170" i="53"/>
  <c r="H170" i="53"/>
  <c r="D170" i="53"/>
  <c r="L170" i="53"/>
  <c r="E170" i="53"/>
  <c r="F170" i="53"/>
  <c r="C170" i="53"/>
  <c r="I170" i="53"/>
  <c r="A100" i="32"/>
  <c r="B100" i="32"/>
  <c r="K100" i="32"/>
  <c r="L100" i="32"/>
  <c r="N100" i="32"/>
  <c r="H100" i="32"/>
  <c r="J100" i="32"/>
  <c r="M100" i="32"/>
  <c r="G100" i="32"/>
  <c r="I100" i="32"/>
  <c r="AL100" i="11" a="1"/>
  <c r="AL100" i="11" s="1"/>
  <c r="E101" i="32" s="1"/>
  <c r="O101" i="32" s="1"/>
  <c r="AN13" i="32" l="1"/>
  <c r="U100" i="32"/>
  <c r="F101" i="32"/>
  <c r="AU101" i="32"/>
  <c r="AT99" i="32"/>
  <c r="AD99" i="32"/>
  <c r="AG99" i="32" s="1"/>
  <c r="AH99" i="32" s="1"/>
  <c r="AC171" i="53"/>
  <c r="O171" i="53"/>
  <c r="Q100" i="32"/>
  <c r="P100" i="32" s="1"/>
  <c r="N171" i="53"/>
  <c r="T101" i="32"/>
  <c r="AA169" i="53"/>
  <c r="AM100" i="32"/>
  <c r="AM15" i="32"/>
  <c r="W99" i="32"/>
  <c r="X99" i="32" s="1"/>
  <c r="C99" i="32"/>
  <c r="AJ99" i="32"/>
  <c r="S100" i="32"/>
  <c r="Z100" i="32" s="1"/>
  <c r="V99" i="32"/>
  <c r="AI15" i="32"/>
  <c r="AE170" i="53"/>
  <c r="AF169" i="53"/>
  <c r="AK101" i="32"/>
  <c r="AI95" i="32"/>
  <c r="AN95" i="32" s="1"/>
  <c r="R170" i="53"/>
  <c r="X170" i="53" s="1"/>
  <c r="AB170" i="53" s="1"/>
  <c r="AG170" i="53"/>
  <c r="AT170" i="53"/>
  <c r="AD170" i="53"/>
  <c r="AK170" i="52" a="1"/>
  <c r="AK170" i="52" s="1"/>
  <c r="B172" i="53" s="1"/>
  <c r="Q170" i="53"/>
  <c r="I171" i="53"/>
  <c r="G171" i="53"/>
  <c r="C171" i="53"/>
  <c r="K171" i="53"/>
  <c r="AH171" i="53" s="1"/>
  <c r="E171" i="53"/>
  <c r="J171" i="53"/>
  <c r="F171" i="53"/>
  <c r="H171" i="53"/>
  <c r="D171" i="53"/>
  <c r="L171" i="53"/>
  <c r="P171" i="53"/>
  <c r="A101" i="32"/>
  <c r="B101" i="32"/>
  <c r="I101" i="32"/>
  <c r="J101" i="32"/>
  <c r="L101" i="32"/>
  <c r="N101" i="32"/>
  <c r="K101" i="32"/>
  <c r="H101" i="32"/>
  <c r="M101" i="32"/>
  <c r="G101" i="32"/>
  <c r="AL101" i="11" a="1"/>
  <c r="AL101" i="11" s="1"/>
  <c r="E102" i="32" s="1"/>
  <c r="O102" i="32" s="1"/>
  <c r="AN15" i="32" l="1"/>
  <c r="U101" i="32"/>
  <c r="F102" i="32"/>
  <c r="AU102" i="32"/>
  <c r="AT100" i="32"/>
  <c r="AD100" i="32"/>
  <c r="AG100" i="32" s="1"/>
  <c r="AH100" i="32" s="1"/>
  <c r="AC172" i="53"/>
  <c r="O172" i="53"/>
  <c r="Q101" i="32"/>
  <c r="P101" i="32" s="1"/>
  <c r="N172" i="53"/>
  <c r="T102" i="32"/>
  <c r="AA170" i="53"/>
  <c r="AM101" i="32"/>
  <c r="C100" i="32"/>
  <c r="AJ100" i="32"/>
  <c r="W100" i="32"/>
  <c r="X100" i="32" s="1"/>
  <c r="S101" i="32"/>
  <c r="V100" i="32"/>
  <c r="AF170" i="53"/>
  <c r="AE171" i="53"/>
  <c r="AK102" i="32"/>
  <c r="AL98" i="32"/>
  <c r="AL97" i="32"/>
  <c r="R171" i="53"/>
  <c r="X171" i="53" s="1"/>
  <c r="AB171" i="53" s="1"/>
  <c r="AG171" i="53"/>
  <c r="AT171" i="53"/>
  <c r="AD171" i="53"/>
  <c r="Q171" i="53"/>
  <c r="AK171" i="52" a="1"/>
  <c r="AK171" i="52" s="1"/>
  <c r="B173" i="53" s="1"/>
  <c r="H172" i="53"/>
  <c r="L172" i="53"/>
  <c r="F172" i="53"/>
  <c r="G172" i="53"/>
  <c r="C172" i="53"/>
  <c r="E172" i="53"/>
  <c r="J172" i="53"/>
  <c r="I172" i="53"/>
  <c r="K172" i="53"/>
  <c r="AH172" i="53" s="1"/>
  <c r="D172" i="53"/>
  <c r="P172" i="53"/>
  <c r="A102" i="32"/>
  <c r="B102" i="32"/>
  <c r="G102" i="32"/>
  <c r="H102" i="32"/>
  <c r="J102" i="32"/>
  <c r="L102" i="32"/>
  <c r="I102" i="32"/>
  <c r="N102" i="32"/>
  <c r="M102" i="32"/>
  <c r="K102" i="32"/>
  <c r="AL102" i="11" a="1"/>
  <c r="AL102" i="11" s="1"/>
  <c r="U102" i="32" l="1"/>
  <c r="AD101" i="32"/>
  <c r="AG101" i="32" s="1"/>
  <c r="AH101" i="32" s="1"/>
  <c r="AT101" i="32"/>
  <c r="AC173" i="53"/>
  <c r="O173" i="53"/>
  <c r="Q102" i="32"/>
  <c r="P102" i="32" s="1"/>
  <c r="N173" i="53"/>
  <c r="AA171" i="53"/>
  <c r="C101" i="32"/>
  <c r="Z101" i="32"/>
  <c r="AM102" i="32"/>
  <c r="S102" i="32"/>
  <c r="Z102" i="32" s="1"/>
  <c r="W101" i="32"/>
  <c r="X101" i="32" s="1"/>
  <c r="AJ101" i="32"/>
  <c r="V101" i="32"/>
  <c r="AE172" i="53"/>
  <c r="AF171" i="53"/>
  <c r="AL99" i="32"/>
  <c r="AI98" i="32"/>
  <c r="AN98" i="32" s="1"/>
  <c r="R172" i="53"/>
  <c r="X172" i="53" s="1"/>
  <c r="AB172" i="53" s="1"/>
  <c r="AI97" i="32"/>
  <c r="AN97" i="32" s="1"/>
  <c r="AG172" i="53"/>
  <c r="AT172" i="53"/>
  <c r="J173" i="53"/>
  <c r="AD172" i="53"/>
  <c r="Q172" i="53"/>
  <c r="E173" i="53"/>
  <c r="P173" i="53"/>
  <c r="I173" i="53"/>
  <c r="F173" i="53"/>
  <c r="G173" i="53"/>
  <c r="H173" i="53"/>
  <c r="AK172" i="52" a="1"/>
  <c r="AK172" i="52" s="1"/>
  <c r="B174" i="53" s="1"/>
  <c r="K173" i="53"/>
  <c r="AH173" i="53" s="1"/>
  <c r="D173" i="53"/>
  <c r="C173" i="53"/>
  <c r="L173" i="53"/>
  <c r="E103" i="32"/>
  <c r="O103" i="32" s="1"/>
  <c r="AL103" i="11" a="1"/>
  <c r="AL103" i="11" s="1"/>
  <c r="F103" i="32" l="1"/>
  <c r="AU103" i="32"/>
  <c r="AT102" i="32"/>
  <c r="AD102" i="32"/>
  <c r="AG102" i="32" s="1"/>
  <c r="AH102" i="32" s="1"/>
  <c r="AC174" i="53"/>
  <c r="O174" i="53"/>
  <c r="N174" i="53"/>
  <c r="T103" i="32"/>
  <c r="AA172" i="53"/>
  <c r="AJ102" i="32"/>
  <c r="W102" i="32"/>
  <c r="X102" i="32" s="1"/>
  <c r="C102" i="32"/>
  <c r="V102" i="32"/>
  <c r="AE173" i="53"/>
  <c r="AF172" i="53"/>
  <c r="AK103" i="32"/>
  <c r="AL100" i="32"/>
  <c r="R173" i="53"/>
  <c r="X173" i="53" s="1"/>
  <c r="AB173" i="53" s="1"/>
  <c r="AI99" i="32"/>
  <c r="AN99" i="32" s="1"/>
  <c r="AG173" i="53"/>
  <c r="AT173" i="53"/>
  <c r="Q173" i="53"/>
  <c r="AD173" i="53"/>
  <c r="G174" i="53"/>
  <c r="I174" i="53"/>
  <c r="L174" i="53"/>
  <c r="H174" i="53"/>
  <c r="AK173" i="52" a="1"/>
  <c r="AK173" i="52" s="1"/>
  <c r="B175" i="53" s="1"/>
  <c r="J174" i="53"/>
  <c r="P174" i="53"/>
  <c r="C174" i="53"/>
  <c r="K174" i="53"/>
  <c r="AH174" i="53" s="1"/>
  <c r="F174" i="53"/>
  <c r="E174" i="53"/>
  <c r="D174" i="53"/>
  <c r="A103" i="32"/>
  <c r="B103" i="32"/>
  <c r="M103" i="32"/>
  <c r="N103" i="32"/>
  <c r="H103" i="32"/>
  <c r="J103" i="32"/>
  <c r="G103" i="32"/>
  <c r="L103" i="32"/>
  <c r="I103" i="32"/>
  <c r="K103" i="32"/>
  <c r="E104" i="32"/>
  <c r="O104" i="32" s="1"/>
  <c r="AL104" i="11" a="1"/>
  <c r="AL104" i="11" s="1"/>
  <c r="E105" i="32" s="1"/>
  <c r="O105" i="32" s="1"/>
  <c r="U103" i="32" l="1"/>
  <c r="F104" i="32"/>
  <c r="AU104" i="32"/>
  <c r="F105" i="32"/>
  <c r="AU105" i="32"/>
  <c r="AC175" i="53"/>
  <c r="O175" i="53"/>
  <c r="Q103" i="32"/>
  <c r="P103" i="32" s="1"/>
  <c r="N175" i="53"/>
  <c r="T105" i="32"/>
  <c r="T104" i="32"/>
  <c r="AA173" i="53"/>
  <c r="AM103" i="32"/>
  <c r="S103" i="32"/>
  <c r="Z103" i="32" s="1"/>
  <c r="AE174" i="53"/>
  <c r="AF173" i="53"/>
  <c r="AK105" i="32"/>
  <c r="AK104" i="32"/>
  <c r="AL101" i="32"/>
  <c r="AI100" i="32"/>
  <c r="AN100" i="32" s="1"/>
  <c r="R174" i="53"/>
  <c r="X174" i="53" s="1"/>
  <c r="AB174" i="53" s="1"/>
  <c r="AT174" i="53"/>
  <c r="AG174" i="53"/>
  <c r="L175" i="53"/>
  <c r="AD174" i="53"/>
  <c r="Q174" i="53"/>
  <c r="G175" i="53"/>
  <c r="I175" i="53"/>
  <c r="P175" i="53"/>
  <c r="K175" i="53"/>
  <c r="AH175" i="53" s="1"/>
  <c r="D175" i="53"/>
  <c r="C175" i="53"/>
  <c r="H175" i="53"/>
  <c r="AK174" i="52" a="1"/>
  <c r="AK174" i="52" s="1"/>
  <c r="B176" i="53" s="1"/>
  <c r="J175" i="53"/>
  <c r="E175" i="53"/>
  <c r="F175" i="53"/>
  <c r="A105" i="32"/>
  <c r="B105" i="32"/>
  <c r="A104" i="32"/>
  <c r="B104" i="32"/>
  <c r="I105" i="32"/>
  <c r="J105" i="32"/>
  <c r="L105" i="32"/>
  <c r="N105" i="32"/>
  <c r="H105" i="32"/>
  <c r="K105" i="32"/>
  <c r="G105" i="32"/>
  <c r="M105" i="32"/>
  <c r="K104" i="32"/>
  <c r="L104" i="32"/>
  <c r="N104" i="32"/>
  <c r="H104" i="32"/>
  <c r="M104" i="32"/>
  <c r="J104" i="32"/>
  <c r="I104" i="32"/>
  <c r="G104" i="32"/>
  <c r="AL105" i="11" a="1"/>
  <c r="AL105" i="11" s="1"/>
  <c r="E106" i="32" s="1"/>
  <c r="O106" i="32" s="1"/>
  <c r="L80" i="29"/>
  <c r="U104" i="32" l="1"/>
  <c r="U105" i="32"/>
  <c r="F106" i="32"/>
  <c r="AU106" i="32"/>
  <c r="AT103" i="32"/>
  <c r="AD103" i="32"/>
  <c r="AG103" i="32" s="1"/>
  <c r="AH103" i="32" s="1"/>
  <c r="AC176" i="53"/>
  <c r="O176" i="53"/>
  <c r="Q104" i="32"/>
  <c r="P104" i="32" s="1"/>
  <c r="Q105" i="32"/>
  <c r="P105" i="32" s="1"/>
  <c r="N176" i="53"/>
  <c r="T106" i="32"/>
  <c r="AA174" i="53"/>
  <c r="AM104" i="32"/>
  <c r="AM105" i="32"/>
  <c r="W103" i="32"/>
  <c r="X103" i="32" s="1"/>
  <c r="C103" i="32"/>
  <c r="AJ103" i="32"/>
  <c r="S104" i="32"/>
  <c r="S105" i="32"/>
  <c r="Z105" i="32" s="1"/>
  <c r="V103" i="32"/>
  <c r="AF174" i="53"/>
  <c r="AE175" i="53"/>
  <c r="AK106" i="32"/>
  <c r="AL102" i="32"/>
  <c r="AI101" i="32"/>
  <c r="AN101" i="32" s="1"/>
  <c r="R175" i="53"/>
  <c r="X175" i="53" s="1"/>
  <c r="AB175" i="53" s="1"/>
  <c r="AT175" i="53"/>
  <c r="AG175" i="53"/>
  <c r="I176" i="53"/>
  <c r="AD175" i="53"/>
  <c r="Q175" i="53"/>
  <c r="L176" i="53"/>
  <c r="D176" i="53"/>
  <c r="AK175" i="52" a="1"/>
  <c r="AK175" i="52" s="1"/>
  <c r="B177" i="53" s="1"/>
  <c r="J176" i="53"/>
  <c r="G176" i="53"/>
  <c r="E176" i="53"/>
  <c r="P176" i="53"/>
  <c r="F176" i="53"/>
  <c r="K176" i="53"/>
  <c r="AH176" i="53" s="1"/>
  <c r="H176" i="53"/>
  <c r="C176" i="53"/>
  <c r="A106" i="32"/>
  <c r="B106" i="32"/>
  <c r="G106" i="32"/>
  <c r="H106" i="32"/>
  <c r="J106" i="32"/>
  <c r="L106" i="32"/>
  <c r="I106" i="32"/>
  <c r="N106" i="32"/>
  <c r="K106" i="32"/>
  <c r="M106" i="32"/>
  <c r="AL106" i="11" a="1"/>
  <c r="AL106" i="11" s="1"/>
  <c r="E107" i="32" s="1"/>
  <c r="O107" i="32" s="1"/>
  <c r="AD104" i="32" l="1"/>
  <c r="AG104" i="32" s="1"/>
  <c r="AH104" i="32" s="1"/>
  <c r="U106" i="32"/>
  <c r="F107" i="32"/>
  <c r="AU107" i="32"/>
  <c r="AT105" i="32"/>
  <c r="AT104" i="32"/>
  <c r="AD105" i="32"/>
  <c r="AG105" i="32" s="1"/>
  <c r="AH105" i="32" s="1"/>
  <c r="AC177" i="53"/>
  <c r="O177" i="53"/>
  <c r="Q106" i="32"/>
  <c r="P106" i="32" s="1"/>
  <c r="N177" i="53"/>
  <c r="T107" i="32"/>
  <c r="AA175" i="53"/>
  <c r="C104" i="32"/>
  <c r="Z104" i="32"/>
  <c r="AM106" i="32"/>
  <c r="AJ104" i="32"/>
  <c r="W105" i="32"/>
  <c r="X105" i="32" s="1"/>
  <c r="C105" i="32"/>
  <c r="AJ105" i="32"/>
  <c r="S106" i="32"/>
  <c r="W104" i="32"/>
  <c r="X104" i="32" s="1"/>
  <c r="V105" i="32"/>
  <c r="AF175" i="53"/>
  <c r="AE176" i="53"/>
  <c r="AK107" i="32"/>
  <c r="AI102" i="32"/>
  <c r="AN102" i="32" s="1"/>
  <c r="R176" i="53"/>
  <c r="X176" i="53" s="1"/>
  <c r="AB176" i="53" s="1"/>
  <c r="AT176" i="53"/>
  <c r="AG176" i="53"/>
  <c r="V104" i="32"/>
  <c r="AD176" i="53"/>
  <c r="Q176" i="53"/>
  <c r="AK176" i="52" a="1"/>
  <c r="AK176" i="52" s="1"/>
  <c r="B178" i="53" s="1"/>
  <c r="E177" i="53"/>
  <c r="C177" i="53"/>
  <c r="P177" i="53"/>
  <c r="D177" i="53"/>
  <c r="I177" i="53"/>
  <c r="K177" i="53"/>
  <c r="AH177" i="53" s="1"/>
  <c r="H177" i="53"/>
  <c r="L177" i="53"/>
  <c r="J177" i="53"/>
  <c r="G177" i="53"/>
  <c r="F177" i="53"/>
  <c r="A107" i="32"/>
  <c r="B107" i="32"/>
  <c r="M107" i="32"/>
  <c r="N107" i="32"/>
  <c r="H107" i="32"/>
  <c r="J107" i="32"/>
  <c r="G107" i="32"/>
  <c r="L107" i="32"/>
  <c r="K107" i="32"/>
  <c r="I107" i="32"/>
  <c r="AL107" i="11" a="1"/>
  <c r="AL107" i="11" s="1"/>
  <c r="E108" i="32" s="1"/>
  <c r="O108" i="32" s="1"/>
  <c r="U107" i="32" l="1"/>
  <c r="AD106" i="32"/>
  <c r="AG106" i="32" s="1"/>
  <c r="AH106" i="32" s="1"/>
  <c r="F108" i="32"/>
  <c r="AU108" i="32"/>
  <c r="AT106" i="32"/>
  <c r="AC178" i="53"/>
  <c r="O178" i="53"/>
  <c r="Q107" i="32"/>
  <c r="P107" i="32" s="1"/>
  <c r="N178" i="53"/>
  <c r="T108" i="32"/>
  <c r="AA176" i="53"/>
  <c r="C106" i="32"/>
  <c r="Z106" i="32"/>
  <c r="AM107" i="32"/>
  <c r="S107" i="32"/>
  <c r="Z107" i="32" s="1"/>
  <c r="W106" i="32"/>
  <c r="X106" i="32" s="1"/>
  <c r="AJ106" i="32"/>
  <c r="V106" i="32"/>
  <c r="AE177" i="53"/>
  <c r="AF176" i="53"/>
  <c r="AK108" i="32"/>
  <c r="AL103" i="32"/>
  <c r="R177" i="53"/>
  <c r="X177" i="53" s="1"/>
  <c r="AB177" i="53" s="1"/>
  <c r="AG177" i="53"/>
  <c r="AT177" i="53"/>
  <c r="K178" i="53"/>
  <c r="AH178" i="53" s="1"/>
  <c r="AD177" i="53"/>
  <c r="Q177" i="53"/>
  <c r="AK177" i="52" a="1"/>
  <c r="AK177" i="52" s="1"/>
  <c r="B179" i="53" s="1"/>
  <c r="F178" i="53"/>
  <c r="D178" i="53"/>
  <c r="C178" i="53"/>
  <c r="J178" i="53"/>
  <c r="E178" i="53"/>
  <c r="G178" i="53"/>
  <c r="I178" i="53"/>
  <c r="H178" i="53"/>
  <c r="P178" i="53"/>
  <c r="L178" i="53"/>
  <c r="A108" i="32"/>
  <c r="B108" i="32"/>
  <c r="K108" i="32"/>
  <c r="L108" i="32"/>
  <c r="N108" i="32"/>
  <c r="H108" i="32"/>
  <c r="J108" i="32"/>
  <c r="M108" i="32"/>
  <c r="G108" i="32"/>
  <c r="I108" i="32"/>
  <c r="AL108" i="11" a="1"/>
  <c r="AL108" i="11" s="1"/>
  <c r="E109" i="32" s="1"/>
  <c r="O109" i="32" s="1"/>
  <c r="U108" i="32" l="1"/>
  <c r="F109" i="32"/>
  <c r="AU109" i="32"/>
  <c r="AT107" i="32"/>
  <c r="AD107" i="32"/>
  <c r="AG107" i="32" s="1"/>
  <c r="AH107" i="32" s="1"/>
  <c r="AC179" i="53"/>
  <c r="O179" i="53"/>
  <c r="Q108" i="32"/>
  <c r="P108" i="32" s="1"/>
  <c r="N179" i="53"/>
  <c r="T109" i="32"/>
  <c r="AA177" i="53"/>
  <c r="AM108" i="32"/>
  <c r="AJ107" i="32"/>
  <c r="W107" i="32"/>
  <c r="X107" i="32" s="1"/>
  <c r="C107" i="32"/>
  <c r="S108" i="32"/>
  <c r="Z108" i="32" s="1"/>
  <c r="V107" i="32"/>
  <c r="AF177" i="53"/>
  <c r="AE178" i="53"/>
  <c r="AK109" i="32"/>
  <c r="AL104" i="32"/>
  <c r="AL105" i="32"/>
  <c r="AI103" i="32"/>
  <c r="AN103" i="32" s="1"/>
  <c r="R178" i="53"/>
  <c r="X178" i="53" s="1"/>
  <c r="AB178" i="53" s="1"/>
  <c r="AT178" i="53"/>
  <c r="AG178" i="53"/>
  <c r="D179" i="53"/>
  <c r="AD178" i="53"/>
  <c r="Q178" i="53"/>
  <c r="AK178" i="52" a="1"/>
  <c r="AK178" i="52" s="1"/>
  <c r="B180" i="53" s="1"/>
  <c r="C179" i="53"/>
  <c r="P179" i="53"/>
  <c r="J179" i="53"/>
  <c r="H179" i="53"/>
  <c r="G179" i="53"/>
  <c r="E179" i="53"/>
  <c r="F179" i="53"/>
  <c r="K179" i="53"/>
  <c r="AH179" i="53" s="1"/>
  <c r="I179" i="53"/>
  <c r="L179" i="53"/>
  <c r="A109" i="32"/>
  <c r="B109" i="32"/>
  <c r="I109" i="32"/>
  <c r="J109" i="32"/>
  <c r="L109" i="32"/>
  <c r="N109" i="32"/>
  <c r="K109" i="32"/>
  <c r="H109" i="32"/>
  <c r="G109" i="32"/>
  <c r="M109" i="32"/>
  <c r="AL109" i="11" a="1"/>
  <c r="AL109" i="11" s="1"/>
  <c r="U109" i="32" l="1"/>
  <c r="AT108" i="32"/>
  <c r="AD108" i="32"/>
  <c r="AG108" i="32" s="1"/>
  <c r="AH108" i="32" s="1"/>
  <c r="AC180" i="53"/>
  <c r="O180" i="53"/>
  <c r="Q109" i="32"/>
  <c r="P109" i="32" s="1"/>
  <c r="N180" i="53"/>
  <c r="AA178" i="53"/>
  <c r="AM109" i="32"/>
  <c r="C108" i="32"/>
  <c r="AJ108" i="32"/>
  <c r="S109" i="32"/>
  <c r="Z109" i="32" s="1"/>
  <c r="W108" i="32"/>
  <c r="X108" i="32" s="1"/>
  <c r="AE179" i="53"/>
  <c r="AF178" i="53"/>
  <c r="AL106" i="32"/>
  <c r="AI104" i="32"/>
  <c r="AN104" i="32" s="1"/>
  <c r="R179" i="53"/>
  <c r="X179" i="53" s="1"/>
  <c r="AB179" i="53" s="1"/>
  <c r="V108" i="32"/>
  <c r="AI105" i="32"/>
  <c r="AN105" i="32" s="1"/>
  <c r="AG179" i="53"/>
  <c r="AT179" i="53"/>
  <c r="AD179" i="53"/>
  <c r="Q179" i="53"/>
  <c r="P180" i="53"/>
  <c r="C180" i="53"/>
  <c r="L180" i="53"/>
  <c r="J180" i="53"/>
  <c r="E180" i="53"/>
  <c r="H180" i="53"/>
  <c r="I180" i="53"/>
  <c r="K180" i="53"/>
  <c r="AH180" i="53" s="1"/>
  <c r="AK179" i="52" a="1"/>
  <c r="AK179" i="52" s="1"/>
  <c r="B181" i="53" s="1"/>
  <c r="F180" i="53"/>
  <c r="D180" i="53"/>
  <c r="G180" i="53"/>
  <c r="E110" i="32"/>
  <c r="O110" i="32" s="1"/>
  <c r="AL110" i="11" a="1"/>
  <c r="AL110" i="11" s="1"/>
  <c r="E111" i="32" s="1"/>
  <c r="O111" i="32" s="1"/>
  <c r="F111" i="32" l="1"/>
  <c r="AU111" i="32"/>
  <c r="F110" i="32"/>
  <c r="AU110" i="32"/>
  <c r="AT109" i="32"/>
  <c r="AD109" i="32"/>
  <c r="AG109" i="32" s="1"/>
  <c r="AH109" i="32" s="1"/>
  <c r="AC181" i="53"/>
  <c r="O181" i="53"/>
  <c r="N181" i="53"/>
  <c r="T111" i="32"/>
  <c r="T110" i="32"/>
  <c r="AA179" i="53"/>
  <c r="AJ109" i="32"/>
  <c r="W109" i="32"/>
  <c r="X109" i="32" s="1"/>
  <c r="C109" i="32"/>
  <c r="V109" i="32"/>
  <c r="AF179" i="53"/>
  <c r="AE180" i="53"/>
  <c r="AK111" i="32"/>
  <c r="AK110" i="32"/>
  <c r="AL107" i="32"/>
  <c r="AI106" i="32"/>
  <c r="AN106" i="32" s="1"/>
  <c r="R180" i="53"/>
  <c r="X180" i="53" s="1"/>
  <c r="AB180" i="53" s="1"/>
  <c r="AG180" i="53"/>
  <c r="AT180" i="53"/>
  <c r="AD180" i="53"/>
  <c r="Q180" i="53"/>
  <c r="I181" i="53"/>
  <c r="C181" i="53"/>
  <c r="AK180" i="52" a="1"/>
  <c r="AK180" i="52" s="1"/>
  <c r="B182" i="53" s="1"/>
  <c r="E181" i="53"/>
  <c r="H181" i="53"/>
  <c r="J181" i="53"/>
  <c r="F181" i="53"/>
  <c r="P181" i="53"/>
  <c r="K181" i="53"/>
  <c r="AH181" i="53" s="1"/>
  <c r="L181" i="53"/>
  <c r="G181" i="53"/>
  <c r="D181" i="53"/>
  <c r="A111" i="32"/>
  <c r="B111" i="32"/>
  <c r="A110" i="32"/>
  <c r="B110" i="32"/>
  <c r="G110" i="32"/>
  <c r="H110" i="32"/>
  <c r="J110" i="32"/>
  <c r="L110" i="32"/>
  <c r="I110" i="32"/>
  <c r="N110" i="32"/>
  <c r="M110" i="32"/>
  <c r="K110" i="32"/>
  <c r="M111" i="32"/>
  <c r="N111" i="32"/>
  <c r="H111" i="32"/>
  <c r="J111" i="32"/>
  <c r="G111" i="32"/>
  <c r="L111" i="32"/>
  <c r="I111" i="32"/>
  <c r="K111" i="32"/>
  <c r="AL111" i="11" a="1"/>
  <c r="AL111" i="11" s="1"/>
  <c r="E112" i="32" s="1"/>
  <c r="O112" i="32" s="1"/>
  <c r="AW5" i="22"/>
  <c r="U110" i="32" l="1"/>
  <c r="U111" i="32"/>
  <c r="F112" i="32"/>
  <c r="AU112" i="32"/>
  <c r="AC182" i="53"/>
  <c r="O182" i="53"/>
  <c r="Q110" i="32"/>
  <c r="P110" i="32" s="1"/>
  <c r="Q111" i="32"/>
  <c r="P111" i="32" s="1"/>
  <c r="N182" i="53"/>
  <c r="T112" i="32"/>
  <c r="AA180" i="53"/>
  <c r="AM110" i="32"/>
  <c r="AM111" i="32"/>
  <c r="S110" i="32"/>
  <c r="Z110" i="32" s="1"/>
  <c r="S111" i="32"/>
  <c r="Z111" i="32" s="1"/>
  <c r="AE181" i="53"/>
  <c r="AF180" i="53"/>
  <c r="AK112" i="32"/>
  <c r="AL108" i="32"/>
  <c r="AI107" i="32"/>
  <c r="AN107" i="32" s="1"/>
  <c r="R181" i="53"/>
  <c r="X181" i="53" s="1"/>
  <c r="AB181" i="53" s="1"/>
  <c r="AT181" i="53"/>
  <c r="AG181" i="53"/>
  <c r="AD181" i="53"/>
  <c r="Q181" i="53"/>
  <c r="AK181" i="52" a="1"/>
  <c r="AK181" i="52" s="1"/>
  <c r="B183" i="53" s="1"/>
  <c r="C182" i="53"/>
  <c r="E182" i="53"/>
  <c r="H182" i="53"/>
  <c r="G182" i="53"/>
  <c r="J182" i="53"/>
  <c r="K182" i="53"/>
  <c r="AH182" i="53" s="1"/>
  <c r="I182" i="53"/>
  <c r="L182" i="53"/>
  <c r="F182" i="53"/>
  <c r="P182" i="53"/>
  <c r="D182" i="53"/>
  <c r="A112" i="32"/>
  <c r="B112" i="32"/>
  <c r="K112" i="32"/>
  <c r="L112" i="32"/>
  <c r="N112" i="32"/>
  <c r="H112" i="32"/>
  <c r="M112" i="32"/>
  <c r="J112" i="32"/>
  <c r="I112" i="32"/>
  <c r="G112" i="32"/>
  <c r="AL29" i="22"/>
  <c r="AL112" i="11" a="1"/>
  <c r="AL112" i="11" s="1"/>
  <c r="E113" i="32" s="1"/>
  <c r="O113" i="32" s="1"/>
  <c r="U112" i="32" l="1"/>
  <c r="F113" i="32"/>
  <c r="AU113" i="32"/>
  <c r="AT111" i="32"/>
  <c r="AT110" i="32"/>
  <c r="AD111" i="32"/>
  <c r="AG111" i="32" s="1"/>
  <c r="AH111" i="32" s="1"/>
  <c r="AD110" i="32"/>
  <c r="AG110" i="32" s="1"/>
  <c r="AH110" i="32" s="1"/>
  <c r="AC183" i="53"/>
  <c r="O183" i="53"/>
  <c r="Q112" i="32"/>
  <c r="P112" i="32" s="1"/>
  <c r="N183" i="53"/>
  <c r="T113" i="32"/>
  <c r="AA181" i="53"/>
  <c r="AM112" i="32"/>
  <c r="C110" i="32"/>
  <c r="AJ111" i="32"/>
  <c r="W111" i="32"/>
  <c r="X111" i="32" s="1"/>
  <c r="C111" i="32"/>
  <c r="S112" i="32"/>
  <c r="Z112" i="32" s="1"/>
  <c r="AJ110" i="32"/>
  <c r="W110" i="32"/>
  <c r="X110" i="32" s="1"/>
  <c r="V111" i="32"/>
  <c r="AE182" i="53"/>
  <c r="AF181" i="53"/>
  <c r="AK113" i="32"/>
  <c r="AL109" i="32"/>
  <c r="AI108" i="32"/>
  <c r="AN108" i="32" s="1"/>
  <c r="R182" i="53"/>
  <c r="X182" i="53" s="1"/>
  <c r="AB182" i="53" s="1"/>
  <c r="AG182" i="53"/>
  <c r="AT182" i="53"/>
  <c r="D183" i="53"/>
  <c r="V110" i="32"/>
  <c r="Q182" i="53"/>
  <c r="AD182" i="53"/>
  <c r="C183" i="53"/>
  <c r="L183" i="53"/>
  <c r="F183" i="53"/>
  <c r="P183" i="53"/>
  <c r="I183" i="53"/>
  <c r="K183" i="53"/>
  <c r="AH183" i="53" s="1"/>
  <c r="E183" i="53"/>
  <c r="AK182" i="52" a="1"/>
  <c r="AK182" i="52" s="1"/>
  <c r="B184" i="53" s="1"/>
  <c r="G183" i="53"/>
  <c r="J183" i="53"/>
  <c r="H183" i="53"/>
  <c r="A113" i="32"/>
  <c r="B113" i="32"/>
  <c r="I113" i="32"/>
  <c r="J113" i="32"/>
  <c r="L113" i="32"/>
  <c r="N113" i="32"/>
  <c r="H113" i="32"/>
  <c r="K113" i="32"/>
  <c r="G113" i="32"/>
  <c r="M113" i="32"/>
  <c r="AL24" i="22"/>
  <c r="AL23" i="22"/>
  <c r="AL27" i="22"/>
  <c r="AL113" i="11" a="1"/>
  <c r="AL113" i="11" s="1"/>
  <c r="E114" i="32" s="1"/>
  <c r="O114" i="32" s="1"/>
  <c r="U113" i="32" l="1"/>
  <c r="F114" i="32"/>
  <c r="AU114" i="32"/>
  <c r="AT112" i="32"/>
  <c r="AD112" i="32"/>
  <c r="AG112" i="32" s="1"/>
  <c r="AH112" i="32" s="1"/>
  <c r="AC184" i="53"/>
  <c r="O184" i="53"/>
  <c r="Q113" i="32"/>
  <c r="P113" i="32" s="1"/>
  <c r="N184" i="53"/>
  <c r="T114" i="32"/>
  <c r="AA182" i="53"/>
  <c r="AM113" i="32"/>
  <c r="C112" i="32"/>
  <c r="W112" i="32"/>
  <c r="X112" i="32" s="1"/>
  <c r="S113" i="32"/>
  <c r="Z113" i="32" s="1"/>
  <c r="AJ112" i="32"/>
  <c r="V112" i="32"/>
  <c r="AF182" i="53"/>
  <c r="AE183" i="53"/>
  <c r="AK114" i="32"/>
  <c r="AL111" i="32"/>
  <c r="R183" i="53"/>
  <c r="X183" i="53" s="1"/>
  <c r="AB183" i="53" s="1"/>
  <c r="AI109" i="32"/>
  <c r="AN109" i="32" s="1"/>
  <c r="AT183" i="53"/>
  <c r="AG183" i="53"/>
  <c r="AD183" i="53"/>
  <c r="Q183" i="53"/>
  <c r="P184" i="53"/>
  <c r="C184" i="53"/>
  <c r="D184" i="53"/>
  <c r="F184" i="53"/>
  <c r="I184" i="53"/>
  <c r="L184" i="53"/>
  <c r="E184" i="53"/>
  <c r="AK183" i="52" a="1"/>
  <c r="AK183" i="52" s="1"/>
  <c r="B185" i="53" s="1"/>
  <c r="G184" i="53"/>
  <c r="J184" i="53"/>
  <c r="H184" i="53"/>
  <c r="K184" i="53"/>
  <c r="AH184" i="53" s="1"/>
  <c r="A114" i="32"/>
  <c r="B114" i="32"/>
  <c r="G114" i="32"/>
  <c r="H114" i="32"/>
  <c r="J114" i="32"/>
  <c r="L114" i="32"/>
  <c r="I114" i="32"/>
  <c r="N114" i="32"/>
  <c r="K114" i="32"/>
  <c r="M114" i="32"/>
  <c r="AL114" i="11" a="1"/>
  <c r="AL114" i="11" s="1"/>
  <c r="E115" i="32" s="1"/>
  <c r="O115" i="32" s="1"/>
  <c r="M11" i="46"/>
  <c r="I11" i="46"/>
  <c r="R11" i="46" s="1"/>
  <c r="V11" i="46" s="1"/>
  <c r="W11" i="46" s="1"/>
  <c r="U114" i="32" l="1"/>
  <c r="X11" i="46"/>
  <c r="F115" i="32"/>
  <c r="AU115" i="32"/>
  <c r="AT113" i="32"/>
  <c r="AD113" i="32"/>
  <c r="AG113" i="32" s="1"/>
  <c r="AH113" i="32" s="1"/>
  <c r="AC185" i="53"/>
  <c r="O185" i="53"/>
  <c r="Q114" i="32"/>
  <c r="P114" i="32" s="1"/>
  <c r="N185" i="53"/>
  <c r="T115" i="32"/>
  <c r="AA183" i="53"/>
  <c r="AM114" i="32"/>
  <c r="C113" i="32"/>
  <c r="AJ113" i="32"/>
  <c r="S114" i="32"/>
  <c r="Z114" i="32" s="1"/>
  <c r="W113" i="32"/>
  <c r="X113" i="32" s="1"/>
  <c r="S11" i="46"/>
  <c r="T11" i="46" s="1"/>
  <c r="AE184" i="53"/>
  <c r="AF183" i="53"/>
  <c r="AK115" i="32"/>
  <c r="AL110" i="32"/>
  <c r="AL112" i="32"/>
  <c r="AI111" i="32"/>
  <c r="AN111" i="32" s="1"/>
  <c r="R184" i="53"/>
  <c r="X184" i="53" s="1"/>
  <c r="AB184" i="53" s="1"/>
  <c r="V113" i="32"/>
  <c r="AT184" i="53"/>
  <c r="AG184" i="53"/>
  <c r="Q184" i="53"/>
  <c r="AD184" i="53"/>
  <c r="AK184" i="52" a="1"/>
  <c r="AK184" i="52" s="1"/>
  <c r="B186" i="53" s="1"/>
  <c r="G185" i="53"/>
  <c r="E185" i="53"/>
  <c r="C185" i="53"/>
  <c r="K185" i="53"/>
  <c r="AH185" i="53" s="1"/>
  <c r="P185" i="53"/>
  <c r="J185" i="53"/>
  <c r="F185" i="53"/>
  <c r="L185" i="53"/>
  <c r="I185" i="53"/>
  <c r="D185" i="53"/>
  <c r="H185" i="53"/>
  <c r="A115" i="32"/>
  <c r="B115" i="32"/>
  <c r="M115" i="32"/>
  <c r="N115" i="32"/>
  <c r="H115" i="32"/>
  <c r="J115" i="32"/>
  <c r="G115" i="32"/>
  <c r="L115" i="32"/>
  <c r="K115" i="32"/>
  <c r="I115" i="32"/>
  <c r="AL115" i="11" a="1"/>
  <c r="AL115" i="11" s="1"/>
  <c r="E116" i="32" s="1"/>
  <c r="O116" i="32" s="1"/>
  <c r="U115" i="32" l="1"/>
  <c r="F116" i="32"/>
  <c r="AU116" i="32"/>
  <c r="AT114" i="32"/>
  <c r="AD114" i="32"/>
  <c r="AG114" i="32" s="1"/>
  <c r="AH114" i="32" s="1"/>
  <c r="AC186" i="53"/>
  <c r="O186" i="53"/>
  <c r="Q115" i="32"/>
  <c r="P115" i="32" s="1"/>
  <c r="N186" i="53"/>
  <c r="T116" i="32"/>
  <c r="AA184" i="53"/>
  <c r="AM115" i="32"/>
  <c r="AJ114" i="32"/>
  <c r="W114" i="32"/>
  <c r="X114" i="32" s="1"/>
  <c r="C114" i="32"/>
  <c r="S115" i="32"/>
  <c r="V114" i="32"/>
  <c r="AF184" i="53"/>
  <c r="AE185" i="53"/>
  <c r="AK116" i="32"/>
  <c r="AL113" i="32"/>
  <c r="Y11" i="46"/>
  <c r="L133" i="22" s="1"/>
  <c r="AI112" i="32"/>
  <c r="AN112" i="32" s="1"/>
  <c r="R185" i="53"/>
  <c r="X185" i="53" s="1"/>
  <c r="AB185" i="53" s="1"/>
  <c r="AI110" i="32"/>
  <c r="AN110" i="32" s="1"/>
  <c r="N2" i="46"/>
  <c r="AT185" i="53"/>
  <c r="AG185" i="53"/>
  <c r="E186" i="53"/>
  <c r="Q185" i="53"/>
  <c r="AD185" i="53"/>
  <c r="D186" i="53"/>
  <c r="I186" i="53"/>
  <c r="L186" i="53"/>
  <c r="P186" i="53"/>
  <c r="K186" i="53"/>
  <c r="AH186" i="53" s="1"/>
  <c r="H186" i="53"/>
  <c r="C186" i="53"/>
  <c r="J186" i="53"/>
  <c r="AK185" i="52" a="1"/>
  <c r="AK185" i="52" s="1"/>
  <c r="B187" i="53" s="1"/>
  <c r="G186" i="53"/>
  <c r="F186" i="53"/>
  <c r="A116" i="32"/>
  <c r="B116" i="32"/>
  <c r="K116" i="32"/>
  <c r="L116" i="32"/>
  <c r="N116" i="32"/>
  <c r="H116" i="32"/>
  <c r="J116" i="32"/>
  <c r="M116" i="32"/>
  <c r="G116" i="32"/>
  <c r="I116" i="32"/>
  <c r="AL116" i="11" a="1"/>
  <c r="AL116" i="11" s="1"/>
  <c r="E117" i="32" s="1"/>
  <c r="O117" i="32" s="1"/>
  <c r="F8" i="107" l="1"/>
  <c r="J8" i="107" s="1"/>
  <c r="L8" i="107" s="1"/>
  <c r="F10" i="107"/>
  <c r="J10" i="107" s="1"/>
  <c r="L10" i="107" s="1"/>
  <c r="U116" i="32"/>
  <c r="AD115" i="32"/>
  <c r="AG115" i="32" s="1"/>
  <c r="AH115" i="32" s="1"/>
  <c r="F117" i="32"/>
  <c r="AU117" i="32"/>
  <c r="AT115" i="32"/>
  <c r="AC187" i="53"/>
  <c r="O187" i="53"/>
  <c r="Q116" i="32"/>
  <c r="P116" i="32" s="1"/>
  <c r="L55" i="22"/>
  <c r="L134" i="22"/>
  <c r="N187" i="53"/>
  <c r="T117" i="32"/>
  <c r="AA185" i="53"/>
  <c r="C115" i="32"/>
  <c r="Z115" i="32"/>
  <c r="AM116" i="32"/>
  <c r="L135" i="22"/>
  <c r="L80" i="22"/>
  <c r="S116" i="32"/>
  <c r="Z116" i="32" s="1"/>
  <c r="AJ115" i="32"/>
  <c r="W115" i="32"/>
  <c r="X115" i="32" s="1"/>
  <c r="L132" i="22"/>
  <c r="L118" i="22"/>
  <c r="AE186" i="53"/>
  <c r="AF185" i="53"/>
  <c r="AK117" i="32"/>
  <c r="AL114" i="32"/>
  <c r="AI113" i="32"/>
  <c r="AN113" i="32" s="1"/>
  <c r="R186" i="53"/>
  <c r="X186" i="53" s="1"/>
  <c r="AB186" i="53" s="1"/>
  <c r="V115" i="32"/>
  <c r="Y257" i="46"/>
  <c r="L104" i="22"/>
  <c r="AG186" i="53"/>
  <c r="AT186" i="53"/>
  <c r="I187" i="53"/>
  <c r="Q186" i="53"/>
  <c r="AD186" i="53"/>
  <c r="AK186" i="52" a="1"/>
  <c r="AK186" i="52" s="1"/>
  <c r="B188" i="53" s="1"/>
  <c r="E187" i="53"/>
  <c r="C187" i="53"/>
  <c r="F187" i="53"/>
  <c r="P187" i="53"/>
  <c r="H187" i="53"/>
  <c r="G187" i="53"/>
  <c r="J187" i="53"/>
  <c r="L187" i="53"/>
  <c r="K187" i="53"/>
  <c r="AH187" i="53" s="1"/>
  <c r="D187" i="53"/>
  <c r="A117" i="32"/>
  <c r="B117" i="32"/>
  <c r="I117" i="32"/>
  <c r="J117" i="32"/>
  <c r="L117" i="32"/>
  <c r="N117" i="32"/>
  <c r="K117" i="32"/>
  <c r="H117" i="32"/>
  <c r="M117" i="32"/>
  <c r="G117" i="32"/>
  <c r="AL117" i="11" a="1"/>
  <c r="AL117" i="11" s="1"/>
  <c r="E118" i="32" s="1"/>
  <c r="O118" i="32" s="1"/>
  <c r="U117" i="32" l="1"/>
  <c r="F118" i="32"/>
  <c r="AU118" i="32"/>
  <c r="AT116" i="32"/>
  <c r="AD116" i="32"/>
  <c r="AG116" i="32" s="1"/>
  <c r="AH116" i="32" s="1"/>
  <c r="AC188" i="53"/>
  <c r="O188" i="53"/>
  <c r="Q117" i="32"/>
  <c r="P117" i="32" s="1"/>
  <c r="N188" i="53"/>
  <c r="T118" i="32"/>
  <c r="AA186" i="53"/>
  <c r="AM117" i="32"/>
  <c r="C116" i="32"/>
  <c r="W116" i="32"/>
  <c r="X116" i="32" s="1"/>
  <c r="AJ116" i="32"/>
  <c r="S117" i="32"/>
  <c r="Z117" i="32" s="1"/>
  <c r="V116" i="32"/>
  <c r="AF186" i="53"/>
  <c r="AE187" i="53"/>
  <c r="AK118" i="32"/>
  <c r="AL115" i="32"/>
  <c r="AI114" i="32"/>
  <c r="AN114" i="32" s="1"/>
  <c r="R187" i="53"/>
  <c r="X187" i="53" s="1"/>
  <c r="AB187" i="53" s="1"/>
  <c r="AG187" i="53"/>
  <c r="AT187" i="53"/>
  <c r="C188" i="53"/>
  <c r="AD187" i="53"/>
  <c r="J188" i="53"/>
  <c r="D188" i="53"/>
  <c r="H188" i="53"/>
  <c r="G188" i="53"/>
  <c r="E188" i="53"/>
  <c r="F188" i="53"/>
  <c r="L188" i="53"/>
  <c r="P188" i="53"/>
  <c r="Q187" i="53"/>
  <c r="AK187" i="52" a="1"/>
  <c r="AK187" i="52" s="1"/>
  <c r="B189" i="53" s="1"/>
  <c r="K188" i="53"/>
  <c r="AH188" i="53" s="1"/>
  <c r="I188" i="53"/>
  <c r="A118" i="32"/>
  <c r="B118" i="32"/>
  <c r="G118" i="32"/>
  <c r="H118" i="32"/>
  <c r="J118" i="32"/>
  <c r="L118" i="32"/>
  <c r="I118" i="32"/>
  <c r="N118" i="32"/>
  <c r="M118" i="32"/>
  <c r="K118" i="32"/>
  <c r="AL118" i="11" a="1"/>
  <c r="AL118" i="11" s="1"/>
  <c r="E119" i="32" s="1"/>
  <c r="O119" i="32" s="1"/>
  <c r="U118" i="32" l="1"/>
  <c r="F119" i="32"/>
  <c r="AU119" i="32"/>
  <c r="AT117" i="32"/>
  <c r="AD117" i="32"/>
  <c r="AG117" i="32" s="1"/>
  <c r="AH117" i="32" s="1"/>
  <c r="AC189" i="53"/>
  <c r="O189" i="53"/>
  <c r="Q118" i="32"/>
  <c r="P118" i="32" s="1"/>
  <c r="N189" i="53"/>
  <c r="T119" i="32"/>
  <c r="AA187" i="53"/>
  <c r="AM118" i="32"/>
  <c r="W117" i="32"/>
  <c r="X117" i="32" s="1"/>
  <c r="C117" i="32"/>
  <c r="AJ117" i="32"/>
  <c r="S118" i="32"/>
  <c r="V117" i="32"/>
  <c r="AE188" i="53"/>
  <c r="AF187" i="53"/>
  <c r="AK119" i="32"/>
  <c r="AL116" i="32"/>
  <c r="AI115" i="32"/>
  <c r="AN115" i="32" s="1"/>
  <c r="R188" i="53"/>
  <c r="X188" i="53" s="1"/>
  <c r="AB188" i="53" s="1"/>
  <c r="AT188" i="53"/>
  <c r="AG188" i="53"/>
  <c r="AD188" i="53"/>
  <c r="Q188" i="53"/>
  <c r="AK188" i="52" a="1"/>
  <c r="AK188" i="52" s="1"/>
  <c r="B190" i="53" s="1"/>
  <c r="P189" i="53"/>
  <c r="J189" i="53"/>
  <c r="I189" i="53"/>
  <c r="E189" i="53"/>
  <c r="H189" i="53"/>
  <c r="F189" i="53"/>
  <c r="K189" i="53"/>
  <c r="AH189" i="53" s="1"/>
  <c r="G189" i="53"/>
  <c r="L189" i="53"/>
  <c r="D189" i="53"/>
  <c r="C189" i="53"/>
  <c r="A119" i="32"/>
  <c r="B119" i="32"/>
  <c r="M119" i="32"/>
  <c r="N119" i="32"/>
  <c r="H119" i="32"/>
  <c r="J119" i="32"/>
  <c r="G119" i="32"/>
  <c r="L119" i="32"/>
  <c r="I119" i="32"/>
  <c r="K119" i="32"/>
  <c r="AL119" i="11" a="1"/>
  <c r="AL119" i="11" s="1"/>
  <c r="E120" i="32" s="1"/>
  <c r="O120" i="32" s="1"/>
  <c r="L12" i="32"/>
  <c r="L6" i="29"/>
  <c r="L102" i="29"/>
  <c r="L101" i="29"/>
  <c r="L100" i="29"/>
  <c r="L99" i="29"/>
  <c r="L98" i="29"/>
  <c r="L97" i="29"/>
  <c r="L96" i="29"/>
  <c r="L95" i="29"/>
  <c r="L94" i="29"/>
  <c r="L93" i="29"/>
  <c r="L92" i="29"/>
  <c r="L91" i="29"/>
  <c r="L90" i="29"/>
  <c r="L89" i="29"/>
  <c r="L88" i="29"/>
  <c r="L87" i="29"/>
  <c r="L86" i="29"/>
  <c r="L85" i="29"/>
  <c r="L84" i="29"/>
  <c r="L83" i="29"/>
  <c r="L82" i="29"/>
  <c r="L79" i="29"/>
  <c r="L77" i="29"/>
  <c r="L76" i="29"/>
  <c r="L75" i="29"/>
  <c r="L74" i="29"/>
  <c r="L73" i="29"/>
  <c r="L72" i="29"/>
  <c r="L71" i="29"/>
  <c r="L70" i="29"/>
  <c r="L69" i="29"/>
  <c r="L68" i="29"/>
  <c r="L67" i="29"/>
  <c r="L66" i="29"/>
  <c r="L65" i="29"/>
  <c r="L64" i="29"/>
  <c r="L63" i="29"/>
  <c r="L62" i="29"/>
  <c r="L61" i="29"/>
  <c r="L60" i="29"/>
  <c r="L40" i="29"/>
  <c r="L59" i="29"/>
  <c r="L58" i="29"/>
  <c r="L57" i="29"/>
  <c r="L56" i="29"/>
  <c r="L55" i="29"/>
  <c r="L53" i="29"/>
  <c r="L52" i="29"/>
  <c r="L51" i="29"/>
  <c r="L50" i="29"/>
  <c r="L49" i="29"/>
  <c r="L48" i="29"/>
  <c r="L47" i="29"/>
  <c r="L39" i="29"/>
  <c r="L38" i="29"/>
  <c r="L35" i="29"/>
  <c r="L34" i="29"/>
  <c r="L33" i="29"/>
  <c r="L32" i="29"/>
  <c r="L31" i="29"/>
  <c r="L30" i="29"/>
  <c r="L29" i="29"/>
  <c r="L28" i="29"/>
  <c r="L27" i="29"/>
  <c r="L26" i="29"/>
  <c r="L25" i="29"/>
  <c r="L24" i="29"/>
  <c r="L23" i="29"/>
  <c r="L22" i="29"/>
  <c r="L21" i="29"/>
  <c r="L20" i="29"/>
  <c r="L19" i="29"/>
  <c r="L18" i="29"/>
  <c r="L17" i="29"/>
  <c r="L16" i="29"/>
  <c r="L14" i="29"/>
  <c r="L13" i="29"/>
  <c r="L12" i="29"/>
  <c r="L11" i="29"/>
  <c r="L10" i="29"/>
  <c r="L9" i="29"/>
  <c r="U119" i="32" l="1"/>
  <c r="AD118" i="32"/>
  <c r="AG118" i="32" s="1"/>
  <c r="AH118" i="32" s="1"/>
  <c r="F120" i="32"/>
  <c r="AU120" i="32"/>
  <c r="AT118" i="32"/>
  <c r="AC190" i="53"/>
  <c r="O190" i="53"/>
  <c r="Q119" i="32"/>
  <c r="P119" i="32" s="1"/>
  <c r="N190" i="53"/>
  <c r="T120" i="32"/>
  <c r="AA188" i="53"/>
  <c r="C118" i="32"/>
  <c r="Z118" i="32"/>
  <c r="AM119" i="32"/>
  <c r="S119" i="32"/>
  <c r="Z119" i="32" s="1"/>
  <c r="AJ118" i="32"/>
  <c r="W118" i="32"/>
  <c r="X118" i="32" s="1"/>
  <c r="AE189" i="53"/>
  <c r="AF188" i="53"/>
  <c r="AK120" i="32"/>
  <c r="AL117" i="32"/>
  <c r="R189" i="53"/>
  <c r="X189" i="53" s="1"/>
  <c r="AB189" i="53" s="1"/>
  <c r="V118" i="32"/>
  <c r="AI116" i="32"/>
  <c r="AN116" i="32" s="1"/>
  <c r="AG189" i="53"/>
  <c r="AT189" i="53"/>
  <c r="Q189" i="53"/>
  <c r="AD189" i="53"/>
  <c r="AK189" i="52" a="1"/>
  <c r="AK189" i="52" s="1"/>
  <c r="B191" i="53" s="1"/>
  <c r="G190" i="53"/>
  <c r="F190" i="53"/>
  <c r="C190" i="53"/>
  <c r="L190" i="53"/>
  <c r="P190" i="53"/>
  <c r="J190" i="53"/>
  <c r="D190" i="53"/>
  <c r="H190" i="53"/>
  <c r="I190" i="53"/>
  <c r="K190" i="53"/>
  <c r="AH190" i="53" s="1"/>
  <c r="E190" i="53"/>
  <c r="A120" i="32"/>
  <c r="B120" i="32"/>
  <c r="K120" i="32"/>
  <c r="L120" i="32"/>
  <c r="N120" i="32"/>
  <c r="H120" i="32"/>
  <c r="M120" i="32"/>
  <c r="J120" i="32"/>
  <c r="I120" i="32"/>
  <c r="G120" i="32"/>
  <c r="AL120" i="11" a="1"/>
  <c r="AL120" i="11" s="1"/>
  <c r="E121" i="32" s="1"/>
  <c r="O121" i="32" s="1"/>
  <c r="U120" i="32" l="1"/>
  <c r="F121" i="32"/>
  <c r="AU121" i="32"/>
  <c r="AT119" i="32"/>
  <c r="AD119" i="32"/>
  <c r="AG119" i="32" s="1"/>
  <c r="AH119" i="32" s="1"/>
  <c r="AC191" i="53"/>
  <c r="O191" i="53"/>
  <c r="Q120" i="32"/>
  <c r="P120" i="32" s="1"/>
  <c r="N191" i="53"/>
  <c r="T121" i="32"/>
  <c r="AA189" i="53"/>
  <c r="AM120" i="32"/>
  <c r="W119" i="32"/>
  <c r="X119" i="32" s="1"/>
  <c r="C119" i="32"/>
  <c r="AJ119" i="32"/>
  <c r="S120" i="32"/>
  <c r="Z120" i="32" s="1"/>
  <c r="V119" i="32"/>
  <c r="AF189" i="53"/>
  <c r="AE190" i="53"/>
  <c r="AK121" i="32"/>
  <c r="AL118" i="32"/>
  <c r="AI117" i="32"/>
  <c r="AN117" i="32" s="1"/>
  <c r="R190" i="53"/>
  <c r="X190" i="53" s="1"/>
  <c r="AB190" i="53" s="1"/>
  <c r="AT190" i="53"/>
  <c r="AG190" i="53"/>
  <c r="AD190" i="53"/>
  <c r="Q190" i="53"/>
  <c r="AK190" i="52" a="1"/>
  <c r="AK190" i="52" s="1"/>
  <c r="B192" i="53" s="1"/>
  <c r="E191" i="53"/>
  <c r="D191" i="53"/>
  <c r="G191" i="53"/>
  <c r="C191" i="53"/>
  <c r="F191" i="53"/>
  <c r="I191" i="53"/>
  <c r="H191" i="53"/>
  <c r="J191" i="53"/>
  <c r="L191" i="53"/>
  <c r="P191" i="53"/>
  <c r="K191" i="53"/>
  <c r="AH191" i="53" s="1"/>
  <c r="A121" i="32"/>
  <c r="B121" i="32"/>
  <c r="I121" i="32"/>
  <c r="J121" i="32"/>
  <c r="L121" i="32"/>
  <c r="N121" i="32"/>
  <c r="H121" i="32"/>
  <c r="K121" i="32"/>
  <c r="G121" i="32"/>
  <c r="M121" i="32"/>
  <c r="AL121" i="11" a="1"/>
  <c r="AL121" i="11" s="1"/>
  <c r="U121" i="32" l="1"/>
  <c r="AT120" i="32"/>
  <c r="AD120" i="32"/>
  <c r="AG120" i="32" s="1"/>
  <c r="AH120" i="32" s="1"/>
  <c r="AC192" i="53"/>
  <c r="O192" i="53"/>
  <c r="Q121" i="32"/>
  <c r="P121" i="32" s="1"/>
  <c r="N192" i="53"/>
  <c r="AA190" i="53"/>
  <c r="AM121" i="32"/>
  <c r="C120" i="32"/>
  <c r="AJ120" i="32"/>
  <c r="W120" i="32"/>
  <c r="X120" i="32" s="1"/>
  <c r="S121" i="32"/>
  <c r="Z121" i="32" s="1"/>
  <c r="V120" i="32"/>
  <c r="AE191" i="53"/>
  <c r="AF190" i="53"/>
  <c r="AL119" i="32"/>
  <c r="AI118" i="32"/>
  <c r="AN118" i="32" s="1"/>
  <c r="R191" i="53"/>
  <c r="X191" i="53" s="1"/>
  <c r="AB191" i="53" s="1"/>
  <c r="AT191" i="53"/>
  <c r="AG191" i="53"/>
  <c r="P192" i="53"/>
  <c r="AD191" i="53"/>
  <c r="M12" i="32"/>
  <c r="J192" i="53"/>
  <c r="G192" i="53"/>
  <c r="H192" i="53"/>
  <c r="K192" i="53"/>
  <c r="AH192" i="53" s="1"/>
  <c r="L192" i="53"/>
  <c r="Q191" i="53"/>
  <c r="I192" i="53"/>
  <c r="C192" i="53"/>
  <c r="D192" i="53"/>
  <c r="AK191" i="52" a="1"/>
  <c r="AK191" i="52" s="1"/>
  <c r="B193" i="53" s="1"/>
  <c r="F192" i="53"/>
  <c r="E192" i="53"/>
  <c r="E122" i="32"/>
  <c r="O122" i="32" s="1"/>
  <c r="AL122" i="11" a="1"/>
  <c r="AL122" i="11" s="1"/>
  <c r="E123" i="32" s="1"/>
  <c r="O123" i="32" s="1"/>
  <c r="F122" i="32" l="1"/>
  <c r="AU122" i="32"/>
  <c r="F123" i="32"/>
  <c r="AU123" i="32"/>
  <c r="AT121" i="32"/>
  <c r="AD121" i="32"/>
  <c r="AG121" i="32" s="1"/>
  <c r="AH121" i="32" s="1"/>
  <c r="AC193" i="53"/>
  <c r="O193" i="53"/>
  <c r="N193" i="53"/>
  <c r="T123" i="32"/>
  <c r="T122" i="32"/>
  <c r="AA191" i="53"/>
  <c r="C121" i="32"/>
  <c r="AJ121" i="32"/>
  <c r="W121" i="32"/>
  <c r="X121" i="32" s="1"/>
  <c r="V121" i="32"/>
  <c r="AE192" i="53"/>
  <c r="AF191" i="53"/>
  <c r="AK123" i="32"/>
  <c r="AK122" i="32"/>
  <c r="AL120" i="32"/>
  <c r="R192" i="53"/>
  <c r="X192" i="53" s="1"/>
  <c r="AB192" i="53" s="1"/>
  <c r="AI119" i="32"/>
  <c r="AN119" i="32" s="1"/>
  <c r="AT192" i="53"/>
  <c r="AG192" i="53"/>
  <c r="K193" i="53"/>
  <c r="AH193" i="53" s="1"/>
  <c r="AD192" i="53"/>
  <c r="Q192" i="53"/>
  <c r="AK192" i="52" a="1"/>
  <c r="AK192" i="52" s="1"/>
  <c r="B194" i="53" s="1"/>
  <c r="J193" i="53"/>
  <c r="D193" i="53"/>
  <c r="I193" i="53"/>
  <c r="C193" i="53"/>
  <c r="P193" i="53"/>
  <c r="E193" i="53"/>
  <c r="F193" i="53"/>
  <c r="H193" i="53"/>
  <c r="G193" i="53"/>
  <c r="L193" i="53"/>
  <c r="A123" i="32"/>
  <c r="B123" i="32"/>
  <c r="A122" i="32"/>
  <c r="B122" i="32"/>
  <c r="M123" i="32"/>
  <c r="N123" i="32"/>
  <c r="H123" i="32"/>
  <c r="J123" i="32"/>
  <c r="G123" i="32"/>
  <c r="L123" i="32"/>
  <c r="K123" i="32"/>
  <c r="I123" i="32"/>
  <c r="G122" i="32"/>
  <c r="H122" i="32"/>
  <c r="J122" i="32"/>
  <c r="L122" i="32"/>
  <c r="I122" i="32"/>
  <c r="N122" i="32"/>
  <c r="K122" i="32"/>
  <c r="M122" i="32"/>
  <c r="AL123" i="11" a="1"/>
  <c r="AL123" i="11" s="1"/>
  <c r="E124" i="32" s="1"/>
  <c r="O124" i="32" s="1"/>
  <c r="U122" i="32" l="1"/>
  <c r="U123" i="32"/>
  <c r="F124" i="32"/>
  <c r="AU124" i="32"/>
  <c r="AC194" i="53"/>
  <c r="O194" i="53"/>
  <c r="Q123" i="32"/>
  <c r="P123" i="32" s="1"/>
  <c r="Q122" i="32"/>
  <c r="P122" i="32" s="1"/>
  <c r="N194" i="53"/>
  <c r="T124" i="32"/>
  <c r="AA192" i="53"/>
  <c r="AM123" i="32"/>
  <c r="AM122" i="32"/>
  <c r="S122" i="32"/>
  <c r="Z122" i="32" s="1"/>
  <c r="S123" i="32"/>
  <c r="Z123" i="32" s="1"/>
  <c r="AE193" i="53"/>
  <c r="AF192" i="53"/>
  <c r="AK124" i="32"/>
  <c r="AL121" i="32"/>
  <c r="AI120" i="32"/>
  <c r="AN120" i="32" s="1"/>
  <c r="R193" i="53"/>
  <c r="X193" i="53" s="1"/>
  <c r="AB193" i="53" s="1"/>
  <c r="AT193" i="53"/>
  <c r="AG193" i="53"/>
  <c r="L194" i="53"/>
  <c r="AD193" i="53"/>
  <c r="Q193" i="53"/>
  <c r="AK193" i="52" a="1"/>
  <c r="AK193" i="52" s="1"/>
  <c r="B195" i="53" s="1"/>
  <c r="F194" i="53"/>
  <c r="E194" i="53"/>
  <c r="P194" i="53"/>
  <c r="J194" i="53"/>
  <c r="I194" i="53"/>
  <c r="D194" i="53"/>
  <c r="C194" i="53"/>
  <c r="H194" i="53"/>
  <c r="G194" i="53"/>
  <c r="K194" i="53"/>
  <c r="AH194" i="53" s="1"/>
  <c r="A124" i="32"/>
  <c r="B124" i="32"/>
  <c r="K124" i="32"/>
  <c r="L124" i="32"/>
  <c r="N124" i="32"/>
  <c r="H124" i="32"/>
  <c r="J124" i="32"/>
  <c r="M124" i="32"/>
  <c r="G124" i="32"/>
  <c r="I124" i="32"/>
  <c r="AL124" i="11" a="1"/>
  <c r="AL124" i="11" s="1"/>
  <c r="E125" i="32" s="1"/>
  <c r="O125" i="32" s="1"/>
  <c r="U124" i="32" l="1"/>
  <c r="F125" i="32"/>
  <c r="AU125" i="32"/>
  <c r="AT123" i="32"/>
  <c r="AT122" i="32"/>
  <c r="AD123" i="32"/>
  <c r="AG123" i="32" s="1"/>
  <c r="AH123" i="32" s="1"/>
  <c r="AD122" i="32"/>
  <c r="AG122" i="32" s="1"/>
  <c r="AH122" i="32" s="1"/>
  <c r="AC195" i="53"/>
  <c r="O195" i="53"/>
  <c r="Q124" i="32"/>
  <c r="P124" i="32" s="1"/>
  <c r="N195" i="53"/>
  <c r="T125" i="32"/>
  <c r="AA193" i="53"/>
  <c r="AM124" i="32"/>
  <c r="C123" i="32"/>
  <c r="AJ123" i="32"/>
  <c r="W123" i="32"/>
  <c r="X123" i="32" s="1"/>
  <c r="AJ122" i="32"/>
  <c r="W122" i="32"/>
  <c r="X122" i="32" s="1"/>
  <c r="C122" i="32"/>
  <c r="S124" i="32"/>
  <c r="Z124" i="32" s="1"/>
  <c r="V122" i="32"/>
  <c r="V123" i="32"/>
  <c r="AF193" i="53"/>
  <c r="AE194" i="53"/>
  <c r="AK125" i="32"/>
  <c r="AI121" i="32"/>
  <c r="AN121" i="32" s="1"/>
  <c r="R194" i="53"/>
  <c r="X194" i="53" s="1"/>
  <c r="AB194" i="53" s="1"/>
  <c r="N22" i="32"/>
  <c r="AG194" i="53"/>
  <c r="AT194" i="53"/>
  <c r="Q194" i="53"/>
  <c r="AD194" i="53"/>
  <c r="AK194" i="52" a="1"/>
  <c r="AK194" i="52" s="1"/>
  <c r="B196" i="53" s="1"/>
  <c r="J195" i="53"/>
  <c r="E195" i="53"/>
  <c r="H195" i="53"/>
  <c r="G195" i="53"/>
  <c r="K195" i="53"/>
  <c r="AH195" i="53" s="1"/>
  <c r="D195" i="53"/>
  <c r="F195" i="53"/>
  <c r="P195" i="53"/>
  <c r="C195" i="53"/>
  <c r="I195" i="53"/>
  <c r="L195" i="53"/>
  <c r="A125" i="32"/>
  <c r="B125" i="32"/>
  <c r="I125" i="32"/>
  <c r="J125" i="32"/>
  <c r="L125" i="32"/>
  <c r="N125" i="32"/>
  <c r="K125" i="32"/>
  <c r="H125" i="32"/>
  <c r="G125" i="32"/>
  <c r="M125" i="32"/>
  <c r="AL125" i="11" a="1"/>
  <c r="AL125" i="11" s="1"/>
  <c r="E126" i="32" s="1"/>
  <c r="O126" i="32" s="1"/>
  <c r="AH13" i="11"/>
  <c r="AH15" i="11"/>
  <c r="AH16" i="11"/>
  <c r="AH17" i="11"/>
  <c r="AH19" i="11"/>
  <c r="U125" i="32" l="1"/>
  <c r="F126" i="32"/>
  <c r="AU126" i="32"/>
  <c r="AT124" i="32"/>
  <c r="AD124" i="32"/>
  <c r="AG124" i="32" s="1"/>
  <c r="AH124" i="32" s="1"/>
  <c r="AC196" i="53"/>
  <c r="O196" i="53"/>
  <c r="Q125" i="32"/>
  <c r="P125" i="32" s="1"/>
  <c r="N196" i="53"/>
  <c r="T126" i="32"/>
  <c r="AA194" i="53"/>
  <c r="AM125" i="32"/>
  <c r="BG6" i="22"/>
  <c r="N18" i="32"/>
  <c r="BG15" i="22"/>
  <c r="C124" i="32"/>
  <c r="W124" i="32"/>
  <c r="X124" i="32" s="1"/>
  <c r="AJ124" i="32"/>
  <c r="S125" i="32"/>
  <c r="Z125" i="32" s="1"/>
  <c r="V124" i="32"/>
  <c r="AE195" i="53"/>
  <c r="AF194" i="53"/>
  <c r="AK126" i="32"/>
  <c r="AL123" i="32"/>
  <c r="AL122" i="32"/>
  <c r="R195" i="53"/>
  <c r="X195" i="53" s="1"/>
  <c r="AB195" i="53" s="1"/>
  <c r="BG8" i="22"/>
  <c r="BG12" i="22"/>
  <c r="AT195" i="53"/>
  <c r="AG195" i="53"/>
  <c r="I196" i="53"/>
  <c r="AD195" i="53"/>
  <c r="Q195" i="53"/>
  <c r="L196" i="53"/>
  <c r="G196" i="53"/>
  <c r="H196" i="53"/>
  <c r="F196" i="53"/>
  <c r="D196" i="53"/>
  <c r="K196" i="53"/>
  <c r="AH196" i="53" s="1"/>
  <c r="E196" i="53"/>
  <c r="P196" i="53"/>
  <c r="J196" i="53"/>
  <c r="AK195" i="52" a="1"/>
  <c r="AK195" i="52" s="1"/>
  <c r="B197" i="53" s="1"/>
  <c r="C196" i="53"/>
  <c r="A126" i="32"/>
  <c r="B126" i="32"/>
  <c r="G126" i="32"/>
  <c r="H126" i="32"/>
  <c r="J126" i="32"/>
  <c r="L126" i="32"/>
  <c r="I126" i="32"/>
  <c r="N126" i="32"/>
  <c r="M126" i="32"/>
  <c r="K126" i="32"/>
  <c r="AL126" i="11" a="1"/>
  <c r="AL126" i="11" s="1"/>
  <c r="E127" i="32" s="1"/>
  <c r="O127" i="32" s="1"/>
  <c r="AH20" i="11"/>
  <c r="AH258" i="11"/>
  <c r="AH24" i="11"/>
  <c r="AH31" i="11"/>
  <c r="AH22" i="11"/>
  <c r="AH21" i="11"/>
  <c r="AH18" i="11"/>
  <c r="AH14" i="11"/>
  <c r="AH23" i="11"/>
  <c r="AH12" i="11"/>
  <c r="AH25" i="11"/>
  <c r="AH233" i="11"/>
  <c r="AH256" i="11"/>
  <c r="AH240" i="11"/>
  <c r="AH216" i="11"/>
  <c r="AH200" i="11"/>
  <c r="AH184" i="11"/>
  <c r="AH168" i="11"/>
  <c r="AH152" i="11"/>
  <c r="AH136" i="11"/>
  <c r="AH120" i="11"/>
  <c r="AH104" i="11"/>
  <c r="AH88" i="11"/>
  <c r="AH72" i="11"/>
  <c r="AH56" i="11"/>
  <c r="AH40" i="11"/>
  <c r="AH255" i="11"/>
  <c r="AH247" i="11"/>
  <c r="AH239" i="11"/>
  <c r="AH231" i="11"/>
  <c r="AH223" i="11"/>
  <c r="AH215" i="11"/>
  <c r="AH207" i="11"/>
  <c r="AH199" i="11"/>
  <c r="AH191" i="11"/>
  <c r="AH183" i="11"/>
  <c r="AH175" i="11"/>
  <c r="AH167" i="11"/>
  <c r="AH159" i="11"/>
  <c r="AH151" i="11"/>
  <c r="AH143" i="11"/>
  <c r="AH135" i="11"/>
  <c r="AH127" i="11"/>
  <c r="AH119" i="11"/>
  <c r="AH111" i="11"/>
  <c r="AH103" i="11"/>
  <c r="AH95" i="11"/>
  <c r="AH87" i="11"/>
  <c r="AH79" i="11"/>
  <c r="AH71" i="11"/>
  <c r="AH63" i="11"/>
  <c r="AH55" i="11"/>
  <c r="AH47" i="11"/>
  <c r="AH39" i="11"/>
  <c r="AH226" i="11"/>
  <c r="AH178" i="11"/>
  <c r="AH130" i="11"/>
  <c r="AH66" i="11"/>
  <c r="AH254" i="11"/>
  <c r="AH230" i="11"/>
  <c r="AH222" i="11"/>
  <c r="AH214" i="11"/>
  <c r="AH206" i="11"/>
  <c r="AH198" i="11"/>
  <c r="AH190" i="11"/>
  <c r="AH182" i="11"/>
  <c r="AH174" i="11"/>
  <c r="AH166" i="11"/>
  <c r="AH158" i="11"/>
  <c r="AH150" i="11"/>
  <c r="AH142" i="11"/>
  <c r="AH134" i="11"/>
  <c r="AH126" i="11"/>
  <c r="AH118" i="11"/>
  <c r="AH110" i="11"/>
  <c r="AH102" i="11"/>
  <c r="AH94" i="11"/>
  <c r="AH86" i="11"/>
  <c r="AH78" i="11"/>
  <c r="AH70" i="11"/>
  <c r="AH62" i="11"/>
  <c r="AH54" i="11"/>
  <c r="AH46" i="11"/>
  <c r="AH38" i="11"/>
  <c r="AH30" i="11"/>
  <c r="AH210" i="11"/>
  <c r="AH162" i="11"/>
  <c r="AH114" i="11"/>
  <c r="AH74" i="11"/>
  <c r="AH34" i="11"/>
  <c r="AH253" i="11"/>
  <c r="AH237" i="11"/>
  <c r="AH221" i="11"/>
  <c r="AH213" i="11"/>
  <c r="AH205" i="11"/>
  <c r="AH197" i="11"/>
  <c r="AH189" i="11"/>
  <c r="AH181" i="11"/>
  <c r="AH173" i="11"/>
  <c r="AH165" i="11"/>
  <c r="AH157" i="11"/>
  <c r="AH149" i="11"/>
  <c r="AH141" i="11"/>
  <c r="AH133" i="11"/>
  <c r="AH125" i="11"/>
  <c r="AH117" i="11"/>
  <c r="AH109" i="11"/>
  <c r="AH101" i="11"/>
  <c r="AH93" i="11"/>
  <c r="AH85" i="11"/>
  <c r="AH77" i="11"/>
  <c r="AH69" i="11"/>
  <c r="AH61" i="11"/>
  <c r="AH53" i="11"/>
  <c r="AH45" i="11"/>
  <c r="AH37" i="11"/>
  <c r="AH29" i="11"/>
  <c r="AH250" i="11"/>
  <c r="AH218" i="11"/>
  <c r="AH186" i="11"/>
  <c r="AH154" i="11"/>
  <c r="AH122" i="11"/>
  <c r="AH90" i="11"/>
  <c r="AH42" i="11"/>
  <c r="AH238" i="11"/>
  <c r="AH245" i="11"/>
  <c r="AH244" i="11"/>
  <c r="AH220" i="11"/>
  <c r="AH204" i="11"/>
  <c r="AH188" i="11"/>
  <c r="AH172" i="11"/>
  <c r="AH148" i="11"/>
  <c r="AH132" i="11"/>
  <c r="AH116" i="11"/>
  <c r="AH100" i="11"/>
  <c r="AH84" i="11"/>
  <c r="AH68" i="11"/>
  <c r="AH52" i="11"/>
  <c r="AH44" i="11"/>
  <c r="AH36" i="11"/>
  <c r="AH28" i="11"/>
  <c r="AH242" i="11"/>
  <c r="AH194" i="11"/>
  <c r="AH146" i="11"/>
  <c r="AH106" i="11"/>
  <c r="AH82" i="11"/>
  <c r="AH50" i="11"/>
  <c r="AH26" i="11"/>
  <c r="AH246" i="11"/>
  <c r="AH229" i="11"/>
  <c r="AH252" i="11"/>
  <c r="AH236" i="11"/>
  <c r="AH228" i="11"/>
  <c r="AH212" i="11"/>
  <c r="AH196" i="11"/>
  <c r="AH180" i="11"/>
  <c r="AH164" i="11"/>
  <c r="AH156" i="11"/>
  <c r="AH140" i="11"/>
  <c r="AH124" i="11"/>
  <c r="AH108" i="11"/>
  <c r="AH92" i="11"/>
  <c r="AH76" i="11"/>
  <c r="AH60" i="11"/>
  <c r="AH251" i="11"/>
  <c r="AH243" i="11"/>
  <c r="AH235" i="11"/>
  <c r="AH227" i="11"/>
  <c r="AH219" i="11"/>
  <c r="AH211" i="11"/>
  <c r="AH203" i="11"/>
  <c r="AH195" i="11"/>
  <c r="AH187" i="11"/>
  <c r="AH179" i="11"/>
  <c r="AH171" i="11"/>
  <c r="AH163" i="11"/>
  <c r="AH155" i="11"/>
  <c r="AH147" i="11"/>
  <c r="AH139" i="11"/>
  <c r="AH131" i="11"/>
  <c r="AH123" i="11"/>
  <c r="AH115" i="11"/>
  <c r="AH107" i="11"/>
  <c r="AH99" i="11"/>
  <c r="AH91" i="11"/>
  <c r="AH83" i="11"/>
  <c r="AH75" i="11"/>
  <c r="AH67" i="11"/>
  <c r="AH59" i="11"/>
  <c r="AH51" i="11"/>
  <c r="AH43" i="11"/>
  <c r="AH35" i="11"/>
  <c r="AH27" i="11"/>
  <c r="AH257" i="11"/>
  <c r="AH249" i="11"/>
  <c r="AH225" i="11"/>
  <c r="AH217" i="11"/>
  <c r="AH209" i="11"/>
  <c r="AH201" i="11"/>
  <c r="AH193" i="11"/>
  <c r="AH185" i="11"/>
  <c r="AH177" i="11"/>
  <c r="AH169" i="11"/>
  <c r="AH161" i="11"/>
  <c r="AH153" i="11"/>
  <c r="AH145" i="11"/>
  <c r="AH137" i="11"/>
  <c r="AH129" i="11"/>
  <c r="AH121" i="11"/>
  <c r="AH113" i="11"/>
  <c r="AH105" i="11"/>
  <c r="AH97" i="11"/>
  <c r="AH89" i="11"/>
  <c r="AH81" i="11"/>
  <c r="AH73" i="11"/>
  <c r="AH65" i="11"/>
  <c r="AH57" i="11"/>
  <c r="AH49" i="11"/>
  <c r="AH41" i="11"/>
  <c r="AH33" i="11"/>
  <c r="AH234" i="11"/>
  <c r="AH202" i="11"/>
  <c r="AH170" i="11"/>
  <c r="AH138" i="11"/>
  <c r="AH98" i="11"/>
  <c r="AH58" i="11"/>
  <c r="AH241" i="11"/>
  <c r="AH248" i="11"/>
  <c r="AH232" i="11"/>
  <c r="AH224" i="11"/>
  <c r="AH208" i="11"/>
  <c r="AH192" i="11"/>
  <c r="AH176" i="11"/>
  <c r="AH160" i="11"/>
  <c r="AH144" i="11"/>
  <c r="AH128" i="11"/>
  <c r="AH112" i="11"/>
  <c r="AH96" i="11"/>
  <c r="AH80" i="11"/>
  <c r="AH64" i="11"/>
  <c r="AH48" i="11"/>
  <c r="AH32" i="11"/>
  <c r="L90" i="22"/>
  <c r="L58" i="22"/>
  <c r="L32" i="22"/>
  <c r="L28" i="22"/>
  <c r="L61" i="22"/>
  <c r="L47" i="22"/>
  <c r="L43" i="22"/>
  <c r="L40" i="22"/>
  <c r="L35" i="22"/>
  <c r="L85" i="22"/>
  <c r="L31" i="22"/>
  <c r="U126" i="32" l="1"/>
  <c r="F127" i="32"/>
  <c r="AU127" i="32"/>
  <c r="AT125" i="32"/>
  <c r="AD125" i="32"/>
  <c r="AG125" i="32" s="1"/>
  <c r="AH125" i="32" s="1"/>
  <c r="AC197" i="53"/>
  <c r="O197" i="53"/>
  <c r="Q126" i="32"/>
  <c r="P126" i="32" s="1"/>
  <c r="N197" i="53"/>
  <c r="T127" i="32"/>
  <c r="AA195" i="53"/>
  <c r="AM126" i="32"/>
  <c r="C125" i="32"/>
  <c r="W125" i="32"/>
  <c r="X125" i="32" s="1"/>
  <c r="AJ125" i="32"/>
  <c r="S126" i="32"/>
  <c r="Z126" i="32" s="1"/>
  <c r="V125" i="32"/>
  <c r="AF195" i="53"/>
  <c r="AE196" i="53"/>
  <c r="AK127" i="32"/>
  <c r="AL124" i="32"/>
  <c r="AI122" i="32"/>
  <c r="AN122" i="32" s="1"/>
  <c r="R196" i="53"/>
  <c r="X196" i="53" s="1"/>
  <c r="AB196" i="53" s="1"/>
  <c r="BG16" i="22"/>
  <c r="BG7" i="22"/>
  <c r="AI123" i="32"/>
  <c r="AN123" i="32" s="1"/>
  <c r="AT196" i="53"/>
  <c r="AG196" i="53"/>
  <c r="E197" i="53"/>
  <c r="AD196" i="53"/>
  <c r="I12" i="32"/>
  <c r="Q196" i="53"/>
  <c r="P197" i="53"/>
  <c r="H197" i="53"/>
  <c r="C197" i="53"/>
  <c r="I197" i="53"/>
  <c r="F197" i="53"/>
  <c r="K197" i="53"/>
  <c r="AH197" i="53" s="1"/>
  <c r="L197" i="53"/>
  <c r="D197" i="53"/>
  <c r="AK196" i="52" a="1"/>
  <c r="AK196" i="52" s="1"/>
  <c r="B198" i="53" s="1"/>
  <c r="J197" i="53"/>
  <c r="G197" i="53"/>
  <c r="A127" i="32"/>
  <c r="B127" i="32"/>
  <c r="M127" i="32"/>
  <c r="N127" i="32"/>
  <c r="H127" i="32"/>
  <c r="J127" i="32"/>
  <c r="G127" i="32"/>
  <c r="L127" i="32"/>
  <c r="I127" i="32"/>
  <c r="K127" i="32"/>
  <c r="J21" i="22"/>
  <c r="AL127" i="11" a="1"/>
  <c r="AL127" i="11" s="1"/>
  <c r="E128" i="32" s="1"/>
  <c r="O128" i="32" s="1"/>
  <c r="L57" i="22"/>
  <c r="L53" i="22"/>
  <c r="L54" i="22"/>
  <c r="L14" i="22"/>
  <c r="L45" i="22"/>
  <c r="L60" i="22"/>
  <c r="L39" i="22"/>
  <c r="L100" i="22"/>
  <c r="L82" i="22"/>
  <c r="L69" i="22"/>
  <c r="L101" i="22"/>
  <c r="L62" i="22"/>
  <c r="L74" i="22"/>
  <c r="L72" i="22"/>
  <c r="L41" i="22"/>
  <c r="L36" i="22"/>
  <c r="L75" i="22"/>
  <c r="L23" i="22"/>
  <c r="L56" i="22"/>
  <c r="L71" i="22"/>
  <c r="L84" i="22"/>
  <c r="L99" i="22"/>
  <c r="L24" i="22"/>
  <c r="L86" i="22"/>
  <c r="L88" i="22"/>
  <c r="L79" i="22"/>
  <c r="L51" i="22"/>
  <c r="L98" i="22"/>
  <c r="L37" i="22"/>
  <c r="L27" i="22"/>
  <c r="L91" i="22"/>
  <c r="L63" i="22"/>
  <c r="L89" i="22"/>
  <c r="L18" i="22"/>
  <c r="L48" i="22"/>
  <c r="L93" i="22"/>
  <c r="L50" i="22"/>
  <c r="L26" i="22"/>
  <c r="L73" i="22"/>
  <c r="L87" i="22"/>
  <c r="L46" i="22"/>
  <c r="L25" i="22"/>
  <c r="L96" i="22"/>
  <c r="L67" i="22"/>
  <c r="L83" i="22"/>
  <c r="L16" i="22"/>
  <c r="L30" i="22"/>
  <c r="L49" i="22"/>
  <c r="L65" i="22"/>
  <c r="L42" i="22"/>
  <c r="L20" i="22"/>
  <c r="L21" i="22"/>
  <c r="L29" i="22"/>
  <c r="L44" i="22"/>
  <c r="L70" i="22"/>
  <c r="L19" i="22"/>
  <c r="L33" i="22"/>
  <c r="L52" i="22"/>
  <c r="L68" i="22"/>
  <c r="L97" i="22"/>
  <c r="L15" i="22"/>
  <c r="L10" i="22"/>
  <c r="L34" i="22"/>
  <c r="L9" i="22"/>
  <c r="L11" i="22"/>
  <c r="L22" i="22"/>
  <c r="L12" i="22"/>
  <c r="AM11" i="11" a="1"/>
  <c r="AM11" i="11" s="1"/>
  <c r="L13" i="22"/>
  <c r="J91" i="22" l="1"/>
  <c r="J18" i="22"/>
  <c r="U127" i="32"/>
  <c r="F135" i="22"/>
  <c r="F19" i="22"/>
  <c r="Q259" i="11"/>
  <c r="V259" i="11"/>
  <c r="T12" i="32"/>
  <c r="U12" i="32" s="1"/>
  <c r="AD12" i="32" s="1"/>
  <c r="F128" i="32"/>
  <c r="AU128" i="32"/>
  <c r="AT126" i="32"/>
  <c r="AD126" i="32"/>
  <c r="AG126" i="32" s="1"/>
  <c r="AH126" i="32" s="1"/>
  <c r="AC198" i="53"/>
  <c r="O198" i="53"/>
  <c r="Q127" i="32"/>
  <c r="P127" i="32" s="1"/>
  <c r="N198" i="53"/>
  <c r="T128" i="32"/>
  <c r="AA196" i="53"/>
  <c r="AM127" i="32"/>
  <c r="C126" i="32"/>
  <c r="W126" i="32"/>
  <c r="X126" i="32" s="1"/>
  <c r="AJ126" i="32"/>
  <c r="S127" i="32"/>
  <c r="Z127" i="32" s="1"/>
  <c r="V126" i="32"/>
  <c r="AE197" i="53"/>
  <c r="AF196" i="53"/>
  <c r="AK128" i="32"/>
  <c r="AL125" i="32"/>
  <c r="R197" i="53"/>
  <c r="X197" i="53" s="1"/>
  <c r="AB197" i="53" s="1"/>
  <c r="AI124" i="32"/>
  <c r="AN124" i="32" s="1"/>
  <c r="AG197" i="53"/>
  <c r="AT197" i="53"/>
  <c r="G198" i="53"/>
  <c r="AD197" i="53"/>
  <c r="Q197" i="53"/>
  <c r="F198" i="53"/>
  <c r="H198" i="53"/>
  <c r="AK197" i="52" a="1"/>
  <c r="AK197" i="52" s="1"/>
  <c r="B199" i="53" s="1"/>
  <c r="K198" i="53"/>
  <c r="AH198" i="53" s="1"/>
  <c r="J198" i="53"/>
  <c r="D198" i="53"/>
  <c r="L198" i="53"/>
  <c r="I198" i="53"/>
  <c r="C198" i="53"/>
  <c r="P198" i="53"/>
  <c r="E198" i="53"/>
  <c r="A128" i="32"/>
  <c r="B128" i="32"/>
  <c r="K128" i="32"/>
  <c r="L128" i="32"/>
  <c r="N128" i="32"/>
  <c r="H128" i="32"/>
  <c r="M128" i="32"/>
  <c r="J128" i="32"/>
  <c r="I128" i="32"/>
  <c r="G128" i="32"/>
  <c r="L94" i="22"/>
  <c r="L127" i="22"/>
  <c r="AL128" i="11" a="1"/>
  <c r="AL128" i="11" s="1"/>
  <c r="E129" i="32" s="1"/>
  <c r="O129" i="32" s="1"/>
  <c r="L76" i="22"/>
  <c r="L7" i="22"/>
  <c r="L8" i="22"/>
  <c r="L5" i="22"/>
  <c r="L6" i="22"/>
  <c r="L4" i="22"/>
  <c r="L78" i="22"/>
  <c r="L92" i="22"/>
  <c r="L64" i="22"/>
  <c r="L81" i="22"/>
  <c r="L77" i="22"/>
  <c r="L95" i="22"/>
  <c r="L102" i="22"/>
  <c r="L66" i="22"/>
  <c r="L59" i="22"/>
  <c r="AM12" i="11" a="1"/>
  <c r="AM12" i="11" s="1"/>
  <c r="AM13" i="11" s="1" a="1"/>
  <c r="AM13" i="11" s="1"/>
  <c r="U128" i="32" l="1"/>
  <c r="J14" i="22"/>
  <c r="J82" i="22"/>
  <c r="AX12" i="22" s="1"/>
  <c r="J61" i="22"/>
  <c r="AX156" i="22" s="1"/>
  <c r="J90" i="22"/>
  <c r="J52" i="22"/>
  <c r="AX46" i="22" s="1"/>
  <c r="J135" i="22"/>
  <c r="AX80" i="22" s="1"/>
  <c r="J76" i="22"/>
  <c r="J20" i="22"/>
  <c r="J133" i="22"/>
  <c r="J28" i="22"/>
  <c r="AX88" i="22" s="1"/>
  <c r="X259" i="11"/>
  <c r="J29" i="22"/>
  <c r="AX89" i="22" s="1"/>
  <c r="J16" i="22"/>
  <c r="AX31" i="22" s="1"/>
  <c r="J102" i="22"/>
  <c r="J19" i="22"/>
  <c r="AX6" i="22" s="1"/>
  <c r="F129" i="32"/>
  <c r="AU129" i="32"/>
  <c r="J15" i="22"/>
  <c r="J96" i="22"/>
  <c r="AX99" i="22" s="1"/>
  <c r="AT127" i="32"/>
  <c r="AG12" i="32"/>
  <c r="AK12" i="32" s="1"/>
  <c r="AD127" i="32"/>
  <c r="AG127" i="32" s="1"/>
  <c r="AH127" i="32" s="1"/>
  <c r="AC199" i="53"/>
  <c r="O199" i="53"/>
  <c r="Q128" i="32"/>
  <c r="P128" i="32" s="1"/>
  <c r="AL18" i="22"/>
  <c r="N199" i="53"/>
  <c r="T129" i="32"/>
  <c r="AA197" i="53"/>
  <c r="AM128" i="32"/>
  <c r="C127" i="32"/>
  <c r="W127" i="32"/>
  <c r="X127" i="32" s="1"/>
  <c r="AJ127" i="32"/>
  <c r="S128" i="32"/>
  <c r="Z128" i="32" s="1"/>
  <c r="AX66" i="22"/>
  <c r="V127" i="32"/>
  <c r="AF197" i="53"/>
  <c r="AE198" i="53"/>
  <c r="AK129" i="32"/>
  <c r="AL126" i="32"/>
  <c r="AL17" i="22"/>
  <c r="AI125" i="32"/>
  <c r="AN125" i="32" s="1"/>
  <c r="R198" i="53"/>
  <c r="X198" i="53" s="1"/>
  <c r="AB198" i="53" s="1"/>
  <c r="N12" i="32"/>
  <c r="AX129" i="22"/>
  <c r="AX16" i="22"/>
  <c r="AX68" i="22"/>
  <c r="AT198" i="53"/>
  <c r="AG198" i="53"/>
  <c r="Q198" i="53"/>
  <c r="AD198" i="53"/>
  <c r="AK198" i="52" a="1"/>
  <c r="AK198" i="52" s="1"/>
  <c r="B200" i="53" s="1"/>
  <c r="G199" i="53"/>
  <c r="D199" i="53"/>
  <c r="J199" i="53"/>
  <c r="I199" i="53"/>
  <c r="C199" i="53"/>
  <c r="F199" i="53"/>
  <c r="L199" i="53"/>
  <c r="H199" i="53"/>
  <c r="E199" i="53"/>
  <c r="P199" i="53"/>
  <c r="K199" i="53"/>
  <c r="AH199" i="53" s="1"/>
  <c r="A129" i="32"/>
  <c r="B129" i="32"/>
  <c r="I129" i="32"/>
  <c r="J129" i="32"/>
  <c r="L129" i="32"/>
  <c r="N129" i="32"/>
  <c r="H129" i="32"/>
  <c r="K129" i="32"/>
  <c r="G129" i="32"/>
  <c r="M129" i="32"/>
  <c r="AX62" i="22"/>
  <c r="AX61" i="22"/>
  <c r="AL129" i="11" a="1"/>
  <c r="AL129" i="11" s="1"/>
  <c r="E130" i="32" s="1"/>
  <c r="O130" i="32" s="1"/>
  <c r="AX131" i="22"/>
  <c r="AX42" i="22"/>
  <c r="AX39" i="22"/>
  <c r="AX97" i="22"/>
  <c r="AX126" i="22"/>
  <c r="AX51" i="22"/>
  <c r="AX157" i="22"/>
  <c r="AX5" i="22"/>
  <c r="AX87" i="22"/>
  <c r="AX93" i="22"/>
  <c r="AX159" i="22"/>
  <c r="AX96" i="22"/>
  <c r="AX116" i="22"/>
  <c r="AX84" i="22"/>
  <c r="AX137" i="22"/>
  <c r="AX124" i="22"/>
  <c r="AX53" i="22"/>
  <c r="AX138" i="22"/>
  <c r="AX57" i="22"/>
  <c r="AX56" i="22"/>
  <c r="AX58" i="22"/>
  <c r="AX48" i="22"/>
  <c r="AX127" i="22"/>
  <c r="AX135" i="22"/>
  <c r="AX130" i="22"/>
  <c r="AX40" i="22"/>
  <c r="AX37" i="22"/>
  <c r="AX121" i="22"/>
  <c r="AX90" i="22"/>
  <c r="AX85" i="22"/>
  <c r="AX60" i="22"/>
  <c r="AX82" i="22"/>
  <c r="AX115" i="22"/>
  <c r="AX118" i="22"/>
  <c r="AX149" i="22"/>
  <c r="AX36" i="22"/>
  <c r="AX41" i="22"/>
  <c r="AX44" i="22"/>
  <c r="AX43" i="22"/>
  <c r="AX100" i="22"/>
  <c r="AX15" i="22"/>
  <c r="AX11" i="22"/>
  <c r="AX14" i="22"/>
  <c r="AX123" i="22"/>
  <c r="AX33" i="22"/>
  <c r="AX83" i="22"/>
  <c r="AX54" i="22"/>
  <c r="AX92" i="22"/>
  <c r="AX86" i="22"/>
  <c r="AX7" i="22"/>
  <c r="AX125" i="22"/>
  <c r="AX122" i="22"/>
  <c r="AX49" i="22"/>
  <c r="AX98" i="22"/>
  <c r="AX50" i="22"/>
  <c r="AX94" i="22"/>
  <c r="AX113" i="22"/>
  <c r="AX17" i="22"/>
  <c r="AX128" i="22"/>
  <c r="AX95" i="22"/>
  <c r="AX158" i="22"/>
  <c r="AX45" i="22"/>
  <c r="AM14" i="11" a="1"/>
  <c r="AM14" i="11" s="1"/>
  <c r="U129" i="32" l="1"/>
  <c r="F130" i="32"/>
  <c r="AU130" i="32"/>
  <c r="AT128" i="32"/>
  <c r="AX19" i="22"/>
  <c r="AD128" i="32"/>
  <c r="AG128" i="32" s="1"/>
  <c r="AH128" i="32" s="1"/>
  <c r="AH12" i="32"/>
  <c r="AI12" i="32" s="1"/>
  <c r="AL12" i="32"/>
  <c r="AX73" i="22"/>
  <c r="AC200" i="53"/>
  <c r="O200" i="53"/>
  <c r="Q129" i="32"/>
  <c r="P129" i="32" s="1"/>
  <c r="N200" i="53"/>
  <c r="T130" i="32"/>
  <c r="AA198" i="53"/>
  <c r="AM129" i="32"/>
  <c r="AX134" i="22"/>
  <c r="AX67" i="22"/>
  <c r="C128" i="32"/>
  <c r="AJ128" i="32"/>
  <c r="W128" i="32"/>
  <c r="X128" i="32" s="1"/>
  <c r="S129" i="32"/>
  <c r="Z129" i="32" s="1"/>
  <c r="AX151" i="22"/>
  <c r="V128" i="32"/>
  <c r="AE199" i="53"/>
  <c r="AF198" i="53"/>
  <c r="AK130" i="32"/>
  <c r="AL127" i="32"/>
  <c r="AX120" i="22"/>
  <c r="AX132" i="22"/>
  <c r="AX136" i="22"/>
  <c r="AX150" i="22"/>
  <c r="AX52" i="22"/>
  <c r="AX22" i="22"/>
  <c r="R199" i="53"/>
  <c r="X199" i="53" s="1"/>
  <c r="AB199" i="53" s="1"/>
  <c r="AX8" i="22"/>
  <c r="AX147" i="22"/>
  <c r="AI126" i="32"/>
  <c r="AN126" i="32" s="1"/>
  <c r="AT199" i="53"/>
  <c r="AG199" i="53"/>
  <c r="AD199" i="53"/>
  <c r="Q199" i="53"/>
  <c r="AK199" i="52" a="1"/>
  <c r="AK199" i="52" s="1"/>
  <c r="B201" i="53" s="1"/>
  <c r="E200" i="53"/>
  <c r="C200" i="53"/>
  <c r="D200" i="53"/>
  <c r="G200" i="53"/>
  <c r="H200" i="53"/>
  <c r="L200" i="53"/>
  <c r="J200" i="53"/>
  <c r="P200" i="53"/>
  <c r="K200" i="53"/>
  <c r="AH200" i="53" s="1"/>
  <c r="I200" i="53"/>
  <c r="F200" i="53"/>
  <c r="A130" i="32"/>
  <c r="B130" i="32"/>
  <c r="G130" i="32"/>
  <c r="H130" i="32"/>
  <c r="J130" i="32"/>
  <c r="L130" i="32"/>
  <c r="I130" i="32"/>
  <c r="N130" i="32"/>
  <c r="K130" i="32"/>
  <c r="M130" i="32"/>
  <c r="AX139" i="22"/>
  <c r="AX114" i="22"/>
  <c r="AX103" i="22"/>
  <c r="AL7" i="22"/>
  <c r="AX59" i="22"/>
  <c r="AX117" i="22"/>
  <c r="AL14" i="22"/>
  <c r="AL15" i="22"/>
  <c r="AL9" i="22"/>
  <c r="AL130" i="11" a="1"/>
  <c r="AL130" i="11" s="1"/>
  <c r="E131" i="32" s="1"/>
  <c r="O131" i="32" s="1"/>
  <c r="AX35" i="22"/>
  <c r="AX145" i="22"/>
  <c r="AX10" i="22"/>
  <c r="AX47" i="22"/>
  <c r="AX91" i="22"/>
  <c r="AX32" i="22"/>
  <c r="AX79" i="22"/>
  <c r="AX81" i="22"/>
  <c r="AX30" i="22"/>
  <c r="AX119" i="22"/>
  <c r="AM15" i="11" a="1"/>
  <c r="AM15" i="11" s="1"/>
  <c r="U130" i="32" l="1"/>
  <c r="F131" i="32"/>
  <c r="AU131" i="32"/>
  <c r="AT129" i="32"/>
  <c r="AX104" i="22"/>
  <c r="AX105" i="22"/>
  <c r="AD129" i="32"/>
  <c r="AG129" i="32" s="1"/>
  <c r="AH129" i="32" s="1"/>
  <c r="AM12" i="32"/>
  <c r="AN12" i="32" s="1"/>
  <c r="AC201" i="53"/>
  <c r="O201" i="53"/>
  <c r="Q130" i="32"/>
  <c r="P130" i="32" s="1"/>
  <c r="N201" i="53"/>
  <c r="T131" i="32"/>
  <c r="AA199" i="53"/>
  <c r="AM130" i="32"/>
  <c r="C129" i="32"/>
  <c r="AJ129" i="32"/>
  <c r="S130" i="32"/>
  <c r="Z130" i="32" s="1"/>
  <c r="W129" i="32"/>
  <c r="X129" i="32" s="1"/>
  <c r="AE200" i="53"/>
  <c r="AF199" i="53"/>
  <c r="AK131" i="32"/>
  <c r="AL128" i="32"/>
  <c r="AI127" i="32"/>
  <c r="AN127" i="32" s="1"/>
  <c r="R200" i="53"/>
  <c r="X200" i="53" s="1"/>
  <c r="AB200" i="53" s="1"/>
  <c r="AG200" i="53"/>
  <c r="AT200" i="53"/>
  <c r="E201" i="53"/>
  <c r="V129" i="32"/>
  <c r="AD200" i="53"/>
  <c r="L17" i="22"/>
  <c r="Q200" i="53"/>
  <c r="AK200" i="52" a="1"/>
  <c r="AK200" i="52" s="1"/>
  <c r="B202" i="53" s="1"/>
  <c r="H201" i="53"/>
  <c r="L201" i="53"/>
  <c r="F201" i="53"/>
  <c r="K201" i="53"/>
  <c r="AH201" i="53" s="1"/>
  <c r="I201" i="53"/>
  <c r="D201" i="53"/>
  <c r="P201" i="53"/>
  <c r="C201" i="53"/>
  <c r="J201" i="53"/>
  <c r="G201" i="53"/>
  <c r="A131" i="32"/>
  <c r="B131" i="32"/>
  <c r="J131" i="32"/>
  <c r="M131" i="32"/>
  <c r="N131" i="32"/>
  <c r="I131" i="32"/>
  <c r="H131" i="32"/>
  <c r="K131" i="32"/>
  <c r="G131" i="32"/>
  <c r="L131" i="32"/>
  <c r="AL13" i="22"/>
  <c r="AL16" i="22"/>
  <c r="AL11" i="22"/>
  <c r="AL12" i="22"/>
  <c r="AL8" i="22"/>
  <c r="AL6" i="22"/>
  <c r="AL4" i="22"/>
  <c r="AL131" i="11" a="1"/>
  <c r="AL131" i="11" s="1"/>
  <c r="E132" i="32" s="1"/>
  <c r="O132" i="32" s="1"/>
  <c r="AM16" i="11" a="1"/>
  <c r="AM16" i="11" s="1"/>
  <c r="U131" i="32" l="1"/>
  <c r="F132" i="32"/>
  <c r="AU132" i="32"/>
  <c r="AT130" i="32"/>
  <c r="AD130" i="32"/>
  <c r="AG130" i="32" s="1"/>
  <c r="AH130" i="32" s="1"/>
  <c r="AC202" i="53"/>
  <c r="O202" i="53"/>
  <c r="Q131" i="32"/>
  <c r="P131" i="32" s="1"/>
  <c r="N202" i="53"/>
  <c r="T132" i="32"/>
  <c r="AA200" i="53"/>
  <c r="AM131" i="32"/>
  <c r="W130" i="32"/>
  <c r="X130" i="32" s="1"/>
  <c r="C130" i="32"/>
  <c r="S131" i="32"/>
  <c r="Z131" i="32" s="1"/>
  <c r="AJ130" i="32"/>
  <c r="V130" i="32"/>
  <c r="AE201" i="53"/>
  <c r="AF200" i="53"/>
  <c r="AK132" i="32"/>
  <c r="AL129" i="32"/>
  <c r="AI128" i="32"/>
  <c r="AN128" i="32" s="1"/>
  <c r="R201" i="53"/>
  <c r="X201" i="53" s="1"/>
  <c r="AB201" i="53" s="1"/>
  <c r="AT201" i="53"/>
  <c r="AG201" i="53"/>
  <c r="F202" i="53"/>
  <c r="AD201" i="53"/>
  <c r="C202" i="53"/>
  <c r="D202" i="53"/>
  <c r="H202" i="53"/>
  <c r="AK201" i="52" a="1"/>
  <c r="AK201" i="52" s="1"/>
  <c r="B203" i="53" s="1"/>
  <c r="K202" i="53"/>
  <c r="AH202" i="53" s="1"/>
  <c r="I202" i="53"/>
  <c r="Q201" i="53"/>
  <c r="J202" i="53"/>
  <c r="P202" i="53"/>
  <c r="G202" i="53"/>
  <c r="E202" i="53"/>
  <c r="L202" i="53"/>
  <c r="A132" i="32"/>
  <c r="B132" i="32"/>
  <c r="H132" i="32"/>
  <c r="K132" i="32"/>
  <c r="L132" i="32"/>
  <c r="G132" i="32"/>
  <c r="I132" i="32"/>
  <c r="N132" i="32"/>
  <c r="J132" i="32"/>
  <c r="M132" i="32"/>
  <c r="AL132" i="11" a="1"/>
  <c r="AL132" i="11" s="1"/>
  <c r="E133" i="32" s="1"/>
  <c r="O133" i="32" s="1"/>
  <c r="AM17" i="11" a="1"/>
  <c r="AM17" i="11" s="1"/>
  <c r="U132" i="32" l="1"/>
  <c r="F133" i="32"/>
  <c r="AU133" i="32"/>
  <c r="AT131" i="32"/>
  <c r="AD131" i="32"/>
  <c r="AG131" i="32" s="1"/>
  <c r="AH131" i="32" s="1"/>
  <c r="AC203" i="53"/>
  <c r="O203" i="53"/>
  <c r="Q132" i="32"/>
  <c r="P132" i="32" s="1"/>
  <c r="N203" i="53"/>
  <c r="T133" i="32"/>
  <c r="AA201" i="53"/>
  <c r="AM132" i="32"/>
  <c r="W131" i="32"/>
  <c r="X131" i="32" s="1"/>
  <c r="C131" i="32"/>
  <c r="AJ131" i="32"/>
  <c r="S132" i="32"/>
  <c r="Z132" i="32" s="1"/>
  <c r="V131" i="32"/>
  <c r="AF201" i="53"/>
  <c r="AE202" i="53"/>
  <c r="AK133" i="32"/>
  <c r="AL130" i="32"/>
  <c r="AI129" i="32"/>
  <c r="AN129" i="32" s="1"/>
  <c r="R202" i="53"/>
  <c r="X202" i="53" s="1"/>
  <c r="AB202" i="53" s="1"/>
  <c r="AT202" i="53"/>
  <c r="AG202" i="53"/>
  <c r="I203" i="53"/>
  <c r="Q202" i="53"/>
  <c r="AD202" i="53"/>
  <c r="J203" i="53"/>
  <c r="D203" i="53"/>
  <c r="C203" i="53"/>
  <c r="F203" i="53"/>
  <c r="E203" i="53"/>
  <c r="L203" i="53"/>
  <c r="H203" i="53"/>
  <c r="K203" i="53"/>
  <c r="AH203" i="53" s="1"/>
  <c r="G203" i="53"/>
  <c r="AK202" i="52" a="1"/>
  <c r="AK202" i="52" s="1"/>
  <c r="B204" i="53" s="1"/>
  <c r="P203" i="53"/>
  <c r="A133" i="32"/>
  <c r="B133" i="32"/>
  <c r="N133" i="32"/>
  <c r="I133" i="32"/>
  <c r="J133" i="32"/>
  <c r="M133" i="32"/>
  <c r="G133" i="32"/>
  <c r="L133" i="32"/>
  <c r="H133" i="32"/>
  <c r="K133" i="32"/>
  <c r="AL133" i="11" a="1"/>
  <c r="AL133" i="11" s="1"/>
  <c r="E134" i="32" s="1"/>
  <c r="O134" i="32" s="1"/>
  <c r="AM18" i="11" a="1"/>
  <c r="AM18" i="11" s="1"/>
  <c r="U133" i="32" l="1"/>
  <c r="F134" i="32"/>
  <c r="AU134" i="32"/>
  <c r="AT132" i="32"/>
  <c r="AD132" i="32"/>
  <c r="AG132" i="32" s="1"/>
  <c r="AH132" i="32" s="1"/>
  <c r="AC204" i="53"/>
  <c r="O204" i="53"/>
  <c r="Q133" i="32"/>
  <c r="P133" i="32" s="1"/>
  <c r="N204" i="53"/>
  <c r="T134" i="32"/>
  <c r="AA202" i="53"/>
  <c r="AM133" i="32"/>
  <c r="C132" i="32"/>
  <c r="AJ132" i="32"/>
  <c r="W132" i="32"/>
  <c r="X132" i="32" s="1"/>
  <c r="S133" i="32"/>
  <c r="Z133" i="32" s="1"/>
  <c r="V132" i="32"/>
  <c r="AF202" i="53"/>
  <c r="AE203" i="53"/>
  <c r="AK134" i="32"/>
  <c r="AL131" i="32"/>
  <c r="R203" i="53"/>
  <c r="X203" i="53" s="1"/>
  <c r="AB203" i="53" s="1"/>
  <c r="AI130" i="32"/>
  <c r="AN130" i="32" s="1"/>
  <c r="AT203" i="53"/>
  <c r="AG203" i="53"/>
  <c r="Q203" i="53"/>
  <c r="AD203" i="53"/>
  <c r="J204" i="53"/>
  <c r="H204" i="53"/>
  <c r="P204" i="53"/>
  <c r="F204" i="53"/>
  <c r="L204" i="53"/>
  <c r="G204" i="53"/>
  <c r="I204" i="53"/>
  <c r="AK203" i="52" a="1"/>
  <c r="AK203" i="52" s="1"/>
  <c r="B205" i="53" s="1"/>
  <c r="D204" i="53"/>
  <c r="C204" i="53"/>
  <c r="K204" i="53"/>
  <c r="AH204" i="53" s="1"/>
  <c r="E204" i="53"/>
  <c r="A134" i="32"/>
  <c r="B134" i="32"/>
  <c r="L134" i="32"/>
  <c r="G134" i="32"/>
  <c r="H134" i="32"/>
  <c r="K134" i="32"/>
  <c r="J134" i="32"/>
  <c r="M134" i="32"/>
  <c r="I134" i="32"/>
  <c r="N134" i="32"/>
  <c r="AL134" i="11" a="1"/>
  <c r="AL134" i="11" s="1"/>
  <c r="E135" i="32" s="1"/>
  <c r="O135" i="32" s="1"/>
  <c r="AM19" i="11" a="1"/>
  <c r="AM19" i="11" s="1"/>
  <c r="U134" i="32" l="1"/>
  <c r="F135" i="32"/>
  <c r="AU135" i="32"/>
  <c r="AT133" i="32"/>
  <c r="AD133" i="32"/>
  <c r="AG133" i="32" s="1"/>
  <c r="AH133" i="32" s="1"/>
  <c r="AC205" i="53"/>
  <c r="O205" i="53"/>
  <c r="Q134" i="32"/>
  <c r="P134" i="32" s="1"/>
  <c r="N205" i="53"/>
  <c r="T135" i="32"/>
  <c r="AA203" i="53"/>
  <c r="AM134" i="32"/>
  <c r="C133" i="32"/>
  <c r="AJ133" i="32"/>
  <c r="W133" i="32"/>
  <c r="X133" i="32" s="1"/>
  <c r="S134" i="32"/>
  <c r="Z134" i="32" s="1"/>
  <c r="V133" i="32"/>
  <c r="AE204" i="53"/>
  <c r="AF203" i="53"/>
  <c r="AK135" i="32"/>
  <c r="AL132" i="32"/>
  <c r="AI131" i="32"/>
  <c r="AN131" i="32" s="1"/>
  <c r="R204" i="53"/>
  <c r="X204" i="53" s="1"/>
  <c r="AB204" i="53" s="1"/>
  <c r="AG204" i="53"/>
  <c r="AT204" i="53"/>
  <c r="AD204" i="53"/>
  <c r="Q204" i="53"/>
  <c r="H205" i="53"/>
  <c r="K205" i="53"/>
  <c r="AH205" i="53" s="1"/>
  <c r="L205" i="53"/>
  <c r="D205" i="53"/>
  <c r="C205" i="53"/>
  <c r="AK204" i="52" a="1"/>
  <c r="AK204" i="52" s="1"/>
  <c r="B206" i="53" s="1"/>
  <c r="P205" i="53"/>
  <c r="E205" i="53"/>
  <c r="G205" i="53"/>
  <c r="F205" i="53"/>
  <c r="J205" i="53"/>
  <c r="I205" i="53"/>
  <c r="A135" i="32"/>
  <c r="B135" i="32"/>
  <c r="J135" i="32"/>
  <c r="M135" i="32"/>
  <c r="N135" i="32"/>
  <c r="I135" i="32"/>
  <c r="K135" i="32"/>
  <c r="H135" i="32"/>
  <c r="L135" i="32"/>
  <c r="G135" i="32"/>
  <c r="AL135" i="11" a="1"/>
  <c r="AL135" i="11" s="1"/>
  <c r="E136" i="32" s="1"/>
  <c r="O136" i="32" s="1"/>
  <c r="AM20" i="11" a="1"/>
  <c r="AM20" i="11" s="1"/>
  <c r="U135" i="32" l="1"/>
  <c r="F136" i="32"/>
  <c r="AU136" i="32"/>
  <c r="AT134" i="32"/>
  <c r="AD134" i="32"/>
  <c r="AG134" i="32" s="1"/>
  <c r="AH134" i="32" s="1"/>
  <c r="AC206" i="53"/>
  <c r="O206" i="53"/>
  <c r="Q135" i="32"/>
  <c r="P135" i="32" s="1"/>
  <c r="N206" i="53"/>
  <c r="T136" i="32"/>
  <c r="AA204" i="53"/>
  <c r="AM135" i="32"/>
  <c r="C134" i="32"/>
  <c r="AJ134" i="32"/>
  <c r="W134" i="32"/>
  <c r="X134" i="32" s="1"/>
  <c r="S135" i="32"/>
  <c r="Z135" i="32" s="1"/>
  <c r="V134" i="32"/>
  <c r="AF204" i="53"/>
  <c r="AE205" i="53"/>
  <c r="AK136" i="32"/>
  <c r="AL133" i="32"/>
  <c r="R205" i="53"/>
  <c r="X205" i="53" s="1"/>
  <c r="AB205" i="53" s="1"/>
  <c r="AI132" i="32"/>
  <c r="AN132" i="32" s="1"/>
  <c r="AT205" i="53"/>
  <c r="AG205" i="53"/>
  <c r="J206" i="53"/>
  <c r="Q205" i="53"/>
  <c r="AD205" i="53"/>
  <c r="D206" i="53"/>
  <c r="P206" i="53"/>
  <c r="F206" i="53"/>
  <c r="G206" i="53"/>
  <c r="K206" i="53"/>
  <c r="AH206" i="53" s="1"/>
  <c r="H206" i="53"/>
  <c r="E206" i="53"/>
  <c r="C206" i="53"/>
  <c r="AK205" i="52" a="1"/>
  <c r="AK205" i="52" s="1"/>
  <c r="B207" i="53" s="1"/>
  <c r="L206" i="53"/>
  <c r="I206" i="53"/>
  <c r="A136" i="32"/>
  <c r="B136" i="32"/>
  <c r="H136" i="32"/>
  <c r="K136" i="32"/>
  <c r="L136" i="32"/>
  <c r="G136" i="32"/>
  <c r="I136" i="32"/>
  <c r="N136" i="32"/>
  <c r="J136" i="32"/>
  <c r="M136" i="32"/>
  <c r="AL136" i="11" a="1"/>
  <c r="AL136" i="11" s="1"/>
  <c r="AM21" i="11" a="1"/>
  <c r="AM21" i="11" s="1"/>
  <c r="U136" i="32" l="1"/>
  <c r="AT135" i="32"/>
  <c r="AD135" i="32"/>
  <c r="AG135" i="32" s="1"/>
  <c r="AH135" i="32" s="1"/>
  <c r="AC207" i="53"/>
  <c r="O207" i="53"/>
  <c r="Q136" i="32"/>
  <c r="P136" i="32" s="1"/>
  <c r="N207" i="53"/>
  <c r="AA205" i="53"/>
  <c r="AM136" i="32"/>
  <c r="C135" i="32"/>
  <c r="W135" i="32"/>
  <c r="X135" i="32" s="1"/>
  <c r="AJ135" i="32"/>
  <c r="S136" i="32"/>
  <c r="Z136" i="32" s="1"/>
  <c r="V135" i="32"/>
  <c r="AE206" i="53"/>
  <c r="AF205" i="53"/>
  <c r="AL134" i="32"/>
  <c r="R206" i="53"/>
  <c r="X206" i="53" s="1"/>
  <c r="AB206" i="53" s="1"/>
  <c r="AI133" i="32"/>
  <c r="AN133" i="32" s="1"/>
  <c r="AT206" i="53"/>
  <c r="AG206" i="53"/>
  <c r="AD206" i="53"/>
  <c r="Q206" i="53"/>
  <c r="F207" i="53"/>
  <c r="P207" i="53"/>
  <c r="C207" i="53"/>
  <c r="G207" i="53"/>
  <c r="I207" i="53"/>
  <c r="E207" i="53"/>
  <c r="K207" i="53"/>
  <c r="AH207" i="53" s="1"/>
  <c r="H207" i="53"/>
  <c r="D207" i="53"/>
  <c r="AK206" i="52" a="1"/>
  <c r="AK206" i="52" s="1"/>
  <c r="B208" i="53" s="1"/>
  <c r="J207" i="53"/>
  <c r="L207" i="53"/>
  <c r="E137" i="32"/>
  <c r="O137" i="32" s="1"/>
  <c r="AL137" i="11" a="1"/>
  <c r="AL137" i="11" s="1"/>
  <c r="E138" i="32" s="1"/>
  <c r="O138" i="32" s="1"/>
  <c r="AM22" i="11" a="1"/>
  <c r="AM22" i="11" s="1"/>
  <c r="F138" i="32" l="1"/>
  <c r="AU138" i="32"/>
  <c r="F137" i="32"/>
  <c r="AU137" i="32"/>
  <c r="AT136" i="32"/>
  <c r="AD136" i="32"/>
  <c r="AG136" i="32" s="1"/>
  <c r="AH136" i="32" s="1"/>
  <c r="AC208" i="53"/>
  <c r="O208" i="53"/>
  <c r="N208" i="53"/>
  <c r="T138" i="32"/>
  <c r="T137" i="32"/>
  <c r="AA206" i="53"/>
  <c r="C136" i="32"/>
  <c r="W136" i="32"/>
  <c r="X136" i="32" s="1"/>
  <c r="AJ136" i="32"/>
  <c r="V136" i="32"/>
  <c r="AF206" i="53"/>
  <c r="AE207" i="53"/>
  <c r="AK137" i="32"/>
  <c r="AK138" i="32"/>
  <c r="AL135" i="32"/>
  <c r="AI134" i="32"/>
  <c r="AN134" i="32" s="1"/>
  <c r="R207" i="53"/>
  <c r="X207" i="53" s="1"/>
  <c r="AB207" i="53" s="1"/>
  <c r="AT207" i="53"/>
  <c r="AG207" i="53"/>
  <c r="L208" i="53"/>
  <c r="AD207" i="53"/>
  <c r="Q207" i="53"/>
  <c r="AK207" i="52" a="1"/>
  <c r="AK207" i="52" s="1"/>
  <c r="B209" i="53" s="1"/>
  <c r="C208" i="53"/>
  <c r="E208" i="53"/>
  <c r="P208" i="53"/>
  <c r="G208" i="53"/>
  <c r="H208" i="53"/>
  <c r="J208" i="53"/>
  <c r="K208" i="53"/>
  <c r="AH208" i="53" s="1"/>
  <c r="I208" i="53"/>
  <c r="D208" i="53"/>
  <c r="F208" i="53"/>
  <c r="A138" i="32"/>
  <c r="B138" i="32"/>
  <c r="A137" i="32"/>
  <c r="B137" i="32"/>
  <c r="L138" i="32"/>
  <c r="G138" i="32"/>
  <c r="H138" i="32"/>
  <c r="K138" i="32"/>
  <c r="M138" i="32"/>
  <c r="J138" i="32"/>
  <c r="N138" i="32"/>
  <c r="I138" i="32"/>
  <c r="N137" i="32"/>
  <c r="I137" i="32"/>
  <c r="J137" i="32"/>
  <c r="M137" i="32"/>
  <c r="G137" i="32"/>
  <c r="L137" i="32"/>
  <c r="H137" i="32"/>
  <c r="K137" i="32"/>
  <c r="AL138" i="11" a="1"/>
  <c r="AL138" i="11" s="1"/>
  <c r="E139" i="32" s="1"/>
  <c r="O139" i="32" s="1"/>
  <c r="AM23" i="11" a="1"/>
  <c r="AM23" i="11" s="1"/>
  <c r="U137" i="32" l="1"/>
  <c r="U138" i="32"/>
  <c r="F139" i="32"/>
  <c r="AU139" i="32"/>
  <c r="AC209" i="53"/>
  <c r="O209" i="53"/>
  <c r="Q137" i="32"/>
  <c r="P137" i="32" s="1"/>
  <c r="Q138" i="32"/>
  <c r="P138" i="32" s="1"/>
  <c r="N209" i="53"/>
  <c r="T139" i="32"/>
  <c r="AA207" i="53"/>
  <c r="AM137" i="32"/>
  <c r="AM138" i="32"/>
  <c r="S138" i="32"/>
  <c r="Z138" i="32" s="1"/>
  <c r="S137" i="32"/>
  <c r="Z137" i="32" s="1"/>
  <c r="AE208" i="53"/>
  <c r="AF207" i="53"/>
  <c r="AK139" i="32"/>
  <c r="AL136" i="32"/>
  <c r="R208" i="53"/>
  <c r="X208" i="53" s="1"/>
  <c r="AB208" i="53" s="1"/>
  <c r="AI135" i="32"/>
  <c r="AN135" i="32" s="1"/>
  <c r="AT208" i="53"/>
  <c r="AG208" i="53"/>
  <c r="I209" i="53"/>
  <c r="Q208" i="53"/>
  <c r="AD208" i="53"/>
  <c r="L209" i="53"/>
  <c r="G209" i="53"/>
  <c r="C209" i="53"/>
  <c r="F209" i="53"/>
  <c r="E209" i="53"/>
  <c r="H209" i="53"/>
  <c r="P209" i="53"/>
  <c r="AK208" i="52" a="1"/>
  <c r="AK208" i="52" s="1"/>
  <c r="B210" i="53" s="1"/>
  <c r="J209" i="53"/>
  <c r="D209" i="53"/>
  <c r="K209" i="53"/>
  <c r="AH209" i="53" s="1"/>
  <c r="A139" i="32"/>
  <c r="B139" i="32"/>
  <c r="J139" i="32"/>
  <c r="M139" i="32"/>
  <c r="N139" i="32"/>
  <c r="I139" i="32"/>
  <c r="H139" i="32"/>
  <c r="K139" i="32"/>
  <c r="G139" i="32"/>
  <c r="L139" i="32"/>
  <c r="AL139" i="11" a="1"/>
  <c r="AL139" i="11" s="1"/>
  <c r="E140" i="32" s="1"/>
  <c r="O140" i="32" s="1"/>
  <c r="AM24" i="11" a="1"/>
  <c r="AM24" i="11" s="1"/>
  <c r="U139" i="32" l="1"/>
  <c r="F140" i="32"/>
  <c r="AU140" i="32"/>
  <c r="AT137" i="32"/>
  <c r="AT138" i="32"/>
  <c r="AD138" i="32"/>
  <c r="AG138" i="32" s="1"/>
  <c r="AH138" i="32" s="1"/>
  <c r="AD137" i="32"/>
  <c r="AG137" i="32" s="1"/>
  <c r="AH137" i="32" s="1"/>
  <c r="AC210" i="53"/>
  <c r="O210" i="53"/>
  <c r="Q139" i="32"/>
  <c r="P139" i="32" s="1"/>
  <c r="N210" i="53"/>
  <c r="T140" i="32"/>
  <c r="AA208" i="53"/>
  <c r="AM139" i="32"/>
  <c r="W137" i="32"/>
  <c r="X137" i="32" s="1"/>
  <c r="C137" i="32"/>
  <c r="AJ137" i="32"/>
  <c r="C138" i="32"/>
  <c r="AJ138" i="32"/>
  <c r="W138" i="32"/>
  <c r="X138" i="32" s="1"/>
  <c r="S139" i="32"/>
  <c r="V138" i="32"/>
  <c r="V137" i="32"/>
  <c r="AE209" i="53"/>
  <c r="AF208" i="53"/>
  <c r="AK140" i="32"/>
  <c r="AI136" i="32"/>
  <c r="AN136" i="32" s="1"/>
  <c r="R209" i="53"/>
  <c r="X209" i="53" s="1"/>
  <c r="AB209" i="53" s="1"/>
  <c r="AT209" i="53"/>
  <c r="AG209" i="53"/>
  <c r="AD209" i="53"/>
  <c r="Q209" i="53"/>
  <c r="K210" i="53"/>
  <c r="AH210" i="53" s="1"/>
  <c r="I210" i="53"/>
  <c r="G210" i="53"/>
  <c r="AK209" i="52" a="1"/>
  <c r="AK209" i="52" s="1"/>
  <c r="B211" i="53" s="1"/>
  <c r="F210" i="53"/>
  <c r="L210" i="53"/>
  <c r="E210" i="53"/>
  <c r="C210" i="53"/>
  <c r="H210" i="53"/>
  <c r="J210" i="53"/>
  <c r="P210" i="53"/>
  <c r="D210" i="53"/>
  <c r="A140" i="32"/>
  <c r="B140" i="32"/>
  <c r="H140" i="32"/>
  <c r="K140" i="32"/>
  <c r="L140" i="32"/>
  <c r="G140" i="32"/>
  <c r="I140" i="32"/>
  <c r="N140" i="32"/>
  <c r="J140" i="32"/>
  <c r="M140" i="32"/>
  <c r="AL140" i="11" a="1"/>
  <c r="AL140" i="11" s="1"/>
  <c r="E141" i="32" s="1"/>
  <c r="O141" i="32" s="1"/>
  <c r="AM25" i="11" a="1"/>
  <c r="AM25" i="11" s="1"/>
  <c r="U140" i="32" l="1"/>
  <c r="AD139" i="32"/>
  <c r="AG139" i="32" s="1"/>
  <c r="AH139" i="32" s="1"/>
  <c r="F141" i="32"/>
  <c r="AU141" i="32"/>
  <c r="AT139" i="32"/>
  <c r="AC211" i="53"/>
  <c r="O211" i="53"/>
  <c r="Q140" i="32"/>
  <c r="P140" i="32" s="1"/>
  <c r="N211" i="53"/>
  <c r="T141" i="32"/>
  <c r="AA209" i="53"/>
  <c r="C139" i="32"/>
  <c r="Z139" i="32"/>
  <c r="AM140" i="32"/>
  <c r="S140" i="32"/>
  <c r="Z140" i="32" s="1"/>
  <c r="W139" i="32"/>
  <c r="X139" i="32" s="1"/>
  <c r="AJ139" i="32"/>
  <c r="V139" i="32"/>
  <c r="AF209" i="53"/>
  <c r="AE210" i="53"/>
  <c r="AK141" i="32"/>
  <c r="AL138" i="32"/>
  <c r="AL137" i="32"/>
  <c r="R210" i="53"/>
  <c r="X210" i="53" s="1"/>
  <c r="AB210" i="53" s="1"/>
  <c r="AT210" i="53"/>
  <c r="AG210" i="53"/>
  <c r="F211" i="53"/>
  <c r="Q210" i="53"/>
  <c r="AD210" i="53"/>
  <c r="AK210" i="52" a="1"/>
  <c r="AK210" i="52" s="1"/>
  <c r="B212" i="53" s="1"/>
  <c r="K211" i="53"/>
  <c r="AH211" i="53" s="1"/>
  <c r="L211" i="53"/>
  <c r="J211" i="53"/>
  <c r="H211" i="53"/>
  <c r="I211" i="53"/>
  <c r="P211" i="53"/>
  <c r="C211" i="53"/>
  <c r="E211" i="53"/>
  <c r="G211" i="53"/>
  <c r="D211" i="53"/>
  <c r="A141" i="32"/>
  <c r="B141" i="32"/>
  <c r="N141" i="32"/>
  <c r="I141" i="32"/>
  <c r="J141" i="32"/>
  <c r="M141" i="32"/>
  <c r="G141" i="32"/>
  <c r="L141" i="32"/>
  <c r="H141" i="32"/>
  <c r="K141" i="32"/>
  <c r="AL141" i="11" a="1"/>
  <c r="AL141" i="11" s="1"/>
  <c r="E142" i="32" s="1"/>
  <c r="O142" i="32" s="1"/>
  <c r="AM26" i="11" a="1"/>
  <c r="AM26" i="11" s="1"/>
  <c r="U141" i="32" l="1"/>
  <c r="F142" i="32"/>
  <c r="AU142" i="32"/>
  <c r="AT140" i="32"/>
  <c r="AD140" i="32"/>
  <c r="AG140" i="32" s="1"/>
  <c r="AH140" i="32" s="1"/>
  <c r="AC212" i="53"/>
  <c r="O212" i="53"/>
  <c r="Q141" i="32"/>
  <c r="P141" i="32" s="1"/>
  <c r="N212" i="53"/>
  <c r="T142" i="32"/>
  <c r="AA210" i="53"/>
  <c r="AM141" i="32"/>
  <c r="AJ140" i="32"/>
  <c r="W140" i="32"/>
  <c r="X140" i="32" s="1"/>
  <c r="C140" i="32"/>
  <c r="S141" i="32"/>
  <c r="V140" i="32"/>
  <c r="AF210" i="53"/>
  <c r="AE211" i="53"/>
  <c r="AK142" i="32"/>
  <c r="AL139" i="32"/>
  <c r="AI137" i="32"/>
  <c r="AN137" i="32" s="1"/>
  <c r="AI138" i="32"/>
  <c r="AN138" i="32" s="1"/>
  <c r="R211" i="53"/>
  <c r="X211" i="53" s="1"/>
  <c r="AB211" i="53" s="1"/>
  <c r="AT211" i="53"/>
  <c r="AG211" i="53"/>
  <c r="AD211" i="53"/>
  <c r="Q211" i="53"/>
  <c r="AK211" i="52" a="1"/>
  <c r="AK211" i="52" s="1"/>
  <c r="B213" i="53" s="1"/>
  <c r="J212" i="53"/>
  <c r="L212" i="53"/>
  <c r="H212" i="53"/>
  <c r="C212" i="53"/>
  <c r="E212" i="53"/>
  <c r="D212" i="53"/>
  <c r="G212" i="53"/>
  <c r="K212" i="53"/>
  <c r="AH212" i="53" s="1"/>
  <c r="F212" i="53"/>
  <c r="P212" i="53"/>
  <c r="I212" i="53"/>
  <c r="A142" i="32"/>
  <c r="B142" i="32"/>
  <c r="L142" i="32"/>
  <c r="G142" i="32"/>
  <c r="H142" i="32"/>
  <c r="K142" i="32"/>
  <c r="J142" i="32"/>
  <c r="M142" i="32"/>
  <c r="I142" i="32"/>
  <c r="N142" i="32"/>
  <c r="AL142" i="11" a="1"/>
  <c r="AL142" i="11" s="1"/>
  <c r="E143" i="32" s="1"/>
  <c r="O143" i="32" s="1"/>
  <c r="AM27" i="11" a="1"/>
  <c r="AM27" i="11" s="1"/>
  <c r="U142" i="32" l="1"/>
  <c r="AD141" i="32"/>
  <c r="AG141" i="32" s="1"/>
  <c r="AH141" i="32" s="1"/>
  <c r="F143" i="32"/>
  <c r="AU143" i="32"/>
  <c r="AT141" i="32"/>
  <c r="AC213" i="53"/>
  <c r="O213" i="53"/>
  <c r="Q142" i="32"/>
  <c r="P142" i="32" s="1"/>
  <c r="N213" i="53"/>
  <c r="T143" i="32"/>
  <c r="AA211" i="53"/>
  <c r="C141" i="32"/>
  <c r="Z141" i="32"/>
  <c r="AM142" i="32"/>
  <c r="W141" i="32"/>
  <c r="X141" i="32" s="1"/>
  <c r="S142" i="32"/>
  <c r="Z142" i="32" s="1"/>
  <c r="AJ141" i="32"/>
  <c r="V141" i="32"/>
  <c r="AF211" i="53"/>
  <c r="AE212" i="53"/>
  <c r="AK143" i="32"/>
  <c r="AL140" i="32"/>
  <c r="AI139" i="32"/>
  <c r="AN139" i="32" s="1"/>
  <c r="R212" i="53"/>
  <c r="X212" i="53" s="1"/>
  <c r="AB212" i="53" s="1"/>
  <c r="AT212" i="53"/>
  <c r="AG212" i="53"/>
  <c r="Q212" i="53"/>
  <c r="AD212" i="53"/>
  <c r="L213" i="53"/>
  <c r="E213" i="53"/>
  <c r="J213" i="53"/>
  <c r="H213" i="53"/>
  <c r="P213" i="53"/>
  <c r="I213" i="53"/>
  <c r="G213" i="53"/>
  <c r="K213" i="53"/>
  <c r="AH213" i="53" s="1"/>
  <c r="C213" i="53"/>
  <c r="AK212" i="52" a="1"/>
  <c r="AK212" i="52" s="1"/>
  <c r="B214" i="53" s="1"/>
  <c r="D213" i="53"/>
  <c r="F213" i="53"/>
  <c r="A143" i="32"/>
  <c r="B143" i="32"/>
  <c r="J143" i="32"/>
  <c r="M143" i="32"/>
  <c r="N143" i="32"/>
  <c r="I143" i="32"/>
  <c r="K143" i="32"/>
  <c r="H143" i="32"/>
  <c r="G143" i="32"/>
  <c r="L143" i="32"/>
  <c r="AL143" i="11" a="1"/>
  <c r="AL143" i="11" s="1"/>
  <c r="E144" i="32" s="1"/>
  <c r="O144" i="32" s="1"/>
  <c r="AM28" i="11" a="1"/>
  <c r="AM28" i="11" s="1"/>
  <c r="U143" i="32" l="1"/>
  <c r="F144" i="32"/>
  <c r="AU144" i="32"/>
  <c r="AT142" i="32"/>
  <c r="AD142" i="32"/>
  <c r="AG142" i="32" s="1"/>
  <c r="AH142" i="32" s="1"/>
  <c r="AC214" i="53"/>
  <c r="O214" i="53"/>
  <c r="Q143" i="32"/>
  <c r="P143" i="32" s="1"/>
  <c r="N214" i="53"/>
  <c r="T144" i="32"/>
  <c r="AA212" i="53"/>
  <c r="AM143" i="32"/>
  <c r="AJ142" i="32"/>
  <c r="W142" i="32"/>
  <c r="X142" i="32" s="1"/>
  <c r="C142" i="32"/>
  <c r="S143" i="32"/>
  <c r="Z143" i="32" s="1"/>
  <c r="V142" i="32"/>
  <c r="AE213" i="53"/>
  <c r="AF212" i="53"/>
  <c r="AK144" i="32"/>
  <c r="AL141" i="32"/>
  <c r="AI140" i="32"/>
  <c r="AN140" i="32" s="1"/>
  <c r="R213" i="53"/>
  <c r="X213" i="53" s="1"/>
  <c r="AB213" i="53" s="1"/>
  <c r="AT213" i="53"/>
  <c r="AG213" i="53"/>
  <c r="AD213" i="53"/>
  <c r="Q213" i="53"/>
  <c r="F214" i="53"/>
  <c r="H214" i="53"/>
  <c r="C214" i="53"/>
  <c r="J214" i="53"/>
  <c r="P214" i="53"/>
  <c r="E214" i="53"/>
  <c r="K214" i="53"/>
  <c r="AH214" i="53" s="1"/>
  <c r="L214" i="53"/>
  <c r="I214" i="53"/>
  <c r="AK213" i="52" a="1"/>
  <c r="AK213" i="52" s="1"/>
  <c r="B215" i="53" s="1"/>
  <c r="D214" i="53"/>
  <c r="G214" i="53"/>
  <c r="A144" i="32"/>
  <c r="B144" i="32"/>
  <c r="H144" i="32"/>
  <c r="K144" i="32"/>
  <c r="L144" i="32"/>
  <c r="G144" i="32"/>
  <c r="I144" i="32"/>
  <c r="N144" i="32"/>
  <c r="J144" i="32"/>
  <c r="M144" i="32"/>
  <c r="AL144" i="11" a="1"/>
  <c r="AL144" i="11" s="1"/>
  <c r="AM29" i="11" a="1"/>
  <c r="AM29" i="11" s="1"/>
  <c r="U144" i="32" l="1"/>
  <c r="AT143" i="32"/>
  <c r="AD143" i="32"/>
  <c r="AG143" i="32" s="1"/>
  <c r="AH143" i="32" s="1"/>
  <c r="AC215" i="53"/>
  <c r="O215" i="53"/>
  <c r="Q144" i="32"/>
  <c r="P144" i="32" s="1"/>
  <c r="N215" i="53"/>
  <c r="AA213" i="53"/>
  <c r="AM144" i="32"/>
  <c r="C143" i="32"/>
  <c r="AJ143" i="32"/>
  <c r="W143" i="32"/>
  <c r="X143" i="32" s="1"/>
  <c r="S144" i="32"/>
  <c r="Z144" i="32" s="1"/>
  <c r="V143" i="32"/>
  <c r="AE214" i="53"/>
  <c r="AF213" i="53"/>
  <c r="AL142" i="32"/>
  <c r="R214" i="53"/>
  <c r="X214" i="53" s="1"/>
  <c r="AB214" i="53" s="1"/>
  <c r="AI141" i="32"/>
  <c r="AN141" i="32" s="1"/>
  <c r="AG214" i="53"/>
  <c r="AT214" i="53"/>
  <c r="L215" i="53"/>
  <c r="AD214" i="53"/>
  <c r="Q214" i="53"/>
  <c r="AK214" i="52" a="1"/>
  <c r="AK214" i="52" s="1"/>
  <c r="B216" i="53" s="1"/>
  <c r="K215" i="53"/>
  <c r="AH215" i="53" s="1"/>
  <c r="I215" i="53"/>
  <c r="H215" i="53"/>
  <c r="G215" i="53"/>
  <c r="F215" i="53"/>
  <c r="E215" i="53"/>
  <c r="D215" i="53"/>
  <c r="J215" i="53"/>
  <c r="C215" i="53"/>
  <c r="P215" i="53"/>
  <c r="E145" i="32"/>
  <c r="O145" i="32" s="1"/>
  <c r="AL145" i="11" a="1"/>
  <c r="AL145" i="11" s="1"/>
  <c r="E146" i="32" s="1"/>
  <c r="O146" i="32" s="1"/>
  <c r="AM30" i="11" a="1"/>
  <c r="AM30" i="11" s="1"/>
  <c r="F145" i="32" l="1"/>
  <c r="AU145" i="32"/>
  <c r="F146" i="32"/>
  <c r="AU146" i="32"/>
  <c r="AT144" i="32"/>
  <c r="AD144" i="32"/>
  <c r="AG144" i="32" s="1"/>
  <c r="AH144" i="32" s="1"/>
  <c r="AC216" i="53"/>
  <c r="O216" i="53"/>
  <c r="N216" i="53"/>
  <c r="T146" i="32"/>
  <c r="T145" i="32"/>
  <c r="AA214" i="53"/>
  <c r="C144" i="32"/>
  <c r="AJ144" i="32"/>
  <c r="W144" i="32"/>
  <c r="X144" i="32" s="1"/>
  <c r="V144" i="32"/>
  <c r="AE215" i="53"/>
  <c r="AF214" i="53"/>
  <c r="AK146" i="32"/>
  <c r="AK145" i="32"/>
  <c r="AL143" i="32"/>
  <c r="AI142" i="32"/>
  <c r="AN142" i="32" s="1"/>
  <c r="R215" i="53"/>
  <c r="X215" i="53" s="1"/>
  <c r="AB215" i="53" s="1"/>
  <c r="AG215" i="53"/>
  <c r="AT215" i="53"/>
  <c r="Q215" i="53"/>
  <c r="AD215" i="53"/>
  <c r="J216" i="53"/>
  <c r="P216" i="53"/>
  <c r="AK215" i="52" a="1"/>
  <c r="AK215" i="52" s="1"/>
  <c r="B217" i="53" s="1"/>
  <c r="F216" i="53"/>
  <c r="L216" i="53"/>
  <c r="D216" i="53"/>
  <c r="H216" i="53"/>
  <c r="K216" i="53"/>
  <c r="AH216" i="53" s="1"/>
  <c r="C216" i="53"/>
  <c r="E216" i="53"/>
  <c r="G216" i="53"/>
  <c r="I216" i="53"/>
  <c r="A146" i="32"/>
  <c r="B146" i="32"/>
  <c r="A145" i="32"/>
  <c r="B145" i="32"/>
  <c r="L146" i="32"/>
  <c r="G146" i="32"/>
  <c r="H146" i="32"/>
  <c r="K146" i="32"/>
  <c r="M146" i="32"/>
  <c r="J146" i="32"/>
  <c r="I146" i="32"/>
  <c r="N146" i="32"/>
  <c r="N145" i="32"/>
  <c r="I145" i="32"/>
  <c r="J145" i="32"/>
  <c r="M145" i="32"/>
  <c r="G145" i="32"/>
  <c r="L145" i="32"/>
  <c r="H145" i="32"/>
  <c r="K145" i="32"/>
  <c r="AL146" i="11" a="1"/>
  <c r="AL146" i="11" s="1"/>
  <c r="E147" i="32" s="1"/>
  <c r="O147" i="32" s="1"/>
  <c r="AM31" i="11" a="1"/>
  <c r="AM31" i="11" s="1"/>
  <c r="U146" i="32" l="1"/>
  <c r="U145" i="32"/>
  <c r="F147" i="32"/>
  <c r="AU147" i="32"/>
  <c r="AC217" i="53"/>
  <c r="O217" i="53"/>
  <c r="Q145" i="32"/>
  <c r="P145" i="32" s="1"/>
  <c r="Q146" i="32"/>
  <c r="P146" i="32" s="1"/>
  <c r="N217" i="53"/>
  <c r="T147" i="32"/>
  <c r="AA215" i="53"/>
  <c r="AM146" i="32"/>
  <c r="AM145" i="32"/>
  <c r="S145" i="32"/>
  <c r="Z145" i="32" s="1"/>
  <c r="S146" i="32"/>
  <c r="Z146" i="32" s="1"/>
  <c r="AE216" i="53"/>
  <c r="AF215" i="53"/>
  <c r="AK147" i="32"/>
  <c r="AL144" i="32"/>
  <c r="AI143" i="32"/>
  <c r="AN143" i="32" s="1"/>
  <c r="R216" i="53"/>
  <c r="X216" i="53" s="1"/>
  <c r="AB216" i="53" s="1"/>
  <c r="AT216" i="53"/>
  <c r="AG216" i="53"/>
  <c r="F217" i="53"/>
  <c r="AD216" i="53"/>
  <c r="Q216" i="53"/>
  <c r="L217" i="53"/>
  <c r="G217" i="53"/>
  <c r="J217" i="53"/>
  <c r="P217" i="53"/>
  <c r="D217" i="53"/>
  <c r="K217" i="53"/>
  <c r="AH217" i="53" s="1"/>
  <c r="AK216" i="52" a="1"/>
  <c r="AK216" i="52" s="1"/>
  <c r="B218" i="53" s="1"/>
  <c r="C217" i="53"/>
  <c r="I217" i="53"/>
  <c r="H217" i="53"/>
  <c r="E217" i="53"/>
  <c r="A147" i="32"/>
  <c r="B147" i="32"/>
  <c r="J147" i="32"/>
  <c r="M147" i="32"/>
  <c r="N147" i="32"/>
  <c r="I147" i="32"/>
  <c r="H147" i="32"/>
  <c r="K147" i="32"/>
  <c r="G147" i="32"/>
  <c r="L147" i="32"/>
  <c r="AL147" i="11" a="1"/>
  <c r="AL147" i="11" s="1"/>
  <c r="E148" i="32" s="1"/>
  <c r="O148" i="32" s="1"/>
  <c r="AM32" i="11" a="1"/>
  <c r="AM32" i="11" s="1"/>
  <c r="U147" i="32" l="1"/>
  <c r="F148" i="32"/>
  <c r="AU148" i="32"/>
  <c r="AT145" i="32"/>
  <c r="AT146" i="32"/>
  <c r="AD146" i="32"/>
  <c r="AG146" i="32" s="1"/>
  <c r="AH146" i="32" s="1"/>
  <c r="AD145" i="32"/>
  <c r="AG145" i="32" s="1"/>
  <c r="AH145" i="32" s="1"/>
  <c r="AC218" i="53"/>
  <c r="O218" i="53"/>
  <c r="Q147" i="32"/>
  <c r="P147" i="32" s="1"/>
  <c r="N218" i="53"/>
  <c r="T148" i="32"/>
  <c r="AA216" i="53"/>
  <c r="AM147" i="32"/>
  <c r="C146" i="32"/>
  <c r="AJ146" i="32"/>
  <c r="W146" i="32"/>
  <c r="X146" i="32" s="1"/>
  <c r="W145" i="32"/>
  <c r="X145" i="32" s="1"/>
  <c r="C145" i="32"/>
  <c r="AJ145" i="32"/>
  <c r="S147" i="32"/>
  <c r="Z147" i="32" s="1"/>
  <c r="V146" i="32"/>
  <c r="V145" i="32"/>
  <c r="AF216" i="53"/>
  <c r="AE217" i="53"/>
  <c r="AK148" i="32"/>
  <c r="AI144" i="32"/>
  <c r="AN144" i="32" s="1"/>
  <c r="R217" i="53"/>
  <c r="X217" i="53" s="1"/>
  <c r="AB217" i="53" s="1"/>
  <c r="AT217" i="53"/>
  <c r="AG217" i="53"/>
  <c r="AD217" i="53"/>
  <c r="Q217" i="53"/>
  <c r="L218" i="53"/>
  <c r="G218" i="53"/>
  <c r="AK217" i="52" a="1"/>
  <c r="AK217" i="52" s="1"/>
  <c r="B219" i="53" s="1"/>
  <c r="D218" i="53"/>
  <c r="I218" i="53"/>
  <c r="F218" i="53"/>
  <c r="H218" i="53"/>
  <c r="E218" i="53"/>
  <c r="C218" i="53"/>
  <c r="P218" i="53"/>
  <c r="J218" i="53"/>
  <c r="K218" i="53"/>
  <c r="AH218" i="53" s="1"/>
  <c r="A148" i="32"/>
  <c r="B148" i="32"/>
  <c r="H148" i="32"/>
  <c r="K148" i="32"/>
  <c r="L148" i="32"/>
  <c r="G148" i="32"/>
  <c r="I148" i="32"/>
  <c r="N148" i="32"/>
  <c r="J148" i="32"/>
  <c r="M148" i="32"/>
  <c r="AL148" i="11" a="1"/>
  <c r="AL148" i="11" s="1"/>
  <c r="E149" i="32" s="1"/>
  <c r="O149" i="32" s="1"/>
  <c r="AM33" i="11" a="1"/>
  <c r="AM33" i="11" s="1"/>
  <c r="U148" i="32" l="1"/>
  <c r="F149" i="32"/>
  <c r="AU149" i="32"/>
  <c r="AT147" i="32"/>
  <c r="AD147" i="32"/>
  <c r="AG147" i="32" s="1"/>
  <c r="AH147" i="32" s="1"/>
  <c r="AC219" i="53"/>
  <c r="O219" i="53"/>
  <c r="Q148" i="32"/>
  <c r="P148" i="32" s="1"/>
  <c r="N219" i="53"/>
  <c r="T149" i="32"/>
  <c r="AA217" i="53"/>
  <c r="AM148" i="32"/>
  <c r="C147" i="32"/>
  <c r="AJ147" i="32"/>
  <c r="W147" i="32"/>
  <c r="X147" i="32" s="1"/>
  <c r="S148" i="32"/>
  <c r="Z148" i="32" s="1"/>
  <c r="V147" i="32"/>
  <c r="AE218" i="53"/>
  <c r="AF217" i="53"/>
  <c r="AK149" i="32"/>
  <c r="AL146" i="32"/>
  <c r="AL145" i="32"/>
  <c r="R218" i="53"/>
  <c r="X218" i="53" s="1"/>
  <c r="AB218" i="53" s="1"/>
  <c r="AT218" i="53"/>
  <c r="AG218" i="53"/>
  <c r="Q218" i="53"/>
  <c r="AD218" i="53"/>
  <c r="H219" i="53"/>
  <c r="P219" i="53"/>
  <c r="L219" i="53"/>
  <c r="K219" i="53"/>
  <c r="AH219" i="53" s="1"/>
  <c r="E219" i="53"/>
  <c r="F219" i="53"/>
  <c r="D219" i="53"/>
  <c r="I219" i="53"/>
  <c r="AK218" i="52" a="1"/>
  <c r="AK218" i="52" s="1"/>
  <c r="B220" i="53" s="1"/>
  <c r="G219" i="53"/>
  <c r="J219" i="53"/>
  <c r="C219" i="53"/>
  <c r="A149" i="32"/>
  <c r="B149" i="32"/>
  <c r="N149" i="32"/>
  <c r="I149" i="32"/>
  <c r="J149" i="32"/>
  <c r="M149" i="32"/>
  <c r="G149" i="32"/>
  <c r="L149" i="32"/>
  <c r="H149" i="32"/>
  <c r="K149" i="32"/>
  <c r="AL149" i="11" a="1"/>
  <c r="AL149" i="11" s="1"/>
  <c r="E150" i="32" s="1"/>
  <c r="O150" i="32" s="1"/>
  <c r="AM34" i="11" a="1"/>
  <c r="AM34" i="11" s="1"/>
  <c r="U149" i="32" l="1"/>
  <c r="F150" i="32"/>
  <c r="AU150" i="32"/>
  <c r="AT148" i="32"/>
  <c r="AD148" i="32"/>
  <c r="AG148" i="32" s="1"/>
  <c r="AH148" i="32" s="1"/>
  <c r="AC220" i="53"/>
  <c r="O220" i="53"/>
  <c r="Q149" i="32"/>
  <c r="P149" i="32" s="1"/>
  <c r="N220" i="53"/>
  <c r="T150" i="32"/>
  <c r="AA218" i="53"/>
  <c r="AM149" i="32"/>
  <c r="C148" i="32"/>
  <c r="AJ148" i="32"/>
  <c r="W148" i="32"/>
  <c r="X148" i="32" s="1"/>
  <c r="S149" i="32"/>
  <c r="Z149" i="32" s="1"/>
  <c r="V148" i="32"/>
  <c r="AE219" i="53"/>
  <c r="AF218" i="53"/>
  <c r="AK150" i="32"/>
  <c r="AL147" i="32"/>
  <c r="AI146" i="32"/>
  <c r="AN146" i="32" s="1"/>
  <c r="R219" i="53"/>
  <c r="X219" i="53" s="1"/>
  <c r="AB219" i="53" s="1"/>
  <c r="AI145" i="32"/>
  <c r="AN145" i="32" s="1"/>
  <c r="AG219" i="53"/>
  <c r="AT219" i="53"/>
  <c r="AD219" i="53"/>
  <c r="AK219" i="52" a="1"/>
  <c r="AK219" i="52" s="1"/>
  <c r="B221" i="53" s="1"/>
  <c r="G220" i="53"/>
  <c r="D220" i="53"/>
  <c r="K220" i="53"/>
  <c r="AH220" i="53" s="1"/>
  <c r="Q219" i="53"/>
  <c r="J220" i="53"/>
  <c r="L220" i="53"/>
  <c r="H220" i="53"/>
  <c r="C220" i="53"/>
  <c r="F220" i="53"/>
  <c r="P220" i="53"/>
  <c r="I220" i="53"/>
  <c r="E220" i="53"/>
  <c r="A150" i="32"/>
  <c r="B150" i="32"/>
  <c r="L150" i="32"/>
  <c r="G150" i="32"/>
  <c r="H150" i="32"/>
  <c r="K150" i="32"/>
  <c r="J150" i="32"/>
  <c r="M150" i="32"/>
  <c r="I150" i="32"/>
  <c r="N150" i="32"/>
  <c r="AL150" i="11" a="1"/>
  <c r="AL150" i="11" s="1"/>
  <c r="E151" i="32" s="1"/>
  <c r="O151" i="32" s="1"/>
  <c r="AM35" i="11" a="1"/>
  <c r="AM35" i="11" s="1"/>
  <c r="U150" i="32" l="1"/>
  <c r="F151" i="32"/>
  <c r="AU151" i="32"/>
  <c r="AT149" i="32"/>
  <c r="AD149" i="32"/>
  <c r="AG149" i="32" s="1"/>
  <c r="AH149" i="32" s="1"/>
  <c r="AC221" i="53"/>
  <c r="O221" i="53"/>
  <c r="Q150" i="32"/>
  <c r="P150" i="32" s="1"/>
  <c r="N221" i="53"/>
  <c r="T151" i="32"/>
  <c r="AA219" i="53"/>
  <c r="AM150" i="32"/>
  <c r="C149" i="32"/>
  <c r="AJ149" i="32"/>
  <c r="W149" i="32"/>
  <c r="X149" i="32" s="1"/>
  <c r="S150" i="32"/>
  <c r="Z150" i="32" s="1"/>
  <c r="V149" i="32"/>
  <c r="AF219" i="53"/>
  <c r="AE220" i="53"/>
  <c r="AK151" i="32"/>
  <c r="AL148" i="32"/>
  <c r="AI147" i="32"/>
  <c r="AN147" i="32" s="1"/>
  <c r="R220" i="53"/>
  <c r="X220" i="53" s="1"/>
  <c r="AB220" i="53" s="1"/>
  <c r="AG220" i="53"/>
  <c r="AT220" i="53"/>
  <c r="P221" i="53"/>
  <c r="AD220" i="53"/>
  <c r="Q220" i="53"/>
  <c r="E221" i="53"/>
  <c r="C221" i="53"/>
  <c r="K221" i="53"/>
  <c r="AH221" i="53" s="1"/>
  <c r="I221" i="53"/>
  <c r="H221" i="53"/>
  <c r="L221" i="53"/>
  <c r="G221" i="53"/>
  <c r="F221" i="53"/>
  <c r="AK220" i="52" a="1"/>
  <c r="AK220" i="52" s="1"/>
  <c r="B222" i="53" s="1"/>
  <c r="J221" i="53"/>
  <c r="D221" i="53"/>
  <c r="A151" i="32"/>
  <c r="B151" i="32"/>
  <c r="J151" i="32"/>
  <c r="M151" i="32"/>
  <c r="N151" i="32"/>
  <c r="I151" i="32"/>
  <c r="K151" i="32"/>
  <c r="H151" i="32"/>
  <c r="L151" i="32"/>
  <c r="G151" i="32"/>
  <c r="AL151" i="11" a="1"/>
  <c r="AL151" i="11" s="1"/>
  <c r="E152" i="32" s="1"/>
  <c r="O152" i="32" s="1"/>
  <c r="AM36" i="11" a="1"/>
  <c r="AM36" i="11" s="1"/>
  <c r="U151" i="32" l="1"/>
  <c r="F152" i="32"/>
  <c r="AU152" i="32"/>
  <c r="AT150" i="32"/>
  <c r="AD150" i="32"/>
  <c r="AG150" i="32" s="1"/>
  <c r="AH150" i="32" s="1"/>
  <c r="AC222" i="53"/>
  <c r="O222" i="53"/>
  <c r="Q151" i="32"/>
  <c r="P151" i="32" s="1"/>
  <c r="N222" i="53"/>
  <c r="T152" i="32"/>
  <c r="AA220" i="53"/>
  <c r="AM151" i="32"/>
  <c r="C150" i="32"/>
  <c r="AJ150" i="32"/>
  <c r="W150" i="32"/>
  <c r="X150" i="32" s="1"/>
  <c r="S151" i="32"/>
  <c r="V150" i="32"/>
  <c r="AE221" i="53"/>
  <c r="AF220" i="53"/>
  <c r="AK152" i="32"/>
  <c r="AL149" i="32"/>
  <c r="AI148" i="32"/>
  <c r="AN148" i="32" s="1"/>
  <c r="R221" i="53"/>
  <c r="X221" i="53" s="1"/>
  <c r="AB221" i="53" s="1"/>
  <c r="AT221" i="53"/>
  <c r="AG221" i="53"/>
  <c r="I222" i="53"/>
  <c r="AD221" i="53"/>
  <c r="Q221" i="53"/>
  <c r="AK221" i="52" a="1"/>
  <c r="AK221" i="52" s="1"/>
  <c r="B223" i="53" s="1"/>
  <c r="C222" i="53"/>
  <c r="G222" i="53"/>
  <c r="L222" i="53"/>
  <c r="F222" i="53"/>
  <c r="D222" i="53"/>
  <c r="P222" i="53"/>
  <c r="E222" i="53"/>
  <c r="H222" i="53"/>
  <c r="J222" i="53"/>
  <c r="K222" i="53"/>
  <c r="AH222" i="53" s="1"/>
  <c r="A152" i="32"/>
  <c r="B152" i="32"/>
  <c r="H152" i="32"/>
  <c r="K152" i="32"/>
  <c r="L152" i="32"/>
  <c r="G152" i="32"/>
  <c r="I152" i="32"/>
  <c r="N152" i="32"/>
  <c r="J152" i="32"/>
  <c r="M152" i="32"/>
  <c r="AL152" i="11" a="1"/>
  <c r="AL152" i="11" s="1"/>
  <c r="E153" i="32" s="1"/>
  <c r="O153" i="32" s="1"/>
  <c r="AM37" i="11" a="1"/>
  <c r="AM37" i="11" s="1"/>
  <c r="U152" i="32" l="1"/>
  <c r="AD151" i="32"/>
  <c r="AG151" i="32" s="1"/>
  <c r="AH151" i="32" s="1"/>
  <c r="F153" i="32"/>
  <c r="AU153" i="32"/>
  <c r="AT151" i="32"/>
  <c r="AC223" i="53"/>
  <c r="O223" i="53"/>
  <c r="Q152" i="32"/>
  <c r="P152" i="32" s="1"/>
  <c r="N223" i="53"/>
  <c r="T153" i="32"/>
  <c r="AA221" i="53"/>
  <c r="C151" i="32"/>
  <c r="Z151" i="32"/>
  <c r="AM152" i="32"/>
  <c r="W151" i="32"/>
  <c r="X151" i="32" s="1"/>
  <c r="S152" i="32"/>
  <c r="Z152" i="32" s="1"/>
  <c r="AJ151" i="32"/>
  <c r="V151" i="32"/>
  <c r="AF221" i="53"/>
  <c r="AE222" i="53"/>
  <c r="AK153" i="32"/>
  <c r="AL150" i="32"/>
  <c r="AI149" i="32"/>
  <c r="AN149" i="32" s="1"/>
  <c r="R222" i="53"/>
  <c r="X222" i="53" s="1"/>
  <c r="AB222" i="53" s="1"/>
  <c r="AT222" i="53"/>
  <c r="AG222" i="53"/>
  <c r="H223" i="53"/>
  <c r="AD222" i="53"/>
  <c r="Q222" i="53"/>
  <c r="AK222" i="52" a="1"/>
  <c r="AK222" i="52" s="1"/>
  <c r="B224" i="53" s="1"/>
  <c r="J223" i="53"/>
  <c r="P223" i="53"/>
  <c r="G223" i="53"/>
  <c r="E223" i="53"/>
  <c r="L223" i="53"/>
  <c r="F223" i="53"/>
  <c r="K223" i="53"/>
  <c r="AH223" i="53" s="1"/>
  <c r="I223" i="53"/>
  <c r="C223" i="53"/>
  <c r="D223" i="53"/>
  <c r="A153" i="32"/>
  <c r="B153" i="32"/>
  <c r="N153" i="32"/>
  <c r="I153" i="32"/>
  <c r="J153" i="32"/>
  <c r="M153" i="32"/>
  <c r="G153" i="32"/>
  <c r="L153" i="32"/>
  <c r="H153" i="32"/>
  <c r="K153" i="32"/>
  <c r="AL153" i="11" a="1"/>
  <c r="AL153" i="11" s="1"/>
  <c r="E154" i="32" s="1"/>
  <c r="O154" i="32" s="1"/>
  <c r="AM38" i="11" a="1"/>
  <c r="AM38" i="11" s="1"/>
  <c r="U153" i="32" l="1"/>
  <c r="F154" i="32"/>
  <c r="AU154" i="32"/>
  <c r="AT152" i="32"/>
  <c r="AD152" i="32"/>
  <c r="AG152" i="32" s="1"/>
  <c r="AH152" i="32" s="1"/>
  <c r="AC224" i="53"/>
  <c r="O224" i="53"/>
  <c r="Q153" i="32"/>
  <c r="P153" i="32" s="1"/>
  <c r="N224" i="53"/>
  <c r="T154" i="32"/>
  <c r="AA222" i="53"/>
  <c r="AM153" i="32"/>
  <c r="AJ152" i="32"/>
  <c r="W152" i="32"/>
  <c r="X152" i="32" s="1"/>
  <c r="C152" i="32"/>
  <c r="S153" i="32"/>
  <c r="V152" i="32"/>
  <c r="AE223" i="53"/>
  <c r="AF222" i="53"/>
  <c r="AK154" i="32"/>
  <c r="AL151" i="32"/>
  <c r="AI150" i="32"/>
  <c r="AN150" i="32" s="1"/>
  <c r="R223" i="53"/>
  <c r="X223" i="53" s="1"/>
  <c r="AB223" i="53" s="1"/>
  <c r="AG223" i="53"/>
  <c r="AT223" i="53"/>
  <c r="AD223" i="53"/>
  <c r="Q223" i="53"/>
  <c r="D224" i="53"/>
  <c r="C224" i="53"/>
  <c r="I224" i="53"/>
  <c r="J224" i="53"/>
  <c r="E224" i="53"/>
  <c r="F224" i="53"/>
  <c r="L224" i="53"/>
  <c r="AK223" i="52" a="1"/>
  <c r="AK223" i="52" s="1"/>
  <c r="B225" i="53" s="1"/>
  <c r="G224" i="53"/>
  <c r="K224" i="53"/>
  <c r="AH224" i="53" s="1"/>
  <c r="P224" i="53"/>
  <c r="H224" i="53"/>
  <c r="A154" i="32"/>
  <c r="B154" i="32"/>
  <c r="L154" i="32"/>
  <c r="G154" i="32"/>
  <c r="H154" i="32"/>
  <c r="K154" i="32"/>
  <c r="M154" i="32"/>
  <c r="J154" i="32"/>
  <c r="N154" i="32"/>
  <c r="I154" i="32"/>
  <c r="AL154" i="11" a="1"/>
  <c r="AL154" i="11" s="1"/>
  <c r="E155" i="32" s="1"/>
  <c r="O155" i="32" s="1"/>
  <c r="AM39" i="11" a="1"/>
  <c r="AM39" i="11" s="1"/>
  <c r="AD153" i="32" l="1"/>
  <c r="AG153" i="32" s="1"/>
  <c r="AH153" i="32" s="1"/>
  <c r="U154" i="32"/>
  <c r="F155" i="32"/>
  <c r="AU155" i="32"/>
  <c r="AT153" i="32"/>
  <c r="AC225" i="53"/>
  <c r="O225" i="53"/>
  <c r="Q154" i="32"/>
  <c r="P154" i="32" s="1"/>
  <c r="N225" i="53"/>
  <c r="T155" i="32"/>
  <c r="AA223" i="53"/>
  <c r="C153" i="32"/>
  <c r="Z153" i="32"/>
  <c r="AM154" i="32"/>
  <c r="S154" i="32"/>
  <c r="Z154" i="32" s="1"/>
  <c r="W153" i="32"/>
  <c r="X153" i="32" s="1"/>
  <c r="AJ153" i="32"/>
  <c r="V153" i="32"/>
  <c r="AE224" i="53"/>
  <c r="AF223" i="53"/>
  <c r="AK155" i="32"/>
  <c r="AL152" i="32"/>
  <c r="AI151" i="32"/>
  <c r="AN151" i="32" s="1"/>
  <c r="R224" i="53"/>
  <c r="X224" i="53" s="1"/>
  <c r="AB224" i="53" s="1"/>
  <c r="AG224" i="53"/>
  <c r="AT224" i="53"/>
  <c r="AD224" i="53"/>
  <c r="Q224" i="53"/>
  <c r="G225" i="53"/>
  <c r="P225" i="53"/>
  <c r="K225" i="53"/>
  <c r="AH225" i="53" s="1"/>
  <c r="E225" i="53"/>
  <c r="F225" i="53"/>
  <c r="I225" i="53"/>
  <c r="C225" i="53"/>
  <c r="J225" i="53"/>
  <c r="AK224" i="52" a="1"/>
  <c r="AK224" i="52" s="1"/>
  <c r="B226" i="53" s="1"/>
  <c r="L225" i="53"/>
  <c r="D225" i="53"/>
  <c r="H225" i="53"/>
  <c r="A155" i="32"/>
  <c r="B155" i="32"/>
  <c r="J155" i="32"/>
  <c r="M155" i="32"/>
  <c r="N155" i="32"/>
  <c r="I155" i="32"/>
  <c r="H155" i="32"/>
  <c r="K155" i="32"/>
  <c r="G155" i="32"/>
  <c r="L155" i="32"/>
  <c r="AL155" i="11" a="1"/>
  <c r="AL155" i="11" s="1"/>
  <c r="E156" i="32" s="1"/>
  <c r="O156" i="32" s="1"/>
  <c r="AM40" i="11" a="1"/>
  <c r="AM40" i="11" s="1"/>
  <c r="U155" i="32" l="1"/>
  <c r="F156" i="32"/>
  <c r="AU156" i="32"/>
  <c r="AT154" i="32"/>
  <c r="AD154" i="32"/>
  <c r="AG154" i="32" s="1"/>
  <c r="AH154" i="32" s="1"/>
  <c r="AC226" i="53"/>
  <c r="O226" i="53"/>
  <c r="Q155" i="32"/>
  <c r="P155" i="32" s="1"/>
  <c r="N226" i="53"/>
  <c r="T156" i="32"/>
  <c r="AA224" i="53"/>
  <c r="AM155" i="32"/>
  <c r="AJ154" i="32"/>
  <c r="W154" i="32"/>
  <c r="X154" i="32" s="1"/>
  <c r="C154" i="32"/>
  <c r="S155" i="32"/>
  <c r="Z155" i="32" s="1"/>
  <c r="V154" i="32"/>
  <c r="AE225" i="53"/>
  <c r="AF224" i="53"/>
  <c r="AK156" i="32"/>
  <c r="AL153" i="32"/>
  <c r="AI152" i="32"/>
  <c r="AN152" i="32" s="1"/>
  <c r="R225" i="53"/>
  <c r="X225" i="53" s="1"/>
  <c r="AB225" i="53" s="1"/>
  <c r="AT225" i="53"/>
  <c r="AG225" i="53"/>
  <c r="E226" i="53"/>
  <c r="Q225" i="53"/>
  <c r="AD225" i="53"/>
  <c r="AK225" i="52" a="1"/>
  <c r="AK225" i="52" s="1"/>
  <c r="B227" i="53" s="1"/>
  <c r="K226" i="53"/>
  <c r="AH226" i="53" s="1"/>
  <c r="G226" i="53"/>
  <c r="H226" i="53"/>
  <c r="L226" i="53"/>
  <c r="P226" i="53"/>
  <c r="I226" i="53"/>
  <c r="D226" i="53"/>
  <c r="J226" i="53"/>
  <c r="F226" i="53"/>
  <c r="C226" i="53"/>
  <c r="A156" i="32"/>
  <c r="B156" i="32"/>
  <c r="H156" i="32"/>
  <c r="K156" i="32"/>
  <c r="L156" i="32"/>
  <c r="G156" i="32"/>
  <c r="I156" i="32"/>
  <c r="N156" i="32"/>
  <c r="J156" i="32"/>
  <c r="M156" i="32"/>
  <c r="AL156" i="11" a="1"/>
  <c r="AL156" i="11" s="1"/>
  <c r="E157" i="32" s="1"/>
  <c r="O157" i="32" s="1"/>
  <c r="AM41" i="11" a="1"/>
  <c r="AM41" i="11" s="1"/>
  <c r="U156" i="32" l="1"/>
  <c r="F157" i="32"/>
  <c r="AU157" i="32"/>
  <c r="AT155" i="32"/>
  <c r="AD155" i="32"/>
  <c r="AG155" i="32" s="1"/>
  <c r="AH155" i="32" s="1"/>
  <c r="AC227" i="53"/>
  <c r="O227" i="53"/>
  <c r="Q156" i="32"/>
  <c r="P156" i="32" s="1"/>
  <c r="N227" i="53"/>
  <c r="T157" i="32"/>
  <c r="AA225" i="53"/>
  <c r="AM156" i="32"/>
  <c r="C155" i="32"/>
  <c r="W155" i="32"/>
  <c r="X155" i="32" s="1"/>
  <c r="AJ155" i="32"/>
  <c r="S156" i="32"/>
  <c r="Z156" i="32" s="1"/>
  <c r="V155" i="32"/>
  <c r="AE226" i="53"/>
  <c r="AF225" i="53"/>
  <c r="AK157" i="32"/>
  <c r="AL154" i="32"/>
  <c r="AI153" i="32"/>
  <c r="AN153" i="32" s="1"/>
  <c r="R226" i="53"/>
  <c r="X226" i="53" s="1"/>
  <c r="AB226" i="53" s="1"/>
  <c r="AG226" i="53"/>
  <c r="AT226" i="53"/>
  <c r="AD226" i="53"/>
  <c r="Q226" i="53"/>
  <c r="AK226" i="52" a="1"/>
  <c r="AK226" i="52" s="1"/>
  <c r="B228" i="53" s="1"/>
  <c r="P227" i="53"/>
  <c r="E227" i="53"/>
  <c r="I227" i="53"/>
  <c r="G227" i="53"/>
  <c r="J227" i="53"/>
  <c r="D227" i="53"/>
  <c r="L227" i="53"/>
  <c r="K227" i="53"/>
  <c r="AH227" i="53" s="1"/>
  <c r="C227" i="53"/>
  <c r="H227" i="53"/>
  <c r="F227" i="53"/>
  <c r="A157" i="32"/>
  <c r="B157" i="32"/>
  <c r="N157" i="32"/>
  <c r="I157" i="32"/>
  <c r="J157" i="32"/>
  <c r="M157" i="32"/>
  <c r="G157" i="32"/>
  <c r="L157" i="32"/>
  <c r="K157" i="32"/>
  <c r="H157" i="32"/>
  <c r="AL157" i="11" a="1"/>
  <c r="AL157" i="11" s="1"/>
  <c r="E158" i="32" s="1"/>
  <c r="O158" i="32" s="1"/>
  <c r="AM42" i="11" a="1"/>
  <c r="AM42" i="11" s="1"/>
  <c r="U157" i="32" l="1"/>
  <c r="F158" i="32"/>
  <c r="AU158" i="32"/>
  <c r="AT156" i="32"/>
  <c r="AD156" i="32"/>
  <c r="AG156" i="32" s="1"/>
  <c r="AH156" i="32" s="1"/>
  <c r="AC228" i="53"/>
  <c r="O228" i="53"/>
  <c r="Q157" i="32"/>
  <c r="P157" i="32" s="1"/>
  <c r="N228" i="53"/>
  <c r="T158" i="32"/>
  <c r="AA226" i="53"/>
  <c r="AM157" i="32"/>
  <c r="AJ156" i="32"/>
  <c r="W156" i="32"/>
  <c r="X156" i="32" s="1"/>
  <c r="C156" i="32"/>
  <c r="S157" i="32"/>
  <c r="V156" i="32"/>
  <c r="AF226" i="53"/>
  <c r="AE227" i="53"/>
  <c r="AK158" i="32"/>
  <c r="AL155" i="32"/>
  <c r="R227" i="53"/>
  <c r="X227" i="53" s="1"/>
  <c r="AB227" i="53" s="1"/>
  <c r="AI154" i="32"/>
  <c r="AN154" i="32" s="1"/>
  <c r="AT227" i="53"/>
  <c r="AG227" i="53"/>
  <c r="I228" i="53"/>
  <c r="Q227" i="53"/>
  <c r="AD227" i="53"/>
  <c r="F228" i="53"/>
  <c r="K228" i="53"/>
  <c r="AH228" i="53" s="1"/>
  <c r="P228" i="53"/>
  <c r="D228" i="53"/>
  <c r="G228" i="53"/>
  <c r="C228" i="53"/>
  <c r="AK227" i="52" a="1"/>
  <c r="AK227" i="52" s="1"/>
  <c r="B229" i="53" s="1"/>
  <c r="H228" i="53"/>
  <c r="J228" i="53"/>
  <c r="L228" i="53"/>
  <c r="E228" i="53"/>
  <c r="A158" i="32"/>
  <c r="B158" i="32"/>
  <c r="L158" i="32"/>
  <c r="G158" i="32"/>
  <c r="H158" i="32"/>
  <c r="K158" i="32"/>
  <c r="J158" i="32"/>
  <c r="M158" i="32"/>
  <c r="I158" i="32"/>
  <c r="N158" i="32"/>
  <c r="AL158" i="11" a="1"/>
  <c r="AL158" i="11" s="1"/>
  <c r="E159" i="32" s="1"/>
  <c r="O159" i="32" s="1"/>
  <c r="AM43" i="11" a="1"/>
  <c r="AM43" i="11" s="1"/>
  <c r="U158" i="32" l="1"/>
  <c r="AD157" i="32"/>
  <c r="AG157" i="32" s="1"/>
  <c r="AH157" i="32" s="1"/>
  <c r="F159" i="32"/>
  <c r="AU159" i="32"/>
  <c r="AT157" i="32"/>
  <c r="AC229" i="53"/>
  <c r="O229" i="53"/>
  <c r="Q158" i="32"/>
  <c r="P158" i="32" s="1"/>
  <c r="N229" i="53"/>
  <c r="T159" i="32"/>
  <c r="AA227" i="53"/>
  <c r="C157" i="32"/>
  <c r="Z157" i="32"/>
  <c r="AM158" i="32"/>
  <c r="W157" i="32"/>
  <c r="X157" i="32" s="1"/>
  <c r="S158" i="32"/>
  <c r="Z158" i="32" s="1"/>
  <c r="AJ157" i="32"/>
  <c r="V157" i="32"/>
  <c r="AF227" i="53"/>
  <c r="AE228" i="53"/>
  <c r="AK159" i="32"/>
  <c r="AL156" i="32"/>
  <c r="AI155" i="32"/>
  <c r="AN155" i="32" s="1"/>
  <c r="R228" i="53"/>
  <c r="X228" i="53" s="1"/>
  <c r="AB228" i="53" s="1"/>
  <c r="AG228" i="53"/>
  <c r="AT228" i="53"/>
  <c r="H229" i="53"/>
  <c r="Q228" i="53"/>
  <c r="AD228" i="53"/>
  <c r="AK228" i="52" a="1"/>
  <c r="AK228" i="52" s="1"/>
  <c r="B230" i="53" s="1"/>
  <c r="D229" i="53"/>
  <c r="F229" i="53"/>
  <c r="P229" i="53"/>
  <c r="G229" i="53"/>
  <c r="J229" i="53"/>
  <c r="C229" i="53"/>
  <c r="K229" i="53"/>
  <c r="AH229" i="53" s="1"/>
  <c r="L229" i="53"/>
  <c r="I229" i="53"/>
  <c r="E229" i="53"/>
  <c r="A159" i="32"/>
  <c r="B159" i="32"/>
  <c r="J159" i="32"/>
  <c r="M159" i="32"/>
  <c r="N159" i="32"/>
  <c r="I159" i="32"/>
  <c r="K159" i="32"/>
  <c r="H159" i="32"/>
  <c r="G159" i="32"/>
  <c r="L159" i="32"/>
  <c r="AL159" i="11" a="1"/>
  <c r="AL159" i="11" s="1"/>
  <c r="E160" i="32" s="1"/>
  <c r="O160" i="32" s="1"/>
  <c r="AM44" i="11" a="1"/>
  <c r="AM44" i="11" s="1"/>
  <c r="U159" i="32" l="1"/>
  <c r="F160" i="32"/>
  <c r="AU160" i="32"/>
  <c r="AT158" i="32"/>
  <c r="AD158" i="32"/>
  <c r="AG158" i="32" s="1"/>
  <c r="AH158" i="32" s="1"/>
  <c r="AC230" i="53"/>
  <c r="O230" i="53"/>
  <c r="Q159" i="32"/>
  <c r="P159" i="32" s="1"/>
  <c r="N230" i="53"/>
  <c r="T160" i="32"/>
  <c r="AA228" i="53"/>
  <c r="AM159" i="32"/>
  <c r="AJ158" i="32"/>
  <c r="W158" i="32"/>
  <c r="X158" i="32" s="1"/>
  <c r="C158" i="32"/>
  <c r="S159" i="32"/>
  <c r="Z159" i="32" s="1"/>
  <c r="V158" i="32"/>
  <c r="AE229" i="53"/>
  <c r="AF228" i="53"/>
  <c r="AK160" i="32"/>
  <c r="AL157" i="32"/>
  <c r="AI156" i="32"/>
  <c r="AN156" i="32" s="1"/>
  <c r="R229" i="53"/>
  <c r="X229" i="53" s="1"/>
  <c r="AB229" i="53" s="1"/>
  <c r="AT229" i="53"/>
  <c r="AG229" i="53"/>
  <c r="AD229" i="53"/>
  <c r="Q229" i="53"/>
  <c r="C230" i="53"/>
  <c r="K230" i="53"/>
  <c r="AH230" i="53" s="1"/>
  <c r="L230" i="53"/>
  <c r="AK229" i="52" a="1"/>
  <c r="AK229" i="52" s="1"/>
  <c r="B231" i="53" s="1"/>
  <c r="G230" i="53"/>
  <c r="J230" i="53"/>
  <c r="E230" i="53"/>
  <c r="I230" i="53"/>
  <c r="F230" i="53"/>
  <c r="D230" i="53"/>
  <c r="H230" i="53"/>
  <c r="P230" i="53"/>
  <c r="A160" i="32"/>
  <c r="B160" i="32"/>
  <c r="H160" i="32"/>
  <c r="K160" i="32"/>
  <c r="L160" i="32"/>
  <c r="G160" i="32"/>
  <c r="I160" i="32"/>
  <c r="N160" i="32"/>
  <c r="M160" i="32"/>
  <c r="J160" i="32"/>
  <c r="AL160" i="11" a="1"/>
  <c r="AL160" i="11" s="1"/>
  <c r="AM45" i="11" a="1"/>
  <c r="AM45" i="11" s="1"/>
  <c r="U160" i="32" l="1"/>
  <c r="AT159" i="32"/>
  <c r="AD159" i="32"/>
  <c r="AG159" i="32" s="1"/>
  <c r="AH159" i="32" s="1"/>
  <c r="AC231" i="53"/>
  <c r="O231" i="53"/>
  <c r="Q160" i="32"/>
  <c r="P160" i="32" s="1"/>
  <c r="N231" i="53"/>
  <c r="AA229" i="53"/>
  <c r="AM160" i="32"/>
  <c r="C159" i="32"/>
  <c r="AJ159" i="32"/>
  <c r="W159" i="32"/>
  <c r="X159" i="32" s="1"/>
  <c r="S160" i="32"/>
  <c r="Z160" i="32" s="1"/>
  <c r="V159" i="32"/>
  <c r="AF229" i="53"/>
  <c r="AE230" i="53"/>
  <c r="AL158" i="32"/>
  <c r="R230" i="53"/>
  <c r="X230" i="53" s="1"/>
  <c r="AB230" i="53" s="1"/>
  <c r="AI157" i="32"/>
  <c r="AN157" i="32" s="1"/>
  <c r="AT230" i="53"/>
  <c r="AG230" i="53"/>
  <c r="E231" i="53"/>
  <c r="AD230" i="53"/>
  <c r="Q230" i="53"/>
  <c r="D231" i="53"/>
  <c r="H231" i="53"/>
  <c r="C231" i="53"/>
  <c r="F231" i="53"/>
  <c r="AK230" i="52" a="1"/>
  <c r="AK230" i="52" s="1"/>
  <c r="B232" i="53" s="1"/>
  <c r="L231" i="53"/>
  <c r="G231" i="53"/>
  <c r="I231" i="53"/>
  <c r="K231" i="53"/>
  <c r="AH231" i="53" s="1"/>
  <c r="J231" i="53"/>
  <c r="P231" i="53"/>
  <c r="E161" i="32"/>
  <c r="O161" i="32" s="1"/>
  <c r="AL161" i="11" a="1"/>
  <c r="AL161" i="11" s="1"/>
  <c r="E162" i="32" s="1"/>
  <c r="O162" i="32" s="1"/>
  <c r="AM46" i="11" a="1"/>
  <c r="AM46" i="11" s="1"/>
  <c r="F162" i="32" l="1"/>
  <c r="AU162" i="32"/>
  <c r="F161" i="32"/>
  <c r="AU161" i="32"/>
  <c r="AT160" i="32"/>
  <c r="AD160" i="32"/>
  <c r="AG160" i="32" s="1"/>
  <c r="AH160" i="32" s="1"/>
  <c r="AC232" i="53"/>
  <c r="O232" i="53"/>
  <c r="N232" i="53"/>
  <c r="T162" i="32"/>
  <c r="T161" i="32"/>
  <c r="AA230" i="53"/>
  <c r="AJ160" i="32"/>
  <c r="W160" i="32"/>
  <c r="X160" i="32" s="1"/>
  <c r="C160" i="32"/>
  <c r="V160" i="32"/>
  <c r="AF230" i="53"/>
  <c r="AE231" i="53"/>
  <c r="AK161" i="32"/>
  <c r="AK162" i="32"/>
  <c r="AL159" i="32"/>
  <c r="AI158" i="32"/>
  <c r="AN158" i="32" s="1"/>
  <c r="R231" i="53"/>
  <c r="X231" i="53" s="1"/>
  <c r="AB231" i="53" s="1"/>
  <c r="AT231" i="53"/>
  <c r="AG231" i="53"/>
  <c r="H232" i="53"/>
  <c r="AD231" i="53"/>
  <c r="Q231" i="53"/>
  <c r="F232" i="53"/>
  <c r="P232" i="53"/>
  <c r="L232" i="53"/>
  <c r="I232" i="53"/>
  <c r="D232" i="53"/>
  <c r="K232" i="53"/>
  <c r="AH232" i="53" s="1"/>
  <c r="E232" i="53"/>
  <c r="AK231" i="52" a="1"/>
  <c r="AK231" i="52" s="1"/>
  <c r="B233" i="53" s="1"/>
  <c r="J232" i="53"/>
  <c r="G232" i="53"/>
  <c r="C232" i="53"/>
  <c r="A162" i="32"/>
  <c r="B162" i="32"/>
  <c r="A161" i="32"/>
  <c r="B161" i="32"/>
  <c r="N161" i="32"/>
  <c r="I161" i="32"/>
  <c r="J161" i="32"/>
  <c r="M161" i="32"/>
  <c r="G161" i="32"/>
  <c r="L161" i="32"/>
  <c r="H161" i="32"/>
  <c r="K161" i="32"/>
  <c r="L162" i="32"/>
  <c r="G162" i="32"/>
  <c r="H162" i="32"/>
  <c r="K162" i="32"/>
  <c r="M162" i="32"/>
  <c r="J162" i="32"/>
  <c r="I162" i="32"/>
  <c r="N162" i="32"/>
  <c r="AL162" i="11" a="1"/>
  <c r="AL162" i="11" s="1"/>
  <c r="E163" i="32" s="1"/>
  <c r="O163" i="32" s="1"/>
  <c r="AM47" i="11" a="1"/>
  <c r="AM47" i="11" s="1"/>
  <c r="U161" i="32" l="1"/>
  <c r="U162" i="32"/>
  <c r="F163" i="32"/>
  <c r="AU163" i="32"/>
  <c r="AC233" i="53"/>
  <c r="O233" i="53"/>
  <c r="Q161" i="32"/>
  <c r="P161" i="32" s="1"/>
  <c r="Q162" i="32"/>
  <c r="P162" i="32" s="1"/>
  <c r="N233" i="53"/>
  <c r="T163" i="32"/>
  <c r="AA231" i="53"/>
  <c r="AM161" i="32"/>
  <c r="AM162" i="32"/>
  <c r="S161" i="32"/>
  <c r="Z161" i="32" s="1"/>
  <c r="S162" i="32"/>
  <c r="Z162" i="32" s="1"/>
  <c r="AE232" i="53"/>
  <c r="AF231" i="53"/>
  <c r="AK163" i="32"/>
  <c r="AL160" i="32"/>
  <c r="AI159" i="32"/>
  <c r="AN159" i="32" s="1"/>
  <c r="R232" i="53"/>
  <c r="X232" i="53" s="1"/>
  <c r="AB232" i="53" s="1"/>
  <c r="AT232" i="53"/>
  <c r="AG232" i="53"/>
  <c r="Q232" i="53"/>
  <c r="AD232" i="53"/>
  <c r="AK232" i="52" a="1"/>
  <c r="AK232" i="52" s="1"/>
  <c r="B234" i="53" s="1"/>
  <c r="E233" i="53"/>
  <c r="J233" i="53"/>
  <c r="H233" i="53"/>
  <c r="L233" i="53"/>
  <c r="F233" i="53"/>
  <c r="D233" i="53"/>
  <c r="K233" i="53"/>
  <c r="AH233" i="53" s="1"/>
  <c r="C233" i="53"/>
  <c r="I233" i="53"/>
  <c r="G233" i="53"/>
  <c r="P233" i="53"/>
  <c r="A163" i="32"/>
  <c r="B163" i="32"/>
  <c r="J163" i="32"/>
  <c r="M163" i="32"/>
  <c r="N163" i="32"/>
  <c r="I163" i="32"/>
  <c r="H163" i="32"/>
  <c r="K163" i="32"/>
  <c r="G163" i="32"/>
  <c r="L163" i="32"/>
  <c r="AL163" i="11" a="1"/>
  <c r="AL163" i="11" s="1"/>
  <c r="E164" i="32" s="1"/>
  <c r="O164" i="32" s="1"/>
  <c r="AM48" i="11" a="1"/>
  <c r="AM48" i="11" s="1"/>
  <c r="U163" i="32" l="1"/>
  <c r="F164" i="32"/>
  <c r="AU164" i="32"/>
  <c r="AT161" i="32"/>
  <c r="AT162" i="32"/>
  <c r="AD161" i="32"/>
  <c r="AG161" i="32" s="1"/>
  <c r="AH161" i="32" s="1"/>
  <c r="AD162" i="32"/>
  <c r="AG162" i="32" s="1"/>
  <c r="AH162" i="32" s="1"/>
  <c r="AC234" i="53"/>
  <c r="O234" i="53"/>
  <c r="Q163" i="32"/>
  <c r="P163" i="32" s="1"/>
  <c r="N234" i="53"/>
  <c r="T164" i="32"/>
  <c r="AA232" i="53"/>
  <c r="AM163" i="32"/>
  <c r="C162" i="32"/>
  <c r="AJ162" i="32"/>
  <c r="W162" i="32"/>
  <c r="X162" i="32" s="1"/>
  <c r="W161" i="32"/>
  <c r="X161" i="32" s="1"/>
  <c r="C161" i="32"/>
  <c r="AJ161" i="32"/>
  <c r="S163" i="32"/>
  <c r="Z163" i="32" s="1"/>
  <c r="V161" i="32"/>
  <c r="V162" i="32"/>
  <c r="AE233" i="53"/>
  <c r="AF232" i="53"/>
  <c r="AK164" i="32"/>
  <c r="AI160" i="32"/>
  <c r="AN160" i="32" s="1"/>
  <c r="R233" i="53"/>
  <c r="X233" i="53" s="1"/>
  <c r="AB233" i="53" s="1"/>
  <c r="AG233" i="53"/>
  <c r="Q233" i="53"/>
  <c r="AT233" i="53"/>
  <c r="AD233" i="53"/>
  <c r="J234" i="53"/>
  <c r="I234" i="53"/>
  <c r="H234" i="53"/>
  <c r="P234" i="53"/>
  <c r="E234" i="53"/>
  <c r="F234" i="53"/>
  <c r="AK233" i="52" a="1"/>
  <c r="AK233" i="52" s="1"/>
  <c r="B235" i="53" s="1"/>
  <c r="K234" i="53"/>
  <c r="AH234" i="53" s="1"/>
  <c r="D234" i="53"/>
  <c r="L234" i="53"/>
  <c r="G234" i="53"/>
  <c r="C234" i="53"/>
  <c r="A164" i="32"/>
  <c r="B164" i="32"/>
  <c r="H164" i="32"/>
  <c r="K164" i="32"/>
  <c r="L164" i="32"/>
  <c r="G164" i="32"/>
  <c r="I164" i="32"/>
  <c r="N164" i="32"/>
  <c r="J164" i="32"/>
  <c r="M164" i="32"/>
  <c r="AL164" i="11" a="1"/>
  <c r="AL164" i="11" s="1"/>
  <c r="E165" i="32" s="1"/>
  <c r="O165" i="32" s="1"/>
  <c r="AM49" i="11" a="1"/>
  <c r="AM49" i="11" s="1"/>
  <c r="U164" i="32" l="1"/>
  <c r="F165" i="32"/>
  <c r="AU165" i="32"/>
  <c r="AT163" i="32"/>
  <c r="AD163" i="32"/>
  <c r="AG163" i="32" s="1"/>
  <c r="AH163" i="32" s="1"/>
  <c r="AC235" i="53"/>
  <c r="O235" i="53"/>
  <c r="Q164" i="32"/>
  <c r="P164" i="32" s="1"/>
  <c r="N235" i="53"/>
  <c r="T165" i="32"/>
  <c r="AA233" i="53"/>
  <c r="AM164" i="32"/>
  <c r="C163" i="32"/>
  <c r="AJ163" i="32"/>
  <c r="W163" i="32"/>
  <c r="X163" i="32" s="1"/>
  <c r="S164" i="32"/>
  <c r="V163" i="32"/>
  <c r="AE234" i="53"/>
  <c r="AF233" i="53"/>
  <c r="AK165" i="32"/>
  <c r="AL161" i="32"/>
  <c r="AL162" i="32"/>
  <c r="R234" i="53"/>
  <c r="X234" i="53" s="1"/>
  <c r="AB234" i="53" s="1"/>
  <c r="AT234" i="53"/>
  <c r="AG234" i="53"/>
  <c r="AD234" i="53"/>
  <c r="Q234" i="53"/>
  <c r="L235" i="53"/>
  <c r="C235" i="53"/>
  <c r="D235" i="53"/>
  <c r="I235" i="53"/>
  <c r="AK234" i="52" a="1"/>
  <c r="AK234" i="52" s="1"/>
  <c r="B236" i="53" s="1"/>
  <c r="H235" i="53"/>
  <c r="G235" i="53"/>
  <c r="K235" i="53"/>
  <c r="AH235" i="53" s="1"/>
  <c r="F235" i="53"/>
  <c r="P235" i="53"/>
  <c r="J235" i="53"/>
  <c r="E235" i="53"/>
  <c r="A165" i="32"/>
  <c r="B165" i="32"/>
  <c r="K165" i="32"/>
  <c r="N165" i="32"/>
  <c r="G165" i="32"/>
  <c r="J165" i="32"/>
  <c r="H165" i="32"/>
  <c r="I165" i="32"/>
  <c r="L165" i="32"/>
  <c r="M165" i="32"/>
  <c r="AL165" i="11" a="1"/>
  <c r="AL165" i="11" s="1"/>
  <c r="E166" i="32" s="1"/>
  <c r="O166" i="32" s="1"/>
  <c r="AM50" i="11" a="1"/>
  <c r="AM50" i="11" s="1"/>
  <c r="U165" i="32" l="1"/>
  <c r="AD164" i="32"/>
  <c r="AG164" i="32" s="1"/>
  <c r="AH164" i="32" s="1"/>
  <c r="F166" i="32"/>
  <c r="AU166" i="32"/>
  <c r="AT164" i="32"/>
  <c r="AC236" i="53"/>
  <c r="O236" i="53"/>
  <c r="Q165" i="32"/>
  <c r="P165" i="32" s="1"/>
  <c r="N236" i="53"/>
  <c r="T166" i="32"/>
  <c r="AA234" i="53"/>
  <c r="C164" i="32"/>
  <c r="Z164" i="32"/>
  <c r="AM165" i="32"/>
  <c r="W164" i="32"/>
  <c r="X164" i="32" s="1"/>
  <c r="S165" i="32"/>
  <c r="Z165" i="32" s="1"/>
  <c r="AJ164" i="32"/>
  <c r="V164" i="32"/>
  <c r="AE235" i="53"/>
  <c r="AF234" i="53"/>
  <c r="AK166" i="32"/>
  <c r="AL163" i="32"/>
  <c r="AI161" i="32"/>
  <c r="AN161" i="32" s="1"/>
  <c r="AI162" i="32"/>
  <c r="AN162" i="32" s="1"/>
  <c r="R235" i="53"/>
  <c r="X235" i="53" s="1"/>
  <c r="AB235" i="53" s="1"/>
  <c r="AG235" i="53"/>
  <c r="AT235" i="53"/>
  <c r="Q235" i="53"/>
  <c r="AD235" i="53"/>
  <c r="I236" i="53"/>
  <c r="C236" i="53"/>
  <c r="H236" i="53"/>
  <c r="E236" i="53"/>
  <c r="D236" i="53"/>
  <c r="K236" i="53"/>
  <c r="AH236" i="53" s="1"/>
  <c r="P236" i="53"/>
  <c r="AK235" i="52" a="1"/>
  <c r="AK235" i="52" s="1"/>
  <c r="B237" i="53" s="1"/>
  <c r="F236" i="53"/>
  <c r="G236" i="53"/>
  <c r="J236" i="53"/>
  <c r="L236" i="53"/>
  <c r="A166" i="32"/>
  <c r="B166" i="32"/>
  <c r="I166" i="32"/>
  <c r="L166" i="32"/>
  <c r="M166" i="32"/>
  <c r="H166" i="32"/>
  <c r="J166" i="32"/>
  <c r="K166" i="32"/>
  <c r="N166" i="32"/>
  <c r="G166" i="32"/>
  <c r="AL166" i="11" a="1"/>
  <c r="AL166" i="11" s="1"/>
  <c r="E167" i="32" s="1"/>
  <c r="O167" i="32" s="1"/>
  <c r="AM51" i="11" a="1"/>
  <c r="AM51" i="11" s="1"/>
  <c r="U166" i="32" l="1"/>
  <c r="F167" i="32"/>
  <c r="AU167" i="32"/>
  <c r="AT165" i="32"/>
  <c r="AD165" i="32"/>
  <c r="AG165" i="32" s="1"/>
  <c r="AH165" i="32" s="1"/>
  <c r="AC237" i="53"/>
  <c r="O237" i="53"/>
  <c r="Q166" i="32"/>
  <c r="P166" i="32" s="1"/>
  <c r="N237" i="53"/>
  <c r="T167" i="32"/>
  <c r="AA235" i="53"/>
  <c r="AM166" i="32"/>
  <c r="C165" i="32"/>
  <c r="W165" i="32"/>
  <c r="X165" i="32" s="1"/>
  <c r="AJ165" i="32"/>
  <c r="S166" i="32"/>
  <c r="Z166" i="32" s="1"/>
  <c r="V165" i="32"/>
  <c r="AE236" i="53"/>
  <c r="AF235" i="53"/>
  <c r="AK167" i="32"/>
  <c r="AL164" i="32"/>
  <c r="AI163" i="32"/>
  <c r="AN163" i="32" s="1"/>
  <c r="R236" i="53"/>
  <c r="X236" i="53" s="1"/>
  <c r="AB236" i="53" s="1"/>
  <c r="AT236" i="53"/>
  <c r="AG236" i="53"/>
  <c r="Q236" i="53"/>
  <c r="AD236" i="53"/>
  <c r="J237" i="53"/>
  <c r="C237" i="53"/>
  <c r="K237" i="53"/>
  <c r="AH237" i="53" s="1"/>
  <c r="I237" i="53"/>
  <c r="F237" i="53"/>
  <c r="H237" i="53"/>
  <c r="AK236" i="52" a="1"/>
  <c r="AK236" i="52" s="1"/>
  <c r="B238" i="53" s="1"/>
  <c r="P237" i="53"/>
  <c r="D237" i="53"/>
  <c r="E237" i="53"/>
  <c r="L237" i="53"/>
  <c r="G237" i="53"/>
  <c r="A167" i="32"/>
  <c r="B167" i="32"/>
  <c r="G167" i="32"/>
  <c r="J167" i="32"/>
  <c r="K167" i="32"/>
  <c r="N167" i="32"/>
  <c r="H167" i="32"/>
  <c r="I167" i="32"/>
  <c r="L167" i="32"/>
  <c r="M167" i="32"/>
  <c r="AL167" i="11" a="1"/>
  <c r="AL167" i="11" s="1"/>
  <c r="E168" i="32" s="1"/>
  <c r="O168" i="32" s="1"/>
  <c r="AM52" i="11" a="1"/>
  <c r="AM52" i="11" s="1"/>
  <c r="U167" i="32" l="1"/>
  <c r="F168" i="32"/>
  <c r="AU168" i="32"/>
  <c r="AT166" i="32"/>
  <c r="AD166" i="32"/>
  <c r="AG166" i="32" s="1"/>
  <c r="AH166" i="32" s="1"/>
  <c r="AC238" i="53"/>
  <c r="O238" i="53"/>
  <c r="Q167" i="32"/>
  <c r="P167" i="32" s="1"/>
  <c r="N238" i="53"/>
  <c r="T168" i="32"/>
  <c r="AA236" i="53"/>
  <c r="AM167" i="32"/>
  <c r="W166" i="32"/>
  <c r="X166" i="32" s="1"/>
  <c r="C166" i="32"/>
  <c r="AJ166" i="32"/>
  <c r="S167" i="32"/>
  <c r="Z167" i="32" s="1"/>
  <c r="V166" i="32"/>
  <c r="AE237" i="53"/>
  <c r="AF236" i="53"/>
  <c r="AK168" i="32"/>
  <c r="AL165" i="32"/>
  <c r="AI164" i="32"/>
  <c r="AN164" i="32" s="1"/>
  <c r="R237" i="53"/>
  <c r="X237" i="53" s="1"/>
  <c r="AB237" i="53" s="1"/>
  <c r="AT237" i="53"/>
  <c r="AG237" i="53"/>
  <c r="Q237" i="53"/>
  <c r="AD237" i="53"/>
  <c r="F238" i="53"/>
  <c r="L238" i="53"/>
  <c r="P238" i="53"/>
  <c r="I238" i="53"/>
  <c r="G238" i="53"/>
  <c r="K238" i="53"/>
  <c r="AH238" i="53" s="1"/>
  <c r="J238" i="53"/>
  <c r="AK237" i="52" a="1"/>
  <c r="AK237" i="52" s="1"/>
  <c r="B239" i="53" s="1"/>
  <c r="H238" i="53"/>
  <c r="D238" i="53"/>
  <c r="C238" i="53"/>
  <c r="E238" i="53"/>
  <c r="A168" i="32"/>
  <c r="B168" i="32"/>
  <c r="M168" i="32"/>
  <c r="H168" i="32"/>
  <c r="I168" i="32"/>
  <c r="L168" i="32"/>
  <c r="G168" i="32"/>
  <c r="J168" i="32"/>
  <c r="K168" i="32"/>
  <c r="N168" i="32"/>
  <c r="AL168" i="11" a="1"/>
  <c r="AL168" i="11" s="1"/>
  <c r="E169" i="32" s="1"/>
  <c r="O169" i="32" s="1"/>
  <c r="AM53" i="11" a="1"/>
  <c r="AM53" i="11" s="1"/>
  <c r="U168" i="32" l="1"/>
  <c r="F169" i="32"/>
  <c r="AU169" i="32"/>
  <c r="AT167" i="32"/>
  <c r="AD167" i="32"/>
  <c r="AG167" i="32" s="1"/>
  <c r="AH167" i="32" s="1"/>
  <c r="AC239" i="53"/>
  <c r="O239" i="53"/>
  <c r="Q168" i="32"/>
  <c r="P168" i="32" s="1"/>
  <c r="N239" i="53"/>
  <c r="T169" i="32"/>
  <c r="AA237" i="53"/>
  <c r="AM168" i="32"/>
  <c r="C167" i="32"/>
  <c r="AJ167" i="32"/>
  <c r="W167" i="32"/>
  <c r="X167" i="32" s="1"/>
  <c r="S168" i="32"/>
  <c r="V167" i="32"/>
  <c r="AE238" i="53"/>
  <c r="AF237" i="53"/>
  <c r="AK169" i="32"/>
  <c r="AL166" i="32"/>
  <c r="AI165" i="32"/>
  <c r="AN165" i="32" s="1"/>
  <c r="R238" i="53"/>
  <c r="X238" i="53" s="1"/>
  <c r="AB238" i="53" s="1"/>
  <c r="AT238" i="53"/>
  <c r="AG238" i="53"/>
  <c r="F239" i="53"/>
  <c r="Q238" i="53"/>
  <c r="AD238" i="53"/>
  <c r="J239" i="53"/>
  <c r="P239" i="53"/>
  <c r="AK238" i="52" a="1"/>
  <c r="AK238" i="52" s="1"/>
  <c r="B240" i="53" s="1"/>
  <c r="H239" i="53"/>
  <c r="C239" i="53"/>
  <c r="D239" i="53"/>
  <c r="E239" i="53"/>
  <c r="I239" i="53"/>
  <c r="K239" i="53"/>
  <c r="AH239" i="53" s="1"/>
  <c r="L239" i="53"/>
  <c r="G239" i="53"/>
  <c r="A169" i="32"/>
  <c r="B169" i="32"/>
  <c r="K169" i="32"/>
  <c r="N169" i="32"/>
  <c r="G169" i="32"/>
  <c r="J169" i="32"/>
  <c r="L169" i="32"/>
  <c r="M169" i="32"/>
  <c r="I169" i="32"/>
  <c r="H169" i="32"/>
  <c r="AL169" i="11" a="1"/>
  <c r="AL169" i="11" s="1"/>
  <c r="E170" i="32" s="1"/>
  <c r="O170" i="32" s="1"/>
  <c r="AM54" i="11" a="1"/>
  <c r="AM54" i="11" s="1"/>
  <c r="U169" i="32" l="1"/>
  <c r="AD168" i="32"/>
  <c r="AG168" i="32" s="1"/>
  <c r="AH168" i="32" s="1"/>
  <c r="F170" i="32"/>
  <c r="AU170" i="32"/>
  <c r="AT168" i="32"/>
  <c r="AC240" i="53"/>
  <c r="O240" i="53"/>
  <c r="Q169" i="32"/>
  <c r="P169" i="32" s="1"/>
  <c r="N240" i="53"/>
  <c r="T170" i="32"/>
  <c r="AA238" i="53"/>
  <c r="C168" i="32"/>
  <c r="Z168" i="32"/>
  <c r="AM169" i="32"/>
  <c r="W168" i="32"/>
  <c r="X168" i="32" s="1"/>
  <c r="S169" i="32"/>
  <c r="Z169" i="32" s="1"/>
  <c r="AJ168" i="32"/>
  <c r="V168" i="32"/>
  <c r="AE239" i="53"/>
  <c r="AF238" i="53"/>
  <c r="AK170" i="32"/>
  <c r="AL167" i="32"/>
  <c r="AI166" i="32"/>
  <c r="AN166" i="32" s="1"/>
  <c r="R239" i="53"/>
  <c r="X239" i="53" s="1"/>
  <c r="AB239" i="53" s="1"/>
  <c r="AG239" i="53"/>
  <c r="AT239" i="53"/>
  <c r="H240" i="53"/>
  <c r="Q239" i="53"/>
  <c r="AD239" i="53"/>
  <c r="E240" i="53"/>
  <c r="C240" i="53"/>
  <c r="G240" i="53"/>
  <c r="D240" i="53"/>
  <c r="F240" i="53"/>
  <c r="L240" i="53"/>
  <c r="J240" i="53"/>
  <c r="P240" i="53"/>
  <c r="I240" i="53"/>
  <c r="AK239" i="52" a="1"/>
  <c r="AK239" i="52" s="1"/>
  <c r="B241" i="53" s="1"/>
  <c r="K240" i="53"/>
  <c r="AH240" i="53" s="1"/>
  <c r="A170" i="32"/>
  <c r="B170" i="32"/>
  <c r="I170" i="32"/>
  <c r="L170" i="32"/>
  <c r="M170" i="32"/>
  <c r="H170" i="32"/>
  <c r="G170" i="32"/>
  <c r="J170" i="32"/>
  <c r="K170" i="32"/>
  <c r="N170" i="32"/>
  <c r="AL170" i="11" a="1"/>
  <c r="AL170" i="11" s="1"/>
  <c r="E171" i="32" s="1"/>
  <c r="O171" i="32" s="1"/>
  <c r="AM55" i="11" a="1"/>
  <c r="AM55" i="11" s="1"/>
  <c r="U170" i="32" l="1"/>
  <c r="F171" i="32"/>
  <c r="AU171" i="32"/>
  <c r="AT169" i="32"/>
  <c r="AD169" i="32"/>
  <c r="AG169" i="32" s="1"/>
  <c r="AH169" i="32" s="1"/>
  <c r="AC241" i="53"/>
  <c r="O241" i="53"/>
  <c r="Q170" i="32"/>
  <c r="P170" i="32" s="1"/>
  <c r="N241" i="53"/>
  <c r="T171" i="32"/>
  <c r="AA239" i="53"/>
  <c r="AM170" i="32"/>
  <c r="W169" i="32"/>
  <c r="X169" i="32" s="1"/>
  <c r="C169" i="32"/>
  <c r="AJ169" i="32"/>
  <c r="S170" i="32"/>
  <c r="V169" i="32"/>
  <c r="AF239" i="53"/>
  <c r="AE240" i="53"/>
  <c r="AK171" i="32"/>
  <c r="AL168" i="32"/>
  <c r="AI167" i="32"/>
  <c r="AN167" i="32" s="1"/>
  <c r="R240" i="53"/>
  <c r="X240" i="53" s="1"/>
  <c r="AB240" i="53" s="1"/>
  <c r="AG240" i="53"/>
  <c r="AT240" i="53"/>
  <c r="L241" i="53"/>
  <c r="AD240" i="53"/>
  <c r="Q240" i="53"/>
  <c r="E241" i="53"/>
  <c r="G241" i="53"/>
  <c r="P241" i="53"/>
  <c r="D241" i="53"/>
  <c r="J241" i="53"/>
  <c r="K241" i="53"/>
  <c r="AH241" i="53" s="1"/>
  <c r="F241" i="53"/>
  <c r="AK240" i="52" a="1"/>
  <c r="AK240" i="52" s="1"/>
  <c r="B242" i="53" s="1"/>
  <c r="I241" i="53"/>
  <c r="C241" i="53"/>
  <c r="H241" i="53"/>
  <c r="A171" i="32"/>
  <c r="B171" i="32"/>
  <c r="G171" i="32"/>
  <c r="J171" i="32"/>
  <c r="K171" i="32"/>
  <c r="N171" i="32"/>
  <c r="H171" i="32"/>
  <c r="I171" i="32"/>
  <c r="L171" i="32"/>
  <c r="M171" i="32"/>
  <c r="AL171" i="11" a="1"/>
  <c r="AL171" i="11" s="1"/>
  <c r="E172" i="32" s="1"/>
  <c r="O172" i="32" s="1"/>
  <c r="AM56" i="11" a="1"/>
  <c r="AM56" i="11" s="1"/>
  <c r="U171" i="32" l="1"/>
  <c r="AD170" i="32"/>
  <c r="AG170" i="32" s="1"/>
  <c r="AH170" i="32" s="1"/>
  <c r="F172" i="32"/>
  <c r="AU172" i="32"/>
  <c r="AT170" i="32"/>
  <c r="AC242" i="53"/>
  <c r="O242" i="53"/>
  <c r="Q171" i="32"/>
  <c r="P171" i="32" s="1"/>
  <c r="N242" i="53"/>
  <c r="T172" i="32"/>
  <c r="AA240" i="53"/>
  <c r="C170" i="32"/>
  <c r="Z170" i="32"/>
  <c r="AM171" i="32"/>
  <c r="W170" i="32"/>
  <c r="X170" i="32" s="1"/>
  <c r="S171" i="32"/>
  <c r="Z171" i="32" s="1"/>
  <c r="AJ170" i="32"/>
  <c r="V170" i="32"/>
  <c r="AE241" i="53"/>
  <c r="AF240" i="53"/>
  <c r="AK172" i="32"/>
  <c r="AL169" i="32"/>
  <c r="AI168" i="32"/>
  <c r="AN168" i="32" s="1"/>
  <c r="R241" i="53"/>
  <c r="X241" i="53" s="1"/>
  <c r="AB241" i="53" s="1"/>
  <c r="AT241" i="53"/>
  <c r="AG241" i="53"/>
  <c r="I242" i="53"/>
  <c r="Q241" i="53"/>
  <c r="AD241" i="53"/>
  <c r="J242" i="53"/>
  <c r="F242" i="53"/>
  <c r="G242" i="53"/>
  <c r="L242" i="53"/>
  <c r="P242" i="53"/>
  <c r="K242" i="53"/>
  <c r="AH242" i="53" s="1"/>
  <c r="AK241" i="52" a="1"/>
  <c r="AK241" i="52" s="1"/>
  <c r="B243" i="53" s="1"/>
  <c r="C242" i="53"/>
  <c r="H242" i="53"/>
  <c r="D242" i="53"/>
  <c r="E242" i="53"/>
  <c r="A172" i="32"/>
  <c r="B172" i="32"/>
  <c r="M172" i="32"/>
  <c r="H172" i="32"/>
  <c r="I172" i="32"/>
  <c r="L172" i="32"/>
  <c r="N172" i="32"/>
  <c r="G172" i="32"/>
  <c r="J172" i="32"/>
  <c r="K172" i="32"/>
  <c r="AL172" i="11" a="1"/>
  <c r="AL172" i="11" s="1"/>
  <c r="E173" i="32" s="1"/>
  <c r="O173" i="32" s="1"/>
  <c r="AM57" i="11" a="1"/>
  <c r="AM57" i="11" s="1"/>
  <c r="U172" i="32" l="1"/>
  <c r="F173" i="32"/>
  <c r="AU173" i="32"/>
  <c r="AT171" i="32"/>
  <c r="AD171" i="32"/>
  <c r="AG171" i="32" s="1"/>
  <c r="AH171" i="32" s="1"/>
  <c r="AC243" i="53"/>
  <c r="O243" i="53"/>
  <c r="Q172" i="32"/>
  <c r="P172" i="32" s="1"/>
  <c r="N243" i="53"/>
  <c r="T173" i="32"/>
  <c r="AA241" i="53"/>
  <c r="AM172" i="32"/>
  <c r="AJ171" i="32"/>
  <c r="W171" i="32"/>
  <c r="X171" i="32" s="1"/>
  <c r="C171" i="32"/>
  <c r="S172" i="32"/>
  <c r="V171" i="32"/>
  <c r="AE242" i="53"/>
  <c r="AF241" i="53"/>
  <c r="AK173" i="32"/>
  <c r="AL170" i="32"/>
  <c r="AI169" i="32"/>
  <c r="AN169" i="32" s="1"/>
  <c r="R242" i="53"/>
  <c r="X242" i="53" s="1"/>
  <c r="AB242" i="53" s="1"/>
  <c r="AT242" i="53"/>
  <c r="AG242" i="53"/>
  <c r="AD242" i="53"/>
  <c r="Q242" i="53"/>
  <c r="J243" i="53"/>
  <c r="I243" i="53"/>
  <c r="F243" i="53"/>
  <c r="K243" i="53"/>
  <c r="AH243" i="53" s="1"/>
  <c r="P243" i="53"/>
  <c r="L243" i="53"/>
  <c r="G243" i="53"/>
  <c r="E243" i="53"/>
  <c r="C243" i="53"/>
  <c r="D243" i="53"/>
  <c r="AK242" i="52" a="1"/>
  <c r="AK242" i="52" s="1"/>
  <c r="B244" i="53" s="1"/>
  <c r="H243" i="53"/>
  <c r="A173" i="32"/>
  <c r="B173" i="32"/>
  <c r="K173" i="32"/>
  <c r="N173" i="32"/>
  <c r="G173" i="32"/>
  <c r="J173" i="32"/>
  <c r="H173" i="32"/>
  <c r="I173" i="32"/>
  <c r="L173" i="32"/>
  <c r="M173" i="32"/>
  <c r="AL173" i="11" a="1"/>
  <c r="AL173" i="11" s="1"/>
  <c r="E174" i="32" s="1"/>
  <c r="O174" i="32" s="1"/>
  <c r="AM58" i="11" a="1"/>
  <c r="AM58" i="11" s="1"/>
  <c r="U173" i="32" l="1"/>
  <c r="AD172" i="32"/>
  <c r="AG172" i="32" s="1"/>
  <c r="AH172" i="32" s="1"/>
  <c r="F174" i="32"/>
  <c r="AU174" i="32"/>
  <c r="AT172" i="32"/>
  <c r="AC244" i="53"/>
  <c r="O244" i="53"/>
  <c r="Q173" i="32"/>
  <c r="P173" i="32" s="1"/>
  <c r="N244" i="53"/>
  <c r="T174" i="32"/>
  <c r="AA242" i="53"/>
  <c r="C172" i="32"/>
  <c r="Z172" i="32"/>
  <c r="AM173" i="32"/>
  <c r="W172" i="32"/>
  <c r="X172" i="32" s="1"/>
  <c r="S173" i="32"/>
  <c r="Z173" i="32" s="1"/>
  <c r="AJ172" i="32"/>
  <c r="V172" i="32"/>
  <c r="AE243" i="53"/>
  <c r="AF242" i="53"/>
  <c r="AK174" i="32"/>
  <c r="AL171" i="32"/>
  <c r="AI170" i="32"/>
  <c r="AN170" i="32" s="1"/>
  <c r="R243" i="53"/>
  <c r="X243" i="53" s="1"/>
  <c r="AB243" i="53" s="1"/>
  <c r="AT243" i="53"/>
  <c r="AG243" i="53"/>
  <c r="AD243" i="53"/>
  <c r="Q243" i="53"/>
  <c r="J244" i="53"/>
  <c r="D244" i="53"/>
  <c r="C244" i="53"/>
  <c r="L244" i="53"/>
  <c r="E244" i="53"/>
  <c r="I244" i="53"/>
  <c r="AK243" i="52" a="1"/>
  <c r="AK243" i="52" s="1"/>
  <c r="B245" i="53" s="1"/>
  <c r="F244" i="53"/>
  <c r="G244" i="53"/>
  <c r="K244" i="53"/>
  <c r="AH244" i="53" s="1"/>
  <c r="P244" i="53"/>
  <c r="H244" i="53"/>
  <c r="A174" i="32"/>
  <c r="B174" i="32"/>
  <c r="I174" i="32"/>
  <c r="L174" i="32"/>
  <c r="M174" i="32"/>
  <c r="H174" i="32"/>
  <c r="J174" i="32"/>
  <c r="K174" i="32"/>
  <c r="N174" i="32"/>
  <c r="G174" i="32"/>
  <c r="AL174" i="11" a="1"/>
  <c r="AL174" i="11" s="1"/>
  <c r="E175" i="32" s="1"/>
  <c r="O175" i="32" s="1"/>
  <c r="AM59" i="11" a="1"/>
  <c r="AM59" i="11" s="1"/>
  <c r="U174" i="32" l="1"/>
  <c r="F175" i="32"/>
  <c r="AU175" i="32"/>
  <c r="AT173" i="32"/>
  <c r="AD173" i="32"/>
  <c r="AG173" i="32" s="1"/>
  <c r="AH173" i="32" s="1"/>
  <c r="AC245" i="53"/>
  <c r="O245" i="53"/>
  <c r="Q174" i="32"/>
  <c r="P174" i="32" s="1"/>
  <c r="N245" i="53"/>
  <c r="T175" i="32"/>
  <c r="AA243" i="53"/>
  <c r="AM174" i="32"/>
  <c r="AJ173" i="32"/>
  <c r="W173" i="32"/>
  <c r="X173" i="32" s="1"/>
  <c r="C173" i="32"/>
  <c r="S174" i="32"/>
  <c r="V173" i="32"/>
  <c r="AE244" i="53"/>
  <c r="AF243" i="53"/>
  <c r="AK175" i="32"/>
  <c r="AL172" i="32"/>
  <c r="AI171" i="32"/>
  <c r="AN171" i="32" s="1"/>
  <c r="R244" i="53"/>
  <c r="X244" i="53" s="1"/>
  <c r="AB244" i="53" s="1"/>
  <c r="AT244" i="53"/>
  <c r="AG244" i="53"/>
  <c r="Q244" i="53"/>
  <c r="AD244" i="53"/>
  <c r="I245" i="53"/>
  <c r="D245" i="53"/>
  <c r="L245" i="53"/>
  <c r="C245" i="53"/>
  <c r="H245" i="53"/>
  <c r="E245" i="53"/>
  <c r="G245" i="53"/>
  <c r="F245" i="53"/>
  <c r="AK244" i="52" a="1"/>
  <c r="AK244" i="52" s="1"/>
  <c r="B246" i="53" s="1"/>
  <c r="J245" i="53"/>
  <c r="P245" i="53"/>
  <c r="K245" i="53"/>
  <c r="AH245" i="53" s="1"/>
  <c r="A175" i="32"/>
  <c r="B175" i="32"/>
  <c r="G175" i="32"/>
  <c r="J175" i="32"/>
  <c r="K175" i="32"/>
  <c r="N175" i="32"/>
  <c r="H175" i="32"/>
  <c r="I175" i="32"/>
  <c r="L175" i="32"/>
  <c r="M175" i="32"/>
  <c r="AL175" i="11" a="1"/>
  <c r="AL175" i="11" s="1"/>
  <c r="E176" i="32" s="1"/>
  <c r="O176" i="32" s="1"/>
  <c r="AM60" i="11" a="1"/>
  <c r="AM60" i="11" s="1"/>
  <c r="U175" i="32" l="1"/>
  <c r="AD174" i="32"/>
  <c r="AG174" i="32" s="1"/>
  <c r="AH174" i="32" s="1"/>
  <c r="F176" i="32"/>
  <c r="AU176" i="32"/>
  <c r="AT174" i="32"/>
  <c r="AC246" i="53"/>
  <c r="O246" i="53"/>
  <c r="Q175" i="32"/>
  <c r="P175" i="32" s="1"/>
  <c r="N246" i="53"/>
  <c r="T176" i="32"/>
  <c r="AA244" i="53"/>
  <c r="C174" i="32"/>
  <c r="Z174" i="32"/>
  <c r="AM175" i="32"/>
  <c r="W174" i="32"/>
  <c r="X174" i="32" s="1"/>
  <c r="AJ174" i="32"/>
  <c r="S175" i="32"/>
  <c r="Z175" i="32" s="1"/>
  <c r="V174" i="32"/>
  <c r="AF244" i="53"/>
  <c r="AE245" i="53"/>
  <c r="AK176" i="32"/>
  <c r="AL173" i="32"/>
  <c r="AI172" i="32"/>
  <c r="AN172" i="32" s="1"/>
  <c r="R245" i="53"/>
  <c r="X245" i="53" s="1"/>
  <c r="AB245" i="53" s="1"/>
  <c r="AT245" i="53"/>
  <c r="AG245" i="53"/>
  <c r="L246" i="53"/>
  <c r="Q245" i="53"/>
  <c r="AD245" i="53"/>
  <c r="I246" i="53"/>
  <c r="J246" i="53"/>
  <c r="F246" i="53"/>
  <c r="P246" i="53"/>
  <c r="G246" i="53"/>
  <c r="D246" i="53"/>
  <c r="C246" i="53"/>
  <c r="K246" i="53"/>
  <c r="AH246" i="53" s="1"/>
  <c r="AK245" i="52" a="1"/>
  <c r="AK245" i="52" s="1"/>
  <c r="B247" i="53" s="1"/>
  <c r="E246" i="53"/>
  <c r="H246" i="53"/>
  <c r="A176" i="32"/>
  <c r="B176" i="32"/>
  <c r="M176" i="32"/>
  <c r="H176" i="32"/>
  <c r="I176" i="32"/>
  <c r="L176" i="32"/>
  <c r="G176" i="32"/>
  <c r="J176" i="32"/>
  <c r="K176" i="32"/>
  <c r="N176" i="32"/>
  <c r="AL176" i="11" a="1"/>
  <c r="AL176" i="11" s="1"/>
  <c r="E177" i="32" s="1"/>
  <c r="O177" i="32" s="1"/>
  <c r="AM61" i="11" a="1"/>
  <c r="AM61" i="11" s="1"/>
  <c r="U176" i="32" l="1"/>
  <c r="F177" i="32"/>
  <c r="AU177" i="32"/>
  <c r="AT175" i="32"/>
  <c r="AD175" i="32"/>
  <c r="AG175" i="32" s="1"/>
  <c r="AH175" i="32" s="1"/>
  <c r="AC247" i="53"/>
  <c r="O247" i="53"/>
  <c r="Q176" i="32"/>
  <c r="P176" i="32" s="1"/>
  <c r="N247" i="53"/>
  <c r="T177" i="32"/>
  <c r="AA245" i="53"/>
  <c r="AM176" i="32"/>
  <c r="AJ175" i="32"/>
  <c r="W175" i="32"/>
  <c r="X175" i="32" s="1"/>
  <c r="C175" i="32"/>
  <c r="S176" i="32"/>
  <c r="V175" i="32"/>
  <c r="AE246" i="53"/>
  <c r="AF245" i="53"/>
  <c r="AK177" i="32"/>
  <c r="AL174" i="32"/>
  <c r="R246" i="53"/>
  <c r="X246" i="53" s="1"/>
  <c r="AB246" i="53" s="1"/>
  <c r="AI173" i="32"/>
  <c r="AN173" i="32" s="1"/>
  <c r="AT246" i="53"/>
  <c r="AG246" i="53"/>
  <c r="K247" i="53"/>
  <c r="AH247" i="53" s="1"/>
  <c r="Q246" i="53"/>
  <c r="AD246" i="53"/>
  <c r="G247" i="53"/>
  <c r="L247" i="53"/>
  <c r="H247" i="53"/>
  <c r="E247" i="53"/>
  <c r="P247" i="53"/>
  <c r="F247" i="53"/>
  <c r="C247" i="53"/>
  <c r="I247" i="53"/>
  <c r="AK246" i="52" a="1"/>
  <c r="AK246" i="52" s="1"/>
  <c r="B248" i="53" s="1"/>
  <c r="J247" i="53"/>
  <c r="D247" i="53"/>
  <c r="A177" i="32"/>
  <c r="B177" i="32"/>
  <c r="K177" i="32"/>
  <c r="N177" i="32"/>
  <c r="G177" i="32"/>
  <c r="J177" i="32"/>
  <c r="L177" i="32"/>
  <c r="M177" i="32"/>
  <c r="H177" i="32"/>
  <c r="I177" i="32"/>
  <c r="AL177" i="11" a="1"/>
  <c r="AL177" i="11" s="1"/>
  <c r="E178" i="32" s="1"/>
  <c r="O178" i="32" s="1"/>
  <c r="AM62" i="11" a="1"/>
  <c r="AM62" i="11" s="1"/>
  <c r="U177" i="32" l="1"/>
  <c r="AD176" i="32"/>
  <c r="AG176" i="32" s="1"/>
  <c r="AH176" i="32" s="1"/>
  <c r="F178" i="32"/>
  <c r="AU178" i="32"/>
  <c r="AT176" i="32"/>
  <c r="AC248" i="53"/>
  <c r="O248" i="53"/>
  <c r="Q177" i="32"/>
  <c r="P177" i="32" s="1"/>
  <c r="N248" i="53"/>
  <c r="T178" i="32"/>
  <c r="AA246" i="53"/>
  <c r="C176" i="32"/>
  <c r="Z176" i="32"/>
  <c r="AM177" i="32"/>
  <c r="W176" i="32"/>
  <c r="X176" i="32" s="1"/>
  <c r="S177" i="32"/>
  <c r="Z177" i="32" s="1"/>
  <c r="AJ176" i="32"/>
  <c r="V176" i="32"/>
  <c r="AE247" i="53"/>
  <c r="AF246" i="53"/>
  <c r="AK178" i="32"/>
  <c r="AL175" i="32"/>
  <c r="R247" i="53"/>
  <c r="X247" i="53" s="1"/>
  <c r="AB247" i="53" s="1"/>
  <c r="AI174" i="32"/>
  <c r="AN174" i="32" s="1"/>
  <c r="AG247" i="53"/>
  <c r="AT247" i="53"/>
  <c r="D248" i="53"/>
  <c r="AD247" i="53"/>
  <c r="Q247" i="53"/>
  <c r="L248" i="53"/>
  <c r="E248" i="53"/>
  <c r="C248" i="53"/>
  <c r="G248" i="53"/>
  <c r="AK247" i="52" a="1"/>
  <c r="AK247" i="52" s="1"/>
  <c r="B249" i="53" s="1"/>
  <c r="F248" i="53"/>
  <c r="K248" i="53"/>
  <c r="AH248" i="53" s="1"/>
  <c r="H248" i="53"/>
  <c r="J248" i="53"/>
  <c r="P248" i="53"/>
  <c r="I248" i="53"/>
  <c r="A178" i="32"/>
  <c r="B178" i="32"/>
  <c r="I178" i="32"/>
  <c r="L178" i="32"/>
  <c r="M178" i="32"/>
  <c r="H178" i="32"/>
  <c r="G178" i="32"/>
  <c r="J178" i="32"/>
  <c r="K178" i="32"/>
  <c r="N178" i="32"/>
  <c r="AL178" i="11" a="1"/>
  <c r="AL178" i="11" s="1"/>
  <c r="E179" i="32" s="1"/>
  <c r="O179" i="32" s="1"/>
  <c r="AM63" i="11" a="1"/>
  <c r="AM63" i="11" s="1"/>
  <c r="U178" i="32" l="1"/>
  <c r="F179" i="32"/>
  <c r="AU179" i="32"/>
  <c r="AT177" i="32"/>
  <c r="AD177" i="32"/>
  <c r="AG177" i="32" s="1"/>
  <c r="AH177" i="32" s="1"/>
  <c r="AC249" i="53"/>
  <c r="O249" i="53"/>
  <c r="Q178" i="32"/>
  <c r="P178" i="32" s="1"/>
  <c r="N249" i="53"/>
  <c r="T179" i="32"/>
  <c r="AA247" i="53"/>
  <c r="AM178" i="32"/>
  <c r="W177" i="32"/>
  <c r="X177" i="32" s="1"/>
  <c r="C177" i="32"/>
  <c r="AJ177" i="32"/>
  <c r="S178" i="32"/>
  <c r="Z178" i="32" s="1"/>
  <c r="V177" i="32"/>
  <c r="AF247" i="53"/>
  <c r="AE248" i="53"/>
  <c r="AK179" i="32"/>
  <c r="AL176" i="32"/>
  <c r="AI175" i="32"/>
  <c r="AN175" i="32" s="1"/>
  <c r="R248" i="53"/>
  <c r="X248" i="53" s="1"/>
  <c r="AB248" i="53" s="1"/>
  <c r="AT248" i="53"/>
  <c r="AG248" i="53"/>
  <c r="K249" i="53"/>
  <c r="AH249" i="53" s="1"/>
  <c r="AD248" i="53"/>
  <c r="Q248" i="53"/>
  <c r="E249" i="53"/>
  <c r="C249" i="53"/>
  <c r="D249" i="53"/>
  <c r="P249" i="53"/>
  <c r="F249" i="53"/>
  <c r="AK248" i="52" a="1"/>
  <c r="AK248" i="52" s="1"/>
  <c r="B250" i="53" s="1"/>
  <c r="G249" i="53"/>
  <c r="H249" i="53"/>
  <c r="I249" i="53"/>
  <c r="J249" i="53"/>
  <c r="L249" i="53"/>
  <c r="A179" i="32"/>
  <c r="B179" i="32"/>
  <c r="G179" i="32"/>
  <c r="J179" i="32"/>
  <c r="K179" i="32"/>
  <c r="N179" i="32"/>
  <c r="H179" i="32"/>
  <c r="I179" i="32"/>
  <c r="L179" i="32"/>
  <c r="M179" i="32"/>
  <c r="AL179" i="11" a="1"/>
  <c r="AL179" i="11" s="1"/>
  <c r="E180" i="32" s="1"/>
  <c r="O180" i="32" s="1"/>
  <c r="AM64" i="11" a="1"/>
  <c r="AM64" i="11" s="1"/>
  <c r="U179" i="32" l="1"/>
  <c r="F180" i="32"/>
  <c r="AU180" i="32"/>
  <c r="AT178" i="32"/>
  <c r="AD178" i="32"/>
  <c r="AG178" i="32" s="1"/>
  <c r="AH178" i="32" s="1"/>
  <c r="AC250" i="53"/>
  <c r="O250" i="53"/>
  <c r="Q179" i="32"/>
  <c r="P179" i="32" s="1"/>
  <c r="N250" i="53"/>
  <c r="T180" i="32"/>
  <c r="AA248" i="53"/>
  <c r="AM179" i="32"/>
  <c r="C178" i="32"/>
  <c r="AJ178" i="32"/>
  <c r="W178" i="32"/>
  <c r="X178" i="32" s="1"/>
  <c r="S179" i="32"/>
  <c r="Z179" i="32" s="1"/>
  <c r="V178" i="32"/>
  <c r="AE249" i="53"/>
  <c r="AF248" i="53"/>
  <c r="AK180" i="32"/>
  <c r="AL177" i="32"/>
  <c r="AI176" i="32"/>
  <c r="AN176" i="32" s="1"/>
  <c r="R249" i="53"/>
  <c r="X249" i="53" s="1"/>
  <c r="AB249" i="53" s="1"/>
  <c r="AT249" i="53"/>
  <c r="AG249" i="53"/>
  <c r="AD249" i="53"/>
  <c r="Q249" i="53"/>
  <c r="AK249" i="52" a="1"/>
  <c r="AK249" i="52" s="1"/>
  <c r="B251" i="53" s="1"/>
  <c r="J250" i="53"/>
  <c r="H250" i="53"/>
  <c r="I250" i="53"/>
  <c r="F250" i="53"/>
  <c r="E250" i="53"/>
  <c r="D250" i="53"/>
  <c r="L250" i="53"/>
  <c r="C250" i="53"/>
  <c r="G250" i="53"/>
  <c r="P250" i="53"/>
  <c r="K250" i="53"/>
  <c r="AH250" i="53" s="1"/>
  <c r="A180" i="32"/>
  <c r="B180" i="32"/>
  <c r="M180" i="32"/>
  <c r="H180" i="32"/>
  <c r="I180" i="32"/>
  <c r="L180" i="32"/>
  <c r="N180" i="32"/>
  <c r="G180" i="32"/>
  <c r="J180" i="32"/>
  <c r="K180" i="32"/>
  <c r="AL180" i="11" a="1"/>
  <c r="AL180" i="11" s="1"/>
  <c r="E181" i="32" s="1"/>
  <c r="O181" i="32" s="1"/>
  <c r="AM65" i="11" a="1"/>
  <c r="AM65" i="11" s="1"/>
  <c r="U180" i="32" l="1"/>
  <c r="F181" i="32"/>
  <c r="AU181" i="32"/>
  <c r="AT179" i="32"/>
  <c r="AD179" i="32"/>
  <c r="AG179" i="32" s="1"/>
  <c r="AH179" i="32" s="1"/>
  <c r="AC251" i="53"/>
  <c r="O251" i="53"/>
  <c r="Q180" i="32"/>
  <c r="P180" i="32" s="1"/>
  <c r="N251" i="53"/>
  <c r="T181" i="32"/>
  <c r="AA249" i="53"/>
  <c r="AM180" i="32"/>
  <c r="C179" i="32"/>
  <c r="AJ179" i="32"/>
  <c r="W179" i="32"/>
  <c r="X179" i="32" s="1"/>
  <c r="S180" i="32"/>
  <c r="Z180" i="32" s="1"/>
  <c r="V179" i="32"/>
  <c r="AE250" i="53"/>
  <c r="AF249" i="53"/>
  <c r="AK181" i="32"/>
  <c r="AL178" i="32"/>
  <c r="AI177" i="32"/>
  <c r="AN177" i="32" s="1"/>
  <c r="R250" i="53"/>
  <c r="X250" i="53" s="1"/>
  <c r="AB250" i="53" s="1"/>
  <c r="AG250" i="53"/>
  <c r="Q250" i="53"/>
  <c r="AT250" i="53"/>
  <c r="AD250" i="53"/>
  <c r="G251" i="53"/>
  <c r="I251" i="53"/>
  <c r="J251" i="53"/>
  <c r="K251" i="53"/>
  <c r="AH251" i="53" s="1"/>
  <c r="P251" i="53"/>
  <c r="AK250" i="52" a="1"/>
  <c r="AK250" i="52" s="1"/>
  <c r="B252" i="53" s="1"/>
  <c r="H251" i="53"/>
  <c r="C251" i="53"/>
  <c r="E251" i="53"/>
  <c r="F251" i="53"/>
  <c r="L251" i="53"/>
  <c r="D251" i="53"/>
  <c r="A181" i="32"/>
  <c r="B181" i="32"/>
  <c r="K181" i="32"/>
  <c r="N181" i="32"/>
  <c r="G181" i="32"/>
  <c r="J181" i="32"/>
  <c r="H181" i="32"/>
  <c r="I181" i="32"/>
  <c r="L181" i="32"/>
  <c r="M181" i="32"/>
  <c r="AL181" i="11" a="1"/>
  <c r="AL181" i="11" s="1"/>
  <c r="AM66" i="11" a="1"/>
  <c r="AM66" i="11" s="1"/>
  <c r="U181" i="32" l="1"/>
  <c r="AT180" i="32"/>
  <c r="AD180" i="32"/>
  <c r="AG180" i="32" s="1"/>
  <c r="AH180" i="32" s="1"/>
  <c r="AC252" i="53"/>
  <c r="O252" i="53"/>
  <c r="Q181" i="32"/>
  <c r="P181" i="32" s="1"/>
  <c r="N252" i="53"/>
  <c r="AA250" i="53"/>
  <c r="AM181" i="32"/>
  <c r="C180" i="32"/>
  <c r="AJ180" i="32"/>
  <c r="S181" i="32"/>
  <c r="Z181" i="32" s="1"/>
  <c r="W180" i="32"/>
  <c r="X180" i="32" s="1"/>
  <c r="AE251" i="53"/>
  <c r="AF250" i="53"/>
  <c r="AL179" i="32"/>
  <c r="AI178" i="32"/>
  <c r="AN178" i="32" s="1"/>
  <c r="R251" i="53"/>
  <c r="X251" i="53" s="1"/>
  <c r="AB251" i="53" s="1"/>
  <c r="AT251" i="53"/>
  <c r="AG251" i="53"/>
  <c r="V180" i="32"/>
  <c r="AD251" i="53"/>
  <c r="Q251" i="53"/>
  <c r="F252" i="53"/>
  <c r="L252" i="53"/>
  <c r="H252" i="53"/>
  <c r="D252" i="53"/>
  <c r="E252" i="53"/>
  <c r="G252" i="53"/>
  <c r="K252" i="53"/>
  <c r="AH252" i="53" s="1"/>
  <c r="C252" i="53"/>
  <c r="J252" i="53"/>
  <c r="AK251" i="52" a="1"/>
  <c r="AK251" i="52" s="1"/>
  <c r="B253" i="53" s="1"/>
  <c r="P252" i="53"/>
  <c r="I252" i="53"/>
  <c r="E182" i="32"/>
  <c r="O182" i="32" s="1"/>
  <c r="AL182" i="11" a="1"/>
  <c r="AL182" i="11" s="1"/>
  <c r="E183" i="32" s="1"/>
  <c r="O183" i="32" s="1"/>
  <c r="AM67" i="11" a="1"/>
  <c r="AM67" i="11" s="1"/>
  <c r="F183" i="32" l="1"/>
  <c r="AU183" i="32"/>
  <c r="F182" i="32"/>
  <c r="AU182" i="32"/>
  <c r="AT181" i="32"/>
  <c r="AD181" i="32"/>
  <c r="AG181" i="32" s="1"/>
  <c r="AH181" i="32" s="1"/>
  <c r="AC253" i="53"/>
  <c r="O253" i="53"/>
  <c r="N253" i="53"/>
  <c r="T182" i="32"/>
  <c r="T183" i="32"/>
  <c r="AA251" i="53"/>
  <c r="W181" i="32"/>
  <c r="X181" i="32" s="1"/>
  <c r="AJ181" i="32"/>
  <c r="C181" i="32"/>
  <c r="V181" i="32"/>
  <c r="AE252" i="53"/>
  <c r="AF251" i="53"/>
  <c r="AK183" i="32"/>
  <c r="AK182" i="32"/>
  <c r="AL180" i="32"/>
  <c r="R252" i="53"/>
  <c r="X252" i="53" s="1"/>
  <c r="AB252" i="53" s="1"/>
  <c r="AI179" i="32"/>
  <c r="AN179" i="32" s="1"/>
  <c r="AG252" i="53"/>
  <c r="AT252" i="53"/>
  <c r="F253" i="53"/>
  <c r="AD252" i="53"/>
  <c r="Q252" i="53"/>
  <c r="K253" i="53"/>
  <c r="AH253" i="53" s="1"/>
  <c r="C253" i="53"/>
  <c r="H253" i="53"/>
  <c r="I253" i="53"/>
  <c r="P253" i="53"/>
  <c r="G253" i="53"/>
  <c r="J253" i="53"/>
  <c r="E253" i="53"/>
  <c r="AK252" i="52" a="1"/>
  <c r="AK252" i="52" s="1"/>
  <c r="B254" i="53" s="1"/>
  <c r="L253" i="53"/>
  <c r="D253" i="53"/>
  <c r="A183" i="32"/>
  <c r="B183" i="32"/>
  <c r="A182" i="32"/>
  <c r="B182" i="32"/>
  <c r="I182" i="32"/>
  <c r="L182" i="32"/>
  <c r="M182" i="32"/>
  <c r="H182" i="32"/>
  <c r="J182" i="32"/>
  <c r="K182" i="32"/>
  <c r="N182" i="32"/>
  <c r="G182" i="32"/>
  <c r="G183" i="32"/>
  <c r="J183" i="32"/>
  <c r="K183" i="32"/>
  <c r="N183" i="32"/>
  <c r="H183" i="32"/>
  <c r="I183" i="32"/>
  <c r="L183" i="32"/>
  <c r="M183" i="32"/>
  <c r="AL183" i="11" a="1"/>
  <c r="AL183" i="11" s="1"/>
  <c r="E184" i="32" s="1"/>
  <c r="O184" i="32" s="1"/>
  <c r="AM68" i="11" a="1"/>
  <c r="AM68" i="11" s="1"/>
  <c r="U182" i="32" l="1"/>
  <c r="U183" i="32"/>
  <c r="F184" i="32"/>
  <c r="AU184" i="32"/>
  <c r="AC254" i="53"/>
  <c r="O254" i="53"/>
  <c r="Q183" i="32"/>
  <c r="P183" i="32" s="1"/>
  <c r="Q182" i="32"/>
  <c r="P182" i="32" s="1"/>
  <c r="N254" i="53"/>
  <c r="T184" i="32"/>
  <c r="AA252" i="53"/>
  <c r="AM183" i="32"/>
  <c r="AM182" i="32"/>
  <c r="S183" i="32"/>
  <c r="Z183" i="32" s="1"/>
  <c r="S182" i="32"/>
  <c r="Z182" i="32" s="1"/>
  <c r="AE253" i="53"/>
  <c r="AF252" i="53"/>
  <c r="AK184" i="32"/>
  <c r="AL181" i="32"/>
  <c r="AI180" i="32"/>
  <c r="AN180" i="32" s="1"/>
  <c r="R253" i="53"/>
  <c r="X253" i="53" s="1"/>
  <c r="AB253" i="53" s="1"/>
  <c r="AT253" i="53"/>
  <c r="AG253" i="53"/>
  <c r="C254" i="53"/>
  <c r="AD253" i="53"/>
  <c r="Q253" i="53"/>
  <c r="F254" i="53"/>
  <c r="D254" i="53"/>
  <c r="P254" i="53"/>
  <c r="AK253" i="52" a="1"/>
  <c r="AK253" i="52" s="1"/>
  <c r="B255" i="53" s="1"/>
  <c r="J254" i="53"/>
  <c r="E254" i="53"/>
  <c r="L254" i="53"/>
  <c r="K254" i="53"/>
  <c r="AH254" i="53" s="1"/>
  <c r="I254" i="53"/>
  <c r="H254" i="53"/>
  <c r="G254" i="53"/>
  <c r="A184" i="32"/>
  <c r="B184" i="32"/>
  <c r="M184" i="32"/>
  <c r="H184" i="32"/>
  <c r="I184" i="32"/>
  <c r="L184" i="32"/>
  <c r="G184" i="32"/>
  <c r="J184" i="32"/>
  <c r="K184" i="32"/>
  <c r="N184" i="32"/>
  <c r="AL184" i="11" a="1"/>
  <c r="AL184" i="11" s="1"/>
  <c r="E185" i="32" s="1"/>
  <c r="O185" i="32" s="1"/>
  <c r="AM69" i="11" a="1"/>
  <c r="AM69" i="11" s="1"/>
  <c r="U184" i="32" l="1"/>
  <c r="F185" i="32"/>
  <c r="AU185" i="32"/>
  <c r="AT183" i="32"/>
  <c r="AT182" i="32"/>
  <c r="AD182" i="32"/>
  <c r="AG182" i="32" s="1"/>
  <c r="AH182" i="32" s="1"/>
  <c r="AD183" i="32"/>
  <c r="AG183" i="32" s="1"/>
  <c r="AH183" i="32" s="1"/>
  <c r="AC255" i="53"/>
  <c r="O255" i="53"/>
  <c r="Q184" i="32"/>
  <c r="P184" i="32" s="1"/>
  <c r="N255" i="53"/>
  <c r="T185" i="32"/>
  <c r="AA253" i="53"/>
  <c r="AM184" i="32"/>
  <c r="AJ182" i="32"/>
  <c r="C182" i="32"/>
  <c r="W182" i="32"/>
  <c r="X182" i="32" s="1"/>
  <c r="AJ183" i="32"/>
  <c r="W183" i="32"/>
  <c r="X183" i="32" s="1"/>
  <c r="C183" i="32"/>
  <c r="S184" i="32"/>
  <c r="Z184" i="32" s="1"/>
  <c r="V182" i="32"/>
  <c r="V183" i="32"/>
  <c r="AE254" i="53"/>
  <c r="AF253" i="53"/>
  <c r="AK185" i="32"/>
  <c r="AI181" i="32"/>
  <c r="AN181" i="32" s="1"/>
  <c r="R254" i="53"/>
  <c r="X254" i="53" s="1"/>
  <c r="AB254" i="53" s="1"/>
  <c r="AG254" i="53"/>
  <c r="AT254" i="53"/>
  <c r="P255" i="53"/>
  <c r="AD254" i="53"/>
  <c r="Q254" i="53"/>
  <c r="AK254" i="52" a="1"/>
  <c r="AK254" i="52" s="1"/>
  <c r="B256" i="53" s="1"/>
  <c r="G255" i="53"/>
  <c r="H255" i="53"/>
  <c r="L255" i="53"/>
  <c r="D255" i="53"/>
  <c r="J255" i="53"/>
  <c r="I255" i="53"/>
  <c r="C255" i="53"/>
  <c r="E255" i="53"/>
  <c r="F255" i="53"/>
  <c r="K255" i="53"/>
  <c r="AH255" i="53" s="1"/>
  <c r="A185" i="32"/>
  <c r="B185" i="32"/>
  <c r="K185" i="32"/>
  <c r="N185" i="32"/>
  <c r="G185" i="32"/>
  <c r="J185" i="32"/>
  <c r="L185" i="32"/>
  <c r="M185" i="32"/>
  <c r="H185" i="32"/>
  <c r="I185" i="32"/>
  <c r="AL185" i="11" a="1"/>
  <c r="AL185" i="11" s="1"/>
  <c r="E186" i="32" s="1"/>
  <c r="O186" i="32" s="1"/>
  <c r="AM70" i="11" a="1"/>
  <c r="AM70" i="11" s="1"/>
  <c r="U185" i="32" l="1"/>
  <c r="F186" i="32"/>
  <c r="AU186" i="32"/>
  <c r="AT184" i="32"/>
  <c r="AD184" i="32"/>
  <c r="AG184" i="32" s="1"/>
  <c r="AH184" i="32" s="1"/>
  <c r="AC256" i="53"/>
  <c r="O256" i="53"/>
  <c r="Q185" i="32"/>
  <c r="P185" i="32" s="1"/>
  <c r="N256" i="53"/>
  <c r="T186" i="32"/>
  <c r="AA254" i="53"/>
  <c r="AM185" i="32"/>
  <c r="W184" i="32"/>
  <c r="X184" i="32" s="1"/>
  <c r="C184" i="32"/>
  <c r="AJ184" i="32"/>
  <c r="S185" i="32"/>
  <c r="Z185" i="32" s="1"/>
  <c r="V184" i="32"/>
  <c r="AE255" i="53"/>
  <c r="AF254" i="53"/>
  <c r="AK186" i="32"/>
  <c r="AL183" i="32"/>
  <c r="AL182" i="32"/>
  <c r="R255" i="53"/>
  <c r="X255" i="53" s="1"/>
  <c r="AB255" i="53" s="1"/>
  <c r="AT255" i="53"/>
  <c r="AG255" i="53"/>
  <c r="Q255" i="53"/>
  <c r="AD255" i="53"/>
  <c r="L256" i="53"/>
  <c r="G256" i="53"/>
  <c r="P256" i="53"/>
  <c r="E256" i="53"/>
  <c r="K256" i="53"/>
  <c r="AH256" i="53" s="1"/>
  <c r="C256" i="53"/>
  <c r="D256" i="53"/>
  <c r="J256" i="53"/>
  <c r="AK255" i="52" a="1"/>
  <c r="AK255" i="52" s="1"/>
  <c r="B257" i="53" s="1"/>
  <c r="I256" i="53"/>
  <c r="F256" i="53"/>
  <c r="H256" i="53"/>
  <c r="A186" i="32"/>
  <c r="B186" i="32"/>
  <c r="I186" i="32"/>
  <c r="L186" i="32"/>
  <c r="M186" i="32"/>
  <c r="H186" i="32"/>
  <c r="G186" i="32"/>
  <c r="J186" i="32"/>
  <c r="K186" i="32"/>
  <c r="N186" i="32"/>
  <c r="AL186" i="11" a="1"/>
  <c r="AL186" i="11" s="1"/>
  <c r="E187" i="32" s="1"/>
  <c r="O187" i="32" s="1"/>
  <c r="AM71" i="11" a="1"/>
  <c r="AM71" i="11" s="1"/>
  <c r="U186" i="32" l="1"/>
  <c r="F187" i="32"/>
  <c r="AU187" i="32"/>
  <c r="AT185" i="32"/>
  <c r="AD185" i="32"/>
  <c r="AG185" i="32" s="1"/>
  <c r="AH185" i="32" s="1"/>
  <c r="AC257" i="53"/>
  <c r="O257" i="53"/>
  <c r="Q186" i="32"/>
  <c r="P186" i="32" s="1"/>
  <c r="N257" i="53"/>
  <c r="T187" i="32"/>
  <c r="AA255" i="53"/>
  <c r="AM186" i="32"/>
  <c r="C185" i="32"/>
  <c r="W185" i="32"/>
  <c r="X185" i="32" s="1"/>
  <c r="S186" i="32"/>
  <c r="Z186" i="32" s="1"/>
  <c r="AJ185" i="32"/>
  <c r="V185" i="32"/>
  <c r="AE256" i="53"/>
  <c r="AF255" i="53"/>
  <c r="AK187" i="32"/>
  <c r="AL184" i="32"/>
  <c r="AI183" i="32"/>
  <c r="AN183" i="32" s="1"/>
  <c r="R256" i="53"/>
  <c r="X256" i="53" s="1"/>
  <c r="AB256" i="53" s="1"/>
  <c r="AI182" i="32"/>
  <c r="AN182" i="32" s="1"/>
  <c r="AT256" i="53"/>
  <c r="AG256" i="53"/>
  <c r="Q256" i="53"/>
  <c r="AD256" i="53"/>
  <c r="J257" i="53"/>
  <c r="F257" i="53"/>
  <c r="AK256" i="52" a="1"/>
  <c r="AK256" i="52" s="1"/>
  <c r="AK257" i="52" s="1" a="1"/>
  <c r="AK257" i="52" s="1"/>
  <c r="L257" i="53"/>
  <c r="K257" i="53"/>
  <c r="AH257" i="53" s="1"/>
  <c r="D257" i="53"/>
  <c r="E257" i="53"/>
  <c r="H257" i="53"/>
  <c r="I257" i="53"/>
  <c r="P257" i="53"/>
  <c r="P258" i="53" s="1"/>
  <c r="G257" i="53"/>
  <c r="C257" i="53"/>
  <c r="A187" i="32"/>
  <c r="B187" i="32"/>
  <c r="G187" i="32"/>
  <c r="J187" i="32"/>
  <c r="K187" i="32"/>
  <c r="N187" i="32"/>
  <c r="H187" i="32"/>
  <c r="I187" i="32"/>
  <c r="L187" i="32"/>
  <c r="M187" i="32"/>
  <c r="AL187" i="11" a="1"/>
  <c r="AL187" i="11" s="1"/>
  <c r="AM72" i="11" a="1"/>
  <c r="AM72" i="11" s="1"/>
  <c r="U187" i="32" l="1"/>
  <c r="AT186" i="32"/>
  <c r="AD186" i="32"/>
  <c r="AG186" i="32" s="1"/>
  <c r="AH186" i="32" s="1"/>
  <c r="Q187" i="32"/>
  <c r="P187" i="32" s="1"/>
  <c r="AA256" i="53"/>
  <c r="AM187" i="32"/>
  <c r="AJ186" i="32"/>
  <c r="W186" i="32"/>
  <c r="X186" i="32" s="1"/>
  <c r="C186" i="32"/>
  <c r="S187" i="32"/>
  <c r="Z187" i="32" s="1"/>
  <c r="V186" i="32"/>
  <c r="AE257" i="53"/>
  <c r="AF256" i="53"/>
  <c r="AL185" i="32"/>
  <c r="AI184" i="32"/>
  <c r="AN184" i="32" s="1"/>
  <c r="R257" i="53"/>
  <c r="X257" i="53" s="1"/>
  <c r="AB257" i="53" s="1"/>
  <c r="N154" i="22"/>
  <c r="P154" i="22" s="1"/>
  <c r="M154" i="22"/>
  <c r="O154" i="22" s="1"/>
  <c r="M150" i="22"/>
  <c r="O150" i="22" s="1"/>
  <c r="M162" i="22"/>
  <c r="O162" i="22" s="1"/>
  <c r="N156" i="22"/>
  <c r="P156" i="22" s="1"/>
  <c r="N158" i="22"/>
  <c r="P158" i="22" s="1"/>
  <c r="M155" i="22"/>
  <c r="O155" i="22" s="1"/>
  <c r="M156" i="22"/>
  <c r="O156" i="22" s="1"/>
  <c r="M159" i="22"/>
  <c r="O159" i="22" s="1"/>
  <c r="N151" i="22"/>
  <c r="P151" i="22" s="1"/>
  <c r="N155" i="22"/>
  <c r="P155" i="22" s="1"/>
  <c r="N153" i="22"/>
  <c r="P153" i="22" s="1"/>
  <c r="N159" i="22"/>
  <c r="P159" i="22" s="1"/>
  <c r="N161" i="22"/>
  <c r="P161" i="22" s="1"/>
  <c r="M152" i="22"/>
  <c r="O152" i="22" s="1"/>
  <c r="N162" i="22"/>
  <c r="P162" i="22" s="1"/>
  <c r="M161" i="22"/>
  <c r="O161" i="22" s="1"/>
  <c r="M160" i="22"/>
  <c r="O160" i="22" s="1"/>
  <c r="M153" i="22"/>
  <c r="O153" i="22" s="1"/>
  <c r="M151" i="22"/>
  <c r="O151" i="22" s="1"/>
  <c r="M158" i="22"/>
  <c r="O158" i="22" s="1"/>
  <c r="N160" i="22"/>
  <c r="P160" i="22" s="1"/>
  <c r="N157" i="22"/>
  <c r="P157" i="22" s="1"/>
  <c r="M157" i="22"/>
  <c r="O157" i="22" s="1"/>
  <c r="N152" i="22"/>
  <c r="P152" i="22" s="1"/>
  <c r="N150" i="22"/>
  <c r="P150" i="22" s="1"/>
  <c r="AG257" i="53"/>
  <c r="AH258" i="53"/>
  <c r="AT257" i="53"/>
  <c r="Q257" i="53"/>
  <c r="AD257" i="53"/>
  <c r="E188" i="32"/>
  <c r="O188" i="32" s="1"/>
  <c r="AL188" i="11" a="1"/>
  <c r="AL188" i="11" s="1"/>
  <c r="E189" i="32" s="1"/>
  <c r="O189" i="32" s="1"/>
  <c r="AM73" i="11" a="1"/>
  <c r="AM73" i="11" s="1"/>
  <c r="F189" i="32" l="1"/>
  <c r="AU189" i="32"/>
  <c r="F188" i="32"/>
  <c r="AU188" i="32"/>
  <c r="AT187" i="32"/>
  <c r="AD187" i="32"/>
  <c r="AG187" i="32" s="1"/>
  <c r="AH187" i="32" s="1"/>
  <c r="Z161" i="22"/>
  <c r="Y154" i="22"/>
  <c r="Y150" i="22"/>
  <c r="AA150" i="22" s="1"/>
  <c r="Z156" i="22"/>
  <c r="Y159" i="22"/>
  <c r="Y156" i="22"/>
  <c r="Y161" i="22"/>
  <c r="Y157" i="22"/>
  <c r="Y158" i="22"/>
  <c r="Z151" i="22"/>
  <c r="Z160" i="22"/>
  <c r="Y151" i="22"/>
  <c r="Y160" i="22"/>
  <c r="Y153" i="22"/>
  <c r="Z162" i="22"/>
  <c r="Y162" i="22"/>
  <c r="Y155" i="22"/>
  <c r="Y152" i="22"/>
  <c r="Z150" i="22"/>
  <c r="Z153" i="22"/>
  <c r="Z152" i="22"/>
  <c r="Z159" i="22"/>
  <c r="Z154" i="22"/>
  <c r="Z155" i="22"/>
  <c r="Z158" i="22"/>
  <c r="Z157" i="22"/>
  <c r="T189" i="32"/>
  <c r="T188" i="32"/>
  <c r="AA257" i="53"/>
  <c r="AJ187" i="32"/>
  <c r="W187" i="32"/>
  <c r="X187" i="32" s="1"/>
  <c r="C187" i="32"/>
  <c r="V187" i="32"/>
  <c r="AF257" i="53"/>
  <c r="AK189" i="32"/>
  <c r="AK188" i="32"/>
  <c r="AL186" i="32"/>
  <c r="AI185" i="32"/>
  <c r="AN185" i="32" s="1"/>
  <c r="Q157" i="22"/>
  <c r="R162" i="22"/>
  <c r="Q162" i="22"/>
  <c r="Q153" i="22"/>
  <c r="R155" i="22"/>
  <c r="C33" i="104" s="1"/>
  <c r="Q150" i="22"/>
  <c r="R150" i="22"/>
  <c r="C14" i="104" s="1"/>
  <c r="R160" i="22"/>
  <c r="C45" i="104" s="1"/>
  <c r="Q160" i="22"/>
  <c r="R161" i="22"/>
  <c r="C46" i="104" s="1"/>
  <c r="R151" i="22"/>
  <c r="C22" i="104" s="1"/>
  <c r="R158" i="22"/>
  <c r="C36" i="104" s="1"/>
  <c r="Q154" i="22"/>
  <c r="Q151" i="22"/>
  <c r="R153" i="22"/>
  <c r="C24" i="104" s="1"/>
  <c r="Q156" i="22"/>
  <c r="R157" i="22"/>
  <c r="C35" i="104" s="1"/>
  <c r="Q152" i="22"/>
  <c r="Q155" i="22"/>
  <c r="R152" i="22"/>
  <c r="C23" i="104" s="1"/>
  <c r="Q158" i="22"/>
  <c r="Q161" i="22"/>
  <c r="R159" i="22"/>
  <c r="Q159" i="22"/>
  <c r="R156" i="22"/>
  <c r="C34" i="104" s="1"/>
  <c r="R154" i="22"/>
  <c r="C32" i="104" s="1"/>
  <c r="A189" i="32"/>
  <c r="B189" i="32"/>
  <c r="A188" i="32"/>
  <c r="B188" i="32"/>
  <c r="K189" i="32"/>
  <c r="N189" i="32"/>
  <c r="G189" i="32"/>
  <c r="J189" i="32"/>
  <c r="H189" i="32"/>
  <c r="I189" i="32"/>
  <c r="L189" i="32"/>
  <c r="M189" i="32"/>
  <c r="M188" i="32"/>
  <c r="H188" i="32"/>
  <c r="I188" i="32"/>
  <c r="L188" i="32"/>
  <c r="N188" i="32"/>
  <c r="G188" i="32"/>
  <c r="K188" i="32"/>
  <c r="J188" i="32"/>
  <c r="AL189" i="11" a="1"/>
  <c r="AL189" i="11" s="1"/>
  <c r="E190" i="32" s="1"/>
  <c r="O190" i="32" s="1"/>
  <c r="AM74" i="11" a="1"/>
  <c r="AM74" i="11" s="1"/>
  <c r="U188" i="32" l="1"/>
  <c r="U189" i="32"/>
  <c r="C54" i="104"/>
  <c r="C55" i="104" s="1"/>
  <c r="F190" i="32"/>
  <c r="AU190" i="32"/>
  <c r="Q188" i="32"/>
  <c r="P188" i="32" s="1"/>
  <c r="Q189" i="32"/>
  <c r="P189" i="32" s="1"/>
  <c r="T190" i="32"/>
  <c r="AM189" i="32"/>
  <c r="AM188" i="32"/>
  <c r="S189" i="32"/>
  <c r="Z189" i="32" s="1"/>
  <c r="S188" i="32"/>
  <c r="Z188" i="32" s="1"/>
  <c r="C44" i="104"/>
  <c r="AK190" i="32"/>
  <c r="AL187" i="32"/>
  <c r="AI186" i="32"/>
  <c r="AN186" i="32" s="1"/>
  <c r="X2" i="53"/>
  <c r="A190" i="32"/>
  <c r="B190" i="32"/>
  <c r="I190" i="32"/>
  <c r="L190" i="32"/>
  <c r="M190" i="32"/>
  <c r="H190" i="32"/>
  <c r="J190" i="32"/>
  <c r="K190" i="32"/>
  <c r="N190" i="32"/>
  <c r="G190" i="32"/>
  <c r="AL190" i="11" a="1"/>
  <c r="AL190" i="11" s="1"/>
  <c r="E191" i="32" s="1"/>
  <c r="O191" i="32" s="1"/>
  <c r="AM75" i="11" a="1"/>
  <c r="AM75" i="11" s="1"/>
  <c r="U190" i="32" l="1"/>
  <c r="F191" i="32"/>
  <c r="AU191" i="32"/>
  <c r="AT188" i="32"/>
  <c r="AT189" i="32"/>
  <c r="AD189" i="32"/>
  <c r="AG189" i="32" s="1"/>
  <c r="AH189" i="32" s="1"/>
  <c r="AD188" i="32"/>
  <c r="AG188" i="32" s="1"/>
  <c r="AH188" i="32" s="1"/>
  <c r="Q190" i="32"/>
  <c r="P190" i="32" s="1"/>
  <c r="T191" i="32"/>
  <c r="AM190" i="32"/>
  <c r="C188" i="32"/>
  <c r="AJ188" i="32"/>
  <c r="W188" i="32"/>
  <c r="X188" i="32" s="1"/>
  <c r="AJ189" i="32"/>
  <c r="W189" i="32"/>
  <c r="X189" i="32" s="1"/>
  <c r="C189" i="32"/>
  <c r="S190" i="32"/>
  <c r="Z190" i="32" s="1"/>
  <c r="V188" i="32"/>
  <c r="V189" i="32"/>
  <c r="AK191" i="32"/>
  <c r="AI187" i="32"/>
  <c r="AN187" i="32" s="1"/>
  <c r="A191" i="32"/>
  <c r="B191" i="32"/>
  <c r="G191" i="32"/>
  <c r="J191" i="32"/>
  <c r="K191" i="32"/>
  <c r="N191" i="32"/>
  <c r="H191" i="32"/>
  <c r="I191" i="32"/>
  <c r="L191" i="32"/>
  <c r="M191" i="32"/>
  <c r="AL191" i="11" a="1"/>
  <c r="AL191" i="11" s="1"/>
  <c r="E192" i="32" s="1"/>
  <c r="O192" i="32" s="1"/>
  <c r="AM76" i="11" a="1"/>
  <c r="AM76" i="11" s="1"/>
  <c r="U191" i="32" l="1"/>
  <c r="F192" i="32"/>
  <c r="AU192" i="32"/>
  <c r="AT190" i="32"/>
  <c r="AD190" i="32"/>
  <c r="AG190" i="32" s="1"/>
  <c r="AH190" i="32" s="1"/>
  <c r="Q191" i="32"/>
  <c r="P191" i="32" s="1"/>
  <c r="T192" i="32"/>
  <c r="AM191" i="32"/>
  <c r="C190" i="32"/>
  <c r="AJ190" i="32"/>
  <c r="S191" i="32"/>
  <c r="Z191" i="32" s="1"/>
  <c r="W190" i="32"/>
  <c r="X190" i="32" s="1"/>
  <c r="AK192" i="32"/>
  <c r="AL189" i="32"/>
  <c r="AL188" i="32"/>
  <c r="V190" i="32"/>
  <c r="A192" i="32"/>
  <c r="B192" i="32"/>
  <c r="M192" i="32"/>
  <c r="H192" i="32"/>
  <c r="I192" i="32"/>
  <c r="L192" i="32"/>
  <c r="G192" i="32"/>
  <c r="J192" i="32"/>
  <c r="K192" i="32"/>
  <c r="N192" i="32"/>
  <c r="AL192" i="11" a="1"/>
  <c r="AL192" i="11" s="1"/>
  <c r="AM77" i="11" a="1"/>
  <c r="AM77" i="11" s="1"/>
  <c r="U192" i="32" l="1"/>
  <c r="H4" i="110"/>
  <c r="AT191" i="32"/>
  <c r="AD191" i="32"/>
  <c r="AG191" i="32" s="1"/>
  <c r="AH191" i="32" s="1"/>
  <c r="Q192" i="32"/>
  <c r="P192" i="32" s="1"/>
  <c r="I3" i="42"/>
  <c r="O3" i="53"/>
  <c r="J3" i="52"/>
  <c r="AM192" i="32"/>
  <c r="AJ191" i="32"/>
  <c r="W191" i="32"/>
  <c r="X191" i="32" s="1"/>
  <c r="C191" i="32"/>
  <c r="S192" i="32"/>
  <c r="Z192" i="32" s="1"/>
  <c r="V191" i="32"/>
  <c r="AL190" i="32"/>
  <c r="AI188" i="32"/>
  <c r="AN188" i="32" s="1"/>
  <c r="AI189" i="32"/>
  <c r="AN189" i="32" s="1"/>
  <c r="E193" i="32"/>
  <c r="O193" i="32" s="1"/>
  <c r="AL193" i="11" a="1"/>
  <c r="AL193" i="11" s="1"/>
  <c r="AM78" i="11" a="1"/>
  <c r="AM78" i="11" s="1"/>
  <c r="F193" i="32" l="1"/>
  <c r="AU193" i="32"/>
  <c r="AT192" i="32"/>
  <c r="AD192" i="32"/>
  <c r="AG192" i="32" s="1"/>
  <c r="AH192" i="32" s="1"/>
  <c r="O4" i="53"/>
  <c r="I4" i="42"/>
  <c r="J4" i="52"/>
  <c r="T193" i="32"/>
  <c r="AJ192" i="32"/>
  <c r="C192" i="32"/>
  <c r="W192" i="32"/>
  <c r="X192" i="32" s="1"/>
  <c r="AK193" i="32"/>
  <c r="AL191" i="32"/>
  <c r="AI190" i="32"/>
  <c r="AN190" i="32" s="1"/>
  <c r="V192" i="32"/>
  <c r="A193" i="32"/>
  <c r="B193" i="32"/>
  <c r="K193" i="32"/>
  <c r="N193" i="32"/>
  <c r="G193" i="32"/>
  <c r="J193" i="32"/>
  <c r="L193" i="32"/>
  <c r="M193" i="32"/>
  <c r="H193" i="32"/>
  <c r="I193" i="32"/>
  <c r="E194" i="32"/>
  <c r="O194" i="32" s="1"/>
  <c r="AL194" i="11" a="1"/>
  <c r="AL194" i="11" s="1"/>
  <c r="E195" i="32" s="1"/>
  <c r="O195" i="32" s="1"/>
  <c r="AM79" i="11" a="1"/>
  <c r="AM79" i="11" s="1"/>
  <c r="U193" i="32" l="1"/>
  <c r="F194" i="32"/>
  <c r="AU194" i="32"/>
  <c r="F195" i="32"/>
  <c r="AU195" i="32"/>
  <c r="Q193" i="32"/>
  <c r="P193" i="32" s="1"/>
  <c r="T195" i="32"/>
  <c r="T194" i="32"/>
  <c r="AM193" i="32"/>
  <c r="S193" i="32"/>
  <c r="Z193" i="32" s="1"/>
  <c r="AK195" i="32"/>
  <c r="AK194" i="32"/>
  <c r="AL192" i="32"/>
  <c r="AI191" i="32"/>
  <c r="AN191" i="32" s="1"/>
  <c r="A195" i="32"/>
  <c r="B195" i="32"/>
  <c r="A194" i="32"/>
  <c r="B194" i="32"/>
  <c r="G195" i="32"/>
  <c r="J195" i="32"/>
  <c r="K195" i="32"/>
  <c r="N195" i="32"/>
  <c r="H195" i="32"/>
  <c r="I195" i="32"/>
  <c r="L195" i="32"/>
  <c r="M195" i="32"/>
  <c r="I194" i="32"/>
  <c r="L194" i="32"/>
  <c r="M194" i="32"/>
  <c r="H194" i="32"/>
  <c r="G194" i="32"/>
  <c r="J194" i="32"/>
  <c r="K194" i="32"/>
  <c r="N194" i="32"/>
  <c r="AL195" i="11" a="1"/>
  <c r="AL195" i="11" s="1"/>
  <c r="E196" i="32" s="1"/>
  <c r="O196" i="32" s="1"/>
  <c r="AM80" i="11" a="1"/>
  <c r="AM80" i="11" s="1"/>
  <c r="U195" i="32" l="1"/>
  <c r="U194" i="32"/>
  <c r="F196" i="32"/>
  <c r="AU196" i="32"/>
  <c r="AT193" i="32"/>
  <c r="AD193" i="32"/>
  <c r="AG193" i="32" s="1"/>
  <c r="AH193" i="32" s="1"/>
  <c r="Q195" i="32"/>
  <c r="P195" i="32" s="1"/>
  <c r="Q194" i="32"/>
  <c r="P194" i="32" s="1"/>
  <c r="T196" i="32"/>
  <c r="AM195" i="32"/>
  <c r="AM194" i="32"/>
  <c r="W193" i="32"/>
  <c r="X193" i="32" s="1"/>
  <c r="C193" i="32"/>
  <c r="AJ193" i="32"/>
  <c r="S194" i="32"/>
  <c r="Z194" i="32" s="1"/>
  <c r="S195" i="32"/>
  <c r="V193" i="32"/>
  <c r="AK196" i="32"/>
  <c r="AI192" i="32"/>
  <c r="AN192" i="32" s="1"/>
  <c r="A196" i="32"/>
  <c r="B196" i="32"/>
  <c r="M196" i="32"/>
  <c r="H196" i="32"/>
  <c r="I196" i="32"/>
  <c r="L196" i="32"/>
  <c r="N196" i="32"/>
  <c r="G196" i="32"/>
  <c r="J196" i="32"/>
  <c r="K196" i="32"/>
  <c r="AL196" i="11" a="1"/>
  <c r="AL196" i="11" s="1"/>
  <c r="E197" i="32" s="1"/>
  <c r="O197" i="32" s="1"/>
  <c r="AM81" i="11" a="1"/>
  <c r="AM81" i="11" s="1"/>
  <c r="U196" i="32" l="1"/>
  <c r="AD195" i="32"/>
  <c r="AG195" i="32" s="1"/>
  <c r="AH195" i="32" s="1"/>
  <c r="F197" i="32"/>
  <c r="AU197" i="32"/>
  <c r="AT194" i="32"/>
  <c r="AT195" i="32"/>
  <c r="AD194" i="32"/>
  <c r="AG194" i="32" s="1"/>
  <c r="AH194" i="32" s="1"/>
  <c r="Q196" i="32"/>
  <c r="P196" i="32" s="1"/>
  <c r="T197" i="32"/>
  <c r="C195" i="32"/>
  <c r="Z195" i="32"/>
  <c r="AM196" i="32"/>
  <c r="C194" i="32"/>
  <c r="AJ194" i="32"/>
  <c r="W194" i="32"/>
  <c r="X194" i="32" s="1"/>
  <c r="S196" i="32"/>
  <c r="Z196" i="32" s="1"/>
  <c r="W195" i="32"/>
  <c r="X195" i="32" s="1"/>
  <c r="AJ195" i="32"/>
  <c r="V194" i="32"/>
  <c r="V195" i="32"/>
  <c r="AK197" i="32"/>
  <c r="AL193" i="32"/>
  <c r="A197" i="32"/>
  <c r="B197" i="32"/>
  <c r="K197" i="32"/>
  <c r="N197" i="32"/>
  <c r="G197" i="32"/>
  <c r="J197" i="32"/>
  <c r="H197" i="32"/>
  <c r="I197" i="32"/>
  <c r="L197" i="32"/>
  <c r="M197" i="32"/>
  <c r="AL197" i="11" a="1"/>
  <c r="AL197" i="11" s="1"/>
  <c r="E198" i="32" s="1"/>
  <c r="O198" i="32" s="1"/>
  <c r="AM82" i="11" a="1"/>
  <c r="AM82" i="11" s="1"/>
  <c r="U197" i="32" l="1"/>
  <c r="F198" i="32"/>
  <c r="AU198" i="32"/>
  <c r="AT196" i="32"/>
  <c r="AD196" i="32"/>
  <c r="Q197" i="32"/>
  <c r="P197" i="32" s="1"/>
  <c r="T198" i="32"/>
  <c r="AM197" i="32"/>
  <c r="C196" i="32"/>
  <c r="W196" i="32"/>
  <c r="X196" i="32" s="1"/>
  <c r="AJ196" i="32"/>
  <c r="S197" i="32"/>
  <c r="Z197" i="32" s="1"/>
  <c r="V196" i="32"/>
  <c r="AK198" i="32"/>
  <c r="AL195" i="32"/>
  <c r="AL194" i="32"/>
  <c r="AI193" i="32"/>
  <c r="AN193" i="32" s="1"/>
  <c r="A198" i="32"/>
  <c r="B198" i="32"/>
  <c r="I198" i="32"/>
  <c r="L198" i="32"/>
  <c r="M198" i="32"/>
  <c r="H198" i="32"/>
  <c r="J198" i="32"/>
  <c r="K198" i="32"/>
  <c r="N198" i="32"/>
  <c r="G198" i="32"/>
  <c r="AL198" i="11" a="1"/>
  <c r="AL198" i="11" s="1"/>
  <c r="AM83" i="11" a="1"/>
  <c r="AM83" i="11" s="1"/>
  <c r="U198" i="32" l="1"/>
  <c r="AT197" i="32"/>
  <c r="AD197" i="32"/>
  <c r="AG197" i="32" s="1"/>
  <c r="AH197" i="32" s="1"/>
  <c r="Q198" i="32"/>
  <c r="P198" i="32" s="1"/>
  <c r="AG196" i="32"/>
  <c r="AH196" i="32" s="1"/>
  <c r="AM198" i="32"/>
  <c r="AJ197" i="32"/>
  <c r="W197" i="32"/>
  <c r="X197" i="32" s="1"/>
  <c r="C197" i="32"/>
  <c r="S198" i="32"/>
  <c r="Z198" i="32" s="1"/>
  <c r="V197" i="32"/>
  <c r="AL196" i="32"/>
  <c r="AI194" i="32"/>
  <c r="AN194" i="32" s="1"/>
  <c r="AI195" i="32"/>
  <c r="AN195" i="32" s="1"/>
  <c r="E199" i="32"/>
  <c r="O199" i="32" s="1"/>
  <c r="AL199" i="11" a="1"/>
  <c r="AL199" i="11" s="1"/>
  <c r="E200" i="32" s="1"/>
  <c r="O200" i="32" s="1"/>
  <c r="AM84" i="11" a="1"/>
  <c r="AM84" i="11" s="1"/>
  <c r="F200" i="32" l="1"/>
  <c r="AU200" i="32"/>
  <c r="F199" i="32"/>
  <c r="AU199" i="32"/>
  <c r="AT198" i="32"/>
  <c r="AD198" i="32"/>
  <c r="AG198" i="32" s="1"/>
  <c r="AH198" i="32" s="1"/>
  <c r="T200" i="32"/>
  <c r="T199" i="32"/>
  <c r="C198" i="32"/>
  <c r="AJ198" i="32"/>
  <c r="W198" i="32"/>
  <c r="X198" i="32" s="1"/>
  <c r="AK199" i="32"/>
  <c r="AK200" i="32"/>
  <c r="AL197" i="32"/>
  <c r="AI196" i="32"/>
  <c r="AN196" i="32" s="1"/>
  <c r="V198" i="32"/>
  <c r="A199" i="32"/>
  <c r="B199" i="32"/>
  <c r="A200" i="32"/>
  <c r="B200" i="32"/>
  <c r="G199" i="32"/>
  <c r="L199" i="32"/>
  <c r="M199" i="32"/>
  <c r="N199" i="32"/>
  <c r="H199" i="32"/>
  <c r="I199" i="32"/>
  <c r="K199" i="32"/>
  <c r="J199" i="32"/>
  <c r="J200" i="32"/>
  <c r="K200" i="32"/>
  <c r="L200" i="32"/>
  <c r="M200" i="32"/>
  <c r="N200" i="32"/>
  <c r="G200" i="32"/>
  <c r="H200" i="32"/>
  <c r="I200" i="32"/>
  <c r="AL200" i="11" a="1"/>
  <c r="AL200" i="11" s="1"/>
  <c r="E201" i="32" s="1"/>
  <c r="O201" i="32" s="1"/>
  <c r="AM85" i="11" a="1"/>
  <c r="AM85" i="11" s="1"/>
  <c r="U199" i="32" l="1"/>
  <c r="U200" i="32"/>
  <c r="F201" i="32"/>
  <c r="AU201" i="32"/>
  <c r="Q199" i="32"/>
  <c r="P199" i="32" s="1"/>
  <c r="Q200" i="32"/>
  <c r="P200" i="32" s="1"/>
  <c r="T201" i="32"/>
  <c r="AM200" i="32"/>
  <c r="AM199" i="32"/>
  <c r="S199" i="32"/>
  <c r="Z199" i="32" s="1"/>
  <c r="S200" i="32"/>
  <c r="Z200" i="32" s="1"/>
  <c r="AK201" i="32"/>
  <c r="AL198" i="32"/>
  <c r="AI197" i="32"/>
  <c r="AN197" i="32" s="1"/>
  <c r="A201" i="32"/>
  <c r="B201" i="32"/>
  <c r="H201" i="32"/>
  <c r="I201" i="32"/>
  <c r="J201" i="32"/>
  <c r="K201" i="32"/>
  <c r="L201" i="32"/>
  <c r="M201" i="32"/>
  <c r="G201" i="32"/>
  <c r="N201" i="32"/>
  <c r="AL201" i="11" a="1"/>
  <c r="AL201" i="11" s="1"/>
  <c r="E202" i="32" s="1"/>
  <c r="O202" i="32" s="1"/>
  <c r="AM86" i="11" a="1"/>
  <c r="AM86" i="11" s="1"/>
  <c r="U201" i="32" l="1"/>
  <c r="F202" i="32"/>
  <c r="AU202" i="32"/>
  <c r="AT200" i="32"/>
  <c r="AT199" i="32"/>
  <c r="AD200" i="32"/>
  <c r="AG200" i="32" s="1"/>
  <c r="AH200" i="32" s="1"/>
  <c r="AD199" i="32"/>
  <c r="AG199" i="32" s="1"/>
  <c r="AH199" i="32" s="1"/>
  <c r="Q201" i="32"/>
  <c r="P201" i="32" s="1"/>
  <c r="T202" i="32"/>
  <c r="AM201" i="32"/>
  <c r="C200" i="32"/>
  <c r="AJ200" i="32"/>
  <c r="W199" i="32"/>
  <c r="X199" i="32" s="1"/>
  <c r="C199" i="32"/>
  <c r="AJ199" i="32"/>
  <c r="S201" i="32"/>
  <c r="Z201" i="32" s="1"/>
  <c r="W200" i="32"/>
  <c r="X200" i="32" s="1"/>
  <c r="V199" i="32"/>
  <c r="AK202" i="32"/>
  <c r="AI198" i="32"/>
  <c r="AN198" i="32" s="1"/>
  <c r="V200" i="32"/>
  <c r="A202" i="32"/>
  <c r="B202" i="32"/>
  <c r="N202" i="32"/>
  <c r="G202" i="32"/>
  <c r="H202" i="32"/>
  <c r="I202" i="32"/>
  <c r="J202" i="32"/>
  <c r="K202" i="32"/>
  <c r="L202" i="32"/>
  <c r="M202" i="32"/>
  <c r="AL202" i="11" a="1"/>
  <c r="AL202" i="11" s="1"/>
  <c r="E203" i="32" s="1"/>
  <c r="O203" i="32" s="1"/>
  <c r="AM87" i="11" a="1"/>
  <c r="AM87" i="11" s="1"/>
  <c r="U202" i="32" l="1"/>
  <c r="F203" i="32"/>
  <c r="AU203" i="32"/>
  <c r="AT201" i="32"/>
  <c r="AD201" i="32"/>
  <c r="AG201" i="32" s="1"/>
  <c r="AH201" i="32" s="1"/>
  <c r="Q202" i="32"/>
  <c r="P202" i="32" s="1"/>
  <c r="T203" i="32"/>
  <c r="AM202" i="32"/>
  <c r="W201" i="32"/>
  <c r="X201" i="32" s="1"/>
  <c r="C201" i="32"/>
  <c r="AJ201" i="32"/>
  <c r="S202" i="32"/>
  <c r="V201" i="32"/>
  <c r="AK203" i="32"/>
  <c r="AL199" i="32"/>
  <c r="AL200" i="32"/>
  <c r="A203" i="32"/>
  <c r="B203" i="32"/>
  <c r="L203" i="32"/>
  <c r="M203" i="32"/>
  <c r="N203" i="32"/>
  <c r="G203" i="32"/>
  <c r="H203" i="32"/>
  <c r="I203" i="32"/>
  <c r="J203" i="32"/>
  <c r="K203" i="32"/>
  <c r="AL203" i="11" a="1"/>
  <c r="AL203" i="11" s="1"/>
  <c r="E204" i="32" s="1"/>
  <c r="O204" i="32" s="1"/>
  <c r="AM88" i="11" a="1"/>
  <c r="AM88" i="11" s="1"/>
  <c r="U203" i="32" l="1"/>
  <c r="AD202" i="32"/>
  <c r="AG202" i="32" s="1"/>
  <c r="AH202" i="32" s="1"/>
  <c r="F204" i="32"/>
  <c r="AU204" i="32"/>
  <c r="AT202" i="32"/>
  <c r="Q203" i="32"/>
  <c r="P203" i="32" s="1"/>
  <c r="Z174" i="22"/>
  <c r="AB174" i="22" s="1"/>
  <c r="Z175" i="22"/>
  <c r="AB175" i="22" s="1"/>
  <c r="Z176" i="22"/>
  <c r="AB176" i="22" s="1"/>
  <c r="Z172" i="22"/>
  <c r="AB172" i="22" s="1"/>
  <c r="Z173" i="22"/>
  <c r="AB173" i="22" s="1"/>
  <c r="T204" i="32"/>
  <c r="C202" i="32"/>
  <c r="Z202" i="32"/>
  <c r="AM203" i="32"/>
  <c r="W202" i="32"/>
  <c r="X202" i="32" s="1"/>
  <c r="AJ202" i="32"/>
  <c r="S203" i="32"/>
  <c r="Z203" i="32" s="1"/>
  <c r="V202" i="32"/>
  <c r="AK204" i="32"/>
  <c r="AL201" i="32"/>
  <c r="AI199" i="32"/>
  <c r="AN199" i="32" s="1"/>
  <c r="AI200" i="32"/>
  <c r="AN200" i="32" s="1"/>
  <c r="Y172" i="22"/>
  <c r="AA172" i="22" s="1"/>
  <c r="Y173" i="22"/>
  <c r="AA173" i="22" s="1"/>
  <c r="Y175" i="22"/>
  <c r="AA175" i="22" s="1"/>
  <c r="Y174" i="22"/>
  <c r="AA174" i="22" s="1"/>
  <c r="Y176" i="22"/>
  <c r="AA176" i="22" s="1"/>
  <c r="A204" i="32"/>
  <c r="B204" i="32"/>
  <c r="J204" i="32"/>
  <c r="K204" i="32"/>
  <c r="L204" i="32"/>
  <c r="M204" i="32"/>
  <c r="N204" i="32"/>
  <c r="G204" i="32"/>
  <c r="H204" i="32"/>
  <c r="I204" i="32"/>
  <c r="AL204" i="11" a="1"/>
  <c r="AL204" i="11" s="1"/>
  <c r="E205" i="32" s="1"/>
  <c r="O205" i="32" s="1"/>
  <c r="AM89" i="11" a="1"/>
  <c r="AM89" i="11" s="1"/>
  <c r="U204" i="32" l="1"/>
  <c r="F205" i="32"/>
  <c r="AU205" i="32"/>
  <c r="AT203" i="32"/>
  <c r="AD203" i="32"/>
  <c r="AG203" i="32" s="1"/>
  <c r="AH203" i="32" s="1"/>
  <c r="AD173" i="22"/>
  <c r="D22" i="105" s="1"/>
  <c r="AD174" i="22"/>
  <c r="D30" i="105" s="1"/>
  <c r="AD176" i="22"/>
  <c r="D42" i="105" s="1"/>
  <c r="D43" i="105" s="1"/>
  <c r="AD175" i="22"/>
  <c r="D31" i="105" s="1"/>
  <c r="Q204" i="32"/>
  <c r="P204" i="32" s="1"/>
  <c r="T205" i="32"/>
  <c r="AM204" i="32"/>
  <c r="AJ203" i="32"/>
  <c r="C203" i="32"/>
  <c r="W203" i="32"/>
  <c r="X203" i="32" s="1"/>
  <c r="S204" i="32"/>
  <c r="V203" i="32"/>
  <c r="AK205" i="32"/>
  <c r="AL202" i="32"/>
  <c r="AI201" i="32"/>
  <c r="AN201" i="32" s="1"/>
  <c r="AC176" i="22"/>
  <c r="AC174" i="22"/>
  <c r="AC175" i="22"/>
  <c r="AC173" i="22"/>
  <c r="AC172" i="22"/>
  <c r="A205" i="32"/>
  <c r="B205" i="32"/>
  <c r="H205" i="32"/>
  <c r="I205" i="32"/>
  <c r="J205" i="32"/>
  <c r="K205" i="32"/>
  <c r="L205" i="32"/>
  <c r="M205" i="32"/>
  <c r="G205" i="32"/>
  <c r="N205" i="32"/>
  <c r="AL205" i="11" a="1"/>
  <c r="AL205" i="11" s="1"/>
  <c r="E206" i="32" s="1"/>
  <c r="O206" i="32" s="1"/>
  <c r="AM90" i="11" a="1"/>
  <c r="AM90" i="11" s="1"/>
  <c r="U205" i="32" l="1"/>
  <c r="AD204" i="32"/>
  <c r="AG204" i="32" s="1"/>
  <c r="AH204" i="32" s="1"/>
  <c r="F206" i="32"/>
  <c r="AU206" i="32"/>
  <c r="AT204" i="32"/>
  <c r="D32" i="105"/>
  <c r="Q205" i="32"/>
  <c r="P205" i="32" s="1"/>
  <c r="T206" i="32"/>
  <c r="C204" i="32"/>
  <c r="Z204" i="32"/>
  <c r="AM205" i="32"/>
  <c r="W204" i="32"/>
  <c r="X204" i="32" s="1"/>
  <c r="S205" i="32"/>
  <c r="Z205" i="32" s="1"/>
  <c r="AJ204" i="32"/>
  <c r="V204" i="32"/>
  <c r="AK206" i="32"/>
  <c r="AL203" i="32"/>
  <c r="AI202" i="32"/>
  <c r="AN202" i="32" s="1"/>
  <c r="A206" i="32"/>
  <c r="B206" i="32"/>
  <c r="N206" i="32"/>
  <c r="G206" i="32"/>
  <c r="H206" i="32"/>
  <c r="I206" i="32"/>
  <c r="J206" i="32"/>
  <c r="K206" i="32"/>
  <c r="L206" i="32"/>
  <c r="M206" i="32"/>
  <c r="AL206" i="11" a="1"/>
  <c r="AL206" i="11" s="1"/>
  <c r="E207" i="32" s="1"/>
  <c r="O207" i="32" s="1"/>
  <c r="AM91" i="11" a="1"/>
  <c r="AM91" i="11" s="1"/>
  <c r="U206" i="32" l="1"/>
  <c r="F207" i="32"/>
  <c r="AU207" i="32"/>
  <c r="AT205" i="32"/>
  <c r="AD205" i="32"/>
  <c r="AG205" i="32" s="1"/>
  <c r="AH205" i="32" s="1"/>
  <c r="Q206" i="32"/>
  <c r="P206" i="32" s="1"/>
  <c r="T207" i="32"/>
  <c r="AM206" i="32"/>
  <c r="AJ205" i="32"/>
  <c r="W205" i="32"/>
  <c r="X205" i="32" s="1"/>
  <c r="C205" i="32"/>
  <c r="S206" i="32"/>
  <c r="V205" i="32"/>
  <c r="AK207" i="32"/>
  <c r="AL204" i="32"/>
  <c r="AI203" i="32"/>
  <c r="AN203" i="32" s="1"/>
  <c r="A207" i="32"/>
  <c r="B207" i="32"/>
  <c r="L207" i="32"/>
  <c r="M207" i="32"/>
  <c r="N207" i="32"/>
  <c r="G207" i="32"/>
  <c r="H207" i="32"/>
  <c r="I207" i="32"/>
  <c r="J207" i="32"/>
  <c r="K207" i="32"/>
  <c r="AL207" i="11" a="1"/>
  <c r="AL207" i="11" s="1"/>
  <c r="E208" i="32" s="1"/>
  <c r="O208" i="32" s="1"/>
  <c r="AM92" i="11" a="1"/>
  <c r="AM92" i="11" s="1"/>
  <c r="U207" i="32" l="1"/>
  <c r="AD206" i="32"/>
  <c r="AG206" i="32" s="1"/>
  <c r="AH206" i="32" s="1"/>
  <c r="F208" i="32"/>
  <c r="AU208" i="32"/>
  <c r="AT206" i="32"/>
  <c r="Q207" i="32"/>
  <c r="P207" i="32" s="1"/>
  <c r="T208" i="32"/>
  <c r="C206" i="32"/>
  <c r="Z206" i="32"/>
  <c r="AM207" i="32"/>
  <c r="S207" i="32"/>
  <c r="Z207" i="32" s="1"/>
  <c r="W206" i="32"/>
  <c r="X206" i="32" s="1"/>
  <c r="AJ206" i="32"/>
  <c r="V206" i="32"/>
  <c r="AK208" i="32"/>
  <c r="AL205" i="32"/>
  <c r="AI204" i="32"/>
  <c r="AN204" i="32" s="1"/>
  <c r="A208" i="32"/>
  <c r="B208" i="32"/>
  <c r="J208" i="32"/>
  <c r="K208" i="32"/>
  <c r="L208" i="32"/>
  <c r="M208" i="32"/>
  <c r="N208" i="32"/>
  <c r="G208" i="32"/>
  <c r="H208" i="32"/>
  <c r="I208" i="32"/>
  <c r="AL208" i="11" a="1"/>
  <c r="AL208" i="11" s="1"/>
  <c r="AM93" i="11" a="1"/>
  <c r="AM93" i="11" s="1"/>
  <c r="U208" i="32" l="1"/>
  <c r="AT207" i="32"/>
  <c r="AD207" i="32"/>
  <c r="AG207" i="32" s="1"/>
  <c r="AH207" i="32" s="1"/>
  <c r="Q208" i="32"/>
  <c r="P208" i="32" s="1"/>
  <c r="AM208" i="32"/>
  <c r="AJ207" i="32"/>
  <c r="C207" i="32"/>
  <c r="S208" i="32"/>
  <c r="Z208" i="32" s="1"/>
  <c r="W207" i="32"/>
  <c r="X207" i="32" s="1"/>
  <c r="AL206" i="32"/>
  <c r="AI205" i="32"/>
  <c r="AN205" i="32" s="1"/>
  <c r="V207" i="32"/>
  <c r="E209" i="32"/>
  <c r="O209" i="32" s="1"/>
  <c r="AL209" i="11" a="1"/>
  <c r="AL209" i="11" s="1"/>
  <c r="E210" i="32" s="1"/>
  <c r="O210" i="32" s="1"/>
  <c r="AM94" i="11" a="1"/>
  <c r="AM94" i="11" s="1"/>
  <c r="F210" i="32" l="1"/>
  <c r="AU210" i="32"/>
  <c r="F209" i="32"/>
  <c r="AU209" i="32"/>
  <c r="AT208" i="32"/>
  <c r="AD208" i="32"/>
  <c r="AG208" i="32" s="1"/>
  <c r="AH208" i="32" s="1"/>
  <c r="T209" i="32"/>
  <c r="T210" i="32"/>
  <c r="AJ208" i="32"/>
  <c r="C208" i="32"/>
  <c r="W208" i="32"/>
  <c r="X208" i="32" s="1"/>
  <c r="V208" i="32"/>
  <c r="AK209" i="32"/>
  <c r="AK210" i="32"/>
  <c r="AL207" i="32"/>
  <c r="AI206" i="32"/>
  <c r="AN206" i="32" s="1"/>
  <c r="A210" i="32"/>
  <c r="B210" i="32"/>
  <c r="A209" i="32"/>
  <c r="B209" i="32"/>
  <c r="H209" i="32"/>
  <c r="I209" i="32"/>
  <c r="J209" i="32"/>
  <c r="K209" i="32"/>
  <c r="L209" i="32"/>
  <c r="M209" i="32"/>
  <c r="G209" i="32"/>
  <c r="N209" i="32"/>
  <c r="N210" i="32"/>
  <c r="G210" i="32"/>
  <c r="H210" i="32"/>
  <c r="I210" i="32"/>
  <c r="J210" i="32"/>
  <c r="K210" i="32"/>
  <c r="L210" i="32"/>
  <c r="M210" i="32"/>
  <c r="AL210" i="11" a="1"/>
  <c r="AL210" i="11" s="1"/>
  <c r="E211" i="32" s="1"/>
  <c r="O211" i="32" s="1"/>
  <c r="AM95" i="11" a="1"/>
  <c r="AM95" i="11" s="1"/>
  <c r="U210" i="32" l="1"/>
  <c r="U209" i="32"/>
  <c r="F211" i="32"/>
  <c r="AU211" i="32"/>
  <c r="Q209" i="32"/>
  <c r="P209" i="32" s="1"/>
  <c r="Q210" i="32"/>
  <c r="P210" i="32" s="1"/>
  <c r="T211" i="32"/>
  <c r="AM210" i="32"/>
  <c r="AM209" i="32"/>
  <c r="S209" i="32"/>
  <c r="Z209" i="32" s="1"/>
  <c r="S210" i="32"/>
  <c r="AK211" i="32"/>
  <c r="AL208" i="32"/>
  <c r="AI207" i="32"/>
  <c r="AN207" i="32" s="1"/>
  <c r="A211" i="32"/>
  <c r="B211" i="32"/>
  <c r="L211" i="32"/>
  <c r="M211" i="32"/>
  <c r="N211" i="32"/>
  <c r="G211" i="32"/>
  <c r="H211" i="32"/>
  <c r="I211" i="32"/>
  <c r="J211" i="32"/>
  <c r="K211" i="32"/>
  <c r="AL211" i="11" a="1"/>
  <c r="AL211" i="11" s="1"/>
  <c r="E212" i="32" s="1"/>
  <c r="O212" i="32" s="1"/>
  <c r="AM96" i="11" a="1"/>
  <c r="AM96" i="11" s="1"/>
  <c r="U211" i="32" l="1"/>
  <c r="AD210" i="32"/>
  <c r="AG210" i="32" s="1"/>
  <c r="AH210" i="32" s="1"/>
  <c r="F212" i="32"/>
  <c r="AU212" i="32"/>
  <c r="AT210" i="32"/>
  <c r="AT209" i="32"/>
  <c r="AD209" i="32"/>
  <c r="AG209" i="32" s="1"/>
  <c r="AH209" i="32" s="1"/>
  <c r="Q211" i="32"/>
  <c r="P211" i="32" s="1"/>
  <c r="T212" i="32"/>
  <c r="AJ210" i="32"/>
  <c r="Z210" i="32"/>
  <c r="AM211" i="32"/>
  <c r="AJ209" i="32"/>
  <c r="C209" i="32"/>
  <c r="W209" i="32"/>
  <c r="X209" i="32" s="1"/>
  <c r="C210" i="32"/>
  <c r="S211" i="32"/>
  <c r="W210" i="32"/>
  <c r="X210" i="32" s="1"/>
  <c r="V209" i="32"/>
  <c r="AK212" i="32"/>
  <c r="AI208" i="32"/>
  <c r="AN208" i="32" s="1"/>
  <c r="V210" i="32"/>
  <c r="A212" i="32"/>
  <c r="B212" i="32"/>
  <c r="J212" i="32"/>
  <c r="K212" i="32"/>
  <c r="L212" i="32"/>
  <c r="M212" i="32"/>
  <c r="N212" i="32"/>
  <c r="I212" i="32"/>
  <c r="H212" i="32"/>
  <c r="G212" i="32"/>
  <c r="AL212" i="11" a="1"/>
  <c r="AL212" i="11" s="1"/>
  <c r="E213" i="32" s="1"/>
  <c r="O213" i="32" s="1"/>
  <c r="AM97" i="11" a="1"/>
  <c r="AM97" i="11" s="1"/>
  <c r="AD211" i="32" l="1"/>
  <c r="AG211" i="32" s="1"/>
  <c r="AH211" i="32" s="1"/>
  <c r="U212" i="32"/>
  <c r="F213" i="32"/>
  <c r="AU213" i="32"/>
  <c r="AT211" i="32"/>
  <c r="Q212" i="32"/>
  <c r="P212" i="32" s="1"/>
  <c r="T213" i="32"/>
  <c r="C211" i="32"/>
  <c r="Z211" i="32"/>
  <c r="AM212" i="32"/>
  <c r="AJ211" i="32"/>
  <c r="S212" i="32"/>
  <c r="Z212" i="32" s="1"/>
  <c r="W211" i="32"/>
  <c r="X211" i="32" s="1"/>
  <c r="AK213" i="32"/>
  <c r="AL210" i="32"/>
  <c r="AL209" i="32"/>
  <c r="V211" i="32"/>
  <c r="A213" i="32"/>
  <c r="B213" i="32"/>
  <c r="H213" i="32"/>
  <c r="I213" i="32"/>
  <c r="J213" i="32"/>
  <c r="K213" i="32"/>
  <c r="L213" i="32"/>
  <c r="G213" i="32"/>
  <c r="M213" i="32"/>
  <c r="N213" i="32"/>
  <c r="AL213" i="11" a="1"/>
  <c r="AL213" i="11" s="1"/>
  <c r="E214" i="32" s="1"/>
  <c r="O214" i="32" s="1"/>
  <c r="AM98" i="11" a="1"/>
  <c r="AM98" i="11" s="1"/>
  <c r="U213" i="32" l="1"/>
  <c r="F214" i="32"/>
  <c r="AU214" i="32"/>
  <c r="AT212" i="32"/>
  <c r="AD212" i="32"/>
  <c r="AG212" i="32" s="1"/>
  <c r="AH212" i="32" s="1"/>
  <c r="Q213" i="32"/>
  <c r="P213" i="32" s="1"/>
  <c r="T214" i="32"/>
  <c r="AM213" i="32"/>
  <c r="AJ212" i="32"/>
  <c r="C212" i="32"/>
  <c r="W212" i="32"/>
  <c r="X212" i="32" s="1"/>
  <c r="S213" i="32"/>
  <c r="Z213" i="32" s="1"/>
  <c r="V212" i="32"/>
  <c r="AK214" i="32"/>
  <c r="AL211" i="32"/>
  <c r="AI209" i="32"/>
  <c r="AN209" i="32" s="1"/>
  <c r="AI210" i="32"/>
  <c r="AN210" i="32" s="1"/>
  <c r="A214" i="32"/>
  <c r="B214" i="32"/>
  <c r="N214" i="32"/>
  <c r="G214" i="32"/>
  <c r="H214" i="32"/>
  <c r="I214" i="32"/>
  <c r="J214" i="32"/>
  <c r="L214" i="32"/>
  <c r="M214" i="32"/>
  <c r="K214" i="32"/>
  <c r="AL214" i="11" a="1"/>
  <c r="AL214" i="11" s="1"/>
  <c r="E215" i="32" s="1"/>
  <c r="O215" i="32" s="1"/>
  <c r="AM99" i="11" a="1"/>
  <c r="AM99" i="11" s="1"/>
  <c r="U214" i="32" l="1"/>
  <c r="F215" i="32"/>
  <c r="AU215" i="32"/>
  <c r="AT213" i="32"/>
  <c r="AD213" i="32"/>
  <c r="AG213" i="32" s="1"/>
  <c r="AH213" i="32" s="1"/>
  <c r="Q214" i="32"/>
  <c r="P214" i="32" s="1"/>
  <c r="T215" i="32"/>
  <c r="AM214" i="32"/>
  <c r="C213" i="32"/>
  <c r="AJ213" i="32"/>
  <c r="S214" i="32"/>
  <c r="Z214" i="32" s="1"/>
  <c r="W213" i="32"/>
  <c r="X213" i="32" s="1"/>
  <c r="AK215" i="32"/>
  <c r="AL212" i="32"/>
  <c r="AI211" i="32"/>
  <c r="AN211" i="32" s="1"/>
  <c r="V213" i="32"/>
  <c r="A215" i="32"/>
  <c r="B215" i="32"/>
  <c r="L215" i="32"/>
  <c r="M215" i="32"/>
  <c r="N215" i="32"/>
  <c r="G215" i="32"/>
  <c r="H215" i="32"/>
  <c r="I215" i="32"/>
  <c r="J215" i="32"/>
  <c r="K215" i="32"/>
  <c r="AL215" i="11" a="1"/>
  <c r="AL215" i="11" s="1"/>
  <c r="E216" i="32" s="1"/>
  <c r="O216" i="32" s="1"/>
  <c r="AM100" i="11" a="1"/>
  <c r="AM100" i="11" s="1"/>
  <c r="U215" i="32" l="1"/>
  <c r="F216" i="32"/>
  <c r="AU216" i="32"/>
  <c r="AT214" i="32"/>
  <c r="AD214" i="32"/>
  <c r="AG214" i="32" s="1"/>
  <c r="AH214" i="32" s="1"/>
  <c r="Q215" i="32"/>
  <c r="P215" i="32" s="1"/>
  <c r="T216" i="32"/>
  <c r="AM215" i="32"/>
  <c r="AJ214" i="32"/>
  <c r="W214" i="32"/>
  <c r="X214" i="32" s="1"/>
  <c r="C214" i="32"/>
  <c r="S215" i="32"/>
  <c r="V214" i="32"/>
  <c r="AK216" i="32"/>
  <c r="AL213" i="32"/>
  <c r="AI212" i="32"/>
  <c r="AN212" i="32" s="1"/>
  <c r="A216" i="32"/>
  <c r="B216" i="32"/>
  <c r="J216" i="32"/>
  <c r="K216" i="32"/>
  <c r="L216" i="32"/>
  <c r="M216" i="32"/>
  <c r="N216" i="32"/>
  <c r="G216" i="32"/>
  <c r="H216" i="32"/>
  <c r="I216" i="32"/>
  <c r="AL216" i="11" a="1"/>
  <c r="AL216" i="11" s="1"/>
  <c r="E217" i="32" s="1"/>
  <c r="O217" i="32" s="1"/>
  <c r="AM101" i="11" a="1"/>
  <c r="AM101" i="11" s="1"/>
  <c r="AD215" i="32" l="1"/>
  <c r="AG215" i="32" s="1"/>
  <c r="AH215" i="32" s="1"/>
  <c r="U216" i="32"/>
  <c r="F217" i="32"/>
  <c r="AU217" i="32"/>
  <c r="AT215" i="32"/>
  <c r="Q216" i="32"/>
  <c r="P216" i="32" s="1"/>
  <c r="T217" i="32"/>
  <c r="C215" i="32"/>
  <c r="Z215" i="32"/>
  <c r="AM216" i="32"/>
  <c r="S216" i="32"/>
  <c r="Z216" i="32" s="1"/>
  <c r="AJ215" i="32"/>
  <c r="W215" i="32"/>
  <c r="X215" i="32" s="1"/>
  <c r="V215" i="32"/>
  <c r="AK217" i="32"/>
  <c r="AL214" i="32"/>
  <c r="AI213" i="32"/>
  <c r="AN213" i="32" s="1"/>
  <c r="A217" i="32"/>
  <c r="B217" i="32"/>
  <c r="H217" i="32"/>
  <c r="I217" i="32"/>
  <c r="J217" i="32"/>
  <c r="K217" i="32"/>
  <c r="L217" i="32"/>
  <c r="G217" i="32"/>
  <c r="M217" i="32"/>
  <c r="N217" i="32"/>
  <c r="AL217" i="11" a="1"/>
  <c r="AL217" i="11" s="1"/>
  <c r="E218" i="32" s="1"/>
  <c r="O218" i="32" s="1"/>
  <c r="AM102" i="11" a="1"/>
  <c r="AM102" i="11" s="1"/>
  <c r="U217" i="32" l="1"/>
  <c r="F218" i="32"/>
  <c r="AU218" i="32"/>
  <c r="AT216" i="32"/>
  <c r="AD216" i="32"/>
  <c r="AG216" i="32" s="1"/>
  <c r="AH216" i="32" s="1"/>
  <c r="Q217" i="32"/>
  <c r="P217" i="32" s="1"/>
  <c r="T218" i="32"/>
  <c r="AM217" i="32"/>
  <c r="AJ216" i="32"/>
  <c r="C216" i="32"/>
  <c r="W216" i="32"/>
  <c r="X216" i="32" s="1"/>
  <c r="S217" i="32"/>
  <c r="V216" i="32"/>
  <c r="AK218" i="32"/>
  <c r="AL215" i="32"/>
  <c r="AI214" i="32"/>
  <c r="AN214" i="32" s="1"/>
  <c r="A218" i="32"/>
  <c r="B218" i="32"/>
  <c r="N218" i="32"/>
  <c r="G218" i="32"/>
  <c r="H218" i="32"/>
  <c r="I218" i="32"/>
  <c r="J218" i="32"/>
  <c r="M218" i="32"/>
  <c r="K218" i="32"/>
  <c r="L218" i="32"/>
  <c r="AL218" i="11" a="1"/>
  <c r="AL218" i="11" s="1"/>
  <c r="AM103" i="11" a="1"/>
  <c r="AM103" i="11" s="1"/>
  <c r="U218" i="32" l="1"/>
  <c r="AD217" i="32"/>
  <c r="AG217" i="32" s="1"/>
  <c r="AH217" i="32" s="1"/>
  <c r="AT217" i="32"/>
  <c r="Q218" i="32"/>
  <c r="P218" i="32" s="1"/>
  <c r="C217" i="32"/>
  <c r="Z217" i="32"/>
  <c r="AM218" i="32"/>
  <c r="S218" i="32"/>
  <c r="Z218" i="32" s="1"/>
  <c r="W217" i="32"/>
  <c r="X217" i="32" s="1"/>
  <c r="AJ217" i="32"/>
  <c r="V217" i="32"/>
  <c r="AL216" i="32"/>
  <c r="AI215" i="32"/>
  <c r="AN215" i="32" s="1"/>
  <c r="E219" i="32"/>
  <c r="O219" i="32" s="1"/>
  <c r="AL219" i="11" a="1"/>
  <c r="AL219" i="11" s="1"/>
  <c r="E220" i="32" s="1"/>
  <c r="O220" i="32" s="1"/>
  <c r="AM104" i="11" a="1"/>
  <c r="AM104" i="11" s="1"/>
  <c r="F219" i="32" l="1"/>
  <c r="AU219" i="32"/>
  <c r="F220" i="32"/>
  <c r="AU220" i="32"/>
  <c r="AT218" i="32"/>
  <c r="AD218" i="32"/>
  <c r="AG218" i="32" s="1"/>
  <c r="AH218" i="32" s="1"/>
  <c r="T220" i="32"/>
  <c r="T219" i="32"/>
  <c r="AJ218" i="32"/>
  <c r="C218" i="32"/>
  <c r="W218" i="32"/>
  <c r="X218" i="32" s="1"/>
  <c r="AK220" i="32"/>
  <c r="AK219" i="32"/>
  <c r="AL217" i="32"/>
  <c r="AI216" i="32"/>
  <c r="AN216" i="32" s="1"/>
  <c r="V218" i="32"/>
  <c r="A220" i="32"/>
  <c r="B220" i="32"/>
  <c r="A219" i="32"/>
  <c r="B219" i="32"/>
  <c r="J220" i="32"/>
  <c r="K220" i="32"/>
  <c r="L220" i="32"/>
  <c r="M220" i="32"/>
  <c r="N220" i="32"/>
  <c r="H220" i="32"/>
  <c r="I220" i="32"/>
  <c r="G220" i="32"/>
  <c r="L219" i="32"/>
  <c r="M219" i="32"/>
  <c r="N219" i="32"/>
  <c r="G219" i="32"/>
  <c r="H219" i="32"/>
  <c r="I219" i="32"/>
  <c r="J219" i="32"/>
  <c r="K219" i="32"/>
  <c r="AL220" i="11" a="1"/>
  <c r="AL220" i="11" s="1"/>
  <c r="AM105" i="11" a="1"/>
  <c r="AM105" i="11" s="1"/>
  <c r="U219" i="32" l="1"/>
  <c r="U220" i="32"/>
  <c r="Q220" i="32"/>
  <c r="P220" i="32" s="1"/>
  <c r="Q219" i="32"/>
  <c r="P219" i="32" s="1"/>
  <c r="AM219" i="32"/>
  <c r="AM220" i="32"/>
  <c r="S219" i="32"/>
  <c r="S220" i="32"/>
  <c r="Z220" i="32" s="1"/>
  <c r="AL218" i="32"/>
  <c r="AI217" i="32"/>
  <c r="AN217" i="32" s="1"/>
  <c r="E221" i="32"/>
  <c r="O221" i="32" s="1"/>
  <c r="AL221" i="11" a="1"/>
  <c r="AL221" i="11" s="1"/>
  <c r="E222" i="32" s="1"/>
  <c r="O222" i="32" s="1"/>
  <c r="AM106" i="11" a="1"/>
  <c r="AM106" i="11" s="1"/>
  <c r="AD219" i="32" l="1"/>
  <c r="AG219" i="32" s="1"/>
  <c r="AH219" i="32" s="1"/>
  <c r="F222" i="32"/>
  <c r="AU222" i="32"/>
  <c r="F221" i="32"/>
  <c r="AU221" i="32"/>
  <c r="AT219" i="32"/>
  <c r="AT220" i="32"/>
  <c r="AD220" i="32"/>
  <c r="AG220" i="32" s="1"/>
  <c r="AH220" i="32" s="1"/>
  <c r="T221" i="32"/>
  <c r="T222" i="32"/>
  <c r="AJ219" i="32"/>
  <c r="Z219" i="32"/>
  <c r="C220" i="32"/>
  <c r="AJ220" i="32"/>
  <c r="W219" i="32"/>
  <c r="X219" i="32" s="1"/>
  <c r="C219" i="32"/>
  <c r="W220" i="32"/>
  <c r="X220" i="32" s="1"/>
  <c r="V219" i="32"/>
  <c r="AK221" i="32"/>
  <c r="AK222" i="32"/>
  <c r="AI218" i="32"/>
  <c r="AN218" i="32" s="1"/>
  <c r="V220" i="32"/>
  <c r="A221" i="32"/>
  <c r="B221" i="32"/>
  <c r="A222" i="32"/>
  <c r="B222" i="32"/>
  <c r="H221" i="32"/>
  <c r="I221" i="32"/>
  <c r="J221" i="32"/>
  <c r="K221" i="32"/>
  <c r="L221" i="32"/>
  <c r="G221" i="32"/>
  <c r="M221" i="32"/>
  <c r="N221" i="32"/>
  <c r="N222" i="32"/>
  <c r="G222" i="32"/>
  <c r="H222" i="32"/>
  <c r="I222" i="32"/>
  <c r="J222" i="32"/>
  <c r="K222" i="32"/>
  <c r="L222" i="32"/>
  <c r="M222" i="32"/>
  <c r="AL222" i="11" a="1"/>
  <c r="AL222" i="11" s="1"/>
  <c r="E223" i="32" s="1"/>
  <c r="O223" i="32" s="1"/>
  <c r="AM107" i="11" a="1"/>
  <c r="AM107" i="11" s="1"/>
  <c r="U222" i="32" l="1"/>
  <c r="U221" i="32"/>
  <c r="F223" i="32"/>
  <c r="AU223" i="32"/>
  <c r="Q221" i="32"/>
  <c r="P221" i="32" s="1"/>
  <c r="Q222" i="32"/>
  <c r="P222" i="32" s="1"/>
  <c r="T223" i="32"/>
  <c r="AM222" i="32"/>
  <c r="AM221" i="32"/>
  <c r="S222" i="32"/>
  <c r="Z222" i="32" s="1"/>
  <c r="S221" i="32"/>
  <c r="Z221" i="32" s="1"/>
  <c r="AK223" i="32"/>
  <c r="AL220" i="32"/>
  <c r="AL219" i="32"/>
  <c r="A223" i="32"/>
  <c r="B223" i="32"/>
  <c r="L223" i="32"/>
  <c r="M223" i="32"/>
  <c r="N223" i="32"/>
  <c r="G223" i="32"/>
  <c r="H223" i="32"/>
  <c r="I223" i="32"/>
  <c r="J223" i="32"/>
  <c r="K223" i="32"/>
  <c r="AL223" i="11" a="1"/>
  <c r="AL223" i="11" s="1"/>
  <c r="E224" i="32" s="1"/>
  <c r="O224" i="32" s="1"/>
  <c r="AM108" i="11" a="1"/>
  <c r="AM108" i="11" s="1"/>
  <c r="U223" i="32" l="1"/>
  <c r="F224" i="32"/>
  <c r="AU224" i="32"/>
  <c r="AT222" i="32"/>
  <c r="AT221" i="32"/>
  <c r="AD222" i="32"/>
  <c r="AG222" i="32" s="1"/>
  <c r="AH222" i="32" s="1"/>
  <c r="AD221" i="32"/>
  <c r="AG221" i="32" s="1"/>
  <c r="AH221" i="32" s="1"/>
  <c r="Q223" i="32"/>
  <c r="P223" i="32" s="1"/>
  <c r="T224" i="32"/>
  <c r="AM223" i="32"/>
  <c r="C221" i="32"/>
  <c r="AJ221" i="32"/>
  <c r="AJ222" i="32"/>
  <c r="C222" i="32"/>
  <c r="S223" i="32"/>
  <c r="Z223" i="32" s="1"/>
  <c r="W222" i="32"/>
  <c r="X222" i="32" s="1"/>
  <c r="W221" i="32"/>
  <c r="X221" i="32" s="1"/>
  <c r="AK224" i="32"/>
  <c r="AI220" i="32"/>
  <c r="AN220" i="32" s="1"/>
  <c r="AI219" i="32"/>
  <c r="AN219" i="32" s="1"/>
  <c r="V222" i="32"/>
  <c r="V221" i="32"/>
  <c r="A224" i="32"/>
  <c r="B224" i="32"/>
  <c r="J224" i="32"/>
  <c r="K224" i="32"/>
  <c r="L224" i="32"/>
  <c r="M224" i="32"/>
  <c r="N224" i="32"/>
  <c r="G224" i="32"/>
  <c r="I224" i="32"/>
  <c r="H224" i="32"/>
  <c r="AL224" i="11" a="1"/>
  <c r="AL224" i="11" s="1"/>
  <c r="E225" i="32" s="1"/>
  <c r="O225" i="32" s="1"/>
  <c r="AM109" i="11" a="1"/>
  <c r="AM109" i="11" s="1"/>
  <c r="U224" i="32" l="1"/>
  <c r="F225" i="32"/>
  <c r="AU225" i="32"/>
  <c r="AT223" i="32"/>
  <c r="AD223" i="32"/>
  <c r="AG223" i="32" s="1"/>
  <c r="AH223" i="32" s="1"/>
  <c r="Q224" i="32"/>
  <c r="P224" i="32" s="1"/>
  <c r="T225" i="32"/>
  <c r="AM224" i="32"/>
  <c r="C223" i="32"/>
  <c r="AJ223" i="32"/>
  <c r="W223" i="32"/>
  <c r="X223" i="32" s="1"/>
  <c r="S224" i="32"/>
  <c r="Z224" i="32" s="1"/>
  <c r="V223" i="32"/>
  <c r="AK225" i="32"/>
  <c r="AL221" i="32"/>
  <c r="AL222" i="32"/>
  <c r="A225" i="32"/>
  <c r="B225" i="32"/>
  <c r="H225" i="32"/>
  <c r="I225" i="32"/>
  <c r="J225" i="32"/>
  <c r="K225" i="32"/>
  <c r="L225" i="32"/>
  <c r="G225" i="32"/>
  <c r="M225" i="32"/>
  <c r="N225" i="32"/>
  <c r="AL225" i="11" a="1"/>
  <c r="AL225" i="11" s="1"/>
  <c r="E226" i="32" s="1"/>
  <c r="O226" i="32" s="1"/>
  <c r="AM110" i="11" a="1"/>
  <c r="AM110" i="11" s="1"/>
  <c r="U225" i="32" l="1"/>
  <c r="F226" i="32"/>
  <c r="AU226" i="32"/>
  <c r="AT224" i="32"/>
  <c r="AD224" i="32"/>
  <c r="AG224" i="32" s="1"/>
  <c r="AH224" i="32" s="1"/>
  <c r="Q225" i="32"/>
  <c r="P225" i="32" s="1"/>
  <c r="T226" i="32"/>
  <c r="AM225" i="32"/>
  <c r="C224" i="32"/>
  <c r="AJ224" i="32"/>
  <c r="W224" i="32"/>
  <c r="X224" i="32" s="1"/>
  <c r="S225" i="32"/>
  <c r="Z225" i="32" s="1"/>
  <c r="V224" i="32"/>
  <c r="AK226" i="32"/>
  <c r="AL223" i="32"/>
  <c r="AI222" i="32"/>
  <c r="AN222" i="32" s="1"/>
  <c r="AI221" i="32"/>
  <c r="AN221" i="32" s="1"/>
  <c r="A226" i="32"/>
  <c r="B226" i="32"/>
  <c r="N226" i="32"/>
  <c r="G226" i="32"/>
  <c r="H226" i="32"/>
  <c r="I226" i="32"/>
  <c r="J226" i="32"/>
  <c r="K226" i="32"/>
  <c r="L226" i="32"/>
  <c r="M226" i="32"/>
  <c r="AL226" i="11" a="1"/>
  <c r="AL226" i="11" s="1"/>
  <c r="E227" i="32" s="1"/>
  <c r="O227" i="32" s="1"/>
  <c r="AM111" i="11" a="1"/>
  <c r="AM111" i="11" s="1"/>
  <c r="U226" i="32" l="1"/>
  <c r="F227" i="32"/>
  <c r="AU227" i="32"/>
  <c r="AT225" i="32"/>
  <c r="AD225" i="32"/>
  <c r="AG225" i="32" s="1"/>
  <c r="AH225" i="32" s="1"/>
  <c r="Q226" i="32"/>
  <c r="P226" i="32" s="1"/>
  <c r="T227" i="32"/>
  <c r="AM226" i="32"/>
  <c r="AJ225" i="32"/>
  <c r="W225" i="32"/>
  <c r="X225" i="32" s="1"/>
  <c r="C225" i="32"/>
  <c r="S226" i="32"/>
  <c r="Z226" i="32" s="1"/>
  <c r="V225" i="32"/>
  <c r="AK227" i="32"/>
  <c r="AL224" i="32"/>
  <c r="AI223" i="32"/>
  <c r="AN223" i="32" s="1"/>
  <c r="A227" i="32"/>
  <c r="B227" i="32"/>
  <c r="L227" i="32"/>
  <c r="M227" i="32"/>
  <c r="N227" i="32"/>
  <c r="G227" i="32"/>
  <c r="H227" i="32"/>
  <c r="J227" i="32"/>
  <c r="K227" i="32"/>
  <c r="I227" i="32"/>
  <c r="AL227" i="11" a="1"/>
  <c r="AL227" i="11" s="1"/>
  <c r="E228" i="32" s="1"/>
  <c r="O228" i="32" s="1"/>
  <c r="AM112" i="11" a="1"/>
  <c r="AM112" i="11" s="1"/>
  <c r="U227" i="32" l="1"/>
  <c r="F228" i="32"/>
  <c r="AU228" i="32"/>
  <c r="AT226" i="32"/>
  <c r="AD226" i="32"/>
  <c r="AG226" i="32" s="1"/>
  <c r="AH226" i="32" s="1"/>
  <c r="Q227" i="32"/>
  <c r="P227" i="32" s="1"/>
  <c r="T228" i="32"/>
  <c r="AM227" i="32"/>
  <c r="C226" i="32"/>
  <c r="W226" i="32"/>
  <c r="X226" i="32" s="1"/>
  <c r="AJ226" i="32"/>
  <c r="S227" i="32"/>
  <c r="V226" i="32"/>
  <c r="AK228" i="32"/>
  <c r="AL225" i="32"/>
  <c r="AI224" i="32"/>
  <c r="AN224" i="32" s="1"/>
  <c r="A228" i="32"/>
  <c r="B228" i="32"/>
  <c r="J228" i="32"/>
  <c r="K228" i="32"/>
  <c r="L228" i="32"/>
  <c r="M228" i="32"/>
  <c r="N228" i="32"/>
  <c r="G228" i="32"/>
  <c r="H228" i="32"/>
  <c r="I228" i="32"/>
  <c r="AL228" i="11" a="1"/>
  <c r="AL228" i="11" s="1"/>
  <c r="AM113" i="11" a="1"/>
  <c r="AM113" i="11" s="1"/>
  <c r="U228" i="32" l="1"/>
  <c r="AD227" i="32"/>
  <c r="AG227" i="32" s="1"/>
  <c r="AH227" i="32" s="1"/>
  <c r="AT227" i="32"/>
  <c r="Q228" i="32"/>
  <c r="P228" i="32" s="1"/>
  <c r="C227" i="32"/>
  <c r="Z227" i="32"/>
  <c r="AM228" i="32"/>
  <c r="W227" i="32"/>
  <c r="X227" i="32" s="1"/>
  <c r="S228" i="32"/>
  <c r="Z228" i="32" s="1"/>
  <c r="AJ227" i="32"/>
  <c r="V227" i="32"/>
  <c r="AL226" i="32"/>
  <c r="AI225" i="32"/>
  <c r="AN225" i="32" s="1"/>
  <c r="E229" i="32"/>
  <c r="O229" i="32" s="1"/>
  <c r="AL229" i="11" a="1"/>
  <c r="AL229" i="11" s="1"/>
  <c r="E230" i="32" s="1"/>
  <c r="O230" i="32" s="1"/>
  <c r="AM114" i="11" a="1"/>
  <c r="AM114" i="11" s="1"/>
  <c r="F230" i="32" l="1"/>
  <c r="AU230" i="32"/>
  <c r="F229" i="32"/>
  <c r="AU229" i="32"/>
  <c r="AT228" i="32"/>
  <c r="AD228" i="32"/>
  <c r="AG228" i="32" s="1"/>
  <c r="AH228" i="32" s="1"/>
  <c r="T230" i="32"/>
  <c r="T229" i="32"/>
  <c r="AJ228" i="32"/>
  <c r="W228" i="32"/>
  <c r="X228" i="32" s="1"/>
  <c r="C228" i="32"/>
  <c r="V228" i="32"/>
  <c r="AK230" i="32"/>
  <c r="AK229" i="32"/>
  <c r="AL227" i="32"/>
  <c r="AI226" i="32"/>
  <c r="AN226" i="32" s="1"/>
  <c r="A230" i="32"/>
  <c r="B230" i="32"/>
  <c r="A229" i="32"/>
  <c r="B229" i="32"/>
  <c r="H229" i="32"/>
  <c r="I229" i="32"/>
  <c r="J229" i="32"/>
  <c r="K229" i="32"/>
  <c r="L229" i="32"/>
  <c r="M229" i="32"/>
  <c r="N229" i="32"/>
  <c r="G229" i="32"/>
  <c r="N230" i="32"/>
  <c r="G230" i="32"/>
  <c r="H230" i="32"/>
  <c r="I230" i="32"/>
  <c r="J230" i="32"/>
  <c r="K230" i="32"/>
  <c r="L230" i="32"/>
  <c r="M230" i="32"/>
  <c r="AL230" i="11" a="1"/>
  <c r="AL230" i="11" s="1"/>
  <c r="AM115" i="11" a="1"/>
  <c r="AM115" i="11" s="1"/>
  <c r="U230" i="32" l="1"/>
  <c r="U229" i="32"/>
  <c r="Q229" i="32"/>
  <c r="P229" i="32" s="1"/>
  <c r="Q230" i="32"/>
  <c r="P230" i="32" s="1"/>
  <c r="AM229" i="32"/>
  <c r="AM230" i="32"/>
  <c r="S229" i="32"/>
  <c r="Z229" i="32" s="1"/>
  <c r="S230" i="32"/>
  <c r="AL228" i="32"/>
  <c r="AI227" i="32"/>
  <c r="AN227" i="32" s="1"/>
  <c r="E231" i="32"/>
  <c r="O231" i="32" s="1"/>
  <c r="AL231" i="11" a="1"/>
  <c r="AL231" i="11" s="1"/>
  <c r="E232" i="32" s="1"/>
  <c r="O232" i="32" s="1"/>
  <c r="AM116" i="11" a="1"/>
  <c r="AM116" i="11" s="1"/>
  <c r="AD230" i="32" l="1"/>
  <c r="AG230" i="32" s="1"/>
  <c r="AH230" i="32" s="1"/>
  <c r="F232" i="32"/>
  <c r="AU232" i="32"/>
  <c r="F231" i="32"/>
  <c r="AU231" i="32"/>
  <c r="AT230" i="32"/>
  <c r="AT229" i="32"/>
  <c r="AD229" i="32"/>
  <c r="AG229" i="32" s="1"/>
  <c r="AH229" i="32" s="1"/>
  <c r="T231" i="32"/>
  <c r="T232" i="32"/>
  <c r="C230" i="32"/>
  <c r="Z230" i="32"/>
  <c r="AJ229" i="32"/>
  <c r="C229" i="32"/>
  <c r="AJ230" i="32"/>
  <c r="W229" i="32"/>
  <c r="X229" i="32" s="1"/>
  <c r="W230" i="32"/>
  <c r="X230" i="32" s="1"/>
  <c r="AK231" i="32"/>
  <c r="AK232" i="32"/>
  <c r="AI228" i="32"/>
  <c r="AN228" i="32" s="1"/>
  <c r="V229" i="32"/>
  <c r="V230" i="32"/>
  <c r="A231" i="32"/>
  <c r="B231" i="32"/>
  <c r="A232" i="32"/>
  <c r="B232" i="32"/>
  <c r="L231" i="32"/>
  <c r="M231" i="32"/>
  <c r="N231" i="32"/>
  <c r="G231" i="32"/>
  <c r="H231" i="32"/>
  <c r="K231" i="32"/>
  <c r="I231" i="32"/>
  <c r="J231" i="32"/>
  <c r="J232" i="32"/>
  <c r="K232" i="32"/>
  <c r="L232" i="32"/>
  <c r="M232" i="32"/>
  <c r="N232" i="32"/>
  <c r="G232" i="32"/>
  <c r="H232" i="32"/>
  <c r="I232" i="32"/>
  <c r="AL232" i="11" a="1"/>
  <c r="AL232" i="11" s="1"/>
  <c r="E233" i="32" s="1"/>
  <c r="O233" i="32" s="1"/>
  <c r="AM117" i="11" a="1"/>
  <c r="AM117" i="11" s="1"/>
  <c r="U232" i="32" l="1"/>
  <c r="U231" i="32"/>
  <c r="F233" i="32"/>
  <c r="AU233" i="32"/>
  <c r="Q232" i="32"/>
  <c r="P232" i="32" s="1"/>
  <c r="Q231" i="32"/>
  <c r="P231" i="32" s="1"/>
  <c r="T233" i="32"/>
  <c r="AM232" i="32"/>
  <c r="AM231" i="32"/>
  <c r="S232" i="32"/>
  <c r="Z232" i="32" s="1"/>
  <c r="S231" i="32"/>
  <c r="AK233" i="32"/>
  <c r="AL229" i="32"/>
  <c r="AL230" i="32"/>
  <c r="A233" i="32"/>
  <c r="B233" i="32"/>
  <c r="H233" i="32"/>
  <c r="I233" i="32"/>
  <c r="J233" i="32"/>
  <c r="K233" i="32"/>
  <c r="L233" i="32"/>
  <c r="N233" i="32"/>
  <c r="G233" i="32"/>
  <c r="M233" i="32"/>
  <c r="AL233" i="11" a="1"/>
  <c r="AL233" i="11" s="1"/>
  <c r="AM118" i="11" a="1"/>
  <c r="AM118" i="11" s="1"/>
  <c r="U233" i="32" l="1"/>
  <c r="AD231" i="32"/>
  <c r="AG231" i="32" s="1"/>
  <c r="AH231" i="32" s="1"/>
  <c r="AT231" i="32"/>
  <c r="AT232" i="32"/>
  <c r="AD232" i="32"/>
  <c r="AG232" i="32" s="1"/>
  <c r="AH232" i="32" s="1"/>
  <c r="Q233" i="32"/>
  <c r="P233" i="32" s="1"/>
  <c r="C231" i="32"/>
  <c r="Z231" i="32"/>
  <c r="AM233" i="32"/>
  <c r="C232" i="32"/>
  <c r="AJ232" i="32"/>
  <c r="AJ231" i="32"/>
  <c r="S233" i="32"/>
  <c r="Z233" i="32" s="1"/>
  <c r="W231" i="32"/>
  <c r="X231" i="32" s="1"/>
  <c r="W232" i="32"/>
  <c r="X232" i="32" s="1"/>
  <c r="V231" i="32"/>
  <c r="AI229" i="32"/>
  <c r="AN229" i="32" s="1"/>
  <c r="AI230" i="32"/>
  <c r="AN230" i="32" s="1"/>
  <c r="V232" i="32"/>
  <c r="E234" i="32"/>
  <c r="O234" i="32" s="1"/>
  <c r="AL234" i="11" a="1"/>
  <c r="AL234" i="11" s="1"/>
  <c r="E235" i="32" s="1"/>
  <c r="O235" i="32" s="1"/>
  <c r="AM119" i="11" a="1"/>
  <c r="AM119" i="11" s="1"/>
  <c r="F235" i="32" l="1"/>
  <c r="AU235" i="32"/>
  <c r="F234" i="32"/>
  <c r="AU234" i="32"/>
  <c r="AT233" i="32"/>
  <c r="AD233" i="32"/>
  <c r="AG233" i="32" s="1"/>
  <c r="AH233" i="32" s="1"/>
  <c r="T234" i="32"/>
  <c r="T235" i="32"/>
  <c r="C233" i="32"/>
  <c r="AJ233" i="32"/>
  <c r="W233" i="32"/>
  <c r="X233" i="32" s="1"/>
  <c r="V233" i="32"/>
  <c r="AK235" i="32"/>
  <c r="AK234" i="32"/>
  <c r="AL231" i="32"/>
  <c r="AL232" i="32"/>
  <c r="A235" i="32"/>
  <c r="B235" i="32"/>
  <c r="A234" i="32"/>
  <c r="B234" i="32"/>
  <c r="N234" i="32"/>
  <c r="G234" i="32"/>
  <c r="H234" i="32"/>
  <c r="I234" i="32"/>
  <c r="J234" i="32"/>
  <c r="K234" i="32"/>
  <c r="L234" i="32"/>
  <c r="M234" i="32"/>
  <c r="L235" i="32"/>
  <c r="M235" i="32"/>
  <c r="N235" i="32"/>
  <c r="G235" i="32"/>
  <c r="H235" i="32"/>
  <c r="I235" i="32"/>
  <c r="J235" i="32"/>
  <c r="K235" i="32"/>
  <c r="AL235" i="11" a="1"/>
  <c r="AL235" i="11" s="1"/>
  <c r="E236" i="32" s="1"/>
  <c r="O236" i="32" s="1"/>
  <c r="AM120" i="11" a="1"/>
  <c r="AM120" i="11" s="1"/>
  <c r="U235" i="32" l="1"/>
  <c r="U234" i="32"/>
  <c r="F236" i="32"/>
  <c r="AU236" i="32"/>
  <c r="Q234" i="32"/>
  <c r="P234" i="32" s="1"/>
  <c r="Q235" i="32"/>
  <c r="P235" i="32" s="1"/>
  <c r="T236" i="32"/>
  <c r="AM235" i="32"/>
  <c r="AM234" i="32"/>
  <c r="S235" i="32"/>
  <c r="Z235" i="32" s="1"/>
  <c r="S234" i="32"/>
  <c r="Z234" i="32" s="1"/>
  <c r="AK236" i="32"/>
  <c r="AL233" i="32"/>
  <c r="AI231" i="32"/>
  <c r="AN231" i="32" s="1"/>
  <c r="AI232" i="32"/>
  <c r="AN232" i="32" s="1"/>
  <c r="A236" i="32"/>
  <c r="B236" i="32"/>
  <c r="K236" i="32"/>
  <c r="L236" i="32"/>
  <c r="M236" i="32"/>
  <c r="N236" i="32"/>
  <c r="G236" i="32"/>
  <c r="H236" i="32"/>
  <c r="I236" i="32"/>
  <c r="J236" i="32"/>
  <c r="AL236" i="11" a="1"/>
  <c r="AL236" i="11" s="1"/>
  <c r="AM121" i="11" a="1"/>
  <c r="AM121" i="11" s="1"/>
  <c r="U236" i="32" l="1"/>
  <c r="AT235" i="32"/>
  <c r="AT234" i="32"/>
  <c r="AD234" i="32"/>
  <c r="AD235" i="32"/>
  <c r="AG235" i="32" s="1"/>
  <c r="AH235" i="32" s="1"/>
  <c r="Q236" i="32"/>
  <c r="P236" i="32" s="1"/>
  <c r="AM236" i="32"/>
  <c r="AJ234" i="32"/>
  <c r="C234" i="32"/>
  <c r="C235" i="32"/>
  <c r="AJ235" i="32"/>
  <c r="S236" i="32"/>
  <c r="W235" i="32"/>
  <c r="X235" i="32" s="1"/>
  <c r="W234" i="32"/>
  <c r="X234" i="32" s="1"/>
  <c r="AI233" i="32"/>
  <c r="AN233" i="32" s="1"/>
  <c r="V234" i="32"/>
  <c r="V235" i="32"/>
  <c r="E237" i="32"/>
  <c r="O237" i="32" s="1"/>
  <c r="AL237" i="11" a="1"/>
  <c r="AL237" i="11" s="1"/>
  <c r="E238" i="32" s="1"/>
  <c r="O238" i="32" s="1"/>
  <c r="AM122" i="11" a="1"/>
  <c r="AM122" i="11" s="1"/>
  <c r="AD236" i="32" l="1"/>
  <c r="AG236" i="32" s="1"/>
  <c r="AH236" i="32" s="1"/>
  <c r="F238" i="32"/>
  <c r="AU238" i="32"/>
  <c r="F237" i="32"/>
  <c r="AU237" i="32"/>
  <c r="AT236" i="32"/>
  <c r="T238" i="32"/>
  <c r="T237" i="32"/>
  <c r="AG234" i="32"/>
  <c r="AH234" i="32" s="1"/>
  <c r="C236" i="32"/>
  <c r="Z236" i="32"/>
  <c r="AJ236" i="32"/>
  <c r="W236" i="32"/>
  <c r="X236" i="32" s="1"/>
  <c r="V236" i="32"/>
  <c r="AK237" i="32"/>
  <c r="AK238" i="32"/>
  <c r="AL234" i="32"/>
  <c r="AL235" i="32"/>
  <c r="A238" i="32"/>
  <c r="B238" i="32"/>
  <c r="A237" i="32"/>
  <c r="B237" i="32"/>
  <c r="G238" i="32"/>
  <c r="H238" i="32"/>
  <c r="I238" i="32"/>
  <c r="J238" i="32"/>
  <c r="N238" i="32"/>
  <c r="M238" i="32"/>
  <c r="K238" i="32"/>
  <c r="L238" i="32"/>
  <c r="I237" i="32"/>
  <c r="J237" i="32"/>
  <c r="K237" i="32"/>
  <c r="L237" i="32"/>
  <c r="M237" i="32"/>
  <c r="N237" i="32"/>
  <c r="G237" i="32"/>
  <c r="H237" i="32"/>
  <c r="AL238" i="11" a="1"/>
  <c r="AL238" i="11" s="1"/>
  <c r="AM123" i="11" a="1"/>
  <c r="AM123" i="11" s="1"/>
  <c r="U237" i="32" l="1"/>
  <c r="U238" i="32"/>
  <c r="Q237" i="32"/>
  <c r="P237" i="32" s="1"/>
  <c r="Q238" i="32"/>
  <c r="P238" i="32" s="1"/>
  <c r="AM237" i="32"/>
  <c r="AM238" i="32"/>
  <c r="S237" i="32"/>
  <c r="Z237" i="32" s="1"/>
  <c r="S238" i="32"/>
  <c r="Z238" i="32" s="1"/>
  <c r="AL236" i="32"/>
  <c r="AI235" i="32"/>
  <c r="AN235" i="32" s="1"/>
  <c r="AI234" i="32"/>
  <c r="AN234" i="32" s="1"/>
  <c r="E239" i="32"/>
  <c r="O239" i="32" s="1"/>
  <c r="AL239" i="11" a="1"/>
  <c r="AL239" i="11" s="1"/>
  <c r="E240" i="32" s="1"/>
  <c r="O240" i="32" s="1"/>
  <c r="AM124" i="11" a="1"/>
  <c r="AM124" i="11" s="1"/>
  <c r="F240" i="32" l="1"/>
  <c r="AU240" i="32"/>
  <c r="F239" i="32"/>
  <c r="AU239" i="32"/>
  <c r="AT238" i="32"/>
  <c r="AT237" i="32"/>
  <c r="AD238" i="32"/>
  <c r="AG238" i="32" s="1"/>
  <c r="AH238" i="32" s="1"/>
  <c r="AD237" i="32"/>
  <c r="AG237" i="32" s="1"/>
  <c r="AH237" i="32" s="1"/>
  <c r="T239" i="32"/>
  <c r="T240" i="32"/>
  <c r="W238" i="32"/>
  <c r="X238" i="32" s="1"/>
  <c r="C238" i="32"/>
  <c r="AJ238" i="32"/>
  <c r="C237" i="32"/>
  <c r="W237" i="32"/>
  <c r="X237" i="32" s="1"/>
  <c r="AJ237" i="32"/>
  <c r="V237" i="32"/>
  <c r="V238" i="32"/>
  <c r="AK239" i="32"/>
  <c r="AK240" i="32"/>
  <c r="AI236" i="32"/>
  <c r="AN236" i="32" s="1"/>
  <c r="A240" i="32"/>
  <c r="B240" i="32"/>
  <c r="A239" i="32"/>
  <c r="B239" i="32"/>
  <c r="K240" i="32"/>
  <c r="M240" i="32"/>
  <c r="N240" i="32"/>
  <c r="J240" i="32"/>
  <c r="L240" i="32"/>
  <c r="G240" i="32"/>
  <c r="I240" i="32"/>
  <c r="H240" i="32"/>
  <c r="M239" i="32"/>
  <c r="G239" i="32"/>
  <c r="H239" i="32"/>
  <c r="I239" i="32"/>
  <c r="J239" i="32"/>
  <c r="K239" i="32"/>
  <c r="L239" i="32"/>
  <c r="N239" i="32"/>
  <c r="AL240" i="11" a="1"/>
  <c r="AL240" i="11" s="1"/>
  <c r="E241" i="32" s="1"/>
  <c r="O241" i="32" s="1"/>
  <c r="AM125" i="11" a="1"/>
  <c r="AM125" i="11" s="1"/>
  <c r="U240" i="32" l="1"/>
  <c r="U239" i="32"/>
  <c r="F241" i="32"/>
  <c r="AU241" i="32"/>
  <c r="Q239" i="32"/>
  <c r="P239" i="32" s="1"/>
  <c r="Q240" i="32"/>
  <c r="P240" i="32" s="1"/>
  <c r="T241" i="32"/>
  <c r="AM239" i="32"/>
  <c r="AM240" i="32"/>
  <c r="S240" i="32"/>
  <c r="Z240" i="32" s="1"/>
  <c r="S239" i="32"/>
  <c r="Z239" i="32" s="1"/>
  <c r="AK241" i="32"/>
  <c r="AL237" i="32"/>
  <c r="AL238" i="32"/>
  <c r="A241" i="32"/>
  <c r="B241" i="32"/>
  <c r="I241" i="32"/>
  <c r="K241" i="32"/>
  <c r="L241" i="32"/>
  <c r="N241" i="32"/>
  <c r="J241" i="32"/>
  <c r="G241" i="32"/>
  <c r="H241" i="32"/>
  <c r="M241" i="32"/>
  <c r="AL241" i="11" a="1"/>
  <c r="AL241" i="11" s="1"/>
  <c r="E242" i="32" s="1"/>
  <c r="O242" i="32" s="1"/>
  <c r="AM126" i="11" a="1"/>
  <c r="AM126" i="11" s="1"/>
  <c r="U241" i="32" l="1"/>
  <c r="F242" i="32"/>
  <c r="AU242" i="32"/>
  <c r="AT240" i="32"/>
  <c r="AT239" i="32"/>
  <c r="AD239" i="32"/>
  <c r="AG239" i="32" s="1"/>
  <c r="AH239" i="32" s="1"/>
  <c r="AD240" i="32"/>
  <c r="AG240" i="32" s="1"/>
  <c r="AH240" i="32" s="1"/>
  <c r="Q241" i="32"/>
  <c r="P241" i="32" s="1"/>
  <c r="T242" i="32"/>
  <c r="AM241" i="32"/>
  <c r="AJ239" i="32"/>
  <c r="W239" i="32"/>
  <c r="X239" i="32" s="1"/>
  <c r="C239" i="32"/>
  <c r="AJ240" i="32"/>
  <c r="W240" i="32"/>
  <c r="X240" i="32" s="1"/>
  <c r="C240" i="32"/>
  <c r="S241" i="32"/>
  <c r="Z241" i="32" s="1"/>
  <c r="V239" i="32"/>
  <c r="V240" i="32"/>
  <c r="AK242" i="32"/>
  <c r="AI238" i="32"/>
  <c r="AN238" i="32" s="1"/>
  <c r="AI237" i="32"/>
  <c r="AN237" i="32" s="1"/>
  <c r="A242" i="32"/>
  <c r="B242" i="32"/>
  <c r="G242" i="32"/>
  <c r="I242" i="32"/>
  <c r="J242" i="32"/>
  <c r="M242" i="32"/>
  <c r="H242" i="32"/>
  <c r="L242" i="32"/>
  <c r="K242" i="32"/>
  <c r="N242" i="32"/>
  <c r="AL242" i="11" a="1"/>
  <c r="AL242" i="11" s="1"/>
  <c r="E243" i="32" s="1"/>
  <c r="O243" i="32" s="1"/>
  <c r="AM127" i="11" a="1"/>
  <c r="AM127" i="11" s="1"/>
  <c r="U242" i="32" l="1"/>
  <c r="F243" i="32"/>
  <c r="AU243" i="32"/>
  <c r="AT241" i="32"/>
  <c r="AD241" i="32"/>
  <c r="AG241" i="32" s="1"/>
  <c r="AH241" i="32" s="1"/>
  <c r="Q242" i="32"/>
  <c r="P242" i="32" s="1"/>
  <c r="T243" i="32"/>
  <c r="AM242" i="32"/>
  <c r="C241" i="32"/>
  <c r="AJ241" i="32"/>
  <c r="W241" i="32"/>
  <c r="X241" i="32" s="1"/>
  <c r="S242" i="32"/>
  <c r="Z242" i="32" s="1"/>
  <c r="V241" i="32"/>
  <c r="AK243" i="32"/>
  <c r="AL239" i="32"/>
  <c r="AL240" i="32"/>
  <c r="A243" i="32"/>
  <c r="B243" i="32"/>
  <c r="M243" i="32"/>
  <c r="G243" i="32"/>
  <c r="H243" i="32"/>
  <c r="I243" i="32"/>
  <c r="J243" i="32"/>
  <c r="K243" i="32"/>
  <c r="L243" i="32"/>
  <c r="N243" i="32"/>
  <c r="AL243" i="11" a="1"/>
  <c r="AL243" i="11" s="1"/>
  <c r="E244" i="32" s="1"/>
  <c r="O244" i="32" s="1"/>
  <c r="AM128" i="11" a="1"/>
  <c r="AM128" i="11" s="1"/>
  <c r="U243" i="32" l="1"/>
  <c r="F244" i="32"/>
  <c r="AU244" i="32"/>
  <c r="AT242" i="32"/>
  <c r="AD242" i="32"/>
  <c r="AG242" i="32" s="1"/>
  <c r="AH242" i="32" s="1"/>
  <c r="Q243" i="32"/>
  <c r="P243" i="32" s="1"/>
  <c r="T244" i="32"/>
  <c r="AM243" i="32"/>
  <c r="C242" i="32"/>
  <c r="AJ242" i="32"/>
  <c r="W242" i="32"/>
  <c r="X242" i="32" s="1"/>
  <c r="S243" i="32"/>
  <c r="V242" i="32"/>
  <c r="AK244" i="32"/>
  <c r="AL241" i="32"/>
  <c r="AI240" i="32"/>
  <c r="AN240" i="32" s="1"/>
  <c r="AI239" i="32"/>
  <c r="AN239" i="32" s="1"/>
  <c r="A244" i="32"/>
  <c r="B244" i="32"/>
  <c r="K244" i="32"/>
  <c r="M244" i="32"/>
  <c r="N244" i="32"/>
  <c r="I244" i="32"/>
  <c r="J244" i="32"/>
  <c r="L244" i="32"/>
  <c r="H244" i="32"/>
  <c r="G244" i="32"/>
  <c r="AL244" i="11" a="1"/>
  <c r="AL244" i="11" s="1"/>
  <c r="E245" i="32" s="1"/>
  <c r="O245" i="32" s="1"/>
  <c r="AM129" i="11" a="1"/>
  <c r="AM129" i="11" s="1"/>
  <c r="AD243" i="32" l="1"/>
  <c r="AG243" i="32" s="1"/>
  <c r="AH243" i="32" s="1"/>
  <c r="U244" i="32"/>
  <c r="F245" i="32"/>
  <c r="AU245" i="32"/>
  <c r="AT243" i="32"/>
  <c r="Q244" i="32"/>
  <c r="P244" i="32" s="1"/>
  <c r="T245" i="32"/>
  <c r="C243" i="32"/>
  <c r="Z243" i="32"/>
  <c r="AM244" i="32"/>
  <c r="S244" i="32"/>
  <c r="Z244" i="32" s="1"/>
  <c r="W243" i="32"/>
  <c r="X243" i="32" s="1"/>
  <c r="AJ243" i="32"/>
  <c r="V243" i="32"/>
  <c r="AK245" i="32"/>
  <c r="AL242" i="32"/>
  <c r="AI241" i="32"/>
  <c r="AN241" i="32" s="1"/>
  <c r="A245" i="32"/>
  <c r="B245" i="32"/>
  <c r="I245" i="32"/>
  <c r="K245" i="32"/>
  <c r="L245" i="32"/>
  <c r="M245" i="32"/>
  <c r="N245" i="32"/>
  <c r="G245" i="32"/>
  <c r="H245" i="32"/>
  <c r="J245" i="32"/>
  <c r="AL245" i="11" a="1"/>
  <c r="AL245" i="11" s="1"/>
  <c r="E246" i="32" s="1"/>
  <c r="O246" i="32" s="1"/>
  <c r="AM130" i="11" a="1"/>
  <c r="AM130" i="11" s="1"/>
  <c r="U245" i="32" l="1"/>
  <c r="F246" i="32"/>
  <c r="AU246" i="32"/>
  <c r="AT244" i="32"/>
  <c r="AD244" i="32"/>
  <c r="AG244" i="32" s="1"/>
  <c r="AH244" i="32" s="1"/>
  <c r="Q245" i="32"/>
  <c r="P245" i="32" s="1"/>
  <c r="T246" i="32"/>
  <c r="AM245" i="32"/>
  <c r="AJ244" i="32"/>
  <c r="W244" i="32"/>
  <c r="X244" i="32" s="1"/>
  <c r="C244" i="32"/>
  <c r="S245" i="32"/>
  <c r="Z245" i="32" s="1"/>
  <c r="V244" i="32"/>
  <c r="AK246" i="32"/>
  <c r="AL243" i="32"/>
  <c r="AI242" i="32"/>
  <c r="AN242" i="32" s="1"/>
  <c r="A246" i="32"/>
  <c r="B246" i="32"/>
  <c r="G246" i="32"/>
  <c r="I246" i="32"/>
  <c r="J246" i="32"/>
  <c r="N246" i="32"/>
  <c r="K246" i="32"/>
  <c r="L246" i="32"/>
  <c r="H246" i="32"/>
  <c r="M246" i="32"/>
  <c r="AL246" i="11" a="1"/>
  <c r="AL246" i="11" s="1"/>
  <c r="E247" i="32" s="1"/>
  <c r="O247" i="32" s="1"/>
  <c r="AM131" i="11" a="1"/>
  <c r="AM131" i="11" s="1"/>
  <c r="U246" i="32" l="1"/>
  <c r="F247" i="32"/>
  <c r="AU247" i="32"/>
  <c r="AT245" i="32"/>
  <c r="AD245" i="32"/>
  <c r="AG245" i="32" s="1"/>
  <c r="AH245" i="32" s="1"/>
  <c r="Q246" i="32"/>
  <c r="P246" i="32" s="1"/>
  <c r="T247" i="32"/>
  <c r="AM246" i="32"/>
  <c r="AJ245" i="32"/>
  <c r="C245" i="32"/>
  <c r="W245" i="32"/>
  <c r="X245" i="32" s="1"/>
  <c r="S246" i="32"/>
  <c r="Z246" i="32" s="1"/>
  <c r="V245" i="32"/>
  <c r="AK247" i="32"/>
  <c r="AL244" i="32"/>
  <c r="AI243" i="32"/>
  <c r="AN243" i="32" s="1"/>
  <c r="A247" i="32"/>
  <c r="B247" i="32"/>
  <c r="M247" i="32"/>
  <c r="G247" i="32"/>
  <c r="H247" i="32"/>
  <c r="I247" i="32"/>
  <c r="J247" i="32"/>
  <c r="K247" i="32"/>
  <c r="L247" i="32"/>
  <c r="N247" i="32"/>
  <c r="AL247" i="11" a="1"/>
  <c r="AL247" i="11" s="1"/>
  <c r="AM132" i="11" a="1"/>
  <c r="AM132" i="11" s="1"/>
  <c r="U247" i="32" l="1"/>
  <c r="AT246" i="32"/>
  <c r="AD246" i="32"/>
  <c r="AG246" i="32" s="1"/>
  <c r="AH246" i="32" s="1"/>
  <c r="Q247" i="32"/>
  <c r="P247" i="32" s="1"/>
  <c r="AM247" i="32"/>
  <c r="C246" i="32"/>
  <c r="W246" i="32"/>
  <c r="X246" i="32" s="1"/>
  <c r="AJ246" i="32"/>
  <c r="S247" i="32"/>
  <c r="V246" i="32"/>
  <c r="AL245" i="32"/>
  <c r="AI244" i="32"/>
  <c r="AN244" i="32" s="1"/>
  <c r="E248" i="32"/>
  <c r="O248" i="32" s="1"/>
  <c r="AL248" i="11" a="1"/>
  <c r="AL248" i="11" s="1"/>
  <c r="E249" i="32" s="1"/>
  <c r="O249" i="32" s="1"/>
  <c r="AM133" i="11" a="1"/>
  <c r="AM133" i="11" s="1"/>
  <c r="AD247" i="32" l="1"/>
  <c r="AG247" i="32" s="1"/>
  <c r="AH247" i="32" s="1"/>
  <c r="F249" i="32"/>
  <c r="AU249" i="32"/>
  <c r="F248" i="32"/>
  <c r="AU248" i="32"/>
  <c r="AT247" i="32"/>
  <c r="T249" i="32"/>
  <c r="T248" i="32"/>
  <c r="C247" i="32"/>
  <c r="Z247" i="32"/>
  <c r="Y4" i="22"/>
  <c r="AJ247" i="32"/>
  <c r="W247" i="32"/>
  <c r="X247" i="32" s="1"/>
  <c r="AK249" i="32"/>
  <c r="AK248" i="32"/>
  <c r="AL246" i="32"/>
  <c r="AI245" i="32"/>
  <c r="AN245" i="32" s="1"/>
  <c r="V247" i="32"/>
  <c r="A249" i="32"/>
  <c r="B249" i="32"/>
  <c r="A248" i="32"/>
  <c r="B248" i="32"/>
  <c r="K248" i="32"/>
  <c r="M248" i="32"/>
  <c r="N248" i="32"/>
  <c r="H248" i="32"/>
  <c r="I248" i="32"/>
  <c r="J248" i="32"/>
  <c r="L248" i="32"/>
  <c r="G248" i="32"/>
  <c r="I249" i="32"/>
  <c r="K249" i="32"/>
  <c r="L249" i="32"/>
  <c r="J249" i="32"/>
  <c r="M249" i="32"/>
  <c r="N249" i="32"/>
  <c r="G249" i="32"/>
  <c r="H249" i="32"/>
  <c r="AL249" i="11" a="1"/>
  <c r="AL249" i="11" s="1"/>
  <c r="AM134" i="11" a="1"/>
  <c r="AM134" i="11" s="1"/>
  <c r="U249" i="32" l="1"/>
  <c r="U248" i="32"/>
  <c r="Q249" i="32"/>
  <c r="P249" i="32" s="1"/>
  <c r="Q248" i="32"/>
  <c r="P248" i="32" s="1"/>
  <c r="Z9" i="22"/>
  <c r="Z125" i="22"/>
  <c r="AB125" i="22" s="1"/>
  <c r="Z62" i="22"/>
  <c r="Z28" i="22"/>
  <c r="Z140" i="22"/>
  <c r="Z11" i="22"/>
  <c r="Z37" i="22"/>
  <c r="Z109" i="22"/>
  <c r="AB109" i="22" s="1"/>
  <c r="Z74" i="22"/>
  <c r="Z70" i="22"/>
  <c r="Z96" i="22"/>
  <c r="Z121" i="22"/>
  <c r="AB121" i="22" s="1"/>
  <c r="Z46" i="22"/>
  <c r="Z79" i="22"/>
  <c r="Z106" i="22"/>
  <c r="AB106" i="22" s="1"/>
  <c r="Z110" i="22"/>
  <c r="AB110" i="22" s="1"/>
  <c r="Z112" i="22"/>
  <c r="AB112" i="22" s="1"/>
  <c r="Z131" i="22"/>
  <c r="AB131" i="22" s="1"/>
  <c r="Z47" i="22"/>
  <c r="Z25" i="22"/>
  <c r="Z126" i="22"/>
  <c r="AB126" i="22" s="1"/>
  <c r="Z26" i="22"/>
  <c r="Z76" i="22"/>
  <c r="Z111" i="22"/>
  <c r="AB111" i="22" s="1"/>
  <c r="Z27" i="22"/>
  <c r="Z66" i="22"/>
  <c r="Z107" i="22"/>
  <c r="AB107" i="22" s="1"/>
  <c r="Z85" i="22"/>
  <c r="Z122" i="22"/>
  <c r="AB122" i="22" s="1"/>
  <c r="Z57" i="22"/>
  <c r="Z128" i="22"/>
  <c r="AB128" i="22" s="1"/>
  <c r="Z130" i="22"/>
  <c r="Z60" i="22"/>
  <c r="Z78" i="22"/>
  <c r="Z136" i="22"/>
  <c r="Z89" i="22"/>
  <c r="Z67" i="22"/>
  <c r="Z72" i="22"/>
  <c r="Z44" i="22"/>
  <c r="Z5" i="22"/>
  <c r="Z105" i="22"/>
  <c r="AB105" i="22" s="1"/>
  <c r="Z91" i="22"/>
  <c r="Z133" i="22"/>
  <c r="Z81" i="22"/>
  <c r="Z32" i="22"/>
  <c r="Z87" i="22"/>
  <c r="Z43" i="22"/>
  <c r="Z98" i="22"/>
  <c r="Z63" i="22"/>
  <c r="Z64" i="22"/>
  <c r="Z75" i="22"/>
  <c r="Z101" i="22"/>
  <c r="Z14" i="22"/>
  <c r="Z71" i="22"/>
  <c r="Z19" i="22"/>
  <c r="Z54" i="22"/>
  <c r="Z94" i="22"/>
  <c r="Z73" i="22"/>
  <c r="Z118" i="22"/>
  <c r="AB118" i="22" s="1"/>
  <c r="Z120" i="22"/>
  <c r="AB120" i="22" s="1"/>
  <c r="Z103" i="22"/>
  <c r="AB103" i="22" s="1"/>
  <c r="Z40" i="22"/>
  <c r="Z17" i="22"/>
  <c r="Z30" i="22"/>
  <c r="Z23" i="22"/>
  <c r="Z113" i="22"/>
  <c r="AB113" i="22" s="1"/>
  <c r="Z86" i="22"/>
  <c r="Z61" i="22"/>
  <c r="Z58" i="22"/>
  <c r="Z77" i="22"/>
  <c r="Z7" i="22"/>
  <c r="Z68" i="22"/>
  <c r="AB68" i="22" s="1"/>
  <c r="Z138" i="22"/>
  <c r="Z134" i="22"/>
  <c r="AB134" i="22" s="1"/>
  <c r="Z53" i="22"/>
  <c r="Z39" i="22"/>
  <c r="Z117" i="22"/>
  <c r="AB117" i="22" s="1"/>
  <c r="Z15" i="22"/>
  <c r="Z49" i="22"/>
  <c r="Z80" i="22"/>
  <c r="AB80" i="22" s="1"/>
  <c r="AD80" i="22" s="1"/>
  <c r="BD134" i="22" s="1"/>
  <c r="Z59" i="22"/>
  <c r="Z82" i="22"/>
  <c r="Z129" i="22"/>
  <c r="AB129" i="22" s="1"/>
  <c r="Z24" i="22"/>
  <c r="Z100" i="22"/>
  <c r="Z69" i="22"/>
  <c r="Z41" i="22"/>
  <c r="Z36" i="22"/>
  <c r="Z56" i="22"/>
  <c r="Z119" i="22"/>
  <c r="AB119" i="22" s="1"/>
  <c r="Z84" i="22"/>
  <c r="Z48" i="22"/>
  <c r="Z97" i="22"/>
  <c r="Z95" i="22"/>
  <c r="Z38" i="22"/>
  <c r="AB38" i="22" s="1"/>
  <c r="AD38" i="22" s="1"/>
  <c r="Z114" i="22"/>
  <c r="AB114" i="22" s="1"/>
  <c r="Z50" i="22"/>
  <c r="Z33" i="22"/>
  <c r="Z124" i="22"/>
  <c r="AB124" i="22" s="1"/>
  <c r="Z108" i="22"/>
  <c r="AB108" i="22" s="1"/>
  <c r="Z90" i="22"/>
  <c r="Z34" i="22"/>
  <c r="Z104" i="22"/>
  <c r="AB104" i="22" s="1"/>
  <c r="Z31" i="22"/>
  <c r="Z123" i="22"/>
  <c r="AB123" i="22" s="1"/>
  <c r="Z6" i="22"/>
  <c r="Z137" i="22"/>
  <c r="Z29" i="22"/>
  <c r="Z93" i="22"/>
  <c r="Z18" i="22"/>
  <c r="Z92" i="22"/>
  <c r="Z51" i="22"/>
  <c r="Z10" i="22"/>
  <c r="Z55" i="22"/>
  <c r="AB55" i="22" s="1"/>
  <c r="AD55" i="22" s="1"/>
  <c r="BD151" i="22" s="1"/>
  <c r="Z127" i="22"/>
  <c r="AB127" i="22" s="1"/>
  <c r="Z13" i="22"/>
  <c r="Z83" i="22"/>
  <c r="Z116" i="22"/>
  <c r="AB116" i="22" s="1"/>
  <c r="Z115" i="22"/>
  <c r="AB115" i="22" s="1"/>
  <c r="Z139" i="22"/>
  <c r="Z65" i="22"/>
  <c r="Z45" i="22"/>
  <c r="Z12" i="22"/>
  <c r="Z35" i="22"/>
  <c r="Z132" i="22"/>
  <c r="AB132" i="22" s="1"/>
  <c r="Z42" i="22"/>
  <c r="Z88" i="22"/>
  <c r="Z99" i="22"/>
  <c r="Z4" i="22"/>
  <c r="AB4" i="22" s="1"/>
  <c r="AD4" i="22" s="1"/>
  <c r="AM249" i="32"/>
  <c r="AM248" i="32"/>
  <c r="S248" i="32"/>
  <c r="Z248" i="32" s="1"/>
  <c r="S249" i="32"/>
  <c r="Z249" i="32" s="1"/>
  <c r="Y134" i="22"/>
  <c r="AA134" i="22" s="1"/>
  <c r="Y80" i="22"/>
  <c r="AA80" i="22" s="1"/>
  <c r="Y55" i="22"/>
  <c r="AA55" i="22" s="1"/>
  <c r="Y38" i="22"/>
  <c r="AA38" i="22" s="1"/>
  <c r="AL247" i="32"/>
  <c r="AI246" i="32"/>
  <c r="AN246" i="32" s="1"/>
  <c r="AB158" i="22"/>
  <c r="AB152" i="22"/>
  <c r="AA155" i="22"/>
  <c r="AB162" i="22"/>
  <c r="AB153" i="22"/>
  <c r="AB161" i="22"/>
  <c r="AA151" i="22"/>
  <c r="AA156" i="22"/>
  <c r="AA159" i="22"/>
  <c r="AB151" i="22"/>
  <c r="AA162" i="22"/>
  <c r="AB159" i="22"/>
  <c r="AB157" i="22"/>
  <c r="AA161" i="22"/>
  <c r="AC150" i="22"/>
  <c r="AE150" i="22" s="1"/>
  <c r="AA157" i="22"/>
  <c r="AB155" i="22"/>
  <c r="AA154" i="22"/>
  <c r="AB160" i="22"/>
  <c r="AA158" i="22"/>
  <c r="AB156" i="22"/>
  <c r="AB150" i="22"/>
  <c r="AA153" i="22"/>
  <c r="AA152" i="22"/>
  <c r="AA160" i="22"/>
  <c r="AB154" i="22"/>
  <c r="E250" i="32"/>
  <c r="O250" i="32" s="1"/>
  <c r="Y123" i="22"/>
  <c r="AA123" i="22" s="1"/>
  <c r="Y116" i="22"/>
  <c r="AA116" i="22" s="1"/>
  <c r="Y124" i="22"/>
  <c r="AA124" i="22" s="1"/>
  <c r="Y115" i="22"/>
  <c r="AA115" i="22" s="1"/>
  <c r="BC68" i="22" s="1"/>
  <c r="Y119" i="22"/>
  <c r="AA119" i="22" s="1"/>
  <c r="BC69" i="22" s="1"/>
  <c r="Y140" i="22"/>
  <c r="Y129" i="22"/>
  <c r="AA129" i="22" s="1"/>
  <c r="Y139" i="22"/>
  <c r="Y133" i="22"/>
  <c r="AA133" i="22" s="1"/>
  <c r="BC103" i="22" s="1"/>
  <c r="Y138" i="22"/>
  <c r="Y136" i="22"/>
  <c r="Y135" i="22"/>
  <c r="Y137" i="22"/>
  <c r="Y132" i="22"/>
  <c r="AA132" i="22" s="1"/>
  <c r="Y131" i="22"/>
  <c r="AA131" i="22" s="1"/>
  <c r="AL250" i="11" a="1"/>
  <c r="AL250" i="11" s="1"/>
  <c r="E251" i="32" s="1"/>
  <c r="O251" i="32" s="1"/>
  <c r="Y50" i="22"/>
  <c r="Y122" i="22"/>
  <c r="AA122" i="22" s="1"/>
  <c r="Y113" i="22"/>
  <c r="AA113" i="22" s="1"/>
  <c r="BC66" i="22" s="1"/>
  <c r="Y108" i="22"/>
  <c r="AA108" i="22" s="1"/>
  <c r="BC64" i="22" s="1"/>
  <c r="Y107" i="22"/>
  <c r="AA107" i="22" s="1"/>
  <c r="Y126" i="22"/>
  <c r="AA126" i="22" s="1"/>
  <c r="Y103" i="22"/>
  <c r="AA103" i="22" s="1"/>
  <c r="Y117" i="22"/>
  <c r="AA117" i="22" s="1"/>
  <c r="BC73" i="22" s="1"/>
  <c r="Y118" i="22"/>
  <c r="AA118" i="22" s="1"/>
  <c r="BC24" i="22" s="1"/>
  <c r="Y106" i="22"/>
  <c r="AA106" i="22" s="1"/>
  <c r="BC63" i="22" s="1"/>
  <c r="Y121" i="22"/>
  <c r="AA121" i="22" s="1"/>
  <c r="BC71" i="22" s="1"/>
  <c r="Y112" i="22"/>
  <c r="AA112" i="22" s="1"/>
  <c r="Y125" i="22"/>
  <c r="AA125" i="22" s="1"/>
  <c r="Y110" i="22"/>
  <c r="AA110" i="22" s="1"/>
  <c r="BC65" i="22" s="1"/>
  <c r="Y111" i="22"/>
  <c r="AA111" i="22" s="1"/>
  <c r="Y130" i="22"/>
  <c r="Y104" i="22"/>
  <c r="AA104" i="22" s="1"/>
  <c r="BC62" i="22" s="1"/>
  <c r="Y127" i="22"/>
  <c r="AA127" i="22" s="1"/>
  <c r="Y114" i="22"/>
  <c r="AA114" i="22" s="1"/>
  <c r="BC67" i="22" s="1"/>
  <c r="Y128" i="22"/>
  <c r="AA128" i="22" s="1"/>
  <c r="Y120" i="22"/>
  <c r="AA120" i="22" s="1"/>
  <c r="BC70" i="22" s="1"/>
  <c r="Y109" i="22"/>
  <c r="AA109" i="22" s="1"/>
  <c r="Y105" i="22"/>
  <c r="AA105" i="22" s="1"/>
  <c r="Y51" i="22"/>
  <c r="Y27" i="22"/>
  <c r="Y60" i="22"/>
  <c r="Y31" i="22"/>
  <c r="Y83" i="22"/>
  <c r="Y34" i="22"/>
  <c r="Y45" i="22"/>
  <c r="Y14" i="22"/>
  <c r="Y17" i="22"/>
  <c r="Y64" i="22"/>
  <c r="Y33" i="22"/>
  <c r="Y19" i="22"/>
  <c r="Y56" i="22"/>
  <c r="Y21" i="22"/>
  <c r="Y73" i="22"/>
  <c r="Y91" i="22"/>
  <c r="Y8" i="22"/>
  <c r="Y13" i="22"/>
  <c r="Y9" i="22"/>
  <c r="Y95" i="22"/>
  <c r="Y87" i="22"/>
  <c r="Y94" i="22"/>
  <c r="Y28" i="22"/>
  <c r="Y54" i="22"/>
  <c r="Y101" i="22"/>
  <c r="Y22" i="22"/>
  <c r="Y98" i="22"/>
  <c r="Y70" i="22"/>
  <c r="Y23" i="22"/>
  <c r="Y78" i="22"/>
  <c r="Y71" i="22"/>
  <c r="Y76" i="22"/>
  <c r="Y99" i="22"/>
  <c r="Y68" i="22"/>
  <c r="AA68" i="22" s="1"/>
  <c r="Y77" i="22"/>
  <c r="Y47" i="22"/>
  <c r="Y79" i="22"/>
  <c r="Y5" i="22"/>
  <c r="Y32" i="22"/>
  <c r="Y53" i="22"/>
  <c r="Y62" i="22"/>
  <c r="Y69" i="22"/>
  <c r="Y90" i="22"/>
  <c r="Y61" i="22"/>
  <c r="Y66" i="22"/>
  <c r="Y30" i="22"/>
  <c r="Y6" i="22"/>
  <c r="Y86" i="22"/>
  <c r="Y82" i="22"/>
  <c r="Y35" i="22"/>
  <c r="Y67" i="22"/>
  <c r="Y72" i="22"/>
  <c r="Y74" i="22"/>
  <c r="Y25" i="22"/>
  <c r="Y102" i="22"/>
  <c r="Y43" i="22"/>
  <c r="Y10" i="22"/>
  <c r="Y88" i="22"/>
  <c r="Y89" i="22"/>
  <c r="Y40" i="22"/>
  <c r="Y44" i="22"/>
  <c r="Y16" i="22"/>
  <c r="Y57" i="22"/>
  <c r="Y12" i="22"/>
  <c r="Y39" i="22"/>
  <c r="Y96" i="22"/>
  <c r="Y37" i="22"/>
  <c r="Y41" i="22"/>
  <c r="Y59" i="22"/>
  <c r="Y84" i="22"/>
  <c r="Y85" i="22"/>
  <c r="Y48" i="22"/>
  <c r="Y75" i="22"/>
  <c r="Y58" i="22"/>
  <c r="Y11" i="22"/>
  <c r="Y63" i="22"/>
  <c r="Y65" i="22"/>
  <c r="Y100" i="22"/>
  <c r="Y20" i="22"/>
  <c r="Y7" i="22"/>
  <c r="Y18" i="22"/>
  <c r="Y42" i="22"/>
  <c r="Y52" i="22"/>
  <c r="Y93" i="22"/>
  <c r="Y49" i="22"/>
  <c r="Y26" i="22"/>
  <c r="Y46" i="22"/>
  <c r="Y97" i="22"/>
  <c r="Y92" i="22"/>
  <c r="Y29" i="22"/>
  <c r="Y81" i="22"/>
  <c r="Y36" i="22"/>
  <c r="Y24" i="22"/>
  <c r="AM135" i="11" a="1"/>
  <c r="AM135" i="11" s="1"/>
  <c r="F251" i="32" l="1"/>
  <c r="AU251" i="32"/>
  <c r="F250" i="32"/>
  <c r="AU250" i="32"/>
  <c r="AT248" i="32"/>
  <c r="AT249" i="32"/>
  <c r="BD104" i="22"/>
  <c r="AD248" i="32"/>
  <c r="AG248" i="32" s="1"/>
  <c r="AH248" i="32" s="1"/>
  <c r="AD249" i="32"/>
  <c r="AG249" i="32" s="1"/>
  <c r="AH249" i="32" s="1"/>
  <c r="AC134" i="22"/>
  <c r="AO35" i="22" s="1"/>
  <c r="AM35" i="22"/>
  <c r="AD134" i="22"/>
  <c r="AP35" i="22" s="1"/>
  <c r="AN35" i="22"/>
  <c r="T250" i="32"/>
  <c r="T251" i="32"/>
  <c r="C248" i="32"/>
  <c r="W248" i="32"/>
  <c r="X248" i="32" s="1"/>
  <c r="AJ249" i="32"/>
  <c r="C249" i="32"/>
  <c r="AJ248" i="32"/>
  <c r="AC55" i="22"/>
  <c r="BC151" i="22"/>
  <c r="AC80" i="22"/>
  <c r="BC134" i="22"/>
  <c r="AC38" i="22"/>
  <c r="BC104" i="22"/>
  <c r="W249" i="32"/>
  <c r="X249" i="32" s="1"/>
  <c r="V248" i="32"/>
  <c r="AK251" i="32"/>
  <c r="AK250" i="32"/>
  <c r="AI247" i="32"/>
  <c r="AN247" i="32" s="1"/>
  <c r="AC152" i="22"/>
  <c r="AE152" i="22" s="1"/>
  <c r="AC157" i="22"/>
  <c r="AE157" i="22" s="1"/>
  <c r="AC156" i="22"/>
  <c r="AE156" i="22" s="1"/>
  <c r="AC153" i="22"/>
  <c r="AE153" i="22" s="1"/>
  <c r="AC151" i="22"/>
  <c r="AE151" i="22" s="1"/>
  <c r="AD150" i="22"/>
  <c r="AC161" i="22"/>
  <c r="AE161" i="22" s="1"/>
  <c r="AD161" i="22"/>
  <c r="AD156" i="22"/>
  <c r="D34" i="104" s="1"/>
  <c r="AD157" i="22"/>
  <c r="D35" i="104" s="1"/>
  <c r="AD153" i="22"/>
  <c r="D24" i="104" s="1"/>
  <c r="AC158" i="22"/>
  <c r="AE158" i="22" s="1"/>
  <c r="AD159" i="22"/>
  <c r="AD162" i="22"/>
  <c r="AD160" i="22"/>
  <c r="AC162" i="22"/>
  <c r="AE162" i="22" s="1"/>
  <c r="AC155" i="22"/>
  <c r="AE155" i="22" s="1"/>
  <c r="AD154" i="22"/>
  <c r="D32" i="104" s="1"/>
  <c r="AC154" i="22"/>
  <c r="AE154" i="22" s="1"/>
  <c r="AD151" i="22"/>
  <c r="AD152" i="22"/>
  <c r="AC160" i="22"/>
  <c r="AE160" i="22" s="1"/>
  <c r="AD155" i="22"/>
  <c r="D33" i="104" s="1"/>
  <c r="AC159" i="22"/>
  <c r="AE159" i="22" s="1"/>
  <c r="AD158" i="22"/>
  <c r="V249" i="32"/>
  <c r="A250" i="32"/>
  <c r="B250" i="32"/>
  <c r="A251" i="32"/>
  <c r="B251" i="32"/>
  <c r="G250" i="32"/>
  <c r="I250" i="32"/>
  <c r="J250" i="32"/>
  <c r="M250" i="32"/>
  <c r="N250" i="32"/>
  <c r="L250" i="32"/>
  <c r="H250" i="32"/>
  <c r="K250" i="32"/>
  <c r="M251" i="32"/>
  <c r="G251" i="32"/>
  <c r="H251" i="32"/>
  <c r="I251" i="32"/>
  <c r="L251" i="32"/>
  <c r="J251" i="32"/>
  <c r="K251" i="32"/>
  <c r="N251" i="32"/>
  <c r="AB84" i="22"/>
  <c r="AB96" i="22"/>
  <c r="AB57" i="22"/>
  <c r="AB138" i="22"/>
  <c r="AB49" i="22"/>
  <c r="AB14" i="22"/>
  <c r="AB32" i="22"/>
  <c r="AB94" i="22"/>
  <c r="AB87" i="22"/>
  <c r="AB27" i="22"/>
  <c r="AB78" i="22"/>
  <c r="AB28" i="22"/>
  <c r="AB58" i="22"/>
  <c r="AB62" i="22"/>
  <c r="AB50" i="22"/>
  <c r="AB99" i="22"/>
  <c r="AB7" i="22"/>
  <c r="AB65" i="22"/>
  <c r="AB13" i="22"/>
  <c r="AB86" i="22"/>
  <c r="AB51" i="22"/>
  <c r="AB48" i="22"/>
  <c r="AB39" i="22"/>
  <c r="AB9" i="22"/>
  <c r="AB74" i="22"/>
  <c r="AB85" i="22"/>
  <c r="AB137" i="22"/>
  <c r="AB136" i="22"/>
  <c r="AB26" i="22"/>
  <c r="AB82" i="22"/>
  <c r="AB11" i="22"/>
  <c r="AB81" i="22"/>
  <c r="AB92" i="22"/>
  <c r="AB34" i="22"/>
  <c r="AB5" i="22"/>
  <c r="AB37" i="22"/>
  <c r="AB42" i="22"/>
  <c r="AB75" i="22"/>
  <c r="AB36" i="22"/>
  <c r="AB90" i="22"/>
  <c r="AB33" i="22"/>
  <c r="AB100" i="22"/>
  <c r="AB140" i="22"/>
  <c r="AB41" i="22"/>
  <c r="AB12" i="22"/>
  <c r="AB97" i="22"/>
  <c r="AB72" i="22"/>
  <c r="AB23" i="22"/>
  <c r="AB31" i="22"/>
  <c r="AB45" i="22"/>
  <c r="AB77" i="22"/>
  <c r="AB89" i="22"/>
  <c r="AB70" i="22"/>
  <c r="AB25" i="22"/>
  <c r="AB17" i="22"/>
  <c r="AB83" i="22"/>
  <c r="AB46" i="22"/>
  <c r="AB10" i="22"/>
  <c r="AB79" i="22"/>
  <c r="AB64" i="22"/>
  <c r="AB95" i="22"/>
  <c r="AB98" i="22"/>
  <c r="AB67" i="22"/>
  <c r="AB91" i="22"/>
  <c r="AB93" i="22"/>
  <c r="AB73" i="22"/>
  <c r="AB66" i="22"/>
  <c r="AB54" i="22"/>
  <c r="AB6" i="22"/>
  <c r="AB60" i="22"/>
  <c r="AB63" i="22"/>
  <c r="AB35" i="22"/>
  <c r="AB69" i="22"/>
  <c r="AB53" i="22"/>
  <c r="AB43" i="22"/>
  <c r="AB44" i="22"/>
  <c r="AB30" i="22"/>
  <c r="AB40" i="22"/>
  <c r="AB71" i="22"/>
  <c r="AB59" i="22"/>
  <c r="AB47" i="22"/>
  <c r="AB56" i="22"/>
  <c r="AB88" i="22"/>
  <c r="AB29" i="22"/>
  <c r="AB130" i="22"/>
  <c r="AB139" i="22"/>
  <c r="AA46" i="22"/>
  <c r="BC43" i="22" s="1"/>
  <c r="AA88" i="22"/>
  <c r="BC51" i="22" s="1"/>
  <c r="AA6" i="22"/>
  <c r="BC82" i="22" s="1"/>
  <c r="AA69" i="22"/>
  <c r="AA71" i="22"/>
  <c r="AA8" i="22"/>
  <c r="AA51" i="22"/>
  <c r="AA138" i="22"/>
  <c r="AC138" i="22" s="1"/>
  <c r="AA93" i="22"/>
  <c r="BC56" i="22" s="1"/>
  <c r="AA75" i="22"/>
  <c r="BC132" i="22" s="1"/>
  <c r="AA10" i="22"/>
  <c r="BC114" i="22" s="1"/>
  <c r="AA74" i="22"/>
  <c r="BC131" i="22" s="1"/>
  <c r="AA67" i="22"/>
  <c r="BC97" i="22" s="1"/>
  <c r="AA61" i="22"/>
  <c r="BC156" i="22" s="1"/>
  <c r="AA62" i="22"/>
  <c r="BC124" i="22" s="1"/>
  <c r="AA47" i="22"/>
  <c r="BC44" i="22" s="1"/>
  <c r="AA78" i="22"/>
  <c r="BC159" i="22" s="1"/>
  <c r="AA23" i="22"/>
  <c r="BC33" i="22" s="1"/>
  <c r="AA22" i="22"/>
  <c r="BC85" i="22" s="1"/>
  <c r="AA28" i="22"/>
  <c r="BC88" i="22" s="1"/>
  <c r="AA94" i="22"/>
  <c r="BC138" i="22" s="1"/>
  <c r="AA95" i="22"/>
  <c r="BC98" i="22" s="1"/>
  <c r="AA56" i="22"/>
  <c r="BC48" i="22" s="1"/>
  <c r="AA17" i="22"/>
  <c r="BC32" i="22" s="1"/>
  <c r="AA45" i="22"/>
  <c r="BC42" i="22" s="1"/>
  <c r="AA60" i="22"/>
  <c r="BC125" i="22" s="1"/>
  <c r="AA50" i="22"/>
  <c r="BC45" i="22" s="1"/>
  <c r="AA137" i="22"/>
  <c r="AC137" i="22" s="1"/>
  <c r="AA139" i="22"/>
  <c r="AC139" i="22" s="1"/>
  <c r="AA65" i="22"/>
  <c r="BC96" i="22" s="1"/>
  <c r="AA79" i="22"/>
  <c r="BC136" i="22" s="1"/>
  <c r="AA87" i="22"/>
  <c r="AA36" i="22"/>
  <c r="BC36" i="22" s="1"/>
  <c r="AA85" i="22"/>
  <c r="AA37" i="22"/>
  <c r="BC149" i="22" s="1"/>
  <c r="AA96" i="22"/>
  <c r="BC99" i="22" s="1"/>
  <c r="AA40" i="22"/>
  <c r="AA82" i="22"/>
  <c r="AA30" i="22"/>
  <c r="BC90" i="22" s="1"/>
  <c r="AA77" i="22"/>
  <c r="BC135" i="22" s="1"/>
  <c r="AA76" i="22"/>
  <c r="AA70" i="22"/>
  <c r="BC128" i="22" s="1"/>
  <c r="AA54" i="22"/>
  <c r="BC123" i="22" s="1"/>
  <c r="AA9" i="22"/>
  <c r="BC118" i="22" s="1"/>
  <c r="AA19" i="22"/>
  <c r="AA14" i="22"/>
  <c r="BC30" i="22" s="1"/>
  <c r="AA83" i="22"/>
  <c r="AA130" i="22"/>
  <c r="BC72" i="22" s="1"/>
  <c r="AA136" i="22"/>
  <c r="AC136" i="22" s="1"/>
  <c r="AA24" i="22"/>
  <c r="BC86" i="22" s="1"/>
  <c r="AA29" i="22"/>
  <c r="BC89" i="22" s="1"/>
  <c r="AA49" i="22"/>
  <c r="BC94" i="22" s="1"/>
  <c r="AA100" i="22"/>
  <c r="BC59" i="22" s="1"/>
  <c r="AA84" i="22"/>
  <c r="AA57" i="22"/>
  <c r="AA25" i="22"/>
  <c r="BC34" i="22" s="1"/>
  <c r="AA32" i="22"/>
  <c r="BC35" i="22" s="1"/>
  <c r="AA99" i="22"/>
  <c r="BC58" i="22" s="1"/>
  <c r="AA91" i="22"/>
  <c r="BC53" i="22" s="1"/>
  <c r="AA73" i="22"/>
  <c r="BC50" i="22" s="1"/>
  <c r="AA64" i="22"/>
  <c r="BC157" i="22" s="1"/>
  <c r="AA34" i="22"/>
  <c r="AA31" i="22"/>
  <c r="BC91" i="22" s="1"/>
  <c r="AA135" i="22"/>
  <c r="AA92" i="22"/>
  <c r="BC54" i="22" s="1"/>
  <c r="AA42" i="22"/>
  <c r="BC39" i="22" s="1"/>
  <c r="AA63" i="22"/>
  <c r="AA59" i="22"/>
  <c r="BC95" i="22" s="1"/>
  <c r="AA16" i="22"/>
  <c r="BC31" i="22" s="1"/>
  <c r="AA97" i="22"/>
  <c r="BC100" i="22" s="1"/>
  <c r="AA20" i="22"/>
  <c r="BC119" i="22" s="1"/>
  <c r="AA11" i="22"/>
  <c r="BC115" i="22" s="1"/>
  <c r="AA48" i="22"/>
  <c r="BC93" i="22" s="1"/>
  <c r="AA44" i="22"/>
  <c r="BC41" i="22" s="1"/>
  <c r="AA43" i="22"/>
  <c r="BC40" i="22" s="1"/>
  <c r="AA72" i="22"/>
  <c r="BC130" i="22" s="1"/>
  <c r="AA35" i="22"/>
  <c r="BC121" i="22" s="1"/>
  <c r="AA81" i="22"/>
  <c r="BC137" i="22" s="1"/>
  <c r="AA26" i="22"/>
  <c r="AA52" i="22"/>
  <c r="BC46" i="22" s="1"/>
  <c r="AA18" i="22"/>
  <c r="BC5" i="22" s="1"/>
  <c r="AA7" i="22"/>
  <c r="BC83" i="22" s="1"/>
  <c r="AA58" i="22"/>
  <c r="BC49" i="22" s="1"/>
  <c r="AA41" i="22"/>
  <c r="BC122" i="22" s="1"/>
  <c r="AA39" i="22"/>
  <c r="BC37" i="22" s="1"/>
  <c r="AA12" i="22"/>
  <c r="BC116" i="22" s="1"/>
  <c r="AA89" i="22"/>
  <c r="AA102" i="22"/>
  <c r="BC61" i="22" s="1"/>
  <c r="AA86" i="22"/>
  <c r="AA66" i="22"/>
  <c r="BC158" i="22" s="1"/>
  <c r="AA90" i="22"/>
  <c r="BC52" i="22" s="1"/>
  <c r="AA53" i="22"/>
  <c r="BC47" i="22" s="1"/>
  <c r="AA5" i="22"/>
  <c r="BC81" i="22" s="1"/>
  <c r="AA98" i="22"/>
  <c r="BC57" i="22" s="1"/>
  <c r="AA101" i="22"/>
  <c r="BC60" i="22" s="1"/>
  <c r="AA13" i="22"/>
  <c r="BC117" i="22" s="1"/>
  <c r="AA21" i="22"/>
  <c r="BC84" i="22" s="1"/>
  <c r="AA33" i="22"/>
  <c r="BC92" i="22" s="1"/>
  <c r="AA27" i="22"/>
  <c r="BC87" i="22" s="1"/>
  <c r="AA140" i="22"/>
  <c r="AC140" i="22" s="1"/>
  <c r="AA4" i="22"/>
  <c r="BC79" i="22" s="1"/>
  <c r="AC131" i="22"/>
  <c r="BC147" i="22"/>
  <c r="AC122" i="22"/>
  <c r="BC140" i="22"/>
  <c r="AC124" i="22"/>
  <c r="BC142" i="22"/>
  <c r="AC128" i="22"/>
  <c r="BC146" i="22"/>
  <c r="AC116" i="22"/>
  <c r="BC139" i="22"/>
  <c r="AC126" i="22"/>
  <c r="BC144" i="22"/>
  <c r="AC123" i="22"/>
  <c r="BC141" i="22"/>
  <c r="AC127" i="22"/>
  <c r="BC145" i="22"/>
  <c r="AC125" i="22"/>
  <c r="BC143" i="22"/>
  <c r="AC132" i="22"/>
  <c r="BC148" i="22"/>
  <c r="AD122" i="22"/>
  <c r="BD140" i="22" s="1"/>
  <c r="AD125" i="22"/>
  <c r="BD143" i="22" s="1"/>
  <c r="AD131" i="22"/>
  <c r="BD147" i="22" s="1"/>
  <c r="AD116" i="22"/>
  <c r="BD139" i="22" s="1"/>
  <c r="AD128" i="22"/>
  <c r="BD146" i="22" s="1"/>
  <c r="AD126" i="22"/>
  <c r="BD144" i="22" s="1"/>
  <c r="AD127" i="22"/>
  <c r="BD145" i="22" s="1"/>
  <c r="AD132" i="22"/>
  <c r="BD148" i="22" s="1"/>
  <c r="AD124" i="22"/>
  <c r="BD142" i="22" s="1"/>
  <c r="AD123" i="22"/>
  <c r="BD141" i="22" s="1"/>
  <c r="AD112" i="22"/>
  <c r="BD101" i="22" s="1"/>
  <c r="AC112" i="22"/>
  <c r="BC101" i="22"/>
  <c r="AC133" i="22"/>
  <c r="AC129" i="22"/>
  <c r="BC102" i="22"/>
  <c r="AC120" i="22"/>
  <c r="AC104" i="22"/>
  <c r="AC108" i="22"/>
  <c r="AC114" i="22"/>
  <c r="AC110" i="22"/>
  <c r="AC113" i="22"/>
  <c r="AC119" i="22"/>
  <c r="AC115" i="22"/>
  <c r="AC121" i="22"/>
  <c r="AC106" i="22"/>
  <c r="AD119" i="22"/>
  <c r="BD69" i="22" s="1"/>
  <c r="AD108" i="22"/>
  <c r="BD64" i="22" s="1"/>
  <c r="AD104" i="22"/>
  <c r="BD62" i="22" s="1"/>
  <c r="AD106" i="22"/>
  <c r="BD63" i="22" s="1"/>
  <c r="AD120" i="22"/>
  <c r="BD70" i="22" s="1"/>
  <c r="AD115" i="22"/>
  <c r="BD68" i="22" s="1"/>
  <c r="AD113" i="22"/>
  <c r="BD66" i="22" s="1"/>
  <c r="AD114" i="22"/>
  <c r="BD67" i="22" s="1"/>
  <c r="AD121" i="22"/>
  <c r="BD71" i="22" s="1"/>
  <c r="AD110" i="22"/>
  <c r="BD65" i="22" s="1"/>
  <c r="AD111" i="22"/>
  <c r="AD109" i="22"/>
  <c r="AD118" i="22"/>
  <c r="AD107" i="22"/>
  <c r="AC118" i="22"/>
  <c r="BC23" i="22"/>
  <c r="AC105" i="22"/>
  <c r="AC111" i="22"/>
  <c r="BC22" i="22"/>
  <c r="AC107" i="22"/>
  <c r="BC20" i="22"/>
  <c r="AC109" i="22"/>
  <c r="BC21" i="22"/>
  <c r="AD129" i="22"/>
  <c r="BD102" i="22" s="1"/>
  <c r="AN32" i="22"/>
  <c r="AM32" i="22"/>
  <c r="AD117" i="22"/>
  <c r="BD73" i="22" s="1"/>
  <c r="AD103" i="22"/>
  <c r="AC117" i="22"/>
  <c r="AC103" i="22"/>
  <c r="AL251" i="11" a="1"/>
  <c r="AL251" i="11" s="1"/>
  <c r="Y15" i="22"/>
  <c r="AM136" i="11" a="1"/>
  <c r="AM136" i="11" s="1"/>
  <c r="U250" i="32" l="1"/>
  <c r="U251" i="32"/>
  <c r="D54" i="104"/>
  <c r="D55" i="104" s="1"/>
  <c r="BC105" i="22"/>
  <c r="AM34" i="22"/>
  <c r="AF150" i="22"/>
  <c r="E14" i="104" s="1"/>
  <c r="D14" i="104"/>
  <c r="Q251" i="32"/>
  <c r="P251" i="32" s="1"/>
  <c r="Q250" i="32"/>
  <c r="P250" i="32" s="1"/>
  <c r="AF158" i="22"/>
  <c r="E36" i="104" s="1"/>
  <c r="D36" i="104"/>
  <c r="AM251" i="32"/>
  <c r="AM250" i="32"/>
  <c r="S251" i="32"/>
  <c r="Z251" i="32" s="1"/>
  <c r="S250" i="32"/>
  <c r="Z250" i="32" s="1"/>
  <c r="AC135" i="22"/>
  <c r="BC80" i="22"/>
  <c r="AF155" i="22"/>
  <c r="E33" i="104" s="1"/>
  <c r="AF152" i="22"/>
  <c r="E23" i="104" s="1"/>
  <c r="D23" i="104"/>
  <c r="AF160" i="22"/>
  <c r="E45" i="104" s="1"/>
  <c r="D45" i="104"/>
  <c r="AF159" i="22"/>
  <c r="D44" i="104"/>
  <c r="AF153" i="22"/>
  <c r="E24" i="104" s="1"/>
  <c r="AF156" i="22"/>
  <c r="E34" i="104" s="1"/>
  <c r="AF151" i="22"/>
  <c r="E22" i="104" s="1"/>
  <c r="D22" i="104"/>
  <c r="AF154" i="22"/>
  <c r="E32" i="104" s="1"/>
  <c r="AF162" i="22"/>
  <c r="E54" i="104" s="1"/>
  <c r="E55" i="104" s="1"/>
  <c r="H53" i="104" s="1"/>
  <c r="AF157" i="22"/>
  <c r="E35" i="104" s="1"/>
  <c r="AF161" i="22"/>
  <c r="E46" i="104" s="1"/>
  <c r="D46" i="104"/>
  <c r="AL249" i="32"/>
  <c r="AL248" i="32"/>
  <c r="BC150" i="22"/>
  <c r="BC12" i="22"/>
  <c r="AD139" i="22"/>
  <c r="AD140" i="22"/>
  <c r="AD136" i="22"/>
  <c r="AD137" i="22"/>
  <c r="AD138" i="22"/>
  <c r="BC19" i="22"/>
  <c r="BC10" i="22"/>
  <c r="BC9" i="22"/>
  <c r="BC6" i="22"/>
  <c r="BC14" i="22"/>
  <c r="BD23" i="22"/>
  <c r="BD24" i="22"/>
  <c r="BD21" i="22"/>
  <c r="BC15" i="22"/>
  <c r="BC17" i="22"/>
  <c r="BD22" i="22"/>
  <c r="BC16" i="22"/>
  <c r="BC13" i="22"/>
  <c r="BC7" i="22"/>
  <c r="BC18" i="22"/>
  <c r="BC8" i="22"/>
  <c r="BC11" i="22"/>
  <c r="BC127" i="22"/>
  <c r="BC126" i="22"/>
  <c r="BC129" i="22"/>
  <c r="E252" i="32"/>
  <c r="O252" i="32" s="1"/>
  <c r="AP30" i="22"/>
  <c r="AB24" i="22"/>
  <c r="AA15" i="22"/>
  <c r="BC120" i="22" s="1"/>
  <c r="AO30" i="22"/>
  <c r="AM33" i="22"/>
  <c r="AM30" i="22"/>
  <c r="AN30" i="22"/>
  <c r="AN31" i="22"/>
  <c r="AD105" i="22"/>
  <c r="BD20" i="22" s="1"/>
  <c r="AM31" i="22"/>
  <c r="AD130" i="22"/>
  <c r="BD72" i="22" s="1"/>
  <c r="AC130" i="22"/>
  <c r="AO29" i="22" s="1"/>
  <c r="AO32" i="22"/>
  <c r="AO33" i="22"/>
  <c r="AP32" i="22"/>
  <c r="AM29" i="22"/>
  <c r="AN29" i="22"/>
  <c r="AO31" i="22"/>
  <c r="AL252" i="11" a="1"/>
  <c r="AL252" i="11" s="1"/>
  <c r="E253" i="32" s="1"/>
  <c r="O253" i="32" s="1"/>
  <c r="AM137" i="11" a="1"/>
  <c r="AM137" i="11" s="1"/>
  <c r="H13" i="104" l="1"/>
  <c r="F253" i="32"/>
  <c r="AU253" i="32"/>
  <c r="F252" i="32"/>
  <c r="AU252" i="32"/>
  <c r="AT250" i="32"/>
  <c r="AT251" i="32"/>
  <c r="H22" i="104"/>
  <c r="H21" i="104"/>
  <c r="D47" i="104"/>
  <c r="AD250" i="32"/>
  <c r="AG250" i="32" s="1"/>
  <c r="AH250" i="32" s="1"/>
  <c r="AD251" i="32"/>
  <c r="T253" i="32"/>
  <c r="T252" i="32"/>
  <c r="AJ250" i="32"/>
  <c r="C250" i="32"/>
  <c r="W250" i="32"/>
  <c r="X250" i="32" s="1"/>
  <c r="C251" i="32"/>
  <c r="AJ251" i="32"/>
  <c r="W251" i="32"/>
  <c r="X251" i="32" s="1"/>
  <c r="V250" i="32"/>
  <c r="E44" i="104"/>
  <c r="AK253" i="32"/>
  <c r="AK252" i="32"/>
  <c r="AI249" i="32"/>
  <c r="AN249" i="32" s="1"/>
  <c r="AI248" i="32"/>
  <c r="AN248" i="32" s="1"/>
  <c r="AP29" i="22"/>
  <c r="AP31" i="22"/>
  <c r="V251" i="32"/>
  <c r="A253" i="32"/>
  <c r="B253" i="32"/>
  <c r="A252" i="32"/>
  <c r="B252" i="32"/>
  <c r="I253" i="32"/>
  <c r="K253" i="32"/>
  <c r="L253" i="32"/>
  <c r="H253" i="32"/>
  <c r="J253" i="32"/>
  <c r="M253" i="32"/>
  <c r="G253" i="32"/>
  <c r="N253" i="32"/>
  <c r="K252" i="32"/>
  <c r="M252" i="32"/>
  <c r="N252" i="32"/>
  <c r="G252" i="32"/>
  <c r="H252" i="32"/>
  <c r="I252" i="32"/>
  <c r="J252" i="32"/>
  <c r="L252" i="32"/>
  <c r="AL253" i="11" a="1"/>
  <c r="AL253" i="11" s="1"/>
  <c r="AM138" i="11" a="1"/>
  <c r="AM138" i="11" s="1"/>
  <c r="H23" i="104" l="1"/>
  <c r="F146" i="110" s="1"/>
  <c r="U252" i="32"/>
  <c r="U253" i="32"/>
  <c r="H14" i="104"/>
  <c r="Q253" i="32"/>
  <c r="P253" i="32" s="1"/>
  <c r="Q252" i="32"/>
  <c r="P252" i="32" s="1"/>
  <c r="AG251" i="32"/>
  <c r="AH251" i="32" s="1"/>
  <c r="AM253" i="32"/>
  <c r="AM252" i="32"/>
  <c r="S252" i="32"/>
  <c r="S253" i="32"/>
  <c r="AL251" i="32"/>
  <c r="AL250" i="32"/>
  <c r="E254" i="32"/>
  <c r="O254" i="32" s="1"/>
  <c r="AL254" i="11" a="1"/>
  <c r="AL254" i="11" s="1"/>
  <c r="AM139" i="11" a="1"/>
  <c r="AM139" i="11" s="1"/>
  <c r="H31" i="104" l="1"/>
  <c r="G5" i="104"/>
  <c r="F145" i="110"/>
  <c r="AD252" i="32"/>
  <c r="AG252" i="32" s="1"/>
  <c r="AH252" i="32" s="1"/>
  <c r="AD253" i="32"/>
  <c r="AG253" i="32" s="1"/>
  <c r="AH253" i="32" s="1"/>
  <c r="F254" i="32"/>
  <c r="AU254" i="32"/>
  <c r="AT252" i="32"/>
  <c r="AT253" i="32"/>
  <c r="G6" i="104"/>
  <c r="T254" i="32"/>
  <c r="AJ252" i="32"/>
  <c r="Z252" i="32"/>
  <c r="C253" i="32"/>
  <c r="Z253" i="32"/>
  <c r="C252" i="32"/>
  <c r="AJ253" i="32"/>
  <c r="W252" i="32"/>
  <c r="X252" i="32" s="1"/>
  <c r="W253" i="32"/>
  <c r="X253" i="32" s="1"/>
  <c r="V252" i="32"/>
  <c r="AK254" i="32"/>
  <c r="AI250" i="32"/>
  <c r="AN250" i="32" s="1"/>
  <c r="AI251" i="32"/>
  <c r="AN251" i="32" s="1"/>
  <c r="V253" i="32"/>
  <c r="A254" i="32"/>
  <c r="B254" i="32"/>
  <c r="G254" i="32"/>
  <c r="I254" i="32"/>
  <c r="J254" i="32"/>
  <c r="L254" i="32"/>
  <c r="M254" i="32"/>
  <c r="N254" i="32"/>
  <c r="H254" i="32"/>
  <c r="K254" i="32"/>
  <c r="E255" i="32"/>
  <c r="O255" i="32" s="1"/>
  <c r="AL255" i="11" a="1"/>
  <c r="AL255" i="11" s="1"/>
  <c r="E256" i="32" s="1"/>
  <c r="O256" i="32" s="1"/>
  <c r="AM140" i="11" a="1"/>
  <c r="AM140" i="11" s="1"/>
  <c r="U254" i="32" l="1"/>
  <c r="F256" i="32"/>
  <c r="AU256" i="32"/>
  <c r="F255" i="32"/>
  <c r="AU255" i="32"/>
  <c r="Q254" i="32"/>
  <c r="P254" i="32" s="1"/>
  <c r="T256" i="32"/>
  <c r="T255" i="32"/>
  <c r="AM254" i="32"/>
  <c r="S254" i="32"/>
  <c r="AK255" i="32"/>
  <c r="AK256" i="32"/>
  <c r="AL253" i="32"/>
  <c r="AL252" i="32"/>
  <c r="A255" i="32"/>
  <c r="B255" i="32"/>
  <c r="A256" i="32"/>
  <c r="B256" i="32"/>
  <c r="K256" i="32"/>
  <c r="N256" i="32"/>
  <c r="G256" i="32"/>
  <c r="H256" i="32"/>
  <c r="I256" i="32"/>
  <c r="M256" i="32"/>
  <c r="J256" i="32"/>
  <c r="L256" i="32"/>
  <c r="M255" i="32"/>
  <c r="G255" i="32"/>
  <c r="H255" i="32"/>
  <c r="N255" i="32"/>
  <c r="L255" i="32"/>
  <c r="J255" i="32"/>
  <c r="I255" i="32"/>
  <c r="K255" i="32"/>
  <c r="AL256" i="11" a="1"/>
  <c r="AL256" i="11" s="1"/>
  <c r="E257" i="32" s="1"/>
  <c r="O257" i="32" s="1"/>
  <c r="AM141" i="11" a="1"/>
  <c r="AM141" i="11" s="1"/>
  <c r="U255" i="32" l="1"/>
  <c r="U256" i="32"/>
  <c r="AD254" i="32"/>
  <c r="AG254" i="32" s="1"/>
  <c r="AH254" i="32" s="1"/>
  <c r="F257" i="32"/>
  <c r="AU257" i="32"/>
  <c r="H5" i="32" s="1" a="1"/>
  <c r="H5" i="32" s="1"/>
  <c r="AT254" i="32"/>
  <c r="Q256" i="32"/>
  <c r="P256" i="32" s="1"/>
  <c r="Q255" i="32"/>
  <c r="P255" i="32" s="1"/>
  <c r="T257" i="32"/>
  <c r="C254" i="32"/>
  <c r="Z254" i="32"/>
  <c r="AM256" i="32"/>
  <c r="AM255" i="32"/>
  <c r="S255" i="32"/>
  <c r="Z255" i="32" s="1"/>
  <c r="AJ254" i="32"/>
  <c r="S256" i="32"/>
  <c r="Z256" i="32" s="1"/>
  <c r="W254" i="32"/>
  <c r="X254" i="32" s="1"/>
  <c r="AK257" i="32"/>
  <c r="AI253" i="32"/>
  <c r="AN253" i="32" s="1"/>
  <c r="AI252" i="32"/>
  <c r="AN252" i="32" s="1"/>
  <c r="V254" i="32"/>
  <c r="A257" i="32"/>
  <c r="Q257" i="32" s="1"/>
  <c r="P257" i="32" s="1"/>
  <c r="B257" i="32"/>
  <c r="I257" i="32"/>
  <c r="L257" i="32"/>
  <c r="G257" i="32"/>
  <c r="H257" i="32"/>
  <c r="J257" i="32"/>
  <c r="M257" i="32"/>
  <c r="K257" i="32"/>
  <c r="N257" i="32"/>
  <c r="AL257" i="11" a="1"/>
  <c r="AL257" i="11" s="1"/>
  <c r="AL258" i="11" s="1" a="1"/>
  <c r="AL258" i="11" s="1"/>
  <c r="AM142" i="11" a="1"/>
  <c r="AM142" i="11" s="1"/>
  <c r="U257" i="32" l="1"/>
  <c r="AT257" i="32"/>
  <c r="AT255" i="32"/>
  <c r="AT256" i="32"/>
  <c r="AD255" i="32"/>
  <c r="AG255" i="32" s="1"/>
  <c r="AH255" i="32" s="1"/>
  <c r="AD256" i="32"/>
  <c r="AG256" i="32" s="1"/>
  <c r="AH256" i="32" s="1"/>
  <c r="AM257" i="32"/>
  <c r="R6" i="32" a="1"/>
  <c r="R6" i="32" s="1"/>
  <c r="C256" i="32"/>
  <c r="AJ256" i="32"/>
  <c r="C255" i="32"/>
  <c r="AJ255" i="32"/>
  <c r="S257" i="32"/>
  <c r="Z257" i="32" s="1"/>
  <c r="W256" i="32"/>
  <c r="X256" i="32" s="1"/>
  <c r="W255" i="32"/>
  <c r="X255" i="32" s="1"/>
  <c r="AL254" i="32"/>
  <c r="V256" i="32"/>
  <c r="V255" i="32"/>
  <c r="AM143" i="11" a="1"/>
  <c r="AM143" i="11" s="1"/>
  <c r="AD5" i="32" l="1" a="1"/>
  <c r="AD5" i="32" s="1"/>
  <c r="AD257" i="32"/>
  <c r="AG257" i="32" s="1"/>
  <c r="AH257" i="32" s="1"/>
  <c r="AJ257" i="32"/>
  <c r="C257" i="32"/>
  <c r="W257" i="32"/>
  <c r="X257" i="32" s="1"/>
  <c r="N80" i="22"/>
  <c r="P80" i="22" s="1"/>
  <c r="M134" i="22"/>
  <c r="O134" i="22" s="1"/>
  <c r="N134" i="22"/>
  <c r="P134" i="22" s="1"/>
  <c r="N55" i="22"/>
  <c r="P55" i="22" s="1"/>
  <c r="M80" i="22"/>
  <c r="O80" i="22" s="1"/>
  <c r="N38" i="22"/>
  <c r="P38" i="22" s="1"/>
  <c r="M55" i="22"/>
  <c r="O55" i="22" s="1"/>
  <c r="M38" i="22"/>
  <c r="O38" i="22" s="1"/>
  <c r="AL256" i="32"/>
  <c r="AL255" i="32"/>
  <c r="AI254" i="32"/>
  <c r="AN254" i="32" s="1"/>
  <c r="V257" i="32"/>
  <c r="M34" i="22"/>
  <c r="O34" i="22" s="1"/>
  <c r="M4" i="22"/>
  <c r="O4" i="22" s="1"/>
  <c r="N45" i="22"/>
  <c r="P45" i="22" s="1"/>
  <c r="N123" i="22"/>
  <c r="P123" i="22" s="1"/>
  <c r="N124" i="22"/>
  <c r="P124" i="22" s="1"/>
  <c r="M123" i="22"/>
  <c r="M116" i="22"/>
  <c r="O116" i="22" s="1"/>
  <c r="M115" i="22"/>
  <c r="N115" i="22"/>
  <c r="P115" i="22" s="1"/>
  <c r="N116" i="22"/>
  <c r="M124" i="22"/>
  <c r="N119" i="22"/>
  <c r="P119" i="22" s="1"/>
  <c r="M119" i="22"/>
  <c r="M135" i="22"/>
  <c r="N132" i="22"/>
  <c r="P132" i="22" s="1"/>
  <c r="M138" i="22"/>
  <c r="N138" i="22"/>
  <c r="M136" i="22"/>
  <c r="N139" i="22"/>
  <c r="N129" i="22"/>
  <c r="M139" i="22"/>
  <c r="M140" i="22"/>
  <c r="M133" i="22"/>
  <c r="O133" i="22" s="1"/>
  <c r="AY103" i="22" s="1"/>
  <c r="M137" i="22"/>
  <c r="N137" i="22"/>
  <c r="N140" i="22"/>
  <c r="M129" i="22"/>
  <c r="O129" i="22" s="1"/>
  <c r="N135" i="22"/>
  <c r="N133" i="22"/>
  <c r="M132" i="22"/>
  <c r="N136" i="22"/>
  <c r="N131" i="22"/>
  <c r="P131" i="22" s="1"/>
  <c r="AZ147" i="22" s="1"/>
  <c r="M131" i="22"/>
  <c r="M88" i="22"/>
  <c r="O88" i="22" s="1"/>
  <c r="M97" i="22"/>
  <c r="O97" i="22" s="1"/>
  <c r="N95" i="22"/>
  <c r="P95" i="22" s="1"/>
  <c r="N51" i="22"/>
  <c r="P51" i="22" s="1"/>
  <c r="M72" i="22"/>
  <c r="O72" i="22" s="1"/>
  <c r="M128" i="22"/>
  <c r="O128" i="22" s="1"/>
  <c r="N9" i="22"/>
  <c r="P9" i="22" s="1"/>
  <c r="N21" i="22"/>
  <c r="P21" i="22" s="1"/>
  <c r="N52" i="22"/>
  <c r="P52" i="22" s="1"/>
  <c r="N111" i="22"/>
  <c r="P111" i="22" s="1"/>
  <c r="N14" i="22"/>
  <c r="P14" i="22" s="1"/>
  <c r="N37" i="22"/>
  <c r="P37" i="22" s="1"/>
  <c r="N68" i="22"/>
  <c r="P68" i="22" s="1"/>
  <c r="N107" i="22"/>
  <c r="P107" i="22" s="1"/>
  <c r="N56" i="22"/>
  <c r="P56" i="22" s="1"/>
  <c r="M86" i="22"/>
  <c r="O86" i="22" s="1"/>
  <c r="M71" i="22"/>
  <c r="O71" i="22" s="1"/>
  <c r="N69" i="22"/>
  <c r="P69" i="22" s="1"/>
  <c r="M62" i="22"/>
  <c r="O62" i="22" s="1"/>
  <c r="M31" i="22"/>
  <c r="O31" i="22" s="1"/>
  <c r="M74" i="22"/>
  <c r="O74" i="22" s="1"/>
  <c r="M75" i="22"/>
  <c r="O75" i="22" s="1"/>
  <c r="N30" i="22"/>
  <c r="P30" i="22" s="1"/>
  <c r="N91" i="22"/>
  <c r="P91" i="22" s="1"/>
  <c r="M85" i="22"/>
  <c r="O85" i="22" s="1"/>
  <c r="N59" i="22"/>
  <c r="P59" i="22" s="1"/>
  <c r="M113" i="22"/>
  <c r="M122" i="22"/>
  <c r="N121" i="22"/>
  <c r="P121" i="22" s="1"/>
  <c r="N109" i="22"/>
  <c r="M12" i="22"/>
  <c r="O12" i="22" s="1"/>
  <c r="N34" i="22"/>
  <c r="P34" i="22" s="1"/>
  <c r="M81" i="22"/>
  <c r="O81" i="22" s="1"/>
  <c r="N96" i="22"/>
  <c r="P96" i="22" s="1"/>
  <c r="N25" i="22"/>
  <c r="P25" i="22" s="1"/>
  <c r="M91" i="22"/>
  <c r="O91" i="22" s="1"/>
  <c r="N83" i="22"/>
  <c r="M87" i="22"/>
  <c r="O87" i="22" s="1"/>
  <c r="M47" i="22"/>
  <c r="O47" i="22" s="1"/>
  <c r="N46" i="22"/>
  <c r="P46" i="22" s="1"/>
  <c r="N36" i="22"/>
  <c r="P36" i="22" s="1"/>
  <c r="M104" i="22"/>
  <c r="N106" i="22"/>
  <c r="P106" i="22" s="1"/>
  <c r="M110" i="22"/>
  <c r="N12" i="22"/>
  <c r="P12" i="22" s="1"/>
  <c r="M19" i="22"/>
  <c r="O19" i="22" s="1"/>
  <c r="M10" i="22"/>
  <c r="O10" i="22" s="1"/>
  <c r="N90" i="22"/>
  <c r="P90" i="22" s="1"/>
  <c r="M23" i="22"/>
  <c r="O23" i="22" s="1"/>
  <c r="N81" i="22"/>
  <c r="P81" i="22" s="1"/>
  <c r="N10" i="22"/>
  <c r="P10" i="22" s="1"/>
  <c r="M30" i="22"/>
  <c r="O30" i="22" s="1"/>
  <c r="M92" i="22"/>
  <c r="O92" i="22" s="1"/>
  <c r="M25" i="22"/>
  <c r="O25" i="22" s="1"/>
  <c r="M89" i="22"/>
  <c r="O89" i="22" s="1"/>
  <c r="N103" i="22"/>
  <c r="P103" i="22" s="1"/>
  <c r="M127" i="22"/>
  <c r="O127" i="22" s="1"/>
  <c r="N43" i="22"/>
  <c r="P43" i="22" s="1"/>
  <c r="M79" i="22"/>
  <c r="O79" i="22" s="1"/>
  <c r="M98" i="22"/>
  <c r="O98" i="22" s="1"/>
  <c r="N102" i="22"/>
  <c r="P102" i="22" s="1"/>
  <c r="M66" i="22"/>
  <c r="O66" i="22" s="1"/>
  <c r="M53" i="22"/>
  <c r="O53" i="22" s="1"/>
  <c r="N32" i="22"/>
  <c r="P32" i="22" s="1"/>
  <c r="M95" i="22"/>
  <c r="O95" i="22" s="1"/>
  <c r="M45" i="22"/>
  <c r="O45" i="22" s="1"/>
  <c r="M17" i="22"/>
  <c r="O17" i="22" s="1"/>
  <c r="N101" i="22"/>
  <c r="P101" i="22" s="1"/>
  <c r="N87" i="22"/>
  <c r="P87" i="22" s="1"/>
  <c r="M76" i="22"/>
  <c r="O76" i="22" s="1"/>
  <c r="N58" i="22"/>
  <c r="P58" i="22" s="1"/>
  <c r="N65" i="22"/>
  <c r="P65" i="22" s="1"/>
  <c r="M43" i="22"/>
  <c r="O43" i="22" s="1"/>
  <c r="N62" i="22"/>
  <c r="P62" i="22" s="1"/>
  <c r="N64" i="22"/>
  <c r="P64" i="22" s="1"/>
  <c r="M39" i="22"/>
  <c r="O39" i="22" s="1"/>
  <c r="N86" i="22"/>
  <c r="P86" i="22" s="1"/>
  <c r="M33" i="22"/>
  <c r="O33" i="22" s="1"/>
  <c r="M63" i="22"/>
  <c r="O63" i="22" s="1"/>
  <c r="AY150" i="22" s="1"/>
  <c r="N127" i="22"/>
  <c r="P127" i="22" s="1"/>
  <c r="M121" i="22"/>
  <c r="N125" i="22"/>
  <c r="P125" i="22" s="1"/>
  <c r="AZ143" i="22" s="1"/>
  <c r="M105" i="22"/>
  <c r="N118" i="22"/>
  <c r="N110" i="22"/>
  <c r="P110" i="22" s="1"/>
  <c r="AZ65" i="22" s="1"/>
  <c r="N108" i="22"/>
  <c r="P108" i="22" s="1"/>
  <c r="M32" i="22"/>
  <c r="O32" i="22" s="1"/>
  <c r="M82" i="22"/>
  <c r="O82" i="22" s="1"/>
  <c r="M99" i="22"/>
  <c r="O99" i="22" s="1"/>
  <c r="N79" i="22"/>
  <c r="P79" i="22" s="1"/>
  <c r="N60" i="22"/>
  <c r="P60" i="22" s="1"/>
  <c r="N74" i="22"/>
  <c r="P74" i="22" s="1"/>
  <c r="N40" i="22"/>
  <c r="P40" i="22" s="1"/>
  <c r="N76" i="22"/>
  <c r="P76" i="22" s="1"/>
  <c r="M51" i="22"/>
  <c r="O51" i="22" s="1"/>
  <c r="N53" i="22"/>
  <c r="P53" i="22" s="1"/>
  <c r="M57" i="22"/>
  <c r="O57" i="22" s="1"/>
  <c r="M52" i="22"/>
  <c r="O52" i="22" s="1"/>
  <c r="N99" i="22"/>
  <c r="P99" i="22" s="1"/>
  <c r="N50" i="22"/>
  <c r="P50" i="22" s="1"/>
  <c r="M16" i="22"/>
  <c r="O16" i="22" s="1"/>
  <c r="M9" i="22"/>
  <c r="O9" i="22" s="1"/>
  <c r="N19" i="22"/>
  <c r="P19" i="22" s="1"/>
  <c r="N71" i="22"/>
  <c r="P71" i="22" s="1"/>
  <c r="N57" i="22"/>
  <c r="P57" i="22" s="1"/>
  <c r="M24" i="22"/>
  <c r="O24" i="22" s="1"/>
  <c r="M27" i="22"/>
  <c r="O27" i="22" s="1"/>
  <c r="N22" i="22"/>
  <c r="P22" i="22" s="1"/>
  <c r="M120" i="22"/>
  <c r="O120" i="22" s="1"/>
  <c r="AY70" i="22" s="1"/>
  <c r="M117" i="22"/>
  <c r="M114" i="22"/>
  <c r="N117" i="22"/>
  <c r="N72" i="22"/>
  <c r="P72" i="22" s="1"/>
  <c r="N39" i="22"/>
  <c r="P39" i="22" s="1"/>
  <c r="M18" i="22"/>
  <c r="O18" i="22" s="1"/>
  <c r="M54" i="22"/>
  <c r="O54" i="22" s="1"/>
  <c r="N11" i="22"/>
  <c r="P11" i="22" s="1"/>
  <c r="M40" i="22"/>
  <c r="O40" i="22" s="1"/>
  <c r="M69" i="22"/>
  <c r="O69" i="22" s="1"/>
  <c r="N35" i="22"/>
  <c r="P35" i="22" s="1"/>
  <c r="M58" i="22"/>
  <c r="O58" i="22" s="1"/>
  <c r="M26" i="22"/>
  <c r="O26" i="22" s="1"/>
  <c r="N66" i="22"/>
  <c r="P66" i="22" s="1"/>
  <c r="N61" i="22"/>
  <c r="P61" i="22" s="1"/>
  <c r="M49" i="22"/>
  <c r="O49" i="22" s="1"/>
  <c r="M78" i="22"/>
  <c r="O78" i="22" s="1"/>
  <c r="M7" i="22"/>
  <c r="O7" i="22" s="1"/>
  <c r="M102" i="22"/>
  <c r="O102" i="22" s="1"/>
  <c r="M70" i="22"/>
  <c r="O70" i="22" s="1"/>
  <c r="N31" i="22"/>
  <c r="P31" i="22" s="1"/>
  <c r="N16" i="22"/>
  <c r="P16" i="22" s="1"/>
  <c r="N94" i="22"/>
  <c r="P94" i="22" s="1"/>
  <c r="N48" i="22"/>
  <c r="P48" i="22" s="1"/>
  <c r="M93" i="22"/>
  <c r="O93" i="22" s="1"/>
  <c r="N41" i="22"/>
  <c r="P41" i="22" s="1"/>
  <c r="M94" i="22"/>
  <c r="O94" i="22" s="1"/>
  <c r="N97" i="22"/>
  <c r="P97" i="22" s="1"/>
  <c r="N54" i="22"/>
  <c r="P54" i="22" s="1"/>
  <c r="N100" i="22"/>
  <c r="P100" i="22" s="1"/>
  <c r="N93" i="22"/>
  <c r="P93" i="22" s="1"/>
  <c r="M48" i="22"/>
  <c r="O48" i="22" s="1"/>
  <c r="M67" i="22"/>
  <c r="O67" i="22" s="1"/>
  <c r="N77" i="22"/>
  <c r="P77" i="22" s="1"/>
  <c r="N18" i="22"/>
  <c r="P18" i="22" s="1"/>
  <c r="M90" i="22"/>
  <c r="O90" i="22" s="1"/>
  <c r="N78" i="22"/>
  <c r="P78" i="22" s="1"/>
  <c r="M21" i="22"/>
  <c r="O21" i="22" s="1"/>
  <c r="N92" i="22"/>
  <c r="P92" i="22" s="1"/>
  <c r="N67" i="22"/>
  <c r="P67" i="22" s="1"/>
  <c r="M50" i="22"/>
  <c r="O50" i="22" s="1"/>
  <c r="M73" i="22"/>
  <c r="O73" i="22" s="1"/>
  <c r="N6" i="22"/>
  <c r="P6" i="22" s="1"/>
  <c r="M96" i="22"/>
  <c r="O96" i="22" s="1"/>
  <c r="N4" i="22"/>
  <c r="P4" i="22" s="1"/>
  <c r="N28" i="22"/>
  <c r="P28" i="22" s="1"/>
  <c r="N17" i="22"/>
  <c r="P17" i="22" s="1"/>
  <c r="M5" i="22"/>
  <c r="O5" i="22" s="1"/>
  <c r="N44" i="22"/>
  <c r="P44" i="22" s="1"/>
  <c r="N8" i="22"/>
  <c r="P8" i="22" s="1"/>
  <c r="M83" i="22"/>
  <c r="N20" i="22"/>
  <c r="P20" i="22" s="1"/>
  <c r="N23" i="22"/>
  <c r="P23" i="22" s="1"/>
  <c r="M111" i="22"/>
  <c r="N128" i="22"/>
  <c r="P128" i="22" s="1"/>
  <c r="M109" i="22"/>
  <c r="O109" i="22" s="1"/>
  <c r="M112" i="22"/>
  <c r="M107" i="22"/>
  <c r="N120" i="22"/>
  <c r="M118" i="22"/>
  <c r="N113" i="22"/>
  <c r="P113" i="22" s="1"/>
  <c r="N122" i="22"/>
  <c r="P122" i="22" s="1"/>
  <c r="M130" i="22"/>
  <c r="O130" i="22" s="1"/>
  <c r="AY72" i="22" s="1"/>
  <c r="N105" i="22"/>
  <c r="N7" i="22"/>
  <c r="P7" i="22" s="1"/>
  <c r="M64" i="22"/>
  <c r="O64" i="22" s="1"/>
  <c r="M29" i="22"/>
  <c r="O29" i="22" s="1"/>
  <c r="M60" i="22"/>
  <c r="O60" i="22" s="1"/>
  <c r="M46" i="22"/>
  <c r="O46" i="22" s="1"/>
  <c r="M41" i="22"/>
  <c r="O41" i="22" s="1"/>
  <c r="M8" i="22"/>
  <c r="O8" i="22" s="1"/>
  <c r="N98" i="22"/>
  <c r="P98" i="22" s="1"/>
  <c r="M14" i="22"/>
  <c r="O14" i="22" s="1"/>
  <c r="M6" i="22"/>
  <c r="O6" i="22" s="1"/>
  <c r="N84" i="22"/>
  <c r="P84" i="22" s="1"/>
  <c r="N5" i="22"/>
  <c r="P5" i="22" s="1"/>
  <c r="N29" i="22"/>
  <c r="P29" i="22" s="1"/>
  <c r="M35" i="22"/>
  <c r="O35" i="22" s="1"/>
  <c r="M68" i="22"/>
  <c r="O68" i="22" s="1"/>
  <c r="N49" i="22"/>
  <c r="P49" i="22" s="1"/>
  <c r="M44" i="22"/>
  <c r="O44" i="22" s="1"/>
  <c r="N47" i="22"/>
  <c r="P47" i="22" s="1"/>
  <c r="M13" i="22"/>
  <c r="O13" i="22" s="1"/>
  <c r="M36" i="22"/>
  <c r="O36" i="22" s="1"/>
  <c r="N88" i="22"/>
  <c r="P88" i="22" s="1"/>
  <c r="M42" i="22"/>
  <c r="O42" i="22" s="1"/>
  <c r="M61" i="22"/>
  <c r="O61" i="22" s="1"/>
  <c r="M59" i="22"/>
  <c r="O59" i="22" s="1"/>
  <c r="M84" i="22"/>
  <c r="O84" i="22" s="1"/>
  <c r="M11" i="22"/>
  <c r="O11" i="22" s="1"/>
  <c r="N26" i="22"/>
  <c r="P26" i="22" s="1"/>
  <c r="N42" i="22"/>
  <c r="P42" i="22" s="1"/>
  <c r="M22" i="22"/>
  <c r="O22" i="22" s="1"/>
  <c r="M28" i="22"/>
  <c r="O28" i="22" s="1"/>
  <c r="N13" i="22"/>
  <c r="P13" i="22" s="1"/>
  <c r="M56" i="22"/>
  <c r="O56" i="22" s="1"/>
  <c r="N82" i="22"/>
  <c r="P82" i="22" s="1"/>
  <c r="N85" i="22"/>
  <c r="P85" i="22" s="1"/>
  <c r="N27" i="22"/>
  <c r="P27" i="22" s="1"/>
  <c r="N63" i="22"/>
  <c r="P63" i="22" s="1"/>
  <c r="AZ150" i="22" s="1"/>
  <c r="M101" i="22"/>
  <c r="O101" i="22" s="1"/>
  <c r="M37" i="22"/>
  <c r="O37" i="22" s="1"/>
  <c r="M77" i="22"/>
  <c r="O77" i="22" s="1"/>
  <c r="M15" i="22"/>
  <c r="O15" i="22" s="1"/>
  <c r="N73" i="22"/>
  <c r="P73" i="22" s="1"/>
  <c r="N75" i="22"/>
  <c r="P75" i="22" s="1"/>
  <c r="M20" i="22"/>
  <c r="O20" i="22" s="1"/>
  <c r="N89" i="22"/>
  <c r="P89" i="22" s="1"/>
  <c r="M65" i="22"/>
  <c r="O65" i="22" s="1"/>
  <c r="N33" i="22"/>
  <c r="P33" i="22" s="1"/>
  <c r="M100" i="22"/>
  <c r="O100" i="22" s="1"/>
  <c r="N70" i="22"/>
  <c r="P70" i="22" s="1"/>
  <c r="M126" i="22"/>
  <c r="M103" i="22"/>
  <c r="O103" i="22" s="1"/>
  <c r="N112" i="22"/>
  <c r="N130" i="22"/>
  <c r="M125" i="22"/>
  <c r="N126" i="22"/>
  <c r="P126" i="22" s="1"/>
  <c r="M108" i="22"/>
  <c r="N104" i="22"/>
  <c r="P104" i="22" s="1"/>
  <c r="M106" i="22"/>
  <c r="N114" i="22"/>
  <c r="P114" i="22" s="1"/>
  <c r="N15" i="22"/>
  <c r="P15" i="22" s="1"/>
  <c r="AM144" i="11" a="1"/>
  <c r="AM144" i="11" s="1"/>
  <c r="V258" i="32" l="1"/>
  <c r="AY105" i="22"/>
  <c r="AZ105" i="22"/>
  <c r="R134" i="22"/>
  <c r="AN18" i="22"/>
  <c r="Q134" i="22"/>
  <c r="AM18" i="22"/>
  <c r="Q55" i="22"/>
  <c r="AY151" i="22"/>
  <c r="Q80" i="22"/>
  <c r="AY134" i="22"/>
  <c r="R55" i="22"/>
  <c r="AZ151" i="22"/>
  <c r="R80" i="22"/>
  <c r="AZ134" i="22"/>
  <c r="Q38" i="22"/>
  <c r="AY104" i="22"/>
  <c r="R38" i="22"/>
  <c r="AZ104" i="22"/>
  <c r="AL257" i="32"/>
  <c r="AM5" i="22"/>
  <c r="AI256" i="32"/>
  <c r="AN256" i="32" s="1"/>
  <c r="AZ146" i="22"/>
  <c r="AZ148" i="22"/>
  <c r="AZ140" i="22"/>
  <c r="AZ71" i="22"/>
  <c r="AZ144" i="22"/>
  <c r="AZ66" i="22"/>
  <c r="AZ142" i="22"/>
  <c r="AZ63" i="22"/>
  <c r="AZ69" i="22"/>
  <c r="AZ141" i="22"/>
  <c r="AZ64" i="22"/>
  <c r="AZ62" i="22"/>
  <c r="AZ145" i="22"/>
  <c r="AZ67" i="22"/>
  <c r="AZ68" i="22"/>
  <c r="AY61" i="22"/>
  <c r="AZ61" i="22"/>
  <c r="AZ126" i="22"/>
  <c r="AY126" i="22"/>
  <c r="AI255" i="32"/>
  <c r="AN255" i="32" s="1"/>
  <c r="AY146" i="22"/>
  <c r="AY145" i="22"/>
  <c r="AY102" i="22"/>
  <c r="AY139" i="22"/>
  <c r="P140" i="22"/>
  <c r="R140" i="22" s="1"/>
  <c r="AF140" i="22" s="1"/>
  <c r="P116" i="22"/>
  <c r="P112" i="22"/>
  <c r="P105" i="22"/>
  <c r="P133" i="22"/>
  <c r="AZ103" i="22" s="1"/>
  <c r="P137" i="22"/>
  <c r="R137" i="22" s="1"/>
  <c r="AF137" i="22" s="1"/>
  <c r="P138" i="22"/>
  <c r="R138" i="22" s="1"/>
  <c r="AF138" i="22" s="1"/>
  <c r="P120" i="22"/>
  <c r="P109" i="22"/>
  <c r="P135" i="22"/>
  <c r="AN17" i="22" s="1"/>
  <c r="P129" i="22"/>
  <c r="P130" i="22"/>
  <c r="P117" i="22"/>
  <c r="AZ73" i="22" s="1"/>
  <c r="P118" i="22"/>
  <c r="P136" i="22"/>
  <c r="R136" i="22" s="1"/>
  <c r="AF136" i="22" s="1"/>
  <c r="P139" i="22"/>
  <c r="R139" i="22" s="1"/>
  <c r="AF139" i="22" s="1"/>
  <c r="R126" i="22"/>
  <c r="AF126" i="22" s="1"/>
  <c r="R125" i="22"/>
  <c r="R124" i="22"/>
  <c r="AF124" i="22" s="1"/>
  <c r="R128" i="22"/>
  <c r="R131" i="22"/>
  <c r="AF131" i="22" s="1"/>
  <c r="R123" i="22"/>
  <c r="R122" i="22"/>
  <c r="AF122" i="22" s="1"/>
  <c r="R127" i="22"/>
  <c r="R132" i="22"/>
  <c r="AF132" i="22" s="1"/>
  <c r="R113" i="22"/>
  <c r="BB66" i="22" s="1"/>
  <c r="R104" i="22"/>
  <c r="BB62" i="22" s="1"/>
  <c r="R108" i="22"/>
  <c r="BB64" i="22" s="1"/>
  <c r="R115" i="22"/>
  <c r="BB68" i="22" s="1"/>
  <c r="R110" i="22"/>
  <c r="BB65" i="22" s="1"/>
  <c r="R119" i="22"/>
  <c r="BB69" i="22" s="1"/>
  <c r="R114" i="22"/>
  <c r="BB67" i="22" s="1"/>
  <c r="R121" i="22"/>
  <c r="BB71" i="22" s="1"/>
  <c r="R107" i="22"/>
  <c r="AF107" i="22" s="1"/>
  <c r="R111" i="22"/>
  <c r="O106" i="22"/>
  <c r="AY63" i="22" s="1"/>
  <c r="O112" i="22"/>
  <c r="O114" i="22"/>
  <c r="AY67" i="22" s="1"/>
  <c r="O105" i="22"/>
  <c r="AY19" i="22" s="1"/>
  <c r="O110" i="22"/>
  <c r="AY65" i="22" s="1"/>
  <c r="O122" i="22"/>
  <c r="AY140" i="22" s="1"/>
  <c r="O132" i="22"/>
  <c r="AY148" i="22" s="1"/>
  <c r="O140" i="22"/>
  <c r="Q140" i="22" s="1"/>
  <c r="AE140" i="22" s="1"/>
  <c r="O136" i="22"/>
  <c r="Q136" i="22" s="1"/>
  <c r="AE136" i="22" s="1"/>
  <c r="O135" i="22"/>
  <c r="AM17" i="22" s="1"/>
  <c r="O123" i="22"/>
  <c r="AY141" i="22" s="1"/>
  <c r="O118" i="22"/>
  <c r="AY24" i="22" s="1"/>
  <c r="O117" i="22"/>
  <c r="O113" i="22"/>
  <c r="AY66" i="22" s="1"/>
  <c r="O131" i="22"/>
  <c r="AY147" i="22" s="1"/>
  <c r="O139" i="22"/>
  <c r="Q139" i="22" s="1"/>
  <c r="AE139" i="22" s="1"/>
  <c r="O119" i="22"/>
  <c r="AY69" i="22" s="1"/>
  <c r="O108" i="22"/>
  <c r="AY64" i="22" s="1"/>
  <c r="O126" i="22"/>
  <c r="AY144" i="22" s="1"/>
  <c r="O121" i="22"/>
  <c r="AY71" i="22" s="1"/>
  <c r="O104" i="22"/>
  <c r="AY62" i="22" s="1"/>
  <c r="O137" i="22"/>
  <c r="Q137" i="22" s="1"/>
  <c r="AE137" i="22" s="1"/>
  <c r="O138" i="22"/>
  <c r="Q138" i="22" s="1"/>
  <c r="AE138" i="22" s="1"/>
  <c r="O115" i="22"/>
  <c r="AY68" i="22" s="1"/>
  <c r="O125" i="22"/>
  <c r="AY143" i="22" s="1"/>
  <c r="O107" i="22"/>
  <c r="O111" i="22"/>
  <c r="AY22" i="22" s="1"/>
  <c r="O124" i="22"/>
  <c r="AY142" i="22" s="1"/>
  <c r="Q116" i="22"/>
  <c r="BA139" i="22" s="1"/>
  <c r="Q130" i="22"/>
  <c r="BA72" i="22" s="1"/>
  <c r="Q129" i="22"/>
  <c r="BA102" i="22" s="1"/>
  <c r="Q133" i="22"/>
  <c r="BA103" i="22" s="1"/>
  <c r="Q120" i="22"/>
  <c r="BA70" i="22" s="1"/>
  <c r="Q128" i="22"/>
  <c r="BA146" i="22" s="1"/>
  <c r="Q127" i="22"/>
  <c r="AE127" i="22" s="1"/>
  <c r="Q109" i="22"/>
  <c r="AE109" i="22" s="1"/>
  <c r="AN15" i="22"/>
  <c r="R106" i="22"/>
  <c r="BB63" i="22" s="1"/>
  <c r="R103" i="22"/>
  <c r="AM15" i="22"/>
  <c r="Q103" i="22"/>
  <c r="N24" i="22"/>
  <c r="P24" i="22" s="1"/>
  <c r="AM145" i="11" a="1"/>
  <c r="AM145" i="11" s="1"/>
  <c r="Q117" i="22" l="1"/>
  <c r="AY73" i="22"/>
  <c r="AE134" i="22"/>
  <c r="AO18" i="22"/>
  <c r="AF134" i="22"/>
  <c r="AP18" i="22"/>
  <c r="R135" i="22"/>
  <c r="AZ80" i="22"/>
  <c r="Q135" i="22"/>
  <c r="AY80" i="22"/>
  <c r="AF55" i="22"/>
  <c r="BB151" i="22"/>
  <c r="AF80" i="22"/>
  <c r="BB134" i="22"/>
  <c r="AE80" i="22"/>
  <c r="BA134" i="22"/>
  <c r="AE55" i="22"/>
  <c r="BA151" i="22"/>
  <c r="AF38" i="22"/>
  <c r="BB104" i="22"/>
  <c r="AE38" i="22"/>
  <c r="BA104" i="22"/>
  <c r="BE67" i="22"/>
  <c r="BE64" i="22"/>
  <c r="BE69" i="22"/>
  <c r="BE62" i="22"/>
  <c r="BE65" i="22"/>
  <c r="BE66" i="22"/>
  <c r="BE63" i="22"/>
  <c r="BE71" i="22"/>
  <c r="BE68" i="22"/>
  <c r="AI257" i="32"/>
  <c r="AN257" i="32" s="1"/>
  <c r="AZ24" i="22"/>
  <c r="AZ72" i="22"/>
  <c r="AZ20" i="22"/>
  <c r="AZ101" i="22"/>
  <c r="R109" i="22"/>
  <c r="AF109" i="22" s="1"/>
  <c r="AZ70" i="22"/>
  <c r="AF110" i="22"/>
  <c r="AF104" i="22"/>
  <c r="AF114" i="22"/>
  <c r="AY20" i="22"/>
  <c r="AZ22" i="22"/>
  <c r="AY23" i="22"/>
  <c r="AY21" i="22"/>
  <c r="AD2" i="32"/>
  <c r="R130" i="22"/>
  <c r="BB72" i="22" s="1"/>
  <c r="BB144" i="22"/>
  <c r="R112" i="22"/>
  <c r="BB101" i="22" s="1"/>
  <c r="BB140" i="22"/>
  <c r="BB147" i="22"/>
  <c r="BB148" i="22"/>
  <c r="BA145" i="22"/>
  <c r="BB142" i="22"/>
  <c r="AF111" i="22"/>
  <c r="AF108" i="22"/>
  <c r="AF128" i="22"/>
  <c r="BB146" i="22"/>
  <c r="AZ23" i="22"/>
  <c r="AF115" i="22"/>
  <c r="AF123" i="22"/>
  <c r="BB141" i="22"/>
  <c r="AY101" i="22"/>
  <c r="AF119" i="22"/>
  <c r="AF127" i="22"/>
  <c r="BB145" i="22"/>
  <c r="AF121" i="22"/>
  <c r="AF113" i="22"/>
  <c r="AF125" i="22"/>
  <c r="BB143" i="22"/>
  <c r="AZ102" i="22"/>
  <c r="R129" i="22"/>
  <c r="BB102" i="22" s="1"/>
  <c r="R120" i="22"/>
  <c r="BB70" i="22" s="1"/>
  <c r="AZ19" i="22"/>
  <c r="R105" i="22"/>
  <c r="AF105" i="22" s="1"/>
  <c r="Q104" i="22"/>
  <c r="BA62" i="22" s="1"/>
  <c r="BB21" i="22"/>
  <c r="AZ21" i="22"/>
  <c r="R133" i="22"/>
  <c r="AN13" i="22"/>
  <c r="AZ139" i="22"/>
  <c r="R116" i="22"/>
  <c r="AF116" i="22" s="1"/>
  <c r="R118" i="22"/>
  <c r="AN12" i="22"/>
  <c r="AN16" i="22"/>
  <c r="R117" i="22"/>
  <c r="AN14" i="22"/>
  <c r="Q126" i="22"/>
  <c r="AE126" i="22" s="1"/>
  <c r="Q131" i="22"/>
  <c r="AE131" i="22" s="1"/>
  <c r="Q123" i="22"/>
  <c r="AE123" i="22" s="1"/>
  <c r="Q132" i="22"/>
  <c r="AE132" i="22" s="1"/>
  <c r="Q124" i="22"/>
  <c r="AE124" i="22" s="1"/>
  <c r="Q122" i="22"/>
  <c r="AE122" i="22" s="1"/>
  <c r="Q125" i="22"/>
  <c r="AE125" i="22" s="1"/>
  <c r="Q119" i="22"/>
  <c r="BA69" i="22" s="1"/>
  <c r="Q110" i="22"/>
  <c r="BA65" i="22" s="1"/>
  <c r="Q106" i="22"/>
  <c r="BA63" i="22" s="1"/>
  <c r="Q115" i="22"/>
  <c r="BA68" i="22" s="1"/>
  <c r="Q121" i="22"/>
  <c r="BA71" i="22" s="1"/>
  <c r="Q108" i="22"/>
  <c r="BA64" i="22" s="1"/>
  <c r="Q114" i="22"/>
  <c r="BA67" i="22" s="1"/>
  <c r="Q113" i="22"/>
  <c r="BA66" i="22" s="1"/>
  <c r="Q111" i="22"/>
  <c r="AE111" i="22" s="1"/>
  <c r="Q105" i="22"/>
  <c r="AE105" i="22" s="1"/>
  <c r="Q107" i="22"/>
  <c r="AE107" i="22" s="1"/>
  <c r="Q118" i="22"/>
  <c r="AM16" i="22"/>
  <c r="Q112" i="22"/>
  <c r="BA101" i="22" s="1"/>
  <c r="AM13" i="22"/>
  <c r="AM14" i="22"/>
  <c r="AM12" i="22"/>
  <c r="AE116" i="22"/>
  <c r="AE129" i="22"/>
  <c r="AE133" i="22"/>
  <c r="AE130" i="22"/>
  <c r="AE120" i="22"/>
  <c r="AE103" i="22"/>
  <c r="AP15" i="22"/>
  <c r="AE128" i="22"/>
  <c r="AF106" i="22"/>
  <c r="AF103" i="22"/>
  <c r="AO15" i="22"/>
  <c r="AM146" i="11" a="1"/>
  <c r="AM146" i="11" s="1"/>
  <c r="G39" i="110" l="1"/>
  <c r="G106" i="110"/>
  <c r="G41" i="110"/>
  <c r="G110" i="110"/>
  <c r="G48" i="110"/>
  <c r="G109" i="110"/>
  <c r="G51" i="110"/>
  <c r="G113" i="110"/>
  <c r="G38" i="110"/>
  <c r="G105" i="110"/>
  <c r="G47" i="110"/>
  <c r="G108" i="110"/>
  <c r="G40" i="110"/>
  <c r="G107" i="110"/>
  <c r="G37" i="110"/>
  <c r="G104" i="110"/>
  <c r="G49" i="110"/>
  <c r="G111" i="110"/>
  <c r="AF117" i="22"/>
  <c r="BB73" i="22"/>
  <c r="AE117" i="22"/>
  <c r="BA73" i="22"/>
  <c r="AN258" i="32"/>
  <c r="BE151" i="22"/>
  <c r="BE134" i="22"/>
  <c r="BB80" i="22"/>
  <c r="AE135" i="22"/>
  <c r="BA80" i="22"/>
  <c r="BE104" i="22"/>
  <c r="BF71" i="22"/>
  <c r="BF66" i="22"/>
  <c r="BF62" i="22"/>
  <c r="BF64" i="22"/>
  <c r="BE70" i="22"/>
  <c r="BF68" i="22"/>
  <c r="BF63" i="22"/>
  <c r="BF65" i="22"/>
  <c r="BF69" i="22"/>
  <c r="BF67" i="22"/>
  <c r="BB22" i="22"/>
  <c r="BE143" i="22"/>
  <c r="BE145" i="22"/>
  <c r="BE146" i="22"/>
  <c r="BE148" i="22"/>
  <c r="BE141" i="22"/>
  <c r="BE142" i="22"/>
  <c r="BE144" i="22"/>
  <c r="BE72" i="22"/>
  <c r="AE119" i="22"/>
  <c r="AE113" i="22"/>
  <c r="AE108" i="22"/>
  <c r="AE104" i="22"/>
  <c r="AE114" i="22"/>
  <c r="AE121" i="22"/>
  <c r="AE115" i="22"/>
  <c r="AE110" i="22"/>
  <c r="AE106" i="22"/>
  <c r="AE118" i="22"/>
  <c r="BA24" i="22"/>
  <c r="BB23" i="22"/>
  <c r="BB24" i="22"/>
  <c r="BA21" i="22"/>
  <c r="BB20" i="22"/>
  <c r="AF130" i="22"/>
  <c r="BB103" i="22"/>
  <c r="BE21" i="22"/>
  <c r="AF112" i="22"/>
  <c r="BE101" i="22"/>
  <c r="BE102" i="22"/>
  <c r="BE140" i="22"/>
  <c r="AF118" i="22"/>
  <c r="BE147" i="22"/>
  <c r="BA140" i="22"/>
  <c r="AP13" i="22"/>
  <c r="BA148" i="22"/>
  <c r="BA23" i="22"/>
  <c r="BA147" i="22"/>
  <c r="BA143" i="22"/>
  <c r="BA142" i="22"/>
  <c r="BA141" i="22"/>
  <c r="BA144" i="22"/>
  <c r="BB139" i="22"/>
  <c r="AP12" i="22"/>
  <c r="AP16" i="22"/>
  <c r="AP14" i="22"/>
  <c r="AF129" i="22"/>
  <c r="AF120" i="22"/>
  <c r="BA20" i="22"/>
  <c r="BA22" i="22"/>
  <c r="AO16" i="22"/>
  <c r="AO13" i="22"/>
  <c r="AE112" i="22"/>
  <c r="AO14" i="22"/>
  <c r="AO12" i="22"/>
  <c r="AM147" i="11" a="1"/>
  <c r="AM147" i="11" s="1"/>
  <c r="G52" i="110" l="1"/>
  <c r="G114" i="110"/>
  <c r="G50" i="110"/>
  <c r="G112" i="110"/>
  <c r="BE73" i="22"/>
  <c r="BF151" i="22"/>
  <c r="BF134" i="22"/>
  <c r="BF104" i="22"/>
  <c r="BE20" i="22"/>
  <c r="BF70" i="22"/>
  <c r="BE22" i="22"/>
  <c r="BF143" i="22"/>
  <c r="BF148" i="22"/>
  <c r="BF145" i="22"/>
  <c r="BF142" i="22"/>
  <c r="BF141" i="22"/>
  <c r="BF144" i="22"/>
  <c r="BF146" i="22"/>
  <c r="BF140" i="22"/>
  <c r="BF72" i="22"/>
  <c r="BE24" i="22"/>
  <c r="BE23" i="22"/>
  <c r="BF21" i="22"/>
  <c r="BF102" i="22"/>
  <c r="BE139" i="22"/>
  <c r="BF101" i="22"/>
  <c r="BF147" i="22"/>
  <c r="AM148" i="11" a="1"/>
  <c r="AM148" i="11" s="1"/>
  <c r="G53" i="110" l="1"/>
  <c r="G115" i="110"/>
  <c r="BF73" i="22"/>
  <c r="BF20" i="22"/>
  <c r="BF22" i="22"/>
  <c r="BF23" i="22"/>
  <c r="BF24" i="22"/>
  <c r="BF139" i="22"/>
  <c r="AM149" i="11" a="1"/>
  <c r="AM149" i="11" s="1"/>
  <c r="AM150" i="11" l="1" a="1"/>
  <c r="AM150" i="11" s="1"/>
  <c r="AM151" i="11" l="1" a="1"/>
  <c r="AM151" i="11" s="1"/>
  <c r="AM152" i="11" l="1" a="1"/>
  <c r="AM152" i="11" s="1"/>
  <c r="AM153" i="11" l="1" a="1"/>
  <c r="AM153" i="11" s="1"/>
  <c r="AM154" i="11" l="1" a="1"/>
  <c r="AM154" i="11" s="1"/>
  <c r="AM155" i="11" l="1" a="1"/>
  <c r="AM155" i="11" s="1"/>
  <c r="AM156" i="11" l="1" a="1"/>
  <c r="AM156" i="11" s="1"/>
  <c r="AM157" i="11" l="1" a="1"/>
  <c r="AM157" i="11" s="1"/>
  <c r="AM158" i="11" l="1" a="1"/>
  <c r="AM158" i="11" s="1"/>
  <c r="AM159" i="11" l="1" a="1"/>
  <c r="AM159" i="11" s="1"/>
  <c r="AM160" i="11" l="1" a="1"/>
  <c r="AM160" i="11" s="1"/>
  <c r="AM161" i="11" l="1" a="1"/>
  <c r="AM161" i="11" s="1"/>
  <c r="AM162" i="11" l="1" a="1"/>
  <c r="AM162" i="11" s="1"/>
  <c r="AM163" i="11" l="1" a="1"/>
  <c r="AM163" i="11" s="1"/>
  <c r="AM164" i="11" l="1" a="1"/>
  <c r="AM164" i="11" s="1"/>
  <c r="AM165" i="11" l="1" a="1"/>
  <c r="AM165" i="11" s="1"/>
  <c r="AM166" i="11" l="1" a="1"/>
  <c r="AM166" i="11" s="1"/>
  <c r="AM167" i="11" l="1" a="1"/>
  <c r="AM167" i="11" s="1"/>
  <c r="AM168" i="11" l="1" a="1"/>
  <c r="AM168" i="11" s="1"/>
  <c r="AM169" i="11" l="1" a="1"/>
  <c r="AM169" i="11" s="1"/>
  <c r="AM170" i="11" l="1" a="1"/>
  <c r="AM170" i="11" s="1"/>
  <c r="AM171" i="11" l="1" a="1"/>
  <c r="AM171" i="11" s="1"/>
  <c r="AM172" i="11" l="1" a="1"/>
  <c r="AM172" i="11" s="1"/>
  <c r="AM173" i="11" l="1" a="1"/>
  <c r="AM173" i="11" s="1"/>
  <c r="AM174" i="11" l="1" a="1"/>
  <c r="AM174" i="11" s="1"/>
  <c r="AM175" i="11" l="1" a="1"/>
  <c r="AM175" i="11" s="1"/>
  <c r="AM176" i="11" l="1" a="1"/>
  <c r="AM176" i="11" s="1"/>
  <c r="AM177" i="11" l="1" a="1"/>
  <c r="AM177" i="11" s="1"/>
  <c r="AM178" i="11" l="1" a="1"/>
  <c r="AM178" i="11" s="1"/>
  <c r="AM179" i="11" l="1" a="1"/>
  <c r="AM179" i="11" s="1"/>
  <c r="AM180" i="11" l="1" a="1"/>
  <c r="AM180" i="11" s="1"/>
  <c r="AM181" i="11" l="1" a="1"/>
  <c r="AM181" i="11" s="1"/>
  <c r="AM182" i="11" l="1" a="1"/>
  <c r="AM182" i="11" s="1"/>
  <c r="AM183" i="11" l="1" a="1"/>
  <c r="AM183" i="11" s="1"/>
  <c r="AM184" i="11" l="1" a="1"/>
  <c r="AM184" i="11" s="1"/>
  <c r="AM185" i="11" l="1" a="1"/>
  <c r="AM185" i="11" s="1"/>
  <c r="AM186" i="11" l="1" a="1"/>
  <c r="AM186" i="11" s="1"/>
  <c r="AM187" i="11" l="1" a="1"/>
  <c r="AM187" i="11" s="1"/>
  <c r="AM188" i="11" l="1" a="1"/>
  <c r="AM188" i="11" s="1"/>
  <c r="AM189" i="11" l="1" a="1"/>
  <c r="AM189" i="11" s="1"/>
  <c r="AM190" i="11" l="1" a="1"/>
  <c r="AM190" i="11" s="1"/>
  <c r="AM191" i="11" l="1" a="1"/>
  <c r="AM191" i="11" s="1"/>
  <c r="AM192" i="11" l="1" a="1"/>
  <c r="AM192" i="11" s="1"/>
  <c r="AM193" i="11" l="1" a="1"/>
  <c r="AM193" i="11" s="1"/>
  <c r="AM194" i="11" l="1" a="1"/>
  <c r="AM194" i="11" s="1"/>
  <c r="AM195" i="11" l="1" a="1"/>
  <c r="AM195" i="11" s="1"/>
  <c r="AM196" i="11" l="1" a="1"/>
  <c r="AM196" i="11" s="1"/>
  <c r="AM197" i="11" l="1" a="1"/>
  <c r="AM197" i="11" s="1"/>
  <c r="AM198" i="11" l="1" a="1"/>
  <c r="AM198" i="11" s="1"/>
  <c r="AM199" i="11" l="1" a="1"/>
  <c r="AM199" i="11" s="1"/>
  <c r="AM200" i="11" l="1" a="1"/>
  <c r="AM200" i="11" s="1"/>
  <c r="AM201" i="11" l="1" a="1"/>
  <c r="AM201" i="11" s="1"/>
  <c r="AM202" i="11" l="1" a="1"/>
  <c r="AM202" i="11" s="1"/>
  <c r="AM203" i="11" l="1" a="1"/>
  <c r="AM203" i="11" s="1"/>
  <c r="AM204" i="11" l="1" a="1"/>
  <c r="AM204" i="11" s="1"/>
  <c r="AM205" i="11" l="1" a="1"/>
  <c r="AM205" i="11" s="1"/>
  <c r="AM206" i="11" l="1" a="1"/>
  <c r="AM206" i="11" s="1"/>
  <c r="AM207" i="11" l="1" a="1"/>
  <c r="AM207" i="11" s="1"/>
  <c r="AM208" i="11" l="1" a="1"/>
  <c r="AM208" i="11" s="1"/>
  <c r="AM209" i="11" l="1" a="1"/>
  <c r="AM209" i="11" s="1"/>
  <c r="AM210" i="11" l="1" a="1"/>
  <c r="AM210" i="11" s="1"/>
  <c r="AM211" i="11" l="1" a="1"/>
  <c r="AM211" i="11" s="1"/>
  <c r="AM212" i="11" l="1" a="1"/>
  <c r="AM212" i="11" s="1"/>
  <c r="AM213" i="11" l="1" a="1"/>
  <c r="AM213" i="11" s="1"/>
  <c r="AM214" i="11" l="1" a="1"/>
  <c r="AM214" i="11" s="1"/>
  <c r="AM215" i="11" l="1" a="1"/>
  <c r="AM215" i="11" s="1"/>
  <c r="AM216" i="11" l="1" a="1"/>
  <c r="AM216" i="11" s="1"/>
  <c r="AM217" i="11" l="1" a="1"/>
  <c r="AM217" i="11" s="1"/>
  <c r="AM218" i="11" l="1" a="1"/>
  <c r="AM218" i="11" s="1"/>
  <c r="AM219" i="11" l="1" a="1"/>
  <c r="AM219" i="11" s="1"/>
  <c r="AM220" i="11" l="1" a="1"/>
  <c r="AM220" i="11" s="1"/>
  <c r="AM221" i="11" l="1" a="1"/>
  <c r="AM221" i="11" s="1"/>
  <c r="AM222" i="11" l="1" a="1"/>
  <c r="AM222" i="11" s="1"/>
  <c r="AM223" i="11" l="1" a="1"/>
  <c r="AM223" i="11" s="1"/>
  <c r="AM224" i="11" l="1" a="1"/>
  <c r="AM224" i="11" s="1"/>
  <c r="AM225" i="11" l="1" a="1"/>
  <c r="AM225" i="11" s="1"/>
  <c r="AM226" i="11" l="1" a="1"/>
  <c r="AM226" i="11" s="1"/>
  <c r="AM227" i="11" l="1" a="1"/>
  <c r="AM227" i="11" s="1"/>
  <c r="AM228" i="11" l="1" a="1"/>
  <c r="AM228" i="11" s="1"/>
  <c r="AM229" i="11" l="1" a="1"/>
  <c r="AM229" i="11" s="1"/>
  <c r="AM230" i="11" l="1" a="1"/>
  <c r="AM230" i="11" s="1"/>
  <c r="AM231" i="11" l="1" a="1"/>
  <c r="AM231" i="11" s="1"/>
  <c r="AM232" i="11" l="1" a="1"/>
  <c r="AM232" i="11" s="1"/>
  <c r="AM233" i="11" l="1" a="1"/>
  <c r="AM233" i="11" s="1"/>
  <c r="AM234" i="11" l="1" a="1"/>
  <c r="AM234" i="11" s="1"/>
  <c r="AM235" i="11" l="1" a="1"/>
  <c r="AM235" i="11" s="1"/>
  <c r="AM236" i="11" l="1" a="1"/>
  <c r="AM236" i="11" s="1"/>
  <c r="AM237" i="11" l="1" a="1"/>
  <c r="AM237" i="11" s="1"/>
  <c r="AM238" i="11" l="1" a="1"/>
  <c r="AM238" i="11" s="1"/>
  <c r="AM239" i="11" l="1" a="1"/>
  <c r="AM239" i="11" s="1"/>
  <c r="AM240" i="11" l="1" a="1"/>
  <c r="AM240" i="11" s="1"/>
  <c r="AM241" i="11" l="1" a="1"/>
  <c r="AM241" i="11" s="1"/>
  <c r="AM242" i="11" l="1" a="1"/>
  <c r="AM242" i="11" s="1"/>
  <c r="AM243" i="11" l="1" a="1"/>
  <c r="AM243" i="11" s="1"/>
  <c r="AM244" i="11" l="1" a="1"/>
  <c r="AM244" i="11" s="1"/>
  <c r="AM245" i="11" l="1" a="1"/>
  <c r="AM245" i="11" s="1"/>
  <c r="AD60" i="22" l="1"/>
  <c r="BD125" i="22" s="1"/>
  <c r="AC60" i="22"/>
  <c r="AN23" i="22"/>
  <c r="AM22" i="22"/>
  <c r="AD62" i="22"/>
  <c r="BD124" i="22" s="1"/>
  <c r="AM21" i="22"/>
  <c r="AM23" i="22"/>
  <c r="AC62" i="22"/>
  <c r="AM25" i="22"/>
  <c r="AN24" i="22"/>
  <c r="AN27" i="22"/>
  <c r="AM24" i="22"/>
  <c r="AM27" i="22"/>
  <c r="AC4" i="22"/>
  <c r="AC94" i="22"/>
  <c r="AD75" i="22"/>
  <c r="BD132" i="22" s="1"/>
  <c r="AC82" i="22"/>
  <c r="AC59" i="22"/>
  <c r="AD33" i="22"/>
  <c r="BD92" i="22" s="1"/>
  <c r="AD82" i="22"/>
  <c r="AC61" i="22"/>
  <c r="AC73" i="22"/>
  <c r="AD25" i="22"/>
  <c r="BD34" i="22" s="1"/>
  <c r="AD36" i="22"/>
  <c r="BD36" i="22" s="1"/>
  <c r="AC12" i="22"/>
  <c r="AD64" i="22"/>
  <c r="BD157" i="22" s="1"/>
  <c r="AD68" i="22"/>
  <c r="AD40" i="22"/>
  <c r="AC79" i="22"/>
  <c r="AD70" i="22"/>
  <c r="BD128" i="22" s="1"/>
  <c r="AD65" i="22"/>
  <c r="BD96" i="22" s="1"/>
  <c r="AC58" i="22"/>
  <c r="AC29" i="22"/>
  <c r="AC30" i="22"/>
  <c r="AC16" i="22"/>
  <c r="AD29" i="22"/>
  <c r="BD89" i="22" s="1"/>
  <c r="AD59" i="22"/>
  <c r="BD95" i="22" s="1"/>
  <c r="AC81" i="22"/>
  <c r="AC67" i="22"/>
  <c r="AC54" i="22"/>
  <c r="AC6" i="22"/>
  <c r="AC56" i="22"/>
  <c r="AD53" i="22"/>
  <c r="BD47" i="22" s="1"/>
  <c r="AD24" i="22"/>
  <c r="BD86" i="22" s="1"/>
  <c r="AD11" i="22"/>
  <c r="BD115" i="22" s="1"/>
  <c r="AD78" i="22"/>
  <c r="BD159" i="22" s="1"/>
  <c r="AC31" i="22"/>
  <c r="AC43" i="22"/>
  <c r="AD37" i="22"/>
  <c r="BD149" i="22" s="1"/>
  <c r="AD93" i="22"/>
  <c r="BD56" i="22" s="1"/>
  <c r="AC33" i="22"/>
  <c r="AC7" i="22"/>
  <c r="AD45" i="22"/>
  <c r="BD42" i="22" s="1"/>
  <c r="AC57" i="22"/>
  <c r="AD12" i="22"/>
  <c r="BD116" i="22" s="1"/>
  <c r="AC101" i="22"/>
  <c r="AC17" i="22"/>
  <c r="AC13" i="22"/>
  <c r="AC77" i="22"/>
  <c r="AC44" i="22"/>
  <c r="AD43" i="22"/>
  <c r="BD40" i="22" s="1"/>
  <c r="AD91" i="22"/>
  <c r="BD53" i="22" s="1"/>
  <c r="AD46" i="22"/>
  <c r="BD43" i="22" s="1"/>
  <c r="AC45" i="22"/>
  <c r="AC26" i="22"/>
  <c r="AD41" i="22"/>
  <c r="BD122" i="22" s="1"/>
  <c r="AD39" i="22"/>
  <c r="BD37" i="22" s="1"/>
  <c r="AC37" i="22"/>
  <c r="AC52" i="22"/>
  <c r="AC98" i="22"/>
  <c r="AD90" i="22"/>
  <c r="BD52" i="22" s="1"/>
  <c r="AD9" i="22"/>
  <c r="BD118" i="22" s="1"/>
  <c r="AC91" i="22"/>
  <c r="AD10" i="22"/>
  <c r="BD114" i="22" s="1"/>
  <c r="AC39" i="22"/>
  <c r="AD72" i="22"/>
  <c r="BD130" i="22" s="1"/>
  <c r="AD28" i="22"/>
  <c r="BD88" i="22" s="1"/>
  <c r="AC70" i="22"/>
  <c r="AC34" i="22"/>
  <c r="AD100" i="22"/>
  <c r="BD59" i="22" s="1"/>
  <c r="AD96" i="22"/>
  <c r="BD99" i="22" s="1"/>
  <c r="AC68" i="22"/>
  <c r="AD71" i="22"/>
  <c r="AD48" i="22"/>
  <c r="BD93" i="22" s="1"/>
  <c r="AC40" i="22"/>
  <c r="AD23" i="22"/>
  <c r="BD33" i="22" s="1"/>
  <c r="AD17" i="22"/>
  <c r="BD32" i="22" s="1"/>
  <c r="AD26" i="22"/>
  <c r="AD51" i="22"/>
  <c r="AD54" i="22"/>
  <c r="BD123" i="22" s="1"/>
  <c r="AC36" i="22"/>
  <c r="AC65" i="22"/>
  <c r="AC19" i="22"/>
  <c r="AD97" i="22"/>
  <c r="BD100" i="22" s="1"/>
  <c r="AD67" i="22"/>
  <c r="AC22" i="22"/>
  <c r="AD83" i="22"/>
  <c r="AD88" i="22"/>
  <c r="BD51" i="22" s="1"/>
  <c r="AD57" i="22"/>
  <c r="AC5" i="22"/>
  <c r="AD42" i="22"/>
  <c r="BD39" i="22" s="1"/>
  <c r="AC89" i="22"/>
  <c r="AC51" i="22"/>
  <c r="AC78" i="22"/>
  <c r="AD31" i="22"/>
  <c r="BD91" i="22" s="1"/>
  <c r="AC76" i="22"/>
  <c r="AO34" i="22" s="1"/>
  <c r="AC63" i="22"/>
  <c r="AC42" i="22"/>
  <c r="AD87" i="22"/>
  <c r="AD5" i="22"/>
  <c r="BD81" i="22" s="1"/>
  <c r="AC71" i="22"/>
  <c r="AC69" i="22"/>
  <c r="AC72" i="22"/>
  <c r="AC46" i="22"/>
  <c r="AC93" i="22"/>
  <c r="AD6" i="22"/>
  <c r="BD82" i="22" s="1"/>
  <c r="AC49" i="22"/>
  <c r="AC48" i="22"/>
  <c r="AC10" i="22"/>
  <c r="AD85" i="22"/>
  <c r="AD63" i="22"/>
  <c r="AC99" i="22"/>
  <c r="AC25" i="22"/>
  <c r="AC84" i="22"/>
  <c r="AD49" i="22"/>
  <c r="BD94" i="22" s="1"/>
  <c r="AC18" i="22"/>
  <c r="AD95" i="22"/>
  <c r="BD98" i="22" s="1"/>
  <c r="AD89" i="22"/>
  <c r="AD86" i="22"/>
  <c r="AD66" i="22"/>
  <c r="BD158" i="22" s="1"/>
  <c r="AD69" i="22"/>
  <c r="AC97" i="22"/>
  <c r="AC64" i="22"/>
  <c r="AC9" i="22"/>
  <c r="AD30" i="22"/>
  <c r="BD90" i="22" s="1"/>
  <c r="AC53" i="22"/>
  <c r="AD94" i="22"/>
  <c r="BD138" i="22" s="1"/>
  <c r="AC20" i="22"/>
  <c r="AD27" i="22"/>
  <c r="BD87" i="22" s="1"/>
  <c r="AD73" i="22"/>
  <c r="BD50" i="22" s="1"/>
  <c r="AC86" i="22"/>
  <c r="AD98" i="22"/>
  <c r="BD57" i="22" s="1"/>
  <c r="AC14" i="22"/>
  <c r="AC102" i="22"/>
  <c r="AD14" i="22"/>
  <c r="BD30" i="22" s="1"/>
  <c r="D37" i="104" s="1"/>
  <c r="AD47" i="22"/>
  <c r="BD44" i="22" s="1"/>
  <c r="AC47" i="22"/>
  <c r="AD79" i="22"/>
  <c r="BD136" i="22" s="1"/>
  <c r="AD84" i="22"/>
  <c r="AC66" i="22"/>
  <c r="AD7" i="22"/>
  <c r="BD83" i="22" s="1"/>
  <c r="AD34" i="22"/>
  <c r="AC11" i="22"/>
  <c r="AD99" i="22"/>
  <c r="BD58" i="22" s="1"/>
  <c r="AC32" i="22"/>
  <c r="AC27" i="22"/>
  <c r="AC50" i="22"/>
  <c r="AC83" i="22"/>
  <c r="AC75" i="22"/>
  <c r="AC85" i="22"/>
  <c r="AC92" i="22"/>
  <c r="AC96" i="22"/>
  <c r="AC24" i="22"/>
  <c r="AD32" i="22"/>
  <c r="BD35" i="22" s="1"/>
  <c r="AD56" i="22"/>
  <c r="BD48" i="22" s="1"/>
  <c r="AC90" i="22"/>
  <c r="AC23" i="22"/>
  <c r="AC95" i="22"/>
  <c r="AD50" i="22"/>
  <c r="BD45" i="22" s="1"/>
  <c r="AC87" i="22"/>
  <c r="AD92" i="22"/>
  <c r="BD54" i="22" s="1"/>
  <c r="AD58" i="22"/>
  <c r="BD49" i="22" s="1"/>
  <c r="AC41" i="22"/>
  <c r="AC88" i="22"/>
  <c r="AD77" i="22"/>
  <c r="BD135" i="22" s="1"/>
  <c r="AC28" i="22"/>
  <c r="AD13" i="22"/>
  <c r="BD117" i="22" s="1"/>
  <c r="AD81" i="22"/>
  <c r="BD137" i="22" s="1"/>
  <c r="AC21" i="22"/>
  <c r="AD44" i="22"/>
  <c r="BD41" i="22" s="1"/>
  <c r="AM246" i="11" a="1"/>
  <c r="AM246" i="11" s="1"/>
  <c r="D25" i="104" l="1"/>
  <c r="D15" i="104"/>
  <c r="BD11" i="22"/>
  <c r="BD150" i="22"/>
  <c r="BD9" i="22"/>
  <c r="BD12" i="22"/>
  <c r="BD15" i="22"/>
  <c r="BD13" i="22"/>
  <c r="BD14" i="22"/>
  <c r="BD10" i="22"/>
  <c r="BD7" i="22"/>
  <c r="BD16" i="22"/>
  <c r="BD17" i="22"/>
  <c r="BD18" i="22"/>
  <c r="BD8" i="22"/>
  <c r="BD127" i="22"/>
  <c r="BD126" i="22"/>
  <c r="BD97" i="22"/>
  <c r="BD129" i="22"/>
  <c r="AC15" i="22"/>
  <c r="AO22" i="22" s="1"/>
  <c r="AD35" i="22"/>
  <c r="AM26" i="22"/>
  <c r="AC8" i="22"/>
  <c r="AO21" i="22" s="1"/>
  <c r="AC35" i="22"/>
  <c r="AO23" i="22" s="1"/>
  <c r="AD74" i="22"/>
  <c r="AC74" i="22"/>
  <c r="AO26" i="22" s="1"/>
  <c r="AO24" i="22"/>
  <c r="AP27" i="22"/>
  <c r="AP24" i="22"/>
  <c r="AO27" i="22"/>
  <c r="AO25" i="22"/>
  <c r="AM28" i="22"/>
  <c r="AC100" i="22"/>
  <c r="AO28" i="22" s="1"/>
  <c r="BD79" i="22"/>
  <c r="AM247" i="11" a="1"/>
  <c r="AM247" i="11" s="1"/>
  <c r="D38" i="104" l="1"/>
  <c r="D23" i="105"/>
  <c r="D26" i="104"/>
  <c r="AP23" i="22"/>
  <c r="BD121" i="22"/>
  <c r="BD131" i="22"/>
  <c r="AM248" i="11" a="1"/>
  <c r="AM248" i="11" s="1"/>
  <c r="AM249" i="11" l="1" a="1"/>
  <c r="AM249" i="11" s="1"/>
  <c r="AM250" i="11" l="1" a="1"/>
  <c r="AM250" i="11" s="1"/>
  <c r="AM251" i="11" l="1" a="1"/>
  <c r="AM251" i="11" s="1"/>
  <c r="AM252" i="11" l="1" a="1"/>
  <c r="AM252" i="11" s="1"/>
  <c r="AM253" i="11" l="1" a="1"/>
  <c r="AM253" i="11" s="1"/>
  <c r="AM254" i="11" l="1" a="1"/>
  <c r="AM254" i="11" s="1"/>
  <c r="AM255" i="11" l="1" a="1"/>
  <c r="AM255" i="11" s="1"/>
  <c r="AM256" i="11" l="1" a="1"/>
  <c r="AM256" i="11" s="1"/>
  <c r="AM257" i="11" l="1" a="1"/>
  <c r="AM257" i="11" s="1"/>
  <c r="AM258" i="11" s="1" a="1"/>
  <c r="AM258" i="11" s="1"/>
  <c r="AZ83" i="22" l="1"/>
  <c r="AY158" i="22"/>
  <c r="AY51" i="22"/>
  <c r="AY50" i="22"/>
  <c r="AY53" i="22"/>
  <c r="AY117" i="22"/>
  <c r="AY99" i="22"/>
  <c r="AY127" i="22"/>
  <c r="AY135" i="22"/>
  <c r="AY124" i="22"/>
  <c r="AY125" i="22"/>
  <c r="AZ124" i="22"/>
  <c r="AY44" i="22"/>
  <c r="AZ125" i="22"/>
  <c r="AY32" i="22"/>
  <c r="AY89" i="22"/>
  <c r="AY87" i="22"/>
  <c r="AY60" i="22"/>
  <c r="AY56" i="22"/>
  <c r="AY58" i="22"/>
  <c r="AY59" i="22"/>
  <c r="AY49" i="22"/>
  <c r="AY11" i="22"/>
  <c r="AZ52" i="22"/>
  <c r="AY45" i="22"/>
  <c r="AY5" i="22"/>
  <c r="AY128" i="22"/>
  <c r="AY6" i="22"/>
  <c r="AY96" i="22"/>
  <c r="AZ131" i="22"/>
  <c r="AY90" i="22"/>
  <c r="AY43" i="22"/>
  <c r="AY114" i="22"/>
  <c r="AY130" i="22"/>
  <c r="AY47" i="22"/>
  <c r="AZ120" i="22"/>
  <c r="AY94" i="22"/>
  <c r="AY138" i="22"/>
  <c r="AY17" i="22"/>
  <c r="AY121" i="22"/>
  <c r="AY14" i="22"/>
  <c r="AY116" i="22"/>
  <c r="AY83" i="22"/>
  <c r="AY120" i="22"/>
  <c r="AY159" i="22"/>
  <c r="AY92" i="22"/>
  <c r="AY8" i="22"/>
  <c r="AY95" i="22"/>
  <c r="AY118" i="22"/>
  <c r="AY37" i="22"/>
  <c r="AY82" i="22"/>
  <c r="AY100" i="22"/>
  <c r="AY41" i="22"/>
  <c r="AY136" i="22"/>
  <c r="AY88" i="22"/>
  <c r="AY54" i="22"/>
  <c r="AY137" i="22"/>
  <c r="AY156" i="22"/>
  <c r="AY131" i="22"/>
  <c r="AY40" i="22"/>
  <c r="AY85" i="22"/>
  <c r="AY46" i="22"/>
  <c r="AY16" i="22"/>
  <c r="AY12" i="22"/>
  <c r="AY123" i="22"/>
  <c r="AY157" i="22"/>
  <c r="AY31" i="22"/>
  <c r="AY35" i="22"/>
  <c r="AY36" i="22"/>
  <c r="AY57" i="22"/>
  <c r="AY48" i="22"/>
  <c r="AY129" i="22"/>
  <c r="AY122" i="22"/>
  <c r="AY86" i="22"/>
  <c r="AY93" i="22"/>
  <c r="AY10" i="22"/>
  <c r="AY98" i="22"/>
  <c r="AY81" i="22"/>
  <c r="AY119" i="22"/>
  <c r="AY33" i="22"/>
  <c r="AY18" i="22"/>
  <c r="AY30" i="22"/>
  <c r="AY15" i="22"/>
  <c r="AY91" i="22"/>
  <c r="AY7" i="22"/>
  <c r="AY149" i="22"/>
  <c r="AY84" i="22"/>
  <c r="AY52" i="22"/>
  <c r="AY39" i="22"/>
  <c r="AZ121" i="22"/>
  <c r="AY115" i="22"/>
  <c r="AY97" i="22"/>
  <c r="AY132" i="22"/>
  <c r="AY34" i="22"/>
  <c r="AY42" i="22"/>
  <c r="AZ98" i="22" l="1"/>
  <c r="AZ81" i="22"/>
  <c r="AZ96" i="22"/>
  <c r="AZ32" i="22"/>
  <c r="AZ11" i="22"/>
  <c r="AZ12" i="22"/>
  <c r="AZ48" i="22"/>
  <c r="AZ122" i="22"/>
  <c r="AZ30" i="22"/>
  <c r="AZ58" i="22"/>
  <c r="AZ119" i="22"/>
  <c r="AZ116" i="22"/>
  <c r="AZ156" i="22"/>
  <c r="AZ18" i="22"/>
  <c r="AZ138" i="22"/>
  <c r="AZ90" i="22"/>
  <c r="AZ89" i="22"/>
  <c r="AZ16" i="22"/>
  <c r="AZ88" i="22"/>
  <c r="AZ10" i="22"/>
  <c r="AZ157" i="22"/>
  <c r="AZ8" i="22"/>
  <c r="AZ45" i="22"/>
  <c r="AZ99" i="22"/>
  <c r="AZ159" i="22"/>
  <c r="AZ50" i="22"/>
  <c r="AZ114" i="22"/>
  <c r="AZ5" i="22"/>
  <c r="AZ93" i="22"/>
  <c r="AZ82" i="22"/>
  <c r="AZ135" i="22"/>
  <c r="AZ43" i="22"/>
  <c r="AZ47" i="22"/>
  <c r="AZ7" i="22"/>
  <c r="AZ97" i="22"/>
  <c r="AZ60" i="22"/>
  <c r="AZ49" i="22"/>
  <c r="AZ115" i="22"/>
  <c r="AZ130" i="22"/>
  <c r="AZ84" i="22"/>
  <c r="AZ127" i="22"/>
  <c r="AZ129" i="22"/>
  <c r="AZ57" i="22"/>
  <c r="AZ86" i="22"/>
  <c r="AZ56" i="22"/>
  <c r="AZ91" i="22"/>
  <c r="AZ100" i="22"/>
  <c r="AZ17" i="22"/>
  <c r="AZ92" i="22"/>
  <c r="AZ95" i="22"/>
  <c r="AZ132" i="22"/>
  <c r="AZ87" i="22"/>
  <c r="AZ15" i="22"/>
  <c r="AZ79" i="22"/>
  <c r="AZ35" i="22"/>
  <c r="AZ51" i="22"/>
  <c r="AZ54" i="22"/>
  <c r="AZ34" i="22"/>
  <c r="AZ85" i="22"/>
  <c r="AZ31" i="22"/>
  <c r="AZ33" i="22"/>
  <c r="Q4" i="22"/>
  <c r="BA79" i="22" s="1"/>
  <c r="AY79" i="22"/>
  <c r="AZ118" i="22"/>
  <c r="AZ149" i="22"/>
  <c r="AZ128" i="22"/>
  <c r="AZ41" i="22"/>
  <c r="AZ42" i="22"/>
  <c r="AZ53" i="22"/>
  <c r="AZ36" i="22"/>
  <c r="AZ46" i="22"/>
  <c r="AZ123" i="22"/>
  <c r="AZ137" i="22"/>
  <c r="AZ14" i="22"/>
  <c r="AZ136" i="22"/>
  <c r="AZ94" i="22"/>
  <c r="AZ6" i="22"/>
  <c r="AZ117" i="22"/>
  <c r="AZ158" i="22"/>
  <c r="AZ37" i="22"/>
  <c r="AZ39" i="22"/>
  <c r="AZ40" i="22"/>
  <c r="AZ44" i="22"/>
  <c r="R7" i="22"/>
  <c r="AF7" i="22" s="1"/>
  <c r="AM11" i="22"/>
  <c r="AM9" i="22"/>
  <c r="AN7" i="22"/>
  <c r="AM7" i="22"/>
  <c r="AM4" i="22"/>
  <c r="AM8" i="22"/>
  <c r="AN8" i="22"/>
  <c r="AN6" i="22"/>
  <c r="AN5" i="22"/>
  <c r="AM6" i="22"/>
  <c r="AN9" i="22"/>
  <c r="R14" i="22"/>
  <c r="BB30" i="22" s="1"/>
  <c r="C37" i="104" s="1"/>
  <c r="R24" i="22"/>
  <c r="R77" i="22"/>
  <c r="BB135" i="22" s="1"/>
  <c r="R5" i="22"/>
  <c r="BB81" i="22" s="1"/>
  <c r="R20" i="22"/>
  <c r="BB119" i="22" s="1"/>
  <c r="R12" i="22"/>
  <c r="BB116" i="22" s="1"/>
  <c r="Q51" i="22"/>
  <c r="Q5" i="22"/>
  <c r="BA81" i="22" s="1"/>
  <c r="Q24" i="22"/>
  <c r="BA86" i="22" s="1"/>
  <c r="Q71" i="22"/>
  <c r="Q56" i="22"/>
  <c r="BA48" i="22" s="1"/>
  <c r="R46" i="22"/>
  <c r="BB43" i="22" s="1"/>
  <c r="Q32" i="22"/>
  <c r="BA35" i="22" s="1"/>
  <c r="R30" i="22"/>
  <c r="BB90" i="22" s="1"/>
  <c r="Q86" i="22"/>
  <c r="R29" i="22"/>
  <c r="BB89" i="22" s="1"/>
  <c r="Q43" i="22"/>
  <c r="BA40" i="22" s="1"/>
  <c r="Q74" i="22"/>
  <c r="BA131" i="22" s="1"/>
  <c r="Q92" i="22"/>
  <c r="BA54" i="22" s="1"/>
  <c r="Q28" i="22"/>
  <c r="BA88" i="22" s="1"/>
  <c r="Q97" i="22"/>
  <c r="BA100" i="22" s="1"/>
  <c r="R59" i="22"/>
  <c r="BB95" i="22" s="1"/>
  <c r="Q82" i="22"/>
  <c r="R56" i="22"/>
  <c r="BB48" i="22" s="1"/>
  <c r="Q7" i="22"/>
  <c r="BA83" i="22" s="1"/>
  <c r="R67" i="22"/>
  <c r="Q49" i="22"/>
  <c r="BA94" i="22" s="1"/>
  <c r="Q53" i="22"/>
  <c r="BA47" i="22" s="1"/>
  <c r="R102" i="22"/>
  <c r="BB61" i="22" s="1"/>
  <c r="R68" i="22"/>
  <c r="R13" i="22"/>
  <c r="BB117" i="22" s="1"/>
  <c r="Q50" i="22"/>
  <c r="BA45" i="22" s="1"/>
  <c r="R88" i="22"/>
  <c r="BB51" i="22" s="1"/>
  <c r="R58" i="22"/>
  <c r="BB49" i="22" s="1"/>
  <c r="Q99" i="22"/>
  <c r="BA58" i="22" s="1"/>
  <c r="R11" i="22"/>
  <c r="BB115" i="22" s="1"/>
  <c r="R72" i="22"/>
  <c r="BB130" i="22" s="1"/>
  <c r="R21" i="22"/>
  <c r="R96" i="22"/>
  <c r="BB99" i="22" s="1"/>
  <c r="R63" i="22"/>
  <c r="R42" i="22"/>
  <c r="BB39" i="22" s="1"/>
  <c r="R43" i="22"/>
  <c r="BB40" i="22" s="1"/>
  <c r="Q60" i="22"/>
  <c r="BA125" i="22" s="1"/>
  <c r="Q69" i="22"/>
  <c r="R9" i="22"/>
  <c r="R37" i="22"/>
  <c r="BB149" i="22" s="1"/>
  <c r="Q45" i="22"/>
  <c r="BA42" i="22" s="1"/>
  <c r="Q75" i="22"/>
  <c r="BA132" i="22" s="1"/>
  <c r="R95" i="22"/>
  <c r="BB98" i="22" s="1"/>
  <c r="Q11" i="22"/>
  <c r="BA115" i="22" s="1"/>
  <c r="Q90" i="22"/>
  <c r="BA52" i="22" s="1"/>
  <c r="R93" i="22"/>
  <c r="BB56" i="22" s="1"/>
  <c r="Q37" i="22"/>
  <c r="BA149" i="22" s="1"/>
  <c r="R65" i="22"/>
  <c r="BB96" i="22" s="1"/>
  <c r="Q19" i="22"/>
  <c r="R45" i="22"/>
  <c r="BB42" i="22" s="1"/>
  <c r="Q95" i="22"/>
  <c r="BA98" i="22" s="1"/>
  <c r="R91" i="22"/>
  <c r="BB53" i="22" s="1"/>
  <c r="R36" i="22"/>
  <c r="BB36" i="22" s="1"/>
  <c r="R97" i="22"/>
  <c r="BB100" i="22" s="1"/>
  <c r="Q36" i="22"/>
  <c r="BA36" i="22" s="1"/>
  <c r="R85" i="22"/>
  <c r="Q64" i="22"/>
  <c r="BA157" i="22" s="1"/>
  <c r="Q26" i="22"/>
  <c r="R81" i="22"/>
  <c r="BB137" i="22" s="1"/>
  <c r="R8" i="22"/>
  <c r="R89" i="22"/>
  <c r="R79" i="22"/>
  <c r="BB136" i="22" s="1"/>
  <c r="Q79" i="22"/>
  <c r="BA136" i="22" s="1"/>
  <c r="R49" i="22"/>
  <c r="BB94" i="22" s="1"/>
  <c r="Q9" i="22"/>
  <c r="BA118" i="22" s="1"/>
  <c r="Q33" i="22"/>
  <c r="BA92" i="22" s="1"/>
  <c r="R75" i="22"/>
  <c r="BB132" i="22" s="1"/>
  <c r="R27" i="22"/>
  <c r="BB87" i="22" s="1"/>
  <c r="Q35" i="22"/>
  <c r="BA121" i="22" s="1"/>
  <c r="R15" i="22"/>
  <c r="BB120" i="22" s="1"/>
  <c r="Q72" i="22"/>
  <c r="BA130" i="22" s="1"/>
  <c r="Q46" i="22"/>
  <c r="BA43" i="22" s="1"/>
  <c r="R74" i="22"/>
  <c r="BB131" i="22" s="1"/>
  <c r="Q70" i="22"/>
  <c r="BA128" i="22" s="1"/>
  <c r="R90" i="22"/>
  <c r="BB52" i="22" s="1"/>
  <c r="Q85" i="22"/>
  <c r="R92" i="22"/>
  <c r="BB54" i="22" s="1"/>
  <c r="Q76" i="22"/>
  <c r="BA105" i="22" s="1"/>
  <c r="Q27" i="22"/>
  <c r="BA87" i="22" s="1"/>
  <c r="Q63" i="22"/>
  <c r="Q17" i="22"/>
  <c r="BA32" i="22" s="1"/>
  <c r="R78" i="22"/>
  <c r="BB159" i="22" s="1"/>
  <c r="R73" i="22"/>
  <c r="BB50" i="22" s="1"/>
  <c r="R10" i="22"/>
  <c r="BB114" i="22" s="1"/>
  <c r="Q77" i="22"/>
  <c r="BA135" i="22" s="1"/>
  <c r="R47" i="22"/>
  <c r="BB44" i="22" s="1"/>
  <c r="Q91" i="22"/>
  <c r="BA53" i="22" s="1"/>
  <c r="Q66" i="22"/>
  <c r="BA158" i="22" s="1"/>
  <c r="R41" i="22"/>
  <c r="BB122" i="22" s="1"/>
  <c r="R71" i="22"/>
  <c r="Q87" i="22"/>
  <c r="R98" i="22"/>
  <c r="BB57" i="22" s="1"/>
  <c r="R6" i="22"/>
  <c r="R35" i="22"/>
  <c r="BB121" i="22" s="1"/>
  <c r="Q21" i="22"/>
  <c r="BA84" i="22" s="1"/>
  <c r="R31" i="22"/>
  <c r="BB91" i="22" s="1"/>
  <c r="Q31" i="22"/>
  <c r="BA91" i="22" s="1"/>
  <c r="R61" i="22"/>
  <c r="BB156" i="22" s="1"/>
  <c r="Q23" i="22"/>
  <c r="BA33" i="22" s="1"/>
  <c r="Q84" i="22"/>
  <c r="Q41" i="22"/>
  <c r="BA122" i="22" s="1"/>
  <c r="R51" i="22"/>
  <c r="Q98" i="22"/>
  <c r="BA57" i="22" s="1"/>
  <c r="R52" i="22"/>
  <c r="BB46" i="22" s="1"/>
  <c r="Q16" i="22"/>
  <c r="BA31" i="22" s="1"/>
  <c r="Q54" i="22"/>
  <c r="BA123" i="22" s="1"/>
  <c r="R40" i="22"/>
  <c r="Q52" i="22"/>
  <c r="BA46" i="22" s="1"/>
  <c r="R76" i="22"/>
  <c r="BB105" i="22" s="1"/>
  <c r="Q68" i="22"/>
  <c r="Q61" i="22"/>
  <c r="BA156" i="22" s="1"/>
  <c r="R26" i="22"/>
  <c r="R28" i="22"/>
  <c r="Q6" i="22"/>
  <c r="BA82" i="22" s="1"/>
  <c r="Q59" i="22"/>
  <c r="BA95" i="22" s="1"/>
  <c r="Q78" i="22"/>
  <c r="BA159" i="22" s="1"/>
  <c r="Q15" i="22"/>
  <c r="BA120" i="22" s="1"/>
  <c r="Q12" i="22"/>
  <c r="BA116" i="22" s="1"/>
  <c r="Q40" i="22"/>
  <c r="R34" i="22"/>
  <c r="R19" i="22"/>
  <c r="R32" i="22"/>
  <c r="BB35" i="22" s="1"/>
  <c r="Q65" i="22"/>
  <c r="BA96" i="22" s="1"/>
  <c r="Q18" i="22"/>
  <c r="BA5" i="22" s="1"/>
  <c r="R64" i="22"/>
  <c r="BB157" i="22" s="1"/>
  <c r="Q58" i="22"/>
  <c r="BA49" i="22" s="1"/>
  <c r="R66" i="22"/>
  <c r="BB158" i="22" s="1"/>
  <c r="Q93" i="22"/>
  <c r="BA56" i="22" s="1"/>
  <c r="Q29" i="22"/>
  <c r="BA89" i="22" s="1"/>
  <c r="R39" i="22"/>
  <c r="BB37" i="22" s="1"/>
  <c r="R22" i="22"/>
  <c r="R87" i="22"/>
  <c r="R60" i="22"/>
  <c r="BB125" i="22" s="1"/>
  <c r="R62" i="22"/>
  <c r="BB124" i="22" s="1"/>
  <c r="Q62" i="22"/>
  <c r="BA124" i="22" s="1"/>
  <c r="R18" i="22"/>
  <c r="BB5" i="22" s="1"/>
  <c r="Q96" i="22"/>
  <c r="BA99" i="22" s="1"/>
  <c r="Q73" i="22"/>
  <c r="BA50" i="22" s="1"/>
  <c r="Q25" i="22"/>
  <c r="BA34" i="22" s="1"/>
  <c r="Q67" i="22"/>
  <c r="R70" i="22"/>
  <c r="BB128" i="22" s="1"/>
  <c r="Q42" i="22"/>
  <c r="BA39" i="22" s="1"/>
  <c r="R99" i="22"/>
  <c r="BB58" i="22" s="1"/>
  <c r="R44" i="22"/>
  <c r="BB41" i="22" s="1"/>
  <c r="Q57" i="22"/>
  <c r="Q14" i="22"/>
  <c r="BA30" i="22" s="1"/>
  <c r="Q20" i="22"/>
  <c r="BA119" i="22" s="1"/>
  <c r="Q48" i="22"/>
  <c r="BA93" i="22" s="1"/>
  <c r="R17" i="22"/>
  <c r="BB32" i="22" s="1"/>
  <c r="R94" i="22"/>
  <c r="BB138" i="22" s="1"/>
  <c r="Q8" i="22"/>
  <c r="R54" i="22"/>
  <c r="BB123" i="22" s="1"/>
  <c r="R33" i="22"/>
  <c r="BB92" i="22" s="1"/>
  <c r="Q22" i="22"/>
  <c r="BA85" i="22" s="1"/>
  <c r="R86" i="22"/>
  <c r="Q81" i="22"/>
  <c r="BA137" i="22" s="1"/>
  <c r="R53" i="22"/>
  <c r="BB47" i="22" s="1"/>
  <c r="Q44" i="22"/>
  <c r="BA41" i="22" s="1"/>
  <c r="Q39" i="22"/>
  <c r="BA37" i="22" s="1"/>
  <c r="R57" i="22"/>
  <c r="R84" i="22"/>
  <c r="Q89" i="22"/>
  <c r="Q94" i="22"/>
  <c r="BA138" i="22" s="1"/>
  <c r="Q10" i="22"/>
  <c r="BA114" i="22" s="1"/>
  <c r="Q102" i="22"/>
  <c r="BA61" i="22" s="1"/>
  <c r="Q30" i="22"/>
  <c r="BA90" i="22" s="1"/>
  <c r="Q34" i="22"/>
  <c r="R101" i="22"/>
  <c r="BB60" i="22" s="1"/>
  <c r="Q100" i="22"/>
  <c r="BA59" i="22" s="1"/>
  <c r="Q101" i="22"/>
  <c r="BA60" i="22" s="1"/>
  <c r="R82" i="22"/>
  <c r="R50" i="22"/>
  <c r="BB45" i="22" s="1"/>
  <c r="R16" i="22"/>
  <c r="BB31" i="22" s="1"/>
  <c r="Q47" i="22"/>
  <c r="BA44" i="22" s="1"/>
  <c r="R23" i="22"/>
  <c r="BB33" i="22" s="1"/>
  <c r="R69" i="22"/>
  <c r="Q13" i="22"/>
  <c r="BA117" i="22" s="1"/>
  <c r="Q88" i="22"/>
  <c r="BA51" i="22" s="1"/>
  <c r="R48" i="22"/>
  <c r="BB93" i="22" s="1"/>
  <c r="AO17" i="22" l="1"/>
  <c r="AP17" i="22"/>
  <c r="C25" i="104"/>
  <c r="BA6" i="22"/>
  <c r="BB150" i="22"/>
  <c r="BA150" i="22"/>
  <c r="BA10" i="22"/>
  <c r="BB18" i="22"/>
  <c r="BA7" i="22"/>
  <c r="BB8" i="22"/>
  <c r="BB7" i="22"/>
  <c r="BA16" i="22"/>
  <c r="BA17" i="22"/>
  <c r="BA15" i="22"/>
  <c r="BA14" i="22"/>
  <c r="BA11" i="22"/>
  <c r="BA8" i="22"/>
  <c r="BA12" i="22"/>
  <c r="BA18" i="22"/>
  <c r="BB11" i="22"/>
  <c r="BA19" i="22"/>
  <c r="BB10" i="22"/>
  <c r="BB12" i="22"/>
  <c r="BB6" i="22"/>
  <c r="BB19" i="22"/>
  <c r="BB14" i="22"/>
  <c r="BB17" i="22"/>
  <c r="BA127" i="22"/>
  <c r="BA126" i="22"/>
  <c r="BB127" i="22"/>
  <c r="BB126" i="22"/>
  <c r="BB129" i="22"/>
  <c r="BA97" i="22"/>
  <c r="BB97" i="22"/>
  <c r="BA129" i="22"/>
  <c r="BB86" i="22"/>
  <c r="BB16" i="22"/>
  <c r="BE81" i="22"/>
  <c r="BE93" i="22"/>
  <c r="BB83" i="22"/>
  <c r="BB118" i="22"/>
  <c r="BB85" i="22"/>
  <c r="BB15" i="22"/>
  <c r="BB84" i="22"/>
  <c r="BB82" i="22"/>
  <c r="BB88" i="22"/>
  <c r="BE52" i="22"/>
  <c r="BE121" i="22"/>
  <c r="BE131" i="22"/>
  <c r="BE124" i="22"/>
  <c r="BE125" i="22"/>
  <c r="AO5" i="22"/>
  <c r="AO11" i="22"/>
  <c r="AO9" i="22"/>
  <c r="AO7" i="22"/>
  <c r="AP7" i="22"/>
  <c r="AO6" i="22"/>
  <c r="AO8" i="22"/>
  <c r="AP8" i="22"/>
  <c r="AP9" i="22"/>
  <c r="AN4" i="22"/>
  <c r="BE87" i="22"/>
  <c r="AP6" i="22"/>
  <c r="BE159" i="22"/>
  <c r="BF159" i="22" s="1"/>
  <c r="BE48" i="22"/>
  <c r="AE30" i="22"/>
  <c r="AE10" i="22"/>
  <c r="AE94" i="22"/>
  <c r="AE39" i="22"/>
  <c r="AF86" i="22"/>
  <c r="AF33" i="22"/>
  <c r="AF17" i="22"/>
  <c r="AF99" i="22"/>
  <c r="AE67" i="22"/>
  <c r="AF60" i="22"/>
  <c r="BE157" i="22"/>
  <c r="BF157" i="22" s="1"/>
  <c r="AF66" i="22"/>
  <c r="AF64" i="22"/>
  <c r="AE12" i="22"/>
  <c r="AE78" i="22"/>
  <c r="AE68" i="22"/>
  <c r="AF41" i="22"/>
  <c r="AE91" i="22"/>
  <c r="AE77" i="22"/>
  <c r="BE158" i="22"/>
  <c r="BF158" i="22" s="1"/>
  <c r="AF78" i="22"/>
  <c r="AE70" i="22"/>
  <c r="AE72" i="22"/>
  <c r="AF27" i="22"/>
  <c r="AE64" i="22"/>
  <c r="AE36" i="22"/>
  <c r="AF36" i="22"/>
  <c r="AE95" i="22"/>
  <c r="AE19" i="22"/>
  <c r="AE75" i="22"/>
  <c r="AF96" i="22"/>
  <c r="AF72" i="22"/>
  <c r="AE99" i="22"/>
  <c r="AF68" i="22"/>
  <c r="AE49" i="22"/>
  <c r="AE43" i="22"/>
  <c r="AE86" i="22"/>
  <c r="AE24" i="22"/>
  <c r="AF77" i="22"/>
  <c r="AF69" i="22"/>
  <c r="AF82" i="22"/>
  <c r="AE100" i="22"/>
  <c r="AE96" i="22"/>
  <c r="AE62" i="22"/>
  <c r="AE93" i="22"/>
  <c r="AF32" i="22"/>
  <c r="AE6" i="22"/>
  <c r="AF26" i="22"/>
  <c r="AE52" i="22"/>
  <c r="AE54" i="22"/>
  <c r="AE84" i="22"/>
  <c r="AF31" i="22"/>
  <c r="AE21" i="22"/>
  <c r="AF6" i="22"/>
  <c r="AE87" i="22"/>
  <c r="AF73" i="22"/>
  <c r="AE63" i="22"/>
  <c r="AE76" i="22"/>
  <c r="AE35" i="22"/>
  <c r="AE33" i="22"/>
  <c r="AF79" i="22"/>
  <c r="AE37" i="22"/>
  <c r="AF9" i="22"/>
  <c r="AF42" i="22"/>
  <c r="AF88" i="22"/>
  <c r="AF13" i="22"/>
  <c r="AF67" i="22"/>
  <c r="AF56" i="22"/>
  <c r="AE97" i="22"/>
  <c r="AE92" i="22"/>
  <c r="AE32" i="22"/>
  <c r="AE56" i="22"/>
  <c r="AE51" i="22"/>
  <c r="AE88" i="22"/>
  <c r="AE20" i="22"/>
  <c r="AE57" i="22"/>
  <c r="AE34" i="22"/>
  <c r="AE102" i="22"/>
  <c r="AF57" i="22"/>
  <c r="AE44" i="22"/>
  <c r="AE81" i="22"/>
  <c r="AE48" i="22"/>
  <c r="AE42" i="22"/>
  <c r="AF70" i="22"/>
  <c r="AE25" i="22"/>
  <c r="AE73" i="22"/>
  <c r="AF62" i="22"/>
  <c r="AE29" i="22"/>
  <c r="AE58" i="22"/>
  <c r="AE18" i="22"/>
  <c r="AE40" i="22"/>
  <c r="AE15" i="22"/>
  <c r="AE59" i="22"/>
  <c r="AE61" i="22"/>
  <c r="AF40" i="22"/>
  <c r="AE41" i="22"/>
  <c r="AE23" i="22"/>
  <c r="AF35" i="22"/>
  <c r="AE17" i="22"/>
  <c r="AE27" i="22"/>
  <c r="AF92" i="22"/>
  <c r="AF90" i="22"/>
  <c r="AF74" i="22"/>
  <c r="AF75" i="22"/>
  <c r="AE9" i="22"/>
  <c r="AE79" i="22"/>
  <c r="AF89" i="22"/>
  <c r="AE26" i="22"/>
  <c r="AF85" i="22"/>
  <c r="AF65" i="22"/>
  <c r="AF93" i="22"/>
  <c r="AE90" i="22"/>
  <c r="AF95" i="22"/>
  <c r="AE45" i="22"/>
  <c r="AF11" i="22"/>
  <c r="AE50" i="22"/>
  <c r="AE53" i="22"/>
  <c r="AF29" i="22"/>
  <c r="AF46" i="22"/>
  <c r="AE71" i="22"/>
  <c r="AF5" i="22"/>
  <c r="AF24" i="22"/>
  <c r="AF23" i="22"/>
  <c r="AE89" i="22"/>
  <c r="AF94" i="22"/>
  <c r="AF48" i="22"/>
  <c r="AE13" i="22"/>
  <c r="AE47" i="22"/>
  <c r="AF50" i="22"/>
  <c r="AE101" i="22"/>
  <c r="AF84" i="22"/>
  <c r="AF53" i="22"/>
  <c r="AE22" i="22"/>
  <c r="AF54" i="22"/>
  <c r="AE8" i="22"/>
  <c r="AE14" i="22"/>
  <c r="AF44" i="22"/>
  <c r="AF87" i="22"/>
  <c r="AF39" i="22"/>
  <c r="AE65" i="22"/>
  <c r="R4" i="22"/>
  <c r="AF34" i="22"/>
  <c r="AF28" i="22"/>
  <c r="AE16" i="22"/>
  <c r="AE98" i="22"/>
  <c r="AE31" i="22"/>
  <c r="AF98" i="22"/>
  <c r="AF71" i="22"/>
  <c r="AE66" i="22"/>
  <c r="AF47" i="22"/>
  <c r="AF10" i="22"/>
  <c r="AE85" i="22"/>
  <c r="AE46" i="22"/>
  <c r="AF81" i="22"/>
  <c r="AF97" i="22"/>
  <c r="AF91" i="22"/>
  <c r="AF45" i="22"/>
  <c r="AE11" i="22"/>
  <c r="AF37" i="22"/>
  <c r="AE69" i="22"/>
  <c r="AE60" i="22"/>
  <c r="AF43" i="22"/>
  <c r="AF63" i="22"/>
  <c r="AF58" i="22"/>
  <c r="AE7" i="22"/>
  <c r="AE82" i="22"/>
  <c r="AF59" i="22"/>
  <c r="AE28" i="22"/>
  <c r="AE74" i="22"/>
  <c r="AF30" i="22"/>
  <c r="AE5" i="22"/>
  <c r="AF12" i="22"/>
  <c r="AF14" i="22"/>
  <c r="G30" i="110" l="1"/>
  <c r="G91" i="110"/>
  <c r="G43" i="110"/>
  <c r="G95" i="110"/>
  <c r="BB79" i="22"/>
  <c r="BE79" i="22" s="1"/>
  <c r="AF4" i="22"/>
  <c r="BF87" i="22"/>
  <c r="E25" i="104"/>
  <c r="E26" i="104" s="1"/>
  <c r="BE88" i="22"/>
  <c r="BE83" i="22"/>
  <c r="BE86" i="22"/>
  <c r="BE118" i="22"/>
  <c r="BE150" i="22"/>
  <c r="BE18" i="22"/>
  <c r="BE126" i="22"/>
  <c r="BF131" i="22"/>
  <c r="BF125" i="22"/>
  <c r="BF52" i="22"/>
  <c r="BE7" i="22"/>
  <c r="BE8" i="22"/>
  <c r="BE17" i="22"/>
  <c r="BE10" i="22"/>
  <c r="BE12" i="22"/>
  <c r="BE11" i="22"/>
  <c r="BE14" i="22"/>
  <c r="BE16" i="22"/>
  <c r="BE15" i="22"/>
  <c r="BF121" i="22"/>
  <c r="BF93" i="22"/>
  <c r="BF124" i="22"/>
  <c r="BF81" i="22"/>
  <c r="BE82" i="22"/>
  <c r="AZ59" i="22"/>
  <c r="AN11" i="22"/>
  <c r="AP4" i="22"/>
  <c r="AO4" i="22"/>
  <c r="R100" i="22"/>
  <c r="BB59" i="22" s="1"/>
  <c r="BE50" i="22"/>
  <c r="BE149" i="22"/>
  <c r="BE90" i="22"/>
  <c r="BE43" i="22"/>
  <c r="BE40" i="22"/>
  <c r="BE115" i="22"/>
  <c r="BE127" i="22"/>
  <c r="BE130" i="22"/>
  <c r="BE54" i="22"/>
  <c r="BE117" i="22"/>
  <c r="BE41" i="22"/>
  <c r="BE57" i="22"/>
  <c r="BE91" i="22"/>
  <c r="BE36" i="22"/>
  <c r="BF48" i="22"/>
  <c r="BE47" i="22"/>
  <c r="BE45" i="22"/>
  <c r="BE96" i="22"/>
  <c r="BE97" i="22"/>
  <c r="BE99" i="22"/>
  <c r="BE37" i="22"/>
  <c r="BE95" i="22"/>
  <c r="BE51" i="22"/>
  <c r="BE94" i="22"/>
  <c r="BE30" i="22"/>
  <c r="BE100" i="22"/>
  <c r="BE123" i="22"/>
  <c r="BE53" i="22"/>
  <c r="BE49" i="22"/>
  <c r="AE4" i="22"/>
  <c r="BE56" i="22"/>
  <c r="BE42" i="22"/>
  <c r="BE98" i="22"/>
  <c r="BE132" i="22"/>
  <c r="BE58" i="22"/>
  <c r="BE137" i="22"/>
  <c r="BE35" i="22"/>
  <c r="BE33" i="22"/>
  <c r="BE44" i="22"/>
  <c r="BE114" i="22"/>
  <c r="BE116" i="22"/>
  <c r="BE39" i="22"/>
  <c r="BE135" i="22"/>
  <c r="BE138" i="22"/>
  <c r="BE89" i="22"/>
  <c r="BE122" i="22"/>
  <c r="BE129" i="22"/>
  <c r="BE136" i="22"/>
  <c r="BE128" i="22"/>
  <c r="BE32" i="22"/>
  <c r="BE92" i="22"/>
  <c r="AF51" i="22"/>
  <c r="AF49" i="22"/>
  <c r="G58" i="110" l="1"/>
  <c r="G79" i="110"/>
  <c r="G22" i="110"/>
  <c r="G85" i="110"/>
  <c r="G64" i="110"/>
  <c r="G94" i="110"/>
  <c r="G45" i="110"/>
  <c r="G99" i="110"/>
  <c r="G34" i="110"/>
  <c r="G100" i="110"/>
  <c r="G21" i="110"/>
  <c r="G84" i="110"/>
  <c r="G61" i="110"/>
  <c r="G93" i="110"/>
  <c r="E123" i="110" s="1"/>
  <c r="G44" i="110"/>
  <c r="G96" i="110"/>
  <c r="G33" i="110"/>
  <c r="G98" i="110"/>
  <c r="G26" i="110"/>
  <c r="G87" i="110"/>
  <c r="G20" i="110"/>
  <c r="G83" i="110"/>
  <c r="G60" i="110"/>
  <c r="G81" i="110"/>
  <c r="G27" i="110"/>
  <c r="G88" i="110"/>
  <c r="G59" i="110"/>
  <c r="G80" i="110"/>
  <c r="G19" i="110"/>
  <c r="G82" i="110"/>
  <c r="G56" i="110"/>
  <c r="G77" i="110"/>
  <c r="G31" i="110"/>
  <c r="G92" i="110"/>
  <c r="G32" i="110"/>
  <c r="G97" i="110"/>
  <c r="G23" i="110"/>
  <c r="G86" i="110"/>
  <c r="G29" i="110"/>
  <c r="G90" i="110"/>
  <c r="G76" i="110"/>
  <c r="G55" i="110"/>
  <c r="E37" i="104"/>
  <c r="G37" i="104" s="1"/>
  <c r="G74" i="110"/>
  <c r="G63" i="110"/>
  <c r="H63" i="110" s="1"/>
  <c r="C26" i="104"/>
  <c r="BF79" i="22"/>
  <c r="BF12" i="22"/>
  <c r="BF8" i="22"/>
  <c r="BF18" i="22"/>
  <c r="BF10" i="22"/>
  <c r="BF86" i="22"/>
  <c r="BF14" i="22"/>
  <c r="BF17" i="22"/>
  <c r="BF50" i="22"/>
  <c r="BF83" i="22"/>
  <c r="BF88" i="22"/>
  <c r="BF118" i="22"/>
  <c r="BF150" i="22"/>
  <c r="BF7" i="22"/>
  <c r="BF126" i="22"/>
  <c r="BF11" i="22"/>
  <c r="BF16" i="22"/>
  <c r="BF15" i="22"/>
  <c r="BF82" i="22"/>
  <c r="AP11" i="22"/>
  <c r="AF100" i="22"/>
  <c r="BF92" i="22"/>
  <c r="BF136" i="22"/>
  <c r="BF122" i="22"/>
  <c r="BF138" i="22"/>
  <c r="BF39" i="22"/>
  <c r="BF116" i="22"/>
  <c r="BF35" i="22"/>
  <c r="BF137" i="22"/>
  <c r="BF132" i="22"/>
  <c r="BF98" i="22"/>
  <c r="BF42" i="22"/>
  <c r="BF49" i="22"/>
  <c r="BF123" i="22"/>
  <c r="BF100" i="22"/>
  <c r="BF94" i="22"/>
  <c r="G127" i="110"/>
  <c r="BF95" i="22"/>
  <c r="G128" i="110"/>
  <c r="BF99" i="22"/>
  <c r="BF97" i="22"/>
  <c r="BF91" i="22"/>
  <c r="BF57" i="22"/>
  <c r="BF117" i="22"/>
  <c r="BF130" i="22"/>
  <c r="BF40" i="22"/>
  <c r="BF43" i="22"/>
  <c r="BF32" i="22"/>
  <c r="BF128" i="22"/>
  <c r="BF129" i="22"/>
  <c r="BF89" i="22"/>
  <c r="BF135" i="22"/>
  <c r="BF114" i="22"/>
  <c r="BF44" i="22"/>
  <c r="BF33" i="22"/>
  <c r="BF58" i="22"/>
  <c r="BF56" i="22"/>
  <c r="BF53" i="22"/>
  <c r="BF30" i="22"/>
  <c r="BF51" i="22"/>
  <c r="BF37" i="22"/>
  <c r="BF96" i="22"/>
  <c r="BF45" i="22"/>
  <c r="BF47" i="22"/>
  <c r="BF36" i="22"/>
  <c r="BF41" i="22"/>
  <c r="BF54" i="22"/>
  <c r="BF127" i="22"/>
  <c r="BF115" i="22"/>
  <c r="BF90" i="22"/>
  <c r="BF149" i="22"/>
  <c r="H19" i="110" l="1"/>
  <c r="F13" i="110" s="1"/>
  <c r="G13" i="110" s="1"/>
  <c r="D9" i="109" s="1"/>
  <c r="E122" i="110"/>
  <c r="G125" i="110"/>
  <c r="G122" i="110"/>
  <c r="G123" i="110"/>
  <c r="H123" i="110" s="1"/>
  <c r="G25" i="104"/>
  <c r="BE59" i="22"/>
  <c r="G120" i="110"/>
  <c r="H120" i="110" s="1"/>
  <c r="H122" i="110" l="1"/>
  <c r="G35" i="110"/>
  <c r="G101" i="110"/>
  <c r="BF59" i="22"/>
  <c r="O83" i="22" l="1"/>
  <c r="AY13" i="22" s="1"/>
  <c r="AY9" i="22" l="1"/>
  <c r="P83" i="22"/>
  <c r="AK11" i="11" a="1"/>
  <c r="AK11" i="11" s="1"/>
  <c r="AQ259" i="11" l="1"/>
  <c r="AX34" i="22"/>
  <c r="AZ13" i="22"/>
  <c r="N83" i="32"/>
  <c r="AZ9" i="22"/>
  <c r="AN10" i="22"/>
  <c r="AM10" i="22"/>
  <c r="AK12" i="11" a="1"/>
  <c r="AK12" i="11" s="1"/>
  <c r="AK13" i="11" s="1" a="1"/>
  <c r="AK13" i="11" s="1"/>
  <c r="AK14" i="11" s="1" a="1"/>
  <c r="AK14" i="11" s="1"/>
  <c r="Q83" i="22"/>
  <c r="BG13" i="22"/>
  <c r="BA9" i="22" l="1"/>
  <c r="BA13" i="22"/>
  <c r="AL5" i="22"/>
  <c r="R25" i="22"/>
  <c r="AO10" i="22"/>
  <c r="AK15" i="11" a="1"/>
  <c r="AK15" i="11" s="1"/>
  <c r="AK16" i="11" s="1" a="1"/>
  <c r="AK16" i="11" s="1"/>
  <c r="BG9" i="22"/>
  <c r="AX13" i="22"/>
  <c r="AE83" i="22"/>
  <c r="BB34" i="22" l="1"/>
  <c r="AP5" i="22"/>
  <c r="AF25" i="22"/>
  <c r="AL10" i="22"/>
  <c r="AK17" i="11" a="1"/>
  <c r="AK17" i="11" s="1"/>
  <c r="AK18" i="11" s="1" a="1"/>
  <c r="AK18" i="11" s="1"/>
  <c r="R83" i="22"/>
  <c r="C38" i="104" l="1"/>
  <c r="C15" i="104"/>
  <c r="BB9" i="22"/>
  <c r="BB13" i="22"/>
  <c r="BE34" i="22"/>
  <c r="AP10" i="22"/>
  <c r="AK19" i="11" a="1"/>
  <c r="AK19" i="11" s="1"/>
  <c r="AK20" i="11" s="1" a="1"/>
  <c r="AK20" i="11" s="1"/>
  <c r="AF83" i="22"/>
  <c r="G57" i="110" l="1"/>
  <c r="H55" i="110" s="1"/>
  <c r="G78" i="110"/>
  <c r="E38" i="104"/>
  <c r="H32" i="104" s="1"/>
  <c r="H33" i="104" s="1"/>
  <c r="F147" i="110" s="1"/>
  <c r="BE9" i="22"/>
  <c r="BE13" i="22"/>
  <c r="BF34" i="22"/>
  <c r="AK21" i="11" a="1"/>
  <c r="AK21" i="11" s="1"/>
  <c r="E15" i="104" l="1"/>
  <c r="BF9" i="22"/>
  <c r="E127" i="110"/>
  <c r="H127" i="110" s="1"/>
  <c r="BF13" i="22"/>
  <c r="E129" i="110"/>
  <c r="H129" i="110" s="1"/>
  <c r="AK22" i="11" a="1"/>
  <c r="AK22" i="11" s="1"/>
  <c r="G7" i="104" l="1"/>
  <c r="AK23" i="11" a="1"/>
  <c r="AK23" i="11" s="1"/>
  <c r="AK24" i="11" l="1" a="1"/>
  <c r="AK24" i="11" s="1"/>
  <c r="AK25" i="11" s="1" a="1"/>
  <c r="AK25" i="11" s="1"/>
  <c r="AK26" i="11" l="1" a="1"/>
  <c r="AK26" i="11" s="1"/>
  <c r="AK27" i="11" s="1" a="1"/>
  <c r="AK27" i="11" s="1"/>
  <c r="AK28" i="11" s="1" a="1"/>
  <c r="AK28" i="11" s="1"/>
  <c r="AK29" i="11" s="1" a="1"/>
  <c r="AK29" i="11" s="1"/>
  <c r="AK30" i="11" s="1" a="1"/>
  <c r="AK30" i="11" s="1"/>
  <c r="AK31" i="11" s="1" a="1"/>
  <c r="AK31" i="11" s="1"/>
  <c r="AK32" i="11" s="1" a="1"/>
  <c r="AK32" i="11" s="1"/>
  <c r="AK33" i="11" s="1" a="1"/>
  <c r="AK33" i="11" s="1"/>
  <c r="AK34" i="11" s="1" a="1"/>
  <c r="AK34" i="11" s="1"/>
  <c r="AK35" i="11" s="1" a="1"/>
  <c r="AK35" i="11" s="1"/>
  <c r="AK36" i="11" s="1" a="1"/>
  <c r="AK36" i="11" s="1"/>
  <c r="AK37" i="11" s="1" a="1"/>
  <c r="AK37" i="11" s="1"/>
  <c r="AK38" i="11" s="1" a="1"/>
  <c r="AK38" i="11" s="1"/>
  <c r="AK39" i="11" s="1" a="1"/>
  <c r="AK39" i="11" s="1"/>
  <c r="AK40" i="11" s="1" a="1"/>
  <c r="AK40" i="11" s="1"/>
  <c r="AK41" i="11" s="1" a="1"/>
  <c r="AK41" i="11" s="1"/>
  <c r="AK42" i="11" s="1" a="1"/>
  <c r="AK42" i="11" s="1"/>
  <c r="AK43" i="11" s="1" a="1"/>
  <c r="AK43" i="11" s="1"/>
  <c r="AK44" i="11" s="1" a="1"/>
  <c r="AK44" i="11" s="1"/>
  <c r="AK45" i="11" s="1" a="1"/>
  <c r="AK45" i="11" s="1"/>
  <c r="AK46" i="11" s="1" a="1"/>
  <c r="AK46" i="11" s="1"/>
  <c r="AK47" i="11" s="1" a="1"/>
  <c r="AK47" i="11" s="1"/>
  <c r="AK48" i="11" s="1" a="1"/>
  <c r="AK48" i="11" s="1"/>
  <c r="AK49" i="11" s="1" a="1"/>
  <c r="AK49" i="11" s="1"/>
  <c r="AK50" i="11" s="1" a="1"/>
  <c r="AK50" i="11" s="1"/>
  <c r="AK51" i="11" s="1" a="1"/>
  <c r="AK51" i="11" s="1"/>
  <c r="AK52" i="11" s="1" a="1"/>
  <c r="AK52" i="11" s="1"/>
  <c r="AK53" i="11" s="1" a="1"/>
  <c r="AK53" i="11" s="1"/>
  <c r="AK54" i="11" s="1" a="1"/>
  <c r="AK54" i="11" s="1"/>
  <c r="AK55" i="11" s="1" a="1"/>
  <c r="AK55" i="11" s="1"/>
  <c r="AK56" i="11" s="1" a="1"/>
  <c r="AK56" i="11" s="1"/>
  <c r="AK57" i="11" s="1" a="1"/>
  <c r="AK57" i="11" s="1"/>
  <c r="AK58" i="11" s="1" a="1"/>
  <c r="AK58" i="11" s="1"/>
  <c r="AK59" i="11" s="1" a="1"/>
  <c r="AK59" i="11" s="1"/>
  <c r="AK60" i="11" s="1" a="1"/>
  <c r="AK60" i="11" s="1"/>
  <c r="AK61" i="11" s="1" a="1"/>
  <c r="AK61" i="11" s="1"/>
  <c r="AK62" i="11" s="1" a="1"/>
  <c r="AK62" i="11" s="1"/>
  <c r="AK63" i="11" s="1" a="1"/>
  <c r="AK63" i="11" s="1"/>
  <c r="AK64" i="11" s="1" a="1"/>
  <c r="AK64" i="11" s="1"/>
  <c r="AK65" i="11" s="1" a="1"/>
  <c r="AK65" i="11" s="1"/>
  <c r="AK66" i="11" s="1" a="1"/>
  <c r="AK66" i="11" s="1"/>
  <c r="AK67" i="11" s="1" a="1"/>
  <c r="AK67" i="11" s="1"/>
  <c r="AK68" i="11" s="1" a="1"/>
  <c r="AK68" i="11" s="1"/>
  <c r="AK69" i="11" s="1" a="1"/>
  <c r="AK69" i="11" s="1"/>
  <c r="AK70" i="11" s="1" a="1"/>
  <c r="AK70" i="11" s="1"/>
  <c r="AK71" i="11" s="1" a="1"/>
  <c r="AK71" i="11" s="1"/>
  <c r="AK72" i="11" s="1" a="1"/>
  <c r="AK72" i="11" s="1"/>
  <c r="AK73" i="11" s="1" a="1"/>
  <c r="AK73" i="11" s="1"/>
  <c r="AK74" i="11" s="1" a="1"/>
  <c r="AK74" i="11" s="1"/>
  <c r="AK75" i="11" s="1" a="1"/>
  <c r="AK75" i="11" s="1"/>
  <c r="AK76" i="11" s="1" a="1"/>
  <c r="AK76" i="11" s="1"/>
  <c r="AK77" i="11" s="1" a="1"/>
  <c r="AK77" i="11" s="1"/>
  <c r="AK78" i="11" s="1" a="1"/>
  <c r="AK78" i="11" s="1"/>
  <c r="AK79" i="11" s="1" a="1"/>
  <c r="AK79" i="11" s="1"/>
  <c r="AK80" i="11" s="1" a="1"/>
  <c r="AK80" i="11" s="1"/>
  <c r="AK81" i="11" s="1" a="1"/>
  <c r="AK81" i="11" s="1"/>
  <c r="AK82" i="11" s="1" a="1"/>
  <c r="AK82" i="11" s="1"/>
  <c r="AK83" i="11" s="1" a="1"/>
  <c r="AK83" i="11" s="1"/>
  <c r="AK84" i="11" s="1" a="1"/>
  <c r="AK84" i="11" s="1"/>
  <c r="AK85" i="11" s="1" a="1"/>
  <c r="AK85" i="11" s="1"/>
  <c r="AK86" i="11" s="1" a="1"/>
  <c r="AK86" i="11" s="1"/>
  <c r="AK87" i="11" s="1" a="1"/>
  <c r="AK87" i="11" s="1"/>
  <c r="AK88" i="11" s="1" a="1"/>
  <c r="AK88" i="11" s="1"/>
  <c r="AK89" i="11" s="1" a="1"/>
  <c r="AK89" i="11" s="1"/>
  <c r="AK90" i="11" s="1" a="1"/>
  <c r="AK90" i="11" s="1"/>
  <c r="AK91" i="11" s="1" a="1"/>
  <c r="AK91" i="11" s="1"/>
  <c r="AK92" i="11" s="1" a="1"/>
  <c r="AK92" i="11" s="1"/>
  <c r="AK93" i="11" s="1" a="1"/>
  <c r="AK93" i="11" s="1"/>
  <c r="AK94" i="11" s="1" a="1"/>
  <c r="AK94" i="11" s="1"/>
  <c r="AK95" i="11" s="1" a="1"/>
  <c r="AK95" i="11" s="1"/>
  <c r="AK96" i="11" s="1" a="1"/>
  <c r="AK96" i="11" s="1"/>
  <c r="AK97" i="11" s="1" a="1"/>
  <c r="AK97" i="11" s="1"/>
  <c r="AK98" i="11" s="1" a="1"/>
  <c r="AK98" i="11" s="1"/>
  <c r="AK99" i="11" s="1" a="1"/>
  <c r="AK99" i="11" s="1"/>
  <c r="AK100" i="11" s="1" a="1"/>
  <c r="AK100" i="11" s="1"/>
  <c r="AK101" i="11" s="1" a="1"/>
  <c r="AK101" i="11" s="1"/>
  <c r="AK102" i="11" s="1" a="1"/>
  <c r="AK102" i="11" s="1"/>
  <c r="AK103" i="11" s="1" a="1"/>
  <c r="AK103" i="11" s="1"/>
  <c r="AK104" i="11" s="1" a="1"/>
  <c r="AK104" i="11" s="1"/>
  <c r="AK105" i="11" s="1" a="1"/>
  <c r="AK105" i="11" s="1"/>
  <c r="AK106" i="11" s="1" a="1"/>
  <c r="AK106" i="11" s="1"/>
  <c r="AK107" i="11" s="1" a="1"/>
  <c r="AK107" i="11" s="1"/>
  <c r="AK108" i="11" s="1" a="1"/>
  <c r="AK108" i="11" s="1"/>
  <c r="AK109" i="11" s="1" a="1"/>
  <c r="AK109" i="11" s="1"/>
  <c r="AK110" i="11" s="1" a="1"/>
  <c r="AK110" i="11" s="1"/>
  <c r="AK111" i="11" s="1" a="1"/>
  <c r="AK111" i="11" s="1"/>
  <c r="AK112" i="11" s="1" a="1"/>
  <c r="AK112" i="11" s="1"/>
  <c r="AK113" i="11" s="1" a="1"/>
  <c r="AK113" i="11" s="1"/>
  <c r="AK114" i="11" s="1" a="1"/>
  <c r="AK114" i="11" s="1"/>
  <c r="AK115" i="11" s="1" a="1"/>
  <c r="AK115" i="11" s="1"/>
  <c r="AK116" i="11" s="1" a="1"/>
  <c r="AK116" i="11" s="1"/>
  <c r="AK117" i="11" s="1" a="1"/>
  <c r="AK117" i="11" s="1"/>
  <c r="AK118" i="11" s="1" a="1"/>
  <c r="AK118" i="11" s="1"/>
  <c r="AK119" i="11" s="1" a="1"/>
  <c r="AK119" i="11" s="1"/>
  <c r="AK120" i="11" s="1" a="1"/>
  <c r="AK120" i="11" s="1"/>
  <c r="AK121" i="11" s="1" a="1"/>
  <c r="AK121" i="11" s="1"/>
  <c r="AK122" i="11" s="1" a="1"/>
  <c r="AK122" i="11" s="1"/>
  <c r="AK123" i="11" s="1" a="1"/>
  <c r="AK123" i="11" s="1"/>
  <c r="AK124" i="11" s="1" a="1"/>
  <c r="AK124" i="11" s="1"/>
  <c r="AK125" i="11" s="1" a="1"/>
  <c r="AK125" i="11" s="1"/>
  <c r="AK126" i="11" s="1" a="1"/>
  <c r="AK126" i="11" s="1"/>
  <c r="AK127" i="11" s="1" a="1"/>
  <c r="AK127" i="11" s="1"/>
  <c r="AK128" i="11" s="1" a="1"/>
  <c r="AK128" i="11" s="1"/>
  <c r="AK129" i="11" s="1" a="1"/>
  <c r="AK129" i="11" s="1"/>
  <c r="AK130" i="11" s="1" a="1"/>
  <c r="AK130" i="11" s="1"/>
  <c r="AK131" i="11" s="1" a="1"/>
  <c r="AK131" i="11" s="1"/>
  <c r="AK132" i="11" s="1" a="1"/>
  <c r="AK132" i="11" s="1"/>
  <c r="AK133" i="11" s="1" a="1"/>
  <c r="AK133" i="11" s="1"/>
  <c r="AK134" i="11" s="1" a="1"/>
  <c r="AK134" i="11" s="1"/>
  <c r="AK135" i="11" s="1" a="1"/>
  <c r="AK135" i="11" s="1"/>
  <c r="AK136" i="11" s="1" a="1"/>
  <c r="AK136" i="11" s="1"/>
  <c r="AK137" i="11" s="1" a="1"/>
  <c r="AK137" i="11" s="1"/>
  <c r="AK138" i="11" s="1" a="1"/>
  <c r="AK138" i="11" s="1"/>
  <c r="AK139" i="11" s="1" a="1"/>
  <c r="AK139" i="11" s="1"/>
  <c r="AK140" i="11" s="1" a="1"/>
  <c r="AK140" i="11" s="1"/>
  <c r="AK141" i="11" s="1" a="1"/>
  <c r="AK141" i="11" s="1"/>
  <c r="AK142" i="11" s="1" a="1"/>
  <c r="AK142" i="11" s="1"/>
  <c r="AK143" i="11" s="1" a="1"/>
  <c r="AK143" i="11" s="1"/>
  <c r="AK144" i="11" s="1" a="1"/>
  <c r="AK144" i="11" s="1"/>
  <c r="AK145" i="11" s="1" a="1"/>
  <c r="AK145" i="11" s="1"/>
  <c r="AK146" i="11" s="1" a="1"/>
  <c r="AK146" i="11" s="1"/>
  <c r="AK147" i="11" s="1" a="1"/>
  <c r="AK147" i="11" s="1"/>
  <c r="AK148" i="11" s="1" a="1"/>
  <c r="AK148" i="11" s="1"/>
  <c r="AK149" i="11" s="1" a="1"/>
  <c r="AK149" i="11" s="1"/>
  <c r="AK150" i="11" s="1" a="1"/>
  <c r="AK150" i="11" s="1"/>
  <c r="AK151" i="11" s="1" a="1"/>
  <c r="AK151" i="11" s="1"/>
  <c r="AK152" i="11" s="1" a="1"/>
  <c r="AK152" i="11" s="1"/>
  <c r="AK153" i="11" s="1" a="1"/>
  <c r="AK153" i="11" s="1"/>
  <c r="AK154" i="11" s="1" a="1"/>
  <c r="AK154" i="11" s="1"/>
  <c r="AK155" i="11" s="1" a="1"/>
  <c r="AK155" i="11" s="1"/>
  <c r="AK156" i="11" s="1" a="1"/>
  <c r="AK156" i="11" s="1"/>
  <c r="AK157" i="11" s="1" a="1"/>
  <c r="AK157" i="11" s="1"/>
  <c r="AK158" i="11" s="1" a="1"/>
  <c r="AK158" i="11" s="1"/>
  <c r="AK159" i="11" s="1" a="1"/>
  <c r="AK159" i="11" s="1"/>
  <c r="AK160" i="11" s="1" a="1"/>
  <c r="AK160" i="11" s="1"/>
  <c r="AK161" i="11" s="1" a="1"/>
  <c r="AK161" i="11" s="1"/>
  <c r="AK162" i="11" s="1" a="1"/>
  <c r="AK162" i="11" s="1"/>
  <c r="AK163" i="11" s="1" a="1"/>
  <c r="AK163" i="11" s="1"/>
  <c r="AK164" i="11" s="1" a="1"/>
  <c r="AK164" i="11" s="1"/>
  <c r="AK165" i="11" s="1" a="1"/>
  <c r="AK165" i="11" s="1"/>
  <c r="AK166" i="11" s="1" a="1"/>
  <c r="AK166" i="11" s="1"/>
  <c r="AK167" i="11" s="1" a="1"/>
  <c r="AK167" i="11" s="1"/>
  <c r="AK168" i="11" s="1" a="1"/>
  <c r="AK168" i="11" s="1"/>
  <c r="AK169" i="11" s="1" a="1"/>
  <c r="AK169" i="11" s="1"/>
  <c r="AK170" i="11" s="1" a="1"/>
  <c r="AK170" i="11" s="1"/>
  <c r="AK171" i="11" s="1" a="1"/>
  <c r="AK171" i="11" s="1"/>
  <c r="AK172" i="11" s="1" a="1"/>
  <c r="AK172" i="11" s="1"/>
  <c r="AK173" i="11" s="1" a="1"/>
  <c r="AK173" i="11" s="1"/>
  <c r="AK174" i="11" s="1" a="1"/>
  <c r="AK174" i="11" s="1"/>
  <c r="AK175" i="11" s="1" a="1"/>
  <c r="AK175" i="11" s="1"/>
  <c r="AK176" i="11" s="1" a="1"/>
  <c r="AK176" i="11" s="1"/>
  <c r="AK177" i="11" s="1" a="1"/>
  <c r="AK177" i="11" s="1"/>
  <c r="AK178" i="11" s="1" a="1"/>
  <c r="AK178" i="11" s="1"/>
  <c r="AK179" i="11" s="1" a="1"/>
  <c r="AK179" i="11" s="1"/>
  <c r="AK180" i="11" s="1" a="1"/>
  <c r="AK180" i="11" s="1"/>
  <c r="AK181" i="11" s="1" a="1"/>
  <c r="AK181" i="11" s="1"/>
  <c r="AK182" i="11" s="1" a="1"/>
  <c r="AK182" i="11" s="1"/>
  <c r="AK183" i="11" s="1" a="1"/>
  <c r="AK183" i="11" s="1"/>
  <c r="AK184" i="11" s="1" a="1"/>
  <c r="AK184" i="11" s="1"/>
  <c r="AK185" i="11" s="1" a="1"/>
  <c r="AK185" i="11" s="1"/>
  <c r="AK186" i="11" s="1" a="1"/>
  <c r="AK186" i="11" s="1"/>
  <c r="AK187" i="11" s="1" a="1"/>
  <c r="AK187" i="11" s="1"/>
  <c r="AK188" i="11" s="1" a="1"/>
  <c r="AK188" i="11" s="1"/>
  <c r="AK189" i="11" s="1" a="1"/>
  <c r="AK189" i="11" s="1"/>
  <c r="AK190" i="11" s="1" a="1"/>
  <c r="AK190" i="11" s="1"/>
  <c r="AK191" i="11" s="1" a="1"/>
  <c r="AK191" i="11" s="1"/>
  <c r="AK192" i="11" s="1" a="1"/>
  <c r="AK192" i="11" s="1"/>
  <c r="AK193" i="11" s="1" a="1"/>
  <c r="AK193" i="11" s="1"/>
  <c r="AK194" i="11" s="1" a="1"/>
  <c r="AK194" i="11" s="1"/>
  <c r="AK195" i="11" s="1" a="1"/>
  <c r="AK195" i="11" s="1"/>
  <c r="AK196" i="11" s="1" a="1"/>
  <c r="AK196" i="11" s="1"/>
  <c r="AK197" i="11" s="1" a="1"/>
  <c r="AK197" i="11" s="1"/>
  <c r="AK198" i="11" s="1" a="1"/>
  <c r="AK198" i="11" s="1"/>
  <c r="AK199" i="11" s="1" a="1"/>
  <c r="AK199" i="11" s="1"/>
  <c r="AK200" i="11" s="1" a="1"/>
  <c r="AK200" i="11" s="1"/>
  <c r="AK201" i="11" s="1" a="1"/>
  <c r="AK201" i="11" s="1"/>
  <c r="AK202" i="11" s="1" a="1"/>
  <c r="AK202" i="11" s="1"/>
  <c r="AK203" i="11" s="1" a="1"/>
  <c r="AK203" i="11" s="1"/>
  <c r="AK204" i="11" s="1" a="1"/>
  <c r="AK204" i="11" s="1"/>
  <c r="AK205" i="11" s="1" a="1"/>
  <c r="AK205" i="11" s="1"/>
  <c r="AK206" i="11" s="1" a="1"/>
  <c r="AK206" i="11" s="1"/>
  <c r="AK207" i="11" s="1" a="1"/>
  <c r="AK207" i="11" s="1"/>
  <c r="AK208" i="11" s="1" a="1"/>
  <c r="AK208" i="11" s="1"/>
  <c r="AK209" i="11" s="1" a="1"/>
  <c r="AK209" i="11" s="1"/>
  <c r="AK210" i="11" s="1" a="1"/>
  <c r="AK210" i="11" s="1"/>
  <c r="AK211" i="11" s="1" a="1"/>
  <c r="AK211" i="11" s="1"/>
  <c r="AK212" i="11" s="1" a="1"/>
  <c r="AK212" i="11" s="1"/>
  <c r="AK213" i="11" s="1" a="1"/>
  <c r="AK213" i="11" s="1"/>
  <c r="AK214" i="11" s="1" a="1"/>
  <c r="AK214" i="11" s="1"/>
  <c r="AK215" i="11" s="1" a="1"/>
  <c r="AK215" i="11" s="1"/>
  <c r="AK216" i="11" s="1" a="1"/>
  <c r="AK216" i="11" s="1"/>
  <c r="AK217" i="11" s="1" a="1"/>
  <c r="AK217" i="11" s="1"/>
  <c r="AK218" i="11" s="1" a="1"/>
  <c r="AK218" i="11" s="1"/>
  <c r="AK219" i="11" s="1" a="1"/>
  <c r="AK219" i="11" s="1"/>
  <c r="AK220" i="11" s="1" a="1"/>
  <c r="AK220" i="11" s="1"/>
  <c r="AK221" i="11" s="1" a="1"/>
  <c r="AK221" i="11" s="1"/>
  <c r="AK222" i="11" s="1" a="1"/>
  <c r="AK222" i="11" s="1"/>
  <c r="AK223" i="11" s="1" a="1"/>
  <c r="AK223" i="11" s="1"/>
  <c r="AK224" i="11" s="1" a="1"/>
  <c r="AK224" i="11" s="1"/>
  <c r="AK225" i="11" s="1" a="1"/>
  <c r="AK225" i="11" s="1"/>
  <c r="AK226" i="11" s="1" a="1"/>
  <c r="AK226" i="11" s="1"/>
  <c r="AK227" i="11" s="1" a="1"/>
  <c r="AK227" i="11" s="1"/>
  <c r="AK228" i="11" s="1" a="1"/>
  <c r="AK228" i="11" s="1"/>
  <c r="AK229" i="11" s="1" a="1"/>
  <c r="AK229" i="11" s="1"/>
  <c r="AK230" i="11" s="1" a="1"/>
  <c r="AK230" i="11" s="1"/>
  <c r="AK231" i="11" s="1" a="1"/>
  <c r="AK231" i="11" s="1"/>
  <c r="AK232" i="11" s="1" a="1"/>
  <c r="AK232" i="11" s="1"/>
  <c r="AK233" i="11" s="1" a="1"/>
  <c r="AK233" i="11" s="1"/>
  <c r="AK234" i="11" s="1" a="1"/>
  <c r="AK234" i="11" s="1"/>
  <c r="AK235" i="11" s="1" a="1"/>
  <c r="AK235" i="11" s="1"/>
  <c r="AK236" i="11" s="1" a="1"/>
  <c r="AK236" i="11" s="1"/>
  <c r="AK237" i="11" s="1" a="1"/>
  <c r="AK237" i="11" s="1"/>
  <c r="AK238" i="11" s="1" a="1"/>
  <c r="AK238" i="11" s="1"/>
  <c r="AK239" i="11" s="1" a="1"/>
  <c r="AK239" i="11" s="1"/>
  <c r="AK240" i="11" s="1" a="1"/>
  <c r="AK240" i="11" s="1"/>
  <c r="AK241" i="11" s="1" a="1"/>
  <c r="AK241" i="11" s="1"/>
  <c r="AK242" i="11" s="1" a="1"/>
  <c r="AK242" i="11" s="1"/>
  <c r="AK243" i="11" s="1" a="1"/>
  <c r="AK243" i="11" s="1"/>
  <c r="AK244" i="11" s="1" a="1"/>
  <c r="AK244" i="11" s="1"/>
  <c r="AK245" i="11" s="1" a="1"/>
  <c r="AK245" i="11" s="1"/>
  <c r="AK246" i="11" s="1" a="1"/>
  <c r="AK246" i="11" s="1"/>
  <c r="AK247" i="11" s="1" a="1"/>
  <c r="AK247" i="11" s="1"/>
  <c r="AK248" i="11" s="1" a="1"/>
  <c r="AK248" i="11" s="1"/>
  <c r="AK249" i="11" s="1" a="1"/>
  <c r="AK249" i="11" s="1"/>
  <c r="AK250" i="11" s="1" a="1"/>
  <c r="AK250" i="11" s="1"/>
  <c r="AK251" i="11" s="1" a="1"/>
  <c r="AK251" i="11" s="1"/>
  <c r="AK252" i="11" s="1" a="1"/>
  <c r="AK252" i="11" s="1"/>
  <c r="AK253" i="11" s="1" a="1"/>
  <c r="AK253" i="11" s="1"/>
  <c r="AK254" i="11" s="1" a="1"/>
  <c r="AK254" i="11" s="1"/>
  <c r="AK255" i="11" s="1" a="1"/>
  <c r="AK255" i="11" s="1"/>
  <c r="AK256" i="11" s="1" a="1"/>
  <c r="AK256" i="11" s="1"/>
  <c r="AK257" i="11" s="1" a="1"/>
  <c r="AK257" i="11" s="1"/>
  <c r="AK258" i="11" s="1" a="1"/>
  <c r="AK258" i="11" s="1"/>
  <c r="BA113" i="22" l="1"/>
  <c r="BC113" i="22"/>
  <c r="AY113" i="22"/>
  <c r="AW113" i="22"/>
  <c r="AZ113" i="22"/>
  <c r="BB113" i="22"/>
  <c r="C47" i="104" l="1"/>
  <c r="E47" i="104" l="1"/>
  <c r="H43" i="104" s="1"/>
  <c r="H44" i="104" s="1"/>
  <c r="F148" i="110" s="1"/>
  <c r="H172" i="22"/>
  <c r="G174" i="22"/>
  <c r="H176" i="22"/>
  <c r="G176" i="22"/>
  <c r="G173" i="22"/>
  <c r="G172" i="22"/>
  <c r="G175" i="22"/>
  <c r="AK14" i="63"/>
  <c r="AP10" i="63" s="1" a="1"/>
  <c r="AP10" i="63" s="1"/>
  <c r="AJ14" i="63"/>
  <c r="AO10" i="63" s="1" a="1"/>
  <c r="AO10" i="63" s="1"/>
  <c r="F14" i="63"/>
  <c r="E172" i="22"/>
  <c r="E176" i="22"/>
  <c r="E173" i="22"/>
  <c r="E175" i="22"/>
  <c r="E174" i="22"/>
  <c r="J172" i="22"/>
  <c r="F172" i="22"/>
  <c r="J176" i="22"/>
  <c r="F176" i="22"/>
  <c r="I172" i="22"/>
  <c r="Q14" i="63"/>
  <c r="I175" i="22"/>
  <c r="AR14" i="63"/>
  <c r="I173" i="22"/>
  <c r="I174" i="22"/>
  <c r="I176" i="22"/>
  <c r="AE14" i="63" l="1"/>
  <c r="AE258" i="63" s="1"/>
  <c r="H54" i="104"/>
  <c r="G8" i="104"/>
  <c r="AF14" i="63"/>
  <c r="AO11" i="63" a="1"/>
  <c r="AO11" i="63" s="1"/>
  <c r="B12" i="65"/>
  <c r="AP11" i="63" a="1"/>
  <c r="AP11" i="63" s="1"/>
  <c r="B13" i="65" s="1"/>
  <c r="G14" i="63"/>
  <c r="H173" i="22" l="1"/>
  <c r="W14" i="63"/>
  <c r="W258" i="63" s="1" a="1"/>
  <c r="W258" i="63" s="1"/>
  <c r="R14" i="63"/>
  <c r="R258" i="63" s="1"/>
  <c r="AX12" i="65"/>
  <c r="BA13" i="65"/>
  <c r="AY13" i="65"/>
  <c r="AZ13" i="65"/>
  <c r="BA12" i="65"/>
  <c r="AZ12" i="65"/>
  <c r="AS13" i="65"/>
  <c r="AX13" i="65"/>
  <c r="AS12" i="65"/>
  <c r="C12" i="65"/>
  <c r="F173" i="22"/>
  <c r="G9" i="104"/>
  <c r="J5" i="52" s="1" a="1"/>
  <c r="J5" i="52" s="1"/>
  <c r="F149" i="110"/>
  <c r="G145" i="110" s="1"/>
  <c r="F14" i="110" s="1"/>
  <c r="G14" i="110" s="1"/>
  <c r="D10" i="109" s="1"/>
  <c r="AU13" i="65"/>
  <c r="AT13" i="65"/>
  <c r="AU12" i="65"/>
  <c r="AT12" i="65"/>
  <c r="H174" i="22"/>
  <c r="F174" i="22"/>
  <c r="X14" i="63"/>
  <c r="AP12" i="63" a="1"/>
  <c r="AP12" i="63" s="1"/>
  <c r="B14" i="65" s="1"/>
  <c r="L12" i="65"/>
  <c r="M12" i="65" s="1"/>
  <c r="AO12" i="63" a="1"/>
  <c r="AO12" i="63" s="1"/>
  <c r="AO13" i="63" s="1" a="1"/>
  <c r="AO13" i="63" s="1"/>
  <c r="L13" i="65"/>
  <c r="M13" i="65" s="1"/>
  <c r="C13" i="65"/>
  <c r="P13" i="65" s="1"/>
  <c r="X258" i="63" l="1" a="1"/>
  <c r="X258" i="63" s="1"/>
  <c r="BA14" i="65"/>
  <c r="AY14" i="65"/>
  <c r="AZ14" i="65"/>
  <c r="O5" i="53" a="1"/>
  <c r="O5" i="53" s="1"/>
  <c r="I5" i="42" a="1"/>
  <c r="I5" i="42" s="1"/>
  <c r="AS14" i="65"/>
  <c r="AX14" i="65"/>
  <c r="AM13" i="65"/>
  <c r="L14" i="65"/>
  <c r="M14" i="65" s="1"/>
  <c r="AU14" i="65"/>
  <c r="AT14" i="65"/>
  <c r="Q12" i="65"/>
  <c r="M172" i="22" s="1"/>
  <c r="J175" i="22"/>
  <c r="F175" i="22"/>
  <c r="H175" i="22"/>
  <c r="C14" i="65"/>
  <c r="P14" i="65" s="1"/>
  <c r="AP13" i="63" a="1"/>
  <c r="AP13" i="63" s="1"/>
  <c r="B15" i="65" s="1"/>
  <c r="AO14" i="63" a="1"/>
  <c r="AO14" i="63" s="1"/>
  <c r="D13" i="65"/>
  <c r="E13" i="65" s="1"/>
  <c r="F13" i="65" s="1"/>
  <c r="G13" i="65" s="1"/>
  <c r="H13" i="65" s="1"/>
  <c r="I13" i="65" s="1"/>
  <c r="J13" i="65" s="1"/>
  <c r="K13" i="65" s="1"/>
  <c r="D12" i="65"/>
  <c r="E12" i="65" s="1"/>
  <c r="F12" i="65" s="1"/>
  <c r="G12" i="65" s="1"/>
  <c r="H12" i="65" s="1"/>
  <c r="I12" i="65" s="1"/>
  <c r="J12" i="65" s="1"/>
  <c r="K12" i="65" s="1"/>
  <c r="AY12" i="65" l="1"/>
  <c r="Z258" i="63"/>
  <c r="BA15" i="65"/>
  <c r="AY15" i="65"/>
  <c r="AZ15" i="65"/>
  <c r="AS15" i="65"/>
  <c r="AX15" i="65"/>
  <c r="AM14" i="65"/>
  <c r="Q13" i="65"/>
  <c r="U13" i="65"/>
  <c r="AU15" i="65"/>
  <c r="AT15" i="65"/>
  <c r="D14" i="65"/>
  <c r="E14" i="65" s="1"/>
  <c r="F14" i="65" s="1"/>
  <c r="G14" i="65" s="1"/>
  <c r="H14" i="65" s="1"/>
  <c r="I14" i="65" s="1"/>
  <c r="J14" i="65" s="1"/>
  <c r="K14" i="65" s="1"/>
  <c r="AP14" i="63" a="1"/>
  <c r="AP14" i="63" s="1"/>
  <c r="AP15" i="63" s="1" a="1"/>
  <c r="AP15" i="63" s="1"/>
  <c r="AV13" i="65"/>
  <c r="R13" i="65"/>
  <c r="S13" i="65" s="1"/>
  <c r="O13" i="65" s="1"/>
  <c r="AE13" i="65"/>
  <c r="R12" i="65"/>
  <c r="S12" i="65" s="1"/>
  <c r="O12" i="65" s="1"/>
  <c r="AE12" i="65"/>
  <c r="U12" i="65"/>
  <c r="AV12" i="65"/>
  <c r="AO15" i="63" a="1"/>
  <c r="AO15" i="63" s="1"/>
  <c r="AO16" i="63" s="1" a="1"/>
  <c r="AO16" i="63" s="1"/>
  <c r="C15" i="65"/>
  <c r="P15" i="65" s="1"/>
  <c r="L15" i="65"/>
  <c r="M15" i="65" s="1"/>
  <c r="P12" i="65" l="1"/>
  <c r="G5" i="110"/>
  <c r="F5" i="110"/>
  <c r="AM15" i="65"/>
  <c r="AH14" i="65"/>
  <c r="Q14" i="65"/>
  <c r="Q15" i="65"/>
  <c r="AE14" i="65"/>
  <c r="U14" i="65"/>
  <c r="AV14" i="65"/>
  <c r="R14" i="65"/>
  <c r="S14" i="65" s="1"/>
  <c r="O14" i="65" s="1"/>
  <c r="B16" i="65"/>
  <c r="AP16" i="63" a="1"/>
  <c r="AP16" i="63" s="1"/>
  <c r="AO17" i="63" a="1"/>
  <c r="AO17" i="63" s="1"/>
  <c r="D15" i="65"/>
  <c r="E15" i="65" s="1"/>
  <c r="F15" i="65" s="1"/>
  <c r="G15" i="65" s="1"/>
  <c r="H15" i="65" s="1"/>
  <c r="I15" i="65" s="1"/>
  <c r="J15" i="65" s="1"/>
  <c r="K15" i="65" s="1"/>
  <c r="B17" i="65"/>
  <c r="AZ17" i="65" l="1"/>
  <c r="BA17" i="65"/>
  <c r="AY17" i="65"/>
  <c r="AZ16" i="65"/>
  <c r="BA16" i="65"/>
  <c r="AY16" i="65"/>
  <c r="AS17" i="65"/>
  <c r="AX17" i="65"/>
  <c r="AS16" i="65"/>
  <c r="AX16" i="65"/>
  <c r="AU17" i="65"/>
  <c r="AT17" i="65"/>
  <c r="L16" i="65"/>
  <c r="M16" i="65" s="1"/>
  <c r="AT16" i="65"/>
  <c r="AU16" i="65"/>
  <c r="U15" i="65"/>
  <c r="AH15" i="65"/>
  <c r="Y13" i="65"/>
  <c r="AB13" i="65" s="1"/>
  <c r="C16" i="65"/>
  <c r="P16" i="65" s="1"/>
  <c r="AP17" i="63" a="1"/>
  <c r="AP17" i="63" s="1"/>
  <c r="B19" i="65" s="1"/>
  <c r="AO18" i="63" a="1"/>
  <c r="AO18" i="63" s="1"/>
  <c r="AO19" i="63" s="1" a="1"/>
  <c r="AO19" i="63" s="1"/>
  <c r="AE15" i="65"/>
  <c r="R15" i="65"/>
  <c r="S15" i="65" s="1"/>
  <c r="O15" i="65" s="1"/>
  <c r="Y15" i="65" s="1"/>
  <c r="AV15" i="65"/>
  <c r="B18" i="65"/>
  <c r="C17" i="65"/>
  <c r="P17" i="65" s="1"/>
  <c r="L17" i="65"/>
  <c r="M17" i="65" s="1"/>
  <c r="AZ19" i="65" l="1"/>
  <c r="AY19" i="65"/>
  <c r="BA19" i="65"/>
  <c r="AZ18" i="65"/>
  <c r="AY18" i="65"/>
  <c r="BA18" i="65"/>
  <c r="AS19" i="65"/>
  <c r="AX19" i="65"/>
  <c r="AS18" i="65"/>
  <c r="AX18" i="65"/>
  <c r="AM16" i="65"/>
  <c r="AM17" i="65"/>
  <c r="C19" i="65"/>
  <c r="P19" i="65" s="1"/>
  <c r="AU19" i="65"/>
  <c r="AT19" i="65"/>
  <c r="AU18" i="65"/>
  <c r="AT18" i="65"/>
  <c r="AC13" i="65"/>
  <c r="AD13" i="65" s="1"/>
  <c r="Q17" i="65"/>
  <c r="Q16" i="65"/>
  <c r="Y14" i="65"/>
  <c r="AB14" i="65" s="1"/>
  <c r="AF13" i="65"/>
  <c r="AG13" i="65" s="1"/>
  <c r="AH13" i="65" s="1"/>
  <c r="AF14" i="65"/>
  <c r="D16" i="65"/>
  <c r="E16" i="65" s="1"/>
  <c r="F16" i="65" s="1"/>
  <c r="G16" i="65" s="1"/>
  <c r="H16" i="65" s="1"/>
  <c r="I16" i="65" s="1"/>
  <c r="J16" i="65" s="1"/>
  <c r="K16" i="65" s="1"/>
  <c r="L19" i="65"/>
  <c r="M19" i="65" s="1"/>
  <c r="AP18" i="63" a="1"/>
  <c r="AP18" i="63" s="1"/>
  <c r="B20" i="65" s="1"/>
  <c r="AO20" i="63" a="1"/>
  <c r="AO20" i="63" s="1"/>
  <c r="AO21" i="63" s="1" a="1"/>
  <c r="AO21" i="63" s="1"/>
  <c r="D17" i="65"/>
  <c r="E17" i="65" s="1"/>
  <c r="F17" i="65" s="1"/>
  <c r="G17" i="65" s="1"/>
  <c r="H17" i="65" s="1"/>
  <c r="I17" i="65" s="1"/>
  <c r="J17" i="65" s="1"/>
  <c r="K17" i="65" s="1"/>
  <c r="AB15" i="65"/>
  <c r="AC15" i="65" s="1"/>
  <c r="L18" i="65"/>
  <c r="M18" i="65" s="1"/>
  <c r="C18" i="65"/>
  <c r="P18" i="65" s="1"/>
  <c r="AZ20" i="65" l="1"/>
  <c r="BA20" i="65"/>
  <c r="AY20" i="65"/>
  <c r="AS20" i="65"/>
  <c r="AX20" i="65"/>
  <c r="AM18" i="65"/>
  <c r="AM19" i="65"/>
  <c r="D19" i="65"/>
  <c r="E19" i="65" s="1"/>
  <c r="F19" i="65" s="1"/>
  <c r="G19" i="65" s="1"/>
  <c r="H19" i="65" s="1"/>
  <c r="I19" i="65" s="1"/>
  <c r="J19" i="65" s="1"/>
  <c r="K19" i="65" s="1"/>
  <c r="Q19" i="65"/>
  <c r="AT20" i="65"/>
  <c r="AU20" i="65"/>
  <c r="U17" i="65"/>
  <c r="AH17" i="65"/>
  <c r="U16" i="65"/>
  <c r="AH16" i="65"/>
  <c r="AC14" i="65"/>
  <c r="AD14" i="65" s="1"/>
  <c r="AE16" i="65"/>
  <c r="Q18" i="65"/>
  <c r="AG14" i="65"/>
  <c r="R16" i="65"/>
  <c r="S16" i="65" s="1"/>
  <c r="AV16" i="65"/>
  <c r="O16" i="65"/>
  <c r="L20" i="65"/>
  <c r="M20" i="65" s="1"/>
  <c r="C20" i="65"/>
  <c r="P20" i="65" s="1"/>
  <c r="AP19" i="63" a="1"/>
  <c r="AP19" i="63" s="1"/>
  <c r="AO22" i="63" a="1"/>
  <c r="AO22" i="63" s="1"/>
  <c r="D18" i="65"/>
  <c r="E18" i="65" s="1"/>
  <c r="F18" i="65" s="1"/>
  <c r="G18" i="65" s="1"/>
  <c r="H18" i="65" s="1"/>
  <c r="I18" i="65" s="1"/>
  <c r="J18" i="65" s="1"/>
  <c r="K18" i="65" s="1"/>
  <c r="AD15" i="65"/>
  <c r="AF15" i="65"/>
  <c r="AG15" i="65" s="1"/>
  <c r="R17" i="65"/>
  <c r="S17" i="65" s="1"/>
  <c r="O17" i="65" s="1"/>
  <c r="Y17" i="65" s="1"/>
  <c r="AE17" i="65"/>
  <c r="AV17" i="65"/>
  <c r="AM20" i="65" l="1"/>
  <c r="U19" i="65"/>
  <c r="AV19" i="65"/>
  <c r="R19" i="65"/>
  <c r="S19" i="65" s="1"/>
  <c r="O19" i="65" s="1"/>
  <c r="Y19" i="65" s="1"/>
  <c r="AB19" i="65" s="1"/>
  <c r="AE19" i="65"/>
  <c r="AH19" i="65"/>
  <c r="U18" i="65"/>
  <c r="AH18" i="65"/>
  <c r="Y16" i="65"/>
  <c r="AB16" i="65" s="1"/>
  <c r="AC16" i="65" s="1"/>
  <c r="AF16" i="65"/>
  <c r="AP20" i="63" a="1"/>
  <c r="AP20" i="63" s="1"/>
  <c r="B22" i="65" s="1"/>
  <c r="B21" i="65"/>
  <c r="D20" i="65"/>
  <c r="E20" i="65" s="1"/>
  <c r="F20" i="65" s="1"/>
  <c r="G20" i="65" s="1"/>
  <c r="H20" i="65" s="1"/>
  <c r="I20" i="65" s="1"/>
  <c r="J20" i="65" s="1"/>
  <c r="K20" i="65" s="1"/>
  <c r="AO23" i="63" a="1"/>
  <c r="AO23" i="63" s="1"/>
  <c r="AO24" i="63" s="1" a="1"/>
  <c r="AO24" i="63" s="1"/>
  <c r="AO25" i="63" s="1" a="1"/>
  <c r="AO25" i="63" s="1"/>
  <c r="AO26" i="63" s="1" a="1"/>
  <c r="AO26" i="63" s="1"/>
  <c r="AO27" i="63" s="1" a="1"/>
  <c r="AO27" i="63" s="1"/>
  <c r="AO28" i="63" s="1" a="1"/>
  <c r="AO28" i="63" s="1"/>
  <c r="AO29" i="63" s="1" a="1"/>
  <c r="AO29" i="63" s="1"/>
  <c r="AB17" i="65"/>
  <c r="AC17" i="65" s="1"/>
  <c r="AV18" i="65"/>
  <c r="R18" i="65"/>
  <c r="S18" i="65" s="1"/>
  <c r="O18" i="65" s="1"/>
  <c r="Y18" i="65" s="1"/>
  <c r="AE18" i="65"/>
  <c r="AF19" i="65"/>
  <c r="BA21" i="65" l="1"/>
  <c r="AZ21" i="65"/>
  <c r="AY21" i="65"/>
  <c r="BA22" i="65"/>
  <c r="AZ22" i="65"/>
  <c r="AY22" i="65"/>
  <c r="AS21" i="65"/>
  <c r="AX21" i="65"/>
  <c r="AS22" i="65"/>
  <c r="AX22" i="65"/>
  <c r="AH20" i="65"/>
  <c r="Q20" i="65"/>
  <c r="AU22" i="65"/>
  <c r="AT22" i="65"/>
  <c r="AU21" i="65"/>
  <c r="AT21" i="65"/>
  <c r="AC19" i="65"/>
  <c r="AD19" i="65" s="1"/>
  <c r="AG19" i="65"/>
  <c r="AD16" i="65"/>
  <c r="AG16" i="65"/>
  <c r="U20" i="65"/>
  <c r="AB18" i="65"/>
  <c r="AC18" i="65" s="1"/>
  <c r="R20" i="65"/>
  <c r="S20" i="65" s="1"/>
  <c r="O20" i="65" s="1"/>
  <c r="AV20" i="65"/>
  <c r="AE20" i="65"/>
  <c r="AP21" i="63" a="1"/>
  <c r="AP21" i="63" s="1"/>
  <c r="B23" i="65" s="1"/>
  <c r="L21" i="65"/>
  <c r="M21" i="65" s="1"/>
  <c r="C21" i="65"/>
  <c r="P21" i="65" s="1"/>
  <c r="C22" i="65"/>
  <c r="P22" i="65" s="1"/>
  <c r="L22" i="65"/>
  <c r="M22" i="65" s="1"/>
  <c r="AO30" i="63" a="1"/>
  <c r="AO30" i="63" s="1"/>
  <c r="AO31" i="63" s="1" a="1"/>
  <c r="AO31" i="63" s="1"/>
  <c r="AO32" i="63" s="1" a="1"/>
  <c r="AO32" i="63" s="1"/>
  <c r="AO33" i="63" s="1" a="1"/>
  <c r="AO33" i="63" s="1"/>
  <c r="AD17" i="65"/>
  <c r="AF17" i="65"/>
  <c r="AG17" i="65" s="1"/>
  <c r="BA23" i="65" l="1"/>
  <c r="AZ23" i="65"/>
  <c r="AY23" i="65"/>
  <c r="AS23" i="65"/>
  <c r="AX23" i="65"/>
  <c r="AM21" i="65"/>
  <c r="AM22" i="65"/>
  <c r="AU23" i="65"/>
  <c r="AT23" i="65"/>
  <c r="Q22" i="65"/>
  <c r="AD18" i="65"/>
  <c r="AF18" i="65"/>
  <c r="AG18" i="65" s="1"/>
  <c r="AP22" i="63" a="1"/>
  <c r="AP22" i="63" s="1"/>
  <c r="B24" i="65" s="1"/>
  <c r="D21" i="65"/>
  <c r="E21" i="65" s="1"/>
  <c r="F21" i="65" s="1"/>
  <c r="G21" i="65" s="1"/>
  <c r="H21" i="65" s="1"/>
  <c r="I21" i="65" s="1"/>
  <c r="J21" i="65" s="1"/>
  <c r="K21" i="65" s="1"/>
  <c r="L23" i="65"/>
  <c r="M23" i="65" s="1"/>
  <c r="C23" i="65"/>
  <c r="P23" i="65" s="1"/>
  <c r="D22" i="65"/>
  <c r="E22" i="65" s="1"/>
  <c r="F22" i="65" s="1"/>
  <c r="G22" i="65" s="1"/>
  <c r="H22" i="65" s="1"/>
  <c r="I22" i="65" s="1"/>
  <c r="J22" i="65" s="1"/>
  <c r="K22" i="65" s="1"/>
  <c r="AO34" i="63" a="1"/>
  <c r="AO34" i="63" s="1"/>
  <c r="AO35" i="63" s="1" a="1"/>
  <c r="AO35" i="63" s="1"/>
  <c r="AO36" i="63" s="1" a="1"/>
  <c r="AO36" i="63" s="1"/>
  <c r="AO37" i="63" s="1" a="1"/>
  <c r="AO37" i="63" s="1"/>
  <c r="AO38" i="63" s="1" a="1"/>
  <c r="AO38" i="63" s="1"/>
  <c r="AO39" i="63" s="1" a="1"/>
  <c r="AO39" i="63" s="1"/>
  <c r="AO40" i="63" s="1" a="1"/>
  <c r="AO40" i="63" s="1"/>
  <c r="AO41" i="63" s="1" a="1"/>
  <c r="AO41" i="63" s="1"/>
  <c r="AO42" i="63" s="1" a="1"/>
  <c r="AO42" i="63" s="1"/>
  <c r="AO43" i="63" s="1" a="1"/>
  <c r="AO43" i="63" s="1"/>
  <c r="AO44" i="63" s="1" a="1"/>
  <c r="AO44" i="63" s="1"/>
  <c r="AO45" i="63" s="1" a="1"/>
  <c r="AO45" i="63" s="1"/>
  <c r="AO46" i="63" s="1" a="1"/>
  <c r="AO46" i="63" s="1"/>
  <c r="AO47" i="63" s="1" a="1"/>
  <c r="AO47" i="63" s="1"/>
  <c r="AO48" i="63" s="1" a="1"/>
  <c r="AO48" i="63" s="1"/>
  <c r="AO49" i="63" s="1" a="1"/>
  <c r="AO49" i="63" s="1"/>
  <c r="AO50" i="63" s="1" a="1"/>
  <c r="AO50" i="63" s="1"/>
  <c r="AO51" i="63" s="1" a="1"/>
  <c r="AO51" i="63" s="1"/>
  <c r="AO52" i="63" s="1" a="1"/>
  <c r="AO52" i="63" s="1"/>
  <c r="AO53" i="63" s="1" a="1"/>
  <c r="AO53" i="63" s="1"/>
  <c r="AO54" i="63" s="1" a="1"/>
  <c r="AO54" i="63" s="1"/>
  <c r="AO55" i="63" s="1" a="1"/>
  <c r="AO55" i="63" s="1"/>
  <c r="AO56" i="63" s="1" a="1"/>
  <c r="AO56" i="63" s="1"/>
  <c r="AO57" i="63" s="1" a="1"/>
  <c r="AO57" i="63" s="1"/>
  <c r="AO58" i="63" s="1" a="1"/>
  <c r="AO58" i="63" s="1"/>
  <c r="AO59" i="63" s="1" a="1"/>
  <c r="AO59" i="63" s="1"/>
  <c r="AO60" i="63" s="1" a="1"/>
  <c r="AO60" i="63" s="1"/>
  <c r="AO61" i="63" s="1" a="1"/>
  <c r="AO61" i="63" s="1"/>
  <c r="AO62" i="63" s="1" a="1"/>
  <c r="AO62" i="63" s="1"/>
  <c r="AO63" i="63" s="1" a="1"/>
  <c r="AO63" i="63" s="1"/>
  <c r="AO64" i="63" s="1" a="1"/>
  <c r="AO64" i="63" s="1"/>
  <c r="AO65" i="63" s="1" a="1"/>
  <c r="AO65" i="63" s="1"/>
  <c r="AO66" i="63" s="1" a="1"/>
  <c r="AO66" i="63" s="1"/>
  <c r="AO67" i="63" s="1" a="1"/>
  <c r="AO67" i="63" s="1"/>
  <c r="AO68" i="63" s="1" a="1"/>
  <c r="AO68" i="63" s="1"/>
  <c r="AO69" i="63" s="1" a="1"/>
  <c r="AO69" i="63" s="1"/>
  <c r="AO70" i="63" s="1" a="1"/>
  <c r="AO70" i="63" s="1"/>
  <c r="AO71" i="63" s="1" a="1"/>
  <c r="AO71" i="63" s="1"/>
  <c r="AO72" i="63" s="1" a="1"/>
  <c r="AO72" i="63" s="1"/>
  <c r="AO73" i="63" s="1" a="1"/>
  <c r="AO73" i="63" s="1"/>
  <c r="AO74" i="63" s="1" a="1"/>
  <c r="AO74" i="63" s="1"/>
  <c r="AO75" i="63" s="1" a="1"/>
  <c r="AO75" i="63" s="1"/>
  <c r="AO76" i="63" s="1" a="1"/>
  <c r="AO76" i="63" s="1"/>
  <c r="AO77" i="63" s="1" a="1"/>
  <c r="AO77" i="63" s="1"/>
  <c r="AO78" i="63" s="1" a="1"/>
  <c r="AO78" i="63" s="1"/>
  <c r="AO79" i="63" s="1" a="1"/>
  <c r="AO79" i="63" s="1"/>
  <c r="AO80" i="63" s="1" a="1"/>
  <c r="AO80" i="63" s="1"/>
  <c r="AO81" i="63" s="1" a="1"/>
  <c r="AO81" i="63" s="1"/>
  <c r="AO82" i="63" s="1" a="1"/>
  <c r="AO82" i="63" s="1"/>
  <c r="AO83" i="63" s="1" a="1"/>
  <c r="AO83" i="63" s="1"/>
  <c r="AO84" i="63" s="1" a="1"/>
  <c r="AO84" i="63" s="1"/>
  <c r="AO85" i="63" s="1" a="1"/>
  <c r="AO85" i="63" s="1"/>
  <c r="AO86" i="63" s="1" a="1"/>
  <c r="AO86" i="63" s="1"/>
  <c r="AO87" i="63" s="1" a="1"/>
  <c r="AO87" i="63" s="1"/>
  <c r="AO88" i="63" s="1" a="1"/>
  <c r="AO88" i="63" s="1"/>
  <c r="AO89" i="63" s="1" a="1"/>
  <c r="AO89" i="63" s="1"/>
  <c r="AO90" i="63" s="1" a="1"/>
  <c r="AO90" i="63" s="1"/>
  <c r="AO91" i="63" s="1" a="1"/>
  <c r="AO91" i="63" s="1"/>
  <c r="AO92" i="63" s="1" a="1"/>
  <c r="AO92" i="63" s="1"/>
  <c r="AO93" i="63" s="1" a="1"/>
  <c r="AO93" i="63" s="1"/>
  <c r="AO94" i="63" s="1" a="1"/>
  <c r="AO94" i="63" s="1"/>
  <c r="AO95" i="63" s="1" a="1"/>
  <c r="AO95" i="63" s="1"/>
  <c r="AO96" i="63" s="1" a="1"/>
  <c r="AO96" i="63" s="1"/>
  <c r="AO97" i="63" s="1" a="1"/>
  <c r="AO97" i="63" s="1"/>
  <c r="AO98" i="63" s="1" a="1"/>
  <c r="AO98" i="63" s="1"/>
  <c r="AO99" i="63" s="1" a="1"/>
  <c r="AO99" i="63" s="1"/>
  <c r="AO100" i="63" s="1" a="1"/>
  <c r="AO100" i="63" s="1"/>
  <c r="AO101" i="63" s="1" a="1"/>
  <c r="AO101" i="63" s="1"/>
  <c r="AO102" i="63" s="1" a="1"/>
  <c r="AO102" i="63" s="1"/>
  <c r="AO103" i="63" s="1" a="1"/>
  <c r="AO103" i="63" s="1"/>
  <c r="AO104" i="63" s="1" a="1"/>
  <c r="AO104" i="63" s="1"/>
  <c r="AO105" i="63" s="1" a="1"/>
  <c r="AO105" i="63" s="1"/>
  <c r="AO106" i="63" s="1" a="1"/>
  <c r="AO106" i="63" s="1"/>
  <c r="AO107" i="63" s="1" a="1"/>
  <c r="AO107" i="63" s="1"/>
  <c r="AO108" i="63" s="1" a="1"/>
  <c r="AO108" i="63" s="1"/>
  <c r="AO109" i="63" s="1" a="1"/>
  <c r="AO109" i="63" s="1"/>
  <c r="AO110" i="63" s="1" a="1"/>
  <c r="AO110" i="63" s="1"/>
  <c r="AO111" i="63" s="1" a="1"/>
  <c r="AO111" i="63" s="1"/>
  <c r="AO112" i="63" s="1" a="1"/>
  <c r="AO112" i="63" s="1"/>
  <c r="AO113" i="63" s="1" a="1"/>
  <c r="AO113" i="63" s="1"/>
  <c r="AO114" i="63" s="1" a="1"/>
  <c r="AO114" i="63" s="1"/>
  <c r="AO115" i="63" s="1" a="1"/>
  <c r="AO115" i="63" s="1"/>
  <c r="AO116" i="63" s="1" a="1"/>
  <c r="AO116" i="63" s="1"/>
  <c r="AO117" i="63" s="1" a="1"/>
  <c r="AO117" i="63" s="1"/>
  <c r="AO118" i="63" s="1" a="1"/>
  <c r="AO118" i="63" s="1"/>
  <c r="AO119" i="63" s="1" a="1"/>
  <c r="AO119" i="63" s="1"/>
  <c r="AO120" i="63" s="1" a="1"/>
  <c r="AO120" i="63" s="1"/>
  <c r="AO121" i="63" s="1" a="1"/>
  <c r="AO121" i="63" s="1"/>
  <c r="AO122" i="63" s="1" a="1"/>
  <c r="AO122" i="63" s="1"/>
  <c r="AO123" i="63" s="1" a="1"/>
  <c r="AO123" i="63" s="1"/>
  <c r="AO124" i="63" s="1" a="1"/>
  <c r="AO124" i="63" s="1"/>
  <c r="AO125" i="63" s="1" a="1"/>
  <c r="AO125" i="63" s="1"/>
  <c r="AO126" i="63" s="1" a="1"/>
  <c r="AO126" i="63" s="1"/>
  <c r="AO127" i="63" s="1" a="1"/>
  <c r="AO127" i="63" s="1"/>
  <c r="AO128" i="63" s="1" a="1"/>
  <c r="AO128" i="63" s="1"/>
  <c r="AO129" i="63" s="1" a="1"/>
  <c r="AO129" i="63" s="1"/>
  <c r="AO130" i="63" s="1" a="1"/>
  <c r="AO130" i="63" s="1"/>
  <c r="AO131" i="63" s="1" a="1"/>
  <c r="AO131" i="63" s="1"/>
  <c r="AO132" i="63" s="1" a="1"/>
  <c r="AO132" i="63" s="1"/>
  <c r="AO133" i="63" s="1" a="1"/>
  <c r="AO133" i="63" s="1"/>
  <c r="AO134" i="63" s="1" a="1"/>
  <c r="AO134" i="63" s="1"/>
  <c r="AO135" i="63" s="1" a="1"/>
  <c r="AO135" i="63" s="1"/>
  <c r="AO136" i="63" s="1" a="1"/>
  <c r="AO136" i="63" s="1"/>
  <c r="AO137" i="63" s="1" a="1"/>
  <c r="AO137" i="63" s="1"/>
  <c r="AO138" i="63" s="1" a="1"/>
  <c r="AO138" i="63" s="1"/>
  <c r="AO139" i="63" s="1" a="1"/>
  <c r="AO139" i="63" s="1"/>
  <c r="AO140" i="63" s="1" a="1"/>
  <c r="AO140" i="63" s="1"/>
  <c r="AO141" i="63" s="1" a="1"/>
  <c r="AO141" i="63" s="1"/>
  <c r="AO142" i="63" s="1" a="1"/>
  <c r="AO142" i="63" s="1"/>
  <c r="AO143" i="63" s="1" a="1"/>
  <c r="AO143" i="63" s="1"/>
  <c r="AO144" i="63" s="1" a="1"/>
  <c r="AO144" i="63" s="1"/>
  <c r="AO145" i="63" s="1" a="1"/>
  <c r="AO145" i="63" s="1"/>
  <c r="AO146" i="63" s="1" a="1"/>
  <c r="AO146" i="63" s="1"/>
  <c r="AO147" i="63" s="1" a="1"/>
  <c r="AO147" i="63" s="1"/>
  <c r="AO148" i="63" s="1" a="1"/>
  <c r="AO148" i="63" s="1"/>
  <c r="AO149" i="63" s="1" a="1"/>
  <c r="AO149" i="63" s="1"/>
  <c r="AO150" i="63" s="1" a="1"/>
  <c r="AO150" i="63" s="1"/>
  <c r="AO151" i="63" s="1" a="1"/>
  <c r="AO151" i="63" s="1"/>
  <c r="AO152" i="63" s="1" a="1"/>
  <c r="AO152" i="63" s="1"/>
  <c r="AO153" i="63" s="1" a="1"/>
  <c r="AO153" i="63" s="1"/>
  <c r="AO154" i="63" s="1" a="1"/>
  <c r="AO154" i="63" s="1"/>
  <c r="AO155" i="63" s="1" a="1"/>
  <c r="AO155" i="63" s="1"/>
  <c r="AO156" i="63" s="1" a="1"/>
  <c r="AO156" i="63" s="1"/>
  <c r="AO157" i="63" s="1" a="1"/>
  <c r="AO157" i="63" s="1"/>
  <c r="AO158" i="63" s="1" a="1"/>
  <c r="AO158" i="63" s="1"/>
  <c r="AO159" i="63" s="1" a="1"/>
  <c r="AO159" i="63" s="1"/>
  <c r="AO160" i="63" s="1" a="1"/>
  <c r="AO160" i="63" s="1"/>
  <c r="AO161" i="63" s="1" a="1"/>
  <c r="AO161" i="63" s="1"/>
  <c r="AO162" i="63" s="1" a="1"/>
  <c r="AO162" i="63" s="1"/>
  <c r="AO163" i="63" s="1" a="1"/>
  <c r="AO163" i="63" s="1"/>
  <c r="AO164" i="63" s="1" a="1"/>
  <c r="AO164" i="63" s="1"/>
  <c r="AO165" i="63" s="1" a="1"/>
  <c r="AO165" i="63" s="1"/>
  <c r="AO166" i="63" s="1" a="1"/>
  <c r="AO166" i="63" s="1"/>
  <c r="AO167" i="63" s="1" a="1"/>
  <c r="AO167" i="63" s="1"/>
  <c r="AO168" i="63" s="1" a="1"/>
  <c r="AO168" i="63" s="1"/>
  <c r="AO169" i="63" s="1" a="1"/>
  <c r="AO169" i="63" s="1"/>
  <c r="AO170" i="63" s="1" a="1"/>
  <c r="AO170" i="63" s="1"/>
  <c r="AO171" i="63" s="1" a="1"/>
  <c r="AO171" i="63" s="1"/>
  <c r="AO172" i="63" s="1" a="1"/>
  <c r="AO172" i="63" s="1"/>
  <c r="AO173" i="63" s="1" a="1"/>
  <c r="AO173" i="63" s="1"/>
  <c r="AO174" i="63" s="1" a="1"/>
  <c r="AO174" i="63" s="1"/>
  <c r="AO175" i="63" s="1" a="1"/>
  <c r="AO175" i="63" s="1"/>
  <c r="AO176" i="63" s="1" a="1"/>
  <c r="AO176" i="63" s="1"/>
  <c r="AO177" i="63" s="1" a="1"/>
  <c r="AO177" i="63" s="1"/>
  <c r="AO178" i="63" s="1" a="1"/>
  <c r="AO178" i="63" s="1"/>
  <c r="AO179" i="63" s="1" a="1"/>
  <c r="AO179" i="63" s="1"/>
  <c r="AO180" i="63" s="1" a="1"/>
  <c r="AO180" i="63" s="1"/>
  <c r="AO181" i="63" s="1" a="1"/>
  <c r="AO181" i="63" s="1"/>
  <c r="AO182" i="63" s="1" a="1"/>
  <c r="AO182" i="63" s="1"/>
  <c r="AO183" i="63" s="1" a="1"/>
  <c r="AO183" i="63" s="1"/>
  <c r="AO184" i="63" s="1" a="1"/>
  <c r="AO184" i="63" s="1"/>
  <c r="AO185" i="63" s="1" a="1"/>
  <c r="AO185" i="63" s="1"/>
  <c r="AO186" i="63" s="1" a="1"/>
  <c r="AO186" i="63" s="1"/>
  <c r="AO187" i="63" s="1" a="1"/>
  <c r="AO187" i="63" s="1"/>
  <c r="AO188" i="63" s="1" a="1"/>
  <c r="AO188" i="63" s="1"/>
  <c r="AO189" i="63" s="1" a="1"/>
  <c r="AO189" i="63" s="1"/>
  <c r="AO190" i="63" s="1" a="1"/>
  <c r="AO190" i="63" s="1"/>
  <c r="AO191" i="63" s="1" a="1"/>
  <c r="AO191" i="63" s="1"/>
  <c r="AO192" i="63" s="1" a="1"/>
  <c r="AO192" i="63" s="1"/>
  <c r="AO193" i="63" s="1" a="1"/>
  <c r="AO193" i="63" s="1"/>
  <c r="AO194" i="63" s="1" a="1"/>
  <c r="AO194" i="63" s="1"/>
  <c r="AO195" i="63" s="1" a="1"/>
  <c r="AO195" i="63" s="1"/>
  <c r="AO196" i="63" s="1" a="1"/>
  <c r="AO196" i="63" s="1"/>
  <c r="AO197" i="63" s="1" a="1"/>
  <c r="AO197" i="63" s="1"/>
  <c r="AO198" i="63" s="1" a="1"/>
  <c r="AO198" i="63" s="1"/>
  <c r="AO199" i="63" s="1" a="1"/>
  <c r="AO199" i="63" s="1"/>
  <c r="AO200" i="63" s="1" a="1"/>
  <c r="AO200" i="63" s="1"/>
  <c r="AO201" i="63" s="1" a="1"/>
  <c r="AO201" i="63" s="1"/>
  <c r="AO202" i="63" s="1" a="1"/>
  <c r="AO202" i="63" s="1"/>
  <c r="AO203" i="63" s="1" a="1"/>
  <c r="AO203" i="63" s="1"/>
  <c r="AO204" i="63" s="1" a="1"/>
  <c r="AO204" i="63" s="1"/>
  <c r="AO205" i="63" s="1" a="1"/>
  <c r="AO205" i="63" s="1"/>
  <c r="AO206" i="63" s="1" a="1"/>
  <c r="AO206" i="63" s="1"/>
  <c r="AO207" i="63" s="1" a="1"/>
  <c r="AO207" i="63" s="1"/>
  <c r="AO208" i="63" s="1" a="1"/>
  <c r="AO208" i="63" s="1"/>
  <c r="AO209" i="63" s="1" a="1"/>
  <c r="AO209" i="63" s="1"/>
  <c r="AO210" i="63" s="1" a="1"/>
  <c r="AO210" i="63" s="1"/>
  <c r="AO211" i="63" s="1" a="1"/>
  <c r="AO211" i="63" s="1"/>
  <c r="AO212" i="63" s="1" a="1"/>
  <c r="AO212" i="63" s="1"/>
  <c r="AO213" i="63" s="1" a="1"/>
  <c r="AO213" i="63" s="1"/>
  <c r="AO214" i="63" s="1" a="1"/>
  <c r="AO214" i="63" s="1"/>
  <c r="AO215" i="63" s="1" a="1"/>
  <c r="AO215" i="63" s="1"/>
  <c r="AO216" i="63" s="1" a="1"/>
  <c r="AO216" i="63" s="1"/>
  <c r="AO217" i="63" s="1" a="1"/>
  <c r="AO217" i="63" s="1"/>
  <c r="AO218" i="63" s="1" a="1"/>
  <c r="AO218" i="63" s="1"/>
  <c r="AO219" i="63" s="1" a="1"/>
  <c r="AO219" i="63" s="1"/>
  <c r="AO220" i="63" s="1" a="1"/>
  <c r="AO220" i="63" s="1"/>
  <c r="AO221" i="63" s="1" a="1"/>
  <c r="AO221" i="63" s="1"/>
  <c r="AO222" i="63" s="1" a="1"/>
  <c r="AO222" i="63" s="1"/>
  <c r="AO223" i="63" s="1" a="1"/>
  <c r="AO223" i="63" s="1"/>
  <c r="AO224" i="63" s="1" a="1"/>
  <c r="AO224" i="63" s="1"/>
  <c r="AO225" i="63" s="1" a="1"/>
  <c r="AO225" i="63" s="1"/>
  <c r="AO226" i="63" s="1" a="1"/>
  <c r="AO226" i="63" s="1"/>
  <c r="AO227" i="63" s="1" a="1"/>
  <c r="AO227" i="63" s="1"/>
  <c r="AO228" i="63" s="1" a="1"/>
  <c r="AO228" i="63" s="1"/>
  <c r="AO229" i="63" s="1" a="1"/>
  <c r="AO229" i="63" s="1"/>
  <c r="AO230" i="63" s="1" a="1"/>
  <c r="AO230" i="63" s="1"/>
  <c r="AO231" i="63" s="1" a="1"/>
  <c r="AO231" i="63" s="1"/>
  <c r="AO232" i="63" s="1" a="1"/>
  <c r="AO232" i="63" s="1"/>
  <c r="AO233" i="63" s="1" a="1"/>
  <c r="AO233" i="63" s="1"/>
  <c r="AO234" i="63" s="1" a="1"/>
  <c r="AO234" i="63" s="1"/>
  <c r="AO235" i="63" s="1" a="1"/>
  <c r="AO235" i="63" s="1"/>
  <c r="AO236" i="63" s="1" a="1"/>
  <c r="AO236" i="63" s="1"/>
  <c r="AO237" i="63" s="1" a="1"/>
  <c r="AO237" i="63" s="1"/>
  <c r="AO238" i="63" s="1" a="1"/>
  <c r="AO238" i="63" s="1"/>
  <c r="AO239" i="63" s="1" a="1"/>
  <c r="AO239" i="63" s="1"/>
  <c r="AO240" i="63" s="1" a="1"/>
  <c r="AO240" i="63" s="1"/>
  <c r="AO241" i="63" s="1" a="1"/>
  <c r="AO241" i="63" s="1"/>
  <c r="AO242" i="63" s="1" a="1"/>
  <c r="AO242" i="63" s="1"/>
  <c r="AO243" i="63" s="1" a="1"/>
  <c r="AO243" i="63" s="1"/>
  <c r="AO244" i="63" s="1" a="1"/>
  <c r="AO244" i="63" s="1"/>
  <c r="AO245" i="63" s="1" a="1"/>
  <c r="AO245" i="63" s="1"/>
  <c r="AO246" i="63" s="1" a="1"/>
  <c r="AO246" i="63" s="1"/>
  <c r="AO247" i="63" s="1" a="1"/>
  <c r="AO247" i="63" s="1"/>
  <c r="AO248" i="63" s="1" a="1"/>
  <c r="AO248" i="63" s="1"/>
  <c r="AO249" i="63" s="1" a="1"/>
  <c r="AO249" i="63" s="1"/>
  <c r="AO250" i="63" s="1" a="1"/>
  <c r="AO250" i="63" s="1"/>
  <c r="AO251" i="63" s="1" a="1"/>
  <c r="AO251" i="63" s="1"/>
  <c r="AO252" i="63" s="1" a="1"/>
  <c r="AO252" i="63" s="1"/>
  <c r="AO253" i="63" s="1" a="1"/>
  <c r="AO253" i="63" s="1"/>
  <c r="AO254" i="63" s="1" a="1"/>
  <c r="AO254" i="63" s="1"/>
  <c r="AO255" i="63" s="1" a="1"/>
  <c r="AO255" i="63" s="1"/>
  <c r="AO256" i="63" s="1" a="1"/>
  <c r="AO256" i="63" s="1"/>
  <c r="AO257" i="63" s="1" a="1"/>
  <c r="AO257" i="63" s="1"/>
  <c r="AZ24" i="65" l="1"/>
  <c r="BA24" i="65"/>
  <c r="AY24" i="65"/>
  <c r="AS24" i="65"/>
  <c r="AX24" i="65"/>
  <c r="AM23" i="65"/>
  <c r="AH21" i="65"/>
  <c r="Q21" i="65"/>
  <c r="AT24" i="65"/>
  <c r="AU24" i="65"/>
  <c r="U22" i="65"/>
  <c r="AH22" i="65"/>
  <c r="Q23" i="65"/>
  <c r="Y20" i="65"/>
  <c r="AB20" i="65" s="1"/>
  <c r="AF20" i="65"/>
  <c r="U21" i="65"/>
  <c r="R22" i="65"/>
  <c r="S22" i="65" s="1"/>
  <c r="O22" i="65" s="1"/>
  <c r="Y22" i="65" s="1"/>
  <c r="AV22" i="65"/>
  <c r="AE22" i="65"/>
  <c r="AF22" i="65"/>
  <c r="D23" i="65"/>
  <c r="E23" i="65" s="1"/>
  <c r="F23" i="65" s="1"/>
  <c r="G23" i="65" s="1"/>
  <c r="H23" i="65" s="1"/>
  <c r="I23" i="65" s="1"/>
  <c r="J23" i="65" s="1"/>
  <c r="K23" i="65" s="1"/>
  <c r="AV21" i="65"/>
  <c r="R21" i="65"/>
  <c r="S21" i="65" s="1"/>
  <c r="O21" i="65" s="1"/>
  <c r="AE21" i="65"/>
  <c r="AP23" i="63" a="1"/>
  <c r="AP23" i="63" s="1"/>
  <c r="B25" i="65" s="1"/>
  <c r="L24" i="65"/>
  <c r="M24" i="65" s="1"/>
  <c r="C24" i="65"/>
  <c r="P24" i="65" s="1"/>
  <c r="AZ25" i="65" l="1"/>
  <c r="BA25" i="65"/>
  <c r="AY25" i="65"/>
  <c r="AS25" i="65"/>
  <c r="AX25" i="65"/>
  <c r="AM24" i="65"/>
  <c r="AU25" i="65"/>
  <c r="AT25" i="65"/>
  <c r="U23" i="65"/>
  <c r="AH23" i="65"/>
  <c r="AC20" i="65"/>
  <c r="AD20" i="65" s="1"/>
  <c r="AG20" i="65"/>
  <c r="AB22" i="65"/>
  <c r="AP24" i="63" a="1"/>
  <c r="AP24" i="63" s="1"/>
  <c r="B26" i="65" s="1"/>
  <c r="C25" i="65"/>
  <c r="P25" i="65" s="1"/>
  <c r="L25" i="65"/>
  <c r="M25" i="65" s="1"/>
  <c r="AG22" i="65"/>
  <c r="D24" i="65"/>
  <c r="E24" i="65" s="1"/>
  <c r="F24" i="65" s="1"/>
  <c r="G24" i="65" s="1"/>
  <c r="H24" i="65" s="1"/>
  <c r="I24" i="65" s="1"/>
  <c r="J24" i="65" s="1"/>
  <c r="K24" i="65" s="1"/>
  <c r="AE23" i="65"/>
  <c r="R23" i="65"/>
  <c r="S23" i="65" s="1"/>
  <c r="O23" i="65" s="1"/>
  <c r="AV23" i="65"/>
  <c r="AF23" i="65"/>
  <c r="BA26" i="65" l="1"/>
  <c r="AY26" i="65"/>
  <c r="AZ26" i="65"/>
  <c r="AS26" i="65"/>
  <c r="AX26" i="65"/>
  <c r="AM25" i="65"/>
  <c r="AH24" i="65"/>
  <c r="Q24" i="65"/>
  <c r="AU26" i="65"/>
  <c r="AT26" i="65"/>
  <c r="AC22" i="65"/>
  <c r="AD22" i="65" s="1"/>
  <c r="Q25" i="65"/>
  <c r="Y21" i="65"/>
  <c r="AB21" i="65" s="1"/>
  <c r="Y23" i="65"/>
  <c r="AB23" i="65" s="1"/>
  <c r="AF21" i="65"/>
  <c r="AF24" i="65"/>
  <c r="U24" i="65"/>
  <c r="R24" i="65"/>
  <c r="S24" i="65" s="1"/>
  <c r="O24" i="65" s="1"/>
  <c r="AE24" i="65"/>
  <c r="AV24" i="65"/>
  <c r="D25" i="65"/>
  <c r="E25" i="65" s="1"/>
  <c r="F25" i="65" s="1"/>
  <c r="G25" i="65" s="1"/>
  <c r="H25" i="65" s="1"/>
  <c r="I25" i="65" s="1"/>
  <c r="J25" i="65" s="1"/>
  <c r="K25" i="65" s="1"/>
  <c r="AP25" i="63" a="1"/>
  <c r="AP25" i="63" s="1"/>
  <c r="B27" i="65" s="1"/>
  <c r="C26" i="65"/>
  <c r="P26" i="65" s="1"/>
  <c r="L26" i="65"/>
  <c r="M26" i="65" s="1"/>
  <c r="BA27" i="65" l="1"/>
  <c r="AZ27" i="65"/>
  <c r="AY27" i="65"/>
  <c r="AS27" i="65"/>
  <c r="AX27" i="65"/>
  <c r="AM26" i="65"/>
  <c r="AU27" i="65"/>
  <c r="AT27" i="65"/>
  <c r="U25" i="65"/>
  <c r="AH25" i="65"/>
  <c r="AC23" i="65"/>
  <c r="AD23" i="65" s="1"/>
  <c r="AC21" i="65"/>
  <c r="AD21" i="65" s="1"/>
  <c r="Q26" i="65"/>
  <c r="AG23" i="65"/>
  <c r="Y24" i="65"/>
  <c r="AB24" i="65" s="1"/>
  <c r="AG21" i="65"/>
  <c r="L27" i="65"/>
  <c r="M27" i="65" s="1"/>
  <c r="C27" i="65"/>
  <c r="P27" i="65" s="1"/>
  <c r="AV25" i="65"/>
  <c r="R25" i="65"/>
  <c r="S25" i="65" s="1"/>
  <c r="O25" i="65" s="1"/>
  <c r="Y25" i="65" s="1"/>
  <c r="AE25" i="65"/>
  <c r="AP26" i="63" a="1"/>
  <c r="AP26" i="63" s="1"/>
  <c r="B28" i="65" s="1"/>
  <c r="D26" i="65"/>
  <c r="E26" i="65" s="1"/>
  <c r="F26" i="65" s="1"/>
  <c r="G26" i="65" s="1"/>
  <c r="H26" i="65" s="1"/>
  <c r="I26" i="65" s="1"/>
  <c r="J26" i="65" s="1"/>
  <c r="K26" i="65" s="1"/>
  <c r="AF25" i="65"/>
  <c r="AZ28" i="65" l="1"/>
  <c r="AY28" i="65"/>
  <c r="BA28" i="65"/>
  <c r="AS28" i="65"/>
  <c r="AX28" i="65"/>
  <c r="AM27" i="65"/>
  <c r="AT28" i="65"/>
  <c r="AU28" i="65"/>
  <c r="U26" i="65"/>
  <c r="AH26" i="65"/>
  <c r="AC24" i="65"/>
  <c r="AD24" i="65" s="1"/>
  <c r="AG24" i="65"/>
  <c r="AB25" i="65"/>
  <c r="AG25" i="65"/>
  <c r="R26" i="65"/>
  <c r="S26" i="65" s="1"/>
  <c r="O26" i="65" s="1"/>
  <c r="AE26" i="65"/>
  <c r="AV26" i="65"/>
  <c r="L28" i="65"/>
  <c r="M28" i="65" s="1"/>
  <c r="C28" i="65"/>
  <c r="P28" i="65" s="1"/>
  <c r="D27" i="65"/>
  <c r="E27" i="65" s="1"/>
  <c r="F27" i="65" s="1"/>
  <c r="G27" i="65" s="1"/>
  <c r="H27" i="65" s="1"/>
  <c r="I27" i="65" s="1"/>
  <c r="J27" i="65" s="1"/>
  <c r="K27" i="65" s="1"/>
  <c r="AP27" i="63" a="1"/>
  <c r="AP27" i="63" s="1"/>
  <c r="B29" i="65" s="1"/>
  <c r="AF26" i="65"/>
  <c r="AY29" i="65" l="1"/>
  <c r="BA29" i="65"/>
  <c r="AZ29" i="65"/>
  <c r="AS29" i="65"/>
  <c r="AX29" i="65"/>
  <c r="AM28" i="65"/>
  <c r="AH27" i="65"/>
  <c r="Q27" i="65"/>
  <c r="AU29" i="65"/>
  <c r="AT29" i="65"/>
  <c r="AC25" i="65"/>
  <c r="AD25" i="65" s="1"/>
  <c r="Y26" i="65"/>
  <c r="AB26" i="65" s="1"/>
  <c r="AF27" i="65"/>
  <c r="U27" i="65"/>
  <c r="AP28" i="63" a="1"/>
  <c r="AP28" i="63" s="1"/>
  <c r="B30" i="65" s="1"/>
  <c r="AV27" i="65"/>
  <c r="R27" i="65"/>
  <c r="S27" i="65" s="1"/>
  <c r="O27" i="65" s="1"/>
  <c r="AE27" i="65"/>
  <c r="D28" i="65"/>
  <c r="E28" i="65" s="1"/>
  <c r="F28" i="65" s="1"/>
  <c r="G28" i="65" s="1"/>
  <c r="H28" i="65" s="1"/>
  <c r="I28" i="65" s="1"/>
  <c r="J28" i="65" s="1"/>
  <c r="K28" i="65" s="1"/>
  <c r="C29" i="65"/>
  <c r="P29" i="65" s="1"/>
  <c r="L29" i="65"/>
  <c r="M29" i="65" s="1"/>
  <c r="BA30" i="65" l="1"/>
  <c r="AZ30" i="65"/>
  <c r="AY30" i="65"/>
  <c r="AS30" i="65"/>
  <c r="AX30" i="65"/>
  <c r="AM29" i="65"/>
  <c r="AH28" i="65"/>
  <c r="Q28" i="65"/>
  <c r="AU30" i="65"/>
  <c r="AT30" i="65"/>
  <c r="AC26" i="65"/>
  <c r="AD26" i="65" s="1"/>
  <c r="AG26" i="65"/>
  <c r="Y27" i="65"/>
  <c r="AB27" i="65" s="1"/>
  <c r="AF28" i="65"/>
  <c r="U28" i="65"/>
  <c r="AP29" i="63" a="1"/>
  <c r="AP29" i="63" s="1"/>
  <c r="B31" i="65" s="1"/>
  <c r="D29" i="65"/>
  <c r="E29" i="65" s="1"/>
  <c r="F29" i="65" s="1"/>
  <c r="G29" i="65" s="1"/>
  <c r="H29" i="65" s="1"/>
  <c r="I29" i="65" s="1"/>
  <c r="J29" i="65" s="1"/>
  <c r="K29" i="65" s="1"/>
  <c r="AV28" i="65"/>
  <c r="AE28" i="65"/>
  <c r="R28" i="65"/>
  <c r="S28" i="65" s="1"/>
  <c r="O28" i="65" s="1"/>
  <c r="L30" i="65"/>
  <c r="M30" i="65" s="1"/>
  <c r="C30" i="65"/>
  <c r="P30" i="65" s="1"/>
  <c r="BA31" i="65" l="1"/>
  <c r="AY31" i="65"/>
  <c r="AZ31" i="65"/>
  <c r="AS31" i="65"/>
  <c r="AX31" i="65"/>
  <c r="AM30" i="65"/>
  <c r="AH29" i="65"/>
  <c r="Q29" i="65"/>
  <c r="AU31" i="65"/>
  <c r="AT31" i="65"/>
  <c r="AC27" i="65"/>
  <c r="AD27" i="65" s="1"/>
  <c r="Y28" i="65"/>
  <c r="AB28" i="65" s="1"/>
  <c r="AG27" i="65"/>
  <c r="AF29" i="65"/>
  <c r="U29" i="65"/>
  <c r="AE29" i="65"/>
  <c r="AV29" i="65"/>
  <c r="R29" i="65"/>
  <c r="S29" i="65" s="1"/>
  <c r="O29" i="65" s="1"/>
  <c r="AP30" i="63" a="1"/>
  <c r="AP30" i="63" s="1"/>
  <c r="B32" i="65" s="1"/>
  <c r="D30" i="65"/>
  <c r="E30" i="65" s="1"/>
  <c r="F30" i="65" s="1"/>
  <c r="G30" i="65" s="1"/>
  <c r="H30" i="65" s="1"/>
  <c r="I30" i="65" s="1"/>
  <c r="J30" i="65" s="1"/>
  <c r="K30" i="65" s="1"/>
  <c r="L31" i="65"/>
  <c r="M31" i="65" s="1"/>
  <c r="O31" i="65"/>
  <c r="C31" i="65"/>
  <c r="P31" i="65" s="1"/>
  <c r="AZ32" i="65" l="1"/>
  <c r="BA32" i="65"/>
  <c r="AY32" i="65"/>
  <c r="AS32" i="65"/>
  <c r="AX32" i="65"/>
  <c r="AM31" i="65"/>
  <c r="AH30" i="65"/>
  <c r="Q30" i="65"/>
  <c r="AT32" i="65"/>
  <c r="AU32" i="65"/>
  <c r="AC28" i="65"/>
  <c r="AD28" i="65" s="1"/>
  <c r="Q31" i="65"/>
  <c r="AG28" i="65"/>
  <c r="Y29" i="65"/>
  <c r="AF30" i="65"/>
  <c r="U30" i="65"/>
  <c r="C32" i="65"/>
  <c r="P32" i="65" s="1"/>
  <c r="L32" i="65"/>
  <c r="M32" i="65" s="1"/>
  <c r="O32" i="65"/>
  <c r="D31" i="65"/>
  <c r="E31" i="65" s="1"/>
  <c r="F31" i="65" s="1"/>
  <c r="G31" i="65" s="1"/>
  <c r="H31" i="65" s="1"/>
  <c r="I31" i="65" s="1"/>
  <c r="J31" i="65" s="1"/>
  <c r="K31" i="65" s="1"/>
  <c r="AV30" i="65"/>
  <c r="AE30" i="65"/>
  <c r="R30" i="65"/>
  <c r="S30" i="65" s="1"/>
  <c r="O30" i="65" s="1"/>
  <c r="AP31" i="63" a="1"/>
  <c r="AP31" i="63" s="1"/>
  <c r="B33" i="65" s="1"/>
  <c r="AZ33" i="65" l="1"/>
  <c r="BA33" i="65"/>
  <c r="AY33" i="65"/>
  <c r="AS33" i="65"/>
  <c r="AX33" i="65"/>
  <c r="AM32" i="65"/>
  <c r="AU33" i="65"/>
  <c r="AT33" i="65"/>
  <c r="U31" i="65"/>
  <c r="AH31" i="65"/>
  <c r="Q32" i="65"/>
  <c r="Y30" i="65"/>
  <c r="AG30" i="65" s="1"/>
  <c r="AB29" i="65"/>
  <c r="AC29" i="65" s="1"/>
  <c r="AG29" i="65"/>
  <c r="L33" i="65"/>
  <c r="M33" i="65" s="1"/>
  <c r="O33" i="65"/>
  <c r="C33" i="65"/>
  <c r="P33" i="65" s="1"/>
  <c r="AE31" i="65"/>
  <c r="R31" i="65"/>
  <c r="S31" i="65" s="1"/>
  <c r="AF31" i="65"/>
  <c r="AV31" i="65"/>
  <c r="D32" i="65"/>
  <c r="E32" i="65" s="1"/>
  <c r="F32" i="65" s="1"/>
  <c r="G32" i="65" s="1"/>
  <c r="H32" i="65" s="1"/>
  <c r="I32" i="65" s="1"/>
  <c r="J32" i="65" s="1"/>
  <c r="K32" i="65" s="1"/>
  <c r="AP32" i="63" a="1"/>
  <c r="AP32" i="63" s="1"/>
  <c r="B34" i="65" s="1"/>
  <c r="AY34" i="65" l="1"/>
  <c r="AZ34" i="65"/>
  <c r="BA34" i="65"/>
  <c r="AS34" i="65"/>
  <c r="AX34" i="65"/>
  <c r="AM33" i="65"/>
  <c r="AU34" i="65"/>
  <c r="AT34" i="65"/>
  <c r="U32" i="65"/>
  <c r="AH32" i="65"/>
  <c r="AB30" i="65"/>
  <c r="Y31" i="65"/>
  <c r="AB31" i="65" s="1"/>
  <c r="AD29" i="65"/>
  <c r="C34" i="65"/>
  <c r="P34" i="65" s="1"/>
  <c r="O34" i="65"/>
  <c r="L34" i="65"/>
  <c r="M34" i="65" s="1"/>
  <c r="R32" i="65"/>
  <c r="S32" i="65" s="1"/>
  <c r="Y32" i="65" s="1"/>
  <c r="AV32" i="65"/>
  <c r="AF32" i="65"/>
  <c r="AE32" i="65"/>
  <c r="D33" i="65"/>
  <c r="E33" i="65" s="1"/>
  <c r="F33" i="65" s="1"/>
  <c r="G33" i="65" s="1"/>
  <c r="H33" i="65" s="1"/>
  <c r="I33" i="65" s="1"/>
  <c r="J33" i="65" s="1"/>
  <c r="K33" i="65" s="1"/>
  <c r="AP33" i="63" a="1"/>
  <c r="AP33" i="63" s="1"/>
  <c r="B35" i="65" s="1"/>
  <c r="BA35" i="65" l="1"/>
  <c r="AZ35" i="65"/>
  <c r="AY35" i="65"/>
  <c r="AS35" i="65"/>
  <c r="AX35" i="65"/>
  <c r="AM34" i="65"/>
  <c r="AH33" i="65"/>
  <c r="Q33" i="65"/>
  <c r="AU35" i="65"/>
  <c r="AT35" i="65"/>
  <c r="U33" i="65"/>
  <c r="AC31" i="65"/>
  <c r="AD31" i="65" s="1"/>
  <c r="AC30" i="65"/>
  <c r="AD30" i="65" s="1"/>
  <c r="Q34" i="65"/>
  <c r="AB32" i="65"/>
  <c r="AG31" i="65"/>
  <c r="AP34" i="63" a="1"/>
  <c r="AP34" i="63" s="1"/>
  <c r="B36" i="65" s="1"/>
  <c r="C35" i="65"/>
  <c r="P35" i="65" s="1"/>
  <c r="L35" i="65"/>
  <c r="M35" i="65" s="1"/>
  <c r="O35" i="65"/>
  <c r="AF33" i="65"/>
  <c r="AE33" i="65"/>
  <c r="AV33" i="65"/>
  <c r="R33" i="65"/>
  <c r="S33" i="65" s="1"/>
  <c r="AG32" i="65"/>
  <c r="D34" i="65"/>
  <c r="E34" i="65" s="1"/>
  <c r="F34" i="65" s="1"/>
  <c r="G34" i="65" s="1"/>
  <c r="H34" i="65" s="1"/>
  <c r="I34" i="65" s="1"/>
  <c r="J34" i="65" s="1"/>
  <c r="K34" i="65" s="1"/>
  <c r="AZ36" i="65" l="1"/>
  <c r="BA36" i="65"/>
  <c r="AY36" i="65"/>
  <c r="AS36" i="65"/>
  <c r="AX36" i="65"/>
  <c r="AM35" i="65"/>
  <c r="AT36" i="65"/>
  <c r="AU36" i="65"/>
  <c r="U34" i="65"/>
  <c r="AH34" i="65"/>
  <c r="AC32" i="65"/>
  <c r="AD32" i="65" s="1"/>
  <c r="Q35" i="65"/>
  <c r="Y33" i="65"/>
  <c r="AG33" i="65" s="1"/>
  <c r="AP35" i="63" a="1"/>
  <c r="AP35" i="63" s="1"/>
  <c r="B37" i="65" s="1"/>
  <c r="AF34" i="65"/>
  <c r="AV34" i="65"/>
  <c r="R34" i="65"/>
  <c r="S34" i="65" s="1"/>
  <c r="AE34" i="65"/>
  <c r="D35" i="65"/>
  <c r="E35" i="65" s="1"/>
  <c r="F35" i="65" s="1"/>
  <c r="G35" i="65" s="1"/>
  <c r="H35" i="65" s="1"/>
  <c r="I35" i="65" s="1"/>
  <c r="J35" i="65" s="1"/>
  <c r="K35" i="65" s="1"/>
  <c r="L36" i="65"/>
  <c r="M36" i="65" s="1"/>
  <c r="C36" i="65"/>
  <c r="P36" i="65" s="1"/>
  <c r="O36" i="65"/>
  <c r="AY37" i="65" l="1"/>
  <c r="AZ37" i="65"/>
  <c r="BA37" i="65"/>
  <c r="AS37" i="65"/>
  <c r="AX37" i="65"/>
  <c r="AM36" i="65"/>
  <c r="AU37" i="65"/>
  <c r="AT37" i="65"/>
  <c r="U35" i="65"/>
  <c r="AH35" i="65"/>
  <c r="Q36" i="65"/>
  <c r="AB33" i="65"/>
  <c r="Y34" i="65"/>
  <c r="AG34" i="65" s="1"/>
  <c r="AP36" i="63" a="1"/>
  <c r="AP36" i="63" s="1"/>
  <c r="D36" i="65"/>
  <c r="E36" i="65" s="1"/>
  <c r="F36" i="65" s="1"/>
  <c r="G36" i="65" s="1"/>
  <c r="H36" i="65" s="1"/>
  <c r="I36" i="65" s="1"/>
  <c r="J36" i="65" s="1"/>
  <c r="K36" i="65" s="1"/>
  <c r="AE35" i="65"/>
  <c r="R35" i="65"/>
  <c r="S35" i="65" s="1"/>
  <c r="AV35" i="65"/>
  <c r="AF35" i="65"/>
  <c r="O37" i="65"/>
  <c r="C37" i="65"/>
  <c r="P37" i="65" s="1"/>
  <c r="L37" i="65"/>
  <c r="M37" i="65" s="1"/>
  <c r="AM37" i="65" l="1"/>
  <c r="U36" i="65"/>
  <c r="AH36" i="65"/>
  <c r="AC33" i="65"/>
  <c r="AD33" i="65" s="1"/>
  <c r="Q37" i="65"/>
  <c r="AB34" i="65"/>
  <c r="Y35" i="65"/>
  <c r="AG35" i="65" s="1"/>
  <c r="AP37" i="63" a="1"/>
  <c r="AP37" i="63" s="1"/>
  <c r="B39" i="65" s="1"/>
  <c r="AE36" i="65"/>
  <c r="AF36" i="65"/>
  <c r="R36" i="65"/>
  <c r="S36" i="65" s="1"/>
  <c r="Y36" i="65" s="1"/>
  <c r="AV36" i="65"/>
  <c r="D37" i="65"/>
  <c r="E37" i="65" s="1"/>
  <c r="F37" i="65" s="1"/>
  <c r="G37" i="65" s="1"/>
  <c r="H37" i="65" s="1"/>
  <c r="I37" i="65" s="1"/>
  <c r="J37" i="65" s="1"/>
  <c r="K37" i="65" s="1"/>
  <c r="B38" i="65"/>
  <c r="BA39" i="65" l="1"/>
  <c r="AY39" i="65"/>
  <c r="AZ39" i="65"/>
  <c r="BA38" i="65"/>
  <c r="AY38" i="65"/>
  <c r="AZ38" i="65"/>
  <c r="AS39" i="65"/>
  <c r="AX39" i="65"/>
  <c r="AS38" i="65"/>
  <c r="AX38" i="65"/>
  <c r="AU39" i="65"/>
  <c r="AT39" i="65"/>
  <c r="AU38" i="65"/>
  <c r="AT38" i="65"/>
  <c r="U37" i="65"/>
  <c r="AH37" i="65"/>
  <c r="AC34" i="65"/>
  <c r="AD34" i="65" s="1"/>
  <c r="AB36" i="65"/>
  <c r="AB35" i="65"/>
  <c r="AG36" i="65"/>
  <c r="AP38" i="63" a="1"/>
  <c r="AP38" i="63" s="1"/>
  <c r="B40" i="65" s="1"/>
  <c r="AV37" i="65"/>
  <c r="AF37" i="65"/>
  <c r="AE37" i="65"/>
  <c r="R37" i="65"/>
  <c r="S37" i="65" s="1"/>
  <c r="Y37" i="65" s="1"/>
  <c r="O38" i="65"/>
  <c r="C38" i="65"/>
  <c r="P38" i="65" s="1"/>
  <c r="L38" i="65"/>
  <c r="M38" i="65" s="1"/>
  <c r="L39" i="65"/>
  <c r="M39" i="65" s="1"/>
  <c r="C39" i="65"/>
  <c r="P39" i="65" s="1"/>
  <c r="O39" i="65"/>
  <c r="BA40" i="65" l="1"/>
  <c r="AZ40" i="65"/>
  <c r="AY40" i="65"/>
  <c r="AS40" i="65"/>
  <c r="AX40" i="65"/>
  <c r="AM39" i="65"/>
  <c r="AM38" i="65"/>
  <c r="AT40" i="65"/>
  <c r="AU40" i="65"/>
  <c r="AC35" i="65"/>
  <c r="AD35" i="65" s="1"/>
  <c r="AC36" i="65"/>
  <c r="AD36" i="65" s="1"/>
  <c r="Q39" i="65"/>
  <c r="Q38" i="65"/>
  <c r="AB37" i="65"/>
  <c r="D38" i="65"/>
  <c r="E38" i="65" s="1"/>
  <c r="F38" i="65" s="1"/>
  <c r="G38" i="65" s="1"/>
  <c r="H38" i="65" s="1"/>
  <c r="I38" i="65" s="1"/>
  <c r="J38" i="65" s="1"/>
  <c r="K38" i="65" s="1"/>
  <c r="AG37" i="65"/>
  <c r="AP39" i="63" a="1"/>
  <c r="AP39" i="63" s="1"/>
  <c r="B41" i="65" s="1"/>
  <c r="D39" i="65"/>
  <c r="E39" i="65" s="1"/>
  <c r="F39" i="65" s="1"/>
  <c r="G39" i="65" s="1"/>
  <c r="H39" i="65" s="1"/>
  <c r="I39" i="65" s="1"/>
  <c r="J39" i="65" s="1"/>
  <c r="K39" i="65" s="1"/>
  <c r="L40" i="65"/>
  <c r="M40" i="65" s="1"/>
  <c r="O40" i="65"/>
  <c r="C40" i="65"/>
  <c r="P40" i="65" s="1"/>
  <c r="BA41" i="65" l="1"/>
  <c r="AZ41" i="65"/>
  <c r="AY41" i="65"/>
  <c r="AS41" i="65"/>
  <c r="AX41" i="65"/>
  <c r="AM40" i="65"/>
  <c r="AU41" i="65"/>
  <c r="AT41" i="65"/>
  <c r="U39" i="65"/>
  <c r="AH39" i="65"/>
  <c r="U38" i="65"/>
  <c r="AH38" i="65"/>
  <c r="AC37" i="65"/>
  <c r="AD37" i="65" s="1"/>
  <c r="Q40" i="65"/>
  <c r="AE38" i="65"/>
  <c r="R38" i="65"/>
  <c r="S38" i="65" s="1"/>
  <c r="AF38" i="65"/>
  <c r="AV38" i="65"/>
  <c r="O41" i="65"/>
  <c r="C41" i="65"/>
  <c r="P41" i="65" s="1"/>
  <c r="L41" i="65"/>
  <c r="M41" i="65" s="1"/>
  <c r="D40" i="65"/>
  <c r="E40" i="65" s="1"/>
  <c r="F40" i="65" s="1"/>
  <c r="G40" i="65" s="1"/>
  <c r="H40" i="65" s="1"/>
  <c r="I40" i="65" s="1"/>
  <c r="J40" i="65" s="1"/>
  <c r="K40" i="65" s="1"/>
  <c r="AF39" i="65"/>
  <c r="AE39" i="65"/>
  <c r="AV39" i="65"/>
  <c r="R39" i="65"/>
  <c r="S39" i="65" s="1"/>
  <c r="Y39" i="65" s="1"/>
  <c r="AP40" i="63" a="1"/>
  <c r="AP40" i="63" s="1"/>
  <c r="B42" i="65" s="1"/>
  <c r="AY42" i="65" l="1"/>
  <c r="BA42" i="65"/>
  <c r="AZ42" i="65"/>
  <c r="AS42" i="65"/>
  <c r="AX42" i="65"/>
  <c r="AM41" i="65"/>
  <c r="AU42" i="65"/>
  <c r="AT42" i="65"/>
  <c r="AF40" i="65"/>
  <c r="AH40" i="65"/>
  <c r="U40" i="65"/>
  <c r="R40" i="65"/>
  <c r="S40" i="65" s="1"/>
  <c r="Y40" i="65" s="1"/>
  <c r="AV40" i="65"/>
  <c r="Q41" i="65"/>
  <c r="AE40" i="65"/>
  <c r="AB39" i="65"/>
  <c r="Y38" i="65"/>
  <c r="AB38" i="65" s="1"/>
  <c r="L42" i="65"/>
  <c r="M42" i="65" s="1"/>
  <c r="C42" i="65"/>
  <c r="P42" i="65" s="1"/>
  <c r="O42" i="65"/>
  <c r="AG39" i="65"/>
  <c r="D41" i="65"/>
  <c r="E41" i="65" s="1"/>
  <c r="F41" i="65" s="1"/>
  <c r="G41" i="65" s="1"/>
  <c r="H41" i="65" s="1"/>
  <c r="I41" i="65" s="1"/>
  <c r="J41" i="65" s="1"/>
  <c r="K41" i="65" s="1"/>
  <c r="AP41" i="63" a="1"/>
  <c r="AP41" i="63" s="1"/>
  <c r="B43" i="65" s="1"/>
  <c r="AZ43" i="65" l="1"/>
  <c r="BA43" i="65"/>
  <c r="AY43" i="65"/>
  <c r="AS43" i="65"/>
  <c r="AX43" i="65"/>
  <c r="AM42" i="65"/>
  <c r="AU43" i="65"/>
  <c r="AT43" i="65"/>
  <c r="U41" i="65"/>
  <c r="AH41" i="65"/>
  <c r="AC38" i="65"/>
  <c r="AD38" i="65" s="1"/>
  <c r="AC39" i="65"/>
  <c r="AD39" i="65" s="1"/>
  <c r="Q42" i="65"/>
  <c r="AG38" i="65"/>
  <c r="L43" i="65"/>
  <c r="M43" i="65" s="1"/>
  <c r="C43" i="65"/>
  <c r="P43" i="65" s="1"/>
  <c r="O43" i="65"/>
  <c r="AG40" i="65"/>
  <c r="AB40" i="65"/>
  <c r="AC40" i="65" s="1"/>
  <c r="R41" i="65"/>
  <c r="S41" i="65" s="1"/>
  <c r="AE41" i="65"/>
  <c r="AF41" i="65"/>
  <c r="AV41" i="65"/>
  <c r="D42" i="65"/>
  <c r="E42" i="65" s="1"/>
  <c r="F42" i="65" s="1"/>
  <c r="G42" i="65" s="1"/>
  <c r="H42" i="65" s="1"/>
  <c r="I42" i="65" s="1"/>
  <c r="J42" i="65" s="1"/>
  <c r="K42" i="65" s="1"/>
  <c r="AP42" i="63" a="1"/>
  <c r="AP42" i="63" s="1"/>
  <c r="B44" i="65" s="1"/>
  <c r="BA44" i="65" l="1"/>
  <c r="AZ44" i="65"/>
  <c r="AY44" i="65"/>
  <c r="AS44" i="65"/>
  <c r="AX44" i="65"/>
  <c r="AM43" i="65"/>
  <c r="AT44" i="65"/>
  <c r="AU44" i="65"/>
  <c r="U42" i="65"/>
  <c r="AH42" i="65"/>
  <c r="Q43" i="65"/>
  <c r="Y41" i="65"/>
  <c r="AB41" i="65" s="1"/>
  <c r="AD40" i="65"/>
  <c r="L44" i="65"/>
  <c r="M44" i="65" s="1"/>
  <c r="O44" i="65"/>
  <c r="C44" i="65"/>
  <c r="P44" i="65" s="1"/>
  <c r="AE42" i="65"/>
  <c r="AF42" i="65"/>
  <c r="AV42" i="65"/>
  <c r="R42" i="65"/>
  <c r="S42" i="65" s="1"/>
  <c r="AP43" i="63" a="1"/>
  <c r="AP43" i="63" s="1"/>
  <c r="B45" i="65" s="1"/>
  <c r="D43" i="65"/>
  <c r="E43" i="65" s="1"/>
  <c r="F43" i="65" s="1"/>
  <c r="G43" i="65" s="1"/>
  <c r="H43" i="65" s="1"/>
  <c r="I43" i="65" s="1"/>
  <c r="J43" i="65" s="1"/>
  <c r="K43" i="65" s="1"/>
  <c r="AY45" i="65" l="1"/>
  <c r="BA45" i="65"/>
  <c r="AZ45" i="65"/>
  <c r="AS45" i="65"/>
  <c r="AX45" i="65"/>
  <c r="AM44" i="65"/>
  <c r="AU45" i="65"/>
  <c r="AT45" i="65"/>
  <c r="U43" i="65"/>
  <c r="AH43" i="65"/>
  <c r="AC41" i="65"/>
  <c r="AD41" i="65" s="1"/>
  <c r="Q44" i="65"/>
  <c r="AG41" i="65"/>
  <c r="Y42" i="65"/>
  <c r="AB42" i="65" s="1"/>
  <c r="C45" i="65"/>
  <c r="P45" i="65" s="1"/>
  <c r="O45" i="65"/>
  <c r="L45" i="65"/>
  <c r="M45" i="65" s="1"/>
  <c r="AP44" i="63" a="1"/>
  <c r="AP44" i="63" s="1"/>
  <c r="B46" i="65" s="1"/>
  <c r="D44" i="65"/>
  <c r="E44" i="65" s="1"/>
  <c r="F44" i="65" s="1"/>
  <c r="G44" i="65" s="1"/>
  <c r="H44" i="65" s="1"/>
  <c r="I44" i="65" s="1"/>
  <c r="J44" i="65" s="1"/>
  <c r="K44" i="65" s="1"/>
  <c r="AV43" i="65"/>
  <c r="AF43" i="65"/>
  <c r="R43" i="65"/>
  <c r="S43" i="65" s="1"/>
  <c r="Y43" i="65" s="1"/>
  <c r="AE43" i="65"/>
  <c r="BA46" i="65" l="1"/>
  <c r="AZ46" i="65"/>
  <c r="AY46" i="65"/>
  <c r="AS46" i="65"/>
  <c r="AX46" i="65"/>
  <c r="AM45" i="65"/>
  <c r="AU46" i="65"/>
  <c r="AT46" i="65"/>
  <c r="U44" i="65"/>
  <c r="AH44" i="65"/>
  <c r="AC42" i="65"/>
  <c r="AD42" i="65" s="1"/>
  <c r="Q45" i="65"/>
  <c r="AG42" i="65"/>
  <c r="AB43" i="65"/>
  <c r="AG43" i="65"/>
  <c r="AP45" i="63" a="1"/>
  <c r="AP45" i="63" s="1"/>
  <c r="B47" i="65" s="1"/>
  <c r="AF44" i="65"/>
  <c r="R44" i="65"/>
  <c r="S44" i="65" s="1"/>
  <c r="AV44" i="65"/>
  <c r="AE44" i="65"/>
  <c r="O46" i="65"/>
  <c r="C46" i="65"/>
  <c r="P46" i="65" s="1"/>
  <c r="L46" i="65"/>
  <c r="M46" i="65" s="1"/>
  <c r="D45" i="65"/>
  <c r="E45" i="65" s="1"/>
  <c r="F45" i="65" s="1"/>
  <c r="G45" i="65" s="1"/>
  <c r="H45" i="65" s="1"/>
  <c r="I45" i="65" s="1"/>
  <c r="J45" i="65" s="1"/>
  <c r="K45" i="65" s="1"/>
  <c r="AZ47" i="65" l="1"/>
  <c r="AY47" i="65"/>
  <c r="BA47" i="65"/>
  <c r="AS47" i="65"/>
  <c r="AX47" i="65"/>
  <c r="AM46" i="65"/>
  <c r="AU47" i="65"/>
  <c r="AT47" i="65"/>
  <c r="U45" i="65"/>
  <c r="AH45" i="65"/>
  <c r="AC43" i="65"/>
  <c r="AD43" i="65" s="1"/>
  <c r="Q46" i="65"/>
  <c r="Y44" i="65"/>
  <c r="AB44" i="65" s="1"/>
  <c r="AP46" i="63" a="1"/>
  <c r="AP46" i="63" s="1"/>
  <c r="B48" i="65" s="1"/>
  <c r="L47" i="65"/>
  <c r="M47" i="65" s="1"/>
  <c r="C47" i="65"/>
  <c r="P47" i="65" s="1"/>
  <c r="O47" i="65"/>
  <c r="R45" i="65"/>
  <c r="S45" i="65" s="1"/>
  <c r="AV45" i="65"/>
  <c r="AE45" i="65"/>
  <c r="AF45" i="65"/>
  <c r="D46" i="65"/>
  <c r="E46" i="65" s="1"/>
  <c r="F46" i="65" s="1"/>
  <c r="G46" i="65" s="1"/>
  <c r="H46" i="65" s="1"/>
  <c r="I46" i="65" s="1"/>
  <c r="J46" i="65" s="1"/>
  <c r="K46" i="65" s="1"/>
  <c r="AZ48" i="65" l="1"/>
  <c r="BA48" i="65"/>
  <c r="AY48" i="65"/>
  <c r="AS48" i="65"/>
  <c r="AX48" i="65"/>
  <c r="AM47" i="65"/>
  <c r="AT48" i="65"/>
  <c r="AU48" i="65"/>
  <c r="U46" i="65"/>
  <c r="AH46" i="65"/>
  <c r="AC44" i="65"/>
  <c r="AD44" i="65" s="1"/>
  <c r="Q47" i="65"/>
  <c r="Y45" i="65"/>
  <c r="AB45" i="65" s="1"/>
  <c r="AG44" i="65"/>
  <c r="R46" i="65"/>
  <c r="S46" i="65" s="1"/>
  <c r="AF46" i="65"/>
  <c r="AE46" i="65"/>
  <c r="AV46" i="65"/>
  <c r="D47" i="65"/>
  <c r="E47" i="65" s="1"/>
  <c r="F47" i="65" s="1"/>
  <c r="G47" i="65" s="1"/>
  <c r="H47" i="65" s="1"/>
  <c r="I47" i="65" s="1"/>
  <c r="J47" i="65" s="1"/>
  <c r="K47" i="65" s="1"/>
  <c r="AP47" i="63" a="1"/>
  <c r="AP47" i="63" s="1"/>
  <c r="B49" i="65" s="1"/>
  <c r="L48" i="65"/>
  <c r="M48" i="65" s="1"/>
  <c r="O48" i="65"/>
  <c r="C48" i="65"/>
  <c r="P48" i="65" s="1"/>
  <c r="BA49" i="65" l="1"/>
  <c r="AZ49" i="65"/>
  <c r="AY49" i="65"/>
  <c r="AS49" i="65"/>
  <c r="AX49" i="65"/>
  <c r="AM48" i="65"/>
  <c r="AU49" i="65"/>
  <c r="AT49" i="65"/>
  <c r="U47" i="65"/>
  <c r="AH47" i="65"/>
  <c r="AC45" i="65"/>
  <c r="AD45" i="65" s="1"/>
  <c r="AG45" i="65"/>
  <c r="Q48" i="65"/>
  <c r="Y46" i="65"/>
  <c r="AG46" i="65" s="1"/>
  <c r="AP48" i="63" a="1"/>
  <c r="AP48" i="63" s="1"/>
  <c r="B50" i="65" s="1"/>
  <c r="O49" i="65"/>
  <c r="L49" i="65"/>
  <c r="M49" i="65" s="1"/>
  <c r="C49" i="65"/>
  <c r="P49" i="65" s="1"/>
  <c r="AV47" i="65"/>
  <c r="R47" i="65"/>
  <c r="S47" i="65" s="1"/>
  <c r="AE47" i="65"/>
  <c r="AF47" i="65"/>
  <c r="D48" i="65"/>
  <c r="E48" i="65" s="1"/>
  <c r="F48" i="65" s="1"/>
  <c r="G48" i="65" s="1"/>
  <c r="H48" i="65" s="1"/>
  <c r="I48" i="65" s="1"/>
  <c r="J48" i="65" s="1"/>
  <c r="K48" i="65" s="1"/>
  <c r="BA50" i="65" l="1"/>
  <c r="AY50" i="65"/>
  <c r="AZ50" i="65"/>
  <c r="AS50" i="65"/>
  <c r="AX50" i="65"/>
  <c r="AM49" i="65"/>
  <c r="AU50" i="65"/>
  <c r="AT50" i="65"/>
  <c r="U48" i="65"/>
  <c r="AH48" i="65"/>
  <c r="Q49" i="65"/>
  <c r="AB46" i="65"/>
  <c r="Y47" i="65"/>
  <c r="AG47" i="65" s="1"/>
  <c r="AV48" i="65"/>
  <c r="AE48" i="65"/>
  <c r="AF48" i="65"/>
  <c r="R48" i="65"/>
  <c r="S48" i="65" s="1"/>
  <c r="D49" i="65"/>
  <c r="E49" i="65" s="1"/>
  <c r="F49" i="65" s="1"/>
  <c r="G49" i="65" s="1"/>
  <c r="H49" i="65" s="1"/>
  <c r="I49" i="65" s="1"/>
  <c r="J49" i="65" s="1"/>
  <c r="K49" i="65" s="1"/>
  <c r="AP49" i="63" a="1"/>
  <c r="AP49" i="63" s="1"/>
  <c r="B51" i="65" s="1"/>
  <c r="L50" i="65"/>
  <c r="M50" i="65" s="1"/>
  <c r="C50" i="65"/>
  <c r="P50" i="65" s="1"/>
  <c r="O50" i="65"/>
  <c r="BA51" i="65" l="1"/>
  <c r="AY51" i="65"/>
  <c r="AZ51" i="65"/>
  <c r="AS51" i="65"/>
  <c r="AX51" i="65"/>
  <c r="AM50" i="65"/>
  <c r="AU51" i="65"/>
  <c r="AT51" i="65"/>
  <c r="U49" i="65"/>
  <c r="AH49" i="65"/>
  <c r="AC46" i="65"/>
  <c r="AD46" i="65" s="1"/>
  <c r="Q50" i="65"/>
  <c r="AB47" i="65"/>
  <c r="Y48" i="65"/>
  <c r="AB48" i="65" s="1"/>
  <c r="D50" i="65"/>
  <c r="E50" i="65" s="1"/>
  <c r="F50" i="65" s="1"/>
  <c r="G50" i="65" s="1"/>
  <c r="H50" i="65" s="1"/>
  <c r="I50" i="65" s="1"/>
  <c r="J50" i="65" s="1"/>
  <c r="K50" i="65" s="1"/>
  <c r="L51" i="65"/>
  <c r="M51" i="65" s="1"/>
  <c r="O51" i="65"/>
  <c r="C51" i="65"/>
  <c r="P51" i="65" s="1"/>
  <c r="AP50" i="63" a="1"/>
  <c r="AP50" i="63" s="1"/>
  <c r="B52" i="65" s="1"/>
  <c r="AF49" i="65"/>
  <c r="R49" i="65"/>
  <c r="S49" i="65" s="1"/>
  <c r="Y49" i="65" s="1"/>
  <c r="AV49" i="65"/>
  <c r="AE49" i="65"/>
  <c r="AZ52" i="65" l="1"/>
  <c r="AY52" i="65"/>
  <c r="BA52" i="65"/>
  <c r="AS52" i="65"/>
  <c r="AX52" i="65"/>
  <c r="AM51" i="65"/>
  <c r="AT52" i="65"/>
  <c r="AU52" i="65"/>
  <c r="U50" i="65"/>
  <c r="AH50" i="65"/>
  <c r="AC48" i="65"/>
  <c r="AD48" i="65" s="1"/>
  <c r="AC47" i="65"/>
  <c r="AD47" i="65" s="1"/>
  <c r="AG48" i="65"/>
  <c r="AB49" i="65"/>
  <c r="Q51" i="65"/>
  <c r="AG49" i="65"/>
  <c r="D51" i="65"/>
  <c r="E51" i="65" s="1"/>
  <c r="F51" i="65" s="1"/>
  <c r="G51" i="65" s="1"/>
  <c r="H51" i="65" s="1"/>
  <c r="I51" i="65" s="1"/>
  <c r="J51" i="65" s="1"/>
  <c r="K51" i="65" s="1"/>
  <c r="AP51" i="63" a="1"/>
  <c r="AP51" i="63" s="1"/>
  <c r="B53" i="65" s="1"/>
  <c r="AF50" i="65"/>
  <c r="AE50" i="65"/>
  <c r="R50" i="65"/>
  <c r="S50" i="65" s="1"/>
  <c r="Y50" i="65" s="1"/>
  <c r="AV50" i="65"/>
  <c r="L52" i="65"/>
  <c r="M52" i="65" s="1"/>
  <c r="C52" i="65"/>
  <c r="P52" i="65" s="1"/>
  <c r="O52" i="65"/>
  <c r="BA53" i="65" l="1"/>
  <c r="AY53" i="65"/>
  <c r="AZ53" i="65"/>
  <c r="AS53" i="65"/>
  <c r="AX53" i="65"/>
  <c r="AM52" i="65"/>
  <c r="AU53" i="65"/>
  <c r="AT53" i="65"/>
  <c r="AH51" i="65"/>
  <c r="AC49" i="65"/>
  <c r="AD49" i="65" s="1"/>
  <c r="Q52" i="65"/>
  <c r="AB50" i="65"/>
  <c r="AV51" i="65"/>
  <c r="AE51" i="65"/>
  <c r="U51" i="65"/>
  <c r="R51" i="65"/>
  <c r="S51" i="65" s="1"/>
  <c r="Y51" i="65" s="1"/>
  <c r="L53" i="65"/>
  <c r="M53" i="65" s="1"/>
  <c r="C53" i="65"/>
  <c r="P53" i="65" s="1"/>
  <c r="O53" i="65"/>
  <c r="AP52" i="63" a="1"/>
  <c r="AP52" i="63" s="1"/>
  <c r="B54" i="65" s="1"/>
  <c r="AG50" i="65"/>
  <c r="D52" i="65"/>
  <c r="E52" i="65" s="1"/>
  <c r="F52" i="65" s="1"/>
  <c r="G52" i="65" s="1"/>
  <c r="H52" i="65" s="1"/>
  <c r="I52" i="65" s="1"/>
  <c r="J52" i="65" s="1"/>
  <c r="K52" i="65" s="1"/>
  <c r="BA54" i="65" l="1"/>
  <c r="AZ54" i="65"/>
  <c r="AY54" i="65"/>
  <c r="AS54" i="65"/>
  <c r="AX54" i="65"/>
  <c r="AM53" i="65"/>
  <c r="AU54" i="65"/>
  <c r="AT54" i="65"/>
  <c r="U52" i="65"/>
  <c r="AH52" i="65"/>
  <c r="AC50" i="65"/>
  <c r="AD50" i="65" s="1"/>
  <c r="Q53" i="65"/>
  <c r="AB51" i="65"/>
  <c r="AF51" i="65"/>
  <c r="AG51" i="65" s="1"/>
  <c r="C54" i="65"/>
  <c r="P54" i="65" s="1"/>
  <c r="L54" i="65"/>
  <c r="M54" i="65" s="1"/>
  <c r="O54" i="65"/>
  <c r="D53" i="65"/>
  <c r="E53" i="65" s="1"/>
  <c r="F53" i="65" s="1"/>
  <c r="G53" i="65" s="1"/>
  <c r="H53" i="65" s="1"/>
  <c r="I53" i="65" s="1"/>
  <c r="J53" i="65" s="1"/>
  <c r="K53" i="65" s="1"/>
  <c r="AP53" i="63" a="1"/>
  <c r="AP53" i="63" s="1"/>
  <c r="B55" i="65" s="1"/>
  <c r="AF52" i="65"/>
  <c r="AV52" i="65"/>
  <c r="AE52" i="65"/>
  <c r="R52" i="65"/>
  <c r="S52" i="65" s="1"/>
  <c r="BA55" i="65" l="1"/>
  <c r="AY55" i="65"/>
  <c r="AZ55" i="65"/>
  <c r="AS55" i="65"/>
  <c r="AX55" i="65"/>
  <c r="AM54" i="65"/>
  <c r="AU55" i="65"/>
  <c r="AT55" i="65"/>
  <c r="U53" i="65"/>
  <c r="AH53" i="65"/>
  <c r="AC51" i="65"/>
  <c r="AD51" i="65" s="1"/>
  <c r="Q54" i="65"/>
  <c r="Y52" i="65"/>
  <c r="AB52" i="65" s="1"/>
  <c r="L55" i="65"/>
  <c r="M55" i="65" s="1"/>
  <c r="O55" i="65"/>
  <c r="C55" i="65"/>
  <c r="P55" i="65" s="1"/>
  <c r="AE53" i="65"/>
  <c r="AV53" i="65"/>
  <c r="AF53" i="65"/>
  <c r="R53" i="65"/>
  <c r="S53" i="65" s="1"/>
  <c r="D54" i="65"/>
  <c r="E54" i="65" s="1"/>
  <c r="F54" i="65" s="1"/>
  <c r="G54" i="65" s="1"/>
  <c r="H54" i="65" s="1"/>
  <c r="I54" i="65" s="1"/>
  <c r="J54" i="65" s="1"/>
  <c r="K54" i="65" s="1"/>
  <c r="AP54" i="63" a="1"/>
  <c r="AP54" i="63" s="1"/>
  <c r="B56" i="65" s="1"/>
  <c r="AZ56" i="65" l="1"/>
  <c r="BA56" i="65"/>
  <c r="AY56" i="65"/>
  <c r="AS56" i="65"/>
  <c r="AX56" i="65"/>
  <c r="AM55" i="65"/>
  <c r="AT56" i="65"/>
  <c r="AU56" i="65"/>
  <c r="U54" i="65"/>
  <c r="AH54" i="65"/>
  <c r="AC52" i="65"/>
  <c r="AD52" i="65" s="1"/>
  <c r="Q55" i="65"/>
  <c r="AG52" i="65"/>
  <c r="Y53" i="65"/>
  <c r="AG53" i="65" s="1"/>
  <c r="D55" i="65"/>
  <c r="E55" i="65" s="1"/>
  <c r="F55" i="65" s="1"/>
  <c r="G55" i="65" s="1"/>
  <c r="H55" i="65" s="1"/>
  <c r="I55" i="65" s="1"/>
  <c r="J55" i="65" s="1"/>
  <c r="K55" i="65" s="1"/>
  <c r="C56" i="65"/>
  <c r="P56" i="65" s="1"/>
  <c r="O56" i="65"/>
  <c r="L56" i="65"/>
  <c r="M56" i="65" s="1"/>
  <c r="R54" i="65"/>
  <c r="S54" i="65" s="1"/>
  <c r="AV54" i="65"/>
  <c r="AF54" i="65"/>
  <c r="AE54" i="65"/>
  <c r="AP55" i="63" a="1"/>
  <c r="AP55" i="63" s="1"/>
  <c r="B57" i="65" s="1"/>
  <c r="AZ57" i="65" l="1"/>
  <c r="BA57" i="65"/>
  <c r="AY57" i="65"/>
  <c r="AS57" i="65"/>
  <c r="AX57" i="65"/>
  <c r="AM56" i="65"/>
  <c r="AU57" i="65"/>
  <c r="AT57" i="65"/>
  <c r="U55" i="65"/>
  <c r="AH55" i="65"/>
  <c r="Q56" i="65"/>
  <c r="AB53" i="65"/>
  <c r="Y54" i="65"/>
  <c r="AG54" i="65" s="1"/>
  <c r="L57" i="65"/>
  <c r="M57" i="65" s="1"/>
  <c r="C57" i="65"/>
  <c r="P57" i="65" s="1"/>
  <c r="O57" i="65"/>
  <c r="AF55" i="65"/>
  <c r="AV55" i="65"/>
  <c r="R55" i="65"/>
  <c r="S55" i="65" s="1"/>
  <c r="Y55" i="65" s="1"/>
  <c r="AE55" i="65"/>
  <c r="D56" i="65"/>
  <c r="E56" i="65" s="1"/>
  <c r="F56" i="65" s="1"/>
  <c r="G56" i="65" s="1"/>
  <c r="H56" i="65" s="1"/>
  <c r="I56" i="65" s="1"/>
  <c r="J56" i="65" s="1"/>
  <c r="K56" i="65" s="1"/>
  <c r="AP56" i="63" a="1"/>
  <c r="AP56" i="63" s="1"/>
  <c r="B58" i="65" s="1"/>
  <c r="BA58" i="65" l="1"/>
  <c r="AY58" i="65"/>
  <c r="AZ58" i="65"/>
  <c r="AS58" i="65"/>
  <c r="AX58" i="65"/>
  <c r="AM57" i="65"/>
  <c r="AU58" i="65"/>
  <c r="AT58" i="65"/>
  <c r="U56" i="65"/>
  <c r="AH56" i="65"/>
  <c r="AC53" i="65"/>
  <c r="AD53" i="65" s="1"/>
  <c r="Q57" i="65"/>
  <c r="AB54" i="65"/>
  <c r="AB55" i="65"/>
  <c r="L58" i="65"/>
  <c r="M58" i="65" s="1"/>
  <c r="C58" i="65"/>
  <c r="P58" i="65" s="1"/>
  <c r="O58" i="65"/>
  <c r="AG55" i="65"/>
  <c r="D57" i="65"/>
  <c r="E57" i="65" s="1"/>
  <c r="F57" i="65" s="1"/>
  <c r="G57" i="65" s="1"/>
  <c r="H57" i="65" s="1"/>
  <c r="I57" i="65" s="1"/>
  <c r="J57" i="65" s="1"/>
  <c r="K57" i="65" s="1"/>
  <c r="R56" i="65"/>
  <c r="S56" i="65" s="1"/>
  <c r="AF56" i="65"/>
  <c r="AE56" i="65"/>
  <c r="AV56" i="65"/>
  <c r="AP57" i="63" a="1"/>
  <c r="AP57" i="63" s="1"/>
  <c r="B59" i="65" s="1"/>
  <c r="BA59" i="65" l="1"/>
  <c r="AZ59" i="65"/>
  <c r="AY59" i="65"/>
  <c r="AS59" i="65"/>
  <c r="AX59" i="65"/>
  <c r="AM58" i="65"/>
  <c r="AU59" i="65"/>
  <c r="AT59" i="65"/>
  <c r="U57" i="65"/>
  <c r="AH57" i="65"/>
  <c r="AC55" i="65"/>
  <c r="AD55" i="65" s="1"/>
  <c r="AC54" i="65"/>
  <c r="AD54" i="65" s="1"/>
  <c r="Q58" i="65"/>
  <c r="Y56" i="65"/>
  <c r="AB56" i="65" s="1"/>
  <c r="C59" i="65"/>
  <c r="P59" i="65" s="1"/>
  <c r="O59" i="65"/>
  <c r="L59" i="65"/>
  <c r="M59" i="65" s="1"/>
  <c r="R57" i="65"/>
  <c r="S57" i="65" s="1"/>
  <c r="AF57" i="65"/>
  <c r="AV57" i="65"/>
  <c r="AE57" i="65"/>
  <c r="D58" i="65"/>
  <c r="E58" i="65" s="1"/>
  <c r="F58" i="65" s="1"/>
  <c r="G58" i="65" s="1"/>
  <c r="H58" i="65" s="1"/>
  <c r="I58" i="65" s="1"/>
  <c r="J58" i="65" s="1"/>
  <c r="K58" i="65" s="1"/>
  <c r="AP58" i="63" a="1"/>
  <c r="AP58" i="63" s="1"/>
  <c r="B60" i="65" s="1"/>
  <c r="AZ60" i="65" l="1"/>
  <c r="AY60" i="65"/>
  <c r="BA60" i="65"/>
  <c r="AS60" i="65"/>
  <c r="AX60" i="65"/>
  <c r="AM59" i="65"/>
  <c r="AT60" i="65"/>
  <c r="AU60" i="65"/>
  <c r="U58" i="65"/>
  <c r="AH58" i="65"/>
  <c r="AC56" i="65"/>
  <c r="AD56" i="65" s="1"/>
  <c r="Q59" i="65"/>
  <c r="Y57" i="65"/>
  <c r="AB57" i="65" s="1"/>
  <c r="AG56" i="65"/>
  <c r="AP59" i="63" a="1"/>
  <c r="AP59" i="63" s="1"/>
  <c r="B61" i="65" s="1"/>
  <c r="D59" i="65"/>
  <c r="E59" i="65" s="1"/>
  <c r="F59" i="65" s="1"/>
  <c r="G59" i="65" s="1"/>
  <c r="H59" i="65" s="1"/>
  <c r="I59" i="65" s="1"/>
  <c r="J59" i="65" s="1"/>
  <c r="K59" i="65" s="1"/>
  <c r="L60" i="65"/>
  <c r="M60" i="65" s="1"/>
  <c r="C60" i="65"/>
  <c r="P60" i="65" s="1"/>
  <c r="O60" i="65"/>
  <c r="AV58" i="65"/>
  <c r="AE58" i="65"/>
  <c r="AF58" i="65"/>
  <c r="R58" i="65"/>
  <c r="S58" i="65" s="1"/>
  <c r="AZ61" i="65" l="1"/>
  <c r="AY61" i="65"/>
  <c r="BA61" i="65"/>
  <c r="AS61" i="65"/>
  <c r="AX61" i="65"/>
  <c r="AM60" i="65"/>
  <c r="AU61" i="65"/>
  <c r="AT61" i="65"/>
  <c r="U59" i="65"/>
  <c r="AH59" i="65"/>
  <c r="AC57" i="65"/>
  <c r="AD57" i="65" s="1"/>
  <c r="Q60" i="65"/>
  <c r="AG57" i="65"/>
  <c r="Y58" i="65"/>
  <c r="AB58" i="65" s="1"/>
  <c r="R59" i="65"/>
  <c r="S59" i="65" s="1"/>
  <c r="Y59" i="65" s="1"/>
  <c r="AV59" i="65"/>
  <c r="AE59" i="65"/>
  <c r="AF59" i="65"/>
  <c r="D60" i="65"/>
  <c r="E60" i="65" s="1"/>
  <c r="F60" i="65" s="1"/>
  <c r="G60" i="65" s="1"/>
  <c r="H60" i="65" s="1"/>
  <c r="I60" i="65" s="1"/>
  <c r="J60" i="65" s="1"/>
  <c r="K60" i="65" s="1"/>
  <c r="AP60" i="63" a="1"/>
  <c r="AP60" i="63" s="1"/>
  <c r="B62" i="65" s="1"/>
  <c r="O61" i="65"/>
  <c r="L61" i="65"/>
  <c r="M61" i="65" s="1"/>
  <c r="C61" i="65"/>
  <c r="P61" i="65" s="1"/>
  <c r="BA62" i="65" l="1"/>
  <c r="AZ62" i="65"/>
  <c r="AY62" i="65"/>
  <c r="AS62" i="65"/>
  <c r="AX62" i="65"/>
  <c r="AM61" i="65"/>
  <c r="AU62" i="65"/>
  <c r="AT62" i="65"/>
  <c r="U60" i="65"/>
  <c r="AH60" i="65"/>
  <c r="AC58" i="65"/>
  <c r="AD58" i="65" s="1"/>
  <c r="Q61" i="65"/>
  <c r="AG58" i="65"/>
  <c r="AB59" i="65"/>
  <c r="D61" i="65"/>
  <c r="E61" i="65" s="1"/>
  <c r="F61" i="65" s="1"/>
  <c r="G61" i="65" s="1"/>
  <c r="H61" i="65" s="1"/>
  <c r="I61" i="65" s="1"/>
  <c r="J61" i="65" s="1"/>
  <c r="K61" i="65" s="1"/>
  <c r="L62" i="65"/>
  <c r="M62" i="65" s="1"/>
  <c r="O62" i="65"/>
  <c r="C62" i="65"/>
  <c r="P62" i="65" s="1"/>
  <c r="AV60" i="65"/>
  <c r="AE60" i="65"/>
  <c r="AF60" i="65"/>
  <c r="R60" i="65"/>
  <c r="S60" i="65" s="1"/>
  <c r="AG59" i="65"/>
  <c r="AP61" i="63" a="1"/>
  <c r="AP61" i="63" s="1"/>
  <c r="B63" i="65" s="1"/>
  <c r="BA63" i="65" l="1"/>
  <c r="AY63" i="65"/>
  <c r="AZ63" i="65"/>
  <c r="AS63" i="65"/>
  <c r="AX63" i="65"/>
  <c r="AM62" i="65"/>
  <c r="AU63" i="65"/>
  <c r="AT63" i="65"/>
  <c r="U61" i="65"/>
  <c r="AH61" i="65"/>
  <c r="AC59" i="65"/>
  <c r="AD59" i="65" s="1"/>
  <c r="Q62" i="65"/>
  <c r="Y60" i="65"/>
  <c r="AB60" i="65" s="1"/>
  <c r="O63" i="65"/>
  <c r="L63" i="65"/>
  <c r="M63" i="65" s="1"/>
  <c r="C63" i="65"/>
  <c r="P63" i="65" s="1"/>
  <c r="D62" i="65"/>
  <c r="E62" i="65" s="1"/>
  <c r="F62" i="65" s="1"/>
  <c r="G62" i="65" s="1"/>
  <c r="H62" i="65" s="1"/>
  <c r="I62" i="65" s="1"/>
  <c r="J62" i="65" s="1"/>
  <c r="K62" i="65" s="1"/>
  <c r="AP62" i="63" a="1"/>
  <c r="AP62" i="63" s="1"/>
  <c r="B64" i="65" s="1"/>
  <c r="AF61" i="65"/>
  <c r="R61" i="65"/>
  <c r="S61" i="65" s="1"/>
  <c r="AE61" i="65"/>
  <c r="AV61" i="65"/>
  <c r="AZ64" i="65" l="1"/>
  <c r="BA64" i="65"/>
  <c r="AY64" i="65"/>
  <c r="AS64" i="65"/>
  <c r="AX64" i="65"/>
  <c r="AM63" i="65"/>
  <c r="AT64" i="65"/>
  <c r="AU64" i="65"/>
  <c r="U62" i="65"/>
  <c r="AH62" i="65"/>
  <c r="AC60" i="65"/>
  <c r="AD60" i="65" s="1"/>
  <c r="Q63" i="65"/>
  <c r="AG60" i="65"/>
  <c r="Y61" i="65"/>
  <c r="AB61" i="65" s="1"/>
  <c r="AP63" i="63" a="1"/>
  <c r="AP63" i="63" s="1"/>
  <c r="B65" i="65" s="1"/>
  <c r="AF62" i="65"/>
  <c r="R62" i="65"/>
  <c r="S62" i="65" s="1"/>
  <c r="Y62" i="65" s="1"/>
  <c r="AV62" i="65"/>
  <c r="AE62" i="65"/>
  <c r="D63" i="65"/>
  <c r="E63" i="65" s="1"/>
  <c r="F63" i="65" s="1"/>
  <c r="G63" i="65" s="1"/>
  <c r="H63" i="65" s="1"/>
  <c r="I63" i="65" s="1"/>
  <c r="J63" i="65" s="1"/>
  <c r="K63" i="65" s="1"/>
  <c r="C64" i="65"/>
  <c r="P64" i="65" s="1"/>
  <c r="O64" i="65"/>
  <c r="L64" i="65"/>
  <c r="M64" i="65" s="1"/>
  <c r="BA65" i="65" l="1"/>
  <c r="AZ65" i="65"/>
  <c r="AY65" i="65"/>
  <c r="AS65" i="65"/>
  <c r="AX65" i="65"/>
  <c r="AM64" i="65"/>
  <c r="AU65" i="65"/>
  <c r="AT65" i="65"/>
  <c r="U63" i="65"/>
  <c r="AH63" i="65"/>
  <c r="AC61" i="65"/>
  <c r="AD61" i="65" s="1"/>
  <c r="Q64" i="65"/>
  <c r="AB62" i="65"/>
  <c r="AG61" i="65"/>
  <c r="D64" i="65"/>
  <c r="E64" i="65" s="1"/>
  <c r="F64" i="65" s="1"/>
  <c r="G64" i="65" s="1"/>
  <c r="H64" i="65" s="1"/>
  <c r="I64" i="65" s="1"/>
  <c r="J64" i="65" s="1"/>
  <c r="K64" i="65" s="1"/>
  <c r="AF63" i="65"/>
  <c r="R63" i="65"/>
  <c r="S63" i="65" s="1"/>
  <c r="Y63" i="65" s="1"/>
  <c r="AE63" i="65"/>
  <c r="AV63" i="65"/>
  <c r="AP64" i="63" a="1"/>
  <c r="AP64" i="63" s="1"/>
  <c r="B66" i="65" s="1"/>
  <c r="AG62" i="65"/>
  <c r="O65" i="65"/>
  <c r="L65" i="65"/>
  <c r="M65" i="65" s="1"/>
  <c r="C65" i="65"/>
  <c r="P65" i="65" s="1"/>
  <c r="AY66" i="65" l="1"/>
  <c r="BA66" i="65"/>
  <c r="AZ66" i="65"/>
  <c r="AS66" i="65"/>
  <c r="AX66" i="65"/>
  <c r="AM65" i="65"/>
  <c r="AU66" i="65"/>
  <c r="AT66" i="65"/>
  <c r="U64" i="65"/>
  <c r="AH64" i="65"/>
  <c r="AC62" i="65"/>
  <c r="AD62" i="65" s="1"/>
  <c r="Q65" i="65"/>
  <c r="AB63" i="65"/>
  <c r="C66" i="65"/>
  <c r="P66" i="65" s="1"/>
  <c r="O66" i="65"/>
  <c r="L66" i="65"/>
  <c r="M66" i="65" s="1"/>
  <c r="AV64" i="65"/>
  <c r="AF64" i="65"/>
  <c r="AE64" i="65"/>
  <c r="R64" i="65"/>
  <c r="S64" i="65" s="1"/>
  <c r="AP65" i="63" a="1"/>
  <c r="AP65" i="63" s="1"/>
  <c r="B67" i="65" s="1"/>
  <c r="AG63" i="65"/>
  <c r="D65" i="65"/>
  <c r="E65" i="65" s="1"/>
  <c r="F65" i="65" s="1"/>
  <c r="G65" i="65" s="1"/>
  <c r="H65" i="65" s="1"/>
  <c r="I65" i="65" s="1"/>
  <c r="J65" i="65" s="1"/>
  <c r="K65" i="65" s="1"/>
  <c r="BA67" i="65" l="1"/>
  <c r="AZ67" i="65"/>
  <c r="AY67" i="65"/>
  <c r="AS67" i="65"/>
  <c r="AX67" i="65"/>
  <c r="AM66" i="65"/>
  <c r="AU67" i="65"/>
  <c r="AT67" i="65"/>
  <c r="U65" i="65"/>
  <c r="AH65" i="65"/>
  <c r="AC63" i="65"/>
  <c r="AD63" i="65" s="1"/>
  <c r="Q66" i="65"/>
  <c r="Y64" i="65"/>
  <c r="AB64" i="65" s="1"/>
  <c r="O67" i="65"/>
  <c r="L67" i="65"/>
  <c r="M67" i="65" s="1"/>
  <c r="C67" i="65"/>
  <c r="P67" i="65" s="1"/>
  <c r="AP66" i="63" a="1"/>
  <c r="AP66" i="63" s="1"/>
  <c r="B68" i="65" s="1"/>
  <c r="R65" i="65"/>
  <c r="S65" i="65" s="1"/>
  <c r="AE65" i="65"/>
  <c r="AV65" i="65"/>
  <c r="AF65" i="65"/>
  <c r="D66" i="65"/>
  <c r="E66" i="65" s="1"/>
  <c r="F66" i="65" s="1"/>
  <c r="G66" i="65" s="1"/>
  <c r="H66" i="65" s="1"/>
  <c r="I66" i="65" s="1"/>
  <c r="J66" i="65" s="1"/>
  <c r="K66" i="65" s="1"/>
  <c r="BA68" i="65" l="1"/>
  <c r="AZ68" i="65"/>
  <c r="AY68" i="65"/>
  <c r="AS68" i="65"/>
  <c r="AX68" i="65"/>
  <c r="AM67" i="65"/>
  <c r="AT68" i="65"/>
  <c r="AU68" i="65"/>
  <c r="U66" i="65"/>
  <c r="AH66" i="65"/>
  <c r="AC64" i="65"/>
  <c r="AD64" i="65" s="1"/>
  <c r="Q67" i="65"/>
  <c r="AG64" i="65"/>
  <c r="Y65" i="65"/>
  <c r="AG65" i="65" s="1"/>
  <c r="AF66" i="65"/>
  <c r="R66" i="65"/>
  <c r="S66" i="65" s="1"/>
  <c r="AV66" i="65"/>
  <c r="AE66" i="65"/>
  <c r="D67" i="65"/>
  <c r="E67" i="65" s="1"/>
  <c r="F67" i="65" s="1"/>
  <c r="G67" i="65" s="1"/>
  <c r="H67" i="65" s="1"/>
  <c r="I67" i="65" s="1"/>
  <c r="J67" i="65" s="1"/>
  <c r="K67" i="65" s="1"/>
  <c r="O68" i="65"/>
  <c r="L68" i="65"/>
  <c r="M68" i="65" s="1"/>
  <c r="C68" i="65"/>
  <c r="P68" i="65" s="1"/>
  <c r="AP67" i="63" a="1"/>
  <c r="AP67" i="63" s="1"/>
  <c r="B69" i="65" s="1"/>
  <c r="BA69" i="65" l="1"/>
  <c r="AZ69" i="65"/>
  <c r="AY69" i="65"/>
  <c r="AS69" i="65"/>
  <c r="AX69" i="65"/>
  <c r="AM68" i="65"/>
  <c r="AU69" i="65"/>
  <c r="AT69" i="65"/>
  <c r="U67" i="65"/>
  <c r="AH67" i="65"/>
  <c r="Q68" i="65"/>
  <c r="AB65" i="65"/>
  <c r="Y66" i="65"/>
  <c r="AB66" i="65" s="1"/>
  <c r="AP68" i="63" a="1"/>
  <c r="AP68" i="63" s="1"/>
  <c r="B70" i="65" s="1"/>
  <c r="L69" i="65"/>
  <c r="M69" i="65" s="1"/>
  <c r="C69" i="65"/>
  <c r="P69" i="65" s="1"/>
  <c r="O69" i="65"/>
  <c r="D68" i="65"/>
  <c r="E68" i="65" s="1"/>
  <c r="F68" i="65" s="1"/>
  <c r="G68" i="65" s="1"/>
  <c r="H68" i="65" s="1"/>
  <c r="I68" i="65" s="1"/>
  <c r="J68" i="65" s="1"/>
  <c r="K68" i="65" s="1"/>
  <c r="AF67" i="65"/>
  <c r="AE67" i="65"/>
  <c r="AV67" i="65"/>
  <c r="R67" i="65"/>
  <c r="S67" i="65" s="1"/>
  <c r="BA70" i="65" l="1"/>
  <c r="AZ70" i="65"/>
  <c r="AY70" i="65"/>
  <c r="AS70" i="65"/>
  <c r="AX70" i="65"/>
  <c r="AM69" i="65"/>
  <c r="AU70" i="65"/>
  <c r="AT70" i="65"/>
  <c r="U68" i="65"/>
  <c r="AH68" i="65"/>
  <c r="AC66" i="65"/>
  <c r="AD66" i="65" s="1"/>
  <c r="AC65" i="65"/>
  <c r="AD65" i="65" s="1"/>
  <c r="Q69" i="65"/>
  <c r="AG66" i="65"/>
  <c r="Y67" i="65"/>
  <c r="AB67" i="65" s="1"/>
  <c r="AP69" i="63" a="1"/>
  <c r="AP69" i="63" s="1"/>
  <c r="B71" i="65" s="1"/>
  <c r="D69" i="65"/>
  <c r="E69" i="65" s="1"/>
  <c r="F69" i="65" s="1"/>
  <c r="G69" i="65" s="1"/>
  <c r="H69" i="65" s="1"/>
  <c r="I69" i="65" s="1"/>
  <c r="J69" i="65" s="1"/>
  <c r="K69" i="65" s="1"/>
  <c r="AF68" i="65"/>
  <c r="AV68" i="65"/>
  <c r="AE68" i="65"/>
  <c r="R68" i="65"/>
  <c r="S68" i="65" s="1"/>
  <c r="O70" i="65"/>
  <c r="C70" i="65"/>
  <c r="P70" i="65" s="1"/>
  <c r="L70" i="65"/>
  <c r="M70" i="65" s="1"/>
  <c r="BA71" i="65" l="1"/>
  <c r="AZ71" i="65"/>
  <c r="AY71" i="65"/>
  <c r="AS71" i="65"/>
  <c r="AX71" i="65"/>
  <c r="AM70" i="65"/>
  <c r="AU71" i="65"/>
  <c r="AT71" i="65"/>
  <c r="U69" i="65"/>
  <c r="AH69" i="65"/>
  <c r="AC67" i="65"/>
  <c r="AD67" i="65" s="1"/>
  <c r="Q70" i="65"/>
  <c r="AG67" i="65"/>
  <c r="Y68" i="65"/>
  <c r="AB68" i="65" s="1"/>
  <c r="AE69" i="65"/>
  <c r="R69" i="65"/>
  <c r="S69" i="65" s="1"/>
  <c r="Y69" i="65" s="1"/>
  <c r="AV69" i="65"/>
  <c r="AF69" i="65"/>
  <c r="AP70" i="63" a="1"/>
  <c r="AP70" i="63" s="1"/>
  <c r="B72" i="65" s="1"/>
  <c r="D70" i="65"/>
  <c r="E70" i="65" s="1"/>
  <c r="F70" i="65" s="1"/>
  <c r="G70" i="65" s="1"/>
  <c r="H70" i="65" s="1"/>
  <c r="I70" i="65" s="1"/>
  <c r="J70" i="65" s="1"/>
  <c r="K70" i="65" s="1"/>
  <c r="C71" i="65"/>
  <c r="P71" i="65" s="1"/>
  <c r="O71" i="65"/>
  <c r="L71" i="65"/>
  <c r="M71" i="65" s="1"/>
  <c r="AZ72" i="65" l="1"/>
  <c r="BA72" i="65"/>
  <c r="AY72" i="65"/>
  <c r="AS72" i="65"/>
  <c r="AX72" i="65"/>
  <c r="AM71" i="65"/>
  <c r="AT72" i="65"/>
  <c r="AU72" i="65"/>
  <c r="U70" i="65"/>
  <c r="AH70" i="65"/>
  <c r="AC68" i="65"/>
  <c r="AD68" i="65" s="1"/>
  <c r="Q71" i="65"/>
  <c r="AG68" i="65"/>
  <c r="AB69" i="65"/>
  <c r="O72" i="65"/>
  <c r="L72" i="65"/>
  <c r="M72" i="65" s="1"/>
  <c r="C72" i="65"/>
  <c r="P72" i="65" s="1"/>
  <c r="D71" i="65"/>
  <c r="E71" i="65" s="1"/>
  <c r="F71" i="65" s="1"/>
  <c r="G71" i="65" s="1"/>
  <c r="H71" i="65" s="1"/>
  <c r="I71" i="65" s="1"/>
  <c r="J71" i="65" s="1"/>
  <c r="K71" i="65" s="1"/>
  <c r="R70" i="65"/>
  <c r="S70" i="65" s="1"/>
  <c r="AE70" i="65"/>
  <c r="AV70" i="65"/>
  <c r="AF70" i="65"/>
  <c r="AG69" i="65"/>
  <c r="AP71" i="63" a="1"/>
  <c r="AP71" i="63" s="1"/>
  <c r="B73" i="65" s="1"/>
  <c r="BA73" i="65" l="1"/>
  <c r="AZ73" i="65"/>
  <c r="AY73" i="65"/>
  <c r="AS73" i="65"/>
  <c r="AX73" i="65"/>
  <c r="AM72" i="65"/>
  <c r="AU73" i="65"/>
  <c r="AT73" i="65"/>
  <c r="U71" i="65"/>
  <c r="AH71" i="65"/>
  <c r="AC69" i="65"/>
  <c r="AD69" i="65" s="1"/>
  <c r="Q72" i="65"/>
  <c r="Y70" i="65"/>
  <c r="AB70" i="65" s="1"/>
  <c r="D72" i="65"/>
  <c r="E72" i="65" s="1"/>
  <c r="F72" i="65" s="1"/>
  <c r="G72" i="65" s="1"/>
  <c r="H72" i="65" s="1"/>
  <c r="I72" i="65" s="1"/>
  <c r="J72" i="65" s="1"/>
  <c r="K72" i="65" s="1"/>
  <c r="L73" i="65"/>
  <c r="M73" i="65" s="1"/>
  <c r="C73" i="65"/>
  <c r="P73" i="65" s="1"/>
  <c r="O73" i="65"/>
  <c r="AE71" i="65"/>
  <c r="R71" i="65"/>
  <c r="S71" i="65" s="1"/>
  <c r="AF71" i="65"/>
  <c r="AV71" i="65"/>
  <c r="AP72" i="63" a="1"/>
  <c r="AP72" i="63" s="1"/>
  <c r="B74" i="65" s="1"/>
  <c r="AY74" i="65" l="1"/>
  <c r="BA74" i="65"/>
  <c r="AZ74" i="65"/>
  <c r="AS74" i="65"/>
  <c r="AX74" i="65"/>
  <c r="AM73" i="65"/>
  <c r="AU74" i="65"/>
  <c r="AT74" i="65"/>
  <c r="U72" i="65"/>
  <c r="AH72" i="65"/>
  <c r="AC70" i="65"/>
  <c r="AD70" i="65" s="1"/>
  <c r="Q73" i="65"/>
  <c r="AG70" i="65"/>
  <c r="Y71" i="65"/>
  <c r="AB71" i="65" s="1"/>
  <c r="AP73" i="63" a="1"/>
  <c r="AP73" i="63" s="1"/>
  <c r="B75" i="65" s="1"/>
  <c r="R72" i="65"/>
  <c r="S72" i="65" s="1"/>
  <c r="AE72" i="65"/>
  <c r="AF72" i="65"/>
  <c r="AV72" i="65"/>
  <c r="L74" i="65"/>
  <c r="M74" i="65" s="1"/>
  <c r="C74" i="65"/>
  <c r="P74" i="65" s="1"/>
  <c r="O74" i="65"/>
  <c r="D73" i="65"/>
  <c r="E73" i="65" s="1"/>
  <c r="F73" i="65" s="1"/>
  <c r="G73" i="65" s="1"/>
  <c r="H73" i="65" s="1"/>
  <c r="I73" i="65" s="1"/>
  <c r="J73" i="65" s="1"/>
  <c r="K73" i="65" s="1"/>
  <c r="AZ75" i="65" l="1"/>
  <c r="BA75" i="65"/>
  <c r="AY75" i="65"/>
  <c r="AS75" i="65"/>
  <c r="AX75" i="65"/>
  <c r="AM74" i="65"/>
  <c r="AU75" i="65"/>
  <c r="AT75" i="65"/>
  <c r="U73" i="65"/>
  <c r="AH73" i="65"/>
  <c r="AC71" i="65"/>
  <c r="AD71" i="65" s="1"/>
  <c r="Q74" i="65"/>
  <c r="AG71" i="65"/>
  <c r="Y72" i="65"/>
  <c r="AB72" i="65" s="1"/>
  <c r="AP74" i="63" a="1"/>
  <c r="AP74" i="63" s="1"/>
  <c r="B76" i="65" s="1"/>
  <c r="AF73" i="65"/>
  <c r="R73" i="65"/>
  <c r="S73" i="65" s="1"/>
  <c r="AV73" i="65"/>
  <c r="AE73" i="65"/>
  <c r="D74" i="65"/>
  <c r="E74" i="65" s="1"/>
  <c r="F74" i="65" s="1"/>
  <c r="G74" i="65" s="1"/>
  <c r="H74" i="65" s="1"/>
  <c r="I74" i="65" s="1"/>
  <c r="J74" i="65" s="1"/>
  <c r="K74" i="65" s="1"/>
  <c r="C75" i="65"/>
  <c r="P75" i="65" s="1"/>
  <c r="L75" i="65"/>
  <c r="M75" i="65" s="1"/>
  <c r="O75" i="65"/>
  <c r="BA76" i="65" l="1"/>
  <c r="AZ76" i="65"/>
  <c r="AY76" i="65"/>
  <c r="AS76" i="65"/>
  <c r="AX76" i="65"/>
  <c r="AM75" i="65"/>
  <c r="AT76" i="65"/>
  <c r="AU76" i="65"/>
  <c r="U74" i="65"/>
  <c r="AH74" i="65"/>
  <c r="AC72" i="65"/>
  <c r="AD72" i="65" s="1"/>
  <c r="Q75" i="65"/>
  <c r="Y73" i="65"/>
  <c r="AB73" i="65" s="1"/>
  <c r="AG72" i="65"/>
  <c r="L76" i="65"/>
  <c r="M76" i="65" s="1"/>
  <c r="O76" i="65"/>
  <c r="C76" i="65"/>
  <c r="P76" i="65" s="1"/>
  <c r="D75" i="65"/>
  <c r="E75" i="65" s="1"/>
  <c r="F75" i="65" s="1"/>
  <c r="G75" i="65" s="1"/>
  <c r="H75" i="65" s="1"/>
  <c r="I75" i="65" s="1"/>
  <c r="J75" i="65" s="1"/>
  <c r="K75" i="65" s="1"/>
  <c r="AP75" i="63" a="1"/>
  <c r="AP75" i="63" s="1"/>
  <c r="B77" i="65" s="1"/>
  <c r="AV74" i="65"/>
  <c r="R74" i="65"/>
  <c r="S74" i="65" s="1"/>
  <c r="Y74" i="65" s="1"/>
  <c r="AF74" i="65"/>
  <c r="AE74" i="65"/>
  <c r="BA77" i="65" l="1"/>
  <c r="AZ77" i="65"/>
  <c r="AY77" i="65"/>
  <c r="AS77" i="65"/>
  <c r="AX77" i="65"/>
  <c r="AM76" i="65"/>
  <c r="AU77" i="65"/>
  <c r="AT77" i="65"/>
  <c r="U75" i="65"/>
  <c r="AH75" i="65"/>
  <c r="AC73" i="65"/>
  <c r="AD73" i="65" s="1"/>
  <c r="Q76" i="65"/>
  <c r="AG73" i="65"/>
  <c r="AB74" i="65"/>
  <c r="AP76" i="63" a="1"/>
  <c r="AP76" i="63" s="1"/>
  <c r="B78" i="65" s="1"/>
  <c r="AG74" i="65"/>
  <c r="AE75" i="65"/>
  <c r="R75" i="65"/>
  <c r="S75" i="65" s="1"/>
  <c r="AF75" i="65"/>
  <c r="AV75" i="65"/>
  <c r="D76" i="65"/>
  <c r="E76" i="65" s="1"/>
  <c r="F76" i="65" s="1"/>
  <c r="G76" i="65" s="1"/>
  <c r="H76" i="65" s="1"/>
  <c r="I76" i="65" s="1"/>
  <c r="J76" i="65" s="1"/>
  <c r="K76" i="65" s="1"/>
  <c r="C77" i="65"/>
  <c r="P77" i="65" s="1"/>
  <c r="O77" i="65"/>
  <c r="L77" i="65"/>
  <c r="M77" i="65" s="1"/>
  <c r="BA78" i="65" l="1"/>
  <c r="AZ78" i="65"/>
  <c r="AY78" i="65"/>
  <c r="AS78" i="65"/>
  <c r="AX78" i="65"/>
  <c r="AM77" i="65"/>
  <c r="AU78" i="65"/>
  <c r="AT78" i="65"/>
  <c r="U76" i="65"/>
  <c r="AH76" i="65"/>
  <c r="AC74" i="65"/>
  <c r="AD74" i="65" s="1"/>
  <c r="Q77" i="65"/>
  <c r="Y75" i="65"/>
  <c r="AB75" i="65" s="1"/>
  <c r="R76" i="65"/>
  <c r="S76" i="65" s="1"/>
  <c r="AE76" i="65"/>
  <c r="AF76" i="65"/>
  <c r="AV76" i="65"/>
  <c r="D77" i="65"/>
  <c r="E77" i="65" s="1"/>
  <c r="F77" i="65" s="1"/>
  <c r="G77" i="65" s="1"/>
  <c r="H77" i="65" s="1"/>
  <c r="I77" i="65" s="1"/>
  <c r="J77" i="65" s="1"/>
  <c r="K77" i="65" s="1"/>
  <c r="O78" i="65"/>
  <c r="C78" i="65"/>
  <c r="P78" i="65" s="1"/>
  <c r="L78" i="65"/>
  <c r="M78" i="65" s="1"/>
  <c r="AP77" i="63" a="1"/>
  <c r="AP77" i="63" s="1"/>
  <c r="B79" i="65" s="1"/>
  <c r="AZ79" i="65" l="1"/>
  <c r="AY79" i="65"/>
  <c r="BA79" i="65"/>
  <c r="AS79" i="65"/>
  <c r="AX79" i="65"/>
  <c r="AM78" i="65"/>
  <c r="AU79" i="65"/>
  <c r="AT79" i="65"/>
  <c r="U77" i="65"/>
  <c r="AH77" i="65"/>
  <c r="AC75" i="65"/>
  <c r="AD75" i="65" s="1"/>
  <c r="Q78" i="65"/>
  <c r="AG75" i="65"/>
  <c r="Y76" i="65"/>
  <c r="AB76" i="65" s="1"/>
  <c r="D78" i="65"/>
  <c r="E78" i="65" s="1"/>
  <c r="F78" i="65" s="1"/>
  <c r="G78" i="65" s="1"/>
  <c r="H78" i="65" s="1"/>
  <c r="I78" i="65" s="1"/>
  <c r="J78" i="65" s="1"/>
  <c r="K78" i="65" s="1"/>
  <c r="AP78" i="63" a="1"/>
  <c r="AP78" i="63" s="1"/>
  <c r="B80" i="65" s="1"/>
  <c r="R77" i="65"/>
  <c r="S77" i="65" s="1"/>
  <c r="Y77" i="65" s="1"/>
  <c r="AE77" i="65"/>
  <c r="AF77" i="65"/>
  <c r="AV77" i="65"/>
  <c r="L79" i="65"/>
  <c r="M79" i="65" s="1"/>
  <c r="O79" i="65"/>
  <c r="C79" i="65"/>
  <c r="P79" i="65" s="1"/>
  <c r="AZ80" i="65" l="1"/>
  <c r="BA80" i="65"/>
  <c r="AY80" i="65"/>
  <c r="AS80" i="65"/>
  <c r="AX80" i="65"/>
  <c r="AM79" i="65"/>
  <c r="AT80" i="65"/>
  <c r="AU80" i="65"/>
  <c r="U78" i="65"/>
  <c r="AH78" i="65"/>
  <c r="AC76" i="65"/>
  <c r="AD76" i="65" s="1"/>
  <c r="Q79" i="65"/>
  <c r="AG76" i="65"/>
  <c r="AB77" i="65"/>
  <c r="D79" i="65"/>
  <c r="E79" i="65" s="1"/>
  <c r="F79" i="65" s="1"/>
  <c r="G79" i="65" s="1"/>
  <c r="H79" i="65" s="1"/>
  <c r="I79" i="65" s="1"/>
  <c r="J79" i="65" s="1"/>
  <c r="K79" i="65" s="1"/>
  <c r="R78" i="65"/>
  <c r="S78" i="65" s="1"/>
  <c r="AF78" i="65"/>
  <c r="AE78" i="65"/>
  <c r="AV78" i="65"/>
  <c r="AP79" i="63" a="1"/>
  <c r="AP79" i="63" s="1"/>
  <c r="B81" i="65" s="1"/>
  <c r="AG77" i="65"/>
  <c r="L80" i="65"/>
  <c r="M80" i="65" s="1"/>
  <c r="C80" i="65"/>
  <c r="P80" i="65" s="1"/>
  <c r="O80" i="65"/>
  <c r="BA81" i="65" l="1"/>
  <c r="AZ81" i="65"/>
  <c r="AY81" i="65"/>
  <c r="AS81" i="65"/>
  <c r="AX81" i="65"/>
  <c r="AM80" i="65"/>
  <c r="AU81" i="65"/>
  <c r="AT81" i="65"/>
  <c r="U79" i="65"/>
  <c r="AH79" i="65"/>
  <c r="AC77" i="65"/>
  <c r="AD77" i="65" s="1"/>
  <c r="Q80" i="65"/>
  <c r="Y78" i="65"/>
  <c r="AB78" i="65" s="1"/>
  <c r="L81" i="65"/>
  <c r="M81" i="65" s="1"/>
  <c r="C81" i="65"/>
  <c r="P81" i="65" s="1"/>
  <c r="O81" i="65"/>
  <c r="AF79" i="65"/>
  <c r="AV79" i="65"/>
  <c r="R79" i="65"/>
  <c r="S79" i="65" s="1"/>
  <c r="AE79" i="65"/>
  <c r="D80" i="65"/>
  <c r="E80" i="65" s="1"/>
  <c r="F80" i="65" s="1"/>
  <c r="G80" i="65" s="1"/>
  <c r="H80" i="65" s="1"/>
  <c r="I80" i="65" s="1"/>
  <c r="J80" i="65" s="1"/>
  <c r="K80" i="65" s="1"/>
  <c r="AP80" i="63" a="1"/>
  <c r="AP80" i="63" s="1"/>
  <c r="B82" i="65" s="1"/>
  <c r="AY82" i="65" l="1"/>
  <c r="AZ82" i="65"/>
  <c r="BA82" i="65"/>
  <c r="AS82" i="65"/>
  <c r="AX82" i="65"/>
  <c r="AM81" i="65"/>
  <c r="AU82" i="65"/>
  <c r="AT82" i="65"/>
  <c r="U80" i="65"/>
  <c r="AH80" i="65"/>
  <c r="AC78" i="65"/>
  <c r="AD78" i="65" s="1"/>
  <c r="Q81" i="65"/>
  <c r="AG78" i="65"/>
  <c r="Y79" i="65"/>
  <c r="AB79" i="65" s="1"/>
  <c r="AP81" i="63" a="1"/>
  <c r="AP81" i="63" s="1"/>
  <c r="B83" i="65" s="1"/>
  <c r="AF80" i="65"/>
  <c r="AV80" i="65"/>
  <c r="R80" i="65"/>
  <c r="S80" i="65" s="1"/>
  <c r="Y80" i="65" s="1"/>
  <c r="AE80" i="65"/>
  <c r="D81" i="65"/>
  <c r="E81" i="65" s="1"/>
  <c r="F81" i="65" s="1"/>
  <c r="G81" i="65" s="1"/>
  <c r="H81" i="65" s="1"/>
  <c r="I81" i="65" s="1"/>
  <c r="J81" i="65" s="1"/>
  <c r="K81" i="65" s="1"/>
  <c r="C82" i="65"/>
  <c r="P82" i="65" s="1"/>
  <c r="O82" i="65"/>
  <c r="L82" i="65"/>
  <c r="M82" i="65" s="1"/>
  <c r="BA83" i="65" l="1"/>
  <c r="AZ83" i="65"/>
  <c r="AY83" i="65"/>
  <c r="AS83" i="65"/>
  <c r="AX83" i="65"/>
  <c r="AM82" i="65"/>
  <c r="AU83" i="65"/>
  <c r="AT83" i="65"/>
  <c r="U81" i="65"/>
  <c r="AH81" i="65"/>
  <c r="AC79" i="65"/>
  <c r="AD79" i="65" s="1"/>
  <c r="Q82" i="65"/>
  <c r="AB80" i="65"/>
  <c r="AG79" i="65"/>
  <c r="AG80" i="65"/>
  <c r="O83" i="65"/>
  <c r="L83" i="65"/>
  <c r="M83" i="65" s="1"/>
  <c r="C83" i="65"/>
  <c r="P83" i="65" s="1"/>
  <c r="AP82" i="63" a="1"/>
  <c r="AP82" i="63" s="1"/>
  <c r="B84" i="65" s="1"/>
  <c r="D82" i="65"/>
  <c r="E82" i="65" s="1"/>
  <c r="F82" i="65" s="1"/>
  <c r="G82" i="65" s="1"/>
  <c r="H82" i="65" s="1"/>
  <c r="I82" i="65" s="1"/>
  <c r="J82" i="65" s="1"/>
  <c r="K82" i="65" s="1"/>
  <c r="AE81" i="65"/>
  <c r="AF81" i="65"/>
  <c r="R81" i="65"/>
  <c r="S81" i="65" s="1"/>
  <c r="AV81" i="65"/>
  <c r="AZ84" i="65" l="1"/>
  <c r="AY84" i="65"/>
  <c r="BA84" i="65"/>
  <c r="AS84" i="65"/>
  <c r="AX84" i="65"/>
  <c r="AM83" i="65"/>
  <c r="AT84" i="65"/>
  <c r="AU84" i="65"/>
  <c r="U82" i="65"/>
  <c r="AH82" i="65"/>
  <c r="AC80" i="65"/>
  <c r="AD80" i="65" s="1"/>
  <c r="Q83" i="65"/>
  <c r="Y81" i="65"/>
  <c r="AB81" i="65" s="1"/>
  <c r="C84" i="65"/>
  <c r="P84" i="65" s="1"/>
  <c r="L84" i="65"/>
  <c r="M84" i="65" s="1"/>
  <c r="O84" i="65"/>
  <c r="D83" i="65"/>
  <c r="E83" i="65" s="1"/>
  <c r="F83" i="65" s="1"/>
  <c r="G83" i="65" s="1"/>
  <c r="H83" i="65" s="1"/>
  <c r="I83" i="65" s="1"/>
  <c r="J83" i="65" s="1"/>
  <c r="K83" i="65" s="1"/>
  <c r="AP83" i="63" a="1"/>
  <c r="AP83" i="63" s="1"/>
  <c r="B85" i="65" s="1"/>
  <c r="AE82" i="65"/>
  <c r="AF82" i="65"/>
  <c r="AV82" i="65"/>
  <c r="R82" i="65"/>
  <c r="S82" i="65" s="1"/>
  <c r="BA85" i="65" l="1"/>
  <c r="AZ85" i="65"/>
  <c r="AY85" i="65"/>
  <c r="AS85" i="65"/>
  <c r="AX85" i="65"/>
  <c r="AM84" i="65"/>
  <c r="AU85" i="65"/>
  <c r="AT85" i="65"/>
  <c r="U83" i="65"/>
  <c r="AH83" i="65"/>
  <c r="AC81" i="65"/>
  <c r="AD81" i="65" s="1"/>
  <c r="Q84" i="65"/>
  <c r="AG81" i="65"/>
  <c r="Y82" i="65"/>
  <c r="AB82" i="65" s="1"/>
  <c r="AE83" i="65"/>
  <c r="R83" i="65"/>
  <c r="S83" i="65" s="1"/>
  <c r="AV83" i="65"/>
  <c r="AF83" i="65"/>
  <c r="C85" i="65"/>
  <c r="P85" i="65" s="1"/>
  <c r="L85" i="65"/>
  <c r="M85" i="65" s="1"/>
  <c r="O85" i="65"/>
  <c r="AP84" i="63" a="1"/>
  <c r="AP84" i="63" s="1"/>
  <c r="B86" i="65" s="1"/>
  <c r="D84" i="65"/>
  <c r="E84" i="65" s="1"/>
  <c r="F84" i="65" s="1"/>
  <c r="G84" i="65" s="1"/>
  <c r="H84" i="65" s="1"/>
  <c r="I84" i="65" s="1"/>
  <c r="J84" i="65" s="1"/>
  <c r="K84" i="65" s="1"/>
  <c r="BA86" i="65" l="1"/>
  <c r="AZ86" i="65"/>
  <c r="AY86" i="65"/>
  <c r="AS86" i="65"/>
  <c r="AX86" i="65"/>
  <c r="AM85" i="65"/>
  <c r="AU86" i="65"/>
  <c r="AT86" i="65"/>
  <c r="U84" i="65"/>
  <c r="AH84" i="65"/>
  <c r="AC82" i="65"/>
  <c r="AD82" i="65" s="1"/>
  <c r="Q85" i="65"/>
  <c r="AG82" i="65"/>
  <c r="Y83" i="65"/>
  <c r="AB83" i="65" s="1"/>
  <c r="AE84" i="65"/>
  <c r="AF84" i="65"/>
  <c r="R84" i="65"/>
  <c r="S84" i="65" s="1"/>
  <c r="Y84" i="65" s="1"/>
  <c r="AV84" i="65"/>
  <c r="C86" i="65"/>
  <c r="P86" i="65" s="1"/>
  <c r="L86" i="65"/>
  <c r="M86" i="65" s="1"/>
  <c r="O86" i="65"/>
  <c r="D85" i="65"/>
  <c r="E85" i="65" s="1"/>
  <c r="F85" i="65" s="1"/>
  <c r="G85" i="65" s="1"/>
  <c r="H85" i="65" s="1"/>
  <c r="I85" i="65" s="1"/>
  <c r="J85" i="65" s="1"/>
  <c r="K85" i="65" s="1"/>
  <c r="AP85" i="63" a="1"/>
  <c r="AP85" i="63" s="1"/>
  <c r="B87" i="65" s="1"/>
  <c r="BA87" i="65" l="1"/>
  <c r="AY87" i="65"/>
  <c r="AZ87" i="65"/>
  <c r="AS87" i="65"/>
  <c r="AX87" i="65"/>
  <c r="AM86" i="65"/>
  <c r="AU87" i="65"/>
  <c r="AT87" i="65"/>
  <c r="U85" i="65"/>
  <c r="AH85" i="65"/>
  <c r="AC83" i="65"/>
  <c r="AD83" i="65" s="1"/>
  <c r="Q86" i="65"/>
  <c r="AG83" i="65"/>
  <c r="AB84" i="65"/>
  <c r="AV85" i="65"/>
  <c r="AF85" i="65"/>
  <c r="R85" i="65"/>
  <c r="S85" i="65" s="1"/>
  <c r="AE85" i="65"/>
  <c r="L87" i="65"/>
  <c r="M87" i="65" s="1"/>
  <c r="C87" i="65"/>
  <c r="P87" i="65" s="1"/>
  <c r="O87" i="65"/>
  <c r="D86" i="65"/>
  <c r="E86" i="65" s="1"/>
  <c r="F86" i="65" s="1"/>
  <c r="G86" i="65" s="1"/>
  <c r="H86" i="65" s="1"/>
  <c r="I86" i="65" s="1"/>
  <c r="J86" i="65" s="1"/>
  <c r="K86" i="65" s="1"/>
  <c r="AP86" i="63" a="1"/>
  <c r="AP86" i="63" s="1"/>
  <c r="B88" i="65" s="1"/>
  <c r="AG84" i="65"/>
  <c r="AZ88" i="65" l="1"/>
  <c r="BA88" i="65"/>
  <c r="AY88" i="65"/>
  <c r="AS88" i="65"/>
  <c r="AX88" i="65"/>
  <c r="AM87" i="65"/>
  <c r="AT88" i="65"/>
  <c r="AU88" i="65"/>
  <c r="U86" i="65"/>
  <c r="AH86" i="65"/>
  <c r="AC84" i="65"/>
  <c r="AD84" i="65" s="1"/>
  <c r="Q87" i="65"/>
  <c r="Y85" i="65"/>
  <c r="AB85" i="65" s="1"/>
  <c r="C88" i="65"/>
  <c r="P88" i="65" s="1"/>
  <c r="L88" i="65"/>
  <c r="M88" i="65" s="1"/>
  <c r="O88" i="65"/>
  <c r="AV86" i="65"/>
  <c r="AF86" i="65"/>
  <c r="AE86" i="65"/>
  <c r="R86" i="65"/>
  <c r="S86" i="65" s="1"/>
  <c r="AP87" i="63" a="1"/>
  <c r="AP87" i="63" s="1"/>
  <c r="B89" i="65" s="1"/>
  <c r="D87" i="65"/>
  <c r="E87" i="65" s="1"/>
  <c r="F87" i="65" s="1"/>
  <c r="G87" i="65" s="1"/>
  <c r="H87" i="65" s="1"/>
  <c r="I87" i="65" s="1"/>
  <c r="J87" i="65" s="1"/>
  <c r="K87" i="65" s="1"/>
  <c r="AZ89" i="65" l="1"/>
  <c r="BA89" i="65"/>
  <c r="AY89" i="65"/>
  <c r="AS89" i="65"/>
  <c r="AX89" i="65"/>
  <c r="AM88" i="65"/>
  <c r="AU89" i="65"/>
  <c r="AT89" i="65"/>
  <c r="U87" i="65"/>
  <c r="AH87" i="65"/>
  <c r="AC85" i="65"/>
  <c r="AD85" i="65" s="1"/>
  <c r="AG85" i="65"/>
  <c r="Y86" i="65"/>
  <c r="AG86" i="65" s="1"/>
  <c r="O89" i="65"/>
  <c r="L89" i="65"/>
  <c r="M89" i="65" s="1"/>
  <c r="C89" i="65"/>
  <c r="P89" i="65" s="1"/>
  <c r="AP88" i="63" a="1"/>
  <c r="AP88" i="63" s="1"/>
  <c r="B90" i="65" s="1"/>
  <c r="AF87" i="65"/>
  <c r="AV87" i="65"/>
  <c r="AE87" i="65"/>
  <c r="R87" i="65"/>
  <c r="S87" i="65" s="1"/>
  <c r="D88" i="65"/>
  <c r="E88" i="65" s="1"/>
  <c r="F88" i="65" s="1"/>
  <c r="G88" i="65" s="1"/>
  <c r="H88" i="65" s="1"/>
  <c r="I88" i="65" s="1"/>
  <c r="J88" i="65" s="1"/>
  <c r="K88" i="65" s="1"/>
  <c r="BA90" i="65" l="1"/>
  <c r="AY90" i="65"/>
  <c r="AZ90" i="65"/>
  <c r="AS90" i="65"/>
  <c r="AX90" i="65"/>
  <c r="AM89" i="65"/>
  <c r="AH88" i="65"/>
  <c r="Q88" i="65"/>
  <c r="AU90" i="65"/>
  <c r="AT90" i="65"/>
  <c r="U88" i="65"/>
  <c r="Q89" i="65"/>
  <c r="AB86" i="65"/>
  <c r="Y87" i="65"/>
  <c r="AB87" i="65" s="1"/>
  <c r="AV88" i="65"/>
  <c r="AE88" i="65"/>
  <c r="R88" i="65"/>
  <c r="S88" i="65" s="1"/>
  <c r="Y88" i="65" s="1"/>
  <c r="AF88" i="65"/>
  <c r="D89" i="65"/>
  <c r="E89" i="65" s="1"/>
  <c r="F89" i="65" s="1"/>
  <c r="G89" i="65" s="1"/>
  <c r="H89" i="65" s="1"/>
  <c r="I89" i="65" s="1"/>
  <c r="J89" i="65" s="1"/>
  <c r="K89" i="65" s="1"/>
  <c r="L90" i="65"/>
  <c r="M90" i="65" s="1"/>
  <c r="O90" i="65"/>
  <c r="C90" i="65"/>
  <c r="P90" i="65" s="1"/>
  <c r="AP89" i="63" a="1"/>
  <c r="AP89" i="63" s="1"/>
  <c r="B91" i="65" s="1"/>
  <c r="AZ91" i="65" l="1"/>
  <c r="AY91" i="65"/>
  <c r="BA91" i="65"/>
  <c r="AS91" i="65"/>
  <c r="AX91" i="65"/>
  <c r="AM90" i="65"/>
  <c r="AU91" i="65"/>
  <c r="AT91" i="65"/>
  <c r="U89" i="65"/>
  <c r="AH89" i="65"/>
  <c r="AC87" i="65"/>
  <c r="AD87" i="65" s="1"/>
  <c r="AC86" i="65"/>
  <c r="AD86" i="65" s="1"/>
  <c r="Q90" i="65"/>
  <c r="AG87" i="65"/>
  <c r="AB88" i="65"/>
  <c r="AP90" i="63" a="1"/>
  <c r="AP90" i="63" s="1"/>
  <c r="B92" i="65" s="1"/>
  <c r="D90" i="65"/>
  <c r="E90" i="65" s="1"/>
  <c r="F90" i="65" s="1"/>
  <c r="G90" i="65" s="1"/>
  <c r="H90" i="65" s="1"/>
  <c r="I90" i="65" s="1"/>
  <c r="J90" i="65" s="1"/>
  <c r="K90" i="65" s="1"/>
  <c r="AG88" i="65"/>
  <c r="C91" i="65"/>
  <c r="P91" i="65" s="1"/>
  <c r="O91" i="65"/>
  <c r="L91" i="65"/>
  <c r="M91" i="65" s="1"/>
  <c r="AV89" i="65"/>
  <c r="AF89" i="65"/>
  <c r="AE89" i="65"/>
  <c r="R89" i="65"/>
  <c r="S89" i="65" s="1"/>
  <c r="AZ92" i="65" l="1"/>
  <c r="AY92" i="65"/>
  <c r="BA92" i="65"/>
  <c r="AS92" i="65"/>
  <c r="AX92" i="65"/>
  <c r="AM91" i="65"/>
  <c r="AT92" i="65"/>
  <c r="AU92" i="65"/>
  <c r="U90" i="65"/>
  <c r="AH90" i="65"/>
  <c r="AC88" i="65"/>
  <c r="AD88" i="65" s="1"/>
  <c r="Q91" i="65"/>
  <c r="Y89" i="65"/>
  <c r="AB89" i="65" s="1"/>
  <c r="AP91" i="63" a="1"/>
  <c r="AP91" i="63" s="1"/>
  <c r="B93" i="65" s="1"/>
  <c r="D91" i="65"/>
  <c r="E91" i="65" s="1"/>
  <c r="F91" i="65" s="1"/>
  <c r="G91" i="65" s="1"/>
  <c r="H91" i="65" s="1"/>
  <c r="I91" i="65" s="1"/>
  <c r="J91" i="65" s="1"/>
  <c r="K91" i="65" s="1"/>
  <c r="AV90" i="65"/>
  <c r="R90" i="65"/>
  <c r="S90" i="65" s="1"/>
  <c r="Y90" i="65" s="1"/>
  <c r="AF90" i="65"/>
  <c r="AE90" i="65"/>
  <c r="O92" i="65"/>
  <c r="L92" i="65"/>
  <c r="M92" i="65" s="1"/>
  <c r="C92" i="65"/>
  <c r="P92" i="65" s="1"/>
  <c r="BA93" i="65" l="1"/>
  <c r="AZ93" i="65"/>
  <c r="AY93" i="65"/>
  <c r="AS93" i="65"/>
  <c r="AX93" i="65"/>
  <c r="AM92" i="65"/>
  <c r="AU93" i="65"/>
  <c r="AT93" i="65"/>
  <c r="U91" i="65"/>
  <c r="AH91" i="65"/>
  <c r="AC89" i="65"/>
  <c r="AD89" i="65" s="1"/>
  <c r="Q92" i="65"/>
  <c r="AG89" i="65"/>
  <c r="AB90" i="65"/>
  <c r="AP92" i="63" a="1"/>
  <c r="AP92" i="63" s="1"/>
  <c r="B94" i="65" s="1"/>
  <c r="D92" i="65"/>
  <c r="E92" i="65" s="1"/>
  <c r="F92" i="65" s="1"/>
  <c r="G92" i="65" s="1"/>
  <c r="H92" i="65" s="1"/>
  <c r="I92" i="65" s="1"/>
  <c r="J92" i="65" s="1"/>
  <c r="K92" i="65" s="1"/>
  <c r="AG90" i="65"/>
  <c r="R91" i="65"/>
  <c r="S91" i="65" s="1"/>
  <c r="AF91" i="65"/>
  <c r="AE91" i="65"/>
  <c r="AV91" i="65"/>
  <c r="O93" i="65"/>
  <c r="C93" i="65"/>
  <c r="P93" i="65" s="1"/>
  <c r="L93" i="65"/>
  <c r="M93" i="65" s="1"/>
  <c r="BA94" i="65" l="1"/>
  <c r="AY94" i="65"/>
  <c r="AZ94" i="65"/>
  <c r="AS94" i="65"/>
  <c r="AX94" i="65"/>
  <c r="AM93" i="65"/>
  <c r="AU94" i="65"/>
  <c r="AT94" i="65"/>
  <c r="U92" i="65"/>
  <c r="AH92" i="65"/>
  <c r="AC90" i="65"/>
  <c r="AD90" i="65" s="1"/>
  <c r="Q93" i="65"/>
  <c r="Y91" i="65"/>
  <c r="AB91" i="65" s="1"/>
  <c r="AF92" i="65"/>
  <c r="AE92" i="65"/>
  <c r="AV92" i="65"/>
  <c r="R92" i="65"/>
  <c r="S92" i="65" s="1"/>
  <c r="Y92" i="65" s="1"/>
  <c r="C94" i="65"/>
  <c r="P94" i="65" s="1"/>
  <c r="O94" i="65"/>
  <c r="L94" i="65"/>
  <c r="M94" i="65" s="1"/>
  <c r="D93" i="65"/>
  <c r="E93" i="65" s="1"/>
  <c r="F93" i="65" s="1"/>
  <c r="G93" i="65" s="1"/>
  <c r="H93" i="65" s="1"/>
  <c r="I93" i="65" s="1"/>
  <c r="J93" i="65" s="1"/>
  <c r="K93" i="65" s="1"/>
  <c r="AP93" i="63" a="1"/>
  <c r="AP93" i="63" s="1"/>
  <c r="B95" i="65" s="1"/>
  <c r="BA95" i="65" l="1"/>
  <c r="AY95" i="65"/>
  <c r="AZ95" i="65"/>
  <c r="AS95" i="65"/>
  <c r="AX95" i="65"/>
  <c r="AM94" i="65"/>
  <c r="AU95" i="65"/>
  <c r="AT95" i="65"/>
  <c r="U93" i="65"/>
  <c r="AH93" i="65"/>
  <c r="AC91" i="65"/>
  <c r="AD91" i="65" s="1"/>
  <c r="Q94" i="65"/>
  <c r="AG91" i="65"/>
  <c r="AB92" i="65"/>
  <c r="AP94" i="63" a="1"/>
  <c r="AP94" i="63" s="1"/>
  <c r="B96" i="65" s="1"/>
  <c r="AF93" i="65"/>
  <c r="R93" i="65"/>
  <c r="S93" i="65" s="1"/>
  <c r="AE93" i="65"/>
  <c r="AV93" i="65"/>
  <c r="L95" i="65"/>
  <c r="M95" i="65" s="1"/>
  <c r="O95" i="65"/>
  <c r="C95" i="65"/>
  <c r="P95" i="65" s="1"/>
  <c r="D94" i="65"/>
  <c r="E94" i="65" s="1"/>
  <c r="F94" i="65" s="1"/>
  <c r="G94" i="65" s="1"/>
  <c r="H94" i="65" s="1"/>
  <c r="I94" i="65" s="1"/>
  <c r="J94" i="65" s="1"/>
  <c r="K94" i="65" s="1"/>
  <c r="AG92" i="65"/>
  <c r="AZ96" i="65" l="1"/>
  <c r="BA96" i="65"/>
  <c r="AY96" i="65"/>
  <c r="AS96" i="65"/>
  <c r="AX96" i="65"/>
  <c r="AM95" i="65"/>
  <c r="AT96" i="65"/>
  <c r="AU96" i="65"/>
  <c r="U94" i="65"/>
  <c r="AH94" i="65"/>
  <c r="AC92" i="65"/>
  <c r="AD92" i="65" s="1"/>
  <c r="Q95" i="65"/>
  <c r="Y93" i="65"/>
  <c r="AB93" i="65" s="1"/>
  <c r="AV94" i="65"/>
  <c r="AE94" i="65"/>
  <c r="AF94" i="65"/>
  <c r="R94" i="65"/>
  <c r="S94" i="65" s="1"/>
  <c r="D95" i="65"/>
  <c r="E95" i="65" s="1"/>
  <c r="F95" i="65" s="1"/>
  <c r="G95" i="65" s="1"/>
  <c r="H95" i="65" s="1"/>
  <c r="I95" i="65" s="1"/>
  <c r="J95" i="65" s="1"/>
  <c r="K95" i="65" s="1"/>
  <c r="L96" i="65"/>
  <c r="M96" i="65" s="1"/>
  <c r="O96" i="65"/>
  <c r="C96" i="65"/>
  <c r="P96" i="65" s="1"/>
  <c r="AP95" i="63" a="1"/>
  <c r="AP95" i="63" s="1"/>
  <c r="B97" i="65" s="1"/>
  <c r="AZ97" i="65" l="1"/>
  <c r="AY97" i="65"/>
  <c r="BA97" i="65"/>
  <c r="AS97" i="65"/>
  <c r="AX97" i="65"/>
  <c r="AM96" i="65"/>
  <c r="AU97" i="65"/>
  <c r="AT97" i="65"/>
  <c r="U95" i="65"/>
  <c r="AH95" i="65"/>
  <c r="AC93" i="65"/>
  <c r="AD93" i="65" s="1"/>
  <c r="Q96" i="65"/>
  <c r="AG93" i="65"/>
  <c r="Y94" i="65"/>
  <c r="AB94" i="65" s="1"/>
  <c r="AF95" i="65"/>
  <c r="R95" i="65"/>
  <c r="S95" i="65" s="1"/>
  <c r="AE95" i="65"/>
  <c r="AV95" i="65"/>
  <c r="L97" i="65"/>
  <c r="M97" i="65" s="1"/>
  <c r="O97" i="65"/>
  <c r="C97" i="65"/>
  <c r="P97" i="65" s="1"/>
  <c r="D96" i="65"/>
  <c r="E96" i="65" s="1"/>
  <c r="F96" i="65" s="1"/>
  <c r="G96" i="65" s="1"/>
  <c r="H96" i="65" s="1"/>
  <c r="I96" i="65" s="1"/>
  <c r="J96" i="65" s="1"/>
  <c r="K96" i="65" s="1"/>
  <c r="AP96" i="63" a="1"/>
  <c r="AP96" i="63" s="1"/>
  <c r="B98" i="65" s="1"/>
  <c r="AY98" i="65" l="1"/>
  <c r="BA98" i="65"/>
  <c r="AZ98" i="65"/>
  <c r="AS98" i="65"/>
  <c r="AX98" i="65"/>
  <c r="AM97" i="65"/>
  <c r="AU98" i="65"/>
  <c r="AT98" i="65"/>
  <c r="U96" i="65"/>
  <c r="AH96" i="65"/>
  <c r="AC94" i="65"/>
  <c r="AD94" i="65" s="1"/>
  <c r="Q97" i="65"/>
  <c r="AG94" i="65"/>
  <c r="Y95" i="65"/>
  <c r="AG95" i="65" s="1"/>
  <c r="AP97" i="63" a="1"/>
  <c r="AP97" i="63" s="1"/>
  <c r="B99" i="65" s="1"/>
  <c r="AE96" i="65"/>
  <c r="AV96" i="65"/>
  <c r="AF96" i="65"/>
  <c r="R96" i="65"/>
  <c r="S96" i="65" s="1"/>
  <c r="D97" i="65"/>
  <c r="E97" i="65" s="1"/>
  <c r="F97" i="65" s="1"/>
  <c r="G97" i="65" s="1"/>
  <c r="H97" i="65" s="1"/>
  <c r="I97" i="65" s="1"/>
  <c r="J97" i="65" s="1"/>
  <c r="K97" i="65" s="1"/>
  <c r="L98" i="65"/>
  <c r="M98" i="65" s="1"/>
  <c r="O98" i="65"/>
  <c r="C98" i="65"/>
  <c r="P98" i="65" s="1"/>
  <c r="BA99" i="65" l="1"/>
  <c r="AZ99" i="65"/>
  <c r="AY99" i="65"/>
  <c r="AS99" i="65"/>
  <c r="AX99" i="65"/>
  <c r="AM98" i="65"/>
  <c r="AU99" i="65"/>
  <c r="AT99" i="65"/>
  <c r="U97" i="65"/>
  <c r="AH97" i="65"/>
  <c r="Q98" i="65"/>
  <c r="AB95" i="65"/>
  <c r="Y96" i="65"/>
  <c r="AG96" i="65" s="1"/>
  <c r="D98" i="65"/>
  <c r="E98" i="65" s="1"/>
  <c r="F98" i="65" s="1"/>
  <c r="G98" i="65" s="1"/>
  <c r="H98" i="65" s="1"/>
  <c r="I98" i="65" s="1"/>
  <c r="J98" i="65" s="1"/>
  <c r="K98" i="65" s="1"/>
  <c r="AE97" i="65"/>
  <c r="AV97" i="65"/>
  <c r="AF97" i="65"/>
  <c r="R97" i="65"/>
  <c r="S97" i="65" s="1"/>
  <c r="Y97" i="65" s="1"/>
  <c r="AP98" i="63" a="1"/>
  <c r="AP98" i="63" s="1"/>
  <c r="B100" i="65" s="1"/>
  <c r="C99" i="65"/>
  <c r="P99" i="65" s="1"/>
  <c r="L99" i="65"/>
  <c r="M99" i="65" s="1"/>
  <c r="O99" i="65"/>
  <c r="AZ100" i="65" l="1"/>
  <c r="BA100" i="65"/>
  <c r="AY100" i="65"/>
  <c r="AS100" i="65"/>
  <c r="AX100" i="65"/>
  <c r="AM99" i="65"/>
  <c r="AT100" i="65"/>
  <c r="AU100" i="65"/>
  <c r="U98" i="65"/>
  <c r="AH98" i="65"/>
  <c r="AC95" i="65"/>
  <c r="AD95" i="65" s="1"/>
  <c r="Q99" i="65"/>
  <c r="AB96" i="65"/>
  <c r="AB97" i="65"/>
  <c r="D99" i="65"/>
  <c r="E99" i="65" s="1"/>
  <c r="F99" i="65" s="1"/>
  <c r="G99" i="65" s="1"/>
  <c r="H99" i="65" s="1"/>
  <c r="I99" i="65" s="1"/>
  <c r="J99" i="65" s="1"/>
  <c r="K99" i="65" s="1"/>
  <c r="AP99" i="63" a="1"/>
  <c r="AP99" i="63" s="1"/>
  <c r="B101" i="65" s="1"/>
  <c r="C100" i="65"/>
  <c r="P100" i="65" s="1"/>
  <c r="O100" i="65"/>
  <c r="L100" i="65"/>
  <c r="M100" i="65" s="1"/>
  <c r="AG97" i="65"/>
  <c r="AF98" i="65"/>
  <c r="AE98" i="65"/>
  <c r="R98" i="65"/>
  <c r="S98" i="65" s="1"/>
  <c r="AV98" i="65"/>
  <c r="AZ101" i="65" l="1"/>
  <c r="BA101" i="65"/>
  <c r="AY101" i="65"/>
  <c r="AS101" i="65"/>
  <c r="AX101" i="65"/>
  <c r="AM100" i="65"/>
  <c r="AU101" i="65"/>
  <c r="AT101" i="65"/>
  <c r="U99" i="65"/>
  <c r="AH99" i="65"/>
  <c r="AC97" i="65"/>
  <c r="AD97" i="65" s="1"/>
  <c r="AC96" i="65"/>
  <c r="AD96" i="65" s="1"/>
  <c r="Q100" i="65"/>
  <c r="Y98" i="65"/>
  <c r="AG98" i="65" s="1"/>
  <c r="AP100" i="63" a="1"/>
  <c r="AP100" i="63" s="1"/>
  <c r="B102" i="65" s="1"/>
  <c r="D100" i="65"/>
  <c r="E100" i="65" s="1"/>
  <c r="F100" i="65" s="1"/>
  <c r="G100" i="65" s="1"/>
  <c r="H100" i="65" s="1"/>
  <c r="I100" i="65" s="1"/>
  <c r="J100" i="65" s="1"/>
  <c r="K100" i="65" s="1"/>
  <c r="O101" i="65"/>
  <c r="C101" i="65"/>
  <c r="P101" i="65" s="1"/>
  <c r="L101" i="65"/>
  <c r="M101" i="65" s="1"/>
  <c r="AE99" i="65"/>
  <c r="AF99" i="65"/>
  <c r="AV99" i="65"/>
  <c r="R99" i="65"/>
  <c r="S99" i="65" s="1"/>
  <c r="BA102" i="65" l="1"/>
  <c r="AZ102" i="65"/>
  <c r="AY102" i="65"/>
  <c r="AS102" i="65"/>
  <c r="AX102" i="65"/>
  <c r="AM101" i="65"/>
  <c r="AU102" i="65"/>
  <c r="AT102" i="65"/>
  <c r="U100" i="65"/>
  <c r="AH100" i="65"/>
  <c r="Q101" i="65"/>
  <c r="AB98" i="65"/>
  <c r="Y99" i="65"/>
  <c r="AG99" i="65" s="1"/>
  <c r="D101" i="65"/>
  <c r="E101" i="65" s="1"/>
  <c r="F101" i="65" s="1"/>
  <c r="G101" i="65" s="1"/>
  <c r="H101" i="65" s="1"/>
  <c r="I101" i="65" s="1"/>
  <c r="J101" i="65" s="1"/>
  <c r="K101" i="65" s="1"/>
  <c r="AV100" i="65"/>
  <c r="R100" i="65"/>
  <c r="S100" i="65" s="1"/>
  <c r="AF100" i="65"/>
  <c r="AE100" i="65"/>
  <c r="C102" i="65"/>
  <c r="P102" i="65" s="1"/>
  <c r="L102" i="65"/>
  <c r="M102" i="65" s="1"/>
  <c r="O102" i="65"/>
  <c r="AP101" i="63" a="1"/>
  <c r="AP101" i="63" s="1"/>
  <c r="B103" i="65" s="1"/>
  <c r="BA103" i="65" l="1"/>
  <c r="AZ103" i="65"/>
  <c r="AY103" i="65"/>
  <c r="AS103" i="65"/>
  <c r="AX103" i="65"/>
  <c r="AM102" i="65"/>
  <c r="AU103" i="65"/>
  <c r="AT103" i="65"/>
  <c r="U101" i="65"/>
  <c r="AH101" i="65"/>
  <c r="AC98" i="65"/>
  <c r="AD98" i="65" s="1"/>
  <c r="Q102" i="65"/>
  <c r="AB99" i="65"/>
  <c r="Y100" i="65"/>
  <c r="AB100" i="65" s="1"/>
  <c r="L103" i="65"/>
  <c r="M103" i="65" s="1"/>
  <c r="C103" i="65"/>
  <c r="P103" i="65" s="1"/>
  <c r="O103" i="65"/>
  <c r="AP102" i="63" a="1"/>
  <c r="AP102" i="63" s="1"/>
  <c r="B104" i="65" s="1"/>
  <c r="D102" i="65"/>
  <c r="E102" i="65" s="1"/>
  <c r="F102" i="65" s="1"/>
  <c r="G102" i="65" s="1"/>
  <c r="H102" i="65" s="1"/>
  <c r="I102" i="65" s="1"/>
  <c r="J102" i="65" s="1"/>
  <c r="K102" i="65" s="1"/>
  <c r="AV101" i="65"/>
  <c r="R101" i="65"/>
  <c r="S101" i="65" s="1"/>
  <c r="AE101" i="65"/>
  <c r="AF101" i="65"/>
  <c r="BA104" i="65" l="1"/>
  <c r="AZ104" i="65"/>
  <c r="AY104" i="65"/>
  <c r="AS104" i="65"/>
  <c r="AX104" i="65"/>
  <c r="AM103" i="65"/>
  <c r="AT104" i="65"/>
  <c r="AU104" i="65"/>
  <c r="U102" i="65"/>
  <c r="AH102" i="65"/>
  <c r="AC100" i="65"/>
  <c r="AD100" i="65" s="1"/>
  <c r="AC99" i="65"/>
  <c r="AD99" i="65" s="1"/>
  <c r="Q103" i="65"/>
  <c r="Y101" i="65"/>
  <c r="AB101" i="65" s="1"/>
  <c r="AG100" i="65"/>
  <c r="D103" i="65"/>
  <c r="E103" i="65" s="1"/>
  <c r="F103" i="65" s="1"/>
  <c r="G103" i="65" s="1"/>
  <c r="H103" i="65" s="1"/>
  <c r="I103" i="65" s="1"/>
  <c r="J103" i="65" s="1"/>
  <c r="K103" i="65" s="1"/>
  <c r="AP103" i="63" a="1"/>
  <c r="AP103" i="63" s="1"/>
  <c r="B105" i="65" s="1"/>
  <c r="AV102" i="65"/>
  <c r="AF102" i="65"/>
  <c r="AE102" i="65"/>
  <c r="R102" i="65"/>
  <c r="S102" i="65" s="1"/>
  <c r="Y102" i="65" s="1"/>
  <c r="O104" i="65"/>
  <c r="L104" i="65"/>
  <c r="M104" i="65" s="1"/>
  <c r="C104" i="65"/>
  <c r="P104" i="65" s="1"/>
  <c r="BA105" i="65" l="1"/>
  <c r="AZ105" i="65"/>
  <c r="AY105" i="65"/>
  <c r="AS105" i="65"/>
  <c r="AX105" i="65"/>
  <c r="AM104" i="65"/>
  <c r="AU105" i="65"/>
  <c r="AT105" i="65"/>
  <c r="U103" i="65"/>
  <c r="AH103" i="65"/>
  <c r="AC101" i="65"/>
  <c r="AD101" i="65" s="1"/>
  <c r="Q104" i="65"/>
  <c r="AG101" i="65"/>
  <c r="AB102" i="65"/>
  <c r="C105" i="65"/>
  <c r="P105" i="65" s="1"/>
  <c r="L105" i="65"/>
  <c r="M105" i="65" s="1"/>
  <c r="O105" i="65"/>
  <c r="AP104" i="63" a="1"/>
  <c r="AP104" i="63" s="1"/>
  <c r="B106" i="65" s="1"/>
  <c r="AG102" i="65"/>
  <c r="AV103" i="65"/>
  <c r="R103" i="65"/>
  <c r="S103" i="65" s="1"/>
  <c r="AE103" i="65"/>
  <c r="AF103" i="65"/>
  <c r="D104" i="65"/>
  <c r="E104" i="65" s="1"/>
  <c r="F104" i="65" s="1"/>
  <c r="G104" i="65" s="1"/>
  <c r="H104" i="65" s="1"/>
  <c r="I104" i="65" s="1"/>
  <c r="J104" i="65" s="1"/>
  <c r="K104" i="65" s="1"/>
  <c r="AY106" i="65" l="1"/>
  <c r="BA106" i="65"/>
  <c r="AZ106" i="65"/>
  <c r="AS106" i="65"/>
  <c r="AX106" i="65"/>
  <c r="AM105" i="65"/>
  <c r="AU106" i="65"/>
  <c r="AT106" i="65"/>
  <c r="U104" i="65"/>
  <c r="AH104" i="65"/>
  <c r="AC102" i="65"/>
  <c r="AD102" i="65" s="1"/>
  <c r="Q105" i="65"/>
  <c r="Y103" i="65"/>
  <c r="AB103" i="65" s="1"/>
  <c r="C106" i="65"/>
  <c r="P106" i="65" s="1"/>
  <c r="O106" i="65"/>
  <c r="L106" i="65"/>
  <c r="M106" i="65" s="1"/>
  <c r="AP105" i="63" a="1"/>
  <c r="AP105" i="63" s="1"/>
  <c r="B107" i="65" s="1"/>
  <c r="AF104" i="65"/>
  <c r="AE104" i="65"/>
  <c r="R104" i="65"/>
  <c r="S104" i="65" s="1"/>
  <c r="Y104" i="65" s="1"/>
  <c r="AV104" i="65"/>
  <c r="D105" i="65"/>
  <c r="E105" i="65" s="1"/>
  <c r="F105" i="65" s="1"/>
  <c r="G105" i="65" s="1"/>
  <c r="H105" i="65" s="1"/>
  <c r="I105" i="65" s="1"/>
  <c r="J105" i="65" s="1"/>
  <c r="K105" i="65" s="1"/>
  <c r="AZ107" i="65" l="1"/>
  <c r="BA107" i="65"/>
  <c r="AY107" i="65"/>
  <c r="AS107" i="65"/>
  <c r="AX107" i="65"/>
  <c r="AM106" i="65"/>
  <c r="AU107" i="65"/>
  <c r="AT107" i="65"/>
  <c r="U105" i="65"/>
  <c r="AH105" i="65"/>
  <c r="AC103" i="65"/>
  <c r="AD103" i="65" s="1"/>
  <c r="Q106" i="65"/>
  <c r="AG103" i="65"/>
  <c r="AB104" i="65"/>
  <c r="R105" i="65"/>
  <c r="S105" i="65" s="1"/>
  <c r="AV105" i="65"/>
  <c r="AE105" i="65"/>
  <c r="AF105" i="65"/>
  <c r="O107" i="65"/>
  <c r="L107" i="65"/>
  <c r="M107" i="65" s="1"/>
  <c r="C107" i="65"/>
  <c r="P107" i="65" s="1"/>
  <c r="AP106" i="63" a="1"/>
  <c r="AP106" i="63" s="1"/>
  <c r="B108" i="65" s="1"/>
  <c r="AG104" i="65"/>
  <c r="D106" i="65"/>
  <c r="E106" i="65" s="1"/>
  <c r="F106" i="65" s="1"/>
  <c r="G106" i="65" s="1"/>
  <c r="H106" i="65" s="1"/>
  <c r="I106" i="65" s="1"/>
  <c r="J106" i="65" s="1"/>
  <c r="K106" i="65" s="1"/>
  <c r="BA108" i="65" l="1"/>
  <c r="AZ108" i="65"/>
  <c r="AY108" i="65"/>
  <c r="AS108" i="65"/>
  <c r="AX108" i="65"/>
  <c r="AM107" i="65"/>
  <c r="AT108" i="65"/>
  <c r="AU108" i="65"/>
  <c r="U106" i="65"/>
  <c r="AH106" i="65"/>
  <c r="AC104" i="65"/>
  <c r="AD104" i="65" s="1"/>
  <c r="Q107" i="65"/>
  <c r="Y105" i="65"/>
  <c r="AG105" i="65" s="1"/>
  <c r="AV106" i="65"/>
  <c r="R106" i="65"/>
  <c r="S106" i="65" s="1"/>
  <c r="AF106" i="65"/>
  <c r="AE106" i="65"/>
  <c r="D107" i="65"/>
  <c r="E107" i="65" s="1"/>
  <c r="F107" i="65" s="1"/>
  <c r="G107" i="65" s="1"/>
  <c r="H107" i="65" s="1"/>
  <c r="I107" i="65" s="1"/>
  <c r="J107" i="65" s="1"/>
  <c r="K107" i="65" s="1"/>
  <c r="L108" i="65"/>
  <c r="M108" i="65" s="1"/>
  <c r="C108" i="65"/>
  <c r="P108" i="65" s="1"/>
  <c r="O108" i="65"/>
  <c r="AP107" i="63" a="1"/>
  <c r="AP107" i="63" s="1"/>
  <c r="B109" i="65" s="1"/>
  <c r="BA109" i="65" l="1"/>
  <c r="AZ109" i="65"/>
  <c r="AY109" i="65"/>
  <c r="AS109" i="65"/>
  <c r="AX109" i="65"/>
  <c r="AM108" i="65"/>
  <c r="AU109" i="65"/>
  <c r="AT109" i="65"/>
  <c r="U107" i="65"/>
  <c r="AH107" i="65"/>
  <c r="Q108" i="65"/>
  <c r="AB105" i="65"/>
  <c r="Y106" i="65"/>
  <c r="AB106" i="65" s="1"/>
  <c r="AP108" i="63" a="1"/>
  <c r="AP108" i="63" s="1"/>
  <c r="B110" i="65" s="1"/>
  <c r="AE107" i="65"/>
  <c r="R107" i="65"/>
  <c r="S107" i="65" s="1"/>
  <c r="AF107" i="65"/>
  <c r="AV107" i="65"/>
  <c r="D108" i="65"/>
  <c r="E108" i="65" s="1"/>
  <c r="F108" i="65" s="1"/>
  <c r="G108" i="65" s="1"/>
  <c r="H108" i="65" s="1"/>
  <c r="I108" i="65" s="1"/>
  <c r="J108" i="65" s="1"/>
  <c r="K108" i="65" s="1"/>
  <c r="L109" i="65"/>
  <c r="M109" i="65" s="1"/>
  <c r="O109" i="65"/>
  <c r="C109" i="65"/>
  <c r="P109" i="65" s="1"/>
  <c r="BA110" i="65" l="1"/>
  <c r="AZ110" i="65"/>
  <c r="AY110" i="65"/>
  <c r="AS110" i="65"/>
  <c r="AX110" i="65"/>
  <c r="AM109" i="65"/>
  <c r="AU110" i="65"/>
  <c r="AT110" i="65"/>
  <c r="U108" i="65"/>
  <c r="AH108" i="65"/>
  <c r="AC106" i="65"/>
  <c r="AD106" i="65" s="1"/>
  <c r="AC105" i="65"/>
  <c r="AD105" i="65" s="1"/>
  <c r="Q109" i="65"/>
  <c r="AG106" i="65"/>
  <c r="Y107" i="65"/>
  <c r="AG107" i="65" s="1"/>
  <c r="D109" i="65"/>
  <c r="E109" i="65" s="1"/>
  <c r="F109" i="65" s="1"/>
  <c r="G109" i="65" s="1"/>
  <c r="H109" i="65" s="1"/>
  <c r="I109" i="65" s="1"/>
  <c r="J109" i="65" s="1"/>
  <c r="K109" i="65" s="1"/>
  <c r="AE108" i="65"/>
  <c r="R108" i="65"/>
  <c r="S108" i="65" s="1"/>
  <c r="AF108" i="65"/>
  <c r="AV108" i="65"/>
  <c r="AP109" i="63" a="1"/>
  <c r="AP109" i="63" s="1"/>
  <c r="B111" i="65" s="1"/>
  <c r="O110" i="65"/>
  <c r="C110" i="65"/>
  <c r="P110" i="65" s="1"/>
  <c r="L110" i="65"/>
  <c r="M110" i="65" s="1"/>
  <c r="AZ111" i="65" l="1"/>
  <c r="AY111" i="65"/>
  <c r="BA111" i="65"/>
  <c r="AS111" i="65"/>
  <c r="AX111" i="65"/>
  <c r="AM110" i="65"/>
  <c r="AU111" i="65"/>
  <c r="AT111" i="65"/>
  <c r="U109" i="65"/>
  <c r="AH109" i="65"/>
  <c r="Q110" i="65"/>
  <c r="AB107" i="65"/>
  <c r="Y108" i="65"/>
  <c r="AG108" i="65" s="1"/>
  <c r="D110" i="65"/>
  <c r="E110" i="65" s="1"/>
  <c r="F110" i="65" s="1"/>
  <c r="G110" i="65" s="1"/>
  <c r="H110" i="65" s="1"/>
  <c r="I110" i="65" s="1"/>
  <c r="J110" i="65" s="1"/>
  <c r="K110" i="65" s="1"/>
  <c r="AP110" i="63" a="1"/>
  <c r="AP110" i="63" s="1"/>
  <c r="B112" i="65" s="1"/>
  <c r="AE109" i="65"/>
  <c r="AV109" i="65"/>
  <c r="AF109" i="65"/>
  <c r="R109" i="65"/>
  <c r="S109" i="65" s="1"/>
  <c r="O111" i="65"/>
  <c r="L111" i="65"/>
  <c r="M111" i="65" s="1"/>
  <c r="C111" i="65"/>
  <c r="P111" i="65" s="1"/>
  <c r="AZ112" i="65" l="1"/>
  <c r="BA112" i="65"/>
  <c r="AY112" i="65"/>
  <c r="AS112" i="65"/>
  <c r="AX112" i="65"/>
  <c r="AM111" i="65"/>
  <c r="AU112" i="65"/>
  <c r="AT112" i="65"/>
  <c r="U110" i="65"/>
  <c r="AH110" i="65"/>
  <c r="AC107" i="65"/>
  <c r="AD107" i="65" s="1"/>
  <c r="Q111" i="65"/>
  <c r="AB108" i="65"/>
  <c r="Y109" i="65"/>
  <c r="AB109" i="65" s="1"/>
  <c r="C112" i="65"/>
  <c r="P112" i="65" s="1"/>
  <c r="L112" i="65"/>
  <c r="M112" i="65" s="1"/>
  <c r="O112" i="65"/>
  <c r="AP111" i="63" a="1"/>
  <c r="AP111" i="63" s="1"/>
  <c r="B113" i="65" s="1"/>
  <c r="D111" i="65"/>
  <c r="E111" i="65" s="1"/>
  <c r="F111" i="65" s="1"/>
  <c r="G111" i="65" s="1"/>
  <c r="H111" i="65" s="1"/>
  <c r="I111" i="65" s="1"/>
  <c r="J111" i="65" s="1"/>
  <c r="K111" i="65" s="1"/>
  <c r="AE110" i="65"/>
  <c r="AF110" i="65"/>
  <c r="AV110" i="65"/>
  <c r="R110" i="65"/>
  <c r="S110" i="65" s="1"/>
  <c r="Y110" i="65" s="1"/>
  <c r="BA113" i="65" l="1"/>
  <c r="AZ113" i="65"/>
  <c r="AY113" i="65"/>
  <c r="AS113" i="65"/>
  <c r="AX113" i="65"/>
  <c r="AM112" i="65"/>
  <c r="AU113" i="65"/>
  <c r="AT113" i="65"/>
  <c r="U111" i="65"/>
  <c r="AH111" i="65"/>
  <c r="AC108" i="65"/>
  <c r="AD108" i="65" s="1"/>
  <c r="AC109" i="65"/>
  <c r="AD109" i="65" s="1"/>
  <c r="Q112" i="65"/>
  <c r="AB110" i="65"/>
  <c r="AG109" i="65"/>
  <c r="AP112" i="63" a="1"/>
  <c r="AP112" i="63" s="1"/>
  <c r="B114" i="65" s="1"/>
  <c r="D112" i="65"/>
  <c r="E112" i="65" s="1"/>
  <c r="F112" i="65" s="1"/>
  <c r="G112" i="65" s="1"/>
  <c r="H112" i="65" s="1"/>
  <c r="I112" i="65" s="1"/>
  <c r="J112" i="65" s="1"/>
  <c r="K112" i="65" s="1"/>
  <c r="O113" i="65"/>
  <c r="L113" i="65"/>
  <c r="M113" i="65" s="1"/>
  <c r="C113" i="65"/>
  <c r="P113" i="65" s="1"/>
  <c r="AF111" i="65"/>
  <c r="AV111" i="65"/>
  <c r="AE111" i="65"/>
  <c r="R111" i="65"/>
  <c r="S111" i="65" s="1"/>
  <c r="Y111" i="65" s="1"/>
  <c r="AG110" i="65"/>
  <c r="BA114" i="65" l="1"/>
  <c r="AY114" i="65"/>
  <c r="AZ114" i="65"/>
  <c r="AS114" i="65"/>
  <c r="AX114" i="65"/>
  <c r="AM113" i="65"/>
  <c r="AU114" i="65"/>
  <c r="AT114" i="65"/>
  <c r="U112" i="65"/>
  <c r="AH112" i="65"/>
  <c r="AC110" i="65"/>
  <c r="AD110" i="65" s="1"/>
  <c r="Q113" i="65"/>
  <c r="AB111" i="65"/>
  <c r="AG111" i="65"/>
  <c r="AP113" i="63" a="1"/>
  <c r="AP113" i="63" s="1"/>
  <c r="B115" i="65" s="1"/>
  <c r="D113" i="65"/>
  <c r="E113" i="65" s="1"/>
  <c r="F113" i="65" s="1"/>
  <c r="G113" i="65" s="1"/>
  <c r="H113" i="65" s="1"/>
  <c r="I113" i="65" s="1"/>
  <c r="J113" i="65" s="1"/>
  <c r="K113" i="65" s="1"/>
  <c r="AE112" i="65"/>
  <c r="AF112" i="65"/>
  <c r="AV112" i="65"/>
  <c r="R112" i="65"/>
  <c r="S112" i="65" s="1"/>
  <c r="O114" i="65"/>
  <c r="C114" i="65"/>
  <c r="P114" i="65" s="1"/>
  <c r="L114" i="65"/>
  <c r="M114" i="65" s="1"/>
  <c r="BA115" i="65" l="1"/>
  <c r="AZ115" i="65"/>
  <c r="AY115" i="65"/>
  <c r="AS115" i="65"/>
  <c r="AX115" i="65"/>
  <c r="AM114" i="65"/>
  <c r="AU115" i="65"/>
  <c r="AT115" i="65"/>
  <c r="U113" i="65"/>
  <c r="AH113" i="65"/>
  <c r="AC111" i="65"/>
  <c r="AD111" i="65" s="1"/>
  <c r="Q114" i="65"/>
  <c r="Y112" i="65"/>
  <c r="AB112" i="65" s="1"/>
  <c r="AP114" i="63" a="1"/>
  <c r="AP114" i="63" s="1"/>
  <c r="B116" i="65" s="1"/>
  <c r="D114" i="65"/>
  <c r="E114" i="65" s="1"/>
  <c r="F114" i="65" s="1"/>
  <c r="G114" i="65" s="1"/>
  <c r="H114" i="65" s="1"/>
  <c r="I114" i="65" s="1"/>
  <c r="J114" i="65" s="1"/>
  <c r="K114" i="65" s="1"/>
  <c r="AV113" i="65"/>
  <c r="AF113" i="65"/>
  <c r="AE113" i="65"/>
  <c r="R113" i="65"/>
  <c r="S113" i="65" s="1"/>
  <c r="L115" i="65"/>
  <c r="M115" i="65" s="1"/>
  <c r="C115" i="65"/>
  <c r="P115" i="65" s="1"/>
  <c r="O115" i="65"/>
  <c r="AZ116" i="65" l="1"/>
  <c r="BA116" i="65"/>
  <c r="AY116" i="65"/>
  <c r="AS116" i="65"/>
  <c r="AX116" i="65"/>
  <c r="AM115" i="65"/>
  <c r="AU116" i="65"/>
  <c r="AT116" i="65"/>
  <c r="U114" i="65"/>
  <c r="AH114" i="65"/>
  <c r="AC112" i="65"/>
  <c r="AD112" i="65" s="1"/>
  <c r="Q115" i="65"/>
  <c r="AG112" i="65"/>
  <c r="Y113" i="65"/>
  <c r="AB113" i="65" s="1"/>
  <c r="AF114" i="65"/>
  <c r="AV114" i="65"/>
  <c r="R114" i="65"/>
  <c r="S114" i="65" s="1"/>
  <c r="AE114" i="65"/>
  <c r="D115" i="65"/>
  <c r="E115" i="65" s="1"/>
  <c r="F115" i="65" s="1"/>
  <c r="G115" i="65" s="1"/>
  <c r="H115" i="65" s="1"/>
  <c r="I115" i="65" s="1"/>
  <c r="J115" i="65" s="1"/>
  <c r="K115" i="65" s="1"/>
  <c r="L116" i="65"/>
  <c r="M116" i="65" s="1"/>
  <c r="C116" i="65"/>
  <c r="P116" i="65" s="1"/>
  <c r="O116" i="65"/>
  <c r="AP115" i="63" a="1"/>
  <c r="AP115" i="63" s="1"/>
  <c r="B117" i="65" s="1"/>
  <c r="BA117" i="65" l="1"/>
  <c r="AZ117" i="65"/>
  <c r="AY117" i="65"/>
  <c r="AS117" i="65"/>
  <c r="AX117" i="65"/>
  <c r="AM116" i="65"/>
  <c r="AU117" i="65"/>
  <c r="AT117" i="65"/>
  <c r="U115" i="65"/>
  <c r="AH115" i="65"/>
  <c r="AC113" i="65"/>
  <c r="AD113" i="65" s="1"/>
  <c r="Q116" i="65"/>
  <c r="AG113" i="65"/>
  <c r="Y114" i="65"/>
  <c r="AB114" i="65" s="1"/>
  <c r="L117" i="65"/>
  <c r="M117" i="65" s="1"/>
  <c r="O117" i="65"/>
  <c r="C117" i="65"/>
  <c r="P117" i="65" s="1"/>
  <c r="AV115" i="65"/>
  <c r="R115" i="65"/>
  <c r="S115" i="65" s="1"/>
  <c r="Y115" i="65" s="1"/>
  <c r="AF115" i="65"/>
  <c r="AE115" i="65"/>
  <c r="D116" i="65"/>
  <c r="E116" i="65" s="1"/>
  <c r="F116" i="65" s="1"/>
  <c r="G116" i="65" s="1"/>
  <c r="H116" i="65" s="1"/>
  <c r="I116" i="65" s="1"/>
  <c r="J116" i="65" s="1"/>
  <c r="K116" i="65" s="1"/>
  <c r="AP116" i="63" a="1"/>
  <c r="AP116" i="63" s="1"/>
  <c r="B118" i="65" s="1"/>
  <c r="BA118" i="65" l="1"/>
  <c r="AZ118" i="65"/>
  <c r="AY118" i="65"/>
  <c r="AS118" i="65"/>
  <c r="AX118" i="65"/>
  <c r="AM117" i="65"/>
  <c r="AU118" i="65"/>
  <c r="AT118" i="65"/>
  <c r="U116" i="65"/>
  <c r="AH116" i="65"/>
  <c r="AC114" i="65"/>
  <c r="AD114" i="65" s="1"/>
  <c r="Q117" i="65"/>
  <c r="AG114" i="65"/>
  <c r="AB115" i="65"/>
  <c r="AP117" i="63" a="1"/>
  <c r="AP117" i="63" s="1"/>
  <c r="B119" i="65" s="1"/>
  <c r="AG115" i="65"/>
  <c r="D117" i="65"/>
  <c r="E117" i="65" s="1"/>
  <c r="F117" i="65" s="1"/>
  <c r="G117" i="65" s="1"/>
  <c r="H117" i="65" s="1"/>
  <c r="I117" i="65" s="1"/>
  <c r="J117" i="65" s="1"/>
  <c r="K117" i="65" s="1"/>
  <c r="AE116" i="65"/>
  <c r="AF116" i="65"/>
  <c r="R116" i="65"/>
  <c r="S116" i="65" s="1"/>
  <c r="AV116" i="65"/>
  <c r="L118" i="65"/>
  <c r="M118" i="65" s="1"/>
  <c r="C118" i="65"/>
  <c r="P118" i="65" s="1"/>
  <c r="O118" i="65"/>
  <c r="BA119" i="65" l="1"/>
  <c r="AY119" i="65"/>
  <c r="AZ119" i="65"/>
  <c r="AS119" i="65"/>
  <c r="AX119" i="65"/>
  <c r="AM118" i="65"/>
  <c r="AU119" i="65"/>
  <c r="AT119" i="65"/>
  <c r="U117" i="65"/>
  <c r="AH117" i="65"/>
  <c r="AC115" i="65"/>
  <c r="AD115" i="65" s="1"/>
  <c r="Q118" i="65"/>
  <c r="Y116" i="65"/>
  <c r="AB116" i="65" s="1"/>
  <c r="AV117" i="65"/>
  <c r="AF117" i="65"/>
  <c r="R117" i="65"/>
  <c r="S117" i="65" s="1"/>
  <c r="AE117" i="65"/>
  <c r="D118" i="65"/>
  <c r="E118" i="65" s="1"/>
  <c r="F118" i="65" s="1"/>
  <c r="G118" i="65" s="1"/>
  <c r="H118" i="65" s="1"/>
  <c r="I118" i="65" s="1"/>
  <c r="J118" i="65" s="1"/>
  <c r="K118" i="65" s="1"/>
  <c r="AP118" i="63" a="1"/>
  <c r="AP118" i="63" s="1"/>
  <c r="B120" i="65" s="1"/>
  <c r="O119" i="65"/>
  <c r="L119" i="65"/>
  <c r="M119" i="65" s="1"/>
  <c r="C119" i="65"/>
  <c r="P119" i="65" s="1"/>
  <c r="AZ120" i="65" l="1"/>
  <c r="AY120" i="65"/>
  <c r="BA120" i="65"/>
  <c r="AS120" i="65"/>
  <c r="AX120" i="65"/>
  <c r="AM119" i="65"/>
  <c r="AU120" i="65"/>
  <c r="AT120" i="65"/>
  <c r="U118" i="65"/>
  <c r="AH118" i="65"/>
  <c r="AC116" i="65"/>
  <c r="AD116" i="65" s="1"/>
  <c r="Q119" i="65"/>
  <c r="AG116" i="65"/>
  <c r="Y117" i="65"/>
  <c r="AB117" i="65" s="1"/>
  <c r="AV118" i="65"/>
  <c r="R118" i="65"/>
  <c r="S118" i="65" s="1"/>
  <c r="AE118" i="65"/>
  <c r="AF118" i="65"/>
  <c r="AP119" i="63" a="1"/>
  <c r="AP119" i="63" s="1"/>
  <c r="B121" i="65" s="1"/>
  <c r="C120" i="65"/>
  <c r="P120" i="65" s="1"/>
  <c r="O120" i="65"/>
  <c r="L120" i="65"/>
  <c r="M120" i="65" s="1"/>
  <c r="D119" i="65"/>
  <c r="E119" i="65" s="1"/>
  <c r="F119" i="65" s="1"/>
  <c r="G119" i="65" s="1"/>
  <c r="H119" i="65" s="1"/>
  <c r="I119" i="65" s="1"/>
  <c r="J119" i="65" s="1"/>
  <c r="K119" i="65" s="1"/>
  <c r="AZ121" i="65" l="1"/>
  <c r="AY121" i="65"/>
  <c r="BA121" i="65"/>
  <c r="AS121" i="65"/>
  <c r="AX121" i="65"/>
  <c r="AM120" i="65"/>
  <c r="AU121" i="65"/>
  <c r="AT121" i="65"/>
  <c r="U119" i="65"/>
  <c r="AH119" i="65"/>
  <c r="AC117" i="65"/>
  <c r="AD117" i="65" s="1"/>
  <c r="Q120" i="65"/>
  <c r="AG117" i="65"/>
  <c r="Y118" i="65"/>
  <c r="AB118" i="65" s="1"/>
  <c r="L121" i="65"/>
  <c r="M121" i="65" s="1"/>
  <c r="C121" i="65"/>
  <c r="P121" i="65" s="1"/>
  <c r="O121" i="65"/>
  <c r="R119" i="65"/>
  <c r="S119" i="65" s="1"/>
  <c r="Y119" i="65" s="1"/>
  <c r="AF119" i="65"/>
  <c r="AV119" i="65"/>
  <c r="AE119" i="65"/>
  <c r="AP120" i="63" a="1"/>
  <c r="AP120" i="63" s="1"/>
  <c r="B122" i="65" s="1"/>
  <c r="D120" i="65"/>
  <c r="E120" i="65" s="1"/>
  <c r="F120" i="65" s="1"/>
  <c r="G120" i="65" s="1"/>
  <c r="H120" i="65" s="1"/>
  <c r="I120" i="65" s="1"/>
  <c r="J120" i="65" s="1"/>
  <c r="K120" i="65" s="1"/>
  <c r="BA122" i="65" l="1"/>
  <c r="AY122" i="65"/>
  <c r="AZ122" i="65"/>
  <c r="AS122" i="65"/>
  <c r="AX122" i="65"/>
  <c r="AM121" i="65"/>
  <c r="AU122" i="65"/>
  <c r="AT122" i="65"/>
  <c r="U120" i="65"/>
  <c r="AH120" i="65"/>
  <c r="AC118" i="65"/>
  <c r="AD118" i="65" s="1"/>
  <c r="Q121" i="65"/>
  <c r="AG118" i="65"/>
  <c r="AB119" i="65"/>
  <c r="C122" i="65"/>
  <c r="P122" i="65" s="1"/>
  <c r="L122" i="65"/>
  <c r="M122" i="65" s="1"/>
  <c r="O122" i="65"/>
  <c r="AG119" i="65"/>
  <c r="D121" i="65"/>
  <c r="E121" i="65" s="1"/>
  <c r="F121" i="65" s="1"/>
  <c r="G121" i="65" s="1"/>
  <c r="H121" i="65" s="1"/>
  <c r="I121" i="65" s="1"/>
  <c r="J121" i="65" s="1"/>
  <c r="K121" i="65" s="1"/>
  <c r="AP121" i="63" a="1"/>
  <c r="AP121" i="63" s="1"/>
  <c r="B123" i="65" s="1"/>
  <c r="AE120" i="65"/>
  <c r="R120" i="65"/>
  <c r="S120" i="65" s="1"/>
  <c r="AV120" i="65"/>
  <c r="AF120" i="65"/>
  <c r="BA123" i="65" l="1"/>
  <c r="AZ123" i="65"/>
  <c r="AY123" i="65"/>
  <c r="AS123" i="65"/>
  <c r="AX123" i="65"/>
  <c r="AM122" i="65"/>
  <c r="AU123" i="65"/>
  <c r="AT123" i="65"/>
  <c r="U121" i="65"/>
  <c r="AH121" i="65"/>
  <c r="AC119" i="65"/>
  <c r="AD119" i="65" s="1"/>
  <c r="Q122" i="65"/>
  <c r="Y120" i="65"/>
  <c r="AB120" i="65" s="1"/>
  <c r="L123" i="65"/>
  <c r="M123" i="65" s="1"/>
  <c r="C123" i="65"/>
  <c r="P123" i="65" s="1"/>
  <c r="O123" i="65"/>
  <c r="AE121" i="65"/>
  <c r="AV121" i="65"/>
  <c r="AF121" i="65"/>
  <c r="R121" i="65"/>
  <c r="S121" i="65" s="1"/>
  <c r="Y121" i="65" s="1"/>
  <c r="D122" i="65"/>
  <c r="E122" i="65" s="1"/>
  <c r="F122" i="65" s="1"/>
  <c r="G122" i="65" s="1"/>
  <c r="H122" i="65" s="1"/>
  <c r="I122" i="65" s="1"/>
  <c r="J122" i="65" s="1"/>
  <c r="K122" i="65" s="1"/>
  <c r="AP122" i="63" a="1"/>
  <c r="AP122" i="63" s="1"/>
  <c r="B124" i="65" s="1"/>
  <c r="BA124" i="65" l="1"/>
  <c r="AZ124" i="65"/>
  <c r="AY124" i="65"/>
  <c r="AS124" i="65"/>
  <c r="AX124" i="65"/>
  <c r="AM123" i="65"/>
  <c r="AT124" i="65"/>
  <c r="AU124" i="65"/>
  <c r="U122" i="65"/>
  <c r="AH122" i="65"/>
  <c r="AC120" i="65"/>
  <c r="AD120" i="65" s="1"/>
  <c r="Q123" i="65"/>
  <c r="AG120" i="65"/>
  <c r="AB121" i="65"/>
  <c r="L124" i="65"/>
  <c r="M124" i="65" s="1"/>
  <c r="O124" i="65"/>
  <c r="C124" i="65"/>
  <c r="P124" i="65" s="1"/>
  <c r="AG121" i="65"/>
  <c r="D123" i="65"/>
  <c r="E123" i="65" s="1"/>
  <c r="F123" i="65" s="1"/>
  <c r="G123" i="65" s="1"/>
  <c r="H123" i="65" s="1"/>
  <c r="I123" i="65" s="1"/>
  <c r="J123" i="65" s="1"/>
  <c r="K123" i="65" s="1"/>
  <c r="AE122" i="65"/>
  <c r="AF122" i="65"/>
  <c r="AV122" i="65"/>
  <c r="R122" i="65"/>
  <c r="S122" i="65" s="1"/>
  <c r="Y122" i="65" s="1"/>
  <c r="AP123" i="63" a="1"/>
  <c r="AP123" i="63" s="1"/>
  <c r="B125" i="65" s="1"/>
  <c r="BA125" i="65" l="1"/>
  <c r="AY125" i="65"/>
  <c r="AZ125" i="65"/>
  <c r="AS125" i="65"/>
  <c r="AX125" i="65"/>
  <c r="AM124" i="65"/>
  <c r="AU125" i="65"/>
  <c r="AT125" i="65"/>
  <c r="U123" i="65"/>
  <c r="AH123" i="65"/>
  <c r="AC121" i="65"/>
  <c r="AD121" i="65" s="1"/>
  <c r="Q124" i="65"/>
  <c r="AB122" i="65"/>
  <c r="AG122" i="65"/>
  <c r="L125" i="65"/>
  <c r="M125" i="65" s="1"/>
  <c r="O125" i="65"/>
  <c r="C125" i="65"/>
  <c r="P125" i="65" s="1"/>
  <c r="AE123" i="65"/>
  <c r="AF123" i="65"/>
  <c r="R123" i="65"/>
  <c r="S123" i="65" s="1"/>
  <c r="AV123" i="65"/>
  <c r="D124" i="65"/>
  <c r="E124" i="65" s="1"/>
  <c r="F124" i="65" s="1"/>
  <c r="G124" i="65" s="1"/>
  <c r="H124" i="65" s="1"/>
  <c r="I124" i="65" s="1"/>
  <c r="J124" i="65" s="1"/>
  <c r="K124" i="65" s="1"/>
  <c r="AP124" i="63" a="1"/>
  <c r="AP124" i="63" s="1"/>
  <c r="B126" i="65" s="1"/>
  <c r="BA126" i="65" l="1"/>
  <c r="AZ126" i="65"/>
  <c r="AY126" i="65"/>
  <c r="AS126" i="65"/>
  <c r="AX126" i="65"/>
  <c r="AM125" i="65"/>
  <c r="AU126" i="65"/>
  <c r="AT126" i="65"/>
  <c r="U124" i="65"/>
  <c r="AH124" i="65"/>
  <c r="AC122" i="65"/>
  <c r="AD122" i="65" s="1"/>
  <c r="Q125" i="65"/>
  <c r="Y123" i="65"/>
  <c r="AB123" i="65" s="1"/>
  <c r="AE124" i="65"/>
  <c r="AV124" i="65"/>
  <c r="R124" i="65"/>
  <c r="S124" i="65" s="1"/>
  <c r="Y124" i="65" s="1"/>
  <c r="AF124" i="65"/>
  <c r="C126" i="65"/>
  <c r="P126" i="65" s="1"/>
  <c r="O126" i="65"/>
  <c r="L126" i="65"/>
  <c r="M126" i="65" s="1"/>
  <c r="AP125" i="63" a="1"/>
  <c r="AP125" i="63" s="1"/>
  <c r="B127" i="65" s="1"/>
  <c r="D125" i="65"/>
  <c r="E125" i="65" s="1"/>
  <c r="F125" i="65" s="1"/>
  <c r="G125" i="65" s="1"/>
  <c r="H125" i="65" s="1"/>
  <c r="I125" i="65" s="1"/>
  <c r="J125" i="65" s="1"/>
  <c r="K125" i="65" s="1"/>
  <c r="BA127" i="65" l="1"/>
  <c r="AZ127" i="65"/>
  <c r="AY127" i="65"/>
  <c r="AS127" i="65"/>
  <c r="AX127" i="65"/>
  <c r="AM126" i="65"/>
  <c r="AU127" i="65"/>
  <c r="AT127" i="65"/>
  <c r="U125" i="65"/>
  <c r="AH125" i="65"/>
  <c r="AC123" i="65"/>
  <c r="AD123" i="65" s="1"/>
  <c r="Q126" i="65"/>
  <c r="AB124" i="65"/>
  <c r="AG123" i="65"/>
  <c r="AP126" i="63" a="1"/>
  <c r="AP126" i="63" s="1"/>
  <c r="B128" i="65" s="1"/>
  <c r="AG124" i="65"/>
  <c r="C127" i="65"/>
  <c r="P127" i="65" s="1"/>
  <c r="O127" i="65"/>
  <c r="L127" i="65"/>
  <c r="M127" i="65" s="1"/>
  <c r="D126" i="65"/>
  <c r="E126" i="65" s="1"/>
  <c r="F126" i="65" s="1"/>
  <c r="G126" i="65" s="1"/>
  <c r="H126" i="65" s="1"/>
  <c r="I126" i="65" s="1"/>
  <c r="J126" i="65" s="1"/>
  <c r="K126" i="65" s="1"/>
  <c r="AF125" i="65"/>
  <c r="AE125" i="65"/>
  <c r="AV125" i="65"/>
  <c r="R125" i="65"/>
  <c r="S125" i="65" s="1"/>
  <c r="BA128" i="65" l="1"/>
  <c r="AY128" i="65"/>
  <c r="AZ128" i="65"/>
  <c r="AS128" i="65"/>
  <c r="AX128" i="65"/>
  <c r="AM127" i="65"/>
  <c r="AU128" i="65"/>
  <c r="AT128" i="65"/>
  <c r="U126" i="65"/>
  <c r="AH126" i="65"/>
  <c r="AC124" i="65"/>
  <c r="AD124" i="65" s="1"/>
  <c r="Q127" i="65"/>
  <c r="Y125" i="65"/>
  <c r="AB125" i="65" s="1"/>
  <c r="AP127" i="63" a="1"/>
  <c r="AP127" i="63" s="1"/>
  <c r="B129" i="65" s="1"/>
  <c r="D127" i="65"/>
  <c r="E127" i="65" s="1"/>
  <c r="F127" i="65" s="1"/>
  <c r="G127" i="65" s="1"/>
  <c r="H127" i="65" s="1"/>
  <c r="I127" i="65" s="1"/>
  <c r="J127" i="65" s="1"/>
  <c r="K127" i="65" s="1"/>
  <c r="AV126" i="65"/>
  <c r="AF126" i="65"/>
  <c r="R126" i="65"/>
  <c r="S126" i="65" s="1"/>
  <c r="Y126" i="65" s="1"/>
  <c r="AE126" i="65"/>
  <c r="L128" i="65"/>
  <c r="M128" i="65" s="1"/>
  <c r="O128" i="65"/>
  <c r="C128" i="65"/>
  <c r="P128" i="65" s="1"/>
  <c r="AZ129" i="65" l="1"/>
  <c r="BA129" i="65"/>
  <c r="AY129" i="65"/>
  <c r="AS129" i="65"/>
  <c r="AX129" i="65"/>
  <c r="AM128" i="65"/>
  <c r="AU129" i="65"/>
  <c r="AT129" i="65"/>
  <c r="U127" i="65"/>
  <c r="AH127" i="65"/>
  <c r="AC125" i="65"/>
  <c r="AD125" i="65" s="1"/>
  <c r="Q128" i="65"/>
  <c r="AG125" i="65"/>
  <c r="AB126" i="65"/>
  <c r="AG126" i="65"/>
  <c r="AP128" i="63" a="1"/>
  <c r="AP128" i="63" s="1"/>
  <c r="B130" i="65" s="1"/>
  <c r="D128" i="65"/>
  <c r="E128" i="65" s="1"/>
  <c r="F128" i="65" s="1"/>
  <c r="G128" i="65" s="1"/>
  <c r="H128" i="65" s="1"/>
  <c r="I128" i="65" s="1"/>
  <c r="J128" i="65" s="1"/>
  <c r="K128" i="65" s="1"/>
  <c r="AF127" i="65"/>
  <c r="AV127" i="65"/>
  <c r="AE127" i="65"/>
  <c r="R127" i="65"/>
  <c r="S127" i="65" s="1"/>
  <c r="O129" i="65"/>
  <c r="L129" i="65"/>
  <c r="M129" i="65" s="1"/>
  <c r="C129" i="65"/>
  <c r="P129" i="65" s="1"/>
  <c r="AY130" i="65" l="1"/>
  <c r="AZ130" i="65"/>
  <c r="BA130" i="65"/>
  <c r="AS130" i="65"/>
  <c r="AX130" i="65"/>
  <c r="AM129" i="65"/>
  <c r="AU130" i="65"/>
  <c r="AT130" i="65"/>
  <c r="U128" i="65"/>
  <c r="AH128" i="65"/>
  <c r="AC126" i="65"/>
  <c r="AD126" i="65" s="1"/>
  <c r="Q129" i="65"/>
  <c r="Y127" i="65"/>
  <c r="AB127" i="65" s="1"/>
  <c r="D129" i="65"/>
  <c r="E129" i="65" s="1"/>
  <c r="F129" i="65" s="1"/>
  <c r="G129" i="65" s="1"/>
  <c r="H129" i="65" s="1"/>
  <c r="I129" i="65" s="1"/>
  <c r="J129" i="65" s="1"/>
  <c r="K129" i="65" s="1"/>
  <c r="AP129" i="63" a="1"/>
  <c r="AP129" i="63" s="1"/>
  <c r="B131" i="65" s="1"/>
  <c r="AV128" i="65"/>
  <c r="AF128" i="65"/>
  <c r="R128" i="65"/>
  <c r="S128" i="65" s="1"/>
  <c r="AE128" i="65"/>
  <c r="O130" i="65"/>
  <c r="C130" i="65"/>
  <c r="P130" i="65" s="1"/>
  <c r="L130" i="65"/>
  <c r="M130" i="65" s="1"/>
  <c r="BA131" i="65" l="1"/>
  <c r="AZ131" i="65"/>
  <c r="AY131" i="65"/>
  <c r="AS131" i="65"/>
  <c r="AX131" i="65"/>
  <c r="AM130" i="65"/>
  <c r="AU131" i="65"/>
  <c r="AT131" i="65"/>
  <c r="U129" i="65"/>
  <c r="AH129" i="65"/>
  <c r="AC127" i="65"/>
  <c r="AD127" i="65" s="1"/>
  <c r="Q130" i="65"/>
  <c r="AG127" i="65"/>
  <c r="Y128" i="65"/>
  <c r="AB128" i="65" s="1"/>
  <c r="AP130" i="63" a="1"/>
  <c r="AP130" i="63" s="1"/>
  <c r="B132" i="65" s="1"/>
  <c r="L131" i="65"/>
  <c r="M131" i="65" s="1"/>
  <c r="O131" i="65"/>
  <c r="C131" i="65"/>
  <c r="P131" i="65" s="1"/>
  <c r="AV129" i="65"/>
  <c r="R129" i="65"/>
  <c r="S129" i="65" s="1"/>
  <c r="Y129" i="65" s="1"/>
  <c r="AF129" i="65"/>
  <c r="AE129" i="65"/>
  <c r="D130" i="65"/>
  <c r="E130" i="65" s="1"/>
  <c r="F130" i="65" s="1"/>
  <c r="G130" i="65" s="1"/>
  <c r="H130" i="65" s="1"/>
  <c r="I130" i="65" s="1"/>
  <c r="J130" i="65" s="1"/>
  <c r="K130" i="65" s="1"/>
  <c r="BA132" i="65" l="1"/>
  <c r="AZ132" i="65"/>
  <c r="AY132" i="65"/>
  <c r="AS132" i="65"/>
  <c r="AX132" i="65"/>
  <c r="AM131" i="65"/>
  <c r="AU132" i="65"/>
  <c r="AT132" i="65"/>
  <c r="U130" i="65"/>
  <c r="AH130" i="65"/>
  <c r="AC128" i="65"/>
  <c r="AD128" i="65" s="1"/>
  <c r="Q131" i="65"/>
  <c r="AG128" i="65"/>
  <c r="AB129" i="65"/>
  <c r="AG129" i="65"/>
  <c r="C132" i="65"/>
  <c r="P132" i="65" s="1"/>
  <c r="L132" i="65"/>
  <c r="M132" i="65" s="1"/>
  <c r="O132" i="65"/>
  <c r="D131" i="65"/>
  <c r="E131" i="65" s="1"/>
  <c r="F131" i="65" s="1"/>
  <c r="G131" i="65" s="1"/>
  <c r="H131" i="65" s="1"/>
  <c r="I131" i="65" s="1"/>
  <c r="J131" i="65" s="1"/>
  <c r="K131" i="65" s="1"/>
  <c r="AP131" i="63" a="1"/>
  <c r="AP131" i="63" s="1"/>
  <c r="B133" i="65" s="1"/>
  <c r="R130" i="65"/>
  <c r="S130" i="65" s="1"/>
  <c r="AV130" i="65"/>
  <c r="AF130" i="65"/>
  <c r="AE130" i="65"/>
  <c r="BA133" i="65" l="1"/>
  <c r="AZ133" i="65"/>
  <c r="AY133" i="65"/>
  <c r="AS133" i="65"/>
  <c r="AX133" i="65"/>
  <c r="AM132" i="65"/>
  <c r="AU133" i="65"/>
  <c r="AT133" i="65"/>
  <c r="U131" i="65"/>
  <c r="AH131" i="65"/>
  <c r="AC129" i="65"/>
  <c r="AD129" i="65" s="1"/>
  <c r="Q132" i="65"/>
  <c r="Y130" i="65"/>
  <c r="AG130" i="65" s="1"/>
  <c r="AF131" i="65"/>
  <c r="R131" i="65"/>
  <c r="S131" i="65" s="1"/>
  <c r="AE131" i="65"/>
  <c r="AV131" i="65"/>
  <c r="AP132" i="63" a="1"/>
  <c r="AP132" i="63" s="1"/>
  <c r="B134" i="65" s="1"/>
  <c r="O133" i="65"/>
  <c r="C133" i="65"/>
  <c r="P133" i="65" s="1"/>
  <c r="L133" i="65"/>
  <c r="M133" i="65" s="1"/>
  <c r="D132" i="65"/>
  <c r="E132" i="65" s="1"/>
  <c r="F132" i="65" s="1"/>
  <c r="G132" i="65" s="1"/>
  <c r="H132" i="65" s="1"/>
  <c r="I132" i="65" s="1"/>
  <c r="J132" i="65" s="1"/>
  <c r="K132" i="65" s="1"/>
  <c r="BA134" i="65" l="1"/>
  <c r="AZ134" i="65"/>
  <c r="AY134" i="65"/>
  <c r="AS134" i="65"/>
  <c r="AX134" i="65"/>
  <c r="AM133" i="65"/>
  <c r="AU134" i="65"/>
  <c r="AT134" i="65"/>
  <c r="U132" i="65"/>
  <c r="AH132" i="65"/>
  <c r="Q133" i="65"/>
  <c r="AB130" i="65"/>
  <c r="Y131" i="65"/>
  <c r="AB131" i="65" s="1"/>
  <c r="D133" i="65"/>
  <c r="E133" i="65" s="1"/>
  <c r="F133" i="65" s="1"/>
  <c r="G133" i="65" s="1"/>
  <c r="H133" i="65" s="1"/>
  <c r="I133" i="65" s="1"/>
  <c r="J133" i="65" s="1"/>
  <c r="K133" i="65" s="1"/>
  <c r="C134" i="65"/>
  <c r="P134" i="65" s="1"/>
  <c r="L134" i="65"/>
  <c r="M134" i="65" s="1"/>
  <c r="O134" i="65"/>
  <c r="AE132" i="65"/>
  <c r="AV132" i="65"/>
  <c r="AF132" i="65"/>
  <c r="R132" i="65"/>
  <c r="S132" i="65" s="1"/>
  <c r="Y132" i="65" s="1"/>
  <c r="AP133" i="63" a="1"/>
  <c r="AP133" i="63" s="1"/>
  <c r="B135" i="65" s="1"/>
  <c r="AZ135" i="65" l="1"/>
  <c r="BA135" i="65"/>
  <c r="AY135" i="65"/>
  <c r="AS135" i="65"/>
  <c r="AX135" i="65"/>
  <c r="AM134" i="65"/>
  <c r="AU135" i="65"/>
  <c r="AT135" i="65"/>
  <c r="U133" i="65"/>
  <c r="AH133" i="65"/>
  <c r="AC131" i="65"/>
  <c r="AD131" i="65" s="1"/>
  <c r="AC130" i="65"/>
  <c r="AD130" i="65" s="1"/>
  <c r="Q134" i="65"/>
  <c r="AB132" i="65"/>
  <c r="AG131" i="65"/>
  <c r="AG132" i="65"/>
  <c r="L135" i="65"/>
  <c r="M135" i="65" s="1"/>
  <c r="O135" i="65"/>
  <c r="C135" i="65"/>
  <c r="P135" i="65" s="1"/>
  <c r="R133" i="65"/>
  <c r="S133" i="65" s="1"/>
  <c r="AF133" i="65"/>
  <c r="AV133" i="65"/>
  <c r="AE133" i="65"/>
  <c r="D134" i="65"/>
  <c r="E134" i="65" s="1"/>
  <c r="F134" i="65" s="1"/>
  <c r="G134" i="65" s="1"/>
  <c r="H134" i="65" s="1"/>
  <c r="I134" i="65" s="1"/>
  <c r="J134" i="65" s="1"/>
  <c r="K134" i="65" s="1"/>
  <c r="AP134" i="63" a="1"/>
  <c r="AP134" i="63" s="1"/>
  <c r="B136" i="65" s="1"/>
  <c r="BA136" i="65" l="1"/>
  <c r="AY136" i="65"/>
  <c r="AZ136" i="65"/>
  <c r="AS136" i="65"/>
  <c r="AX136" i="65"/>
  <c r="AM135" i="65"/>
  <c r="AU136" i="65"/>
  <c r="AT136" i="65"/>
  <c r="U134" i="65"/>
  <c r="AH134" i="65"/>
  <c r="AC132" i="65"/>
  <c r="AD132" i="65" s="1"/>
  <c r="Q135" i="65"/>
  <c r="Y133" i="65"/>
  <c r="AB133" i="65" s="1"/>
  <c r="L136" i="65"/>
  <c r="M136" i="65" s="1"/>
  <c r="O136" i="65"/>
  <c r="C136" i="65"/>
  <c r="P136" i="65" s="1"/>
  <c r="D135" i="65"/>
  <c r="E135" i="65" s="1"/>
  <c r="F135" i="65" s="1"/>
  <c r="G135" i="65" s="1"/>
  <c r="H135" i="65" s="1"/>
  <c r="I135" i="65" s="1"/>
  <c r="J135" i="65" s="1"/>
  <c r="K135" i="65" s="1"/>
  <c r="R134" i="65"/>
  <c r="S134" i="65" s="1"/>
  <c r="Y134" i="65" s="1"/>
  <c r="AV134" i="65"/>
  <c r="AF134" i="65"/>
  <c r="AE134" i="65"/>
  <c r="AP135" i="63" a="1"/>
  <c r="AP135" i="63" s="1"/>
  <c r="B137" i="65" s="1"/>
  <c r="AZ137" i="65" l="1"/>
  <c r="AY137" i="65"/>
  <c r="BA137" i="65"/>
  <c r="AS137" i="65"/>
  <c r="AX137" i="65"/>
  <c r="AM136" i="65"/>
  <c r="AU137" i="65"/>
  <c r="AT137" i="65"/>
  <c r="U135" i="65"/>
  <c r="AH135" i="65"/>
  <c r="AC133" i="65"/>
  <c r="AD133" i="65" s="1"/>
  <c r="AG133" i="65"/>
  <c r="Q136" i="65"/>
  <c r="AB134" i="65"/>
  <c r="AG134" i="65"/>
  <c r="O137" i="65"/>
  <c r="C137" i="65"/>
  <c r="P137" i="65" s="1"/>
  <c r="L137" i="65"/>
  <c r="M137" i="65" s="1"/>
  <c r="D136" i="65"/>
  <c r="E136" i="65" s="1"/>
  <c r="F136" i="65" s="1"/>
  <c r="G136" i="65" s="1"/>
  <c r="H136" i="65" s="1"/>
  <c r="I136" i="65" s="1"/>
  <c r="J136" i="65" s="1"/>
  <c r="K136" i="65" s="1"/>
  <c r="AV135" i="65"/>
  <c r="R135" i="65"/>
  <c r="S135" i="65" s="1"/>
  <c r="AF135" i="65"/>
  <c r="AE135" i="65"/>
  <c r="AP136" i="63" a="1"/>
  <c r="AP136" i="63" s="1"/>
  <c r="B138" i="65" s="1"/>
  <c r="BA138" i="65" l="1"/>
  <c r="AY138" i="65"/>
  <c r="AZ138" i="65"/>
  <c r="AS138" i="65"/>
  <c r="AX138" i="65"/>
  <c r="AM137" i="65"/>
  <c r="AU138" i="65"/>
  <c r="AT138" i="65"/>
  <c r="U136" i="65"/>
  <c r="AH136" i="65"/>
  <c r="AC134" i="65"/>
  <c r="AD134" i="65" s="1"/>
  <c r="Q137" i="65"/>
  <c r="Y135" i="65"/>
  <c r="AB135" i="65" s="1"/>
  <c r="C138" i="65"/>
  <c r="P138" i="65" s="1"/>
  <c r="O138" i="65"/>
  <c r="L138" i="65"/>
  <c r="M138" i="65" s="1"/>
  <c r="AV136" i="65"/>
  <c r="R136" i="65"/>
  <c r="S136" i="65" s="1"/>
  <c r="AF136" i="65"/>
  <c r="AE136" i="65"/>
  <c r="D137" i="65"/>
  <c r="E137" i="65" s="1"/>
  <c r="F137" i="65" s="1"/>
  <c r="G137" i="65" s="1"/>
  <c r="H137" i="65" s="1"/>
  <c r="I137" i="65" s="1"/>
  <c r="J137" i="65" s="1"/>
  <c r="K137" i="65" s="1"/>
  <c r="AP137" i="63" a="1"/>
  <c r="AP137" i="63" s="1"/>
  <c r="B139" i="65" s="1"/>
  <c r="AZ139" i="65" l="1"/>
  <c r="BA139" i="65"/>
  <c r="AY139" i="65"/>
  <c r="AS139" i="65"/>
  <c r="AX139" i="65"/>
  <c r="AM138" i="65"/>
  <c r="AU139" i="65"/>
  <c r="AT139" i="65"/>
  <c r="U137" i="65"/>
  <c r="AH137" i="65"/>
  <c r="AC135" i="65"/>
  <c r="AD135" i="65" s="1"/>
  <c r="Q138" i="65"/>
  <c r="AG135" i="65"/>
  <c r="Y136" i="65"/>
  <c r="AG136" i="65" s="1"/>
  <c r="AE137" i="65"/>
  <c r="AV137" i="65"/>
  <c r="R137" i="65"/>
  <c r="S137" i="65" s="1"/>
  <c r="AF137" i="65"/>
  <c r="O139" i="65"/>
  <c r="C139" i="65"/>
  <c r="P139" i="65" s="1"/>
  <c r="L139" i="65"/>
  <c r="M139" i="65" s="1"/>
  <c r="D138" i="65"/>
  <c r="E138" i="65" s="1"/>
  <c r="F138" i="65" s="1"/>
  <c r="G138" i="65" s="1"/>
  <c r="H138" i="65" s="1"/>
  <c r="I138" i="65" s="1"/>
  <c r="J138" i="65" s="1"/>
  <c r="K138" i="65" s="1"/>
  <c r="AP138" i="63" a="1"/>
  <c r="AP138" i="63" s="1"/>
  <c r="B140" i="65" s="1"/>
  <c r="BA140" i="65" l="1"/>
  <c r="AZ140" i="65"/>
  <c r="AY140" i="65"/>
  <c r="AS140" i="65"/>
  <c r="AX140" i="65"/>
  <c r="AM139" i="65"/>
  <c r="AT140" i="65"/>
  <c r="AU140" i="65"/>
  <c r="U138" i="65"/>
  <c r="AH138" i="65"/>
  <c r="Q139" i="65"/>
  <c r="AB136" i="65"/>
  <c r="Y137" i="65"/>
  <c r="AG137" i="65" s="1"/>
  <c r="O140" i="65"/>
  <c r="C140" i="65"/>
  <c r="P140" i="65" s="1"/>
  <c r="L140" i="65"/>
  <c r="M140" i="65" s="1"/>
  <c r="AV138" i="65"/>
  <c r="R138" i="65"/>
  <c r="S138" i="65" s="1"/>
  <c r="AE138" i="65"/>
  <c r="AF138" i="65"/>
  <c r="D139" i="65"/>
  <c r="E139" i="65" s="1"/>
  <c r="F139" i="65" s="1"/>
  <c r="G139" i="65" s="1"/>
  <c r="H139" i="65" s="1"/>
  <c r="I139" i="65" s="1"/>
  <c r="J139" i="65" s="1"/>
  <c r="K139" i="65" s="1"/>
  <c r="AP139" i="63" a="1"/>
  <c r="AP139" i="63" s="1"/>
  <c r="B141" i="65" s="1"/>
  <c r="BA141" i="65" l="1"/>
  <c r="AY141" i="65"/>
  <c r="AZ141" i="65"/>
  <c r="AS141" i="65"/>
  <c r="AX141" i="65"/>
  <c r="AM140" i="65"/>
  <c r="AU141" i="65"/>
  <c r="AT141" i="65"/>
  <c r="U139" i="65"/>
  <c r="AH139" i="65"/>
  <c r="AC136" i="65"/>
  <c r="AD136" i="65" s="1"/>
  <c r="Q140" i="65"/>
  <c r="AB137" i="65"/>
  <c r="Y138" i="65"/>
  <c r="AG138" i="65" s="1"/>
  <c r="L141" i="65"/>
  <c r="M141" i="65" s="1"/>
  <c r="C141" i="65"/>
  <c r="P141" i="65" s="1"/>
  <c r="O141" i="65"/>
  <c r="AV139" i="65"/>
  <c r="AF139" i="65"/>
  <c r="R139" i="65"/>
  <c r="S139" i="65" s="1"/>
  <c r="Y139" i="65" s="1"/>
  <c r="AE139" i="65"/>
  <c r="AP140" i="63" a="1"/>
  <c r="AP140" i="63" s="1"/>
  <c r="B142" i="65" s="1"/>
  <c r="D140" i="65"/>
  <c r="E140" i="65" s="1"/>
  <c r="F140" i="65" s="1"/>
  <c r="G140" i="65" s="1"/>
  <c r="H140" i="65" s="1"/>
  <c r="I140" i="65" s="1"/>
  <c r="J140" i="65" s="1"/>
  <c r="K140" i="65" s="1"/>
  <c r="BA142" i="65" l="1"/>
  <c r="AY142" i="65"/>
  <c r="AZ142" i="65"/>
  <c r="AS142" i="65"/>
  <c r="AX142" i="65"/>
  <c r="AM141" i="65"/>
  <c r="AU142" i="65"/>
  <c r="AT142" i="65"/>
  <c r="U140" i="65"/>
  <c r="AH140" i="65"/>
  <c r="AC137" i="65"/>
  <c r="AD137" i="65" s="1"/>
  <c r="Q141" i="65"/>
  <c r="AB138" i="65"/>
  <c r="AB139" i="65"/>
  <c r="AP141" i="63" a="1"/>
  <c r="AP141" i="63" s="1"/>
  <c r="B143" i="65" s="1"/>
  <c r="AF140" i="65"/>
  <c r="AE140" i="65"/>
  <c r="AV140" i="65"/>
  <c r="R140" i="65"/>
  <c r="S140" i="65" s="1"/>
  <c r="AG139" i="65"/>
  <c r="D141" i="65"/>
  <c r="E141" i="65" s="1"/>
  <c r="F141" i="65" s="1"/>
  <c r="G141" i="65" s="1"/>
  <c r="H141" i="65" s="1"/>
  <c r="I141" i="65" s="1"/>
  <c r="J141" i="65" s="1"/>
  <c r="K141" i="65" s="1"/>
  <c r="L142" i="65"/>
  <c r="M142" i="65" s="1"/>
  <c r="C142" i="65"/>
  <c r="P142" i="65" s="1"/>
  <c r="O142" i="65"/>
  <c r="AZ143" i="65" l="1"/>
  <c r="BA143" i="65"/>
  <c r="AY143" i="65"/>
  <c r="AS143" i="65"/>
  <c r="AX143" i="65"/>
  <c r="AM142" i="65"/>
  <c r="AU143" i="65"/>
  <c r="AT143" i="65"/>
  <c r="U141" i="65"/>
  <c r="AH141" i="65"/>
  <c r="AC139" i="65"/>
  <c r="AD139" i="65" s="1"/>
  <c r="AC138" i="65"/>
  <c r="AD138" i="65" s="1"/>
  <c r="Q142" i="65"/>
  <c r="Y140" i="65"/>
  <c r="AB140" i="65" s="1"/>
  <c r="D142" i="65"/>
  <c r="E142" i="65" s="1"/>
  <c r="F142" i="65" s="1"/>
  <c r="G142" i="65" s="1"/>
  <c r="H142" i="65" s="1"/>
  <c r="I142" i="65" s="1"/>
  <c r="J142" i="65" s="1"/>
  <c r="K142" i="65" s="1"/>
  <c r="L143" i="65"/>
  <c r="M143" i="65" s="1"/>
  <c r="O143" i="65"/>
  <c r="C143" i="65"/>
  <c r="P143" i="65" s="1"/>
  <c r="AF141" i="65"/>
  <c r="AE141" i="65"/>
  <c r="AV141" i="65"/>
  <c r="R141" i="65"/>
  <c r="S141" i="65" s="1"/>
  <c r="Y141" i="65" s="1"/>
  <c r="AP142" i="63" a="1"/>
  <c r="AP142" i="63" s="1"/>
  <c r="B144" i="65" s="1"/>
  <c r="BA144" i="65" l="1"/>
  <c r="AZ144" i="65"/>
  <c r="AY144" i="65"/>
  <c r="AS144" i="65"/>
  <c r="AX144" i="65"/>
  <c r="AM143" i="65"/>
  <c r="AU144" i="65"/>
  <c r="AT144" i="65"/>
  <c r="U142" i="65"/>
  <c r="AH142" i="65"/>
  <c r="AC140" i="65"/>
  <c r="AD140" i="65" s="1"/>
  <c r="Q143" i="65"/>
  <c r="AG140" i="65"/>
  <c r="AB141" i="65"/>
  <c r="D143" i="65"/>
  <c r="E143" i="65" s="1"/>
  <c r="F143" i="65" s="1"/>
  <c r="G143" i="65" s="1"/>
  <c r="H143" i="65" s="1"/>
  <c r="I143" i="65" s="1"/>
  <c r="J143" i="65" s="1"/>
  <c r="K143" i="65" s="1"/>
  <c r="AE142" i="65"/>
  <c r="AF142" i="65"/>
  <c r="AV142" i="65"/>
  <c r="R142" i="65"/>
  <c r="S142" i="65" s="1"/>
  <c r="C144" i="65"/>
  <c r="P144" i="65" s="1"/>
  <c r="O144" i="65"/>
  <c r="L144" i="65"/>
  <c r="M144" i="65" s="1"/>
  <c r="AG141" i="65"/>
  <c r="AP143" i="63" a="1"/>
  <c r="AP143" i="63" s="1"/>
  <c r="B145" i="65" s="1"/>
  <c r="BA145" i="65" l="1"/>
  <c r="AZ145" i="65"/>
  <c r="AY145" i="65"/>
  <c r="AS145" i="65"/>
  <c r="AX145" i="65"/>
  <c r="AM144" i="65"/>
  <c r="AU145" i="65"/>
  <c r="AT145" i="65"/>
  <c r="U143" i="65"/>
  <c r="AH143" i="65"/>
  <c r="AC141" i="65"/>
  <c r="AD141" i="65" s="1"/>
  <c r="Q144" i="65"/>
  <c r="Y142" i="65"/>
  <c r="AB142" i="65" s="1"/>
  <c r="L145" i="65"/>
  <c r="M145" i="65" s="1"/>
  <c r="C145" i="65"/>
  <c r="P145" i="65" s="1"/>
  <c r="O145" i="65"/>
  <c r="D144" i="65"/>
  <c r="E144" i="65" s="1"/>
  <c r="F144" i="65" s="1"/>
  <c r="G144" i="65" s="1"/>
  <c r="H144" i="65" s="1"/>
  <c r="I144" i="65" s="1"/>
  <c r="J144" i="65" s="1"/>
  <c r="K144" i="65" s="1"/>
  <c r="R143" i="65"/>
  <c r="S143" i="65" s="1"/>
  <c r="AV143" i="65"/>
  <c r="AE143" i="65"/>
  <c r="AF143" i="65"/>
  <c r="AP144" i="63" a="1"/>
  <c r="AP144" i="63" s="1"/>
  <c r="B146" i="65" s="1"/>
  <c r="AY146" i="65" l="1"/>
  <c r="AZ146" i="65"/>
  <c r="BA146" i="65"/>
  <c r="AS146" i="65"/>
  <c r="AX146" i="65"/>
  <c r="AM145" i="65"/>
  <c r="AU146" i="65"/>
  <c r="AT146" i="65"/>
  <c r="U144" i="65"/>
  <c r="AH144" i="65"/>
  <c r="AC142" i="65"/>
  <c r="AD142" i="65" s="1"/>
  <c r="Q145" i="65"/>
  <c r="AG142" i="65"/>
  <c r="Y143" i="65"/>
  <c r="AG143" i="65" s="1"/>
  <c r="AF144" i="65"/>
  <c r="AE144" i="65"/>
  <c r="R144" i="65"/>
  <c r="S144" i="65" s="1"/>
  <c r="Y144" i="65" s="1"/>
  <c r="AV144" i="65"/>
  <c r="AP145" i="63" a="1"/>
  <c r="AP145" i="63" s="1"/>
  <c r="B147" i="65" s="1"/>
  <c r="D145" i="65"/>
  <c r="E145" i="65" s="1"/>
  <c r="F145" i="65" s="1"/>
  <c r="G145" i="65" s="1"/>
  <c r="H145" i="65" s="1"/>
  <c r="I145" i="65" s="1"/>
  <c r="J145" i="65" s="1"/>
  <c r="K145" i="65" s="1"/>
  <c r="L146" i="65"/>
  <c r="M146" i="65" s="1"/>
  <c r="O146" i="65"/>
  <c r="C146" i="65"/>
  <c r="P146" i="65" s="1"/>
  <c r="AZ147" i="65" l="1"/>
  <c r="BA147" i="65"/>
  <c r="AY147" i="65"/>
  <c r="AS147" i="65"/>
  <c r="AX147" i="65"/>
  <c r="AM146" i="65"/>
  <c r="AU147" i="65"/>
  <c r="AT147" i="65"/>
  <c r="U145" i="65"/>
  <c r="AH145" i="65"/>
  <c r="Q146" i="65"/>
  <c r="AB143" i="65"/>
  <c r="AB144" i="65"/>
  <c r="O147" i="65"/>
  <c r="C147" i="65"/>
  <c r="P147" i="65" s="1"/>
  <c r="L147" i="65"/>
  <c r="M147" i="65" s="1"/>
  <c r="D146" i="65"/>
  <c r="E146" i="65" s="1"/>
  <c r="F146" i="65" s="1"/>
  <c r="G146" i="65" s="1"/>
  <c r="H146" i="65" s="1"/>
  <c r="I146" i="65" s="1"/>
  <c r="J146" i="65" s="1"/>
  <c r="K146" i="65" s="1"/>
  <c r="AG144" i="65"/>
  <c r="R145" i="65"/>
  <c r="S145" i="65" s="1"/>
  <c r="AF145" i="65"/>
  <c r="AE145" i="65"/>
  <c r="AV145" i="65"/>
  <c r="AP146" i="63" a="1"/>
  <c r="AP146" i="63" s="1"/>
  <c r="B148" i="65" s="1"/>
  <c r="AZ148" i="65" l="1"/>
  <c r="BA148" i="65"/>
  <c r="AY148" i="65"/>
  <c r="AS148" i="65"/>
  <c r="AX148" i="65"/>
  <c r="AM147" i="65"/>
  <c r="AU148" i="65"/>
  <c r="AT148" i="65"/>
  <c r="U146" i="65"/>
  <c r="AH146" i="65"/>
  <c r="AC144" i="65"/>
  <c r="AD144" i="65" s="1"/>
  <c r="AC143" i="65"/>
  <c r="AD143" i="65" s="1"/>
  <c r="Q147" i="65"/>
  <c r="Y145" i="65"/>
  <c r="AG145" i="65" s="1"/>
  <c r="O148" i="65"/>
  <c r="L148" i="65"/>
  <c r="M148" i="65" s="1"/>
  <c r="C148" i="65"/>
  <c r="P148" i="65" s="1"/>
  <c r="D147" i="65"/>
  <c r="E147" i="65" s="1"/>
  <c r="F147" i="65" s="1"/>
  <c r="G147" i="65" s="1"/>
  <c r="H147" i="65" s="1"/>
  <c r="I147" i="65" s="1"/>
  <c r="J147" i="65" s="1"/>
  <c r="K147" i="65" s="1"/>
  <c r="AP147" i="63" a="1"/>
  <c r="AP147" i="63" s="1"/>
  <c r="B149" i="65" s="1"/>
  <c r="AV146" i="65"/>
  <c r="AE146" i="65"/>
  <c r="R146" i="65"/>
  <c r="S146" i="65" s="1"/>
  <c r="AF146" i="65"/>
  <c r="BA149" i="65" l="1"/>
  <c r="AZ149" i="65"/>
  <c r="AY149" i="65"/>
  <c r="AS149" i="65"/>
  <c r="AX149" i="65"/>
  <c r="AM148" i="65"/>
  <c r="AU149" i="65"/>
  <c r="AT149" i="65"/>
  <c r="U147" i="65"/>
  <c r="AH147" i="65"/>
  <c r="Q148" i="65"/>
  <c r="AB145" i="65"/>
  <c r="Y146" i="65"/>
  <c r="AB146" i="65" s="1"/>
  <c r="L149" i="65"/>
  <c r="M149" i="65" s="1"/>
  <c r="O149" i="65"/>
  <c r="C149" i="65"/>
  <c r="P149" i="65" s="1"/>
  <c r="AF147" i="65"/>
  <c r="AE147" i="65"/>
  <c r="AV147" i="65"/>
  <c r="R147" i="65"/>
  <c r="S147" i="65" s="1"/>
  <c r="Y147" i="65" s="1"/>
  <c r="D148" i="65"/>
  <c r="E148" i="65" s="1"/>
  <c r="F148" i="65" s="1"/>
  <c r="G148" i="65" s="1"/>
  <c r="H148" i="65" s="1"/>
  <c r="I148" i="65" s="1"/>
  <c r="J148" i="65" s="1"/>
  <c r="K148" i="65" s="1"/>
  <c r="AP148" i="63" a="1"/>
  <c r="AP148" i="63" s="1"/>
  <c r="B150" i="65" s="1"/>
  <c r="BA150" i="65" l="1"/>
  <c r="AZ150" i="65"/>
  <c r="AY150" i="65"/>
  <c r="AS150" i="65"/>
  <c r="AX150" i="65"/>
  <c r="AM149" i="65"/>
  <c r="AU150" i="65"/>
  <c r="AT150" i="65"/>
  <c r="U148" i="65"/>
  <c r="AH148" i="65"/>
  <c r="AC146" i="65"/>
  <c r="AD146" i="65" s="1"/>
  <c r="AC145" i="65"/>
  <c r="AD145" i="65" s="1"/>
  <c r="AG146" i="65"/>
  <c r="AB147" i="65"/>
  <c r="Q149" i="65"/>
  <c r="AP149" i="63" a="1"/>
  <c r="AP149" i="63" s="1"/>
  <c r="B151" i="65" s="1"/>
  <c r="D149" i="65"/>
  <c r="E149" i="65" s="1"/>
  <c r="F149" i="65" s="1"/>
  <c r="G149" i="65" s="1"/>
  <c r="H149" i="65" s="1"/>
  <c r="I149" i="65" s="1"/>
  <c r="J149" i="65" s="1"/>
  <c r="K149" i="65" s="1"/>
  <c r="AG147" i="65"/>
  <c r="O150" i="65"/>
  <c r="C150" i="65"/>
  <c r="P150" i="65" s="1"/>
  <c r="L150" i="65"/>
  <c r="M150" i="65" s="1"/>
  <c r="R148" i="65"/>
  <c r="S148" i="65" s="1"/>
  <c r="AF148" i="65"/>
  <c r="AE148" i="65"/>
  <c r="AV148" i="65"/>
  <c r="BA151" i="65" l="1"/>
  <c r="AZ151" i="65"/>
  <c r="AY151" i="65"/>
  <c r="AS151" i="65"/>
  <c r="AX151" i="65"/>
  <c r="AM150" i="65"/>
  <c r="AU151" i="65"/>
  <c r="AT151" i="65"/>
  <c r="AH149" i="65"/>
  <c r="AC147" i="65"/>
  <c r="AD147" i="65" s="1"/>
  <c r="Q150" i="65"/>
  <c r="Y148" i="65"/>
  <c r="AB148" i="65" s="1"/>
  <c r="R149" i="65"/>
  <c r="S149" i="65" s="1"/>
  <c r="AE149" i="65"/>
  <c r="U149" i="65"/>
  <c r="AV149" i="65"/>
  <c r="AP150" i="63" a="1"/>
  <c r="AP150" i="63" s="1"/>
  <c r="B152" i="65" s="1"/>
  <c r="D150" i="65"/>
  <c r="E150" i="65" s="1"/>
  <c r="F150" i="65" s="1"/>
  <c r="G150" i="65" s="1"/>
  <c r="H150" i="65" s="1"/>
  <c r="I150" i="65" s="1"/>
  <c r="J150" i="65" s="1"/>
  <c r="K150" i="65" s="1"/>
  <c r="L151" i="65"/>
  <c r="M151" i="65" s="1"/>
  <c r="O151" i="65"/>
  <c r="C151" i="65"/>
  <c r="P151" i="65" s="1"/>
  <c r="BA152" i="65" l="1"/>
  <c r="AZ152" i="65"/>
  <c r="AY152" i="65"/>
  <c r="AS152" i="65"/>
  <c r="AX152" i="65"/>
  <c r="AM151" i="65"/>
  <c r="AU152" i="65"/>
  <c r="AT152" i="65"/>
  <c r="U150" i="65"/>
  <c r="AH150" i="65"/>
  <c r="AC148" i="65"/>
  <c r="AD148" i="65" s="1"/>
  <c r="Q151" i="65"/>
  <c r="AG148" i="65"/>
  <c r="Y149" i="65"/>
  <c r="AB149" i="65" s="1"/>
  <c r="AF149" i="65"/>
  <c r="AE150" i="65"/>
  <c r="AF150" i="65"/>
  <c r="R150" i="65"/>
  <c r="S150" i="65" s="1"/>
  <c r="Y150" i="65" s="1"/>
  <c r="AV150" i="65"/>
  <c r="D151" i="65"/>
  <c r="E151" i="65" s="1"/>
  <c r="F151" i="65" s="1"/>
  <c r="G151" i="65" s="1"/>
  <c r="H151" i="65" s="1"/>
  <c r="I151" i="65" s="1"/>
  <c r="J151" i="65" s="1"/>
  <c r="K151" i="65" s="1"/>
  <c r="AP151" i="63" a="1"/>
  <c r="AP151" i="63" s="1"/>
  <c r="B153" i="65" s="1"/>
  <c r="O152" i="65"/>
  <c r="C152" i="65"/>
  <c r="P152" i="65" s="1"/>
  <c r="L152" i="65"/>
  <c r="M152" i="65" s="1"/>
  <c r="BA153" i="65" l="1"/>
  <c r="AZ153" i="65"/>
  <c r="AY153" i="65"/>
  <c r="AS153" i="65"/>
  <c r="AX153" i="65"/>
  <c r="AM152" i="65"/>
  <c r="AU153" i="65"/>
  <c r="AT153" i="65"/>
  <c r="U151" i="65"/>
  <c r="AH151" i="65"/>
  <c r="AC149" i="65"/>
  <c r="AD149" i="65" s="1"/>
  <c r="Q152" i="65"/>
  <c r="AB150" i="65"/>
  <c r="AG149" i="65"/>
  <c r="D152" i="65"/>
  <c r="E152" i="65" s="1"/>
  <c r="F152" i="65" s="1"/>
  <c r="G152" i="65" s="1"/>
  <c r="H152" i="65" s="1"/>
  <c r="I152" i="65" s="1"/>
  <c r="J152" i="65" s="1"/>
  <c r="K152" i="65" s="1"/>
  <c r="AE151" i="65"/>
  <c r="R151" i="65"/>
  <c r="S151" i="65" s="1"/>
  <c r="AF151" i="65"/>
  <c r="AV151" i="65"/>
  <c r="AG150" i="65"/>
  <c r="C153" i="65"/>
  <c r="P153" i="65" s="1"/>
  <c r="L153" i="65"/>
  <c r="M153" i="65" s="1"/>
  <c r="O153" i="65"/>
  <c r="AP152" i="63" a="1"/>
  <c r="AP152" i="63" s="1"/>
  <c r="B154" i="65" s="1"/>
  <c r="BA154" i="65" l="1"/>
  <c r="AY154" i="65"/>
  <c r="AZ154" i="65"/>
  <c r="AS154" i="65"/>
  <c r="AX154" i="65"/>
  <c r="AM153" i="65"/>
  <c r="AU154" i="65"/>
  <c r="AT154" i="65"/>
  <c r="U152" i="65"/>
  <c r="AH152" i="65"/>
  <c r="AC150" i="65"/>
  <c r="AD150" i="65" s="1"/>
  <c r="Q153" i="65"/>
  <c r="Y151" i="65"/>
  <c r="AG151" i="65" s="1"/>
  <c r="R152" i="65"/>
  <c r="S152" i="65" s="1"/>
  <c r="AV152" i="65"/>
  <c r="AF152" i="65"/>
  <c r="AE152" i="65"/>
  <c r="C154" i="65"/>
  <c r="P154" i="65" s="1"/>
  <c r="O154" i="65"/>
  <c r="L154" i="65"/>
  <c r="M154" i="65" s="1"/>
  <c r="D153" i="65"/>
  <c r="E153" i="65" s="1"/>
  <c r="F153" i="65" s="1"/>
  <c r="G153" i="65" s="1"/>
  <c r="H153" i="65" s="1"/>
  <c r="I153" i="65" s="1"/>
  <c r="J153" i="65" s="1"/>
  <c r="K153" i="65" s="1"/>
  <c r="AP153" i="63" a="1"/>
  <c r="AP153" i="63" s="1"/>
  <c r="B155" i="65" s="1"/>
  <c r="AZ155" i="65" l="1"/>
  <c r="BA155" i="65"/>
  <c r="AY155" i="65"/>
  <c r="AS155" i="65"/>
  <c r="AX155" i="65"/>
  <c r="AM154" i="65"/>
  <c r="AU155" i="65"/>
  <c r="AT155" i="65"/>
  <c r="U153" i="65"/>
  <c r="AH153" i="65"/>
  <c r="Q154" i="65"/>
  <c r="AB151" i="65"/>
  <c r="Y152" i="65"/>
  <c r="AB152" i="65" s="1"/>
  <c r="AP154" i="63" a="1"/>
  <c r="AP154" i="63" s="1"/>
  <c r="B156" i="65" s="1"/>
  <c r="D154" i="65"/>
  <c r="E154" i="65" s="1"/>
  <c r="F154" i="65" s="1"/>
  <c r="G154" i="65" s="1"/>
  <c r="H154" i="65" s="1"/>
  <c r="I154" i="65" s="1"/>
  <c r="J154" i="65" s="1"/>
  <c r="K154" i="65" s="1"/>
  <c r="L155" i="65"/>
  <c r="M155" i="65" s="1"/>
  <c r="O155" i="65"/>
  <c r="C155" i="65"/>
  <c r="P155" i="65" s="1"/>
  <c r="R153" i="65"/>
  <c r="S153" i="65" s="1"/>
  <c r="AE153" i="65"/>
  <c r="AV153" i="65"/>
  <c r="AF153" i="65"/>
  <c r="BA156" i="65" l="1"/>
  <c r="AZ156" i="65"/>
  <c r="AY156" i="65"/>
  <c r="AS156" i="65"/>
  <c r="AX156" i="65"/>
  <c r="AM155" i="65"/>
  <c r="AT156" i="65"/>
  <c r="AU156" i="65"/>
  <c r="U154" i="65"/>
  <c r="AH154" i="65"/>
  <c r="AC152" i="65"/>
  <c r="AD152" i="65" s="1"/>
  <c r="AC151" i="65"/>
  <c r="AD151" i="65" s="1"/>
  <c r="Q155" i="65"/>
  <c r="Y153" i="65"/>
  <c r="AB153" i="65" s="1"/>
  <c r="AG152" i="65"/>
  <c r="AP155" i="63" a="1"/>
  <c r="AP155" i="63" s="1"/>
  <c r="B157" i="65" s="1"/>
  <c r="D155" i="65"/>
  <c r="E155" i="65" s="1"/>
  <c r="F155" i="65" s="1"/>
  <c r="G155" i="65" s="1"/>
  <c r="H155" i="65" s="1"/>
  <c r="I155" i="65" s="1"/>
  <c r="J155" i="65" s="1"/>
  <c r="K155" i="65" s="1"/>
  <c r="AE154" i="65"/>
  <c r="AV154" i="65"/>
  <c r="R154" i="65"/>
  <c r="S154" i="65" s="1"/>
  <c r="Y154" i="65" s="1"/>
  <c r="AF154" i="65"/>
  <c r="L156" i="65"/>
  <c r="M156" i="65" s="1"/>
  <c r="O156" i="65"/>
  <c r="C156" i="65"/>
  <c r="P156" i="65" s="1"/>
  <c r="BA157" i="65" l="1"/>
  <c r="AY157" i="65"/>
  <c r="AZ157" i="65"/>
  <c r="AS157" i="65"/>
  <c r="AX157" i="65"/>
  <c r="AM156" i="65"/>
  <c r="AU157" i="65"/>
  <c r="AT157" i="65"/>
  <c r="U155" i="65"/>
  <c r="AH155" i="65"/>
  <c r="AC153" i="65"/>
  <c r="AD153" i="65" s="1"/>
  <c r="Q156" i="65"/>
  <c r="AB154" i="65"/>
  <c r="AG153" i="65"/>
  <c r="AG154" i="65"/>
  <c r="AP156" i="63" a="1"/>
  <c r="AP156" i="63" s="1"/>
  <c r="B158" i="65" s="1"/>
  <c r="R155" i="65"/>
  <c r="S155" i="65" s="1"/>
  <c r="AE155" i="65"/>
  <c r="AF155" i="65"/>
  <c r="AV155" i="65"/>
  <c r="D156" i="65"/>
  <c r="E156" i="65" s="1"/>
  <c r="F156" i="65" s="1"/>
  <c r="G156" i="65" s="1"/>
  <c r="H156" i="65" s="1"/>
  <c r="I156" i="65" s="1"/>
  <c r="J156" i="65" s="1"/>
  <c r="K156" i="65" s="1"/>
  <c r="L157" i="65"/>
  <c r="M157" i="65" s="1"/>
  <c r="O157" i="65"/>
  <c r="C157" i="65"/>
  <c r="P157" i="65" s="1"/>
  <c r="BA158" i="65" l="1"/>
  <c r="AY158" i="65"/>
  <c r="AZ158" i="65"/>
  <c r="AS158" i="65"/>
  <c r="AX158" i="65"/>
  <c r="AM157" i="65"/>
  <c r="AU158" i="65"/>
  <c r="AT158" i="65"/>
  <c r="U156" i="65"/>
  <c r="AH156" i="65"/>
  <c r="AC154" i="65"/>
  <c r="AD154" i="65" s="1"/>
  <c r="Q157" i="65"/>
  <c r="Y155" i="65"/>
  <c r="AB155" i="65" s="1"/>
  <c r="AV156" i="65"/>
  <c r="AF156" i="65"/>
  <c r="AE156" i="65"/>
  <c r="R156" i="65"/>
  <c r="S156" i="65" s="1"/>
  <c r="AP157" i="63" a="1"/>
  <c r="AP157" i="63" s="1"/>
  <c r="B159" i="65" s="1"/>
  <c r="D157" i="65"/>
  <c r="E157" i="65" s="1"/>
  <c r="F157" i="65" s="1"/>
  <c r="G157" i="65" s="1"/>
  <c r="H157" i="65" s="1"/>
  <c r="I157" i="65" s="1"/>
  <c r="J157" i="65" s="1"/>
  <c r="K157" i="65" s="1"/>
  <c r="L158" i="65"/>
  <c r="M158" i="65" s="1"/>
  <c r="O158" i="65"/>
  <c r="C158" i="65"/>
  <c r="P158" i="65" s="1"/>
  <c r="BA159" i="65" l="1"/>
  <c r="AZ159" i="65"/>
  <c r="AY159" i="65"/>
  <c r="AS159" i="65"/>
  <c r="AX159" i="65"/>
  <c r="AM158" i="65"/>
  <c r="AU159" i="65"/>
  <c r="AT159" i="65"/>
  <c r="U157" i="65"/>
  <c r="AH157" i="65"/>
  <c r="AC155" i="65"/>
  <c r="AD155" i="65" s="1"/>
  <c r="Q158" i="65"/>
  <c r="AG155" i="65"/>
  <c r="Y156" i="65"/>
  <c r="AB156" i="65" s="1"/>
  <c r="D158" i="65"/>
  <c r="E158" i="65" s="1"/>
  <c r="F158" i="65" s="1"/>
  <c r="G158" i="65" s="1"/>
  <c r="H158" i="65" s="1"/>
  <c r="I158" i="65" s="1"/>
  <c r="J158" i="65" s="1"/>
  <c r="K158" i="65" s="1"/>
  <c r="AE157" i="65"/>
  <c r="R157" i="65"/>
  <c r="S157" i="65" s="1"/>
  <c r="AV157" i="65"/>
  <c r="AF157" i="65"/>
  <c r="C159" i="65"/>
  <c r="P159" i="65" s="1"/>
  <c r="O159" i="65"/>
  <c r="L159" i="65"/>
  <c r="M159" i="65" s="1"/>
  <c r="AP158" i="63" a="1"/>
  <c r="AP158" i="63" s="1"/>
  <c r="B160" i="65" s="1"/>
  <c r="BA160" i="65" l="1"/>
  <c r="AY160" i="65"/>
  <c r="AZ160" i="65"/>
  <c r="AS160" i="65"/>
  <c r="AX160" i="65"/>
  <c r="AM159" i="65"/>
  <c r="AU160" i="65"/>
  <c r="AT160" i="65"/>
  <c r="U158" i="65"/>
  <c r="AH158" i="65"/>
  <c r="AC156" i="65"/>
  <c r="AD156" i="65" s="1"/>
  <c r="Q159" i="65"/>
  <c r="AG156" i="65"/>
  <c r="Y157" i="65"/>
  <c r="AB157" i="65" s="1"/>
  <c r="AP159" i="63" a="1"/>
  <c r="AP159" i="63" s="1"/>
  <c r="B161" i="65" s="1"/>
  <c r="D159" i="65"/>
  <c r="E159" i="65" s="1"/>
  <c r="F159" i="65" s="1"/>
  <c r="G159" i="65" s="1"/>
  <c r="H159" i="65" s="1"/>
  <c r="I159" i="65" s="1"/>
  <c r="J159" i="65" s="1"/>
  <c r="K159" i="65" s="1"/>
  <c r="R158" i="65"/>
  <c r="S158" i="65" s="1"/>
  <c r="AE158" i="65"/>
  <c r="AF158" i="65"/>
  <c r="AV158" i="65"/>
  <c r="O160" i="65"/>
  <c r="L160" i="65"/>
  <c r="M160" i="65" s="1"/>
  <c r="C160" i="65"/>
  <c r="P160" i="65" s="1"/>
  <c r="AZ161" i="65" l="1"/>
  <c r="BA161" i="65"/>
  <c r="AY161" i="65"/>
  <c r="AS161" i="65"/>
  <c r="AX161" i="65"/>
  <c r="AM160" i="65"/>
  <c r="AU161" i="65"/>
  <c r="AT161" i="65"/>
  <c r="U159" i="65"/>
  <c r="AH159" i="65"/>
  <c r="AC157" i="65"/>
  <c r="AD157" i="65" s="1"/>
  <c r="Q160" i="65"/>
  <c r="Y158" i="65"/>
  <c r="AB158" i="65" s="1"/>
  <c r="AG157" i="65"/>
  <c r="L161" i="65"/>
  <c r="M161" i="65" s="1"/>
  <c r="C161" i="65"/>
  <c r="P161" i="65" s="1"/>
  <c r="O161" i="65"/>
  <c r="AP160" i="63" a="1"/>
  <c r="AP160" i="63" s="1"/>
  <c r="B162" i="65" s="1"/>
  <c r="D160" i="65"/>
  <c r="E160" i="65" s="1"/>
  <c r="F160" i="65" s="1"/>
  <c r="G160" i="65" s="1"/>
  <c r="H160" i="65" s="1"/>
  <c r="I160" i="65" s="1"/>
  <c r="J160" i="65" s="1"/>
  <c r="K160" i="65" s="1"/>
  <c r="R159" i="65"/>
  <c r="S159" i="65" s="1"/>
  <c r="Y159" i="65" s="1"/>
  <c r="AV159" i="65"/>
  <c r="AF159" i="65"/>
  <c r="AE159" i="65"/>
  <c r="AY162" i="65" l="1"/>
  <c r="AZ162" i="65"/>
  <c r="BA162" i="65"/>
  <c r="AS162" i="65"/>
  <c r="AX162" i="65"/>
  <c r="AM161" i="65"/>
  <c r="AU162" i="65"/>
  <c r="AT162" i="65"/>
  <c r="U160" i="65"/>
  <c r="AH160" i="65"/>
  <c r="AC158" i="65"/>
  <c r="AD158" i="65" s="1"/>
  <c r="Q161" i="65"/>
  <c r="AG158" i="65"/>
  <c r="AB159" i="65"/>
  <c r="D161" i="65"/>
  <c r="E161" i="65" s="1"/>
  <c r="F161" i="65" s="1"/>
  <c r="G161" i="65" s="1"/>
  <c r="H161" i="65" s="1"/>
  <c r="I161" i="65" s="1"/>
  <c r="J161" i="65" s="1"/>
  <c r="K161" i="65" s="1"/>
  <c r="L162" i="65"/>
  <c r="M162" i="65" s="1"/>
  <c r="O162" i="65"/>
  <c r="C162" i="65"/>
  <c r="P162" i="65" s="1"/>
  <c r="AP161" i="63" a="1"/>
  <c r="AP161" i="63" s="1"/>
  <c r="B163" i="65" s="1"/>
  <c r="AG159" i="65"/>
  <c r="R160" i="65"/>
  <c r="S160" i="65" s="1"/>
  <c r="AV160" i="65"/>
  <c r="AF160" i="65"/>
  <c r="AE160" i="65"/>
  <c r="BA163" i="65" l="1"/>
  <c r="AZ163" i="65"/>
  <c r="AY163" i="65"/>
  <c r="AS163" i="65"/>
  <c r="AX163" i="65"/>
  <c r="AM162" i="65"/>
  <c r="AU163" i="65"/>
  <c r="AT163" i="65"/>
  <c r="U161" i="65"/>
  <c r="AH161" i="65"/>
  <c r="AC159" i="65"/>
  <c r="AD159" i="65" s="1"/>
  <c r="Q162" i="65"/>
  <c r="Y160" i="65"/>
  <c r="AB160" i="65" s="1"/>
  <c r="L163" i="65"/>
  <c r="M163" i="65" s="1"/>
  <c r="O163" i="65"/>
  <c r="C163" i="65"/>
  <c r="P163" i="65" s="1"/>
  <c r="AE161" i="65"/>
  <c r="AV161" i="65"/>
  <c r="AF161" i="65"/>
  <c r="R161" i="65"/>
  <c r="S161" i="65" s="1"/>
  <c r="D162" i="65"/>
  <c r="E162" i="65" s="1"/>
  <c r="F162" i="65" s="1"/>
  <c r="G162" i="65" s="1"/>
  <c r="H162" i="65" s="1"/>
  <c r="I162" i="65" s="1"/>
  <c r="J162" i="65" s="1"/>
  <c r="K162" i="65" s="1"/>
  <c r="AP162" i="63" a="1"/>
  <c r="AP162" i="63" s="1"/>
  <c r="B164" i="65" s="1"/>
  <c r="AZ164" i="65" l="1"/>
  <c r="AY164" i="65"/>
  <c r="BA164" i="65"/>
  <c r="AS164" i="65"/>
  <c r="AX164" i="65"/>
  <c r="AM163" i="65"/>
  <c r="AU164" i="65"/>
  <c r="AT164" i="65"/>
  <c r="U162" i="65"/>
  <c r="AH162" i="65"/>
  <c r="AC160" i="65"/>
  <c r="AD160" i="65" s="1"/>
  <c r="Q163" i="65"/>
  <c r="AG160" i="65"/>
  <c r="Y161" i="65"/>
  <c r="AB161" i="65" s="1"/>
  <c r="R162" i="65"/>
  <c r="S162" i="65" s="1"/>
  <c r="AV162" i="65"/>
  <c r="AF162" i="65"/>
  <c r="AE162" i="65"/>
  <c r="D163" i="65"/>
  <c r="E163" i="65" s="1"/>
  <c r="F163" i="65" s="1"/>
  <c r="G163" i="65" s="1"/>
  <c r="H163" i="65" s="1"/>
  <c r="I163" i="65" s="1"/>
  <c r="J163" i="65" s="1"/>
  <c r="K163" i="65" s="1"/>
  <c r="AP163" i="63" a="1"/>
  <c r="AP163" i="63" s="1"/>
  <c r="B165" i="65" s="1"/>
  <c r="O164" i="65"/>
  <c r="L164" i="65"/>
  <c r="M164" i="65" s="1"/>
  <c r="C164" i="65"/>
  <c r="P164" i="65" s="1"/>
  <c r="AY165" i="65" l="1"/>
  <c r="BA165" i="65"/>
  <c r="AZ165" i="65"/>
  <c r="AS165" i="65"/>
  <c r="AX165" i="65"/>
  <c r="AM164" i="65"/>
  <c r="AU165" i="65"/>
  <c r="AT165" i="65"/>
  <c r="U163" i="65"/>
  <c r="AH163" i="65"/>
  <c r="AC161" i="65"/>
  <c r="AD161" i="65" s="1"/>
  <c r="Q164" i="65"/>
  <c r="Y162" i="65"/>
  <c r="AB162" i="65" s="1"/>
  <c r="AG161" i="65"/>
  <c r="AP164" i="63" a="1"/>
  <c r="AP164" i="63" s="1"/>
  <c r="B166" i="65" s="1"/>
  <c r="D164" i="65"/>
  <c r="E164" i="65" s="1"/>
  <c r="F164" i="65" s="1"/>
  <c r="G164" i="65" s="1"/>
  <c r="H164" i="65" s="1"/>
  <c r="I164" i="65" s="1"/>
  <c r="J164" i="65" s="1"/>
  <c r="K164" i="65" s="1"/>
  <c r="R163" i="65"/>
  <c r="S163" i="65" s="1"/>
  <c r="Y163" i="65" s="1"/>
  <c r="AF163" i="65"/>
  <c r="AV163" i="65"/>
  <c r="AE163" i="65"/>
  <c r="C165" i="65"/>
  <c r="P165" i="65" s="1"/>
  <c r="L165" i="65"/>
  <c r="M165" i="65" s="1"/>
  <c r="O165" i="65"/>
  <c r="BA166" i="65" l="1"/>
  <c r="AY166" i="65"/>
  <c r="AZ166" i="65"/>
  <c r="AS166" i="65"/>
  <c r="AX166" i="65"/>
  <c r="AM165" i="65"/>
  <c r="AU166" i="65"/>
  <c r="AT166" i="65"/>
  <c r="U164" i="65"/>
  <c r="AH164" i="65"/>
  <c r="AC162" i="65"/>
  <c r="AD162" i="65" s="1"/>
  <c r="Q165" i="65"/>
  <c r="AG162" i="65"/>
  <c r="AB163" i="65"/>
  <c r="AG163" i="65"/>
  <c r="AP165" i="63" a="1"/>
  <c r="AP165" i="63" s="1"/>
  <c r="B167" i="65" s="1"/>
  <c r="AF164" i="65"/>
  <c r="AV164" i="65"/>
  <c r="R164" i="65"/>
  <c r="S164" i="65" s="1"/>
  <c r="AE164" i="65"/>
  <c r="D165" i="65"/>
  <c r="E165" i="65" s="1"/>
  <c r="F165" i="65" s="1"/>
  <c r="G165" i="65" s="1"/>
  <c r="H165" i="65" s="1"/>
  <c r="I165" i="65" s="1"/>
  <c r="J165" i="65" s="1"/>
  <c r="K165" i="65" s="1"/>
  <c r="O166" i="65"/>
  <c r="C166" i="65"/>
  <c r="P166" i="65" s="1"/>
  <c r="L166" i="65"/>
  <c r="M166" i="65" s="1"/>
  <c r="BA167" i="65" l="1"/>
  <c r="AZ167" i="65"/>
  <c r="AY167" i="65"/>
  <c r="AS167" i="65"/>
  <c r="AX167" i="65"/>
  <c r="AM166" i="65"/>
  <c r="AU167" i="65"/>
  <c r="AT167" i="65"/>
  <c r="U165" i="65"/>
  <c r="AH165" i="65"/>
  <c r="AC163" i="65"/>
  <c r="AD163" i="65" s="1"/>
  <c r="Q166" i="65"/>
  <c r="Y164" i="65"/>
  <c r="AB164" i="65" s="1"/>
  <c r="L167" i="65"/>
  <c r="M167" i="65" s="1"/>
  <c r="O167" i="65"/>
  <c r="C167" i="65"/>
  <c r="P167" i="65" s="1"/>
  <c r="AF165" i="65"/>
  <c r="R165" i="65"/>
  <c r="S165" i="65" s="1"/>
  <c r="AV165" i="65"/>
  <c r="AE165" i="65"/>
  <c r="D166" i="65"/>
  <c r="E166" i="65" s="1"/>
  <c r="F166" i="65" s="1"/>
  <c r="G166" i="65" s="1"/>
  <c r="H166" i="65" s="1"/>
  <c r="I166" i="65" s="1"/>
  <c r="J166" i="65" s="1"/>
  <c r="K166" i="65" s="1"/>
  <c r="AP166" i="63" a="1"/>
  <c r="AP166" i="63" s="1"/>
  <c r="B168" i="65" s="1"/>
  <c r="BA168" i="65" l="1"/>
  <c r="AZ168" i="65"/>
  <c r="AY168" i="65"/>
  <c r="AS168" i="65"/>
  <c r="AX168" i="65"/>
  <c r="AM167" i="65"/>
  <c r="AU168" i="65"/>
  <c r="AT168" i="65"/>
  <c r="U166" i="65"/>
  <c r="AH166" i="65"/>
  <c r="AC164" i="65"/>
  <c r="AD164" i="65" s="1"/>
  <c r="Q167" i="65"/>
  <c r="AG164" i="65"/>
  <c r="Y165" i="65"/>
  <c r="AB165" i="65" s="1"/>
  <c r="AP167" i="63" a="1"/>
  <c r="AP167" i="63" s="1"/>
  <c r="B169" i="65" s="1"/>
  <c r="D167" i="65"/>
  <c r="E167" i="65" s="1"/>
  <c r="F167" i="65" s="1"/>
  <c r="G167" i="65" s="1"/>
  <c r="H167" i="65" s="1"/>
  <c r="I167" i="65" s="1"/>
  <c r="J167" i="65" s="1"/>
  <c r="K167" i="65" s="1"/>
  <c r="C168" i="65"/>
  <c r="P168" i="65" s="1"/>
  <c r="L168" i="65"/>
  <c r="M168" i="65" s="1"/>
  <c r="O168" i="65"/>
  <c r="AV166" i="65"/>
  <c r="AE166" i="65"/>
  <c r="R166" i="65"/>
  <c r="S166" i="65" s="1"/>
  <c r="Y166" i="65" s="1"/>
  <c r="AF166" i="65"/>
  <c r="BA169" i="65" l="1"/>
  <c r="AZ169" i="65"/>
  <c r="AY169" i="65"/>
  <c r="AS169" i="65"/>
  <c r="AX169" i="65"/>
  <c r="AM168" i="65"/>
  <c r="AU169" i="65"/>
  <c r="AT169" i="65"/>
  <c r="U167" i="65"/>
  <c r="AH167" i="65"/>
  <c r="AC165" i="65"/>
  <c r="AD165" i="65" s="1"/>
  <c r="Q168" i="65"/>
  <c r="AG165" i="65"/>
  <c r="AB166" i="65"/>
  <c r="AP168" i="63" a="1"/>
  <c r="AP168" i="63" s="1"/>
  <c r="B170" i="65" s="1"/>
  <c r="AG166" i="65"/>
  <c r="D168" i="65"/>
  <c r="E168" i="65" s="1"/>
  <c r="F168" i="65" s="1"/>
  <c r="G168" i="65" s="1"/>
  <c r="H168" i="65" s="1"/>
  <c r="I168" i="65" s="1"/>
  <c r="J168" i="65" s="1"/>
  <c r="K168" i="65" s="1"/>
  <c r="AF167" i="65"/>
  <c r="R167" i="65"/>
  <c r="S167" i="65" s="1"/>
  <c r="Y167" i="65" s="1"/>
  <c r="AV167" i="65"/>
  <c r="AE167" i="65"/>
  <c r="C169" i="65"/>
  <c r="P169" i="65" s="1"/>
  <c r="O169" i="65"/>
  <c r="L169" i="65"/>
  <c r="M169" i="65" s="1"/>
  <c r="AY170" i="65" l="1"/>
  <c r="AZ170" i="65"/>
  <c r="BA170" i="65"/>
  <c r="AS170" i="65"/>
  <c r="AX170" i="65"/>
  <c r="AM169" i="65"/>
  <c r="AU170" i="65"/>
  <c r="AT170" i="65"/>
  <c r="U168" i="65"/>
  <c r="AH168" i="65"/>
  <c r="AC166" i="65"/>
  <c r="AD166" i="65" s="1"/>
  <c r="Q169" i="65"/>
  <c r="AB167" i="65"/>
  <c r="AP169" i="63" a="1"/>
  <c r="AP169" i="63" s="1"/>
  <c r="B171" i="65" s="1"/>
  <c r="AF168" i="65"/>
  <c r="R168" i="65"/>
  <c r="S168" i="65" s="1"/>
  <c r="AE168" i="65"/>
  <c r="AV168" i="65"/>
  <c r="D169" i="65"/>
  <c r="E169" i="65" s="1"/>
  <c r="F169" i="65" s="1"/>
  <c r="G169" i="65" s="1"/>
  <c r="H169" i="65" s="1"/>
  <c r="I169" i="65" s="1"/>
  <c r="J169" i="65" s="1"/>
  <c r="K169" i="65" s="1"/>
  <c r="AG167" i="65"/>
  <c r="L170" i="65"/>
  <c r="M170" i="65" s="1"/>
  <c r="C170" i="65"/>
  <c r="P170" i="65" s="1"/>
  <c r="O170" i="65"/>
  <c r="BA171" i="65" l="1"/>
  <c r="AZ171" i="65"/>
  <c r="AY171" i="65"/>
  <c r="AS171" i="65"/>
  <c r="AX171" i="65"/>
  <c r="AM170" i="65"/>
  <c r="AU171" i="65"/>
  <c r="AT171" i="65"/>
  <c r="U169" i="65"/>
  <c r="AH169" i="65"/>
  <c r="AC167" i="65"/>
  <c r="AD167" i="65" s="1"/>
  <c r="Q170" i="65"/>
  <c r="Y168" i="65"/>
  <c r="AB168" i="65" s="1"/>
  <c r="D170" i="65"/>
  <c r="E170" i="65" s="1"/>
  <c r="F170" i="65" s="1"/>
  <c r="G170" i="65" s="1"/>
  <c r="H170" i="65" s="1"/>
  <c r="I170" i="65" s="1"/>
  <c r="J170" i="65" s="1"/>
  <c r="K170" i="65" s="1"/>
  <c r="AE169" i="65"/>
  <c r="AV169" i="65"/>
  <c r="AF169" i="65"/>
  <c r="R169" i="65"/>
  <c r="S169" i="65" s="1"/>
  <c r="AP170" i="63" a="1"/>
  <c r="AP170" i="63" s="1"/>
  <c r="B172" i="65" s="1"/>
  <c r="L171" i="65"/>
  <c r="M171" i="65" s="1"/>
  <c r="C171" i="65"/>
  <c r="P171" i="65" s="1"/>
  <c r="O171" i="65"/>
  <c r="BA172" i="65" l="1"/>
  <c r="AZ172" i="65"/>
  <c r="AY172" i="65"/>
  <c r="AS172" i="65"/>
  <c r="AX172" i="65"/>
  <c r="AM171" i="65"/>
  <c r="AT172" i="65"/>
  <c r="AU172" i="65"/>
  <c r="U170" i="65"/>
  <c r="AH170" i="65"/>
  <c r="AC168" i="65"/>
  <c r="AD168" i="65" s="1"/>
  <c r="Q171" i="65"/>
  <c r="AG168" i="65"/>
  <c r="Y169" i="65"/>
  <c r="AB169" i="65" s="1"/>
  <c r="AP171" i="63" a="1"/>
  <c r="AP171" i="63" s="1"/>
  <c r="B173" i="65" s="1"/>
  <c r="C172" i="65"/>
  <c r="P172" i="65" s="1"/>
  <c r="L172" i="65"/>
  <c r="M172" i="65" s="1"/>
  <c r="O172" i="65"/>
  <c r="AE170" i="65"/>
  <c r="AV170" i="65"/>
  <c r="R170" i="65"/>
  <c r="S170" i="65" s="1"/>
  <c r="Y170" i="65" s="1"/>
  <c r="AF170" i="65"/>
  <c r="D171" i="65"/>
  <c r="E171" i="65" s="1"/>
  <c r="F171" i="65" s="1"/>
  <c r="G171" i="65" s="1"/>
  <c r="H171" i="65" s="1"/>
  <c r="I171" i="65" s="1"/>
  <c r="J171" i="65" s="1"/>
  <c r="K171" i="65" s="1"/>
  <c r="BA173" i="65" l="1"/>
  <c r="AZ173" i="65"/>
  <c r="AY173" i="65"/>
  <c r="AS173" i="65"/>
  <c r="AX173" i="65"/>
  <c r="AM172" i="65"/>
  <c r="AU173" i="65"/>
  <c r="AT173" i="65"/>
  <c r="U171" i="65"/>
  <c r="AH171" i="65"/>
  <c r="AC169" i="65"/>
  <c r="AD169" i="65" s="1"/>
  <c r="Q172" i="65"/>
  <c r="AB170" i="65"/>
  <c r="AG169" i="65"/>
  <c r="AP172" i="63" a="1"/>
  <c r="AP172" i="63" s="1"/>
  <c r="B174" i="65" s="1"/>
  <c r="AG170" i="65"/>
  <c r="D172" i="65"/>
  <c r="E172" i="65" s="1"/>
  <c r="F172" i="65" s="1"/>
  <c r="G172" i="65" s="1"/>
  <c r="H172" i="65" s="1"/>
  <c r="I172" i="65" s="1"/>
  <c r="J172" i="65" s="1"/>
  <c r="K172" i="65" s="1"/>
  <c r="O173" i="65"/>
  <c r="L173" i="65"/>
  <c r="M173" i="65" s="1"/>
  <c r="C173" i="65"/>
  <c r="P173" i="65" s="1"/>
  <c r="AF171" i="65"/>
  <c r="AE171" i="65"/>
  <c r="AV171" i="65"/>
  <c r="R171" i="65"/>
  <c r="S171" i="65" s="1"/>
  <c r="BA174" i="65" l="1"/>
  <c r="AY174" i="65"/>
  <c r="AZ174" i="65"/>
  <c r="AS174" i="65"/>
  <c r="AX174" i="65"/>
  <c r="AM173" i="65"/>
  <c r="AU174" i="65"/>
  <c r="AT174" i="65"/>
  <c r="U172" i="65"/>
  <c r="AH172" i="65"/>
  <c r="AC170" i="65"/>
  <c r="AD170" i="65" s="1"/>
  <c r="Q173" i="65"/>
  <c r="Y171" i="65"/>
  <c r="AB171" i="65" s="1"/>
  <c r="AP173" i="63" a="1"/>
  <c r="AP173" i="63" s="1"/>
  <c r="B175" i="65" s="1"/>
  <c r="D173" i="65"/>
  <c r="E173" i="65" s="1"/>
  <c r="F173" i="65" s="1"/>
  <c r="G173" i="65" s="1"/>
  <c r="H173" i="65" s="1"/>
  <c r="I173" i="65" s="1"/>
  <c r="J173" i="65" s="1"/>
  <c r="K173" i="65" s="1"/>
  <c r="R172" i="65"/>
  <c r="S172" i="65" s="1"/>
  <c r="AV172" i="65"/>
  <c r="AE172" i="65"/>
  <c r="AF172" i="65"/>
  <c r="L174" i="65"/>
  <c r="M174" i="65" s="1"/>
  <c r="O174" i="65"/>
  <c r="C174" i="65"/>
  <c r="P174" i="65" s="1"/>
  <c r="AZ175" i="65" l="1"/>
  <c r="BA175" i="65"/>
  <c r="AY175" i="65"/>
  <c r="AS175" i="65"/>
  <c r="AX175" i="65"/>
  <c r="AM174" i="65"/>
  <c r="AU175" i="65"/>
  <c r="AT175" i="65"/>
  <c r="U173" i="65"/>
  <c r="AH173" i="65"/>
  <c r="AC171" i="65"/>
  <c r="AD171" i="65" s="1"/>
  <c r="Q174" i="65"/>
  <c r="Y172" i="65"/>
  <c r="AB172" i="65" s="1"/>
  <c r="AG171" i="65"/>
  <c r="D174" i="65"/>
  <c r="E174" i="65" s="1"/>
  <c r="F174" i="65" s="1"/>
  <c r="G174" i="65" s="1"/>
  <c r="H174" i="65" s="1"/>
  <c r="I174" i="65" s="1"/>
  <c r="J174" i="65" s="1"/>
  <c r="K174" i="65" s="1"/>
  <c r="AV173" i="65"/>
  <c r="R173" i="65"/>
  <c r="S173" i="65" s="1"/>
  <c r="Y173" i="65" s="1"/>
  <c r="AE173" i="65"/>
  <c r="AF173" i="65"/>
  <c r="L175" i="65"/>
  <c r="M175" i="65" s="1"/>
  <c r="C175" i="65"/>
  <c r="P175" i="65" s="1"/>
  <c r="O175" i="65"/>
  <c r="AP174" i="63" a="1"/>
  <c r="AP174" i="63" s="1"/>
  <c r="B176" i="65" s="1"/>
  <c r="BA176" i="65" l="1"/>
  <c r="AY176" i="65"/>
  <c r="AZ176" i="65"/>
  <c r="AS176" i="65"/>
  <c r="AX176" i="65"/>
  <c r="AM175" i="65"/>
  <c r="AU176" i="65"/>
  <c r="AT176" i="65"/>
  <c r="U174" i="65"/>
  <c r="AH174" i="65"/>
  <c r="AC172" i="65"/>
  <c r="AD172" i="65" s="1"/>
  <c r="Q175" i="65"/>
  <c r="AG172" i="65"/>
  <c r="AB173" i="65"/>
  <c r="D175" i="65"/>
  <c r="E175" i="65" s="1"/>
  <c r="F175" i="65" s="1"/>
  <c r="G175" i="65" s="1"/>
  <c r="H175" i="65" s="1"/>
  <c r="I175" i="65" s="1"/>
  <c r="J175" i="65" s="1"/>
  <c r="K175" i="65" s="1"/>
  <c r="AP175" i="63" a="1"/>
  <c r="AP175" i="63" s="1"/>
  <c r="B177" i="65" s="1"/>
  <c r="AF174" i="65"/>
  <c r="R174" i="65"/>
  <c r="S174" i="65" s="1"/>
  <c r="AE174" i="65"/>
  <c r="AV174" i="65"/>
  <c r="C176" i="65"/>
  <c r="P176" i="65" s="1"/>
  <c r="L176" i="65"/>
  <c r="M176" i="65" s="1"/>
  <c r="O176" i="65"/>
  <c r="AG173" i="65"/>
  <c r="BA177" i="65" l="1"/>
  <c r="AZ177" i="65"/>
  <c r="AY177" i="65"/>
  <c r="AS177" i="65"/>
  <c r="AX177" i="65"/>
  <c r="AM176" i="65"/>
  <c r="AU177" i="65"/>
  <c r="AT177" i="65"/>
  <c r="U175" i="65"/>
  <c r="AH175" i="65"/>
  <c r="AC173" i="65"/>
  <c r="AD173" i="65" s="1"/>
  <c r="Q176" i="65"/>
  <c r="Y174" i="65"/>
  <c r="AB174" i="65" s="1"/>
  <c r="AP176" i="63" a="1"/>
  <c r="AP176" i="63" s="1"/>
  <c r="B178" i="65" s="1"/>
  <c r="D176" i="65"/>
  <c r="E176" i="65" s="1"/>
  <c r="F176" i="65" s="1"/>
  <c r="G176" i="65" s="1"/>
  <c r="H176" i="65" s="1"/>
  <c r="I176" i="65" s="1"/>
  <c r="J176" i="65" s="1"/>
  <c r="K176" i="65" s="1"/>
  <c r="R175" i="65"/>
  <c r="S175" i="65" s="1"/>
  <c r="AF175" i="65"/>
  <c r="AV175" i="65"/>
  <c r="AE175" i="65"/>
  <c r="L177" i="65"/>
  <c r="M177" i="65" s="1"/>
  <c r="C177" i="65"/>
  <c r="P177" i="65" s="1"/>
  <c r="O177" i="65"/>
  <c r="BA178" i="65" l="1"/>
  <c r="AZ178" i="65"/>
  <c r="AY178" i="65"/>
  <c r="AS178" i="65"/>
  <c r="AX178" i="65"/>
  <c r="AM177" i="65"/>
  <c r="AU178" i="65"/>
  <c r="AT178" i="65"/>
  <c r="U176" i="65"/>
  <c r="AH176" i="65"/>
  <c r="AC174" i="65"/>
  <c r="AD174" i="65" s="1"/>
  <c r="Q177" i="65"/>
  <c r="AG174" i="65"/>
  <c r="Y175" i="65"/>
  <c r="AB175" i="65" s="1"/>
  <c r="AP177" i="63" a="1"/>
  <c r="AP177" i="63" s="1"/>
  <c r="B179" i="65" s="1"/>
  <c r="D177" i="65"/>
  <c r="E177" i="65" s="1"/>
  <c r="F177" i="65" s="1"/>
  <c r="G177" i="65" s="1"/>
  <c r="H177" i="65" s="1"/>
  <c r="I177" i="65" s="1"/>
  <c r="J177" i="65" s="1"/>
  <c r="K177" i="65" s="1"/>
  <c r="AV176" i="65"/>
  <c r="AE176" i="65"/>
  <c r="R176" i="65"/>
  <c r="S176" i="65" s="1"/>
  <c r="AF176" i="65"/>
  <c r="C178" i="65"/>
  <c r="P178" i="65" s="1"/>
  <c r="O178" i="65"/>
  <c r="L178" i="65"/>
  <c r="M178" i="65" s="1"/>
  <c r="AZ179" i="65" l="1"/>
  <c r="AY179" i="65"/>
  <c r="BA179" i="65"/>
  <c r="AS179" i="65"/>
  <c r="AX179" i="65"/>
  <c r="AM178" i="65"/>
  <c r="AU179" i="65"/>
  <c r="AT179" i="65"/>
  <c r="U177" i="65"/>
  <c r="AH177" i="65"/>
  <c r="AC175" i="65"/>
  <c r="AD175" i="65" s="1"/>
  <c r="Q178" i="65"/>
  <c r="AG175" i="65"/>
  <c r="Y176" i="65"/>
  <c r="AB176" i="65" s="1"/>
  <c r="D178" i="65"/>
  <c r="E178" i="65" s="1"/>
  <c r="F178" i="65" s="1"/>
  <c r="G178" i="65" s="1"/>
  <c r="H178" i="65" s="1"/>
  <c r="I178" i="65" s="1"/>
  <c r="J178" i="65" s="1"/>
  <c r="K178" i="65" s="1"/>
  <c r="C179" i="65"/>
  <c r="P179" i="65" s="1"/>
  <c r="L179" i="65"/>
  <c r="M179" i="65" s="1"/>
  <c r="O179" i="65"/>
  <c r="AE177" i="65"/>
  <c r="R177" i="65"/>
  <c r="S177" i="65" s="1"/>
  <c r="AF177" i="65"/>
  <c r="AV177" i="65"/>
  <c r="AP178" i="63" a="1"/>
  <c r="AP178" i="63" s="1"/>
  <c r="B180" i="65" s="1"/>
  <c r="AZ180" i="65" l="1"/>
  <c r="BA180" i="65"/>
  <c r="AY180" i="65"/>
  <c r="AS180" i="65"/>
  <c r="AX180" i="65"/>
  <c r="AM179" i="65"/>
  <c r="AU180" i="65"/>
  <c r="AT180" i="65"/>
  <c r="U178" i="65"/>
  <c r="AH178" i="65"/>
  <c r="AC176" i="65"/>
  <c r="AD176" i="65" s="1"/>
  <c r="Q179" i="65"/>
  <c r="AG176" i="65"/>
  <c r="Y177" i="65"/>
  <c r="AB177" i="65" s="1"/>
  <c r="D179" i="65"/>
  <c r="E179" i="65" s="1"/>
  <c r="F179" i="65" s="1"/>
  <c r="G179" i="65" s="1"/>
  <c r="H179" i="65" s="1"/>
  <c r="I179" i="65" s="1"/>
  <c r="J179" i="65" s="1"/>
  <c r="K179" i="65" s="1"/>
  <c r="O180" i="65"/>
  <c r="L180" i="65"/>
  <c r="M180" i="65" s="1"/>
  <c r="C180" i="65"/>
  <c r="P180" i="65" s="1"/>
  <c r="R178" i="65"/>
  <c r="S178" i="65" s="1"/>
  <c r="Y178" i="65" s="1"/>
  <c r="AV178" i="65"/>
  <c r="AF178" i="65"/>
  <c r="AE178" i="65"/>
  <c r="AP179" i="63" a="1"/>
  <c r="AP179" i="63" s="1"/>
  <c r="B181" i="65" s="1"/>
  <c r="BA181" i="65" l="1"/>
  <c r="AZ181" i="65"/>
  <c r="AY181" i="65"/>
  <c r="AS181" i="65"/>
  <c r="AX181" i="65"/>
  <c r="AM180" i="65"/>
  <c r="AU181" i="65"/>
  <c r="AT181" i="65"/>
  <c r="U179" i="65"/>
  <c r="AH179" i="65"/>
  <c r="AC177" i="65"/>
  <c r="AD177" i="65" s="1"/>
  <c r="Q180" i="65"/>
  <c r="AB178" i="65"/>
  <c r="AG177" i="65"/>
  <c r="AP180" i="63" a="1"/>
  <c r="AP180" i="63" s="1"/>
  <c r="B182" i="65" s="1"/>
  <c r="AG178" i="65"/>
  <c r="D180" i="65"/>
  <c r="E180" i="65" s="1"/>
  <c r="F180" i="65" s="1"/>
  <c r="G180" i="65" s="1"/>
  <c r="H180" i="65" s="1"/>
  <c r="I180" i="65" s="1"/>
  <c r="J180" i="65" s="1"/>
  <c r="K180" i="65" s="1"/>
  <c r="AV179" i="65"/>
  <c r="R179" i="65"/>
  <c r="S179" i="65" s="1"/>
  <c r="AE179" i="65"/>
  <c r="AF179" i="65"/>
  <c r="L181" i="65"/>
  <c r="M181" i="65" s="1"/>
  <c r="O181" i="65"/>
  <c r="C181" i="65"/>
  <c r="P181" i="65" s="1"/>
  <c r="BA182" i="65" l="1"/>
  <c r="AY182" i="65"/>
  <c r="AZ182" i="65"/>
  <c r="AS182" i="65"/>
  <c r="AX182" i="65"/>
  <c r="AM181" i="65"/>
  <c r="AU182" i="65"/>
  <c r="AT182" i="65"/>
  <c r="U180" i="65"/>
  <c r="AH180" i="65"/>
  <c r="AC178" i="65"/>
  <c r="AD178" i="65" s="1"/>
  <c r="Q181" i="65"/>
  <c r="Y179" i="65"/>
  <c r="AB179" i="65" s="1"/>
  <c r="D181" i="65"/>
  <c r="E181" i="65" s="1"/>
  <c r="F181" i="65" s="1"/>
  <c r="G181" i="65" s="1"/>
  <c r="H181" i="65" s="1"/>
  <c r="I181" i="65" s="1"/>
  <c r="J181" i="65" s="1"/>
  <c r="K181" i="65" s="1"/>
  <c r="AP181" i="63" a="1"/>
  <c r="AP181" i="63" s="1"/>
  <c r="B183" i="65" s="1"/>
  <c r="R180" i="65"/>
  <c r="S180" i="65" s="1"/>
  <c r="Y180" i="65" s="1"/>
  <c r="AF180" i="65"/>
  <c r="AE180" i="65"/>
  <c r="AV180" i="65"/>
  <c r="O182" i="65"/>
  <c r="L182" i="65"/>
  <c r="M182" i="65" s="1"/>
  <c r="C182" i="65"/>
  <c r="P182" i="65" s="1"/>
  <c r="BA183" i="65" l="1"/>
  <c r="AZ183" i="65"/>
  <c r="AY183" i="65"/>
  <c r="AS183" i="65"/>
  <c r="AX183" i="65"/>
  <c r="AM182" i="65"/>
  <c r="AU183" i="65"/>
  <c r="AT183" i="65"/>
  <c r="U181" i="65"/>
  <c r="AH181" i="65"/>
  <c r="AC179" i="65"/>
  <c r="AD179" i="65" s="1"/>
  <c r="Q182" i="65"/>
  <c r="AB180" i="65"/>
  <c r="AG179" i="65"/>
  <c r="D182" i="65"/>
  <c r="E182" i="65" s="1"/>
  <c r="F182" i="65" s="1"/>
  <c r="G182" i="65" s="1"/>
  <c r="H182" i="65" s="1"/>
  <c r="I182" i="65" s="1"/>
  <c r="J182" i="65" s="1"/>
  <c r="K182" i="65" s="1"/>
  <c r="AG180" i="65"/>
  <c r="AE181" i="65"/>
  <c r="R181" i="65"/>
  <c r="S181" i="65" s="1"/>
  <c r="AV181" i="65"/>
  <c r="AF181" i="65"/>
  <c r="O183" i="65"/>
  <c r="C183" i="65"/>
  <c r="P183" i="65" s="1"/>
  <c r="L183" i="65"/>
  <c r="M183" i="65" s="1"/>
  <c r="AP182" i="63" a="1"/>
  <c r="AP182" i="63" s="1"/>
  <c r="B184" i="65" s="1"/>
  <c r="BA184" i="65" l="1"/>
  <c r="AY184" i="65"/>
  <c r="AZ184" i="65"/>
  <c r="AS184" i="65"/>
  <c r="AX184" i="65"/>
  <c r="AM183" i="65"/>
  <c r="AU184" i="65"/>
  <c r="AT184" i="65"/>
  <c r="U182" i="65"/>
  <c r="AH182" i="65"/>
  <c r="AC180" i="65"/>
  <c r="AD180" i="65" s="1"/>
  <c r="Q183" i="65"/>
  <c r="Y181" i="65"/>
  <c r="AB181" i="65" s="1"/>
  <c r="C184" i="65"/>
  <c r="P184" i="65" s="1"/>
  <c r="L184" i="65"/>
  <c r="M184" i="65" s="1"/>
  <c r="O184" i="65"/>
  <c r="D183" i="65"/>
  <c r="E183" i="65" s="1"/>
  <c r="F183" i="65" s="1"/>
  <c r="G183" i="65" s="1"/>
  <c r="H183" i="65" s="1"/>
  <c r="I183" i="65" s="1"/>
  <c r="J183" i="65" s="1"/>
  <c r="K183" i="65" s="1"/>
  <c r="AP183" i="63" a="1"/>
  <c r="AP183" i="63" s="1"/>
  <c r="B185" i="65" s="1"/>
  <c r="R182" i="65"/>
  <c r="S182" i="65" s="1"/>
  <c r="Y182" i="65" s="1"/>
  <c r="AF182" i="65"/>
  <c r="AV182" i="65"/>
  <c r="AE182" i="65"/>
  <c r="BA185" i="65" l="1"/>
  <c r="AZ185" i="65"/>
  <c r="AY185" i="65"/>
  <c r="AS185" i="65"/>
  <c r="AX185" i="65"/>
  <c r="AM184" i="65"/>
  <c r="AU185" i="65"/>
  <c r="AT185" i="65"/>
  <c r="U183" i="65"/>
  <c r="AH183" i="65"/>
  <c r="AC181" i="65"/>
  <c r="AD181" i="65" s="1"/>
  <c r="AB182" i="65"/>
  <c r="AG181" i="65"/>
  <c r="O185" i="65"/>
  <c r="C185" i="65"/>
  <c r="P185" i="65" s="1"/>
  <c r="L185" i="65"/>
  <c r="M185" i="65" s="1"/>
  <c r="AG182" i="65"/>
  <c r="AV183" i="65"/>
  <c r="AF183" i="65"/>
  <c r="R183" i="65"/>
  <c r="S183" i="65" s="1"/>
  <c r="AE183" i="65"/>
  <c r="AP184" i="63" a="1"/>
  <c r="AP184" i="63" s="1"/>
  <c r="B186" i="65" s="1"/>
  <c r="D184" i="65"/>
  <c r="E184" i="65" s="1"/>
  <c r="F184" i="65" s="1"/>
  <c r="G184" i="65" s="1"/>
  <c r="H184" i="65" s="1"/>
  <c r="I184" i="65" s="1"/>
  <c r="J184" i="65" s="1"/>
  <c r="K184" i="65" s="1"/>
  <c r="BA186" i="65" l="1"/>
  <c r="AZ186" i="65"/>
  <c r="AY186" i="65"/>
  <c r="AS186" i="65"/>
  <c r="AX186" i="65"/>
  <c r="AM185" i="65"/>
  <c r="AH184" i="65"/>
  <c r="Q184" i="65"/>
  <c r="AU186" i="65"/>
  <c r="AT186" i="65"/>
  <c r="U184" i="65"/>
  <c r="AC182" i="65"/>
  <c r="AD182" i="65" s="1"/>
  <c r="Q185" i="65"/>
  <c r="Y183" i="65"/>
  <c r="AG183" i="65" s="1"/>
  <c r="AE184" i="65"/>
  <c r="R184" i="65"/>
  <c r="S184" i="65" s="1"/>
  <c r="AF184" i="65"/>
  <c r="AV184" i="65"/>
  <c r="AP185" i="63" a="1"/>
  <c r="AP185" i="63" s="1"/>
  <c r="B187" i="65" s="1"/>
  <c r="D185" i="65"/>
  <c r="E185" i="65" s="1"/>
  <c r="F185" i="65" s="1"/>
  <c r="G185" i="65" s="1"/>
  <c r="H185" i="65" s="1"/>
  <c r="I185" i="65" s="1"/>
  <c r="J185" i="65" s="1"/>
  <c r="K185" i="65" s="1"/>
  <c r="O186" i="65"/>
  <c r="C186" i="65"/>
  <c r="P186" i="65" s="1"/>
  <c r="L186" i="65"/>
  <c r="M186" i="65" s="1"/>
  <c r="BA187" i="65" l="1"/>
  <c r="AZ187" i="65"/>
  <c r="AY187" i="65"/>
  <c r="AS187" i="65"/>
  <c r="AX187" i="65"/>
  <c r="AM186" i="65"/>
  <c r="AU187" i="65"/>
  <c r="AT187" i="65"/>
  <c r="U185" i="65"/>
  <c r="AH185" i="65"/>
  <c r="Q186" i="65"/>
  <c r="AB183" i="65"/>
  <c r="Y184" i="65"/>
  <c r="AG184" i="65" s="1"/>
  <c r="L187" i="65"/>
  <c r="M187" i="65" s="1"/>
  <c r="O187" i="65"/>
  <c r="C187" i="65"/>
  <c r="P187" i="65" s="1"/>
  <c r="D186" i="65"/>
  <c r="E186" i="65" s="1"/>
  <c r="F186" i="65" s="1"/>
  <c r="G186" i="65" s="1"/>
  <c r="H186" i="65" s="1"/>
  <c r="I186" i="65" s="1"/>
  <c r="J186" i="65" s="1"/>
  <c r="K186" i="65" s="1"/>
  <c r="AE185" i="65"/>
  <c r="AV185" i="65"/>
  <c r="AF185" i="65"/>
  <c r="R185" i="65"/>
  <c r="S185" i="65" s="1"/>
  <c r="AP186" i="63" a="1"/>
  <c r="AP186" i="63" s="1"/>
  <c r="B188" i="65" s="1"/>
  <c r="BA188" i="65" l="1"/>
  <c r="AZ188" i="65"/>
  <c r="AY188" i="65"/>
  <c r="AS188" i="65"/>
  <c r="AX188" i="65"/>
  <c r="AM187" i="65"/>
  <c r="AT188" i="65"/>
  <c r="AU188" i="65"/>
  <c r="U186" i="65"/>
  <c r="AH186" i="65"/>
  <c r="AC183" i="65"/>
  <c r="AD183" i="65" s="1"/>
  <c r="Q187" i="65"/>
  <c r="AB184" i="65"/>
  <c r="Y185" i="65"/>
  <c r="AG185" i="65" s="1"/>
  <c r="AP187" i="63" a="1"/>
  <c r="AP187" i="63" s="1"/>
  <c r="B189" i="65" s="1"/>
  <c r="AF186" i="65"/>
  <c r="R186" i="65"/>
  <c r="S186" i="65" s="1"/>
  <c r="AV186" i="65"/>
  <c r="AE186" i="65"/>
  <c r="D187" i="65"/>
  <c r="E187" i="65" s="1"/>
  <c r="F187" i="65" s="1"/>
  <c r="G187" i="65" s="1"/>
  <c r="H187" i="65" s="1"/>
  <c r="I187" i="65" s="1"/>
  <c r="J187" i="65" s="1"/>
  <c r="K187" i="65" s="1"/>
  <c r="C188" i="65"/>
  <c r="P188" i="65" s="1"/>
  <c r="L188" i="65"/>
  <c r="M188" i="65" s="1"/>
  <c r="O188" i="65"/>
  <c r="BA189" i="65" l="1"/>
  <c r="AY189" i="65"/>
  <c r="AZ189" i="65"/>
  <c r="AS189" i="65"/>
  <c r="AX189" i="65"/>
  <c r="AM188" i="65"/>
  <c r="AU189" i="65"/>
  <c r="AT189" i="65"/>
  <c r="U187" i="65"/>
  <c r="AH187" i="65"/>
  <c r="AC184" i="65"/>
  <c r="AD184" i="65" s="1"/>
  <c r="Q188" i="65"/>
  <c r="AB185" i="65"/>
  <c r="Y186" i="65"/>
  <c r="AB186" i="65" s="1"/>
  <c r="AP188" i="63" a="1"/>
  <c r="AP188" i="63" s="1"/>
  <c r="B190" i="65" s="1"/>
  <c r="D188" i="65"/>
  <c r="E188" i="65" s="1"/>
  <c r="F188" i="65" s="1"/>
  <c r="G188" i="65" s="1"/>
  <c r="H188" i="65" s="1"/>
  <c r="I188" i="65" s="1"/>
  <c r="J188" i="65" s="1"/>
  <c r="K188" i="65" s="1"/>
  <c r="R187" i="65"/>
  <c r="S187" i="65" s="1"/>
  <c r="AF187" i="65"/>
  <c r="AE187" i="65"/>
  <c r="AV187" i="65"/>
  <c r="O189" i="65"/>
  <c r="C189" i="65"/>
  <c r="P189" i="65" s="1"/>
  <c r="L189" i="65"/>
  <c r="M189" i="65" s="1"/>
  <c r="BA190" i="65" l="1"/>
  <c r="AZ190" i="65"/>
  <c r="AY190" i="65"/>
  <c r="AS190" i="65"/>
  <c r="AX190" i="65"/>
  <c r="AM189" i="65"/>
  <c r="AU190" i="65"/>
  <c r="AT190" i="65"/>
  <c r="U188" i="65"/>
  <c r="AH188" i="65"/>
  <c r="AC186" i="65"/>
  <c r="AD186" i="65" s="1"/>
  <c r="AC185" i="65"/>
  <c r="AD185" i="65" s="1"/>
  <c r="Q189" i="65"/>
  <c r="AG186" i="65"/>
  <c r="Y187" i="65"/>
  <c r="AB187" i="65" s="1"/>
  <c r="D189" i="65"/>
  <c r="E189" i="65" s="1"/>
  <c r="F189" i="65" s="1"/>
  <c r="G189" i="65" s="1"/>
  <c r="H189" i="65" s="1"/>
  <c r="I189" i="65" s="1"/>
  <c r="J189" i="65" s="1"/>
  <c r="K189" i="65" s="1"/>
  <c r="AP189" i="63" a="1"/>
  <c r="AP189" i="63" s="1"/>
  <c r="B191" i="65" s="1"/>
  <c r="AF188" i="65"/>
  <c r="R188" i="65"/>
  <c r="S188" i="65" s="1"/>
  <c r="Y188" i="65" s="1"/>
  <c r="AE188" i="65"/>
  <c r="AV188" i="65"/>
  <c r="C190" i="65"/>
  <c r="P190" i="65" s="1"/>
  <c r="O190" i="65"/>
  <c r="L190" i="65"/>
  <c r="M190" i="65" s="1"/>
  <c r="BA191" i="65" l="1"/>
  <c r="AZ191" i="65"/>
  <c r="AY191" i="65"/>
  <c r="AS191" i="65"/>
  <c r="AX191" i="65"/>
  <c r="AM190" i="65"/>
  <c r="AU191" i="65"/>
  <c r="AT191" i="65"/>
  <c r="U189" i="65"/>
  <c r="AH189" i="65"/>
  <c r="AC187" i="65"/>
  <c r="AD187" i="65" s="1"/>
  <c r="Q190" i="65"/>
  <c r="AG187" i="65"/>
  <c r="AB188" i="65"/>
  <c r="AG188" i="65"/>
  <c r="AP190" i="63" a="1"/>
  <c r="AP190" i="63" s="1"/>
  <c r="B192" i="65" s="1"/>
  <c r="L191" i="65"/>
  <c r="M191" i="65" s="1"/>
  <c r="O191" i="65"/>
  <c r="C191" i="65"/>
  <c r="P191" i="65" s="1"/>
  <c r="D190" i="65"/>
  <c r="E190" i="65" s="1"/>
  <c r="F190" i="65" s="1"/>
  <c r="G190" i="65" s="1"/>
  <c r="H190" i="65" s="1"/>
  <c r="I190" i="65" s="1"/>
  <c r="J190" i="65" s="1"/>
  <c r="K190" i="65" s="1"/>
  <c r="AE189" i="65"/>
  <c r="R189" i="65"/>
  <c r="S189" i="65" s="1"/>
  <c r="AF189" i="65"/>
  <c r="AV189" i="65"/>
  <c r="BA192" i="65" l="1"/>
  <c r="AZ192" i="65"/>
  <c r="AY192" i="65"/>
  <c r="AS192" i="65"/>
  <c r="AX192" i="65"/>
  <c r="AM191" i="65"/>
  <c r="AU192" i="65"/>
  <c r="AT192" i="65"/>
  <c r="U190" i="65"/>
  <c r="AH190" i="65"/>
  <c r="AC188" i="65"/>
  <c r="AD188" i="65" s="1"/>
  <c r="Q191" i="65"/>
  <c r="Y189" i="65"/>
  <c r="AG189" i="65" s="1"/>
  <c r="AF190" i="65"/>
  <c r="AE190" i="65"/>
  <c r="R190" i="65"/>
  <c r="S190" i="65" s="1"/>
  <c r="AV190" i="65"/>
  <c r="O192" i="65"/>
  <c r="L192" i="65"/>
  <c r="M192" i="65" s="1"/>
  <c r="C192" i="65"/>
  <c r="P192" i="65" s="1"/>
  <c r="AP191" i="63" a="1"/>
  <c r="AP191" i="63" s="1"/>
  <c r="B193" i="65" s="1"/>
  <c r="D191" i="65"/>
  <c r="E191" i="65" s="1"/>
  <c r="F191" i="65" s="1"/>
  <c r="G191" i="65" s="1"/>
  <c r="H191" i="65" s="1"/>
  <c r="I191" i="65" s="1"/>
  <c r="J191" i="65" s="1"/>
  <c r="K191" i="65" s="1"/>
  <c r="AZ193" i="65" l="1"/>
  <c r="BA193" i="65"/>
  <c r="AY193" i="65"/>
  <c r="AS193" i="65"/>
  <c r="AX193" i="65"/>
  <c r="AM192" i="65"/>
  <c r="AU193" i="65"/>
  <c r="AT193" i="65"/>
  <c r="U191" i="65"/>
  <c r="AH191" i="65"/>
  <c r="Q192" i="65"/>
  <c r="AB189" i="65"/>
  <c r="Y190" i="65"/>
  <c r="AB190" i="65" s="1"/>
  <c r="O193" i="65"/>
  <c r="C193" i="65"/>
  <c r="P193" i="65" s="1"/>
  <c r="L193" i="65"/>
  <c r="M193" i="65" s="1"/>
  <c r="D192" i="65"/>
  <c r="E192" i="65" s="1"/>
  <c r="F192" i="65" s="1"/>
  <c r="G192" i="65" s="1"/>
  <c r="H192" i="65" s="1"/>
  <c r="I192" i="65" s="1"/>
  <c r="J192" i="65" s="1"/>
  <c r="K192" i="65" s="1"/>
  <c r="AP192" i="63" a="1"/>
  <c r="AP192" i="63" s="1"/>
  <c r="B194" i="65" s="1"/>
  <c r="AV191" i="65"/>
  <c r="AE191" i="65"/>
  <c r="AF191" i="65"/>
  <c r="R191" i="65"/>
  <c r="S191" i="65" s="1"/>
  <c r="AZ194" i="65" l="1"/>
  <c r="BA194" i="65"/>
  <c r="AY194" i="65"/>
  <c r="AS194" i="65"/>
  <c r="AX194" i="65"/>
  <c r="AM193" i="65"/>
  <c r="AU194" i="65"/>
  <c r="AT194" i="65"/>
  <c r="U192" i="65"/>
  <c r="AH192" i="65"/>
  <c r="AC190" i="65"/>
  <c r="AD190" i="65" s="1"/>
  <c r="AC189" i="65"/>
  <c r="AD189" i="65" s="1"/>
  <c r="Q193" i="65"/>
  <c r="AG190" i="65"/>
  <c r="Y191" i="65"/>
  <c r="AB191" i="65" s="1"/>
  <c r="C194" i="65"/>
  <c r="P194" i="65" s="1"/>
  <c r="O194" i="65"/>
  <c r="L194" i="65"/>
  <c r="M194" i="65" s="1"/>
  <c r="AV192" i="65"/>
  <c r="AF192" i="65"/>
  <c r="AE192" i="65"/>
  <c r="R192" i="65"/>
  <c r="S192" i="65" s="1"/>
  <c r="D193" i="65"/>
  <c r="E193" i="65" s="1"/>
  <c r="F193" i="65" s="1"/>
  <c r="G193" i="65" s="1"/>
  <c r="H193" i="65" s="1"/>
  <c r="I193" i="65" s="1"/>
  <c r="J193" i="65" s="1"/>
  <c r="K193" i="65" s="1"/>
  <c r="AP193" i="63" a="1"/>
  <c r="AP193" i="63" s="1"/>
  <c r="B195" i="65" s="1"/>
  <c r="BA195" i="65" l="1"/>
  <c r="AZ195" i="65"/>
  <c r="AY195" i="65"/>
  <c r="AS195" i="65"/>
  <c r="AX195" i="65"/>
  <c r="AM194" i="65"/>
  <c r="AU195" i="65"/>
  <c r="AT195" i="65"/>
  <c r="U193" i="65"/>
  <c r="AH193" i="65"/>
  <c r="AC191" i="65"/>
  <c r="AD191" i="65" s="1"/>
  <c r="Q194" i="65"/>
  <c r="AG191" i="65"/>
  <c r="Y192" i="65"/>
  <c r="AB192" i="65" s="1"/>
  <c r="L195" i="65"/>
  <c r="M195" i="65" s="1"/>
  <c r="O195" i="65"/>
  <c r="C195" i="65"/>
  <c r="P195" i="65" s="1"/>
  <c r="R193" i="65"/>
  <c r="S193" i="65" s="1"/>
  <c r="AE193" i="65"/>
  <c r="AV193" i="65"/>
  <c r="AF193" i="65"/>
  <c r="AP194" i="63" a="1"/>
  <c r="AP194" i="63" s="1"/>
  <c r="B196" i="65" s="1"/>
  <c r="D194" i="65"/>
  <c r="E194" i="65" s="1"/>
  <c r="F194" i="65" s="1"/>
  <c r="G194" i="65" s="1"/>
  <c r="H194" i="65" s="1"/>
  <c r="I194" i="65" s="1"/>
  <c r="J194" i="65" s="1"/>
  <c r="K194" i="65" s="1"/>
  <c r="BA196" i="65" l="1"/>
  <c r="AZ196" i="65"/>
  <c r="AY196" i="65"/>
  <c r="AS196" i="65"/>
  <c r="AX196" i="65"/>
  <c r="AM195" i="65"/>
  <c r="AU196" i="65"/>
  <c r="AT196" i="65"/>
  <c r="U194" i="65"/>
  <c r="AH194" i="65"/>
  <c r="AC192" i="65"/>
  <c r="AD192" i="65" s="1"/>
  <c r="Q195" i="65"/>
  <c r="AG192" i="65"/>
  <c r="Y193" i="65"/>
  <c r="AB193" i="65" s="1"/>
  <c r="C196" i="65"/>
  <c r="P196" i="65" s="1"/>
  <c r="L196" i="65"/>
  <c r="M196" i="65" s="1"/>
  <c r="O196" i="65"/>
  <c r="D195" i="65"/>
  <c r="E195" i="65" s="1"/>
  <c r="F195" i="65" s="1"/>
  <c r="G195" i="65" s="1"/>
  <c r="H195" i="65" s="1"/>
  <c r="I195" i="65" s="1"/>
  <c r="J195" i="65" s="1"/>
  <c r="K195" i="65" s="1"/>
  <c r="AV194" i="65"/>
  <c r="AF194" i="65"/>
  <c r="R194" i="65"/>
  <c r="S194" i="65" s="1"/>
  <c r="AE194" i="65"/>
  <c r="AP195" i="63" a="1"/>
  <c r="AP195" i="63" s="1"/>
  <c r="B197" i="65" s="1"/>
  <c r="BA197" i="65" l="1"/>
  <c r="AZ197" i="65"/>
  <c r="AY197" i="65"/>
  <c r="AS197" i="65"/>
  <c r="AX197" i="65"/>
  <c r="AM196" i="65"/>
  <c r="AU197" i="65"/>
  <c r="AT197" i="65"/>
  <c r="U195" i="65"/>
  <c r="AH195" i="65"/>
  <c r="AC193" i="65"/>
  <c r="AD193" i="65" s="1"/>
  <c r="Q196" i="65"/>
  <c r="AG193" i="65"/>
  <c r="Y194" i="65"/>
  <c r="AB194" i="65" s="1"/>
  <c r="R195" i="65"/>
  <c r="S195" i="65" s="1"/>
  <c r="AF195" i="65"/>
  <c r="AV195" i="65"/>
  <c r="AE195" i="65"/>
  <c r="AP196" i="63" a="1"/>
  <c r="AP196" i="63" s="1"/>
  <c r="B198" i="65" s="1"/>
  <c r="O197" i="65"/>
  <c r="L197" i="65"/>
  <c r="M197" i="65" s="1"/>
  <c r="C197" i="65"/>
  <c r="P197" i="65" s="1"/>
  <c r="D196" i="65"/>
  <c r="E196" i="65" s="1"/>
  <c r="F196" i="65" s="1"/>
  <c r="G196" i="65" s="1"/>
  <c r="H196" i="65" s="1"/>
  <c r="I196" i="65" s="1"/>
  <c r="J196" i="65" s="1"/>
  <c r="K196" i="65" s="1"/>
  <c r="BA198" i="65" l="1"/>
  <c r="AY198" i="65"/>
  <c r="AZ198" i="65"/>
  <c r="AS198" i="65"/>
  <c r="AX198" i="65"/>
  <c r="AM197" i="65"/>
  <c r="AU198" i="65"/>
  <c r="AT198" i="65"/>
  <c r="U196" i="65"/>
  <c r="AH196" i="65"/>
  <c r="AC194" i="65"/>
  <c r="AD194" i="65" s="1"/>
  <c r="Q197" i="65"/>
  <c r="Y195" i="65"/>
  <c r="AB195" i="65" s="1"/>
  <c r="AG194" i="65"/>
  <c r="AE196" i="65"/>
  <c r="AV196" i="65"/>
  <c r="AF196" i="65"/>
  <c r="R196" i="65"/>
  <c r="S196" i="65" s="1"/>
  <c r="D197" i="65"/>
  <c r="E197" i="65" s="1"/>
  <c r="F197" i="65" s="1"/>
  <c r="G197" i="65" s="1"/>
  <c r="H197" i="65" s="1"/>
  <c r="I197" i="65" s="1"/>
  <c r="J197" i="65" s="1"/>
  <c r="K197" i="65" s="1"/>
  <c r="C198" i="65"/>
  <c r="P198" i="65" s="1"/>
  <c r="O198" i="65"/>
  <c r="L198" i="65"/>
  <c r="M198" i="65" s="1"/>
  <c r="AP197" i="63" a="1"/>
  <c r="AP197" i="63" s="1"/>
  <c r="B199" i="65" s="1"/>
  <c r="AZ199" i="65" l="1"/>
  <c r="AY199" i="65"/>
  <c r="BA199" i="65"/>
  <c r="AS199" i="65"/>
  <c r="AX199" i="65"/>
  <c r="AM198" i="65"/>
  <c r="AU199" i="65"/>
  <c r="AT199" i="65"/>
  <c r="U197" i="65"/>
  <c r="AH197" i="65"/>
  <c r="AC195" i="65"/>
  <c r="AD195" i="65" s="1"/>
  <c r="Q198" i="65"/>
  <c r="AG195" i="65"/>
  <c r="Y196" i="65"/>
  <c r="AB196" i="65" s="1"/>
  <c r="AP198" i="63" a="1"/>
  <c r="AP198" i="63" s="1"/>
  <c r="B200" i="65" s="1"/>
  <c r="R197" i="65"/>
  <c r="S197" i="65" s="1"/>
  <c r="Y197" i="65" s="1"/>
  <c r="AF197" i="65"/>
  <c r="AV197" i="65"/>
  <c r="AE197" i="65"/>
  <c r="L199" i="65"/>
  <c r="M199" i="65" s="1"/>
  <c r="C199" i="65"/>
  <c r="P199" i="65" s="1"/>
  <c r="O199" i="65"/>
  <c r="D198" i="65"/>
  <c r="E198" i="65" s="1"/>
  <c r="F198" i="65" s="1"/>
  <c r="G198" i="65" s="1"/>
  <c r="H198" i="65" s="1"/>
  <c r="I198" i="65" s="1"/>
  <c r="J198" i="65" s="1"/>
  <c r="K198" i="65" s="1"/>
  <c r="BA200" i="65" l="1"/>
  <c r="AY200" i="65"/>
  <c r="AZ200" i="65"/>
  <c r="AS200" i="65"/>
  <c r="AX200" i="65"/>
  <c r="AM199" i="65"/>
  <c r="AU200" i="65"/>
  <c r="AT200" i="65"/>
  <c r="U198" i="65"/>
  <c r="AH198" i="65"/>
  <c r="AC196" i="65"/>
  <c r="AD196" i="65" s="1"/>
  <c r="Q199" i="65"/>
  <c r="AG196" i="65"/>
  <c r="AB197" i="65"/>
  <c r="AF198" i="65"/>
  <c r="AV198" i="65"/>
  <c r="R198" i="65"/>
  <c r="S198" i="65" s="1"/>
  <c r="AE198" i="65"/>
  <c r="D199" i="65"/>
  <c r="E199" i="65" s="1"/>
  <c r="F199" i="65" s="1"/>
  <c r="G199" i="65" s="1"/>
  <c r="H199" i="65" s="1"/>
  <c r="I199" i="65" s="1"/>
  <c r="J199" i="65" s="1"/>
  <c r="K199" i="65" s="1"/>
  <c r="AG197" i="65"/>
  <c r="AP199" i="63" a="1"/>
  <c r="AP199" i="63" s="1"/>
  <c r="B201" i="65" s="1"/>
  <c r="L200" i="65"/>
  <c r="M200" i="65" s="1"/>
  <c r="C200" i="65"/>
  <c r="P200" i="65" s="1"/>
  <c r="O200" i="65"/>
  <c r="BA201" i="65" l="1"/>
  <c r="AZ201" i="65"/>
  <c r="AY201" i="65"/>
  <c r="AS201" i="65"/>
  <c r="AX201" i="65"/>
  <c r="AM200" i="65"/>
  <c r="AU201" i="65"/>
  <c r="AT201" i="65"/>
  <c r="U199" i="65"/>
  <c r="AH199" i="65"/>
  <c r="AC197" i="65"/>
  <c r="AD197" i="65" s="1"/>
  <c r="Q200" i="65"/>
  <c r="Y198" i="65"/>
  <c r="AB198" i="65" s="1"/>
  <c r="AE199" i="65"/>
  <c r="AV199" i="65"/>
  <c r="R199" i="65"/>
  <c r="S199" i="65" s="1"/>
  <c r="AF199" i="65"/>
  <c r="AP200" i="63" a="1"/>
  <c r="AP200" i="63" s="1"/>
  <c r="B202" i="65" s="1"/>
  <c r="C201" i="65"/>
  <c r="P201" i="65" s="1"/>
  <c r="O201" i="65"/>
  <c r="L201" i="65"/>
  <c r="M201" i="65" s="1"/>
  <c r="D200" i="65"/>
  <c r="E200" i="65" s="1"/>
  <c r="F200" i="65" s="1"/>
  <c r="G200" i="65" s="1"/>
  <c r="H200" i="65" s="1"/>
  <c r="I200" i="65" s="1"/>
  <c r="J200" i="65" s="1"/>
  <c r="K200" i="65" s="1"/>
  <c r="BA202" i="65" l="1"/>
  <c r="AZ202" i="65"/>
  <c r="AY202" i="65"/>
  <c r="AS202" i="65"/>
  <c r="AX202" i="65"/>
  <c r="AM201" i="65"/>
  <c r="AU202" i="65"/>
  <c r="AT202" i="65"/>
  <c r="U200" i="65"/>
  <c r="AH200" i="65"/>
  <c r="AC198" i="65"/>
  <c r="AD198" i="65" s="1"/>
  <c r="Q201" i="65"/>
  <c r="AG198" i="65"/>
  <c r="Y199" i="65"/>
  <c r="AB199" i="65" s="1"/>
  <c r="C202" i="65"/>
  <c r="P202" i="65" s="1"/>
  <c r="O202" i="65"/>
  <c r="L202" i="65"/>
  <c r="M202" i="65" s="1"/>
  <c r="D201" i="65"/>
  <c r="E201" i="65" s="1"/>
  <c r="F201" i="65" s="1"/>
  <c r="G201" i="65" s="1"/>
  <c r="H201" i="65" s="1"/>
  <c r="I201" i="65" s="1"/>
  <c r="J201" i="65" s="1"/>
  <c r="K201" i="65" s="1"/>
  <c r="AP201" i="63" a="1"/>
  <c r="AP201" i="63" s="1"/>
  <c r="B203" i="65" s="1"/>
  <c r="AF200" i="65"/>
  <c r="AV200" i="65"/>
  <c r="R200" i="65"/>
  <c r="S200" i="65" s="1"/>
  <c r="Y200" i="65" s="1"/>
  <c r="AE200" i="65"/>
  <c r="BA203" i="65" l="1"/>
  <c r="AZ203" i="65"/>
  <c r="AY203" i="65"/>
  <c r="AS203" i="65"/>
  <c r="AX203" i="65"/>
  <c r="AM202" i="65"/>
  <c r="AU203" i="65"/>
  <c r="AT203" i="65"/>
  <c r="U201" i="65"/>
  <c r="AH201" i="65"/>
  <c r="AC199" i="65"/>
  <c r="AD199" i="65" s="1"/>
  <c r="AB200" i="65"/>
  <c r="AG199" i="65"/>
  <c r="AP202" i="63" a="1"/>
  <c r="AP202" i="63" s="1"/>
  <c r="B204" i="65" s="1"/>
  <c r="AG200" i="65"/>
  <c r="O203" i="65"/>
  <c r="L203" i="65"/>
  <c r="M203" i="65" s="1"/>
  <c r="C203" i="65"/>
  <c r="P203" i="65" s="1"/>
  <c r="R201" i="65"/>
  <c r="S201" i="65" s="1"/>
  <c r="Y201" i="65" s="1"/>
  <c r="AV201" i="65"/>
  <c r="AF201" i="65"/>
  <c r="AE201" i="65"/>
  <c r="D202" i="65"/>
  <c r="E202" i="65" s="1"/>
  <c r="F202" i="65" s="1"/>
  <c r="G202" i="65" s="1"/>
  <c r="H202" i="65" s="1"/>
  <c r="I202" i="65" s="1"/>
  <c r="J202" i="65" s="1"/>
  <c r="K202" i="65" s="1"/>
  <c r="BA204" i="65" l="1"/>
  <c r="AZ204" i="65"/>
  <c r="AY204" i="65"/>
  <c r="AS204" i="65"/>
  <c r="AX204" i="65"/>
  <c r="AM203" i="65"/>
  <c r="AH202" i="65"/>
  <c r="Q202" i="65"/>
  <c r="AT204" i="65"/>
  <c r="AU204" i="65"/>
  <c r="U202" i="65"/>
  <c r="AC200" i="65"/>
  <c r="AD200" i="65" s="1"/>
  <c r="Q203" i="65"/>
  <c r="AB201" i="65"/>
  <c r="R202" i="65"/>
  <c r="S202" i="65" s="1"/>
  <c r="AE202" i="65"/>
  <c r="AV202" i="65"/>
  <c r="AF202" i="65"/>
  <c r="AG201" i="65"/>
  <c r="D203" i="65"/>
  <c r="E203" i="65" s="1"/>
  <c r="F203" i="65" s="1"/>
  <c r="G203" i="65" s="1"/>
  <c r="H203" i="65" s="1"/>
  <c r="I203" i="65" s="1"/>
  <c r="J203" i="65" s="1"/>
  <c r="K203" i="65" s="1"/>
  <c r="O204" i="65"/>
  <c r="L204" i="65"/>
  <c r="M204" i="65" s="1"/>
  <c r="C204" i="65"/>
  <c r="P204" i="65" s="1"/>
  <c r="AP203" i="63" a="1"/>
  <c r="AP203" i="63" s="1"/>
  <c r="B205" i="65" s="1"/>
  <c r="BA205" i="65" l="1"/>
  <c r="AZ205" i="65"/>
  <c r="AY205" i="65"/>
  <c r="AS205" i="65"/>
  <c r="AX205" i="65"/>
  <c r="AM204" i="65"/>
  <c r="AU205" i="65"/>
  <c r="AT205" i="65"/>
  <c r="U203" i="65"/>
  <c r="AH203" i="65"/>
  <c r="AC201" i="65"/>
  <c r="AD201" i="65" s="1"/>
  <c r="Q204" i="65"/>
  <c r="Y202" i="65"/>
  <c r="AB202" i="65" s="1"/>
  <c r="R203" i="65"/>
  <c r="S203" i="65" s="1"/>
  <c r="AE203" i="65"/>
  <c r="AV203" i="65"/>
  <c r="AF203" i="65"/>
  <c r="C205" i="65"/>
  <c r="P205" i="65" s="1"/>
  <c r="L205" i="65"/>
  <c r="M205" i="65" s="1"/>
  <c r="O205" i="65"/>
  <c r="D204" i="65"/>
  <c r="E204" i="65" s="1"/>
  <c r="F204" i="65" s="1"/>
  <c r="G204" i="65" s="1"/>
  <c r="H204" i="65" s="1"/>
  <c r="I204" i="65" s="1"/>
  <c r="J204" i="65" s="1"/>
  <c r="K204" i="65" s="1"/>
  <c r="AP204" i="63" a="1"/>
  <c r="AP204" i="63" s="1"/>
  <c r="B206" i="65" s="1"/>
  <c r="BA206" i="65" l="1"/>
  <c r="AY206" i="65"/>
  <c r="AZ206" i="65"/>
  <c r="AS206" i="65"/>
  <c r="AX206" i="65"/>
  <c r="AM205" i="65"/>
  <c r="AU206" i="65"/>
  <c r="AT206" i="65"/>
  <c r="U204" i="65"/>
  <c r="AH204" i="65"/>
  <c r="AC202" i="65"/>
  <c r="AD202" i="65" s="1"/>
  <c r="Q205" i="65"/>
  <c r="AG202" i="65"/>
  <c r="Y203" i="65"/>
  <c r="AG203" i="65" s="1"/>
  <c r="AP205" i="63" a="1"/>
  <c r="AP205" i="63" s="1"/>
  <c r="B207" i="65" s="1"/>
  <c r="D205" i="65"/>
  <c r="E205" i="65" s="1"/>
  <c r="F205" i="65" s="1"/>
  <c r="G205" i="65" s="1"/>
  <c r="H205" i="65" s="1"/>
  <c r="I205" i="65" s="1"/>
  <c r="J205" i="65" s="1"/>
  <c r="K205" i="65" s="1"/>
  <c r="AF204" i="65"/>
  <c r="R204" i="65"/>
  <c r="S204" i="65" s="1"/>
  <c r="AE204" i="65"/>
  <c r="AV204" i="65"/>
  <c r="L206" i="65"/>
  <c r="M206" i="65" s="1"/>
  <c r="O206" i="65"/>
  <c r="C206" i="65"/>
  <c r="P206" i="65" s="1"/>
  <c r="AZ207" i="65" l="1"/>
  <c r="BA207" i="65"/>
  <c r="AY207" i="65"/>
  <c r="AS207" i="65"/>
  <c r="AX207" i="65"/>
  <c r="AM206" i="65"/>
  <c r="AU207" i="65"/>
  <c r="AT207" i="65"/>
  <c r="U205" i="65"/>
  <c r="AH205" i="65"/>
  <c r="Q206" i="65"/>
  <c r="AB203" i="65"/>
  <c r="Y204" i="65"/>
  <c r="AB204" i="65" s="1"/>
  <c r="C207" i="65"/>
  <c r="P207" i="65" s="1"/>
  <c r="O207" i="65"/>
  <c r="L207" i="65"/>
  <c r="M207" i="65" s="1"/>
  <c r="AP206" i="63" a="1"/>
  <c r="AP206" i="63" s="1"/>
  <c r="B208" i="65" s="1"/>
  <c r="AV205" i="65"/>
  <c r="AF205" i="65"/>
  <c r="AE205" i="65"/>
  <c r="R205" i="65"/>
  <c r="S205" i="65" s="1"/>
  <c r="D206" i="65"/>
  <c r="E206" i="65" s="1"/>
  <c r="F206" i="65" s="1"/>
  <c r="G206" i="65" s="1"/>
  <c r="H206" i="65" s="1"/>
  <c r="I206" i="65" s="1"/>
  <c r="J206" i="65" s="1"/>
  <c r="K206" i="65" s="1"/>
  <c r="AY208" i="65" l="1"/>
  <c r="BA208" i="65"/>
  <c r="AZ208" i="65"/>
  <c r="AS208" i="65"/>
  <c r="AX208" i="65"/>
  <c r="AM207" i="65"/>
  <c r="AU208" i="65"/>
  <c r="AT208" i="65"/>
  <c r="U206" i="65"/>
  <c r="AH206" i="65"/>
  <c r="AC204" i="65"/>
  <c r="AD204" i="65" s="1"/>
  <c r="AC203" i="65"/>
  <c r="AD203" i="65" s="1"/>
  <c r="Q207" i="65"/>
  <c r="Y205" i="65"/>
  <c r="AB205" i="65" s="1"/>
  <c r="AG204" i="65"/>
  <c r="AP207" i="63" a="1"/>
  <c r="AP207" i="63" s="1"/>
  <c r="B209" i="65" s="1"/>
  <c r="AV206" i="65"/>
  <c r="AF206" i="65"/>
  <c r="R206" i="65"/>
  <c r="S206" i="65" s="1"/>
  <c r="AE206" i="65"/>
  <c r="D207" i="65"/>
  <c r="E207" i="65" s="1"/>
  <c r="F207" i="65" s="1"/>
  <c r="G207" i="65" s="1"/>
  <c r="H207" i="65" s="1"/>
  <c r="I207" i="65" s="1"/>
  <c r="J207" i="65" s="1"/>
  <c r="K207" i="65" s="1"/>
  <c r="L208" i="65"/>
  <c r="M208" i="65" s="1"/>
  <c r="O208" i="65"/>
  <c r="C208" i="65"/>
  <c r="P208" i="65" s="1"/>
  <c r="BA209" i="65" l="1"/>
  <c r="AZ209" i="65"/>
  <c r="AY209" i="65"/>
  <c r="AS209" i="65"/>
  <c r="AX209" i="65"/>
  <c r="AM208" i="65"/>
  <c r="AU209" i="65"/>
  <c r="AT209" i="65"/>
  <c r="U207" i="65"/>
  <c r="AH207" i="65"/>
  <c r="AC205" i="65"/>
  <c r="AD205" i="65" s="1"/>
  <c r="Q208" i="65"/>
  <c r="Y206" i="65"/>
  <c r="AB206" i="65" s="1"/>
  <c r="AG205" i="65"/>
  <c r="D208" i="65"/>
  <c r="E208" i="65" s="1"/>
  <c r="F208" i="65" s="1"/>
  <c r="G208" i="65" s="1"/>
  <c r="H208" i="65" s="1"/>
  <c r="I208" i="65" s="1"/>
  <c r="J208" i="65" s="1"/>
  <c r="K208" i="65" s="1"/>
  <c r="AP208" i="63" a="1"/>
  <c r="AP208" i="63" s="1"/>
  <c r="B210" i="65" s="1"/>
  <c r="R207" i="65"/>
  <c r="S207" i="65" s="1"/>
  <c r="AV207" i="65"/>
  <c r="AF207" i="65"/>
  <c r="AE207" i="65"/>
  <c r="O209" i="65"/>
  <c r="C209" i="65"/>
  <c r="P209" i="65" s="1"/>
  <c r="L209" i="65"/>
  <c r="M209" i="65" s="1"/>
  <c r="AZ210" i="65" l="1"/>
  <c r="AY210" i="65"/>
  <c r="BA210" i="65"/>
  <c r="AS210" i="65"/>
  <c r="AX210" i="65"/>
  <c r="AM209" i="65"/>
  <c r="AU210" i="65"/>
  <c r="AT210" i="65"/>
  <c r="U208" i="65"/>
  <c r="AH208" i="65"/>
  <c r="AC206" i="65"/>
  <c r="AD206" i="65" s="1"/>
  <c r="Q209" i="65"/>
  <c r="AG206" i="65"/>
  <c r="Y207" i="65"/>
  <c r="AB207" i="65" s="1"/>
  <c r="D209" i="65"/>
  <c r="E209" i="65" s="1"/>
  <c r="F209" i="65" s="1"/>
  <c r="G209" i="65" s="1"/>
  <c r="H209" i="65" s="1"/>
  <c r="I209" i="65" s="1"/>
  <c r="J209" i="65" s="1"/>
  <c r="K209" i="65" s="1"/>
  <c r="O210" i="65"/>
  <c r="C210" i="65"/>
  <c r="P210" i="65" s="1"/>
  <c r="L210" i="65"/>
  <c r="M210" i="65" s="1"/>
  <c r="AP209" i="63" a="1"/>
  <c r="AP209" i="63" s="1"/>
  <c r="B211" i="65" s="1"/>
  <c r="AF208" i="65"/>
  <c r="R208" i="65"/>
  <c r="S208" i="65" s="1"/>
  <c r="Y208" i="65" s="1"/>
  <c r="AV208" i="65"/>
  <c r="AE208" i="65"/>
  <c r="BA211" i="65" l="1"/>
  <c r="AZ211" i="65"/>
  <c r="AY211" i="65"/>
  <c r="AS211" i="65"/>
  <c r="AX211" i="65"/>
  <c r="AM210" i="65"/>
  <c r="AU211" i="65"/>
  <c r="AT211" i="65"/>
  <c r="U209" i="65"/>
  <c r="AH209" i="65"/>
  <c r="AC207" i="65"/>
  <c r="AD207" i="65" s="1"/>
  <c r="Q210" i="65"/>
  <c r="AG207" i="65"/>
  <c r="AB208" i="65"/>
  <c r="AP210" i="63" a="1"/>
  <c r="AP210" i="63" s="1"/>
  <c r="B212" i="65" s="1"/>
  <c r="AG208" i="65"/>
  <c r="D210" i="65"/>
  <c r="E210" i="65" s="1"/>
  <c r="F210" i="65" s="1"/>
  <c r="G210" i="65" s="1"/>
  <c r="H210" i="65" s="1"/>
  <c r="I210" i="65" s="1"/>
  <c r="J210" i="65" s="1"/>
  <c r="K210" i="65" s="1"/>
  <c r="O211" i="65"/>
  <c r="L211" i="65"/>
  <c r="M211" i="65" s="1"/>
  <c r="C211" i="65"/>
  <c r="P211" i="65" s="1"/>
  <c r="AE209" i="65"/>
  <c r="AF209" i="65"/>
  <c r="AV209" i="65"/>
  <c r="R209" i="65"/>
  <c r="S209" i="65" s="1"/>
  <c r="AZ212" i="65" l="1"/>
  <c r="AY212" i="65"/>
  <c r="BA212" i="65"/>
  <c r="AS212" i="65"/>
  <c r="AX212" i="65"/>
  <c r="AM211" i="65"/>
  <c r="AU212" i="65"/>
  <c r="AT212" i="65"/>
  <c r="U210" i="65"/>
  <c r="AH210" i="65"/>
  <c r="AC208" i="65"/>
  <c r="AD208" i="65" s="1"/>
  <c r="Q211" i="65"/>
  <c r="Y209" i="65"/>
  <c r="AG209" i="65" s="1"/>
  <c r="AE210" i="65"/>
  <c r="R210" i="65"/>
  <c r="S210" i="65" s="1"/>
  <c r="AF210" i="65"/>
  <c r="AV210" i="65"/>
  <c r="D211" i="65"/>
  <c r="E211" i="65" s="1"/>
  <c r="F211" i="65" s="1"/>
  <c r="G211" i="65" s="1"/>
  <c r="H211" i="65" s="1"/>
  <c r="I211" i="65" s="1"/>
  <c r="J211" i="65" s="1"/>
  <c r="K211" i="65" s="1"/>
  <c r="C212" i="65"/>
  <c r="P212" i="65" s="1"/>
  <c r="O212" i="65"/>
  <c r="L212" i="65"/>
  <c r="M212" i="65" s="1"/>
  <c r="AP211" i="63" a="1"/>
  <c r="AP211" i="63" s="1"/>
  <c r="B213" i="65" s="1"/>
  <c r="BA213" i="65" l="1"/>
  <c r="AZ213" i="65"/>
  <c r="AY213" i="65"/>
  <c r="AS213" i="65"/>
  <c r="AX213" i="65"/>
  <c r="AM212" i="65"/>
  <c r="AU213" i="65"/>
  <c r="AT213" i="65"/>
  <c r="U211" i="65"/>
  <c r="AH211" i="65"/>
  <c r="Q212" i="65"/>
  <c r="AB209" i="65"/>
  <c r="Y210" i="65"/>
  <c r="AB210" i="65" s="1"/>
  <c r="AP212" i="63" a="1"/>
  <c r="AP212" i="63" s="1"/>
  <c r="B214" i="65" s="1"/>
  <c r="C213" i="65"/>
  <c r="P213" i="65" s="1"/>
  <c r="O213" i="65"/>
  <c r="L213" i="65"/>
  <c r="M213" i="65" s="1"/>
  <c r="D212" i="65"/>
  <c r="E212" i="65" s="1"/>
  <c r="F212" i="65" s="1"/>
  <c r="G212" i="65" s="1"/>
  <c r="H212" i="65" s="1"/>
  <c r="I212" i="65" s="1"/>
  <c r="J212" i="65" s="1"/>
  <c r="K212" i="65" s="1"/>
  <c r="AV211" i="65"/>
  <c r="AF211" i="65"/>
  <c r="AE211" i="65"/>
  <c r="R211" i="65"/>
  <c r="S211" i="65" s="1"/>
  <c r="Y211" i="65" s="1"/>
  <c r="BA214" i="65" l="1"/>
  <c r="AY214" i="65"/>
  <c r="AZ214" i="65"/>
  <c r="AS214" i="65"/>
  <c r="AX214" i="65"/>
  <c r="AM213" i="65"/>
  <c r="AU214" i="65"/>
  <c r="AT214" i="65"/>
  <c r="U212" i="65"/>
  <c r="AH212" i="65"/>
  <c r="AC210" i="65"/>
  <c r="AD210" i="65" s="1"/>
  <c r="AC209" i="65"/>
  <c r="AD209" i="65" s="1"/>
  <c r="Q213" i="65"/>
  <c r="AB211" i="65"/>
  <c r="AG210" i="65"/>
  <c r="AG211" i="65"/>
  <c r="AP213" i="63" a="1"/>
  <c r="AP213" i="63" s="1"/>
  <c r="B215" i="65" s="1"/>
  <c r="R212" i="65"/>
  <c r="S212" i="65" s="1"/>
  <c r="AE212" i="65"/>
  <c r="AF212" i="65"/>
  <c r="AV212" i="65"/>
  <c r="D213" i="65"/>
  <c r="E213" i="65" s="1"/>
  <c r="F213" i="65" s="1"/>
  <c r="G213" i="65" s="1"/>
  <c r="H213" i="65" s="1"/>
  <c r="I213" i="65" s="1"/>
  <c r="J213" i="65" s="1"/>
  <c r="K213" i="65" s="1"/>
  <c r="O214" i="65"/>
  <c r="L214" i="65"/>
  <c r="M214" i="65" s="1"/>
  <c r="C214" i="65"/>
  <c r="P214" i="65" s="1"/>
  <c r="AZ215" i="65" l="1"/>
  <c r="BA215" i="65"/>
  <c r="AY215" i="65"/>
  <c r="AS215" i="65"/>
  <c r="AX215" i="65"/>
  <c r="AM214" i="65"/>
  <c r="AU215" i="65"/>
  <c r="AT215" i="65"/>
  <c r="U213" i="65"/>
  <c r="AH213" i="65"/>
  <c r="AC211" i="65"/>
  <c r="AD211" i="65" s="1"/>
  <c r="Q214" i="65"/>
  <c r="Y212" i="65"/>
  <c r="AB212" i="65" s="1"/>
  <c r="C215" i="65"/>
  <c r="P215" i="65" s="1"/>
  <c r="O215" i="65"/>
  <c r="L215" i="65"/>
  <c r="M215" i="65" s="1"/>
  <c r="D214" i="65"/>
  <c r="E214" i="65" s="1"/>
  <c r="F214" i="65" s="1"/>
  <c r="G214" i="65" s="1"/>
  <c r="H214" i="65" s="1"/>
  <c r="I214" i="65" s="1"/>
  <c r="J214" i="65" s="1"/>
  <c r="K214" i="65" s="1"/>
  <c r="AF213" i="65"/>
  <c r="AE213" i="65"/>
  <c r="AV213" i="65"/>
  <c r="R213" i="65"/>
  <c r="S213" i="65" s="1"/>
  <c r="Y213" i="65" s="1"/>
  <c r="AP214" i="63" a="1"/>
  <c r="AP214" i="63" s="1"/>
  <c r="B216" i="65" s="1"/>
  <c r="BA216" i="65" l="1"/>
  <c r="AZ216" i="65"/>
  <c r="AY216" i="65"/>
  <c r="AS216" i="65"/>
  <c r="AX216" i="65"/>
  <c r="AM215" i="65"/>
  <c r="AU216" i="65"/>
  <c r="AT216" i="65"/>
  <c r="U214" i="65"/>
  <c r="AH214" i="65"/>
  <c r="AC212" i="65"/>
  <c r="AD212" i="65" s="1"/>
  <c r="Q215" i="65"/>
  <c r="AB213" i="65"/>
  <c r="AG212" i="65"/>
  <c r="O216" i="65"/>
  <c r="L216" i="65"/>
  <c r="M216" i="65" s="1"/>
  <c r="C216" i="65"/>
  <c r="P216" i="65" s="1"/>
  <c r="AV214" i="65"/>
  <c r="AF214" i="65"/>
  <c r="AE214" i="65"/>
  <c r="R214" i="65"/>
  <c r="S214" i="65" s="1"/>
  <c r="Y214" i="65" s="1"/>
  <c r="D215" i="65"/>
  <c r="E215" i="65" s="1"/>
  <c r="F215" i="65" s="1"/>
  <c r="G215" i="65" s="1"/>
  <c r="H215" i="65" s="1"/>
  <c r="I215" i="65" s="1"/>
  <c r="J215" i="65" s="1"/>
  <c r="K215" i="65" s="1"/>
  <c r="AP215" i="63" a="1"/>
  <c r="AP215" i="63" s="1"/>
  <c r="B217" i="65" s="1"/>
  <c r="AG213" i="65"/>
  <c r="BA217" i="65" l="1"/>
  <c r="AZ217" i="65"/>
  <c r="AY217" i="65"/>
  <c r="AS217" i="65"/>
  <c r="AX217" i="65"/>
  <c r="AM216" i="65"/>
  <c r="AU217" i="65"/>
  <c r="AT217" i="65"/>
  <c r="U215" i="65"/>
  <c r="AH215" i="65"/>
  <c r="AC213" i="65"/>
  <c r="AD213" i="65" s="1"/>
  <c r="Q216" i="65"/>
  <c r="AB214" i="65"/>
  <c r="D216" i="65"/>
  <c r="E216" i="65" s="1"/>
  <c r="F216" i="65" s="1"/>
  <c r="G216" i="65" s="1"/>
  <c r="H216" i="65" s="1"/>
  <c r="I216" i="65" s="1"/>
  <c r="J216" i="65" s="1"/>
  <c r="K216" i="65" s="1"/>
  <c r="AP216" i="63" a="1"/>
  <c r="AP216" i="63" s="1"/>
  <c r="B218" i="65" s="1"/>
  <c r="O217" i="65"/>
  <c r="C217" i="65"/>
  <c r="P217" i="65" s="1"/>
  <c r="L217" i="65"/>
  <c r="M217" i="65" s="1"/>
  <c r="AV215" i="65"/>
  <c r="R215" i="65"/>
  <c r="S215" i="65" s="1"/>
  <c r="AF215" i="65"/>
  <c r="AE215" i="65"/>
  <c r="AG214" i="65"/>
  <c r="AZ218" i="65" l="1"/>
  <c r="BA218" i="65"/>
  <c r="AY218" i="65"/>
  <c r="AS218" i="65"/>
  <c r="AX218" i="65"/>
  <c r="AM217" i="65"/>
  <c r="AU218" i="65"/>
  <c r="AT218" i="65"/>
  <c r="U216" i="65"/>
  <c r="AH216" i="65"/>
  <c r="AC214" i="65"/>
  <c r="AD214" i="65" s="1"/>
  <c r="Q217" i="65"/>
  <c r="Y215" i="65"/>
  <c r="AB215" i="65" s="1"/>
  <c r="O218" i="65"/>
  <c r="C218" i="65"/>
  <c r="P218" i="65" s="1"/>
  <c r="L218" i="65"/>
  <c r="M218" i="65" s="1"/>
  <c r="D217" i="65"/>
  <c r="E217" i="65" s="1"/>
  <c r="F217" i="65" s="1"/>
  <c r="G217" i="65" s="1"/>
  <c r="H217" i="65" s="1"/>
  <c r="I217" i="65" s="1"/>
  <c r="J217" i="65" s="1"/>
  <c r="K217" i="65" s="1"/>
  <c r="R216" i="65"/>
  <c r="S216" i="65" s="1"/>
  <c r="Y216" i="65" s="1"/>
  <c r="AF216" i="65"/>
  <c r="AE216" i="65"/>
  <c r="AV216" i="65"/>
  <c r="AP217" i="63" a="1"/>
  <c r="AP217" i="63" s="1"/>
  <c r="B219" i="65" s="1"/>
  <c r="AZ219" i="65" l="1"/>
  <c r="BA219" i="65"/>
  <c r="AY219" i="65"/>
  <c r="AS219" i="65"/>
  <c r="AX219" i="65"/>
  <c r="AM218" i="65"/>
  <c r="AU219" i="65"/>
  <c r="AT219" i="65"/>
  <c r="U217" i="65"/>
  <c r="AH217" i="65"/>
  <c r="AC215" i="65"/>
  <c r="AD215" i="65" s="1"/>
  <c r="Q218" i="65"/>
  <c r="AG215" i="65"/>
  <c r="AB216" i="65"/>
  <c r="AP218" i="63" a="1"/>
  <c r="AP218" i="63" s="1"/>
  <c r="B220" i="65" s="1"/>
  <c r="D218" i="65"/>
  <c r="E218" i="65" s="1"/>
  <c r="F218" i="65" s="1"/>
  <c r="G218" i="65" s="1"/>
  <c r="H218" i="65" s="1"/>
  <c r="I218" i="65" s="1"/>
  <c r="J218" i="65" s="1"/>
  <c r="K218" i="65" s="1"/>
  <c r="O219" i="65"/>
  <c r="L219" i="65"/>
  <c r="M219" i="65" s="1"/>
  <c r="C219" i="65"/>
  <c r="P219" i="65" s="1"/>
  <c r="AG216" i="65"/>
  <c r="AV217" i="65"/>
  <c r="AE217" i="65"/>
  <c r="R217" i="65"/>
  <c r="S217" i="65" s="1"/>
  <c r="AF217" i="65"/>
  <c r="AZ220" i="65" l="1"/>
  <c r="BA220" i="65"/>
  <c r="AY220" i="65"/>
  <c r="AS220" i="65"/>
  <c r="AX220" i="65"/>
  <c r="AM219" i="65"/>
  <c r="AT220" i="65"/>
  <c r="AU220" i="65"/>
  <c r="U218" i="65"/>
  <c r="AH218" i="65"/>
  <c r="AC216" i="65"/>
  <c r="AD216" i="65" s="1"/>
  <c r="Q219" i="65"/>
  <c r="Y217" i="65"/>
  <c r="AB217" i="65" s="1"/>
  <c r="R218" i="65"/>
  <c r="S218" i="65" s="1"/>
  <c r="AV218" i="65"/>
  <c r="AE218" i="65"/>
  <c r="AF218" i="65"/>
  <c r="D219" i="65"/>
  <c r="E219" i="65" s="1"/>
  <c r="F219" i="65" s="1"/>
  <c r="G219" i="65" s="1"/>
  <c r="H219" i="65" s="1"/>
  <c r="I219" i="65" s="1"/>
  <c r="J219" i="65" s="1"/>
  <c r="K219" i="65" s="1"/>
  <c r="AP219" i="63" a="1"/>
  <c r="AP219" i="63" s="1"/>
  <c r="B221" i="65" s="1"/>
  <c r="L220" i="65"/>
  <c r="M220" i="65" s="1"/>
  <c r="O220" i="65"/>
  <c r="C220" i="65"/>
  <c r="P220" i="65" s="1"/>
  <c r="BA221" i="65" l="1"/>
  <c r="AZ221" i="65"/>
  <c r="AY221" i="65"/>
  <c r="AS221" i="65"/>
  <c r="AX221" i="65"/>
  <c r="AM220" i="65"/>
  <c r="AU221" i="65"/>
  <c r="AT221" i="65"/>
  <c r="U219" i="65"/>
  <c r="AH219" i="65"/>
  <c r="AC217" i="65"/>
  <c r="AD217" i="65" s="1"/>
  <c r="Q220" i="65"/>
  <c r="AG217" i="65"/>
  <c r="Y218" i="65"/>
  <c r="AG218" i="65" s="1"/>
  <c r="D220" i="65"/>
  <c r="E220" i="65" s="1"/>
  <c r="F220" i="65" s="1"/>
  <c r="G220" i="65" s="1"/>
  <c r="H220" i="65" s="1"/>
  <c r="I220" i="65" s="1"/>
  <c r="J220" i="65" s="1"/>
  <c r="K220" i="65" s="1"/>
  <c r="AP220" i="63" a="1"/>
  <c r="AP220" i="63" s="1"/>
  <c r="B222" i="65" s="1"/>
  <c r="O221" i="65"/>
  <c r="C221" i="65"/>
  <c r="P221" i="65" s="1"/>
  <c r="L221" i="65"/>
  <c r="M221" i="65" s="1"/>
  <c r="R219" i="65"/>
  <c r="S219" i="65" s="1"/>
  <c r="AV219" i="65"/>
  <c r="AE219" i="65"/>
  <c r="AF219" i="65"/>
  <c r="BA222" i="65" l="1"/>
  <c r="AY222" i="65"/>
  <c r="AZ222" i="65"/>
  <c r="AS222" i="65"/>
  <c r="AX222" i="65"/>
  <c r="AM221" i="65"/>
  <c r="AU222" i="65"/>
  <c r="AT222" i="65"/>
  <c r="U220" i="65"/>
  <c r="AH220" i="65"/>
  <c r="Q221" i="65"/>
  <c r="AB218" i="65"/>
  <c r="Y219" i="65"/>
  <c r="AB219" i="65" s="1"/>
  <c r="AP221" i="63" a="1"/>
  <c r="AP221" i="63" s="1"/>
  <c r="B223" i="65" s="1"/>
  <c r="D221" i="65"/>
  <c r="E221" i="65" s="1"/>
  <c r="F221" i="65" s="1"/>
  <c r="G221" i="65" s="1"/>
  <c r="H221" i="65" s="1"/>
  <c r="I221" i="65" s="1"/>
  <c r="J221" i="65" s="1"/>
  <c r="K221" i="65" s="1"/>
  <c r="R220" i="65"/>
  <c r="S220" i="65" s="1"/>
  <c r="Y220" i="65" s="1"/>
  <c r="AF220" i="65"/>
  <c r="AE220" i="65"/>
  <c r="AV220" i="65"/>
  <c r="L222" i="65"/>
  <c r="M222" i="65" s="1"/>
  <c r="O222" i="65"/>
  <c r="C222" i="65"/>
  <c r="P222" i="65" s="1"/>
  <c r="AZ223" i="65" l="1"/>
  <c r="BA223" i="65"/>
  <c r="AY223" i="65"/>
  <c r="AS223" i="65"/>
  <c r="AX223" i="65"/>
  <c r="AM222" i="65"/>
  <c r="AU223" i="65"/>
  <c r="AT223" i="65"/>
  <c r="U221" i="65"/>
  <c r="AH221" i="65"/>
  <c r="AC219" i="65"/>
  <c r="AD219" i="65" s="1"/>
  <c r="AC218" i="65"/>
  <c r="AD218" i="65" s="1"/>
  <c r="Q222" i="65"/>
  <c r="AG219" i="65"/>
  <c r="AB220" i="65"/>
  <c r="AP222" i="63" a="1"/>
  <c r="AP222" i="63" s="1"/>
  <c r="B224" i="65" s="1"/>
  <c r="D222" i="65"/>
  <c r="E222" i="65" s="1"/>
  <c r="F222" i="65" s="1"/>
  <c r="G222" i="65" s="1"/>
  <c r="H222" i="65" s="1"/>
  <c r="I222" i="65" s="1"/>
  <c r="J222" i="65" s="1"/>
  <c r="K222" i="65" s="1"/>
  <c r="R221" i="65"/>
  <c r="S221" i="65" s="1"/>
  <c r="AV221" i="65"/>
  <c r="AF221" i="65"/>
  <c r="AE221" i="65"/>
  <c r="AG220" i="65"/>
  <c r="O223" i="65"/>
  <c r="L223" i="65"/>
  <c r="M223" i="65" s="1"/>
  <c r="C223" i="65"/>
  <c r="P223" i="65" s="1"/>
  <c r="BA224" i="65" l="1"/>
  <c r="AY224" i="65"/>
  <c r="AZ224" i="65"/>
  <c r="AS224" i="65"/>
  <c r="AX224" i="65"/>
  <c r="AM223" i="65"/>
  <c r="AU224" i="65"/>
  <c r="AT224" i="65"/>
  <c r="U222" i="65"/>
  <c r="AH222" i="65"/>
  <c r="AC220" i="65"/>
  <c r="AD220" i="65" s="1"/>
  <c r="Q223" i="65"/>
  <c r="Y221" i="65"/>
  <c r="AB221" i="65" s="1"/>
  <c r="AP223" i="63" a="1"/>
  <c r="AP223" i="63" s="1"/>
  <c r="B225" i="65" s="1"/>
  <c r="AE222" i="65"/>
  <c r="AF222" i="65"/>
  <c r="AV222" i="65"/>
  <c r="R222" i="65"/>
  <c r="S222" i="65" s="1"/>
  <c r="D223" i="65"/>
  <c r="E223" i="65" s="1"/>
  <c r="F223" i="65" s="1"/>
  <c r="G223" i="65" s="1"/>
  <c r="H223" i="65" s="1"/>
  <c r="I223" i="65" s="1"/>
  <c r="J223" i="65" s="1"/>
  <c r="K223" i="65" s="1"/>
  <c r="C224" i="65"/>
  <c r="P224" i="65" s="1"/>
  <c r="L224" i="65"/>
  <c r="M224" i="65" s="1"/>
  <c r="O224" i="65"/>
  <c r="BA225" i="65" l="1"/>
  <c r="AZ225" i="65"/>
  <c r="AY225" i="65"/>
  <c r="AS225" i="65"/>
  <c r="AX225" i="65"/>
  <c r="AM224" i="65"/>
  <c r="AU225" i="65"/>
  <c r="AT225" i="65"/>
  <c r="U223" i="65"/>
  <c r="AH223" i="65"/>
  <c r="AC221" i="65"/>
  <c r="AD221" i="65" s="1"/>
  <c r="Q224" i="65"/>
  <c r="AG221" i="65"/>
  <c r="Y222" i="65"/>
  <c r="AB222" i="65" s="1"/>
  <c r="D224" i="65"/>
  <c r="E224" i="65" s="1"/>
  <c r="F224" i="65" s="1"/>
  <c r="G224" i="65" s="1"/>
  <c r="H224" i="65" s="1"/>
  <c r="I224" i="65" s="1"/>
  <c r="J224" i="65" s="1"/>
  <c r="K224" i="65" s="1"/>
  <c r="AP224" i="63" a="1"/>
  <c r="AP224" i="63" s="1"/>
  <c r="B226" i="65" s="1"/>
  <c r="AE223" i="65"/>
  <c r="AF223" i="65"/>
  <c r="R223" i="65"/>
  <c r="S223" i="65" s="1"/>
  <c r="AV223" i="65"/>
  <c r="L225" i="65"/>
  <c r="M225" i="65" s="1"/>
  <c r="O225" i="65"/>
  <c r="C225" i="65"/>
  <c r="P225" i="65" s="1"/>
  <c r="AZ226" i="65" l="1"/>
  <c r="BA226" i="65"/>
  <c r="AY226" i="65"/>
  <c r="AS226" i="65"/>
  <c r="AX226" i="65"/>
  <c r="AM225" i="65"/>
  <c r="AU226" i="65"/>
  <c r="AT226" i="65"/>
  <c r="U224" i="65"/>
  <c r="AH224" i="65"/>
  <c r="AC222" i="65"/>
  <c r="AD222" i="65" s="1"/>
  <c r="Q225" i="65"/>
  <c r="AG222" i="65"/>
  <c r="Y223" i="65"/>
  <c r="AB223" i="65" s="1"/>
  <c r="D225" i="65"/>
  <c r="E225" i="65" s="1"/>
  <c r="F225" i="65" s="1"/>
  <c r="G225" i="65" s="1"/>
  <c r="H225" i="65" s="1"/>
  <c r="I225" i="65" s="1"/>
  <c r="J225" i="65" s="1"/>
  <c r="K225" i="65" s="1"/>
  <c r="AV224" i="65"/>
  <c r="AE224" i="65"/>
  <c r="R224" i="65"/>
  <c r="S224" i="65" s="1"/>
  <c r="Y224" i="65" s="1"/>
  <c r="AF224" i="65"/>
  <c r="AP225" i="63" a="1"/>
  <c r="AP225" i="63" s="1"/>
  <c r="B227" i="65" s="1"/>
  <c r="L226" i="65"/>
  <c r="M226" i="65" s="1"/>
  <c r="C226" i="65"/>
  <c r="P226" i="65" s="1"/>
  <c r="O226" i="65"/>
  <c r="BA227" i="65" l="1"/>
  <c r="AZ227" i="65"/>
  <c r="AY227" i="65"/>
  <c r="AS227" i="65"/>
  <c r="AX227" i="65"/>
  <c r="AM226" i="65"/>
  <c r="AU227" i="65"/>
  <c r="AT227" i="65"/>
  <c r="U225" i="65"/>
  <c r="AH225" i="65"/>
  <c r="AC223" i="65"/>
  <c r="AD223" i="65" s="1"/>
  <c r="Q226" i="65"/>
  <c r="AG223" i="65"/>
  <c r="AB224" i="65"/>
  <c r="AG224" i="65"/>
  <c r="AP226" i="63" a="1"/>
  <c r="AP226" i="63" s="1"/>
  <c r="B228" i="65" s="1"/>
  <c r="AV225" i="65"/>
  <c r="AE225" i="65"/>
  <c r="AF225" i="65"/>
  <c r="R225" i="65"/>
  <c r="S225" i="65" s="1"/>
  <c r="D226" i="65"/>
  <c r="E226" i="65" s="1"/>
  <c r="F226" i="65" s="1"/>
  <c r="G226" i="65" s="1"/>
  <c r="H226" i="65" s="1"/>
  <c r="I226" i="65" s="1"/>
  <c r="J226" i="65" s="1"/>
  <c r="K226" i="65" s="1"/>
  <c r="L227" i="65"/>
  <c r="M227" i="65" s="1"/>
  <c r="C227" i="65"/>
  <c r="P227" i="65" s="1"/>
  <c r="O227" i="65"/>
  <c r="BA228" i="65" l="1"/>
  <c r="AZ228" i="65"/>
  <c r="AY228" i="65"/>
  <c r="AS228" i="65"/>
  <c r="AX228" i="65"/>
  <c r="AM227" i="65"/>
  <c r="AU228" i="65"/>
  <c r="AT228" i="65"/>
  <c r="U226" i="65"/>
  <c r="AH226" i="65"/>
  <c r="AC224" i="65"/>
  <c r="AD224" i="65" s="1"/>
  <c r="Q227" i="65"/>
  <c r="Y225" i="65"/>
  <c r="AB225" i="65" s="1"/>
  <c r="AP227" i="63" a="1"/>
  <c r="AP227" i="63" s="1"/>
  <c r="B229" i="65" s="1"/>
  <c r="D227" i="65"/>
  <c r="E227" i="65" s="1"/>
  <c r="F227" i="65" s="1"/>
  <c r="G227" i="65" s="1"/>
  <c r="H227" i="65" s="1"/>
  <c r="I227" i="65" s="1"/>
  <c r="J227" i="65" s="1"/>
  <c r="K227" i="65" s="1"/>
  <c r="R226" i="65"/>
  <c r="S226" i="65" s="1"/>
  <c r="AV226" i="65"/>
  <c r="AF226" i="65"/>
  <c r="AE226" i="65"/>
  <c r="C228" i="65"/>
  <c r="P228" i="65" s="1"/>
  <c r="O228" i="65"/>
  <c r="L228" i="65"/>
  <c r="M228" i="65" s="1"/>
  <c r="BA229" i="65" l="1"/>
  <c r="AY229" i="65"/>
  <c r="AZ229" i="65"/>
  <c r="AS229" i="65"/>
  <c r="AX229" i="65"/>
  <c r="AM228" i="65"/>
  <c r="AU229" i="65"/>
  <c r="AT229" i="65"/>
  <c r="U227" i="65"/>
  <c r="AH227" i="65"/>
  <c r="AC225" i="65"/>
  <c r="AD225" i="65" s="1"/>
  <c r="Q228" i="65"/>
  <c r="Y226" i="65"/>
  <c r="AB226" i="65" s="1"/>
  <c r="AG225" i="65"/>
  <c r="AV227" i="65"/>
  <c r="AE227" i="65"/>
  <c r="AF227" i="65"/>
  <c r="R227" i="65"/>
  <c r="S227" i="65" s="1"/>
  <c r="AP228" i="63" a="1"/>
  <c r="AP228" i="63" s="1"/>
  <c r="B230" i="65" s="1"/>
  <c r="D228" i="65"/>
  <c r="E228" i="65" s="1"/>
  <c r="F228" i="65" s="1"/>
  <c r="G228" i="65" s="1"/>
  <c r="H228" i="65" s="1"/>
  <c r="I228" i="65" s="1"/>
  <c r="J228" i="65" s="1"/>
  <c r="K228" i="65" s="1"/>
  <c r="O229" i="65"/>
  <c r="L229" i="65"/>
  <c r="M229" i="65" s="1"/>
  <c r="C229" i="65"/>
  <c r="P229" i="65" s="1"/>
  <c r="BA230" i="65" l="1"/>
  <c r="AY230" i="65"/>
  <c r="AZ230" i="65"/>
  <c r="AS230" i="65"/>
  <c r="AX230" i="65"/>
  <c r="AM229" i="65"/>
  <c r="AU230" i="65"/>
  <c r="AT230" i="65"/>
  <c r="U228" i="65"/>
  <c r="AH228" i="65"/>
  <c r="AC226" i="65"/>
  <c r="AD226" i="65" s="1"/>
  <c r="Q229" i="65"/>
  <c r="AG226" i="65"/>
  <c r="Y227" i="65"/>
  <c r="AB227" i="65" s="1"/>
  <c r="AP229" i="63" a="1"/>
  <c r="AP229" i="63" s="1"/>
  <c r="B231" i="65" s="1"/>
  <c r="AV228" i="65"/>
  <c r="R228" i="65"/>
  <c r="S228" i="65" s="1"/>
  <c r="AF228" i="65"/>
  <c r="AE228" i="65"/>
  <c r="C230" i="65"/>
  <c r="P230" i="65" s="1"/>
  <c r="L230" i="65"/>
  <c r="M230" i="65" s="1"/>
  <c r="O230" i="65"/>
  <c r="D229" i="65"/>
  <c r="E229" i="65" s="1"/>
  <c r="F229" i="65" s="1"/>
  <c r="G229" i="65" s="1"/>
  <c r="H229" i="65" s="1"/>
  <c r="I229" i="65" s="1"/>
  <c r="J229" i="65" s="1"/>
  <c r="K229" i="65" s="1"/>
  <c r="AZ231" i="65" l="1"/>
  <c r="BA231" i="65"/>
  <c r="AY231" i="65"/>
  <c r="AS231" i="65"/>
  <c r="AX231" i="65"/>
  <c r="AM230" i="65"/>
  <c r="AU231" i="65"/>
  <c r="AT231" i="65"/>
  <c r="U229" i="65"/>
  <c r="AH229" i="65"/>
  <c r="AC227" i="65"/>
  <c r="AD227" i="65" s="1"/>
  <c r="Q230" i="65"/>
  <c r="AG227" i="65"/>
  <c r="Y228" i="65"/>
  <c r="AG228" i="65" s="1"/>
  <c r="AP230" i="63" a="1"/>
  <c r="AP230" i="63" s="1"/>
  <c r="B232" i="65" s="1"/>
  <c r="R229" i="65"/>
  <c r="S229" i="65" s="1"/>
  <c r="AE229" i="65"/>
  <c r="AF229" i="65"/>
  <c r="AV229" i="65"/>
  <c r="D230" i="65"/>
  <c r="E230" i="65" s="1"/>
  <c r="F230" i="65" s="1"/>
  <c r="G230" i="65" s="1"/>
  <c r="H230" i="65" s="1"/>
  <c r="I230" i="65" s="1"/>
  <c r="J230" i="65" s="1"/>
  <c r="K230" i="65" s="1"/>
  <c r="O231" i="65"/>
  <c r="C231" i="65"/>
  <c r="P231" i="65" s="1"/>
  <c r="L231" i="65"/>
  <c r="M231" i="65" s="1"/>
  <c r="BA232" i="65" l="1"/>
  <c r="AZ232" i="65"/>
  <c r="AY232" i="65"/>
  <c r="AS232" i="65"/>
  <c r="AX232" i="65"/>
  <c r="AM231" i="65"/>
  <c r="AU232" i="65"/>
  <c r="AT232" i="65"/>
  <c r="U230" i="65"/>
  <c r="AH230" i="65"/>
  <c r="Q231" i="65"/>
  <c r="AB228" i="65"/>
  <c r="Y229" i="65"/>
  <c r="AB229" i="65" s="1"/>
  <c r="D231" i="65"/>
  <c r="E231" i="65" s="1"/>
  <c r="F231" i="65" s="1"/>
  <c r="G231" i="65" s="1"/>
  <c r="H231" i="65" s="1"/>
  <c r="I231" i="65" s="1"/>
  <c r="J231" i="65" s="1"/>
  <c r="K231" i="65" s="1"/>
  <c r="R230" i="65"/>
  <c r="S230" i="65" s="1"/>
  <c r="Y230" i="65" s="1"/>
  <c r="AE230" i="65"/>
  <c r="AV230" i="65"/>
  <c r="AF230" i="65"/>
  <c r="L232" i="65"/>
  <c r="M232" i="65" s="1"/>
  <c r="O232" i="65"/>
  <c r="C232" i="65"/>
  <c r="P232" i="65" s="1"/>
  <c r="AP231" i="63" a="1"/>
  <c r="AP231" i="63" s="1"/>
  <c r="B233" i="65" s="1"/>
  <c r="BA233" i="65" l="1"/>
  <c r="AZ233" i="65"/>
  <c r="AY233" i="65"/>
  <c r="AS233" i="65"/>
  <c r="AX233" i="65"/>
  <c r="AM232" i="65"/>
  <c r="AU233" i="65"/>
  <c r="AT233" i="65"/>
  <c r="U231" i="65"/>
  <c r="AH231" i="65"/>
  <c r="AC229" i="65"/>
  <c r="AD229" i="65" s="1"/>
  <c r="AC228" i="65"/>
  <c r="AD228" i="65" s="1"/>
  <c r="AB230" i="65"/>
  <c r="AG229" i="65"/>
  <c r="AG230" i="65"/>
  <c r="L233" i="65"/>
  <c r="M233" i="65" s="1"/>
  <c r="O233" i="65"/>
  <c r="C233" i="65"/>
  <c r="P233" i="65" s="1"/>
  <c r="AV231" i="65"/>
  <c r="AE231" i="65"/>
  <c r="AF231" i="65"/>
  <c r="R231" i="65"/>
  <c r="S231" i="65" s="1"/>
  <c r="D232" i="65"/>
  <c r="E232" i="65" s="1"/>
  <c r="F232" i="65" s="1"/>
  <c r="G232" i="65" s="1"/>
  <c r="H232" i="65" s="1"/>
  <c r="I232" i="65" s="1"/>
  <c r="J232" i="65" s="1"/>
  <c r="K232" i="65" s="1"/>
  <c r="AP232" i="63" a="1"/>
  <c r="AP232" i="63" s="1"/>
  <c r="B234" i="65" s="1"/>
  <c r="AZ234" i="65" l="1"/>
  <c r="BA234" i="65"/>
  <c r="AY234" i="65"/>
  <c r="AS234" i="65"/>
  <c r="AX234" i="65"/>
  <c r="AM233" i="65"/>
  <c r="AH232" i="65"/>
  <c r="Q232" i="65"/>
  <c r="AU234" i="65"/>
  <c r="AT234" i="65"/>
  <c r="U232" i="65"/>
  <c r="AC230" i="65"/>
  <c r="AD230" i="65" s="1"/>
  <c r="Q233" i="65"/>
  <c r="Y231" i="65"/>
  <c r="AB231" i="65" s="1"/>
  <c r="R232" i="65"/>
  <c r="S232" i="65" s="1"/>
  <c r="AE232" i="65"/>
  <c r="AV232" i="65"/>
  <c r="AF232" i="65"/>
  <c r="D233" i="65"/>
  <c r="E233" i="65" s="1"/>
  <c r="F233" i="65" s="1"/>
  <c r="G233" i="65" s="1"/>
  <c r="H233" i="65" s="1"/>
  <c r="I233" i="65" s="1"/>
  <c r="J233" i="65" s="1"/>
  <c r="K233" i="65" s="1"/>
  <c r="AP233" i="63" a="1"/>
  <c r="AP233" i="63" s="1"/>
  <c r="B235" i="65" s="1"/>
  <c r="O234" i="65"/>
  <c r="C234" i="65"/>
  <c r="P234" i="65" s="1"/>
  <c r="L234" i="65"/>
  <c r="M234" i="65" s="1"/>
  <c r="AZ235" i="65" l="1"/>
  <c r="BA235" i="65"/>
  <c r="AY235" i="65"/>
  <c r="AS235" i="65"/>
  <c r="AX235" i="65"/>
  <c r="AM234" i="65"/>
  <c r="AU235" i="65"/>
  <c r="AT235" i="65"/>
  <c r="U233" i="65"/>
  <c r="AH233" i="65"/>
  <c r="AC231" i="65"/>
  <c r="AD231" i="65" s="1"/>
  <c r="Q234" i="65"/>
  <c r="AG231" i="65"/>
  <c r="Y232" i="65"/>
  <c r="AG232" i="65" s="1"/>
  <c r="D234" i="65"/>
  <c r="E234" i="65" s="1"/>
  <c r="F234" i="65" s="1"/>
  <c r="G234" i="65" s="1"/>
  <c r="H234" i="65" s="1"/>
  <c r="I234" i="65" s="1"/>
  <c r="J234" i="65" s="1"/>
  <c r="K234" i="65" s="1"/>
  <c r="AV233" i="65"/>
  <c r="R233" i="65"/>
  <c r="S233" i="65" s="1"/>
  <c r="AE233" i="65"/>
  <c r="AF233" i="65"/>
  <c r="L235" i="65"/>
  <c r="M235" i="65" s="1"/>
  <c r="O235" i="65"/>
  <c r="C235" i="65"/>
  <c r="P235" i="65" s="1"/>
  <c r="AP234" i="63" a="1"/>
  <c r="AP234" i="63" s="1"/>
  <c r="B236" i="65" s="1"/>
  <c r="BA236" i="65" l="1"/>
  <c r="AZ236" i="65"/>
  <c r="AY236" i="65"/>
  <c r="AS236" i="65"/>
  <c r="AX236" i="65"/>
  <c r="AM235" i="65"/>
  <c r="AT236" i="65"/>
  <c r="AU236" i="65"/>
  <c r="U234" i="65"/>
  <c r="AH234" i="65"/>
  <c r="Q235" i="65"/>
  <c r="AB232" i="65"/>
  <c r="Y233" i="65"/>
  <c r="AB233" i="65" s="1"/>
  <c r="L236" i="65"/>
  <c r="M236" i="65" s="1"/>
  <c r="C236" i="65"/>
  <c r="P236" i="65" s="1"/>
  <c r="O236" i="65"/>
  <c r="D235" i="65"/>
  <c r="E235" i="65" s="1"/>
  <c r="F235" i="65" s="1"/>
  <c r="G235" i="65" s="1"/>
  <c r="H235" i="65" s="1"/>
  <c r="I235" i="65" s="1"/>
  <c r="J235" i="65" s="1"/>
  <c r="K235" i="65" s="1"/>
  <c r="AP235" i="63" a="1"/>
  <c r="AP235" i="63" s="1"/>
  <c r="B237" i="65" s="1"/>
  <c r="AF234" i="65"/>
  <c r="AV234" i="65"/>
  <c r="AE234" i="65"/>
  <c r="R234" i="65"/>
  <c r="S234" i="65" s="1"/>
  <c r="BA237" i="65" l="1"/>
  <c r="AZ237" i="65"/>
  <c r="AY237" i="65"/>
  <c r="AS237" i="65"/>
  <c r="AX237" i="65"/>
  <c r="AM236" i="65"/>
  <c r="AU237" i="65"/>
  <c r="AT237" i="65"/>
  <c r="U235" i="65"/>
  <c r="AH235" i="65"/>
  <c r="AC233" i="65"/>
  <c r="AD233" i="65" s="1"/>
  <c r="AC232" i="65"/>
  <c r="AD232" i="65" s="1"/>
  <c r="Q236" i="65"/>
  <c r="Y234" i="65"/>
  <c r="AB234" i="65" s="1"/>
  <c r="AG233" i="65"/>
  <c r="R235" i="65"/>
  <c r="S235" i="65" s="1"/>
  <c r="Y235" i="65" s="1"/>
  <c r="AV235" i="65"/>
  <c r="AE235" i="65"/>
  <c r="AF235" i="65"/>
  <c r="AP236" i="63" a="1"/>
  <c r="AP236" i="63" s="1"/>
  <c r="B238" i="65" s="1"/>
  <c r="D236" i="65"/>
  <c r="E236" i="65" s="1"/>
  <c r="F236" i="65" s="1"/>
  <c r="G236" i="65" s="1"/>
  <c r="H236" i="65" s="1"/>
  <c r="I236" i="65" s="1"/>
  <c r="J236" i="65" s="1"/>
  <c r="K236" i="65" s="1"/>
  <c r="C237" i="65"/>
  <c r="P237" i="65" s="1"/>
  <c r="O237" i="65"/>
  <c r="L237" i="65"/>
  <c r="M237" i="65" s="1"/>
  <c r="BA238" i="65" l="1"/>
  <c r="AY238" i="65"/>
  <c r="AZ238" i="65"/>
  <c r="AS238" i="65"/>
  <c r="AX238" i="65"/>
  <c r="AM237" i="65"/>
  <c r="AU238" i="65"/>
  <c r="AT238" i="65"/>
  <c r="U236" i="65"/>
  <c r="AH236" i="65"/>
  <c r="AC234" i="65"/>
  <c r="AD234" i="65" s="1"/>
  <c r="Q237" i="65"/>
  <c r="AG234" i="65"/>
  <c r="AB235" i="65"/>
  <c r="AG235" i="65"/>
  <c r="R236" i="65"/>
  <c r="S236" i="65" s="1"/>
  <c r="AF236" i="65"/>
  <c r="AV236" i="65"/>
  <c r="AE236" i="65"/>
  <c r="D237" i="65"/>
  <c r="E237" i="65" s="1"/>
  <c r="F237" i="65" s="1"/>
  <c r="G237" i="65" s="1"/>
  <c r="H237" i="65" s="1"/>
  <c r="I237" i="65" s="1"/>
  <c r="J237" i="65" s="1"/>
  <c r="K237" i="65" s="1"/>
  <c r="L238" i="65"/>
  <c r="M238" i="65" s="1"/>
  <c r="C238" i="65"/>
  <c r="P238" i="65" s="1"/>
  <c r="O238" i="65"/>
  <c r="AP237" i="63" a="1"/>
  <c r="AP237" i="63" s="1"/>
  <c r="B239" i="65" s="1"/>
  <c r="AZ239" i="65" l="1"/>
  <c r="AY239" i="65"/>
  <c r="BA239" i="65"/>
  <c r="AS239" i="65"/>
  <c r="AX239" i="65"/>
  <c r="AM238" i="65"/>
  <c r="AU239" i="65"/>
  <c r="AT239" i="65"/>
  <c r="U237" i="65"/>
  <c r="AH237" i="65"/>
  <c r="AC235" i="65"/>
  <c r="AD235" i="65" s="1"/>
  <c r="Y236" i="65"/>
  <c r="AG236" i="65" s="1"/>
  <c r="Q238" i="65"/>
  <c r="AP238" i="63" a="1"/>
  <c r="AP238" i="63" s="1"/>
  <c r="B240" i="65" s="1"/>
  <c r="AV237" i="65"/>
  <c r="R237" i="65"/>
  <c r="S237" i="65" s="1"/>
  <c r="AE237" i="65"/>
  <c r="AF237" i="65"/>
  <c r="L239" i="65"/>
  <c r="M239" i="65" s="1"/>
  <c r="C239" i="65"/>
  <c r="P239" i="65" s="1"/>
  <c r="O239" i="65"/>
  <c r="D238" i="65"/>
  <c r="E238" i="65" s="1"/>
  <c r="F238" i="65" s="1"/>
  <c r="G238" i="65" s="1"/>
  <c r="H238" i="65" s="1"/>
  <c r="I238" i="65" s="1"/>
  <c r="J238" i="65" s="1"/>
  <c r="K238" i="65" s="1"/>
  <c r="BA240" i="65" l="1"/>
  <c r="AY240" i="65"/>
  <c r="AZ240" i="65"/>
  <c r="AS240" i="65"/>
  <c r="AX240" i="65"/>
  <c r="AM239" i="65"/>
  <c r="AU240" i="65"/>
  <c r="AT240" i="65"/>
  <c r="AH238" i="65"/>
  <c r="Q239" i="65"/>
  <c r="AB236" i="65"/>
  <c r="Y237" i="65"/>
  <c r="AB237" i="65" s="1"/>
  <c r="R238" i="65"/>
  <c r="S238" i="65" s="1"/>
  <c r="Y238" i="65" s="1"/>
  <c r="AB238" i="65" s="1"/>
  <c r="AC238" i="65" s="1"/>
  <c r="AE238" i="65"/>
  <c r="U238" i="65"/>
  <c r="AV238" i="65"/>
  <c r="D239" i="65"/>
  <c r="E239" i="65" s="1"/>
  <c r="F239" i="65" s="1"/>
  <c r="G239" i="65" s="1"/>
  <c r="H239" i="65" s="1"/>
  <c r="I239" i="65" s="1"/>
  <c r="J239" i="65" s="1"/>
  <c r="K239" i="65" s="1"/>
  <c r="AP239" i="63" a="1"/>
  <c r="AP239" i="63" s="1"/>
  <c r="B241" i="65" s="1"/>
  <c r="L240" i="65"/>
  <c r="M240" i="65" s="1"/>
  <c r="C240" i="65"/>
  <c r="P240" i="65" s="1"/>
  <c r="O240" i="65"/>
  <c r="BA241" i="65" l="1"/>
  <c r="AZ241" i="65"/>
  <c r="AY241" i="65"/>
  <c r="AS241" i="65"/>
  <c r="AX241" i="65"/>
  <c r="AM240" i="65"/>
  <c r="AU241" i="65"/>
  <c r="AT241" i="65"/>
  <c r="U239" i="65"/>
  <c r="AH239" i="65"/>
  <c r="AC237" i="65"/>
  <c r="AD237" i="65" s="1"/>
  <c r="AC236" i="65"/>
  <c r="AD236" i="65" s="1"/>
  <c r="Q240" i="65"/>
  <c r="AG237" i="65"/>
  <c r="L241" i="65"/>
  <c r="M241" i="65" s="1"/>
  <c r="O241" i="65"/>
  <c r="C241" i="65"/>
  <c r="P241" i="65" s="1"/>
  <c r="AF239" i="65"/>
  <c r="AE239" i="65"/>
  <c r="R239" i="65"/>
  <c r="S239" i="65" s="1"/>
  <c r="AV239" i="65"/>
  <c r="AP240" i="63" a="1"/>
  <c r="AP240" i="63" s="1"/>
  <c r="B242" i="65" s="1"/>
  <c r="D240" i="65"/>
  <c r="E240" i="65" s="1"/>
  <c r="F240" i="65" s="1"/>
  <c r="G240" i="65" s="1"/>
  <c r="H240" i="65" s="1"/>
  <c r="I240" i="65" s="1"/>
  <c r="J240" i="65" s="1"/>
  <c r="K240" i="65" s="1"/>
  <c r="AF238" i="65"/>
  <c r="AG238" i="65" s="1"/>
  <c r="AD238" i="65"/>
  <c r="BA242" i="65" l="1"/>
  <c r="AZ242" i="65"/>
  <c r="AY242" i="65"/>
  <c r="AS242" i="65"/>
  <c r="AX242" i="65"/>
  <c r="AM241" i="65"/>
  <c r="AU242" i="65"/>
  <c r="AT242" i="65"/>
  <c r="U240" i="65"/>
  <c r="AH240" i="65"/>
  <c r="Q241" i="65"/>
  <c r="Y239" i="65"/>
  <c r="AB239" i="65" s="1"/>
  <c r="R240" i="65"/>
  <c r="S240" i="65" s="1"/>
  <c r="Y240" i="65" s="1"/>
  <c r="AF240" i="65"/>
  <c r="AE240" i="65"/>
  <c r="AV240" i="65"/>
  <c r="AP241" i="63" a="1"/>
  <c r="AP241" i="63" s="1"/>
  <c r="B243" i="65" s="1"/>
  <c r="D241" i="65"/>
  <c r="E241" i="65" s="1"/>
  <c r="F241" i="65" s="1"/>
  <c r="G241" i="65" s="1"/>
  <c r="H241" i="65" s="1"/>
  <c r="I241" i="65" s="1"/>
  <c r="J241" i="65" s="1"/>
  <c r="K241" i="65" s="1"/>
  <c r="O242" i="65"/>
  <c r="L242" i="65"/>
  <c r="M242" i="65" s="1"/>
  <c r="C242" i="65"/>
  <c r="P242" i="65" s="1"/>
  <c r="BA243" i="65" l="1"/>
  <c r="AZ243" i="65"/>
  <c r="AY243" i="65"/>
  <c r="AS243" i="65"/>
  <c r="AX243" i="65"/>
  <c r="AM242" i="65"/>
  <c r="AU243" i="65"/>
  <c r="AT243" i="65"/>
  <c r="U241" i="65"/>
  <c r="AH241" i="65"/>
  <c r="AC239" i="65"/>
  <c r="AD239" i="65" s="1"/>
  <c r="Q242" i="65"/>
  <c r="AG239" i="65"/>
  <c r="AB240" i="65"/>
  <c r="AE241" i="65"/>
  <c r="AV241" i="65"/>
  <c r="R241" i="65"/>
  <c r="S241" i="65" s="1"/>
  <c r="AF241" i="65"/>
  <c r="D242" i="65"/>
  <c r="E242" i="65" s="1"/>
  <c r="F242" i="65" s="1"/>
  <c r="G242" i="65" s="1"/>
  <c r="H242" i="65" s="1"/>
  <c r="I242" i="65" s="1"/>
  <c r="J242" i="65" s="1"/>
  <c r="K242" i="65" s="1"/>
  <c r="AG240" i="65"/>
  <c r="O243" i="65"/>
  <c r="C243" i="65"/>
  <c r="P243" i="65" s="1"/>
  <c r="L243" i="65"/>
  <c r="M243" i="65" s="1"/>
  <c r="AP242" i="63" a="1"/>
  <c r="AP242" i="63" s="1"/>
  <c r="B244" i="65" s="1"/>
  <c r="BA244" i="65" l="1"/>
  <c r="AZ244" i="65"/>
  <c r="AY244" i="65"/>
  <c r="AS244" i="65"/>
  <c r="AX244" i="65"/>
  <c r="AM243" i="65"/>
  <c r="AU244" i="65"/>
  <c r="AT244" i="65"/>
  <c r="U242" i="65"/>
  <c r="AH242" i="65"/>
  <c r="AC240" i="65"/>
  <c r="AD240" i="65" s="1"/>
  <c r="Q243" i="65"/>
  <c r="Y241" i="65"/>
  <c r="AG241" i="65" s="1"/>
  <c r="D243" i="65"/>
  <c r="E243" i="65" s="1"/>
  <c r="F243" i="65" s="1"/>
  <c r="G243" i="65" s="1"/>
  <c r="H243" i="65" s="1"/>
  <c r="I243" i="65" s="1"/>
  <c r="J243" i="65" s="1"/>
  <c r="K243" i="65" s="1"/>
  <c r="C244" i="65"/>
  <c r="P244" i="65" s="1"/>
  <c r="L244" i="65"/>
  <c r="M244" i="65" s="1"/>
  <c r="O244" i="65"/>
  <c r="R242" i="65"/>
  <c r="S242" i="65" s="1"/>
  <c r="AF242" i="65"/>
  <c r="AE242" i="65"/>
  <c r="AV242" i="65"/>
  <c r="AP243" i="63" a="1"/>
  <c r="AP243" i="63" s="1"/>
  <c r="B245" i="65" s="1"/>
  <c r="BA245" i="65" l="1"/>
  <c r="AY245" i="65"/>
  <c r="AZ245" i="65"/>
  <c r="AS245" i="65"/>
  <c r="AX245" i="65"/>
  <c r="AM244" i="65"/>
  <c r="AU245" i="65"/>
  <c r="AT245" i="65"/>
  <c r="U243" i="65"/>
  <c r="AH243" i="65"/>
  <c r="Q244" i="65"/>
  <c r="AB241" i="65"/>
  <c r="Y242" i="65"/>
  <c r="AB242" i="65" s="1"/>
  <c r="C245" i="65"/>
  <c r="P245" i="65" s="1"/>
  <c r="L245" i="65"/>
  <c r="M245" i="65" s="1"/>
  <c r="O245" i="65"/>
  <c r="AP244" i="63" a="1"/>
  <c r="AP244" i="63" s="1"/>
  <c r="B246" i="65" s="1"/>
  <c r="D244" i="65"/>
  <c r="E244" i="65" s="1"/>
  <c r="F244" i="65" s="1"/>
  <c r="G244" i="65" s="1"/>
  <c r="H244" i="65" s="1"/>
  <c r="I244" i="65" s="1"/>
  <c r="J244" i="65" s="1"/>
  <c r="K244" i="65" s="1"/>
  <c r="AF243" i="65"/>
  <c r="AV243" i="65"/>
  <c r="R243" i="65"/>
  <c r="S243" i="65" s="1"/>
  <c r="AE243" i="65"/>
  <c r="BA246" i="65" l="1"/>
  <c r="AY246" i="65"/>
  <c r="AZ246" i="65"/>
  <c r="AS246" i="65"/>
  <c r="AX246" i="65"/>
  <c r="AM245" i="65"/>
  <c r="AU246" i="65"/>
  <c r="AT246" i="65"/>
  <c r="U244" i="65"/>
  <c r="AH244" i="65"/>
  <c r="AC242" i="65"/>
  <c r="AD242" i="65" s="1"/>
  <c r="AC241" i="65"/>
  <c r="AD241" i="65" s="1"/>
  <c r="Q245" i="65"/>
  <c r="Y243" i="65"/>
  <c r="AB243" i="65" s="1"/>
  <c r="AG242" i="65"/>
  <c r="AV244" i="65"/>
  <c r="AF244" i="65"/>
  <c r="AE244" i="65"/>
  <c r="R244" i="65"/>
  <c r="S244" i="65" s="1"/>
  <c r="Y244" i="65" s="1"/>
  <c r="L246" i="65"/>
  <c r="M246" i="65" s="1"/>
  <c r="O246" i="65"/>
  <c r="C246" i="65"/>
  <c r="P246" i="65" s="1"/>
  <c r="AP245" i="63" a="1"/>
  <c r="AP245" i="63" s="1"/>
  <c r="B247" i="65" s="1"/>
  <c r="D245" i="65"/>
  <c r="E245" i="65" s="1"/>
  <c r="F245" i="65" s="1"/>
  <c r="G245" i="65" s="1"/>
  <c r="H245" i="65" s="1"/>
  <c r="I245" i="65" s="1"/>
  <c r="J245" i="65" s="1"/>
  <c r="K245" i="65" s="1"/>
  <c r="AZ247" i="65" l="1"/>
  <c r="AY247" i="65"/>
  <c r="BA247" i="65"/>
  <c r="AS247" i="65"/>
  <c r="AX247" i="65"/>
  <c r="AM246" i="65"/>
  <c r="AU247" i="65"/>
  <c r="AT247" i="65"/>
  <c r="U245" i="65"/>
  <c r="AH245" i="65"/>
  <c r="AC243" i="65"/>
  <c r="AD243" i="65" s="1"/>
  <c r="Q246" i="65"/>
  <c r="AG243" i="65"/>
  <c r="AB244" i="65"/>
  <c r="C247" i="65"/>
  <c r="P247" i="65" s="1"/>
  <c r="L247" i="65"/>
  <c r="M247" i="65" s="1"/>
  <c r="O247" i="65"/>
  <c r="AV245" i="65"/>
  <c r="AF245" i="65"/>
  <c r="R245" i="65"/>
  <c r="S245" i="65" s="1"/>
  <c r="AE245" i="65"/>
  <c r="D246" i="65"/>
  <c r="E246" i="65" s="1"/>
  <c r="F246" i="65" s="1"/>
  <c r="G246" i="65" s="1"/>
  <c r="H246" i="65" s="1"/>
  <c r="I246" i="65" s="1"/>
  <c r="J246" i="65" s="1"/>
  <c r="K246" i="65" s="1"/>
  <c r="AG244" i="65"/>
  <c r="AP246" i="63" a="1"/>
  <c r="AP246" i="63" s="1"/>
  <c r="B248" i="65" s="1"/>
  <c r="AY248" i="65" l="1"/>
  <c r="BA248" i="65"/>
  <c r="AZ248" i="65"/>
  <c r="AS248" i="65"/>
  <c r="AX248" i="65"/>
  <c r="AM247" i="65"/>
  <c r="AU248" i="65"/>
  <c r="AT248" i="65"/>
  <c r="U246" i="65"/>
  <c r="AH246" i="65"/>
  <c r="AC244" i="65"/>
  <c r="AD244" i="65" s="1"/>
  <c r="Y245" i="65"/>
  <c r="AB245" i="65" s="1"/>
  <c r="Q247" i="65"/>
  <c r="R246" i="65"/>
  <c r="S246" i="65" s="1"/>
  <c r="AF246" i="65"/>
  <c r="AV246" i="65"/>
  <c r="AE246" i="65"/>
  <c r="AP247" i="63" a="1"/>
  <c r="AP247" i="63" s="1"/>
  <c r="B249" i="65" s="1"/>
  <c r="C248" i="65"/>
  <c r="P248" i="65" s="1"/>
  <c r="L248" i="65"/>
  <c r="M248" i="65" s="1"/>
  <c r="O248" i="65"/>
  <c r="D247" i="65"/>
  <c r="E247" i="65" s="1"/>
  <c r="F247" i="65" s="1"/>
  <c r="G247" i="65" s="1"/>
  <c r="H247" i="65" s="1"/>
  <c r="I247" i="65" s="1"/>
  <c r="J247" i="65" s="1"/>
  <c r="K247" i="65" s="1"/>
  <c r="BA249" i="65" l="1"/>
  <c r="AZ249" i="65"/>
  <c r="AY249" i="65"/>
  <c r="AS249" i="65"/>
  <c r="AX249" i="65"/>
  <c r="AM248" i="65"/>
  <c r="AU249" i="65"/>
  <c r="AT249" i="65"/>
  <c r="U247" i="65"/>
  <c r="AH247" i="65"/>
  <c r="AC245" i="65"/>
  <c r="AD245" i="65" s="1"/>
  <c r="Q248" i="65"/>
  <c r="AG245" i="65"/>
  <c r="Y246" i="65"/>
  <c r="AG246" i="65" s="1"/>
  <c r="AE247" i="65"/>
  <c r="AV247" i="65"/>
  <c r="R247" i="65"/>
  <c r="S247" i="65" s="1"/>
  <c r="D248" i="65"/>
  <c r="E248" i="65" s="1"/>
  <c r="F248" i="65" s="1"/>
  <c r="G248" i="65" s="1"/>
  <c r="H248" i="65" s="1"/>
  <c r="I248" i="65" s="1"/>
  <c r="J248" i="65" s="1"/>
  <c r="K248" i="65" s="1"/>
  <c r="L249" i="65"/>
  <c r="M249" i="65" s="1"/>
  <c r="O249" i="65"/>
  <c r="C249" i="65"/>
  <c r="P249" i="65" s="1"/>
  <c r="AP248" i="63" a="1"/>
  <c r="AP248" i="63" s="1"/>
  <c r="B250" i="65" s="1"/>
  <c r="BA250" i="65" l="1"/>
  <c r="AZ250" i="65"/>
  <c r="AY250" i="65"/>
  <c r="AS250" i="65"/>
  <c r="AX250" i="65"/>
  <c r="AM249" i="65"/>
  <c r="AU250" i="65"/>
  <c r="AT250" i="65"/>
  <c r="U248" i="65"/>
  <c r="AH248" i="65"/>
  <c r="Q249" i="65"/>
  <c r="AB246" i="65"/>
  <c r="Y247" i="65"/>
  <c r="AB247" i="65" s="1"/>
  <c r="AF247" i="65"/>
  <c r="O250" i="65"/>
  <c r="L250" i="65"/>
  <c r="M250" i="65" s="1"/>
  <c r="C250" i="65"/>
  <c r="P250" i="65" s="1"/>
  <c r="D249" i="65"/>
  <c r="E249" i="65" s="1"/>
  <c r="F249" i="65" s="1"/>
  <c r="G249" i="65" s="1"/>
  <c r="H249" i="65" s="1"/>
  <c r="I249" i="65" s="1"/>
  <c r="J249" i="65" s="1"/>
  <c r="K249" i="65" s="1"/>
  <c r="AP249" i="63" a="1"/>
  <c r="AP249" i="63" s="1"/>
  <c r="B251" i="65" s="1"/>
  <c r="R248" i="65"/>
  <c r="S248" i="65" s="1"/>
  <c r="AE248" i="65"/>
  <c r="AF248" i="65"/>
  <c r="AV248" i="65"/>
  <c r="AZ251" i="65" l="1"/>
  <c r="BA251" i="65"/>
  <c r="AY251" i="65"/>
  <c r="AS251" i="65"/>
  <c r="AX251" i="65"/>
  <c r="AM250" i="65"/>
  <c r="AU251" i="65"/>
  <c r="AT251" i="65"/>
  <c r="U249" i="65"/>
  <c r="AH249" i="65"/>
  <c r="AC247" i="65"/>
  <c r="AD247" i="65" s="1"/>
  <c r="AC246" i="65"/>
  <c r="AD246" i="65" s="1"/>
  <c r="Q250" i="65"/>
  <c r="AG247" i="65"/>
  <c r="Y248" i="65"/>
  <c r="AB248" i="65" s="1"/>
  <c r="D250" i="65"/>
  <c r="E250" i="65" s="1"/>
  <c r="F250" i="65" s="1"/>
  <c r="G250" i="65" s="1"/>
  <c r="H250" i="65" s="1"/>
  <c r="I250" i="65" s="1"/>
  <c r="J250" i="65" s="1"/>
  <c r="K250" i="65" s="1"/>
  <c r="O251" i="65"/>
  <c r="L251" i="65"/>
  <c r="M251" i="65" s="1"/>
  <c r="C251" i="65"/>
  <c r="P251" i="65" s="1"/>
  <c r="AP250" i="63" a="1"/>
  <c r="AP250" i="63" s="1"/>
  <c r="B252" i="65" s="1"/>
  <c r="AV249" i="65"/>
  <c r="R249" i="65"/>
  <c r="S249" i="65" s="1"/>
  <c r="Y249" i="65" s="1"/>
  <c r="AE249" i="65"/>
  <c r="AF249" i="65"/>
  <c r="BA252" i="65" l="1"/>
  <c r="AZ252" i="65"/>
  <c r="AY252" i="65"/>
  <c r="AS252" i="65"/>
  <c r="AX252" i="65"/>
  <c r="AM251" i="65"/>
  <c r="AT252" i="65"/>
  <c r="AU252" i="65"/>
  <c r="U250" i="65"/>
  <c r="AH250" i="65"/>
  <c r="AC248" i="65"/>
  <c r="AD248" i="65" s="1"/>
  <c r="Q251" i="65"/>
  <c r="AG248" i="65"/>
  <c r="AB249" i="65"/>
  <c r="C252" i="65"/>
  <c r="P252" i="65" s="1"/>
  <c r="O252" i="65"/>
  <c r="L252" i="65"/>
  <c r="M252" i="65" s="1"/>
  <c r="D251" i="65"/>
  <c r="E251" i="65" s="1"/>
  <c r="F251" i="65" s="1"/>
  <c r="G251" i="65" s="1"/>
  <c r="H251" i="65" s="1"/>
  <c r="I251" i="65" s="1"/>
  <c r="J251" i="65" s="1"/>
  <c r="K251" i="65" s="1"/>
  <c r="R250" i="65"/>
  <c r="S250" i="65" s="1"/>
  <c r="AV250" i="65"/>
  <c r="AE250" i="65"/>
  <c r="AF250" i="65"/>
  <c r="AG249" i="65"/>
  <c r="AP251" i="63" a="1"/>
  <c r="AP251" i="63" s="1"/>
  <c r="B253" i="65" s="1"/>
  <c r="BA253" i="65" l="1"/>
  <c r="AZ253" i="65"/>
  <c r="AY253" i="65"/>
  <c r="AS253" i="65"/>
  <c r="AX253" i="65"/>
  <c r="AM252" i="65"/>
  <c r="AU253" i="65"/>
  <c r="AT253" i="65"/>
  <c r="U251" i="65"/>
  <c r="AH251" i="65"/>
  <c r="AC249" i="65"/>
  <c r="AD249" i="65" s="1"/>
  <c r="Q252" i="65"/>
  <c r="Y250" i="65"/>
  <c r="AG250" i="65" s="1"/>
  <c r="AE251" i="65"/>
  <c r="AF251" i="65"/>
  <c r="R251" i="65"/>
  <c r="S251" i="65" s="1"/>
  <c r="AV251" i="65"/>
  <c r="AP252" i="63" a="1"/>
  <c r="AP252" i="63" s="1"/>
  <c r="B254" i="65" s="1"/>
  <c r="L253" i="65"/>
  <c r="M253" i="65" s="1"/>
  <c r="O253" i="65"/>
  <c r="C253" i="65"/>
  <c r="P253" i="65" s="1"/>
  <c r="D252" i="65"/>
  <c r="E252" i="65" s="1"/>
  <c r="F252" i="65" s="1"/>
  <c r="G252" i="65" s="1"/>
  <c r="H252" i="65" s="1"/>
  <c r="I252" i="65" s="1"/>
  <c r="J252" i="65" s="1"/>
  <c r="K252" i="65" s="1"/>
  <c r="BA254" i="65" l="1"/>
  <c r="AZ254" i="65"/>
  <c r="AY254" i="65"/>
  <c r="AS254" i="65"/>
  <c r="AX254" i="65"/>
  <c r="AM253" i="65"/>
  <c r="AU254" i="65"/>
  <c r="AT254" i="65"/>
  <c r="U252" i="65"/>
  <c r="AH252" i="65"/>
  <c r="Q253" i="65"/>
  <c r="AB250" i="65"/>
  <c r="Y251" i="65"/>
  <c r="AB251" i="65" s="1"/>
  <c r="AE252" i="65"/>
  <c r="AV252" i="65"/>
  <c r="AF252" i="65"/>
  <c r="R252" i="65"/>
  <c r="S252" i="65" s="1"/>
  <c r="D253" i="65"/>
  <c r="E253" i="65" s="1"/>
  <c r="F253" i="65" s="1"/>
  <c r="G253" i="65" s="1"/>
  <c r="H253" i="65" s="1"/>
  <c r="I253" i="65" s="1"/>
  <c r="J253" i="65" s="1"/>
  <c r="K253" i="65" s="1"/>
  <c r="C254" i="65"/>
  <c r="P254" i="65" s="1"/>
  <c r="L254" i="65"/>
  <c r="M254" i="65" s="1"/>
  <c r="O254" i="65"/>
  <c r="AP253" i="63" a="1"/>
  <c r="AP253" i="63" s="1"/>
  <c r="B255" i="65" s="1"/>
  <c r="AZ255" i="65" l="1"/>
  <c r="BA255" i="65"/>
  <c r="AY255" i="65"/>
  <c r="AS255" i="65"/>
  <c r="AX255" i="65"/>
  <c r="AM254" i="65"/>
  <c r="AU255" i="65"/>
  <c r="AT255" i="65"/>
  <c r="U253" i="65"/>
  <c r="AH253" i="65"/>
  <c r="AC251" i="65"/>
  <c r="AD251" i="65" s="1"/>
  <c r="AC250" i="65"/>
  <c r="AD250" i="65" s="1"/>
  <c r="Q254" i="65"/>
  <c r="AG251" i="65"/>
  <c r="Y252" i="65"/>
  <c r="AB252" i="65" s="1"/>
  <c r="O255" i="65"/>
  <c r="L255" i="65"/>
  <c r="M255" i="65" s="1"/>
  <c r="C255" i="65"/>
  <c r="P255" i="65" s="1"/>
  <c r="D254" i="65"/>
  <c r="E254" i="65" s="1"/>
  <c r="F254" i="65" s="1"/>
  <c r="G254" i="65" s="1"/>
  <c r="H254" i="65" s="1"/>
  <c r="I254" i="65" s="1"/>
  <c r="J254" i="65" s="1"/>
  <c r="K254" i="65" s="1"/>
  <c r="R253" i="65"/>
  <c r="S253" i="65" s="1"/>
  <c r="AV253" i="65"/>
  <c r="AF253" i="65"/>
  <c r="AE253" i="65"/>
  <c r="AP254" i="63" a="1"/>
  <c r="AP254" i="63" s="1"/>
  <c r="B256" i="65" s="1"/>
  <c r="BA256" i="65" l="1"/>
  <c r="AZ256" i="65"/>
  <c r="AY256" i="65"/>
  <c r="AS256" i="65"/>
  <c r="AX256" i="65"/>
  <c r="AM255" i="65"/>
  <c r="AU256" i="65"/>
  <c r="AT256" i="65"/>
  <c r="U254" i="65"/>
  <c r="AH254" i="65"/>
  <c r="AC252" i="65"/>
  <c r="AD252" i="65" s="1"/>
  <c r="Q255" i="65"/>
  <c r="AG252" i="65"/>
  <c r="Y253" i="65"/>
  <c r="AB253" i="65" s="1"/>
  <c r="AP255" i="63" a="1"/>
  <c r="AP255" i="63" s="1"/>
  <c r="B257" i="65" s="1"/>
  <c r="R254" i="65"/>
  <c r="S254" i="65" s="1"/>
  <c r="Y254" i="65" s="1"/>
  <c r="AF254" i="65"/>
  <c r="AV254" i="65"/>
  <c r="AE254" i="65"/>
  <c r="D255" i="65"/>
  <c r="E255" i="65" s="1"/>
  <c r="F255" i="65" s="1"/>
  <c r="G255" i="65" s="1"/>
  <c r="H255" i="65" s="1"/>
  <c r="I255" i="65" s="1"/>
  <c r="J255" i="65" s="1"/>
  <c r="K255" i="65" s="1"/>
  <c r="L256" i="65"/>
  <c r="M256" i="65" s="1"/>
  <c r="C256" i="65"/>
  <c r="P256" i="65" s="1"/>
  <c r="O256" i="65"/>
  <c r="BA257" i="65" l="1"/>
  <c r="AZ257" i="65"/>
  <c r="AY257" i="65"/>
  <c r="AS257" i="65"/>
  <c r="F4" i="65" s="1" a="1"/>
  <c r="F4" i="65" s="1"/>
  <c r="AX257" i="65"/>
  <c r="AM256" i="65"/>
  <c r="AU257" i="65"/>
  <c r="AT257" i="65"/>
  <c r="U255" i="65"/>
  <c r="AH255" i="65"/>
  <c r="AC253" i="65"/>
  <c r="AD253" i="65" s="1"/>
  <c r="Q256" i="65"/>
  <c r="AG253" i="65"/>
  <c r="AB254" i="65"/>
  <c r="AV255" i="65"/>
  <c r="AE255" i="65"/>
  <c r="R255" i="65"/>
  <c r="S255" i="65" s="1"/>
  <c r="AF255" i="65"/>
  <c r="AG254" i="65"/>
  <c r="D256" i="65"/>
  <c r="E256" i="65" s="1"/>
  <c r="F256" i="65" s="1"/>
  <c r="G256" i="65" s="1"/>
  <c r="H256" i="65" s="1"/>
  <c r="I256" i="65" s="1"/>
  <c r="J256" i="65" s="1"/>
  <c r="K256" i="65" s="1"/>
  <c r="C257" i="65"/>
  <c r="P257" i="65" s="1"/>
  <c r="L257" i="65"/>
  <c r="M257" i="65" s="1"/>
  <c r="O257" i="65"/>
  <c r="AP256" i="63" a="1"/>
  <c r="AP256" i="63" s="1"/>
  <c r="AP257" i="63" s="1" a="1"/>
  <c r="AP257" i="63" s="1"/>
  <c r="AM257" i="65" l="1"/>
  <c r="U256" i="65"/>
  <c r="AH256" i="65"/>
  <c r="AC254" i="65"/>
  <c r="AD254" i="65" s="1"/>
  <c r="Y255" i="65"/>
  <c r="AB255" i="65" s="1"/>
  <c r="AF256" i="65"/>
  <c r="AE256" i="65"/>
  <c r="R256" i="65"/>
  <c r="S256" i="65" s="1"/>
  <c r="AV256" i="65"/>
  <c r="D257" i="65"/>
  <c r="E257" i="65" s="1"/>
  <c r="F257" i="65" s="1"/>
  <c r="G257" i="65" s="1"/>
  <c r="H257" i="65" s="1"/>
  <c r="I257" i="65" s="1"/>
  <c r="J257" i="65" s="1"/>
  <c r="K257" i="65" s="1"/>
  <c r="M174" i="22"/>
  <c r="O174" i="22" s="1"/>
  <c r="AH257" i="65" l="1"/>
  <c r="Q257" i="65"/>
  <c r="Q258" i="65" s="1"/>
  <c r="AC255" i="65"/>
  <c r="AD255" i="65" s="1"/>
  <c r="AG255" i="65"/>
  <c r="Y256" i="65"/>
  <c r="AB256" i="65" s="1"/>
  <c r="M176" i="22"/>
  <c r="O176" i="22" s="1"/>
  <c r="U257" i="65"/>
  <c r="M173" i="22"/>
  <c r="O173" i="22" s="1"/>
  <c r="M175" i="22"/>
  <c r="O175" i="22" s="1"/>
  <c r="AF257" i="65"/>
  <c r="AE257" i="65"/>
  <c r="R257" i="65"/>
  <c r="S257" i="65" s="1"/>
  <c r="Y257" i="65" s="1"/>
  <c r="O172" i="22"/>
  <c r="N175" i="22"/>
  <c r="P175" i="22" s="1"/>
  <c r="AV257" i="65"/>
  <c r="N176" i="22"/>
  <c r="P176" i="22" s="1"/>
  <c r="Q174" i="22"/>
  <c r="AE174" i="22" s="1"/>
  <c r="AC256" i="65" l="1"/>
  <c r="AD256" i="65" s="1"/>
  <c r="AG256" i="65"/>
  <c r="Q176" i="22"/>
  <c r="AE176" i="22" s="1"/>
  <c r="Q175" i="22"/>
  <c r="AE175" i="22" s="1"/>
  <c r="Q173" i="22"/>
  <c r="AE173" i="22" s="1"/>
  <c r="AB257" i="65"/>
  <c r="AC257" i="65" s="1"/>
  <c r="R176" i="22"/>
  <c r="Q172" i="22"/>
  <c r="AE172" i="22" s="1"/>
  <c r="AG257" i="65"/>
  <c r="R175" i="22"/>
  <c r="AF176" i="22" l="1"/>
  <c r="E42" i="105" s="1"/>
  <c r="C42" i="105"/>
  <c r="C43" i="105" s="1"/>
  <c r="AF175" i="22"/>
  <c r="E31" i="105" s="1"/>
  <c r="C31" i="105"/>
  <c r="E43" i="105" l="1"/>
  <c r="H41" i="105" s="1"/>
  <c r="AD257" i="65"/>
  <c r="T172" i="22" l="1"/>
  <c r="AD172" i="22" s="1"/>
  <c r="D13" i="105" s="1"/>
  <c r="D14" i="105" s="1"/>
  <c r="V133" i="22" l="1"/>
  <c r="AB133" i="22" s="1"/>
  <c r="V15" i="22" l="1"/>
  <c r="AB15" i="22" s="1"/>
  <c r="V8" i="22"/>
  <c r="T19" i="22"/>
  <c r="V18" i="22"/>
  <c r="AB18" i="22" s="1"/>
  <c r="V19" i="22"/>
  <c r="AB19" i="22" s="1"/>
  <c r="T18" i="22"/>
  <c r="T76" i="22"/>
  <c r="V76" i="22"/>
  <c r="AB76" i="22" s="1"/>
  <c r="V61" i="22"/>
  <c r="AB61" i="22" s="1"/>
  <c r="AN33" i="22"/>
  <c r="V101" i="22"/>
  <c r="AB101" i="22" s="1"/>
  <c r="V52" i="22"/>
  <c r="V20" i="22"/>
  <c r="D7" i="107"/>
  <c r="T61" i="22"/>
  <c r="AL26" i="22" s="1"/>
  <c r="V135" i="22"/>
  <c r="V102" i="22"/>
  <c r="V259" i="32"/>
  <c r="T15" i="22" l="1"/>
  <c r="AD15" i="22" s="1"/>
  <c r="BD120" i="22" s="1"/>
  <c r="T8" i="22"/>
  <c r="AL21" i="22" s="1"/>
  <c r="AD19" i="22"/>
  <c r="BD6" i="22" s="1"/>
  <c r="AD18" i="22"/>
  <c r="BD5" i="22" s="1"/>
  <c r="AD76" i="22"/>
  <c r="AF76" i="22" s="1"/>
  <c r="AD61" i="22"/>
  <c r="AN26" i="22"/>
  <c r="T133" i="22"/>
  <c r="AL33" i="22" s="1"/>
  <c r="T101" i="22"/>
  <c r="AD101" i="22" s="1"/>
  <c r="AF101" i="22" s="1"/>
  <c r="T52" i="22"/>
  <c r="AL25" i="22" s="1"/>
  <c r="C7" i="107"/>
  <c r="T135" i="22"/>
  <c r="AL34" i="22" s="1"/>
  <c r="T20" i="22"/>
  <c r="T102" i="22"/>
  <c r="K6" i="46"/>
  <c r="F3" i="110"/>
  <c r="AF15" i="22" l="1"/>
  <c r="BE120" i="22"/>
  <c r="AF19" i="22"/>
  <c r="AF18" i="22"/>
  <c r="BD105" i="22"/>
  <c r="BE6" i="22"/>
  <c r="BE5" i="22"/>
  <c r="BD156" i="22"/>
  <c r="BE156" i="22" s="1"/>
  <c r="BF156" i="22" s="1"/>
  <c r="AP26" i="22"/>
  <c r="AF61" i="22"/>
  <c r="AD133" i="22"/>
  <c r="AP33" i="22" s="1"/>
  <c r="BD60" i="22"/>
  <c r="BE60" i="22" s="1"/>
  <c r="G3" i="110"/>
  <c r="AL28" i="22"/>
  <c r="AL22" i="22"/>
  <c r="Z8" i="22" l="1"/>
  <c r="AB8" i="22" s="1"/>
  <c r="BF120" i="22"/>
  <c r="G46" i="110"/>
  <c r="H43" i="110" s="1"/>
  <c r="F11" i="110" s="1"/>
  <c r="G11" i="110" s="1"/>
  <c r="D7" i="109" s="1"/>
  <c r="G102" i="110"/>
  <c r="BE105" i="22"/>
  <c r="BF105" i="22" s="1"/>
  <c r="BF6" i="22"/>
  <c r="BF5" i="22"/>
  <c r="BD103" i="22"/>
  <c r="BE103" i="22" s="1"/>
  <c r="AF133" i="22"/>
  <c r="Z21" i="22"/>
  <c r="AB21" i="22" s="1"/>
  <c r="AD21" i="22" s="1"/>
  <c r="BF60" i="22"/>
  <c r="BD61" i="22"/>
  <c r="AN21" i="22" l="1"/>
  <c r="AD8" i="22"/>
  <c r="Z16" i="22"/>
  <c r="AB16" i="22" s="1"/>
  <c r="AD16" i="22" s="1"/>
  <c r="BD31" i="22" s="1"/>
  <c r="Z22" i="22"/>
  <c r="AB22" i="22" s="1"/>
  <c r="AD22" i="22" s="1"/>
  <c r="BD84" i="22"/>
  <c r="AF21" i="22"/>
  <c r="Z20" i="22"/>
  <c r="AB20" i="22" s="1"/>
  <c r="AD20" i="22" s="1"/>
  <c r="F7" i="107"/>
  <c r="J7" i="107" s="1"/>
  <c r="L7" i="107" s="1"/>
  <c r="BF103" i="22"/>
  <c r="G126" i="110"/>
  <c r="Z102" i="22"/>
  <c r="AB102" i="22" s="1"/>
  <c r="AN28" i="22" s="1"/>
  <c r="Z52" i="22"/>
  <c r="AB52" i="22" s="1"/>
  <c r="Z135" i="22"/>
  <c r="AB135" i="22" s="1"/>
  <c r="BE61" i="22"/>
  <c r="AP21" i="22" l="1"/>
  <c r="AF8" i="22"/>
  <c r="BD113" i="22"/>
  <c r="AF16" i="22"/>
  <c r="BD85" i="22"/>
  <c r="AF22" i="22"/>
  <c r="BE31" i="22"/>
  <c r="G36" i="110"/>
  <c r="G103" i="110"/>
  <c r="E126" i="110" s="1"/>
  <c r="H126" i="110" s="1"/>
  <c r="BE84" i="22"/>
  <c r="AN22" i="22"/>
  <c r="AF20" i="22"/>
  <c r="BD119" i="22"/>
  <c r="AP22" i="22"/>
  <c r="AD102" i="22"/>
  <c r="AP28" i="22" s="1"/>
  <c r="AN25" i="22"/>
  <c r="AD52" i="22"/>
  <c r="AD135" i="22"/>
  <c r="AN34" i="22"/>
  <c r="BF61" i="22"/>
  <c r="BE113" i="22" l="1"/>
  <c r="BE85" i="22"/>
  <c r="BF31" i="22"/>
  <c r="G75" i="110"/>
  <c r="E121" i="110" s="1"/>
  <c r="G25" i="110"/>
  <c r="BF84" i="22"/>
  <c r="BE119" i="22"/>
  <c r="AF102" i="22"/>
  <c r="BD19" i="22"/>
  <c r="BE19" i="22" s="1"/>
  <c r="BD46" i="22"/>
  <c r="AP25" i="22"/>
  <c r="AF52" i="22"/>
  <c r="BD80" i="22"/>
  <c r="AF135" i="22"/>
  <c r="AP34" i="22"/>
  <c r="BF113" i="22" l="1"/>
  <c r="BF85" i="22"/>
  <c r="G121" i="110"/>
  <c r="H121" i="110" s="1"/>
  <c r="BF119" i="22"/>
  <c r="BE46" i="22"/>
  <c r="E125" i="110"/>
  <c r="H125" i="110" s="1"/>
  <c r="I125" i="110" s="1"/>
  <c r="BF19" i="22"/>
  <c r="BE80" i="22"/>
  <c r="D136" i="110" l="1"/>
  <c r="G28" i="110"/>
  <c r="H25" i="110" s="1"/>
  <c r="G89" i="110"/>
  <c r="E128" i="110" s="1"/>
  <c r="H128" i="110" s="1"/>
  <c r="H3" i="110"/>
  <c r="BF46" i="22"/>
  <c r="BF80" i="22"/>
  <c r="L3" i="11"/>
  <c r="K3" i="46"/>
  <c r="T3" i="32"/>
  <c r="T4" i="32" l="1"/>
  <c r="L4" i="11"/>
  <c r="K4" i="46"/>
  <c r="G124" i="110"/>
  <c r="H124" i="110" s="1"/>
  <c r="I120" i="110" s="1"/>
  <c r="O44" i="108"/>
  <c r="S44" i="108" s="1"/>
  <c r="U44" i="108" s="1"/>
  <c r="H131" i="110" l="1"/>
  <c r="I127" i="110" s="1"/>
  <c r="J127" i="110" s="1"/>
  <c r="K127" i="110" s="1"/>
  <c r="M127" i="110" s="1"/>
  <c r="F12" i="110" s="1"/>
  <c r="G12" i="110" s="1"/>
  <c r="D8" i="109" s="1"/>
  <c r="E136" i="110"/>
  <c r="O45" i="108"/>
  <c r="S45" i="108" s="1"/>
  <c r="U45" i="108" s="1"/>
  <c r="J120" i="110" l="1"/>
  <c r="I131" i="110"/>
  <c r="J125" i="110" s="1"/>
  <c r="K125" i="110" s="1"/>
  <c r="M125" i="110" s="1"/>
  <c r="F10" i="110" s="1"/>
  <c r="G10" i="110" s="1"/>
  <c r="D6" i="109" s="1"/>
  <c r="O46" i="108"/>
  <c r="J131" i="110" l="1"/>
  <c r="K120" i="110" s="1"/>
  <c r="K131" i="110" s="1"/>
  <c r="F136" i="110" s="1"/>
  <c r="G136" i="110" s="1"/>
  <c r="S46" i="108"/>
  <c r="U46" i="108" s="1"/>
  <c r="O47" i="108"/>
  <c r="M120" i="110" l="1"/>
  <c r="O49" i="108"/>
  <c r="S47" i="108"/>
  <c r="U47" i="108" s="1"/>
  <c r="O48" i="108"/>
  <c r="F9" i="110" l="1"/>
  <c r="G9" i="110" s="1"/>
  <c r="D5" i="109" s="1"/>
  <c r="S48" i="108"/>
  <c r="U48" i="108" s="1"/>
  <c r="O50" i="108"/>
  <c r="S49" i="108"/>
  <c r="U49" i="108" s="1"/>
  <c r="S50" i="108" l="1"/>
  <c r="U50" i="108" s="1"/>
  <c r="O51" i="108"/>
  <c r="S51" i="108" l="1"/>
  <c r="U51" i="108" s="1"/>
  <c r="O52" i="108"/>
  <c r="O53" i="108" l="1"/>
  <c r="S52" i="108"/>
  <c r="U52" i="108" s="1"/>
  <c r="S53" i="108" l="1"/>
  <c r="U53" i="108" s="1"/>
  <c r="O54" i="108"/>
  <c r="S54" i="108" s="1"/>
  <c r="U54" i="108" s="1"/>
  <c r="O55" i="108" l="1"/>
  <c r="S55" i="108" l="1"/>
  <c r="U55" i="108" s="1"/>
  <c r="O57" i="108"/>
  <c r="O56" i="108"/>
  <c r="S56" i="108" l="1"/>
  <c r="U56" i="108" s="1"/>
  <c r="S57" i="108"/>
  <c r="U57" i="108" s="1"/>
  <c r="O59" i="108"/>
  <c r="O58" i="108"/>
  <c r="S58" i="108" s="1"/>
  <c r="U58" i="108" s="1"/>
  <c r="O61" i="108" l="1"/>
  <c r="O60" i="108"/>
  <c r="S59" i="108"/>
  <c r="U59" i="108" s="1"/>
  <c r="S61" i="108" l="1"/>
  <c r="U61" i="108" s="1"/>
  <c r="S60" i="108"/>
  <c r="U60" i="108" s="1"/>
  <c r="O62" i="108"/>
  <c r="S62" i="108" l="1"/>
  <c r="U62" i="108" s="1"/>
  <c r="O63" i="108"/>
  <c r="S63" i="108" l="1"/>
  <c r="U63" i="108" s="1"/>
  <c r="O64" i="108"/>
  <c r="S64" i="108" l="1"/>
  <c r="U64" i="108" s="1"/>
  <c r="T5" i="32" l="1" a="1"/>
  <c r="T5" i="32" s="1"/>
  <c r="K5" i="46" a="1"/>
  <c r="K5" i="46" s="1"/>
  <c r="L5" i="11" a="1"/>
  <c r="L5" i="11" s="1"/>
  <c r="J173" i="22"/>
  <c r="J174" i="22"/>
  <c r="Y12" i="65" l="1"/>
  <c r="Y2" i="65" l="1"/>
  <c r="AB12" i="65"/>
  <c r="AC12" i="65" s="1"/>
  <c r="AD12" i="65" l="1"/>
  <c r="AG12" i="65"/>
  <c r="AH12" i="65" s="1"/>
  <c r="AM12" i="65" s="1"/>
  <c r="N172" i="22" l="1"/>
  <c r="P172" i="22" s="1"/>
  <c r="R172" i="22" s="1"/>
  <c r="AP6" i="65" a="1"/>
  <c r="AP6" i="65" s="1"/>
  <c r="AM6" i="65" s="1"/>
  <c r="AM258" i="65" s="1"/>
  <c r="N174" i="22"/>
  <c r="P174" i="22" s="1"/>
  <c r="N173" i="22"/>
  <c r="P173" i="22" s="1"/>
  <c r="C13" i="105" l="1"/>
  <c r="C14" i="105" s="1"/>
  <c r="AF172" i="22"/>
  <c r="E13" i="105" s="1"/>
  <c r="R174" i="22"/>
  <c r="R173" i="22"/>
  <c r="E14" i="105" l="1"/>
  <c r="G5" i="105" s="1" a="1"/>
  <c r="G5" i="105" s="1"/>
  <c r="H12" i="105"/>
  <c r="AF174" i="22"/>
  <c r="E30" i="105" s="1"/>
  <c r="C30" i="105"/>
  <c r="C32" i="105" s="1"/>
  <c r="H5" i="110"/>
  <c r="AF173" i="22"/>
  <c r="E22" i="105" s="1"/>
  <c r="E23" i="105" s="1"/>
  <c r="C22" i="105"/>
  <c r="C23" i="105" s="1"/>
  <c r="M4" i="64"/>
  <c r="P3" i="65"/>
  <c r="I3" i="63"/>
  <c r="H29" i="105" l="1"/>
  <c r="H30" i="105"/>
  <c r="E32" i="105"/>
  <c r="H21" i="105"/>
  <c r="H22" i="105"/>
  <c r="P4" i="65"/>
  <c r="I4" i="63"/>
  <c r="M5" i="64"/>
  <c r="H42" i="105" l="1"/>
  <c r="G8" i="105" s="1"/>
  <c r="G7" i="105"/>
  <c r="F156" i="110"/>
  <c r="F155" i="110"/>
  <c r="G6" i="105"/>
  <c r="F157" i="110" l="1"/>
  <c r="G155" i="110" s="1"/>
  <c r="F15" i="110" s="1"/>
  <c r="G15" i="110" s="1"/>
  <c r="D11" i="109" s="1"/>
  <c r="M6" i="64" a="1"/>
  <c r="M6" i="64" s="1"/>
  <c r="I5" i="63" a="1"/>
  <c r="I5" i="63" s="1"/>
  <c r="P5" i="65" a="1"/>
  <c r="P5" i="6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<sst xmlns="http://schemas.openxmlformats.org/spreadsheetml/2006/main" count="7169" uniqueCount="1632">
  <si>
    <t>Project details</t>
  </si>
  <si>
    <t>Planning authority:</t>
  </si>
  <si>
    <t>Project name:</t>
  </si>
  <si>
    <t>Applicant:</t>
  </si>
  <si>
    <t>Application type:</t>
  </si>
  <si>
    <t>Planning application reference:</t>
  </si>
  <si>
    <t>Completed by:</t>
  </si>
  <si>
    <t>Date of metric completion:</t>
  </si>
  <si>
    <t>Reviewer:</t>
  </si>
  <si>
    <t>Version control:</t>
  </si>
  <si>
    <t>Consenting body reviewer:</t>
  </si>
  <si>
    <t>Date of consenting body review:</t>
  </si>
  <si>
    <t>Target % net gain:</t>
  </si>
  <si>
    <t>Contains deviations from the statutory metric - this must be agreed with consenting body</t>
  </si>
  <si>
    <t>Cell style conventions</t>
  </si>
  <si>
    <t>⚠</t>
  </si>
  <si>
    <t>Attention required</t>
  </si>
  <si>
    <t>▲</t>
  </si>
  <si>
    <t>Input error/rules and principles not met</t>
  </si>
  <si>
    <t>Use of this cell is not appropriate</t>
  </si>
  <si>
    <t>Enter data</t>
  </si>
  <si>
    <t>Automatic lookup</t>
  </si>
  <si>
    <t>Result</t>
  </si>
  <si>
    <t>On-site baseline map reference number</t>
  </si>
  <si>
    <t>On-site post-intervention map reference number</t>
  </si>
  <si>
    <t>Off-site baseline map reference number</t>
  </si>
  <si>
    <t>Off-site post-intervention reference number</t>
  </si>
  <si>
    <t>Habitat type</t>
  </si>
  <si>
    <t>Length (km)</t>
  </si>
  <si>
    <t>Area habitats</t>
  </si>
  <si>
    <t>Yes</t>
  </si>
  <si>
    <t>Hedgerows</t>
  </si>
  <si>
    <t>No</t>
  </si>
  <si>
    <t>Watercourses</t>
  </si>
  <si>
    <t>Tree size</t>
  </si>
  <si>
    <t>Moderate</t>
  </si>
  <si>
    <t>Good</t>
  </si>
  <si>
    <t>Small</t>
  </si>
  <si>
    <t>Medium</t>
  </si>
  <si>
    <t>Large</t>
  </si>
  <si>
    <t>Target</t>
  </si>
  <si>
    <t>Baseline Units</t>
  </si>
  <si>
    <t>Habitat group</t>
  </si>
  <si>
    <t>On-site area change</t>
  </si>
  <si>
    <t>On-site unit change</t>
  </si>
  <si>
    <t>Category</t>
  </si>
  <si>
    <t>Cropland</t>
  </si>
  <si>
    <t>Grassland</t>
  </si>
  <si>
    <t>Heathland and shrub</t>
  </si>
  <si>
    <t>Lakes</t>
  </si>
  <si>
    <t>Sparsely vegetated land</t>
  </si>
  <si>
    <t>Urban</t>
  </si>
  <si>
    <t>Wetland</t>
  </si>
  <si>
    <t>Woodland and forest</t>
  </si>
  <si>
    <t>Intertidal sediment</t>
  </si>
  <si>
    <t xml:space="preserve">Coastal saltmarsh </t>
  </si>
  <si>
    <t xml:space="preserve">Rocky shore </t>
  </si>
  <si>
    <t>Coastal lagoons</t>
  </si>
  <si>
    <t>Intertidal hard structures</t>
  </si>
  <si>
    <t>Watercourse footprint</t>
  </si>
  <si>
    <t>Individual trees</t>
  </si>
  <si>
    <t>Off-site area change</t>
  </si>
  <si>
    <t>Off-site unit change</t>
  </si>
  <si>
    <t>Hedgerows and lines of trees</t>
  </si>
  <si>
    <t>Hedgerow type</t>
  </si>
  <si>
    <t>Length lost (km)</t>
  </si>
  <si>
    <t>Species-rich native hedgerow with trees - associated with bank or ditch</t>
  </si>
  <si>
    <t>Species-rich native hedgerow with trees</t>
  </si>
  <si>
    <t>Species-rich native hedgerow - associated with bank or ditch</t>
  </si>
  <si>
    <t>Native hedgerow with trees - associated with bank or ditch</t>
  </si>
  <si>
    <t>Species-rich native hedgerow</t>
  </si>
  <si>
    <t>Native hedgerow - associated with bank or ditch</t>
  </si>
  <si>
    <t>Native hedgerow with trees</t>
  </si>
  <si>
    <t>Ecologically valuable line of trees</t>
  </si>
  <si>
    <t>Ecologically valuable line of trees - associated with bank or ditch</t>
  </si>
  <si>
    <t>Native hedgerow</t>
  </si>
  <si>
    <t>Line of trees</t>
  </si>
  <si>
    <t>Non-native and ornamental hedgerow</t>
  </si>
  <si>
    <t>Watercourse type</t>
  </si>
  <si>
    <t>Priority habitat</t>
  </si>
  <si>
    <t>Other rivers and streams</t>
  </si>
  <si>
    <t>Ditches</t>
  </si>
  <si>
    <t>Canals</t>
  </si>
  <si>
    <t>Culvert</t>
  </si>
  <si>
    <t>Trading Summary</t>
  </si>
  <si>
    <t>Distinctiveness Group</t>
  </si>
  <si>
    <t>Trading Rule</t>
  </si>
  <si>
    <t>Trading Satisfied?</t>
  </si>
  <si>
    <t>Very High</t>
  </si>
  <si>
    <t>Bespoke compensation likely to be required 🛠</t>
  </si>
  <si>
    <t>High</t>
  </si>
  <si>
    <t>Same broad habitat or a higher distinctiveness habitat required (≥)</t>
  </si>
  <si>
    <t>Low</t>
  </si>
  <si>
    <t>Same distinctiveness or better habitat required ≥</t>
  </si>
  <si>
    <t>Very High Distinctiveness</t>
  </si>
  <si>
    <t>Very High Distinctiveness Summary</t>
  </si>
  <si>
    <t>Group</t>
  </si>
  <si>
    <t>On-site  unit change</t>
  </si>
  <si>
    <t xml:space="preserve">Project-wide unit change </t>
  </si>
  <si>
    <t>Very High Distinctiveness Units available to offset lower distinctiveness deficit</t>
  </si>
  <si>
    <t>High Distinctiveness</t>
  </si>
  <si>
    <t>High Distinctiveness Summary</t>
  </si>
  <si>
    <t>High Distinctiveness Units available to offset lower distinctiveness deficit</t>
  </si>
  <si>
    <t>Intertidal sediment - Littoral seagrass</t>
  </si>
  <si>
    <t>Medium Distinctiveness</t>
  </si>
  <si>
    <t>Medium Distinctiveness Summary</t>
  </si>
  <si>
    <t xml:space="preserve">Project wide unit change </t>
  </si>
  <si>
    <t>Low Distinctiveness</t>
  </si>
  <si>
    <t>Low Distinctiveness Summary</t>
  </si>
  <si>
    <t>Low Distinctiveness net change in units</t>
  </si>
  <si>
    <t>Same habitat required =</t>
  </si>
  <si>
    <t>Like for like or better</t>
  </si>
  <si>
    <t xml:space="preserve">Same distinctiveness or better habitat required </t>
  </si>
  <si>
    <t>Units available from higher distinctiveness habitats</t>
  </si>
  <si>
    <t>Medium Distinctiveness net change in units</t>
  </si>
  <si>
    <t>Better distinctiveness habitat required</t>
  </si>
  <si>
    <t>Medium Distinctiveness Units available to offset Lower Distinctiveness Deficit</t>
  </si>
  <si>
    <t>Summary of sites providing area habitat unit gains</t>
  </si>
  <si>
    <t xml:space="preserve">Summary of sites providing hedgerow unit gains 
</t>
  </si>
  <si>
    <t xml:space="preserve">Summary of sites providing watercourse unit gains 
</t>
  </si>
  <si>
    <t>Gain site reference</t>
  </si>
  <si>
    <t>Off-site units baseline</t>
  </si>
  <si>
    <t>Off-site units retained</t>
  </si>
  <si>
    <t>Off-site units enhanced</t>
  </si>
  <si>
    <t>Off-site unit creation</t>
  </si>
  <si>
    <t>Off-site unit change per gain site (pre-SRM)</t>
  </si>
  <si>
    <t xml:space="preserve">SRM </t>
  </si>
  <si>
    <t>Off-site unit change per gain site (post-SRM)</t>
  </si>
  <si>
    <t>SRM</t>
  </si>
  <si>
    <t>Off-site units Created</t>
  </si>
  <si>
    <t>Area habitat summary</t>
  </si>
  <si>
    <t>Total Net Unit Change</t>
  </si>
  <si>
    <t>HIDDEN - NOT SHOWN BY BUTTON</t>
  </si>
  <si>
    <t>Total Net % Change</t>
  </si>
  <si>
    <t>Hide</t>
  </si>
  <si>
    <t>Trading Rules Satisfied</t>
  </si>
  <si>
    <t>Existing area habitats</t>
  </si>
  <si>
    <t>Distinctiveness</t>
  </si>
  <si>
    <t xml:space="preserve">Condition </t>
  </si>
  <si>
    <t>Strategic significance</t>
  </si>
  <si>
    <t>Required Action to Meet Trading Rules</t>
  </si>
  <si>
    <t>Ecological baseline</t>
  </si>
  <si>
    <t>Retention category biodiversity value</t>
  </si>
  <si>
    <t>Bespoke compensation agreed for unacceptable losses</t>
  </si>
  <si>
    <t>Comments</t>
  </si>
  <si>
    <t>retention cat checks</t>
  </si>
  <si>
    <t>list of lines for enhanced and succession</t>
  </si>
  <si>
    <t>Bespoke Compensation agreed?</t>
  </si>
  <si>
    <t>Condition Group</t>
  </si>
  <si>
    <t>Ref</t>
  </si>
  <si>
    <t>Broad Habitat</t>
  </si>
  <si>
    <t xml:space="preserve"> Habitat Type</t>
  </si>
  <si>
    <t xml:space="preserve"> Habitat type</t>
  </si>
  <si>
    <t>Area (hectares)</t>
  </si>
  <si>
    <t>Score</t>
  </si>
  <si>
    <t>Strategic Significance multiplier</t>
  </si>
  <si>
    <t>Total habitat units</t>
  </si>
  <si>
    <t>Area retained</t>
  </si>
  <si>
    <t>Area enhanced</t>
  </si>
  <si>
    <t>Baseline units retained</t>
  </si>
  <si>
    <t>Baseline units enhanced</t>
  </si>
  <si>
    <t>Area habitat lost</t>
  </si>
  <si>
    <t>Units lost</t>
  </si>
  <si>
    <t>User comments</t>
  </si>
  <si>
    <t>Consenting body comments</t>
  </si>
  <si>
    <t>GIS reference number</t>
  </si>
  <si>
    <t>Area of Unacceptable Losses</t>
  </si>
  <si>
    <t>Units Unacceptable Losses</t>
  </si>
  <si>
    <t>Retained</t>
  </si>
  <si>
    <t>Enhanced</t>
  </si>
  <si>
    <t>Succession</t>
  </si>
  <si>
    <t>line number</t>
  </si>
  <si>
    <t xml:space="preserve">Total habitat area </t>
  </si>
  <si>
    <t>M² to hectares conversion tool:</t>
  </si>
  <si>
    <t>Select a unit</t>
  </si>
  <si>
    <t>Hectares</t>
  </si>
  <si>
    <t>M²</t>
  </si>
  <si>
    <t xml:space="preserve">Post development/ post intervention habitats </t>
  </si>
  <si>
    <t>Time to Poor cond</t>
  </si>
  <si>
    <t>Proposed habitat</t>
  </si>
  <si>
    <t>Temporal multiplier</t>
  </si>
  <si>
    <t>Difficulty multipliers</t>
  </si>
  <si>
    <t>Habitat units delivered</t>
  </si>
  <si>
    <t>Strategic position multiplier</t>
  </si>
  <si>
    <t>Standard time to target condition (years)</t>
  </si>
  <si>
    <t>Habitat created in advance (years)</t>
  </si>
  <si>
    <t>Delay in starting habitat creation (years)</t>
  </si>
  <si>
    <t>Standard or adjusted time to target condition</t>
  </si>
  <si>
    <t>Final time to target condition (years)</t>
  </si>
  <si>
    <t>Final time to target multiplier</t>
  </si>
  <si>
    <t xml:space="preserve">Standard difficulty of creation </t>
  </si>
  <si>
    <t>Applied difficulty multiplier</t>
  </si>
  <si>
    <t xml:space="preserve">Final difficulty of creation </t>
  </si>
  <si>
    <t>Difficulty multiplier applied</t>
  </si>
  <si>
    <t>Poor</t>
  </si>
  <si>
    <t>Total habitat area</t>
  </si>
  <si>
    <t>Totals</t>
  </si>
  <si>
    <t>Total Units</t>
  </si>
  <si>
    <t>Baseline habitats</t>
  </si>
  <si>
    <t>Change in distinctiveness and condition</t>
  </si>
  <si>
    <t xml:space="preserve">Area (hectares) </t>
  </si>
  <si>
    <t>Temporal risk multiplier</t>
  </si>
  <si>
    <t>Difficulty risk multipliers</t>
  </si>
  <si>
    <t>Habitat</t>
  </si>
  <si>
    <t>Baseline ref</t>
  </si>
  <si>
    <t>Baseline habitat</t>
  </si>
  <si>
    <t>Total habitat area (hectares)</t>
  </si>
  <si>
    <t>Baseline distinctiveness band</t>
  </si>
  <si>
    <t>Baseline distinctiveness score</t>
  </si>
  <si>
    <t>Baseline condition category</t>
  </si>
  <si>
    <t>Baseline condition score</t>
  </si>
  <si>
    <t>Baseline strategic significance category</t>
  </si>
  <si>
    <t>Baseline strategic significance score</t>
  </si>
  <si>
    <t>Baseline habitat units</t>
  </si>
  <si>
    <t>Conditional Data Validation lookup</t>
  </si>
  <si>
    <t>Proposed Broad Habitat</t>
  </si>
  <si>
    <t xml:space="preserve"> Distinctiveness change</t>
  </si>
  <si>
    <t>Condition change</t>
  </si>
  <si>
    <t xml:space="preserve">Habitat enhanced in advance (years) </t>
  </si>
  <si>
    <t>Delay in starting habitat enhancement (years)</t>
  </si>
  <si>
    <t>Standard difficulty of enhancement</t>
  </si>
  <si>
    <t>Final difficulty of enhancement</t>
  </si>
  <si>
    <t>Condition</t>
  </si>
  <si>
    <t>Area lost</t>
  </si>
  <si>
    <t>Habitat enhanced in advance (years)</t>
  </si>
  <si>
    <t>Difficulty</t>
  </si>
  <si>
    <t>Hedgerow summary</t>
  </si>
  <si>
    <t>Existing hedgerow habitats</t>
  </si>
  <si>
    <t>Hedge number</t>
  </si>
  <si>
    <t>Total hedgerow units</t>
  </si>
  <si>
    <t>Length retained</t>
  </si>
  <si>
    <t>Length enhanced</t>
  </si>
  <si>
    <t>Units retained</t>
  </si>
  <si>
    <t>Units enhanced</t>
  </si>
  <si>
    <t>Length lost</t>
  </si>
  <si>
    <t>Proposed habitats</t>
  </si>
  <si>
    <t>Hedge units delivered</t>
  </si>
  <si>
    <t>New hedge number</t>
  </si>
  <si>
    <t>Standard Time to target condition (years)</t>
  </si>
  <si>
    <t>Baseline Habitats</t>
  </si>
  <si>
    <t xml:space="preserve"> Distinctiveness movement</t>
  </si>
  <si>
    <t>Condition movement</t>
  </si>
  <si>
    <t>Final Time to target multiplier</t>
  </si>
  <si>
    <t xml:space="preserve">Standard difficulty of enhancement </t>
  </si>
  <si>
    <t xml:space="preserve">Final difficulty of enhancement </t>
  </si>
  <si>
    <t>Watercourse summary</t>
  </si>
  <si>
    <t>Existing watercourse type</t>
  </si>
  <si>
    <t>Watercourse encroachment</t>
  </si>
  <si>
    <t>Riparian encroachment</t>
  </si>
  <si>
    <t>Strategic significance multiplier</t>
  </si>
  <si>
    <t>Extent of encroachment</t>
  </si>
  <si>
    <t>Multiplier</t>
  </si>
  <si>
    <t>Extent of encroachment for both banks</t>
  </si>
  <si>
    <t>Total watercourse units</t>
  </si>
  <si>
    <t>Length Lost</t>
  </si>
  <si>
    <t>Units Lost</t>
  </si>
  <si>
    <t>User Comments</t>
  </si>
  <si>
    <t>Length match</t>
  </si>
  <si>
    <t>Encroachment group</t>
  </si>
  <si>
    <t>Watercourse units delivered</t>
  </si>
  <si>
    <t xml:space="preserve">Applied difficulty multiplier </t>
  </si>
  <si>
    <t>Habitat distinctiveness</t>
  </si>
  <si>
    <t>Habitat condition</t>
  </si>
  <si>
    <t>Baseline strategic significance Score</t>
  </si>
  <si>
    <t>All Habitats Based on UKHab</t>
  </si>
  <si>
    <t>Distinctiveness categories</t>
  </si>
  <si>
    <t>Condition categories</t>
  </si>
  <si>
    <t xml:space="preserve">Broad Habitats </t>
  </si>
  <si>
    <t>Conditional Broad Habitat Label</t>
  </si>
  <si>
    <t>Labeling column</t>
  </si>
  <si>
    <t>Definitive UKHAB / EUNIS/NE Code</t>
  </si>
  <si>
    <t>Level 1</t>
  </si>
  <si>
    <t>Level 2 code</t>
  </si>
  <si>
    <t>Level 2 Label</t>
  </si>
  <si>
    <t>Level 3 code</t>
  </si>
  <si>
    <t>Level 3 Label</t>
  </si>
  <si>
    <t>Level 4 code</t>
  </si>
  <si>
    <t>Level 4 Label
(Priority Habitats in Bold)</t>
  </si>
  <si>
    <t xml:space="preserve">Distinctiveness Category </t>
  </si>
  <si>
    <t>Distinctiveness Score</t>
  </si>
  <si>
    <t>Trading notes</t>
  </si>
  <si>
    <t>Technical Difficulty Creation</t>
  </si>
  <si>
    <t>Technical Difficulty Enhancement</t>
  </si>
  <si>
    <t>Basic Description</t>
  </si>
  <si>
    <t>Condition Assessment Notes</t>
  </si>
  <si>
    <t>Distinctiveness category</t>
  </si>
  <si>
    <t>Distinctiveness score</t>
  </si>
  <si>
    <t>Sugested action</t>
  </si>
  <si>
    <t>Condition Multiplier</t>
  </si>
  <si>
    <t>Condition Assesmennt Score</t>
  </si>
  <si>
    <t>Bespoke Compensation For Unaceptable losses agreed</t>
  </si>
  <si>
    <t>Arable field margins cultivated annually</t>
  </si>
  <si>
    <t>Cropland - Arable field margins cultivated annually</t>
  </si>
  <si>
    <t>c1a7</t>
  </si>
  <si>
    <t>Terrestrial</t>
  </si>
  <si>
    <t>Arable and horticulture</t>
  </si>
  <si>
    <t>Arable field margins</t>
  </si>
  <si>
    <t>V.High</t>
  </si>
  <si>
    <r>
      <t>Bespoke compensation likely to be required</t>
    </r>
    <r>
      <rPr>
        <b/>
        <sz val="11"/>
        <rFont val="Rockwell Light"/>
        <family val="1"/>
      </rPr>
      <t xml:space="preserve"> 🛠</t>
    </r>
  </si>
  <si>
    <t>Arable field margins game bird mix</t>
  </si>
  <si>
    <t>Cropland - Arable field margins game bird mix</t>
  </si>
  <si>
    <t>c1a8</t>
  </si>
  <si>
    <t>Fairly Good</t>
  </si>
  <si>
    <t>Arable field margins pollen and nectar</t>
  </si>
  <si>
    <t>Cropland - Arable field margins pollen and nectar</t>
  </si>
  <si>
    <t>c1a6</t>
  </si>
  <si>
    <t>Heathland_and_shrub</t>
  </si>
  <si>
    <t>Arable field margins tussocky</t>
  </si>
  <si>
    <t>Cropland - Arable field margins tussocky</t>
  </si>
  <si>
    <t>c1a</t>
  </si>
  <si>
    <t>c</t>
  </si>
  <si>
    <t>c1</t>
  </si>
  <si>
    <t>Fairly Poor</t>
  </si>
  <si>
    <t>Cereal crops</t>
  </si>
  <si>
    <t>Cropland - Cereal crops</t>
  </si>
  <si>
    <t>c1c</t>
  </si>
  <si>
    <t>V.Low</t>
  </si>
  <si>
    <t>Compensation Not Required</t>
  </si>
  <si>
    <t>Sparsely_vegetated_land</t>
  </si>
  <si>
    <t>Winter stubble</t>
  </si>
  <si>
    <t>Cropland - Winter stubble</t>
  </si>
  <si>
    <t>c1c5</t>
  </si>
  <si>
    <t>Condition Assessment N/A</t>
  </si>
  <si>
    <t>Horticulture</t>
  </si>
  <si>
    <t>Cropland - Horticulture</t>
  </si>
  <si>
    <t>c1f</t>
  </si>
  <si>
    <t>N/A - Other</t>
  </si>
  <si>
    <t>Intensive orchards</t>
  </si>
  <si>
    <t>Cropland - Intensive orchards</t>
  </si>
  <si>
    <t>c1e</t>
  </si>
  <si>
    <t>Woodland_and_forest</t>
  </si>
  <si>
    <t>Non-cereal crops</t>
  </si>
  <si>
    <t>Cropland - Non-cereal crops</t>
  </si>
  <si>
    <t>c1d</t>
  </si>
  <si>
    <t>Coastal_lagoons</t>
  </si>
  <si>
    <t>Temporary grass and clover leys</t>
  </si>
  <si>
    <t>Cropland - Temporary grass and clover leys</t>
  </si>
  <si>
    <t>c1b</t>
  </si>
  <si>
    <t>Traditional orchards</t>
  </si>
  <si>
    <t>Grassland - Traditional orchards</t>
  </si>
  <si>
    <t>Bracken</t>
  </si>
  <si>
    <t>Grassland - Bracken</t>
  </si>
  <si>
    <t>g1c</t>
  </si>
  <si>
    <t>Acid grassland</t>
  </si>
  <si>
    <t>Intertidal_sediment</t>
  </si>
  <si>
    <t>Floodplain wetland mosaic and CFGM</t>
  </si>
  <si>
    <t>Grassland - Floodplain wetland mosaic and CFGM</t>
  </si>
  <si>
    <t>NE0011</t>
  </si>
  <si>
    <t>Floodplain Wetland Mosaic</t>
  </si>
  <si>
    <t>Intertidal_hard_structures</t>
  </si>
  <si>
    <t>Lowland calcareous grassland</t>
  </si>
  <si>
    <t>Grassland - Lowland calcareous grassland</t>
  </si>
  <si>
    <t>g2a</t>
  </si>
  <si>
    <t>g2</t>
  </si>
  <si>
    <t>Calcareous grassland</t>
  </si>
  <si>
    <t>Watercourse_footprint</t>
  </si>
  <si>
    <t>Lowland dry acid grassland</t>
  </si>
  <si>
    <t>Grassland - Lowland dry acid grassland</t>
  </si>
  <si>
    <t>g1a</t>
  </si>
  <si>
    <t>g</t>
  </si>
  <si>
    <t>g1</t>
  </si>
  <si>
    <t>Individual_trees</t>
  </si>
  <si>
    <t>Lowland meadows</t>
  </si>
  <si>
    <t>Grassland - Lowland meadows</t>
  </si>
  <si>
    <t>g3a</t>
  </si>
  <si>
    <t>g3</t>
  </si>
  <si>
    <t>Neutral grassland</t>
  </si>
  <si>
    <t>Modified grassland</t>
  </si>
  <si>
    <t>Grassland - Modified grassland</t>
  </si>
  <si>
    <t>g4</t>
  </si>
  <si>
    <t>Carried forward</t>
  </si>
  <si>
    <t>Other lowland acid grassland</t>
  </si>
  <si>
    <t>Grassland - Other lowland acid grassland</t>
  </si>
  <si>
    <t>g1d</t>
  </si>
  <si>
    <t>Other neutral grassland</t>
  </si>
  <si>
    <t>Grassland - Other neutral grassland</t>
  </si>
  <si>
    <t>g3c</t>
  </si>
  <si>
    <t>Tall herb communities (H6430)</t>
  </si>
  <si>
    <t>Grassland - Tall herb communities (H6430)</t>
  </si>
  <si>
    <t>s1a9</t>
  </si>
  <si>
    <t>Tall herb communities</t>
  </si>
  <si>
    <t>Upland acid grassland</t>
  </si>
  <si>
    <t>Grassland - Upland acid grassland</t>
  </si>
  <si>
    <t>g1b</t>
  </si>
  <si>
    <t>Upland calcareous grassland</t>
  </si>
  <si>
    <t>Grassland - Upland calcareous grassland</t>
  </si>
  <si>
    <t>g2b</t>
  </si>
  <si>
    <t>Upland hay meadows</t>
  </si>
  <si>
    <t>Grassland - Upland hay meadows</t>
  </si>
  <si>
    <t>g3b</t>
  </si>
  <si>
    <t>Blackthorn scrub</t>
  </si>
  <si>
    <t>Heathland and shrub - Blackthorn scrub</t>
  </si>
  <si>
    <t>h3a</t>
  </si>
  <si>
    <t>h3</t>
  </si>
  <si>
    <t>Dense scrub</t>
  </si>
  <si>
    <t>Bramble scrub</t>
  </si>
  <si>
    <t>Heathland and shrub - Bramble scrub</t>
  </si>
  <si>
    <t>h3d</t>
  </si>
  <si>
    <t>Gorse scrub</t>
  </si>
  <si>
    <t>Heathland and shrub - Gorse scrub</t>
  </si>
  <si>
    <t>h3e</t>
  </si>
  <si>
    <t>Hawthorn scrub</t>
  </si>
  <si>
    <t>Heathland and shrub - Hawthorn scrub</t>
  </si>
  <si>
    <t>h3f</t>
  </si>
  <si>
    <t>Hazel scrub</t>
  </si>
  <si>
    <t>Heathland and shrub - Hazel scrub</t>
  </si>
  <si>
    <t>h3b</t>
  </si>
  <si>
    <t>Lowland heathland</t>
  </si>
  <si>
    <t>Heathland and shrub - Lowland heathland</t>
  </si>
  <si>
    <t>h1a</t>
  </si>
  <si>
    <t>h</t>
  </si>
  <si>
    <t>h1</t>
  </si>
  <si>
    <t>Dwarf shrub heath</t>
  </si>
  <si>
    <t>Lowland Heathland</t>
  </si>
  <si>
    <t>Mixed scrub</t>
  </si>
  <si>
    <t>Heathland and shrub - Mixed scrub</t>
  </si>
  <si>
    <t>h3h</t>
  </si>
  <si>
    <t>To include scattered mixed scrub over grassland</t>
  </si>
  <si>
    <t>Mountain heaths and willow scrub</t>
  </si>
  <si>
    <t>Heathland and shrub - Mountain heaths and willow scrub</t>
  </si>
  <si>
    <t>h1c</t>
  </si>
  <si>
    <t>Rhododendron scrub</t>
  </si>
  <si>
    <t>Heathland and shrub - Rhododendron scrub</t>
  </si>
  <si>
    <t>h3g</t>
  </si>
  <si>
    <t>Dunes with sea buckthorn (H2160)</t>
  </si>
  <si>
    <t>Heathland and shrub - Dunes with sea buckthorn (H2160)</t>
  </si>
  <si>
    <t>h3c5</t>
  </si>
  <si>
    <t>h3c</t>
  </si>
  <si>
    <t>Sea buckthorn scrub</t>
  </si>
  <si>
    <t>Other sea buckthorn scrub</t>
  </si>
  <si>
    <t>Heathland and shrub - Other sea buckthorn scrub</t>
  </si>
  <si>
    <t>h3c6</t>
  </si>
  <si>
    <t>Other Sea buckthorn scrub</t>
  </si>
  <si>
    <t>Willow scrub</t>
  </si>
  <si>
    <t>Heathland and shrub - Willow scrub</t>
  </si>
  <si>
    <t>h3j</t>
  </si>
  <si>
    <t>Upland heathland</t>
  </si>
  <si>
    <t>Heathland and shrub - Upland heathland</t>
  </si>
  <si>
    <t>h1b</t>
  </si>
  <si>
    <t>Upland Heathland</t>
  </si>
  <si>
    <t>Aquifer fed naturally fluctuating water bodies</t>
  </si>
  <si>
    <t>Lakes - Aquifer fed naturally fluctuating water bodies</t>
  </si>
  <si>
    <t>r1d</t>
  </si>
  <si>
    <t>Freshwater</t>
  </si>
  <si>
    <t>Standing open water and canals</t>
  </si>
  <si>
    <t>Ornamental lake or pond</t>
  </si>
  <si>
    <t>Lakes - Ornamental lake or pond</t>
  </si>
  <si>
    <t>Built-up areas and gardens</t>
  </si>
  <si>
    <t>High alkalinity lakes</t>
  </si>
  <si>
    <t>Lakes - High alkalinity lakes</t>
  </si>
  <si>
    <t>NE0001</t>
  </si>
  <si>
    <t>Low alkalinity lakes</t>
  </si>
  <si>
    <t>Lakes - Low alkalinity lakes</t>
  </si>
  <si>
    <t>NE0002</t>
  </si>
  <si>
    <t>Marl lakes</t>
  </si>
  <si>
    <t>Lakes - Marl lakes</t>
  </si>
  <si>
    <t>NE0003</t>
  </si>
  <si>
    <t>Moderate alkalinity lakes</t>
  </si>
  <si>
    <t>Lakes - Moderate alkalinity lakes</t>
  </si>
  <si>
    <t>NE0004</t>
  </si>
  <si>
    <t>Peat lakes</t>
  </si>
  <si>
    <t>Lakes - Peat lakes</t>
  </si>
  <si>
    <t>NE0005</t>
  </si>
  <si>
    <t>Ponds (priority habitat)</t>
  </si>
  <si>
    <t>Lakes - Ponds (priority habitat)</t>
  </si>
  <si>
    <t>NE0006</t>
  </si>
  <si>
    <t>Ponds (non-priority habitat)</t>
  </si>
  <si>
    <t>Lakes - Ponds (non-priority habitat)</t>
  </si>
  <si>
    <t>r1b</t>
  </si>
  <si>
    <t>Reservoirs</t>
  </si>
  <si>
    <t>Lakes - Reservoirs</t>
  </si>
  <si>
    <t>Temporary lakes ponds and pools (H3170)</t>
  </si>
  <si>
    <t>Lakes - Temporary lakes ponds and pools (H3170)</t>
  </si>
  <si>
    <t>NE0013</t>
  </si>
  <si>
    <t>r1c</t>
  </si>
  <si>
    <t>Calaminarian grasslands</t>
  </si>
  <si>
    <t>Sparsely vegetated land - Calaminarian grasslands</t>
  </si>
  <si>
    <t>s1c</t>
  </si>
  <si>
    <t>Inland rock</t>
  </si>
  <si>
    <t>Coastal sand dunes</t>
  </si>
  <si>
    <t>Sparsely vegetated land - Coastal sand dunes</t>
  </si>
  <si>
    <t>s3a</t>
  </si>
  <si>
    <t>Supralittoral Sediment</t>
  </si>
  <si>
    <t>Coastal vegetated shingle</t>
  </si>
  <si>
    <t>Sparsely vegetated land - Coastal vegetated shingle</t>
  </si>
  <si>
    <t>s3b</t>
  </si>
  <si>
    <t>Ruderal/Ephemeral</t>
  </si>
  <si>
    <t>Sparsely vegetated land - Ruderal/Ephemeral</t>
  </si>
  <si>
    <t>Ephemeral</t>
  </si>
  <si>
    <t>Including low value tall herb</t>
  </si>
  <si>
    <t>Tall forbs</t>
  </si>
  <si>
    <t>Sparsely vegetated land - Tall forbs</t>
  </si>
  <si>
    <t>Inland rock outcrop and scree habitats</t>
  </si>
  <si>
    <t>Sparsely vegetated land - Inland rock outcrop and scree habitats</t>
  </si>
  <si>
    <t>s1a</t>
  </si>
  <si>
    <t>s</t>
  </si>
  <si>
    <t>s1</t>
  </si>
  <si>
    <t>Limestone pavement</t>
  </si>
  <si>
    <t>Sparsely vegetated land - Limestone pavement</t>
  </si>
  <si>
    <t>s1b</t>
  </si>
  <si>
    <t>Maritime cliff and slopes</t>
  </si>
  <si>
    <t>Sparsely vegetated land - Maritime cliff and slopes</t>
  </si>
  <si>
    <t>s2a</t>
  </si>
  <si>
    <t>s2</t>
  </si>
  <si>
    <t>Supralittoral Rock</t>
  </si>
  <si>
    <t>Other inland rock and scree</t>
  </si>
  <si>
    <t>Sparsely vegetated land - Other inland rock and scree</t>
  </si>
  <si>
    <t>s1d</t>
  </si>
  <si>
    <t>Allotments</t>
  </si>
  <si>
    <t>Urban - Allotments</t>
  </si>
  <si>
    <t>Artificial unvegetated, unsealed surface</t>
  </si>
  <si>
    <t>Urban - Artificial unvegetated, unsealed surface</t>
  </si>
  <si>
    <t>u1c</t>
  </si>
  <si>
    <t>Bioswale</t>
  </si>
  <si>
    <t>Urban - Bioswale</t>
  </si>
  <si>
    <t>Intensive green roof</t>
  </si>
  <si>
    <t>Urban - Intensive green roof</t>
  </si>
  <si>
    <t>Built linear features</t>
  </si>
  <si>
    <t>Urban - Built linear features</t>
  </si>
  <si>
    <t>u1e</t>
  </si>
  <si>
    <t>Cemeteries and churchyards</t>
  </si>
  <si>
    <t>Urban - Cemeteries and churchyards</t>
  </si>
  <si>
    <t>Developed land; sealed surface</t>
  </si>
  <si>
    <t>Urban - Developed land; sealed surface</t>
  </si>
  <si>
    <t>u1b</t>
  </si>
  <si>
    <t>Other green roof</t>
  </si>
  <si>
    <t>Urban - Other green roof</t>
  </si>
  <si>
    <t>Facade-bound green wall</t>
  </si>
  <si>
    <t>Urban - Facade-bound green wall</t>
  </si>
  <si>
    <t>Façade-bound green wall</t>
  </si>
  <si>
    <t>Ground based green wall</t>
  </si>
  <si>
    <t>Urban - Ground based green wall</t>
  </si>
  <si>
    <t>Ground level planters</t>
  </si>
  <si>
    <t>Urban - Ground level planters</t>
  </si>
  <si>
    <t>Biodiverse green roof</t>
  </si>
  <si>
    <t>Urban - Biodiverse green roof</t>
  </si>
  <si>
    <t>Introduced shrub</t>
  </si>
  <si>
    <t>Urban - Introduced shrub</t>
  </si>
  <si>
    <t>Open mosaic habitats on previously developed land</t>
  </si>
  <si>
    <t>Urban - Open mosaic habitats on previously developed land</t>
  </si>
  <si>
    <t>u1a</t>
  </si>
  <si>
    <t>u</t>
  </si>
  <si>
    <t>u1</t>
  </si>
  <si>
    <t>Open Mosaic Habitats on Previously Developed Land</t>
  </si>
  <si>
    <t>Rain garden</t>
  </si>
  <si>
    <t>Urban - Rain garden</t>
  </si>
  <si>
    <t>Actively worked sand pit quarry or open cast mine</t>
  </si>
  <si>
    <t>Urban - Actively worked sand pit quarry or open cast mine</t>
  </si>
  <si>
    <t>Sand pit quarry or open cast mine</t>
  </si>
  <si>
    <t>Sustainable drainage system</t>
  </si>
  <si>
    <t>Urban - Sustainable drainage system</t>
  </si>
  <si>
    <t>Sustainable urban drainage feature</t>
  </si>
  <si>
    <t>Unvegetated garden</t>
  </si>
  <si>
    <t>Urban - Unvegetated garden</t>
  </si>
  <si>
    <t>Un-vegetated garden</t>
  </si>
  <si>
    <t>Vacant or derelict land</t>
  </si>
  <si>
    <t>Urban - Vacant or derelict land</t>
  </si>
  <si>
    <t>Justify why not Open Mosaic Habitat.</t>
  </si>
  <si>
    <t>Bare ground</t>
  </si>
  <si>
    <t>Urban - Bare ground</t>
  </si>
  <si>
    <t>Vegetated garden</t>
  </si>
  <si>
    <t>Urban - Vegetated garden</t>
  </si>
  <si>
    <t>Urban tree</t>
  </si>
  <si>
    <t>Individual trees - Urban tree</t>
  </si>
  <si>
    <t>NE0014</t>
  </si>
  <si>
    <t>Street Tree</t>
  </si>
  <si>
    <t>Rural tree</t>
  </si>
  <si>
    <t>Individual trees - Rural tree</t>
  </si>
  <si>
    <t>NE0016</t>
  </si>
  <si>
    <t>Blanket bog</t>
  </si>
  <si>
    <t>Wetland - Blanket bog</t>
  </si>
  <si>
    <t>f1a</t>
  </si>
  <si>
    <t>Bog</t>
  </si>
  <si>
    <t>Depressions on peat substrates (H7150)</t>
  </si>
  <si>
    <t>Wetland - Depressions on peat substrates (H7150)</t>
  </si>
  <si>
    <t>f</t>
  </si>
  <si>
    <t>f1</t>
  </si>
  <si>
    <t>Depressions on Peat substrates (H7150)</t>
  </si>
  <si>
    <t>Fens (upland and lowland)</t>
  </si>
  <si>
    <t>Wetland - Fens (upland and lowland)</t>
  </si>
  <si>
    <t>f2a</t>
  </si>
  <si>
    <t>f2</t>
  </si>
  <si>
    <t>Fen marsh and swamp</t>
  </si>
  <si>
    <t>Lowland fens</t>
  </si>
  <si>
    <t>Lowland raised bog</t>
  </si>
  <si>
    <t>Wetland - Lowland raised bog</t>
  </si>
  <si>
    <t>f1b</t>
  </si>
  <si>
    <t>Oceanic valley mire[1] (D2.1)</t>
  </si>
  <si>
    <t>Wetland - Oceanic valley mire[1] (D2.1)</t>
  </si>
  <si>
    <t>NE0010</t>
  </si>
  <si>
    <t>f2f</t>
  </si>
  <si>
    <t>Oceanic Valley Mire[1] (D2.1)</t>
  </si>
  <si>
    <t>Purple moor grass and rush pastures</t>
  </si>
  <si>
    <t>Wetland - Purple moor grass and rush pastures</t>
  </si>
  <si>
    <t>f2b</t>
  </si>
  <si>
    <t>Reedbeds</t>
  </si>
  <si>
    <t>Wetland - Reedbeds</t>
  </si>
  <si>
    <t>f2e</t>
  </si>
  <si>
    <t>Transition mires and quaking bogs (H7140)</t>
  </si>
  <si>
    <t>Wetland - Transition mires and quaking bogs (H7140)</t>
  </si>
  <si>
    <t>Felled</t>
  </si>
  <si>
    <t>Woodland and forest - Felled</t>
  </si>
  <si>
    <t>Other woodland</t>
  </si>
  <si>
    <t>Lowland beech and yew woodland</t>
  </si>
  <si>
    <t>Woodland and forest - Lowland beech and yew woodland</t>
  </si>
  <si>
    <t>w1c</t>
  </si>
  <si>
    <t>Broadleaved mixed and yew woodland</t>
  </si>
  <si>
    <t>Lowland mixed deciduous woodland</t>
  </si>
  <si>
    <t>Woodland and forest - Lowland mixed deciduous woodland</t>
  </si>
  <si>
    <t>w1f</t>
  </si>
  <si>
    <t>Native pine woodlands</t>
  </si>
  <si>
    <t>Woodland and forest - Native pine woodlands</t>
  </si>
  <si>
    <t>w2a</t>
  </si>
  <si>
    <t>w2</t>
  </si>
  <si>
    <t>Coniferous woodland</t>
  </si>
  <si>
    <t>Other coniferous woodland</t>
  </si>
  <si>
    <t>Woodland and forest - Other coniferous woodland</t>
  </si>
  <si>
    <t>w2c</t>
  </si>
  <si>
    <t>Other Scot's pine woodland</t>
  </si>
  <si>
    <t>Woodland and forest - Other Scot's pine woodland</t>
  </si>
  <si>
    <t>w2b</t>
  </si>
  <si>
    <t>Other Scot's Pine woodland</t>
  </si>
  <si>
    <t>Other woodland; broadleaved</t>
  </si>
  <si>
    <t>Woodland and forest - Other woodland; broadleaved</t>
  </si>
  <si>
    <t>w1g</t>
  </si>
  <si>
    <t>Other woodland; mixed</t>
  </si>
  <si>
    <t>Woodland and forest - Other woodland; mixed</t>
  </si>
  <si>
    <t>w1h</t>
  </si>
  <si>
    <t>Upland birchwoods</t>
  </si>
  <si>
    <t>Woodland and forest - Upland birchwoods</t>
  </si>
  <si>
    <t>w1e</t>
  </si>
  <si>
    <t>Upland mixed ashwoods</t>
  </si>
  <si>
    <t>Woodland and forest - Upland mixed ashwoods</t>
  </si>
  <si>
    <t>w1b</t>
  </si>
  <si>
    <t>Upland oakwood</t>
  </si>
  <si>
    <t>Woodland and forest - Upland oakwood</t>
  </si>
  <si>
    <t>w1a</t>
  </si>
  <si>
    <t>w</t>
  </si>
  <si>
    <t>w1</t>
  </si>
  <si>
    <t>Wet woodland</t>
  </si>
  <si>
    <t>Woodland and forest - Wet woodland</t>
  </si>
  <si>
    <t>w1d</t>
  </si>
  <si>
    <t>Wood-pasture and parkland</t>
  </si>
  <si>
    <t>Woodland and forest - Wood-pasture and parkland</t>
  </si>
  <si>
    <t>Coastal lagoons - Coastal lagoons</t>
  </si>
  <si>
    <t>x02</t>
  </si>
  <si>
    <t>Intertidal</t>
  </si>
  <si>
    <t>X02/03</t>
  </si>
  <si>
    <t>High energy littoral rock</t>
  </si>
  <si>
    <t>Rocky shore - High energy littoral rock</t>
  </si>
  <si>
    <t>a1.1</t>
  </si>
  <si>
    <t>A1</t>
  </si>
  <si>
    <t>High energy littoral rock - on peat, clay or chalk</t>
  </si>
  <si>
    <t>Rocky shore - High energy littoral rock - on peat, clay or chalk</t>
  </si>
  <si>
    <t>A1.1</t>
  </si>
  <si>
    <t>High energy littoral rock - on bedrock including chalk, peat or clay</t>
  </si>
  <si>
    <t>Moderate energy littoral rock</t>
  </si>
  <si>
    <t>Rocky shore - Moderate energy littoral rock</t>
  </si>
  <si>
    <t>A1.2</t>
  </si>
  <si>
    <t>Moderate energy littoral rock - on peat, clay or chalk</t>
  </si>
  <si>
    <t>Rocky shore - Moderate energy littoral rock - on peat, clay or chalk</t>
  </si>
  <si>
    <t>A1.2 PCC</t>
  </si>
  <si>
    <t>Moderate energy littoral rock - on bedrock including chalk, peat or clay</t>
  </si>
  <si>
    <t>Low energy littoral rock</t>
  </si>
  <si>
    <t>Rocky shore - Low energy littoral rock</t>
  </si>
  <si>
    <t>A1.3</t>
  </si>
  <si>
    <t>Low energy littoral rock - on peat, clay or chalk</t>
  </si>
  <si>
    <t>Rocky shore - Low energy littoral rock - on peat, clay or chalk</t>
  </si>
  <si>
    <t>A1.3 PCC</t>
  </si>
  <si>
    <t>Low energy littoral rock  - on bedrock including chalk, peat or clay</t>
  </si>
  <si>
    <t>Features of littoral rock</t>
  </si>
  <si>
    <t>Rocky shore - Features of littoral rock</t>
  </si>
  <si>
    <t>A1.4</t>
  </si>
  <si>
    <t>Features of littoral rock - on peat, clay or chalk</t>
  </si>
  <si>
    <t>Rocky shore - Features of littoral rock - on peat, clay or chalk</t>
  </si>
  <si>
    <t>A1.PCC</t>
  </si>
  <si>
    <t>Features of littoral rock - on bedrock including chalk, peat or clay</t>
  </si>
  <si>
    <t>Saltmarshes and saline reedbeds</t>
  </si>
  <si>
    <t>Coastal saltmarsh - Saltmarshes and saline reedbeds</t>
  </si>
  <si>
    <t>A2.5</t>
  </si>
  <si>
    <t>A2</t>
  </si>
  <si>
    <t>Coastal saltmarshes and saline reedbeds</t>
  </si>
  <si>
    <t>Artificial saltmarshes and saline reedbeds</t>
  </si>
  <si>
    <t>Coastal saltmarsh - Artificial saltmarshes and saline reedbeds</t>
  </si>
  <si>
    <t>ART_A2.5</t>
  </si>
  <si>
    <t>Littoral coarse sediment</t>
  </si>
  <si>
    <t>Intertidal sediment - Littoral coarse sediment</t>
  </si>
  <si>
    <t>A2.1</t>
  </si>
  <si>
    <t>Littoral mud</t>
  </si>
  <si>
    <t>Intertidal sediment - Littoral mud</t>
  </si>
  <si>
    <t>A2.3</t>
  </si>
  <si>
    <t>Littoral mixed sediments</t>
  </si>
  <si>
    <t>Intertidal sediment - Littoral mixed sediments</t>
  </si>
  <si>
    <t>A2.4</t>
  </si>
  <si>
    <t>Littoral seagrass</t>
  </si>
  <si>
    <t>A2.6</t>
  </si>
  <si>
    <t>Littoral sediments dominated by aquatic angiosperms</t>
  </si>
  <si>
    <t>Littoral seagrass on peat, clay or chalk</t>
  </si>
  <si>
    <t>Intertidal sediment - Littoral seagrass on peat, clay or chalk</t>
  </si>
  <si>
    <t>A2.6 PCC</t>
  </si>
  <si>
    <t>Littoral seagrass  - on peat, clay or chalk</t>
  </si>
  <si>
    <t>Littoral biogenic reefs - Mussels</t>
  </si>
  <si>
    <t>Intertidal sediment - Littoral biogenic reefs - Mussels</t>
  </si>
  <si>
    <t>A2.7 M</t>
  </si>
  <si>
    <t xml:space="preserve"> Littoral biogenic reefs - Mussels</t>
  </si>
  <si>
    <t>Littoral biogenic reefs - Sabellaria</t>
  </si>
  <si>
    <t>Intertidal sediment - Littoral biogenic reefs - Sabellaria</t>
  </si>
  <si>
    <t>A2.7 S</t>
  </si>
  <si>
    <t>Features of littoral sediment</t>
  </si>
  <si>
    <t>Intertidal sediment - Features of littoral sediment</t>
  </si>
  <si>
    <t>A2.8</t>
  </si>
  <si>
    <t>Artificial littoral coarse sediment</t>
  </si>
  <si>
    <t>Intertidal sediment - Artificial littoral coarse sediment</t>
  </si>
  <si>
    <t>ART_A2.1</t>
  </si>
  <si>
    <t>Artificial littoral mud</t>
  </si>
  <si>
    <t>Intertidal sediment - Artificial littoral mud</t>
  </si>
  <si>
    <t>ART_A2.3</t>
  </si>
  <si>
    <t>Artificial littoral sand</t>
  </si>
  <si>
    <t>Intertidal sediment - Artificial littoral sand</t>
  </si>
  <si>
    <t>ART_A2.21/A2.22/A2.23</t>
  </si>
  <si>
    <t>Artificial littoral muddy sand</t>
  </si>
  <si>
    <t>Intertidal sediment - Artificial littoral muddy sand</t>
  </si>
  <si>
    <t>ART_A2.24</t>
  </si>
  <si>
    <t>Artificial littoral mixed sediments</t>
  </si>
  <si>
    <t>Intertidal sediment - Artificial littoral mixed sediments</t>
  </si>
  <si>
    <t>ART_A2.4</t>
  </si>
  <si>
    <t>Artificial littoral seagrass</t>
  </si>
  <si>
    <t>Intertidal sediment - Artificial littoral seagrass</t>
  </si>
  <si>
    <t>ART_A2.6</t>
  </si>
  <si>
    <t>Artificial littoral biogenic reefs</t>
  </si>
  <si>
    <t>Intertidal sediment - Artificial littoral biogenic reefs</t>
  </si>
  <si>
    <t>ART_A2.7</t>
  </si>
  <si>
    <t>Littoral sand</t>
  </si>
  <si>
    <t>Intertidal sediment - Littoral sand</t>
  </si>
  <si>
    <t>A2.21/A2.22/A2.23</t>
  </si>
  <si>
    <t>Littoral muddy sand</t>
  </si>
  <si>
    <t>Intertidal sediment - Littoral muddy sand</t>
  </si>
  <si>
    <t>A2.24</t>
  </si>
  <si>
    <t>Artificial hard structures</t>
  </si>
  <si>
    <t>Intertidal hard structures - Artificial hard structures</t>
  </si>
  <si>
    <t>ART_A1</t>
  </si>
  <si>
    <t>Artificial features of hard structures</t>
  </si>
  <si>
    <t>Intertidal hard structures - Artificial features of hard structures</t>
  </si>
  <si>
    <t>ART_A1.4</t>
  </si>
  <si>
    <t>Artificial hard structures with integrated greening of grey infrastructure (IGGI)</t>
  </si>
  <si>
    <t>Intertidal hard structures - Artificial hard structures with integrated greening of grey infrastructure (IGGI)</t>
  </si>
  <si>
    <t>ART_A1_IGGI</t>
  </si>
  <si>
    <t>Artificial hard structures with Integrated Greening of Grey Infrastructure (IGGI)</t>
  </si>
  <si>
    <t>Watercourse footprint - Watercourse footprint</t>
  </si>
  <si>
    <t>NE0017</t>
  </si>
  <si>
    <t>V.low</t>
  </si>
  <si>
    <t>Area footprint of watercourse included in the watercourse tab</t>
  </si>
  <si>
    <t>All Habitats</t>
  </si>
  <si>
    <t>Group Sub-totals</t>
  </si>
  <si>
    <t>Habitat Description</t>
  </si>
  <si>
    <t>Trading Notes</t>
  </si>
  <si>
    <t>Existing area baseline on-site</t>
  </si>
  <si>
    <t>Existing units baseline on-site</t>
  </si>
  <si>
    <t>Existing area retained on-site</t>
  </si>
  <si>
    <t>Existing units retained on-site</t>
  </si>
  <si>
    <t>Existing area lost on-site</t>
  </si>
  <si>
    <t>Existing units lost  baseline on-site</t>
  </si>
  <si>
    <t>Proposed area creation on-site post development</t>
  </si>
  <si>
    <t>Proposed units creation on-site post development</t>
  </si>
  <si>
    <t>Proposed area enhancement on-site post development</t>
  </si>
  <si>
    <t>Proposed units enhancement on-site post development</t>
  </si>
  <si>
    <t>Total proposed area on-site post development</t>
  </si>
  <si>
    <t>Total proposed units on-site post development</t>
  </si>
  <si>
    <t>Net area change on-site</t>
  </si>
  <si>
    <t>Net unit change on-site</t>
  </si>
  <si>
    <t>Existing area off-site</t>
  </si>
  <si>
    <t>Existing units off-site</t>
  </si>
  <si>
    <t>Retained area off-site</t>
  </si>
  <si>
    <t>Retained units off-site</t>
  </si>
  <si>
    <t xml:space="preserve">Proposed area creation off-site </t>
  </si>
  <si>
    <t xml:space="preserve">Proposed units creation off-site </t>
  </si>
  <si>
    <t xml:space="preserve">Proposed area enhancement off-site </t>
  </si>
  <si>
    <t xml:space="preserve">Proposed units enhancement off-site </t>
  </si>
  <si>
    <t xml:space="preserve">Total proposed area off-site </t>
  </si>
  <si>
    <t xml:space="preserve">Total proposed units off-site </t>
  </si>
  <si>
    <t>Off-site net area change</t>
  </si>
  <si>
    <t>Off-site net unit change</t>
  </si>
  <si>
    <t>Overall area change</t>
  </si>
  <si>
    <t>Overall unit change</t>
  </si>
  <si>
    <t>On-site habitat group</t>
  </si>
  <si>
    <t>Existing area</t>
  </si>
  <si>
    <t>Existing value</t>
  </si>
  <si>
    <t>Proposed area on-site</t>
  </si>
  <si>
    <t>Proposed value on-site</t>
  </si>
  <si>
    <t>Habitat Group</t>
  </si>
  <si>
    <t>Existing Area</t>
  </si>
  <si>
    <t>Existing Value Lost</t>
  </si>
  <si>
    <t>Proposed Area On-site</t>
  </si>
  <si>
    <t>Proposed Value On-site</t>
  </si>
  <si>
    <t>On-site Area Change</t>
  </si>
  <si>
    <t>On-site Unit Change</t>
  </si>
  <si>
    <t>Proposed Area Off-site</t>
  </si>
  <si>
    <t>Off-site Unit Change</t>
  </si>
  <si>
    <t>Unit Change Including Off-site</t>
  </si>
  <si>
    <t>Units Required Off-site</t>
  </si>
  <si>
    <t>Area Lost</t>
  </si>
  <si>
    <t>Off-site habitat group</t>
  </si>
  <si>
    <t>Proposed area off-site</t>
  </si>
  <si>
    <t>Proposed value off-site</t>
  </si>
  <si>
    <t>Off-site  unit change</t>
  </si>
  <si>
    <t>Rocky shore</t>
  </si>
  <si>
    <t>On-site  Unit Change</t>
  </si>
  <si>
    <t>Heathland and shrub - Lowland Heathland</t>
  </si>
  <si>
    <t>Coastal saltmarsh</t>
  </si>
  <si>
    <t>Units Required Off-site or Trading Up</t>
  </si>
  <si>
    <t>Sparsely vegetated land - Ruderal/ephemeral</t>
  </si>
  <si>
    <t xml:space="preserve">Hedgerow type </t>
  </si>
  <si>
    <t>Distinctivness</t>
  </si>
  <si>
    <t>Existing length baseline on-site</t>
  </si>
  <si>
    <t>Existing length retained on-site</t>
  </si>
  <si>
    <t>Existing Units retained on-site</t>
  </si>
  <si>
    <t>Existing length lost  on-site</t>
  </si>
  <si>
    <t>Proposed length creation on-site post development</t>
  </si>
  <si>
    <t>Proposed length enhancement on-site post development</t>
  </si>
  <si>
    <t>Total proposed length on-site post development</t>
  </si>
  <si>
    <t>Net length change on-site</t>
  </si>
  <si>
    <t>Existing length off-site</t>
  </si>
  <si>
    <t>Retained length off-site</t>
  </si>
  <si>
    <t xml:space="preserve">Proposed length creation off-site </t>
  </si>
  <si>
    <t xml:space="preserve">Proposed length enhancement off-site </t>
  </si>
  <si>
    <t xml:space="preserve">Proposed units Enhancement off-site </t>
  </si>
  <si>
    <t xml:space="preserve">Total proposed length off-site </t>
  </si>
  <si>
    <t>Off-site net length change</t>
  </si>
  <si>
    <t>Overall length change</t>
  </si>
  <si>
    <t>Hedgerow</t>
  </si>
  <si>
    <t>Very Low</t>
  </si>
  <si>
    <t xml:space="preserve">Watercourse type </t>
  </si>
  <si>
    <t>Existing length lost on-site</t>
  </si>
  <si>
    <t>Existing units lost baseline on-site</t>
  </si>
  <si>
    <t>Risk</t>
  </si>
  <si>
    <t>Spatial multipliers</t>
  </si>
  <si>
    <t>connectivity</t>
  </si>
  <si>
    <t>Strategic Significance</t>
  </si>
  <si>
    <t>Value</t>
  </si>
  <si>
    <t>Spatial risk</t>
  </si>
  <si>
    <t>Description</t>
  </si>
  <si>
    <t>score</t>
  </si>
  <si>
    <t>Diameter (m)</t>
  </si>
  <si>
    <t>RPA Radius (m)</t>
  </si>
  <si>
    <t>RPA (ha)</t>
  </si>
  <si>
    <t>Highly connected habitat</t>
  </si>
  <si>
    <t>Formally identified in local strategy</t>
  </si>
  <si>
    <t xml:space="preserve">High strategic significance </t>
  </si>
  <si>
    <t xml:space="preserve">Compensation inside LPA boundary or NCA of impact site </t>
  </si>
  <si>
    <t>Moderately connected habitat</t>
  </si>
  <si>
    <t>Location ecologically desirable but not in local strategy</t>
  </si>
  <si>
    <t xml:space="preserve">Medium strategic significance </t>
  </si>
  <si>
    <t xml:space="preserve">Compensation outside LPA or NCA of impact site, but in neighbouring LPA or NCA </t>
  </si>
  <si>
    <t>Unconnected habitat</t>
  </si>
  <si>
    <t>Area/compensation not in local strategy/ no local strategy</t>
  </si>
  <si>
    <t>Low Strategic Significance</t>
  </si>
  <si>
    <t xml:space="preserve">Compensation outside LPA or NCA of impact site and neighbouring LPA or NCA  </t>
  </si>
  <si>
    <t>N/A</t>
  </si>
  <si>
    <t>Assessment not required</t>
  </si>
  <si>
    <t>This metric is being used by an off-site provider</t>
  </si>
  <si>
    <t xml:space="preserve"> Intertidal habitats - Compensation inside Marine Plan Area of impact site  </t>
  </si>
  <si>
    <r>
      <t xml:space="preserve"> Intertidal habitats - Compensation </t>
    </r>
    <r>
      <rPr>
        <u/>
        <sz val="11"/>
        <color theme="4"/>
        <rFont val="Rockwell Light"/>
        <family val="1"/>
      </rPr>
      <t xml:space="preserve">outside </t>
    </r>
    <r>
      <rPr>
        <sz val="11"/>
        <color theme="4"/>
        <rFont val="Rockwell Light"/>
        <family val="1"/>
      </rPr>
      <t>same Marine Plan Area but in neighbouring Marine Plan Area</t>
    </r>
  </si>
  <si>
    <r>
      <t xml:space="preserve"> Intertidal habitats - Compensation </t>
    </r>
    <r>
      <rPr>
        <u/>
        <sz val="11"/>
        <color theme="4"/>
        <rFont val="Rockwell Light"/>
        <family val="1"/>
      </rPr>
      <t>outside</t>
    </r>
    <r>
      <rPr>
        <sz val="11"/>
        <color theme="4"/>
        <rFont val="Rockwell Light"/>
        <family val="1"/>
      </rPr>
      <t xml:space="preserve"> Marine Plan Area of impact site and beyond neighbouring Marine Plan Area </t>
    </r>
  </si>
  <si>
    <t>Temporal multipliers</t>
  </si>
  <si>
    <t>Creation</t>
  </si>
  <si>
    <t>Year</t>
  </si>
  <si>
    <t>% of original unit</t>
  </si>
  <si>
    <t>Time to target Multiplier</t>
  </si>
  <si>
    <t>30+</t>
  </si>
  <si>
    <t>Habitat banking dropdown list</t>
  </si>
  <si>
    <t>Start condition</t>
  </si>
  <si>
    <t>Lower Distinctiveness Habitat</t>
  </si>
  <si>
    <t>Target condition</t>
  </si>
  <si>
    <t>Lower Distinctiveness Habitat - N/A - Other</t>
  </si>
  <si>
    <t>Lower Distinctiveness Habitat - Condition Assessment N/A</t>
  </si>
  <si>
    <t>Lower Distinctiveness Habitat - Poor</t>
  </si>
  <si>
    <t>Lower Distinctiveness Habitat - Fairly Poor</t>
  </si>
  <si>
    <t>Lower Distinctiveness Habitat - Moderate</t>
  </si>
  <si>
    <t>Lower Distinctiveness Habitat - Fairly Good</t>
  </si>
  <si>
    <t>Lower Distinctiveness Habitat - Good</t>
  </si>
  <si>
    <t>Condition Assessment N/A - Fairly Poor</t>
  </si>
  <si>
    <t>Condition Assessment N/A - Moderate</t>
  </si>
  <si>
    <t>Condition Assessment N/A - Fairly Good</t>
  </si>
  <si>
    <t>Condition Assessment N/A - Good</t>
  </si>
  <si>
    <t>Poor - Fairly Poor</t>
  </si>
  <si>
    <t>Poor - Moderate</t>
  </si>
  <si>
    <t>Poor - Fairly Good</t>
  </si>
  <si>
    <t>Poor - Good</t>
  </si>
  <si>
    <t>Fairly Poor - Moderate</t>
  </si>
  <si>
    <t>Fairly Poor - Fairly Good</t>
  </si>
  <si>
    <t>Fairly Poor - Good</t>
  </si>
  <si>
    <t>Moderate - Fairly Good</t>
  </si>
  <si>
    <t>Moderate - Good</t>
  </si>
  <si>
    <t>Fairly Good - Good</t>
  </si>
  <si>
    <t>Good - Good</t>
  </si>
  <si>
    <t>Creation - Years to Target Condition</t>
  </si>
  <si>
    <t>Enhancement Through Condition - Years to Target Condition</t>
  </si>
  <si>
    <t>Enhancement Through Distinctiveness - Years to Target Condition</t>
  </si>
  <si>
    <t>Suggested Action</t>
  </si>
  <si>
    <t>Enhancement through Distinctiveness</t>
  </si>
  <si>
    <t>Post Development Hedge Type</t>
  </si>
  <si>
    <t>Condition Groups</t>
  </si>
  <si>
    <t>Line of trees - associated with bank or ditch</t>
  </si>
  <si>
    <t>Condition Category</t>
  </si>
  <si>
    <t>Condition Score</t>
  </si>
  <si>
    <t>Baseline Hedge Type</t>
  </si>
  <si>
    <t>Hedgecond1</t>
  </si>
  <si>
    <t>Hedgecond2</t>
  </si>
  <si>
    <t>Like for like</t>
  </si>
  <si>
    <t>V.High -  V.High</t>
  </si>
  <si>
    <t>High - V.High</t>
  </si>
  <si>
    <t>High - High</t>
  </si>
  <si>
    <t>Same distinctiveness band or better</t>
  </si>
  <si>
    <t>Medium - V.High</t>
  </si>
  <si>
    <t>Medium - High</t>
  </si>
  <si>
    <t>Medium - Medium</t>
  </si>
  <si>
    <t>Low - V.High</t>
  </si>
  <si>
    <t>Low - High</t>
  </si>
  <si>
    <t>Low - Medium</t>
  </si>
  <si>
    <t>Low - Low</t>
  </si>
  <si>
    <t>V.Low - V.Low</t>
  </si>
  <si>
    <t xml:space="preserve">Creation - Years to Target Condition for All Habitats </t>
  </si>
  <si>
    <t xml:space="preserve">Enhancement - Years to Target Condition for All Habitats </t>
  </si>
  <si>
    <t>Enhancement  - Years to Target Condition</t>
  </si>
  <si>
    <t>Encroachment</t>
  </si>
  <si>
    <t>Spatial</t>
  </si>
  <si>
    <t>Distinctivness categories</t>
  </si>
  <si>
    <t>Rivercond1</t>
  </si>
  <si>
    <t>Rivercond2</t>
  </si>
  <si>
    <t>Proposed Condition</t>
  </si>
  <si>
    <t>Encroachment into Watercourse</t>
  </si>
  <si>
    <t>multiplier</t>
  </si>
  <si>
    <t>Riparian Encroachment for Both Banks</t>
  </si>
  <si>
    <t>Description of multiplier</t>
  </si>
  <si>
    <t>Strategic multiplier</t>
  </si>
  <si>
    <t>Distinctiveness Category</t>
  </si>
  <si>
    <t>Distinctivness Score</t>
  </si>
  <si>
    <t>Priority Habitat</t>
  </si>
  <si>
    <t>Baseline Condition</t>
  </si>
  <si>
    <t>No Encroachment</t>
  </si>
  <si>
    <t>Major/Major</t>
  </si>
  <si>
    <t>Low potential/action not identified in any plan</t>
  </si>
  <si>
    <t>Loss Unacceptable</t>
  </si>
  <si>
    <t>Other Rivers and Streams</t>
  </si>
  <si>
    <t>Minor</t>
  </si>
  <si>
    <t>Major/Moderate</t>
  </si>
  <si>
    <t>Delivery within Local Plans</t>
  </si>
  <si>
    <t xml:space="preserve">Within waterbody catchment       </t>
  </si>
  <si>
    <t>Avoid</t>
  </si>
  <si>
    <t>Major</t>
  </si>
  <si>
    <t>Major/Minor</t>
  </si>
  <si>
    <t>Delivery within River Basin Management Plan</t>
  </si>
  <si>
    <t xml:space="preserve">Outside waterbody catchment, but within operational catchment </t>
  </si>
  <si>
    <t>Avoid, Mitigate or Compensate</t>
  </si>
  <si>
    <t>N/A - Culvert</t>
  </si>
  <si>
    <t>Major/No Encroachment</t>
  </si>
  <si>
    <t>Delivery within Catchment Plans</t>
  </si>
  <si>
    <t xml:space="preserve">Outside operational catchment  </t>
  </si>
  <si>
    <t>Mitigate or Compensate</t>
  </si>
  <si>
    <t>Moderate/ Moderate</t>
  </si>
  <si>
    <t>Delivery within Catchment Planning System</t>
  </si>
  <si>
    <t>Moderate/ Minor</t>
  </si>
  <si>
    <t>Delivery within Priority Habitats for Restoration</t>
  </si>
  <si>
    <t>Moderate/ No Encroachment</t>
  </si>
  <si>
    <t>Minor/ Minor</t>
  </si>
  <si>
    <t>Minor/ No Encroachment</t>
  </si>
  <si>
    <t>No Encroachment/ No Encroachment</t>
  </si>
  <si>
    <t>Condition groups</t>
  </si>
  <si>
    <t>Cond1</t>
  </si>
  <si>
    <t>Cond2</t>
  </si>
  <si>
    <t>Cond3</t>
  </si>
  <si>
    <t>Cond4</t>
  </si>
  <si>
    <t>Cond5</t>
  </si>
  <si>
    <t xml:space="preserve">👁 This tool is intended to be used for historic data. Any suggested translation between a phase 1 habitat and metric habitat should not be considered a rule - there may be circumstances where a more appropriate metric habitat may be chosen when ecological expertise is applied. </t>
  </si>
  <si>
    <t xml:space="preserve">Phase 1 Habitat </t>
  </si>
  <si>
    <t xml:space="preserve">Metric habitat </t>
  </si>
  <si>
    <t xml:space="preserve">Distinctiveness band </t>
  </si>
  <si>
    <t>Woodland</t>
  </si>
  <si>
    <t>Broadleaved woodland</t>
  </si>
  <si>
    <t>Semi-natural broadleaved woodland</t>
  </si>
  <si>
    <t>Plantation broadleaved woodland</t>
  </si>
  <si>
    <t>Semi-natural coniferous woodland</t>
  </si>
  <si>
    <t>Plantation coniferous woodland</t>
  </si>
  <si>
    <t>Mixed woodland</t>
  </si>
  <si>
    <t>Semi-natural mixed woodland</t>
  </si>
  <si>
    <t>Plantation mixed woodland</t>
  </si>
  <si>
    <t>Scrub</t>
  </si>
  <si>
    <t>Dense / continuous scrub</t>
  </si>
  <si>
    <t>Scattered scrub</t>
  </si>
  <si>
    <t>Parkland / scattered trees</t>
  </si>
  <si>
    <t>Broadleaved parkland / scattered trees</t>
  </si>
  <si>
    <t>Coniferous parkland / scattered trees</t>
  </si>
  <si>
    <t>Mixed parkland / scattered trees</t>
  </si>
  <si>
    <t>Scattered trees</t>
  </si>
  <si>
    <t>Recently-felled woodland</t>
  </si>
  <si>
    <t>Broadleaved recently felled woodland</t>
  </si>
  <si>
    <t>Coniferous recently felled woodland</t>
  </si>
  <si>
    <t>Mixed recently felled woodland</t>
  </si>
  <si>
    <t>Unimproved acid grassland</t>
  </si>
  <si>
    <t>Semi-improved acid grassland (Good quality)</t>
  </si>
  <si>
    <t>Semi-improved acid grassland (Poor quality)</t>
  </si>
  <si>
    <t>Unimproved neutral grassland</t>
  </si>
  <si>
    <t>Semi-improved neutral grassland (Good quality)</t>
  </si>
  <si>
    <t>Semi-improved neutral grassland (Poor quality)</t>
  </si>
  <si>
    <t>Unimproved calcareous grassland</t>
  </si>
  <si>
    <t>Semi-improved calcareous grassland (Good quality)</t>
  </si>
  <si>
    <t>Semi-improved calcareous grassland (Poor quality)</t>
  </si>
  <si>
    <t>Improved grassland</t>
  </si>
  <si>
    <t>Marsh/marshy grassland</t>
  </si>
  <si>
    <t>Poor semi-improved grassland</t>
  </si>
  <si>
    <t>Strandline vegetation coastland</t>
  </si>
  <si>
    <t>Sand dune</t>
  </si>
  <si>
    <t>Dune slack sand dune coastland</t>
  </si>
  <si>
    <t>Dune grassland sand dune coastland</t>
  </si>
  <si>
    <t>Dune heath sand dune coastland</t>
  </si>
  <si>
    <t>Dune scrub sand dune coastland</t>
  </si>
  <si>
    <t>Open dune sand dune coastland</t>
  </si>
  <si>
    <t>Maritime cliff coastland</t>
  </si>
  <si>
    <t>Hard maritime cliff coastland</t>
  </si>
  <si>
    <t>Soft maritime cliff</t>
  </si>
  <si>
    <t>Crevice/ledge vegetation</t>
  </si>
  <si>
    <t>Grassland - Tall herb communities</t>
  </si>
  <si>
    <t>Coastal grassland</t>
  </si>
  <si>
    <t>Coastal heathland</t>
  </si>
  <si>
    <t>Standing open water</t>
  </si>
  <si>
    <t xml:space="preserve"> lakes - Aquifer fed naturally fluctuating water bodies</t>
  </si>
  <si>
    <t>Lakes - Ditches</t>
  </si>
  <si>
    <t>Lakes - Peat Lakes</t>
  </si>
  <si>
    <t xml:space="preserve"> Lakes - Ponds (priority habitat)</t>
  </si>
  <si>
    <t xml:space="preserve"> Lakes - Ponds (non-priority habitat)</t>
  </si>
  <si>
    <t xml:space="preserve"> Lakes - Reservoirs</t>
  </si>
  <si>
    <t>Lakes - Temporary lakes, ponds and pools</t>
  </si>
  <si>
    <t>Dry dwarf shrub heath</t>
  </si>
  <si>
    <t>Acidic dry dwarf shrub heath</t>
  </si>
  <si>
    <t>Basic dry dwarf shrub heath</t>
  </si>
  <si>
    <t>Wet dwarf shrub heath</t>
  </si>
  <si>
    <t>Lichen / bryophyte heath</t>
  </si>
  <si>
    <t>Montane heath / dwarf herb</t>
  </si>
  <si>
    <t>Dry heath / acidic grass mosaic</t>
  </si>
  <si>
    <t>Wet heath / acidic grass mosaic</t>
  </si>
  <si>
    <t>Continuous bracken</t>
  </si>
  <si>
    <t>Scattered bracken</t>
  </si>
  <si>
    <t>Other tall herb or fern (Good quality)</t>
  </si>
  <si>
    <t>Other tall herb or fern</t>
  </si>
  <si>
    <t>Tall ruderal</t>
  </si>
  <si>
    <t>Non-ruderal</t>
  </si>
  <si>
    <t>Sphagnum bog</t>
  </si>
  <si>
    <t>Raised bog</t>
  </si>
  <si>
    <t>Wet modified bog</t>
  </si>
  <si>
    <t>Dry modified bog</t>
  </si>
  <si>
    <t>Flush and spring</t>
  </si>
  <si>
    <t>Acid/neutral flush</t>
  </si>
  <si>
    <t>Basic flush</t>
  </si>
  <si>
    <t>Bryophyte-dominated spring</t>
  </si>
  <si>
    <t>Fen</t>
  </si>
  <si>
    <t>Valley mire</t>
  </si>
  <si>
    <t>Wetland – Oceanic valley mire[1] (D2.1)</t>
  </si>
  <si>
    <t>Basin mire</t>
  </si>
  <si>
    <t>Floodplain mire</t>
  </si>
  <si>
    <t>Bare peat</t>
  </si>
  <si>
    <t>Swamp</t>
  </si>
  <si>
    <t>Marginal and inundation</t>
  </si>
  <si>
    <t>Marginal vegetation</t>
  </si>
  <si>
    <t>Use the feature that it is within, i.e. River, Lake type etc.</t>
  </si>
  <si>
    <t>Inundation vegetation</t>
  </si>
  <si>
    <t>Natural rock exposures and caves (Good quality)</t>
  </si>
  <si>
    <t>Natural rock exposures and caves</t>
  </si>
  <si>
    <t>Inland cliff (High quality)</t>
  </si>
  <si>
    <t>Inland cliff</t>
  </si>
  <si>
    <t>Acidic inland cliff</t>
  </si>
  <si>
    <t>Basic inland cliff</t>
  </si>
  <si>
    <t>Scree</t>
  </si>
  <si>
    <t>Acidic scree</t>
  </si>
  <si>
    <t>Basic scree</t>
  </si>
  <si>
    <t>Other natural rock exposure</t>
  </si>
  <si>
    <t>Other acidic natural rock exposure</t>
  </si>
  <si>
    <t>Other basic rock exposure</t>
  </si>
  <si>
    <t>Artificial rock exposures</t>
  </si>
  <si>
    <t>Quarry</t>
  </si>
  <si>
    <t>Urban - Active sand pit quarry or open cast mine</t>
  </si>
  <si>
    <t>Spoil heap</t>
  </si>
  <si>
    <t>Mine</t>
  </si>
  <si>
    <t>Refuse tip</t>
  </si>
  <si>
    <t>Cultivated/disturbed ground</t>
  </si>
  <si>
    <t>Arable</t>
  </si>
  <si>
    <t>Select most appropriate habitat within the 'Cropland' broad habitat tybe</t>
  </si>
  <si>
    <t>Amenity grassland</t>
  </si>
  <si>
    <t>Ephemeral / short perennial</t>
  </si>
  <si>
    <t>Fence</t>
  </si>
  <si>
    <t>Wall</t>
  </si>
  <si>
    <t>Built-up areas</t>
  </si>
  <si>
    <t>Caravans</t>
  </si>
  <si>
    <t>Sea wall (artificial materials)</t>
  </si>
  <si>
    <t>Buildings</t>
  </si>
  <si>
    <t>Local Authority List</t>
  </si>
  <si>
    <t>Application type</t>
  </si>
  <si>
    <t>Habitat list</t>
  </si>
  <si>
    <t>Adur and Worthing Borough Council</t>
  </si>
  <si>
    <t>Householder planning consent</t>
  </si>
  <si>
    <t>Adur District Council</t>
  </si>
  <si>
    <t>Full planning consent;</t>
  </si>
  <si>
    <t>Allerdale Borough Council</t>
  </si>
  <si>
    <t>Hybrid planning consent</t>
  </si>
  <si>
    <t>Amber Valley Borough Council</t>
  </si>
  <si>
    <t>Outline planning consent</t>
  </si>
  <si>
    <t>Arun District Council</t>
  </si>
  <si>
    <t>Reserved Matters</t>
  </si>
  <si>
    <t>Ashfield District Council</t>
  </si>
  <si>
    <t>Listed building consent</t>
  </si>
  <si>
    <t>Ashford Borough Council</t>
  </si>
  <si>
    <t>Advertisement consent</t>
  </si>
  <si>
    <t>Aylesbury Vale District Council</t>
  </si>
  <si>
    <t>Lawful Development Certificate (LDC)</t>
  </si>
  <si>
    <t>Babergh District Council</t>
  </si>
  <si>
    <t>Prior notification </t>
  </si>
  <si>
    <t>Barnsley Metropolitan Borough Council</t>
  </si>
  <si>
    <t>Removal/variation of conditions</t>
  </si>
  <si>
    <t>Barrow-in-Furness Borough Council</t>
  </si>
  <si>
    <t>Approval of conditions</t>
  </si>
  <si>
    <t>Basildon Borough Council</t>
  </si>
  <si>
    <t>Consent under Tree Preservation Orders </t>
  </si>
  <si>
    <t>Basingstoke and Deane Borough Council</t>
  </si>
  <si>
    <t>Notification of proposed works to trees in conservation areas</t>
  </si>
  <si>
    <t>Bassetlaw District Council</t>
  </si>
  <si>
    <t>Application for non-material amendments</t>
  </si>
  <si>
    <t>Bath and North East Somerset Council</t>
  </si>
  <si>
    <t>Nationaly Significant Infrastructure Habitats (NSIP'S)</t>
  </si>
  <si>
    <t>Bedford Borough Council</t>
  </si>
  <si>
    <t>Birmingham City Council</t>
  </si>
  <si>
    <t>Blaby District Council</t>
  </si>
  <si>
    <t>Blackburn with Darwen Borough Council</t>
  </si>
  <si>
    <t>Blackpool Borough Council</t>
  </si>
  <si>
    <t>Blaenau Gwent County Borough Council</t>
  </si>
  <si>
    <t>Bolsover District Council</t>
  </si>
  <si>
    <t>Bolton Metropolitan Borough Council</t>
  </si>
  <si>
    <t>Borough of Broxbourne</t>
  </si>
  <si>
    <t>Borough of Poole</t>
  </si>
  <si>
    <t>Boston Borough Council</t>
  </si>
  <si>
    <t>Bournemouth Borough Council</t>
  </si>
  <si>
    <t>Bracknell Forest Council</t>
  </si>
  <si>
    <t>Bradford Metropolitan District Council</t>
  </si>
  <si>
    <t>Braintree District Council</t>
  </si>
  <si>
    <t>Breckland District Council</t>
  </si>
  <si>
    <t>Brentwood Borough Council</t>
  </si>
  <si>
    <t>Bridgend County Borough Council</t>
  </si>
  <si>
    <t>Brighton and Hove City Council</t>
  </si>
  <si>
    <t>Bristol City Council</t>
  </si>
  <si>
    <t>Broadland District Council</t>
  </si>
  <si>
    <t>Bromsgrove District Council</t>
  </si>
  <si>
    <t>Broxtowe Borough Council</t>
  </si>
  <si>
    <t>Buckinghamshire County Council</t>
  </si>
  <si>
    <t>Burnley Borough Council</t>
  </si>
  <si>
    <t>Bury Metropolitan Borough Council</t>
  </si>
  <si>
    <t>Caerphilly County Borough Council</t>
  </si>
  <si>
    <t>Calderdale Metropolitan Borough Council</t>
  </si>
  <si>
    <t>Cambridge City Council</t>
  </si>
  <si>
    <t>Cambridgeshire County Council</t>
  </si>
  <si>
    <t>Cannock Chase District Council</t>
  </si>
  <si>
    <t>Canterbury City Council</t>
  </si>
  <si>
    <t>Cardiff Council</t>
  </si>
  <si>
    <t>Carlisle City Council</t>
  </si>
  <si>
    <t>Carmarthenshire County Council</t>
  </si>
  <si>
    <t>Castle Point Borough Council</t>
  </si>
  <si>
    <t>Central Bedfordshire Council</t>
  </si>
  <si>
    <t>Ceredigion County Council</t>
  </si>
  <si>
    <t>Charnwood Borough Council</t>
  </si>
  <si>
    <t>Chelmsford City Council</t>
  </si>
  <si>
    <t>Cheltenham Borough Council</t>
  </si>
  <si>
    <t>Cherwell District Council</t>
  </si>
  <si>
    <t>Cheshire East Council (Unitary)</t>
  </si>
  <si>
    <t>Cheshire West and Chester Council</t>
  </si>
  <si>
    <t>Chesterfield Borough Council</t>
  </si>
  <si>
    <t>Chichester District Council</t>
  </si>
  <si>
    <t>Chiltern District Council</t>
  </si>
  <si>
    <t>Chorley Council</t>
  </si>
  <si>
    <t>Christchurch Borough Council</t>
  </si>
  <si>
    <t>City of Lincoln Council</t>
  </si>
  <si>
    <t>City of London</t>
  </si>
  <si>
    <t>City of York Council</t>
  </si>
  <si>
    <t>Colchester Borough Council</t>
  </si>
  <si>
    <t>Conwy County Borough Council</t>
  </si>
  <si>
    <t>Copeland Borough Council</t>
  </si>
  <si>
    <t>Corby Borough Council</t>
  </si>
  <si>
    <t>Cornwall Council (Unitary)</t>
  </si>
  <si>
    <t>Cotswold District Council</t>
  </si>
  <si>
    <t>Coventry City Council</t>
  </si>
  <si>
    <t>Craven District Council</t>
  </si>
  <si>
    <t>Crawley Borough Council</t>
  </si>
  <si>
    <t>Cumbria County Council</t>
  </si>
  <si>
    <t>Dacorum Council</t>
  </si>
  <si>
    <t>Darlington Borough Council</t>
  </si>
  <si>
    <t>Dartford Borough Council</t>
  </si>
  <si>
    <t>Daventry District Council</t>
  </si>
  <si>
    <t>Denbighshire County Council</t>
  </si>
  <si>
    <t>Derby City Council</t>
  </si>
  <si>
    <t>Derbyshire County Council</t>
  </si>
  <si>
    <t>Derbyshire Dales District Council</t>
  </si>
  <si>
    <t>Devon County Council</t>
  </si>
  <si>
    <t>Doncaster Metropolitan Borough Council</t>
  </si>
  <si>
    <t>Dorset County Council</t>
  </si>
  <si>
    <t>Dover District Council</t>
  </si>
  <si>
    <t>Dudley Metropolitan Borough Council</t>
  </si>
  <si>
    <t>Durham County Council</t>
  </si>
  <si>
    <t>East Cambridgeshire District Council</t>
  </si>
  <si>
    <t>East Devon District Council</t>
  </si>
  <si>
    <t>East Dorset District Council</t>
  </si>
  <si>
    <t>East Hampshire District Council</t>
  </si>
  <si>
    <t>East Hertfordshire District Council</t>
  </si>
  <si>
    <t>East Lindsey District Council</t>
  </si>
  <si>
    <t>East Northamptonshire Council</t>
  </si>
  <si>
    <t>East Riding of Yorkshire Council</t>
  </si>
  <si>
    <t>East Staffordshire Borough Council</t>
  </si>
  <si>
    <t>East Sussex County Council</t>
  </si>
  <si>
    <t>Eastbourne Borough Council</t>
  </si>
  <si>
    <t>Eastleigh Borough Council</t>
  </si>
  <si>
    <t>Eden District Council</t>
  </si>
  <si>
    <t>Elmbridge Borough Council</t>
  </si>
  <si>
    <t>Epping Forest District Council</t>
  </si>
  <si>
    <t>Epsom and Ewell Borough Council</t>
  </si>
  <si>
    <t>Erewash Borough Council</t>
  </si>
  <si>
    <t>Essex County Council</t>
  </si>
  <si>
    <t>Exeter City Council</t>
  </si>
  <si>
    <t>Fareham Borough Council</t>
  </si>
  <si>
    <t>Fenland District Council</t>
  </si>
  <si>
    <t>Flintshire County Council</t>
  </si>
  <si>
    <t>Forest Heath District Council</t>
  </si>
  <si>
    <t>Forest of Dean District Council</t>
  </si>
  <si>
    <t>Fylde Borough Council</t>
  </si>
  <si>
    <t>Gateshead Metropolitan Borough Council</t>
  </si>
  <si>
    <t>Gedling Borough Council</t>
  </si>
  <si>
    <t>Gloucester City Council</t>
  </si>
  <si>
    <t>Gloucestershire County Council</t>
  </si>
  <si>
    <t>Gosport Borough Council</t>
  </si>
  <si>
    <t>Gravesham Borough Council</t>
  </si>
  <si>
    <t>Great Yarmouth Borough Council</t>
  </si>
  <si>
    <t>Guildford Borough Council</t>
  </si>
  <si>
    <t>Gwynedd County Council</t>
  </si>
  <si>
    <t>Halton Borough Council</t>
  </si>
  <si>
    <t>Hambleton District Council</t>
  </si>
  <si>
    <t>Hampshire County Council</t>
  </si>
  <si>
    <t>Harborough District Council</t>
  </si>
  <si>
    <t>Harlow Council</t>
  </si>
  <si>
    <t>Harrogate Borough Council</t>
  </si>
  <si>
    <t>Hart District Council</t>
  </si>
  <si>
    <t>Hartlepool Borough Council</t>
  </si>
  <si>
    <t>Hastings Borough Council</t>
  </si>
  <si>
    <t>Havant Borough Council</t>
  </si>
  <si>
    <t>Herefordshire Council</t>
  </si>
  <si>
    <t>Hertfordshire County Council</t>
  </si>
  <si>
    <t>Hertsmere Borough Council</t>
  </si>
  <si>
    <t>High Peak Borough Council</t>
  </si>
  <si>
    <t>Hinckley and Bosworth Borough Council</t>
  </si>
  <si>
    <t>Horsham District Council</t>
  </si>
  <si>
    <t>Huntingdonshire District Council</t>
  </si>
  <si>
    <t>Hyndburn Borough Council</t>
  </si>
  <si>
    <t>Ipswich Borough Council</t>
  </si>
  <si>
    <t>Isle of Anglesey County Council</t>
  </si>
  <si>
    <t>Isle of Wight Council</t>
  </si>
  <si>
    <t>Isles of Scilly</t>
  </si>
  <si>
    <t>Kent County Council</t>
  </si>
  <si>
    <t>Kettering Borough Council</t>
  </si>
  <si>
    <t>King's Lynn and West Norfolk Borough Council</t>
  </si>
  <si>
    <t>Kingston-upon-Hull City Council</t>
  </si>
  <si>
    <t>Kirklees Council</t>
  </si>
  <si>
    <t>Knowsley Metropolitan Borough Council</t>
  </si>
  <si>
    <t>Lancashire County Council</t>
  </si>
  <si>
    <t>Lancaster City Council</t>
  </si>
  <si>
    <t>Leeds City Council</t>
  </si>
  <si>
    <t>Leicester City Council</t>
  </si>
  <si>
    <t>Leicestershire County Council</t>
  </si>
  <si>
    <t>Lewes District Council</t>
  </si>
  <si>
    <t>Lichfield District Council</t>
  </si>
  <si>
    <t>Lincolnshire County Council</t>
  </si>
  <si>
    <t>Liverpool City Council</t>
  </si>
  <si>
    <t>London Borough of Barking and Dagenham</t>
  </si>
  <si>
    <t>London Borough of Barnet</t>
  </si>
  <si>
    <t>London Borough of Bexley</t>
  </si>
  <si>
    <t>London Borough of Brent</t>
  </si>
  <si>
    <t>London Borough of Bromley</t>
  </si>
  <si>
    <t>London Borough of Camden</t>
  </si>
  <si>
    <t>London Borough of Croydon</t>
  </si>
  <si>
    <t>London Borough of Ealing</t>
  </si>
  <si>
    <t>London Borough of Enfield</t>
  </si>
  <si>
    <t>London Borough of Hackney</t>
  </si>
  <si>
    <t>London Borough of Hammersmith &amp; Fulham</t>
  </si>
  <si>
    <t>London Borough of Haringey</t>
  </si>
  <si>
    <t>London Borough of Harrow</t>
  </si>
  <si>
    <t>London Borough of Havering</t>
  </si>
  <si>
    <t>London Borough of Hillingdon</t>
  </si>
  <si>
    <t>London Borough of Hounslow</t>
  </si>
  <si>
    <t>London Borough of Islington</t>
  </si>
  <si>
    <t>London Borough of Lambeth</t>
  </si>
  <si>
    <t>London Borough of Lewisham</t>
  </si>
  <si>
    <t>London Borough of Merton</t>
  </si>
  <si>
    <t>London Borough of Newham</t>
  </si>
  <si>
    <t>London Borough of Redbridge</t>
  </si>
  <si>
    <t>London Borough of Richmond upon Thames</t>
  </si>
  <si>
    <t>London Borough of Southwark</t>
  </si>
  <si>
    <t>London Borough of Sutton</t>
  </si>
  <si>
    <t>London Borough of Tower Hamlets</t>
  </si>
  <si>
    <t>London Borough of Waltham Forest</t>
  </si>
  <si>
    <t>London Borough of Wandsworth</t>
  </si>
  <si>
    <t>Luton Borough Council</t>
  </si>
  <si>
    <t>Maidstone Borough Council</t>
  </si>
  <si>
    <t>Maldon District Council</t>
  </si>
  <si>
    <t>Malvern Hills District Council</t>
  </si>
  <si>
    <t>Manchester City Council</t>
  </si>
  <si>
    <t>Mansfield District Council</t>
  </si>
  <si>
    <t>Medway Council</t>
  </si>
  <si>
    <t>Melton Borough Council</t>
  </si>
  <si>
    <t>Mendip District Council</t>
  </si>
  <si>
    <t>Merthyr Tydfil County Borough Council</t>
  </si>
  <si>
    <t>Mid Devon District Council</t>
  </si>
  <si>
    <t>Mid Suffolk District Council</t>
  </si>
  <si>
    <t>Mid Sussex District Council</t>
  </si>
  <si>
    <t>Middlesbrough Borough Council</t>
  </si>
  <si>
    <t>Milton Keynes</t>
  </si>
  <si>
    <t>Mole Valley District Council</t>
  </si>
  <si>
    <t>Monmouthshire County Council</t>
  </si>
  <si>
    <t>Neath Port Talbot County Borough Council</t>
  </si>
  <si>
    <t>New Forest District Council</t>
  </si>
  <si>
    <t>Newark and Sherwood District Council</t>
  </si>
  <si>
    <t>Newcastle-Under-Lyme District Council</t>
  </si>
  <si>
    <t>Newport City Council</t>
  </si>
  <si>
    <t>Newcastle-upon-Tyne City Council</t>
  </si>
  <si>
    <t>Norfolk County Council</t>
  </si>
  <si>
    <t>North Devon Council</t>
  </si>
  <si>
    <t>North Dorset District Council</t>
  </si>
  <si>
    <t>North East Derbyshire District Council</t>
  </si>
  <si>
    <t>North East Lincolnshire Council</t>
  </si>
  <si>
    <t>North Hertfordshire District Council</t>
  </si>
  <si>
    <t>North Kesteven District Council</t>
  </si>
  <si>
    <t>North Lincolnshire Council</t>
  </si>
  <si>
    <t>North Norfolk District Council</t>
  </si>
  <si>
    <t>North Somerset Council</t>
  </si>
  <si>
    <t>North Tyneside Metropolitan Borough Council</t>
  </si>
  <si>
    <t>North Warwickshire Borough Council</t>
  </si>
  <si>
    <t>North West Leicestershire District Council</t>
  </si>
  <si>
    <t>North Yorkshire County Council</t>
  </si>
  <si>
    <t>Northampton Borough Council</t>
  </si>
  <si>
    <t>Northamptonshire County Council</t>
  </si>
  <si>
    <t>Northumberland Council</t>
  </si>
  <si>
    <t>Norwich City Council</t>
  </si>
  <si>
    <t>Nottingham City Council</t>
  </si>
  <si>
    <t>Nottinghamshire County Council</t>
  </si>
  <si>
    <t>Nuneaton and Bedworth Borough Council</t>
  </si>
  <si>
    <t>Oadby and Wigston District Council</t>
  </si>
  <si>
    <t>Oldham Metropolitan Borough Council</t>
  </si>
  <si>
    <t>Oxford City Council</t>
  </si>
  <si>
    <t>Oxfordshire County Council</t>
  </si>
  <si>
    <t>Pembrokeshire County Council</t>
  </si>
  <si>
    <t>Pendle Borough Council</t>
  </si>
  <si>
    <t>Perth and Kinross Council</t>
  </si>
  <si>
    <t>Peterborough City Council</t>
  </si>
  <si>
    <t>Plymouth City Council</t>
  </si>
  <si>
    <t>Portsmouth City Council</t>
  </si>
  <si>
    <t>Powys County Council</t>
  </si>
  <si>
    <t>Preston City Council</t>
  </si>
  <si>
    <t>Purbeck District Council</t>
  </si>
  <si>
    <t>Reading Borough Council</t>
  </si>
  <si>
    <t>Redcar and Cleveland Council</t>
  </si>
  <si>
    <t>Redditch Borough Council</t>
  </si>
  <si>
    <t>Reigate &amp; Banstead Borough Council</t>
  </si>
  <si>
    <t>Rhondda Cynon Taf County Borough Council</t>
  </si>
  <si>
    <t>Ribble Valley Borough Council</t>
  </si>
  <si>
    <t>Richmondshire District Council</t>
  </si>
  <si>
    <t>Rochdale Metropolitan Borough Council</t>
  </si>
  <si>
    <t>Rochford District Council</t>
  </si>
  <si>
    <t>Rossendale Borough Council</t>
  </si>
  <si>
    <t>Rother District Council</t>
  </si>
  <si>
    <t>Rotherham Metropolitan Borough Council</t>
  </si>
  <si>
    <t>Royal Borough of Greenwich</t>
  </si>
  <si>
    <t>Royal Borough of Kensington and Chelsea</t>
  </si>
  <si>
    <t>Royal Borough of Kingston upon Thames</t>
  </si>
  <si>
    <t>Royal Borough of Windsor and Maidenhead</t>
  </si>
  <si>
    <t>Rugby Borough Council</t>
  </si>
  <si>
    <t>Runnymede Borough Council</t>
  </si>
  <si>
    <t>Rushcliffe Borough Council</t>
  </si>
  <si>
    <t>Rushmoor Borough Council</t>
  </si>
  <si>
    <t>Rutland County Council</t>
  </si>
  <si>
    <t>Ryedale District Council</t>
  </si>
  <si>
    <t>Salford City Council</t>
  </si>
  <si>
    <t>Sandwell Metropolitan Borough Council</t>
  </si>
  <si>
    <t>Scarborough Borough Council</t>
  </si>
  <si>
    <t>Sedgemoor District Council</t>
  </si>
  <si>
    <t>Sefton Metropolitan Borough Council</t>
  </si>
  <si>
    <t>Selby District Council</t>
  </si>
  <si>
    <t>Sevenoaks District Council</t>
  </si>
  <si>
    <t>Sheffield City Council</t>
  </si>
  <si>
    <t>Shepway District Council</t>
  </si>
  <si>
    <t>Shropshire Council - Unitary</t>
  </si>
  <si>
    <t>Slough Borough Council</t>
  </si>
  <si>
    <t>Solihull Metropolitan Borough Council</t>
  </si>
  <si>
    <t>Somerset County Council</t>
  </si>
  <si>
    <t>South Buckinghamshire District Council</t>
  </si>
  <si>
    <t>South Cambridgeshire District Council</t>
  </si>
  <si>
    <t>South Derbyshire District Council</t>
  </si>
  <si>
    <t>South Gloucestershire Council</t>
  </si>
  <si>
    <t>South Hams District Council</t>
  </si>
  <si>
    <t>South Holland District Council</t>
  </si>
  <si>
    <t>South Kesteven District Council</t>
  </si>
  <si>
    <t>South Lakeland District Council</t>
  </si>
  <si>
    <t>South Norfolk District Council</t>
  </si>
  <si>
    <t>South Northamptonshire Council</t>
  </si>
  <si>
    <t>South Oxfordshire District Council</t>
  </si>
  <si>
    <t>South Ribble Borough Council</t>
  </si>
  <si>
    <t>South Somerset District Council</t>
  </si>
  <si>
    <t>South Staffordshire Council</t>
  </si>
  <si>
    <t>South Tyneside Council</t>
  </si>
  <si>
    <t>Southampton City Council</t>
  </si>
  <si>
    <t>Southend-on-Sea Borough Council</t>
  </si>
  <si>
    <t>Spelthorne Borough Council</t>
  </si>
  <si>
    <t>St Albans City and District Council</t>
  </si>
  <si>
    <t>St Edmundsbury Borough Council</t>
  </si>
  <si>
    <t>St Helens Metropolitan Borough Council</t>
  </si>
  <si>
    <t>Stafford Borough Council</t>
  </si>
  <si>
    <t>Staffordshire County Council</t>
  </si>
  <si>
    <t>Staffordshire Moorlands District Council</t>
  </si>
  <si>
    <t>Stevenage Borough Council</t>
  </si>
  <si>
    <t>Stockport Metropolitan Borough Council</t>
  </si>
  <si>
    <t>Stockton-on-Tees Borough Council</t>
  </si>
  <si>
    <t>Stoke-on-Trent City Council</t>
  </si>
  <si>
    <t>Strabane District Council</t>
  </si>
  <si>
    <t>Stratford-on-Avon District Council</t>
  </si>
  <si>
    <t>Stroud District Council</t>
  </si>
  <si>
    <t>Suffolk Coastal District Council</t>
  </si>
  <si>
    <t>Suffolk County Council</t>
  </si>
  <si>
    <t>Sunderland City Council</t>
  </si>
  <si>
    <t>Surrey County Council</t>
  </si>
  <si>
    <t>Surrey Heath Borough Council</t>
  </si>
  <si>
    <t>Swale Borough Council</t>
  </si>
  <si>
    <t>Swansea City and Borough Council</t>
  </si>
  <si>
    <t>Swindon Borough Council</t>
  </si>
  <si>
    <t>Tameside Metropolitan Borough Council</t>
  </si>
  <si>
    <t>Tamworth Borough Council</t>
  </si>
  <si>
    <t>Tandridge District Council</t>
  </si>
  <si>
    <t>Taunton Deane Borough Council</t>
  </si>
  <si>
    <t>Teignbridge District Council</t>
  </si>
  <si>
    <t>Telford &amp; Wrekin Council</t>
  </si>
  <si>
    <t>Tendring District Council</t>
  </si>
  <si>
    <t>Test Valley Borough Council</t>
  </si>
  <si>
    <t>Tewkesbury Borough Council</t>
  </si>
  <si>
    <t>Thanet District Council</t>
  </si>
  <si>
    <t>Three Rivers District Council</t>
  </si>
  <si>
    <t>Thurrock Council</t>
  </si>
  <si>
    <t>Tonbridge and Malling Borough Council</t>
  </si>
  <si>
    <t>Torbay Council</t>
  </si>
  <si>
    <t>Torfaen County Borough Council</t>
  </si>
  <si>
    <t>Torridge District Council</t>
  </si>
  <si>
    <t>Trafford Metropolitan Borough Council</t>
  </si>
  <si>
    <t>Tunbridge Wells Borough Council</t>
  </si>
  <si>
    <t>Uttlesford District Council</t>
  </si>
  <si>
    <t>Vale of Glamorgan Council</t>
  </si>
  <si>
    <t>Vale of White Horse District Council</t>
  </si>
  <si>
    <t>Wakefield Metropolitan District Council</t>
  </si>
  <si>
    <t>Walsall Metropolitan Borough Council</t>
  </si>
  <si>
    <t>Warrington Borough Council</t>
  </si>
  <si>
    <t>Warwick District Council</t>
  </si>
  <si>
    <t>Warwickshire County Council</t>
  </si>
  <si>
    <t>Watford Borough Council</t>
  </si>
  <si>
    <t>Waveney District Council</t>
  </si>
  <si>
    <t>Waverley Borough Council</t>
  </si>
  <si>
    <t>Wealden District Council</t>
  </si>
  <si>
    <t>Wellingborough Borough Council</t>
  </si>
  <si>
    <t>Welwyn Hatfield Council</t>
  </si>
  <si>
    <t>West Berkshire Council</t>
  </si>
  <si>
    <t>West Devon Borough Council</t>
  </si>
  <si>
    <t>West Dorset District Council</t>
  </si>
  <si>
    <t>West Lancashire Borough Council</t>
  </si>
  <si>
    <t>West Lindsey District Council</t>
  </si>
  <si>
    <t>West Oxfordshire District Council</t>
  </si>
  <si>
    <t>West Somerset District Council</t>
  </si>
  <si>
    <t>West Sussex County Council</t>
  </si>
  <si>
    <t>Westminster City Council</t>
  </si>
  <si>
    <t>Weymouth and Portland Borough Council</t>
  </si>
  <si>
    <t>Wigan Metropolitan Borough Council</t>
  </si>
  <si>
    <t>Wiltshire Council</t>
  </si>
  <si>
    <t>Winchester City Council</t>
  </si>
  <si>
    <t>Wirral Council</t>
  </si>
  <si>
    <t>Woking Borough Council</t>
  </si>
  <si>
    <t>Wokingham Borough Council</t>
  </si>
  <si>
    <t>Wolverhampton City Council</t>
  </si>
  <si>
    <t>Worcester City Council</t>
  </si>
  <si>
    <t>Worcestershire County Council</t>
  </si>
  <si>
    <t>Wrexham County Borough Council</t>
  </si>
  <si>
    <t>Wychavon District Council</t>
  </si>
  <si>
    <t>Wycombe District Council</t>
  </si>
  <si>
    <t>Wyre Council</t>
  </si>
  <si>
    <t>Wyre Forest District Council</t>
  </si>
  <si>
    <t>Cumulative availability of units</t>
  </si>
  <si>
    <t>Area Check (excluding individual trees and green walls)</t>
  </si>
  <si>
    <t>Applied  difficulty multiplier</t>
  </si>
  <si>
    <t>Higher Distinctiveness surplus units minus any high distinctivness deficit</t>
  </si>
  <si>
    <t>Rocky_shore</t>
  </si>
  <si>
    <t>Coastal_saltmarsh</t>
  </si>
  <si>
    <t>Irreplaceable habitat</t>
  </si>
  <si>
    <t>Irreplaceable</t>
  </si>
  <si>
    <t>Habitat reference</t>
  </si>
  <si>
    <t>Bespoke compensation agreed?</t>
  </si>
  <si>
    <t>Total area at baseline</t>
  </si>
  <si>
    <t>Length (km) at baseline</t>
  </si>
  <si>
    <t>Length retained (km)</t>
  </si>
  <si>
    <t>Length enhanced (km)</t>
  </si>
  <si>
    <t>Bespoke compensation agreed for losses?</t>
  </si>
  <si>
    <t>Irreplaceable area habitats on-site</t>
  </si>
  <si>
    <t>Irreplaceable area habitats off-site</t>
  </si>
  <si>
    <t>Irreplaceable Watercourses on-site</t>
  </si>
  <si>
    <t>Irreplaceable Watercourses off-site</t>
  </si>
  <si>
    <t>Onsite</t>
  </si>
  <si>
    <t>Off-site</t>
  </si>
  <si>
    <t>Column no</t>
  </si>
  <si>
    <t>Offsite</t>
  </si>
  <si>
    <t>Metric Habitat type</t>
  </si>
  <si>
    <t>Metric habitat type</t>
  </si>
  <si>
    <t>Total irreplaceable watercourse length:</t>
  </si>
  <si>
    <t>Irreplaceable habitat name</t>
  </si>
  <si>
    <t xml:space="preserve">User comments </t>
  </si>
  <si>
    <t>Very large</t>
  </si>
  <si>
    <t>Woodland_and_forest_2</t>
  </si>
  <si>
    <t>Replacement for felled woodland</t>
  </si>
  <si>
    <t>Woodland and forest - Felled./Replacement for felled woodland</t>
  </si>
  <si>
    <t xml:space="preserve">👁 For further information please refer to the irreplaceable habitats section of the metric user guide. This sheet is autopopulated from the A1 on-site habitat baseline tab, with the exception of irreplaceable habitat name.
</t>
  </si>
  <si>
    <t xml:space="preserve">👁 For further information please refer to the irreplaceable habitats section of the metric user guide. This sheet is autopopulated from the D1 off-site habitat baseline tab, with the exception of irreplaceable habitat name.
</t>
  </si>
  <si>
    <t xml:space="preserve">👁 For further information please refer to the irreplaceable habitats section of the metric user guide. This sheet is autopopulated from the C1 on-site waterC' baseline tab, with the exception of irreplaceable habitat name.
</t>
  </si>
  <si>
    <t xml:space="preserve">👁 For further information please refer to the irreplaceable habitats section of the metric user guide. This sheet is autopopulated from the F1 off-site waterC' baseline tab, with the exception of irreplaceable habitat name.
</t>
  </si>
  <si>
    <t xml:space="preserve">Consenting body comments </t>
  </si>
  <si>
    <t>Change in broad habitat type</t>
  </si>
  <si>
    <t>Bespoke compensation agreed for unacceptable losses of very high distinctiveness/irreplaceable habitat</t>
  </si>
  <si>
    <t>Remaining losses; Like for like not satisfied</t>
  </si>
  <si>
    <t>Baseline WC encroachment multiplier</t>
  </si>
  <si>
    <t>Baseline R encroachment multiplier</t>
  </si>
  <si>
    <t>Site Area (Excluding area of Individual trees, Green walls and IGGI)</t>
  </si>
  <si>
    <t>Total area lost (excluding area of Individual trees and Green wall and IGGI)</t>
  </si>
  <si>
    <t xml:space="preserve">High Distinctivness losses to be offset by trading up </t>
  </si>
  <si>
    <t>Proposed Habitat (Broad habitat pre-populated but can be overridden)</t>
  </si>
  <si>
    <t xml:space="preserve">Proposed habitat
</t>
  </si>
  <si>
    <t>Enhancement</t>
  </si>
  <si>
    <t>Woodland_and_forest_3</t>
  </si>
  <si>
    <t>Irreplaceable habitat present at baseline:</t>
  </si>
  <si>
    <t>Habitat reference number</t>
  </si>
  <si>
    <t>Irreplaceable habitat area at baseline (hectares):</t>
  </si>
  <si>
    <t>Irreplaceable habitat area off-site (hectares):</t>
  </si>
  <si>
    <t>Total site area - including irreplaceable habitat area (hectares):</t>
  </si>
  <si>
    <t>Total off-site area - including irreplaceable habitat area (hectares):</t>
  </si>
  <si>
    <t>Bespoke compensation agreed WC?</t>
  </si>
  <si>
    <t>Bespoke compensation agreed area?</t>
  </si>
  <si>
    <t>Required Units</t>
  </si>
  <si>
    <t xml:space="preserve">Unit Deficit </t>
  </si>
  <si>
    <t>Tier</t>
  </si>
  <si>
    <t>Unit Shortfall by Tier</t>
  </si>
  <si>
    <t>Unit Shortfall by Tier (SRM Included)</t>
  </si>
  <si>
    <t>A3</t>
  </si>
  <si>
    <t>A4</t>
  </si>
  <si>
    <t>A5</t>
  </si>
  <si>
    <t>H</t>
  </si>
  <si>
    <t>W</t>
  </si>
  <si>
    <t xml:space="preserve">Habitat </t>
  </si>
  <si>
    <t>Unit Change</t>
  </si>
  <si>
    <t>Losses in Tier</t>
  </si>
  <si>
    <t>HIGH</t>
  </si>
  <si>
    <t>Rule 1</t>
  </si>
  <si>
    <t>Higher surplus is used to offset loss of medium distinctiveness of the same broad habitat category.</t>
  </si>
  <si>
    <t>Rule 2</t>
  </si>
  <si>
    <t>Remaining higher surplus is used to offset the loss of the most expensive medium credit tier of A4</t>
  </si>
  <si>
    <t>Rule 3</t>
  </si>
  <si>
    <t>Remaining higher surplus is used to offset the loss of the second most expensive medium credit tier of A2</t>
  </si>
  <si>
    <t>Rule 4</t>
  </si>
  <si>
    <t>Remaining higher surplus is used to offset the loss of the third most expensive medium credit tier A1</t>
  </si>
  <si>
    <t>Rule 5</t>
  </si>
  <si>
    <t>Remaining higher surplus is used to offset losses from low distinctiveness habitats</t>
  </si>
  <si>
    <t>Net Change Units</t>
  </si>
  <si>
    <t>Very High + High Distinctiveness Surplus Availability</t>
  </si>
  <si>
    <t>Medium Distinctiveness Losses</t>
  </si>
  <si>
    <t>Final Losses in Tier</t>
  </si>
  <si>
    <t xml:space="preserve">Unit Gain Available in Broad Habitat Group </t>
  </si>
  <si>
    <t>Losses Requiring Offset</t>
  </si>
  <si>
    <t>Remaining Available After Rule 1</t>
  </si>
  <si>
    <t>Remaining Available After Rule 2</t>
  </si>
  <si>
    <t>Remaining Available After Rule 3</t>
  </si>
  <si>
    <t>Remaining Available After Rule 4</t>
  </si>
  <si>
    <t>MEDIUM</t>
  </si>
  <si>
    <t xml:space="preserve">Total Remaing Units Available </t>
  </si>
  <si>
    <t>Total  Unit Loss for Low Distinctiveness Habitats</t>
  </si>
  <si>
    <t>Total Unit Loss for Low Distinctiveness Habitats Following offset from Higher Distinctiveness habitats</t>
  </si>
  <si>
    <t>Remaining After Rule 5</t>
  </si>
  <si>
    <t>Final Losses</t>
  </si>
  <si>
    <t>LOW</t>
  </si>
  <si>
    <t>Trading rules applied</t>
  </si>
  <si>
    <t xml:space="preserve">Unit Shortfall </t>
  </si>
  <si>
    <t xml:space="preserve">Unit Shortfall by Tier/Module </t>
  </si>
  <si>
    <t xml:space="preserve">*The spatial risk multiplier has been applied to all unit shortfall values. </t>
  </si>
  <si>
    <t>Very Low Distinctiveness</t>
  </si>
  <si>
    <t>Very Low Distinctiveness Summary</t>
  </si>
  <si>
    <t xml:space="preserve"> Very Low Distinctiveness net change in units</t>
  </si>
  <si>
    <t>VHD Losses Not Offset</t>
  </si>
  <si>
    <t>HD Losses Not Offset</t>
  </si>
  <si>
    <t>Losses</t>
  </si>
  <si>
    <t>MD Losses Not Offset</t>
  </si>
  <si>
    <t>LD Losses Not Offset</t>
  </si>
  <si>
    <t>VLD Losses Not Offset</t>
  </si>
  <si>
    <t>Baseline Units Enhanced</t>
  </si>
  <si>
    <t>Baseline Units Enhanced not including lengthening</t>
  </si>
  <si>
    <t>Baseline Units Retained</t>
  </si>
  <si>
    <t>Baseline length retained</t>
  </si>
  <si>
    <t>Error - Enhancement not possible ▲</t>
  </si>
  <si>
    <t>Error Trading Down ▲</t>
  </si>
  <si>
    <t>Not Possible ▲</t>
  </si>
  <si>
    <t>Irreplaceable habitat area including individual trees, green walls and IGGI:</t>
  </si>
  <si>
    <t>Total irreplaceable habitat area excluding individual trees, green walls and IGGI:</t>
  </si>
  <si>
    <t>Irreplaceable habitat area including individual trees, green walls, and IGGI:</t>
  </si>
  <si>
    <t>Total irreplaceable habitat area excluding individual trees, Green walls and IGGI:</t>
  </si>
  <si>
    <t>Distinctiveness Band Sub-totals</t>
  </si>
  <si>
    <t>Not possible ▲</t>
  </si>
  <si>
    <t>Error ▲</t>
  </si>
  <si>
    <t>f2c8</t>
  </si>
  <si>
    <t>c1a5</t>
  </si>
  <si>
    <t>All habitats</t>
  </si>
  <si>
    <t>Built environment</t>
  </si>
  <si>
    <t>r</t>
  </si>
  <si>
    <t>Woodlands and Trees</t>
  </si>
  <si>
    <t>Rivers and lakes</t>
  </si>
  <si>
    <t>r1</t>
  </si>
  <si>
    <t>Grasslands and heathlands</t>
  </si>
  <si>
    <t>NE0020</t>
  </si>
  <si>
    <t>NE0021</t>
  </si>
  <si>
    <t>Woodland and Trees</t>
  </si>
  <si>
    <t>Yes/No</t>
  </si>
  <si>
    <t>Example</t>
  </si>
  <si>
    <t>Joe Bloggs</t>
  </si>
  <si>
    <t>Digital</t>
  </si>
  <si>
    <t>S.o.S</t>
  </si>
  <si>
    <t>Gain Site 2 for Digital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</si>
</sst>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00"/>
    <numFmt numFmtId="166" formatCode="0.0000"/>
    <numFmt numFmtId="167" formatCode="[$-F800]dddd\,\ mmmm\ dd\,\ yyyy"/>
  </numFmts>
  <fonts count="52" x14ac:knownFonts="1">
    <font>
      <sz val="11"/>
      <color theme="1"/>
      <name val="Calibri"/>
      <family val="2"/>
      <scheme val="minor"/>
    </font>
    <font>
      <b/>
      <sz val="16"/>
      <color theme="1"/>
      <name val="Calibri"/>
      <family val="2"/>
      <scheme val="minor"/>
    </font>
    <font>
      <sz val="11"/>
      <color theme="1"/>
      <name val="Calibri"/>
      <family val="2"/>
      <scheme val="minor"/>
    </font>
    <font>
      <sz val="10"/>
      <name val="Arial"/>
      <family val="2"/>
    </font>
    <font>
      <sz val="12"/>
      <color theme="1"/>
      <name val="Arial"/>
      <family val="2"/>
    </font>
    <font>
      <b/>
      <sz val="24"/>
      <color theme="1"/>
      <name val="Calibri"/>
      <family val="2"/>
      <scheme val="minor"/>
    </font>
    <font>
      <sz val="12"/>
      <color rgb="FFFF0000"/>
      <name val="Calibri"/>
      <family val="2"/>
      <scheme val="minor"/>
    </font>
    <font>
      <u/>
      <sz val="11"/>
      <color theme="10"/>
      <name val="Calibri"/>
      <family val="2"/>
      <scheme val="minor"/>
    </font>
    <font>
      <sz val="10"/>
      <color rgb="FF000000"/>
      <name val="Arial"/>
      <family val="2"/>
    </font>
    <font>
      <sz val="8"/>
      <name val="Calibri"/>
      <family val="2"/>
      <scheme val="minor"/>
    </font>
    <font>
      <sz val="11"/>
      <name val="Rockwell Light"/>
      <family val="1"/>
    </font>
    <font>
      <b/>
      <sz val="24"/>
      <name val="Rockwell Light"/>
      <family val="1"/>
    </font>
    <font>
      <u/>
      <sz val="11"/>
      <name val="Rockwell Light"/>
      <family val="1"/>
    </font>
    <font>
      <sz val="12"/>
      <name val="Rockwell Light"/>
      <family val="1"/>
    </font>
    <font>
      <b/>
      <sz val="14"/>
      <color theme="4"/>
      <name val="Rockwell Light"/>
      <family val="1"/>
    </font>
    <font>
      <b/>
      <sz val="12"/>
      <color theme="4"/>
      <name val="Rockwell Light"/>
      <family val="1"/>
    </font>
    <font>
      <b/>
      <sz val="12"/>
      <name val="Rockwell Light"/>
      <family val="1"/>
    </font>
    <font>
      <b/>
      <sz val="16"/>
      <color theme="4"/>
      <name val="Rockwell Light"/>
      <family val="1"/>
    </font>
    <font>
      <b/>
      <sz val="16"/>
      <name val="Rockwell Light"/>
      <family val="1"/>
    </font>
    <font>
      <sz val="12"/>
      <color theme="1"/>
      <name val="Rockwell Light"/>
      <family val="1"/>
    </font>
    <font>
      <sz val="12"/>
      <color theme="4"/>
      <name val="Rockwell Light"/>
      <family val="1"/>
    </font>
    <font>
      <b/>
      <sz val="11"/>
      <color theme="4"/>
      <name val="Calibri"/>
      <family val="2"/>
      <scheme val="minor"/>
    </font>
    <font>
      <sz val="11"/>
      <color theme="4"/>
      <name val="Calibri"/>
      <family val="2"/>
      <scheme val="minor"/>
    </font>
    <font>
      <sz val="11"/>
      <color theme="1"/>
      <name val="Rockwell Light"/>
      <family val="1"/>
    </font>
    <font>
      <b/>
      <sz val="18"/>
      <color theme="4"/>
      <name val="Rockwell Light"/>
      <family val="1"/>
    </font>
    <font>
      <sz val="11"/>
      <color theme="4"/>
      <name val="Rockwell Light"/>
      <family val="1"/>
    </font>
    <font>
      <b/>
      <sz val="24"/>
      <color theme="4"/>
      <name val="Rockwell Light"/>
      <family val="1"/>
    </font>
    <font>
      <b/>
      <sz val="20"/>
      <color theme="4"/>
      <name val="Rockwell Light"/>
      <family val="1"/>
    </font>
    <font>
      <b/>
      <sz val="22"/>
      <color theme="4"/>
      <name val="Rockwell Light"/>
      <family val="1"/>
    </font>
    <font>
      <b/>
      <sz val="11"/>
      <color theme="4"/>
      <name val="Rockwell Light"/>
      <family val="1"/>
    </font>
    <font>
      <sz val="10"/>
      <color theme="4"/>
      <name val="Arial"/>
      <family val="2"/>
    </font>
    <font>
      <sz val="18"/>
      <color theme="4"/>
      <name val="Rockwell Light"/>
      <family val="1"/>
    </font>
    <font>
      <b/>
      <sz val="28"/>
      <color theme="4"/>
      <name val="Rockwell Light"/>
      <family val="1"/>
    </font>
    <font>
      <sz val="10"/>
      <color theme="4"/>
      <name val="Rockwell Light"/>
      <family val="1"/>
    </font>
    <font>
      <b/>
      <sz val="10"/>
      <color theme="4"/>
      <name val="Arial"/>
      <family val="2"/>
    </font>
    <font>
      <b/>
      <sz val="10"/>
      <color theme="4"/>
      <name val="Rockwell Light"/>
      <family val="1"/>
    </font>
    <font>
      <u/>
      <sz val="11"/>
      <color theme="4"/>
      <name val="Rockwell Light"/>
      <family val="1"/>
    </font>
    <font>
      <b/>
      <sz val="14"/>
      <name val="Rockwell Light"/>
      <family val="1"/>
    </font>
    <font>
      <sz val="22"/>
      <color theme="4"/>
      <name val="Rockwell Light"/>
      <family val="1"/>
    </font>
    <font>
      <b/>
      <sz val="11"/>
      <name val="Calibri"/>
      <family val="2"/>
      <scheme val="minor"/>
    </font>
    <font>
      <b/>
      <sz val="11"/>
      <name val="Rockwell Light"/>
      <family val="1"/>
    </font>
    <font>
      <b/>
      <sz val="13"/>
      <color theme="4"/>
      <name val="Rockwell Light"/>
      <family val="1"/>
    </font>
    <font>
      <sz val="12"/>
      <color theme="0"/>
      <name val="Rockwell Light"/>
      <family val="1"/>
    </font>
    <font>
      <sz val="11"/>
      <name val="Calibri"/>
      <family val="2"/>
      <scheme val="minor"/>
    </font>
    <font>
      <sz val="14"/>
      <color theme="0"/>
      <name val="Calibri"/>
      <family val="2"/>
      <scheme val="minor"/>
    </font>
    <font>
      <b/>
      <sz val="24"/>
      <color rgb="FFABC3C9"/>
      <name val="Rockwell Light"/>
      <family val="1"/>
    </font>
    <font>
      <b/>
      <sz val="11"/>
      <color theme="0"/>
      <name val="Rockwell Light"/>
      <family val="1"/>
    </font>
    <font>
      <sz val="11"/>
      <color rgb="FFABC3C9"/>
      <name val="Calibri"/>
      <family val="2"/>
      <scheme val="minor"/>
    </font>
    <font>
      <sz val="11"/>
      <color rgb="FFABC3C9"/>
      <name val="Rockwell Light"/>
      <family val="1"/>
    </font>
    <font>
      <b/>
      <sz val="20"/>
      <color theme="0"/>
      <name val="Rockwell Light"/>
      <family val="1"/>
    </font>
    <font>
      <sz val="11"/>
      <color theme="0"/>
      <name val="Rockwell Light"/>
      <family val="1"/>
    </font>
    <font>
      <b/>
      <sz val="11"/>
      <color rgb="FFABC3C9"/>
      <name val="Rockwell Light"/>
      <family val="1"/>
    </font>
  </fonts>
  <fills count="24">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rgb="FFABC3C9"/>
        <bgColor indexed="64"/>
      </patternFill>
    </fill>
    <fill>
      <patternFill patternType="solid">
        <fgColor rgb="FFE0DCD3"/>
        <bgColor indexed="64"/>
      </patternFill>
    </fill>
    <fill>
      <patternFill patternType="solid">
        <fgColor theme="1"/>
        <bgColor indexed="64"/>
      </patternFill>
    </fill>
    <fill>
      <patternFill patternType="solid">
        <fgColor theme="3"/>
        <bgColor indexed="64"/>
      </patternFill>
    </fill>
    <fill>
      <patternFill patternType="solid">
        <fgColor theme="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006600"/>
        <bgColor indexed="64"/>
      </patternFill>
    </fill>
    <fill>
      <patternFill patternType="solid">
        <fgColor rgb="FF663300"/>
        <bgColor indexed="64"/>
      </patternFill>
    </fill>
    <fill>
      <patternFill patternType="solid">
        <fgColor rgb="FF0033CC"/>
        <bgColor indexed="64"/>
      </patternFill>
    </fill>
    <fill>
      <patternFill patternType="solid">
        <fgColor rgb="FFD5D3DC"/>
        <bgColor indexed="64"/>
      </patternFill>
    </fill>
    <fill>
      <patternFill patternType="solid">
        <fgColor rgb="FFFFFF99"/>
        <bgColor indexed="64"/>
      </patternFill>
    </fill>
    <fill>
      <patternFill patternType="solid">
        <fgColor rgb="FFF4D4D4"/>
        <bgColor indexed="64"/>
      </patternFill>
    </fill>
    <fill>
      <patternFill patternType="solid">
        <fgColor rgb="FFFFC000"/>
        <bgColor indexed="64"/>
      </patternFill>
    </fill>
    <fill>
      <patternFill patternType="solid">
        <fgColor rgb="FFCB0000"/>
        <bgColor indexed="64"/>
      </patternFill>
    </fill>
    <fill>
      <patternFill patternType="solid">
        <fgColor theme="7" tint="-0.249977111117893"/>
        <bgColor indexed="64"/>
      </patternFill>
    </fill>
    <fill>
      <patternFill patternType="solid">
        <fgColor rgb="FFDD7979"/>
        <bgColor indexed="64"/>
      </patternFill>
    </fill>
    <fill>
      <patternFill patternType="solid">
        <fgColor theme="8" tint="0.39997558519241921"/>
        <bgColor indexed="64"/>
      </patternFill>
    </fill>
    <fill>
      <patternFill patternType="solid">
        <fgColor rgb="FF000000"/>
        <bgColor indexed="64"/>
      </patternFill>
    </fill>
  </fills>
  <borders count="80">
    <border>
      <left/>
      <right/>
      <top/>
      <bottom/>
      <diagonal/>
    </border>
    <border>
      <left style="thin">
        <color indexed="64"/>
      </left>
      <right/>
      <top style="thin">
        <color indexed="64"/>
      </top>
      <bottom/>
      <diagonal/>
    </border>
    <border>
      <left/>
      <right style="thin">
        <color indexed="64"/>
      </right>
      <top/>
      <bottom style="thin">
        <color indexed="64"/>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rgb="FFD0D7E5"/>
      </left>
      <right style="thin">
        <color rgb="FFD0D7E5"/>
      </right>
      <top/>
      <bottom style="thin">
        <color rgb="FFD0D7E5"/>
      </bottom>
      <diagonal/>
    </border>
    <border>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diagonal/>
    </border>
    <border>
      <left/>
      <right style="thin">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s>
  <cellStyleXfs count="33">
    <xf numFmtId="0" fontId="0"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2" fillId="0" borderId="0"/>
    <xf numFmtId="0" fontId="3" fillId="0" borderId="0"/>
    <xf numFmtId="0" fontId="3" fillId="0" borderId="0"/>
    <xf numFmtId="0" fontId="4"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9" fontId="2" fillId="0" borderId="0" applyFont="0" applyFill="0" applyBorder="0" applyAlignment="0" applyProtection="0"/>
  </cellStyleXfs>
  <cellXfs count="1348">
    <xf numFmtId="0" fontId="0" fillId="0" borderId="0" xfId="0"/>
    <xf numFmtId="0" fontId="0" fillId="5" borderId="0" xfId="0" applyFill="1"/>
    <xf numFmtId="0" fontId="1" fillId="7" borderId="0" xfId="0" applyFont="1" applyFill="1"/>
    <xf numFmtId="0" fontId="0" fillId="7" borderId="0" xfId="0" applyFill="1"/>
    <xf numFmtId="0" fontId="8" fillId="7" borderId="0" xfId="0" applyFont="1" applyFill="1" applyAlignment="1">
      <alignment horizontal="left" vertical="center" indent="8"/>
    </xf>
    <xf numFmtId="0" fontId="10" fillId="5" borderId="0" xfId="0" applyFont="1" applyFill="1"/>
    <xf numFmtId="0" fontId="10" fillId="5" borderId="0" xfId="0" applyFont="1" applyFill="1" applyAlignment="1">
      <alignment horizontal="center" vertical="center"/>
    </xf>
    <xf numFmtId="0" fontId="11" fillId="5" borderId="0" xfId="0" applyFont="1" applyFill="1"/>
    <xf numFmtId="0" fontId="13" fillId="5" borderId="0" xfId="0" applyFont="1" applyFill="1" applyAlignment="1">
      <alignment vertical="top" wrapText="1"/>
    </xf>
    <xf numFmtId="0" fontId="18" fillId="5" borderId="0" xfId="0" applyFont="1" applyFill="1"/>
    <xf numFmtId="0" fontId="0" fillId="7" borderId="0" xfId="0" applyFill="1" applyAlignment="1">
      <alignment horizontal="center" vertical="center"/>
    </xf>
    <xf numFmtId="0" fontId="5" fillId="7" borderId="0" xfId="0" applyFont="1" applyFill="1"/>
    <xf numFmtId="0" fontId="5" fillId="7" borderId="0" xfId="0" applyFont="1" applyFill="1" applyAlignment="1">
      <alignment horizontal="center"/>
    </xf>
    <xf numFmtId="0" fontId="6" fillId="7" borderId="0" xfId="0" applyFont="1" applyFill="1" applyAlignment="1">
      <alignment horizontal="left" vertical="top" wrapText="1"/>
    </xf>
    <xf numFmtId="0" fontId="0" fillId="7" borderId="0" xfId="0" applyFill="1" applyAlignment="1">
      <alignment horizontal="justify"/>
    </xf>
    <xf numFmtId="0" fontId="25" fillId="7" borderId="0" xfId="0" applyFont="1" applyFill="1"/>
    <xf numFmtId="0" fontId="15" fillId="7" borderId="0" xfId="0" applyFont="1" applyFill="1"/>
    <xf numFmtId="0" fontId="25" fillId="7" borderId="0" xfId="0" applyFont="1" applyFill="1" applyAlignment="1">
      <alignment horizontal="center" vertical="center" wrapText="1"/>
    </xf>
    <xf numFmtId="0" fontId="25" fillId="7" borderId="0" xfId="0" applyFont="1" applyFill="1" applyAlignment="1">
      <alignment wrapText="1"/>
    </xf>
    <xf numFmtId="0" fontId="25" fillId="7" borderId="27" xfId="0" applyFont="1" applyFill="1" applyBorder="1"/>
    <xf numFmtId="0" fontId="25" fillId="5" borderId="0" xfId="0" applyFont="1" applyFill="1"/>
    <xf numFmtId="0" fontId="25" fillId="5" borderId="0" xfId="0" applyFont="1" applyFill="1" applyAlignment="1">
      <alignment horizontal="center" vertical="center"/>
    </xf>
    <xf numFmtId="0" fontId="25" fillId="5" borderId="0" xfId="0" applyFont="1" applyFill="1" applyAlignment="1">
      <alignment wrapText="1"/>
    </xf>
    <xf numFmtId="0" fontId="25" fillId="5" borderId="0" xfId="0" applyFont="1" applyFill="1" applyAlignment="1">
      <alignment horizontal="center" vertical="center" wrapText="1"/>
    </xf>
    <xf numFmtId="0" fontId="29" fillId="5" borderId="0" xfId="0" applyFont="1" applyFill="1" applyAlignment="1">
      <alignment vertical="center" wrapText="1"/>
    </xf>
    <xf numFmtId="0" fontId="25" fillId="5" borderId="5" xfId="0" applyFont="1" applyFill="1" applyBorder="1"/>
    <xf numFmtId="0" fontId="29" fillId="5" borderId="0" xfId="0" applyFont="1" applyFill="1"/>
    <xf numFmtId="0" fontId="29" fillId="6" borderId="54" xfId="0" applyFont="1" applyFill="1" applyBorder="1" applyAlignment="1">
      <alignment horizontal="center" vertical="center" wrapText="1"/>
    </xf>
    <xf numFmtId="0" fontId="29" fillId="6" borderId="11" xfId="0" applyFont="1" applyFill="1" applyBorder="1" applyAlignment="1">
      <alignment horizontal="center" vertical="center" wrapText="1"/>
    </xf>
    <xf numFmtId="0" fontId="29" fillId="6" borderId="9" xfId="0" applyFont="1" applyFill="1" applyBorder="1" applyAlignment="1">
      <alignment horizontal="center" vertical="center" wrapText="1"/>
    </xf>
    <xf numFmtId="0" fontId="29" fillId="6" borderId="13" xfId="0" applyFont="1" applyFill="1" applyBorder="1" applyAlignment="1">
      <alignment horizontal="center" vertical="center" wrapText="1"/>
    </xf>
    <xf numFmtId="0" fontId="29" fillId="6" borderId="58" xfId="0" applyFont="1" applyFill="1" applyBorder="1" applyAlignment="1">
      <alignment horizontal="center" vertical="center" wrapText="1"/>
    </xf>
    <xf numFmtId="0" fontId="29" fillId="6" borderId="18" xfId="0" applyFont="1" applyFill="1" applyBorder="1" applyAlignment="1">
      <alignment horizontal="center" vertical="center" wrapText="1"/>
    </xf>
    <xf numFmtId="0" fontId="29" fillId="6" borderId="22" xfId="0" applyFont="1" applyFill="1" applyBorder="1" applyAlignment="1">
      <alignment horizontal="center" vertical="center" wrapText="1"/>
    </xf>
    <xf numFmtId="0" fontId="29" fillId="6" borderId="41" xfId="0" applyFont="1" applyFill="1" applyBorder="1" applyAlignment="1">
      <alignment horizontal="center" vertical="center" wrapText="1"/>
    </xf>
    <xf numFmtId="0" fontId="29" fillId="5" borderId="58" xfId="0" applyFont="1" applyFill="1" applyBorder="1" applyAlignment="1">
      <alignment horizontal="center" vertical="center" wrapText="1"/>
    </xf>
    <xf numFmtId="0" fontId="25" fillId="0" borderId="72" xfId="0" applyFont="1" applyBorder="1" applyAlignment="1" applyProtection="1">
      <alignment horizontal="center" vertical="center" wrapText="1"/>
      <protection locked="0"/>
    </xf>
    <xf numFmtId="0" fontId="25" fillId="0" borderId="26" xfId="0" applyFont="1" applyBorder="1" applyAlignment="1" applyProtection="1">
      <alignment horizontal="center" vertical="center" wrapText="1"/>
      <protection locked="0"/>
    </xf>
    <xf numFmtId="0" fontId="25" fillId="0" borderId="25" xfId="0" applyFont="1" applyBorder="1" applyAlignment="1" applyProtection="1">
      <alignment horizontal="center" vertical="center" wrapText="1"/>
      <protection locked="0"/>
    </xf>
    <xf numFmtId="0" fontId="25" fillId="0" borderId="2" xfId="0" applyFont="1" applyBorder="1" applyAlignment="1" applyProtection="1">
      <alignment horizontal="center" vertical="center" wrapText="1"/>
      <protection locked="0"/>
    </xf>
    <xf numFmtId="0" fontId="25" fillId="2" borderId="14" xfId="0" applyFont="1" applyFill="1" applyBorder="1" applyAlignment="1" applyProtection="1">
      <alignment horizontal="left" vertical="top" wrapText="1"/>
      <protection locked="0"/>
    </xf>
    <xf numFmtId="2" fontId="25" fillId="5" borderId="2" xfId="0" applyNumberFormat="1" applyFont="1" applyFill="1" applyBorder="1" applyAlignment="1">
      <alignment horizontal="center" vertical="center" wrapText="1"/>
    </xf>
    <xf numFmtId="2" fontId="25" fillId="5" borderId="42" xfId="0" applyNumberFormat="1" applyFont="1" applyFill="1" applyBorder="1" applyAlignment="1">
      <alignment horizontal="center" vertical="center" wrapText="1"/>
    </xf>
    <xf numFmtId="0" fontId="29" fillId="6" borderId="5" xfId="0" applyFont="1" applyFill="1" applyBorder="1" applyAlignment="1">
      <alignment horizontal="center" vertical="center" wrapText="1"/>
    </xf>
    <xf numFmtId="0" fontId="25" fillId="0" borderId="4" xfId="0" applyFont="1" applyBorder="1" applyAlignment="1" applyProtection="1">
      <alignment horizontal="center" vertical="center" wrapText="1"/>
      <protection locked="0"/>
    </xf>
    <xf numFmtId="0" fontId="25" fillId="0" borderId="5" xfId="0" applyFont="1" applyBorder="1" applyAlignment="1" applyProtection="1">
      <alignment horizontal="center" vertical="center" wrapText="1"/>
      <protection locked="0"/>
    </xf>
    <xf numFmtId="0" fontId="25" fillId="2" borderId="12" xfId="0" applyFont="1" applyFill="1" applyBorder="1" applyAlignment="1" applyProtection="1">
      <alignment horizontal="left" vertical="top" wrapText="1"/>
      <protection locked="0"/>
    </xf>
    <xf numFmtId="0" fontId="25" fillId="0" borderId="42" xfId="0" applyFont="1" applyBorder="1" applyAlignment="1" applyProtection="1">
      <alignment horizontal="center" vertical="center" wrapText="1"/>
      <protection locked="0"/>
    </xf>
    <xf numFmtId="0" fontId="25" fillId="2" borderId="13" xfId="0" applyFont="1" applyFill="1" applyBorder="1" applyAlignment="1" applyProtection="1">
      <alignment horizontal="left" vertical="top" wrapText="1"/>
      <protection locked="0"/>
    </xf>
    <xf numFmtId="2" fontId="29" fillId="5" borderId="0" xfId="0" applyNumberFormat="1" applyFont="1" applyFill="1" applyAlignment="1">
      <alignment horizontal="center" vertical="center" wrapText="1"/>
    </xf>
    <xf numFmtId="0" fontId="29" fillId="5" borderId="0" xfId="0" applyFont="1" applyFill="1" applyAlignment="1">
      <alignment horizontal="center" vertical="center" wrapText="1"/>
    </xf>
    <xf numFmtId="0" fontId="25" fillId="3" borderId="12" xfId="0" applyFont="1" applyFill="1" applyBorder="1"/>
    <xf numFmtId="0" fontId="25" fillId="3" borderId="5" xfId="0" applyFont="1" applyFill="1" applyBorder="1"/>
    <xf numFmtId="0" fontId="25" fillId="3" borderId="13" xfId="0" applyFont="1" applyFill="1" applyBorder="1"/>
    <xf numFmtId="0" fontId="15" fillId="3" borderId="14" xfId="0" applyFont="1" applyFill="1" applyBorder="1" applyAlignment="1">
      <alignment horizontal="center" vertical="center" wrapText="1"/>
    </xf>
    <xf numFmtId="0" fontId="15" fillId="3" borderId="17" xfId="0" applyFont="1" applyFill="1" applyBorder="1" applyAlignment="1">
      <alignment horizontal="center" vertical="center" wrapText="1"/>
    </xf>
    <xf numFmtId="0" fontId="15" fillId="3" borderId="19" xfId="0" applyFont="1" applyFill="1" applyBorder="1" applyAlignment="1">
      <alignment horizontal="center" vertical="center" wrapText="1"/>
    </xf>
    <xf numFmtId="0" fontId="25" fillId="3" borderId="14" xfId="0" applyFont="1" applyFill="1" applyBorder="1" applyAlignment="1">
      <alignment horizontal="center" vertical="center" wrapText="1"/>
    </xf>
    <xf numFmtId="0" fontId="25" fillId="3" borderId="13" xfId="0" applyFont="1" applyFill="1" applyBorder="1" applyAlignment="1">
      <alignment horizontal="center" vertical="center" wrapText="1"/>
    </xf>
    <xf numFmtId="0" fontId="25" fillId="7" borderId="4" xfId="0" applyFont="1" applyFill="1" applyBorder="1"/>
    <xf numFmtId="0" fontId="32" fillId="7" borderId="4" xfId="0" applyFont="1" applyFill="1" applyBorder="1" applyAlignment="1">
      <alignment horizontal="center"/>
    </xf>
    <xf numFmtId="0" fontId="31" fillId="3" borderId="5" xfId="0" applyFont="1" applyFill="1" applyBorder="1" applyAlignment="1">
      <alignment horizontal="center"/>
    </xf>
    <xf numFmtId="0" fontId="29" fillId="3" borderId="5" xfId="0" applyFont="1" applyFill="1" applyBorder="1" applyAlignment="1">
      <alignment horizontal="center" vertical="center" wrapText="1"/>
    </xf>
    <xf numFmtId="0" fontId="25" fillId="3" borderId="5" xfId="0" applyFont="1" applyFill="1" applyBorder="1" applyAlignment="1">
      <alignment horizontal="center" vertical="center"/>
    </xf>
    <xf numFmtId="0" fontId="25" fillId="3" borderId="5" xfId="0" applyFont="1" applyFill="1" applyBorder="1" applyAlignment="1">
      <alignment wrapText="1"/>
    </xf>
    <xf numFmtId="0" fontId="33" fillId="3" borderId="5" xfId="0" applyFont="1" applyFill="1" applyBorder="1" applyAlignment="1">
      <alignment wrapText="1"/>
    </xf>
    <xf numFmtId="0" fontId="33" fillId="3" borderId="5" xfId="0" applyFont="1" applyFill="1" applyBorder="1" applyAlignment="1">
      <alignment horizontal="left" wrapText="1"/>
    </xf>
    <xf numFmtId="0" fontId="33" fillId="3" borderId="5" xfId="0" applyFont="1" applyFill="1" applyBorder="1" applyAlignment="1">
      <alignment horizontal="left"/>
    </xf>
    <xf numFmtId="0" fontId="33" fillId="3" borderId="5" xfId="0" applyFont="1" applyFill="1" applyBorder="1" applyAlignment="1">
      <alignment horizontal="left" vertical="center"/>
    </xf>
    <xf numFmtId="0" fontId="25" fillId="3" borderId="5" xfId="0" applyFont="1" applyFill="1" applyBorder="1" applyAlignment="1">
      <alignment horizontal="left" vertical="center"/>
    </xf>
    <xf numFmtId="0" fontId="25" fillId="3" borderId="5" xfId="0" applyFont="1" applyFill="1" applyBorder="1" applyAlignment="1">
      <alignment vertical="center"/>
    </xf>
    <xf numFmtId="0" fontId="32" fillId="3" borderId="16" xfId="0" applyFont="1" applyFill="1" applyBorder="1"/>
    <xf numFmtId="0" fontId="32" fillId="7" borderId="60" xfId="0" applyFont="1" applyFill="1" applyBorder="1"/>
    <xf numFmtId="0" fontId="32" fillId="7" borderId="4" xfId="0" applyFont="1" applyFill="1" applyBorder="1"/>
    <xf numFmtId="0" fontId="25" fillId="3" borderId="0" xfId="0" applyFont="1" applyFill="1"/>
    <xf numFmtId="0" fontId="25" fillId="3" borderId="5" xfId="0" applyFont="1" applyFill="1" applyBorder="1" applyAlignment="1">
      <alignment horizontal="left" vertical="top"/>
    </xf>
    <xf numFmtId="0" fontId="32" fillId="7" borderId="0" xfId="0" applyFont="1" applyFill="1" applyAlignment="1">
      <alignment horizontal="center"/>
    </xf>
    <xf numFmtId="0" fontId="25" fillId="7" borderId="70" xfId="0" applyFont="1" applyFill="1" applyBorder="1"/>
    <xf numFmtId="0" fontId="15" fillId="3" borderId="5" xfId="0" applyFont="1" applyFill="1" applyBorder="1"/>
    <xf numFmtId="0" fontId="25" fillId="3" borderId="5" xfId="0" applyFont="1" applyFill="1" applyBorder="1" applyAlignment="1">
      <alignment horizontal="center"/>
    </xf>
    <xf numFmtId="0" fontId="26" fillId="7" borderId="0" xfId="0" applyFont="1" applyFill="1"/>
    <xf numFmtId="0" fontId="15" fillId="3" borderId="5" xfId="0" applyFont="1" applyFill="1" applyBorder="1" applyAlignment="1">
      <alignment wrapText="1"/>
    </xf>
    <xf numFmtId="2" fontId="15" fillId="3" borderId="5" xfId="0" applyNumberFormat="1" applyFont="1" applyFill="1" applyBorder="1" applyAlignment="1">
      <alignment wrapText="1"/>
    </xf>
    <xf numFmtId="0" fontId="25" fillId="3" borderId="12" xfId="0" applyFont="1" applyFill="1" applyBorder="1" applyAlignment="1">
      <alignment horizontal="center" vertical="center" wrapText="1"/>
    </xf>
    <xf numFmtId="0" fontId="25" fillId="3" borderId="5" xfId="0" applyFont="1" applyFill="1" applyBorder="1" applyAlignment="1">
      <alignment horizontal="center" vertical="center" wrapText="1"/>
    </xf>
    <xf numFmtId="0" fontId="29" fillId="7" borderId="0" xfId="0" applyFont="1" applyFill="1"/>
    <xf numFmtId="0" fontId="25" fillId="7" borderId="0" xfId="0" applyFont="1" applyFill="1" applyAlignment="1">
      <alignment horizontal="center" vertical="center"/>
    </xf>
    <xf numFmtId="0" fontId="29" fillId="7" borderId="0" xfId="0" applyFont="1" applyFill="1" applyAlignment="1">
      <alignment vertical="center"/>
    </xf>
    <xf numFmtId="0" fontId="29" fillId="3" borderId="14"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29" fillId="3" borderId="19" xfId="0" applyFont="1" applyFill="1" applyBorder="1" applyAlignment="1">
      <alignment horizontal="center" vertical="center" wrapText="1"/>
    </xf>
    <xf numFmtId="0" fontId="29" fillId="7" borderId="0" xfId="0" applyFont="1" applyFill="1" applyAlignment="1">
      <alignment vertical="center" wrapText="1"/>
    </xf>
    <xf numFmtId="0" fontId="29" fillId="3" borderId="12" xfId="0" applyFont="1" applyFill="1" applyBorder="1" applyAlignment="1">
      <alignment horizontal="center" vertical="center" wrapText="1"/>
    </xf>
    <xf numFmtId="0" fontId="25" fillId="8" borderId="25" xfId="0" applyFont="1" applyFill="1" applyBorder="1" applyAlignment="1">
      <alignment horizontal="center" vertical="center" wrapText="1"/>
    </xf>
    <xf numFmtId="0" fontId="25" fillId="8" borderId="26" xfId="0" applyFont="1" applyFill="1" applyBorder="1" applyAlignment="1">
      <alignment horizontal="center" vertical="center" wrapText="1"/>
    </xf>
    <xf numFmtId="0" fontId="25" fillId="2" borderId="25" xfId="0" applyFont="1" applyFill="1" applyBorder="1" applyAlignment="1" applyProtection="1">
      <alignment horizontal="center" vertical="center" wrapText="1"/>
      <protection locked="0"/>
    </xf>
    <xf numFmtId="0" fontId="25" fillId="0" borderId="12" xfId="0" applyFont="1" applyBorder="1" applyAlignment="1" applyProtection="1">
      <alignment horizontal="center" vertical="center" wrapText="1"/>
      <protection locked="0"/>
    </xf>
    <xf numFmtId="0" fontId="25" fillId="8" borderId="5" xfId="0" applyFont="1" applyFill="1" applyBorder="1" applyAlignment="1">
      <alignment horizontal="center" vertical="center" wrapText="1"/>
    </xf>
    <xf numFmtId="0" fontId="25" fillId="2" borderId="25" xfId="0" applyFont="1" applyFill="1" applyBorder="1" applyAlignment="1" applyProtection="1">
      <alignment wrapText="1"/>
      <protection locked="0"/>
    </xf>
    <xf numFmtId="0" fontId="25" fillId="2" borderId="26" xfId="0" applyFont="1" applyFill="1" applyBorder="1" applyAlignment="1" applyProtection="1">
      <alignment wrapText="1"/>
      <protection locked="0"/>
    </xf>
    <xf numFmtId="0" fontId="25" fillId="2" borderId="12" xfId="0" applyFont="1" applyFill="1" applyBorder="1" applyAlignment="1" applyProtection="1">
      <alignment wrapText="1"/>
      <protection locked="0"/>
    </xf>
    <xf numFmtId="0" fontId="25" fillId="2" borderId="21" xfId="0" applyFont="1" applyFill="1" applyBorder="1" applyAlignment="1" applyProtection="1">
      <alignment wrapText="1"/>
      <protection locked="0"/>
    </xf>
    <xf numFmtId="0" fontId="25" fillId="2" borderId="21" xfId="0" applyFont="1" applyFill="1" applyBorder="1" applyAlignment="1" applyProtection="1">
      <alignment horizontal="center" vertical="center" wrapText="1"/>
      <protection locked="0"/>
    </xf>
    <xf numFmtId="0" fontId="25" fillId="2" borderId="12" xfId="0" applyFont="1" applyFill="1" applyBorder="1" applyAlignment="1" applyProtection="1">
      <alignment horizontal="center" vertical="center" wrapText="1"/>
      <protection locked="0"/>
    </xf>
    <xf numFmtId="0" fontId="25" fillId="2" borderId="4" xfId="0" applyFont="1" applyFill="1" applyBorder="1" applyAlignment="1" applyProtection="1">
      <alignment horizontal="center" vertical="center" wrapText="1"/>
      <protection locked="0"/>
    </xf>
    <xf numFmtId="0" fontId="25" fillId="7" borderId="5" xfId="0" applyFont="1" applyFill="1" applyBorder="1"/>
    <xf numFmtId="0" fontId="25" fillId="2" borderId="2" xfId="0" applyFont="1" applyFill="1" applyBorder="1" applyAlignment="1" applyProtection="1">
      <alignment horizontal="center" vertical="center" wrapText="1"/>
      <protection locked="0"/>
    </xf>
    <xf numFmtId="0" fontId="29" fillId="3" borderId="13" xfId="0" applyFont="1" applyFill="1" applyBorder="1" applyAlignment="1">
      <alignment horizontal="center" vertical="center" wrapText="1"/>
    </xf>
    <xf numFmtId="0" fontId="33" fillId="2" borderId="18" xfId="0" applyFont="1" applyFill="1" applyBorder="1" applyProtection="1">
      <protection locked="0"/>
    </xf>
    <xf numFmtId="0" fontId="25" fillId="2" borderId="22" xfId="0" applyFont="1" applyFill="1" applyBorder="1" applyAlignment="1" applyProtection="1">
      <alignment horizontal="center" vertical="center" wrapText="1"/>
      <protection locked="0"/>
    </xf>
    <xf numFmtId="0" fontId="25" fillId="2" borderId="13" xfId="0" applyFont="1" applyFill="1" applyBorder="1" applyAlignment="1" applyProtection="1">
      <alignment horizontal="center" vertical="center" wrapText="1"/>
      <protection locked="0"/>
    </xf>
    <xf numFmtId="0" fontId="25" fillId="2" borderId="13" xfId="0" applyFont="1" applyFill="1" applyBorder="1" applyAlignment="1" applyProtection="1">
      <alignment wrapText="1"/>
      <protection locked="0"/>
    </xf>
    <xf numFmtId="0" fontId="25" fillId="2" borderId="22" xfId="0" applyFont="1" applyFill="1" applyBorder="1" applyAlignment="1" applyProtection="1">
      <alignment wrapText="1"/>
      <protection locked="0"/>
    </xf>
    <xf numFmtId="0" fontId="29" fillId="3" borderId="8" xfId="0" applyFont="1" applyFill="1" applyBorder="1" applyAlignment="1">
      <alignment horizontal="center" vertical="center" wrapText="1"/>
    </xf>
    <xf numFmtId="0" fontId="29" fillId="7" borderId="0" xfId="0" applyFont="1" applyFill="1" applyAlignment="1">
      <alignment horizontal="center" vertical="center" wrapText="1"/>
    </xf>
    <xf numFmtId="0" fontId="29" fillId="3" borderId="29" xfId="0" applyFont="1" applyFill="1" applyBorder="1" applyAlignment="1">
      <alignment horizontal="center" vertical="center" wrapText="1"/>
    </xf>
    <xf numFmtId="0" fontId="33" fillId="0" borderId="42" xfId="0" applyFont="1" applyBorder="1" applyProtection="1">
      <protection locked="0"/>
    </xf>
    <xf numFmtId="0" fontId="25" fillId="2" borderId="14" xfId="0" applyFont="1" applyFill="1" applyBorder="1" applyAlignment="1" applyProtection="1">
      <alignment wrapText="1"/>
      <protection locked="0"/>
    </xf>
    <xf numFmtId="0" fontId="25" fillId="2" borderId="19" xfId="0" applyFont="1" applyFill="1" applyBorder="1" applyAlignment="1" applyProtection="1">
      <alignment wrapText="1"/>
      <protection locked="0"/>
    </xf>
    <xf numFmtId="0" fontId="33" fillId="2" borderId="42" xfId="0" applyFont="1" applyFill="1" applyBorder="1" applyProtection="1">
      <protection locked="0"/>
    </xf>
    <xf numFmtId="0" fontId="25" fillId="2" borderId="26" xfId="0" applyFont="1" applyFill="1" applyBorder="1" applyAlignment="1" applyProtection="1">
      <alignment horizontal="center" vertical="center" wrapText="1"/>
      <protection locked="0"/>
    </xf>
    <xf numFmtId="0" fontId="29" fillId="3" borderId="9" xfId="0" applyFont="1" applyFill="1" applyBorder="1" applyAlignment="1">
      <alignment horizontal="center" vertical="center" wrapText="1"/>
    </xf>
    <xf numFmtId="0" fontId="14" fillId="3" borderId="4" xfId="0" applyFont="1" applyFill="1" applyBorder="1" applyAlignment="1">
      <alignment vertical="center" wrapText="1"/>
    </xf>
    <xf numFmtId="0" fontId="25" fillId="2" borderId="0" xfId="0" applyFont="1" applyFill="1"/>
    <xf numFmtId="0" fontId="29" fillId="3" borderId="54" xfId="0" applyFont="1" applyFill="1" applyBorder="1"/>
    <xf numFmtId="0" fontId="29" fillId="3" borderId="11" xfId="0" applyFont="1" applyFill="1" applyBorder="1" applyAlignment="1">
      <alignment horizontal="center" vertical="center" wrapText="1"/>
    </xf>
    <xf numFmtId="0" fontId="29" fillId="3" borderId="10" xfId="0" applyFont="1" applyFill="1" applyBorder="1" applyAlignment="1">
      <alignment horizontal="center" vertical="center" wrapText="1"/>
    </xf>
    <xf numFmtId="0" fontId="29" fillId="3" borderId="24" xfId="0" applyFont="1" applyFill="1" applyBorder="1" applyAlignment="1">
      <alignment horizontal="center" vertical="center" wrapText="1"/>
    </xf>
    <xf numFmtId="0" fontId="14" fillId="3" borderId="6" xfId="0" applyFont="1" applyFill="1" applyBorder="1" applyAlignment="1">
      <alignment vertical="center" wrapText="1"/>
    </xf>
    <xf numFmtId="0" fontId="25" fillId="7" borderId="0" xfId="0" applyFont="1" applyFill="1" applyAlignment="1">
      <alignment horizontal="left" vertical="top" wrapText="1"/>
    </xf>
    <xf numFmtId="0" fontId="25" fillId="3" borderId="54" xfId="0" applyFont="1" applyFill="1" applyBorder="1" applyAlignment="1">
      <alignment horizontal="left" vertical="top" wrapText="1"/>
    </xf>
    <xf numFmtId="0" fontId="25" fillId="3" borderId="25" xfId="0" applyFont="1" applyFill="1" applyBorder="1" applyAlignment="1">
      <alignment vertical="center"/>
    </xf>
    <xf numFmtId="0" fontId="25" fillId="8" borderId="13" xfId="0" applyFont="1" applyFill="1" applyBorder="1"/>
    <xf numFmtId="0" fontId="25" fillId="8" borderId="12" xfId="0" applyFont="1" applyFill="1" applyBorder="1" applyAlignment="1">
      <alignment horizontal="center" vertical="center" wrapText="1"/>
    </xf>
    <xf numFmtId="0" fontId="25" fillId="8" borderId="5" xfId="0" applyFont="1" applyFill="1" applyBorder="1" applyAlignment="1">
      <alignment horizontal="center" vertical="center"/>
    </xf>
    <xf numFmtId="0" fontId="25" fillId="8" borderId="13" xfId="0" applyFont="1" applyFill="1" applyBorder="1" applyAlignment="1">
      <alignment horizontal="center" vertical="center" wrapText="1"/>
    </xf>
    <xf numFmtId="0" fontId="25" fillId="7" borderId="50" xfId="0" applyFont="1" applyFill="1" applyBorder="1"/>
    <xf numFmtId="0" fontId="20" fillId="7" borderId="0" xfId="0" applyFont="1" applyFill="1"/>
    <xf numFmtId="0" fontId="25" fillId="2" borderId="42" xfId="0" applyFont="1" applyFill="1" applyBorder="1" applyAlignment="1" applyProtection="1">
      <alignment horizontal="center" vertical="center" wrapText="1"/>
      <protection locked="0"/>
    </xf>
    <xf numFmtId="0" fontId="25" fillId="7" borderId="59" xfId="0" applyFont="1" applyFill="1" applyBorder="1"/>
    <xf numFmtId="0" fontId="29" fillId="3" borderId="42" xfId="0" applyFont="1" applyFill="1" applyBorder="1" applyAlignment="1">
      <alignment horizontal="center" vertical="center" wrapText="1"/>
    </xf>
    <xf numFmtId="0" fontId="25" fillId="2" borderId="5" xfId="0" applyFont="1" applyFill="1" applyBorder="1" applyAlignment="1" applyProtection="1">
      <alignment horizontal="center" vertical="center" wrapText="1"/>
      <protection locked="0"/>
    </xf>
    <xf numFmtId="0" fontId="29" fillId="0" borderId="4" xfId="0" applyFont="1" applyBorder="1" applyAlignment="1" applyProtection="1">
      <alignment horizontal="center" vertical="center" wrapText="1"/>
      <protection locked="0"/>
    </xf>
    <xf numFmtId="0" fontId="29" fillId="2" borderId="4" xfId="0" applyFont="1" applyFill="1" applyBorder="1" applyAlignment="1" applyProtection="1">
      <alignment horizontal="center" vertical="center" wrapText="1"/>
      <protection locked="0"/>
    </xf>
    <xf numFmtId="0" fontId="25" fillId="2" borderId="18" xfId="0" applyFont="1" applyFill="1" applyBorder="1" applyAlignment="1" applyProtection="1">
      <alignment horizontal="center" vertical="center" wrapText="1"/>
      <protection locked="0"/>
    </xf>
    <xf numFmtId="0" fontId="29" fillId="3" borderId="40" xfId="0" applyFont="1" applyFill="1" applyBorder="1" applyAlignment="1">
      <alignment horizontal="center" vertical="center" wrapText="1"/>
    </xf>
    <xf numFmtId="0" fontId="25" fillId="2" borderId="41" xfId="0" applyFont="1" applyFill="1" applyBorder="1" applyAlignment="1" applyProtection="1">
      <alignment horizontal="center" vertical="center" wrapText="1"/>
      <protection locked="0"/>
    </xf>
    <xf numFmtId="0" fontId="25" fillId="2" borderId="66" xfId="0" applyFont="1" applyFill="1" applyBorder="1" applyAlignment="1" applyProtection="1">
      <alignment horizontal="center" vertical="center" wrapText="1"/>
      <protection locked="0"/>
    </xf>
    <xf numFmtId="0" fontId="24" fillId="7" borderId="0" xfId="0" applyFont="1" applyFill="1"/>
    <xf numFmtId="0" fontId="29" fillId="3" borderId="66" xfId="0" applyFont="1" applyFill="1" applyBorder="1" applyAlignment="1">
      <alignment horizontal="center" vertical="center" wrapText="1"/>
    </xf>
    <xf numFmtId="0" fontId="29" fillId="3" borderId="0" xfId="0" applyFont="1" applyFill="1" applyAlignment="1">
      <alignment horizontal="center" vertical="center" wrapText="1"/>
    </xf>
    <xf numFmtId="0" fontId="25" fillId="7" borderId="5" xfId="0" applyFont="1" applyFill="1" applyBorder="1" applyAlignment="1">
      <alignment horizontal="center" vertical="center"/>
    </xf>
    <xf numFmtId="0" fontId="25" fillId="3" borderId="18" xfId="0" applyFont="1" applyFill="1" applyBorder="1" applyAlignment="1">
      <alignment horizontal="left" vertical="top"/>
    </xf>
    <xf numFmtId="0" fontId="25" fillId="3" borderId="42" xfId="0" applyFont="1" applyFill="1" applyBorder="1" applyAlignment="1">
      <alignment horizontal="left" vertical="top"/>
    </xf>
    <xf numFmtId="0" fontId="25" fillId="3" borderId="10" xfId="0" applyFont="1" applyFill="1" applyBorder="1" applyAlignment="1">
      <alignment horizontal="left" vertical="top"/>
    </xf>
    <xf numFmtId="0" fontId="25" fillId="3" borderId="18" xfId="0" applyFont="1" applyFill="1" applyBorder="1" applyAlignment="1">
      <alignment wrapText="1"/>
    </xf>
    <xf numFmtId="0" fontId="25" fillId="3" borderId="42" xfId="0" applyFont="1" applyFill="1" applyBorder="1" applyAlignment="1">
      <alignment wrapText="1"/>
    </xf>
    <xf numFmtId="0" fontId="25" fillId="2" borderId="2" xfId="0" applyFont="1" applyFill="1" applyBorder="1" applyAlignment="1" applyProtection="1">
      <alignment wrapText="1"/>
      <protection locked="0"/>
    </xf>
    <xf numFmtId="0" fontId="25" fillId="5" borderId="57" xfId="0" applyFont="1" applyFill="1" applyBorder="1" applyAlignment="1">
      <alignment horizontal="center" vertical="center" wrapText="1"/>
    </xf>
    <xf numFmtId="0" fontId="20" fillId="5" borderId="0" xfId="0" applyFont="1" applyFill="1"/>
    <xf numFmtId="0" fontId="29" fillId="6" borderId="0" xfId="0" applyFont="1" applyFill="1" applyAlignment="1">
      <alignment horizontal="center" vertical="center"/>
    </xf>
    <xf numFmtId="0" fontId="25" fillId="0" borderId="44" xfId="0" applyFont="1" applyBorder="1" applyAlignment="1">
      <alignment horizontal="center" vertical="center" wrapText="1"/>
    </xf>
    <xf numFmtId="0" fontId="29" fillId="0" borderId="12" xfId="0" applyFont="1" applyBorder="1" applyAlignment="1" applyProtection="1">
      <alignment horizontal="center" vertical="center" wrapText="1"/>
      <protection locked="0"/>
    </xf>
    <xf numFmtId="0" fontId="25" fillId="0" borderId="25" xfId="0" applyFont="1" applyBorder="1" applyAlignment="1" applyProtection="1">
      <alignment wrapText="1"/>
      <protection locked="0"/>
    </xf>
    <xf numFmtId="0" fontId="25" fillId="0" borderId="26" xfId="0" applyFont="1" applyBorder="1" applyAlignment="1" applyProtection="1">
      <alignment wrapText="1"/>
      <protection locked="0"/>
    </xf>
    <xf numFmtId="0" fontId="25" fillId="0" borderId="18" xfId="0" applyFont="1" applyBorder="1" applyAlignment="1" applyProtection="1">
      <alignment horizontal="center" vertical="center" wrapText="1"/>
      <protection locked="0"/>
    </xf>
    <xf numFmtId="0" fontId="15" fillId="5" borderId="0" xfId="0" applyFont="1" applyFill="1"/>
    <xf numFmtId="0" fontId="25" fillId="7" borderId="59" xfId="0" applyFont="1" applyFill="1" applyBorder="1" applyAlignment="1">
      <alignment horizontal="center" vertical="center" wrapText="1"/>
    </xf>
    <xf numFmtId="0" fontId="25" fillId="7" borderId="5" xfId="0" applyFont="1" applyFill="1" applyBorder="1" applyAlignment="1">
      <alignment wrapText="1"/>
    </xf>
    <xf numFmtId="0" fontId="33" fillId="0" borderId="42" xfId="0" applyFont="1" applyBorder="1" applyAlignment="1" applyProtection="1">
      <alignment vertical="center"/>
      <protection locked="0"/>
    </xf>
    <xf numFmtId="0" fontId="29" fillId="7" borderId="0" xfId="0" applyFont="1" applyFill="1" applyAlignment="1">
      <alignment wrapText="1"/>
    </xf>
    <xf numFmtId="0" fontId="25" fillId="3" borderId="13" xfId="0" applyFont="1" applyFill="1" applyBorder="1" applyAlignment="1">
      <alignment horizontal="center" vertical="center"/>
    </xf>
    <xf numFmtId="0" fontId="29" fillId="3" borderId="27" xfId="0" applyFont="1" applyFill="1" applyBorder="1" applyAlignment="1">
      <alignment horizontal="center" vertical="center" wrapText="1"/>
    </xf>
    <xf numFmtId="0" fontId="29" fillId="3" borderId="37" xfId="0" applyFont="1" applyFill="1" applyBorder="1" applyAlignment="1">
      <alignment horizontal="center" vertical="center" wrapText="1"/>
    </xf>
    <xf numFmtId="0" fontId="29" fillId="3" borderId="7" xfId="0" applyFont="1" applyFill="1" applyBorder="1" applyAlignment="1">
      <alignment horizontal="center" vertical="center" wrapText="1"/>
    </xf>
    <xf numFmtId="0" fontId="25" fillId="3" borderId="12" xfId="0" applyFont="1" applyFill="1" applyBorder="1" applyAlignment="1">
      <alignment horizontal="center" vertical="center"/>
    </xf>
    <xf numFmtId="0" fontId="25" fillId="2" borderId="58" xfId="0" applyFont="1" applyFill="1" applyBorder="1" applyAlignment="1" applyProtection="1">
      <alignment horizontal="center" vertical="center" wrapText="1"/>
      <protection locked="0"/>
    </xf>
    <xf numFmtId="0" fontId="17" fillId="7" borderId="0" xfId="0" applyFont="1" applyFill="1" applyAlignment="1">
      <alignment vertical="center" wrapText="1"/>
    </xf>
    <xf numFmtId="0" fontId="22" fillId="7" borderId="0" xfId="0" applyFont="1" applyFill="1"/>
    <xf numFmtId="0" fontId="21" fillId="7" borderId="0" xfId="0" applyFont="1" applyFill="1"/>
    <xf numFmtId="0" fontId="25" fillId="7" borderId="57" xfId="0" applyFont="1" applyFill="1" applyBorder="1" applyAlignment="1">
      <alignment horizontal="center" vertical="center" wrapText="1"/>
    </xf>
    <xf numFmtId="0" fontId="29" fillId="7" borderId="27" xfId="0" applyFont="1" applyFill="1" applyBorder="1" applyAlignment="1">
      <alignment horizontal="center" vertical="center" wrapText="1"/>
    </xf>
    <xf numFmtId="0" fontId="25" fillId="7" borderId="5" xfId="0" applyFont="1" applyFill="1" applyBorder="1" applyAlignment="1">
      <alignment horizontal="center" vertical="center" wrapText="1"/>
    </xf>
    <xf numFmtId="0" fontId="21" fillId="3" borderId="5" xfId="0" applyFont="1" applyFill="1" applyBorder="1"/>
    <xf numFmtId="0" fontId="29" fillId="3" borderId="5" xfId="0" applyFont="1" applyFill="1" applyBorder="1" applyAlignment="1">
      <alignment horizontal="center" vertical="center"/>
    </xf>
    <xf numFmtId="0" fontId="26" fillId="7" borderId="3" xfId="0" applyFont="1" applyFill="1" applyBorder="1"/>
    <xf numFmtId="0" fontId="26" fillId="3" borderId="16" xfId="0" applyFont="1" applyFill="1" applyBorder="1"/>
    <xf numFmtId="0" fontId="29" fillId="3" borderId="5" xfId="0" applyFont="1" applyFill="1" applyBorder="1"/>
    <xf numFmtId="0" fontId="25" fillId="3" borderId="0" xfId="0" applyFont="1" applyFill="1" applyAlignment="1">
      <alignment wrapText="1"/>
    </xf>
    <xf numFmtId="0" fontId="29" fillId="3" borderId="0" xfId="0" applyFont="1" applyFill="1" applyAlignment="1">
      <alignment wrapText="1"/>
    </xf>
    <xf numFmtId="0" fontId="17" fillId="3" borderId="4" xfId="0" applyFont="1" applyFill="1" applyBorder="1"/>
    <xf numFmtId="0" fontId="29" fillId="3" borderId="42" xfId="0" applyFont="1" applyFill="1" applyBorder="1" applyAlignment="1">
      <alignment horizontal="center" vertical="center"/>
    </xf>
    <xf numFmtId="17" fontId="25" fillId="3" borderId="5" xfId="0" applyNumberFormat="1" applyFont="1" applyFill="1" applyBorder="1" applyAlignment="1">
      <alignment horizontal="center" vertical="center" wrapText="1"/>
    </xf>
    <xf numFmtId="0" fontId="14" fillId="7" borderId="70" xfId="0" applyFont="1" applyFill="1" applyBorder="1" applyAlignment="1">
      <alignment vertical="center"/>
    </xf>
    <xf numFmtId="0" fontId="25" fillId="3" borderId="9" xfId="0" applyFont="1" applyFill="1" applyBorder="1"/>
    <xf numFmtId="0" fontId="25" fillId="3" borderId="11" xfId="0" applyFont="1" applyFill="1" applyBorder="1"/>
    <xf numFmtId="0" fontId="29" fillId="3" borderId="28" xfId="0" applyFont="1" applyFill="1" applyBorder="1"/>
    <xf numFmtId="0" fontId="29" fillId="3" borderId="72" xfId="0" applyFont="1" applyFill="1" applyBorder="1" applyAlignment="1">
      <alignment vertical="center" wrapText="1"/>
    </xf>
    <xf numFmtId="0" fontId="29" fillId="3" borderId="37" xfId="0" applyFont="1" applyFill="1" applyBorder="1" applyAlignment="1">
      <alignment vertical="center" wrapText="1"/>
    </xf>
    <xf numFmtId="0" fontId="25" fillId="3" borderId="10" xfId="0" applyFont="1" applyFill="1" applyBorder="1"/>
    <xf numFmtId="0" fontId="25" fillId="3" borderId="25" xfId="0" applyFont="1" applyFill="1" applyBorder="1"/>
    <xf numFmtId="0" fontId="25" fillId="8" borderId="26" xfId="0" applyFont="1" applyFill="1" applyBorder="1"/>
    <xf numFmtId="0" fontId="25" fillId="3" borderId="10" xfId="0" applyFont="1" applyFill="1" applyBorder="1" applyAlignment="1">
      <alignment horizontal="center" vertical="center" wrapText="1"/>
    </xf>
    <xf numFmtId="0" fontId="25" fillId="3" borderId="25" xfId="0" applyFont="1" applyFill="1" applyBorder="1" applyAlignment="1">
      <alignment horizontal="center" vertical="center" wrapText="1"/>
    </xf>
    <xf numFmtId="0" fontId="25" fillId="0" borderId="21" xfId="0" applyFont="1" applyBorder="1"/>
    <xf numFmtId="0" fontId="25" fillId="0" borderId="22" xfId="0" applyFont="1" applyBorder="1"/>
    <xf numFmtId="0" fontId="29" fillId="7" borderId="5" xfId="0" applyFont="1" applyFill="1" applyBorder="1" applyAlignment="1">
      <alignment horizontal="center" vertical="center"/>
    </xf>
    <xf numFmtId="0" fontId="26" fillId="7" borderId="65" xfId="0" applyFont="1" applyFill="1" applyBorder="1"/>
    <xf numFmtId="0" fontId="30" fillId="7" borderId="0" xfId="10" applyFont="1" applyFill="1" applyAlignment="1">
      <alignment vertical="center" wrapText="1"/>
    </xf>
    <xf numFmtId="0" fontId="30" fillId="7" borderId="68" xfId="10" applyFont="1" applyFill="1" applyBorder="1" applyAlignment="1">
      <alignment vertical="center" wrapText="1"/>
    </xf>
    <xf numFmtId="0" fontId="34" fillId="3" borderId="5" xfId="0" applyFont="1" applyFill="1" applyBorder="1" applyAlignment="1">
      <alignment vertical="center" wrapText="1"/>
    </xf>
    <xf numFmtId="0" fontId="21" fillId="3" borderId="6" xfId="0" applyFont="1" applyFill="1" applyBorder="1"/>
    <xf numFmtId="0" fontId="29" fillId="2" borderId="32" xfId="0" applyFont="1" applyFill="1" applyBorder="1" applyAlignment="1" applyProtection="1">
      <alignment horizontal="center" vertical="center" wrapText="1"/>
      <protection locked="0"/>
    </xf>
    <xf numFmtId="0" fontId="25" fillId="0" borderId="13" xfId="0" applyFont="1" applyBorder="1" applyAlignment="1" applyProtection="1">
      <alignment horizontal="center" vertical="center" wrapText="1"/>
      <protection locked="0"/>
    </xf>
    <xf numFmtId="0" fontId="25" fillId="0" borderId="58" xfId="0" applyFont="1" applyBorder="1" applyAlignment="1" applyProtection="1">
      <alignment horizontal="center" vertical="center" wrapText="1"/>
      <protection locked="0"/>
    </xf>
    <xf numFmtId="0" fontId="25" fillId="0" borderId="22" xfId="0" applyFont="1" applyBorder="1" applyAlignment="1" applyProtection="1">
      <alignment horizontal="center" vertical="center" wrapText="1"/>
      <protection locked="0"/>
    </xf>
    <xf numFmtId="0" fontId="25" fillId="0" borderId="13" xfId="0" applyFont="1" applyBorder="1" applyAlignment="1" applyProtection="1">
      <alignment wrapText="1"/>
      <protection locked="0"/>
    </xf>
    <xf numFmtId="0" fontId="25" fillId="0" borderId="22" xfId="0" applyFont="1" applyBorder="1" applyAlignment="1" applyProtection="1">
      <alignment wrapText="1"/>
      <protection locked="0"/>
    </xf>
    <xf numFmtId="0" fontId="38" fillId="3" borderId="0" xfId="0" applyFont="1" applyFill="1"/>
    <xf numFmtId="0" fontId="25" fillId="3" borderId="5" xfId="0" applyFont="1" applyFill="1" applyBorder="1" applyAlignment="1">
      <alignment horizontal="center" vertical="top"/>
    </xf>
    <xf numFmtId="0" fontId="25" fillId="3" borderId="5" xfId="0" applyFont="1" applyFill="1" applyBorder="1" applyAlignment="1">
      <alignment vertical="top"/>
    </xf>
    <xf numFmtId="0" fontId="25" fillId="6" borderId="5" xfId="0" applyFont="1" applyFill="1" applyBorder="1" applyAlignment="1">
      <alignment horizontal="center" vertical="center" wrapText="1"/>
    </xf>
    <xf numFmtId="0" fontId="29" fillId="5" borderId="34" xfId="0" applyFont="1" applyFill="1" applyBorder="1" applyAlignment="1">
      <alignment horizontal="center" vertical="center" wrapText="1"/>
    </xf>
    <xf numFmtId="0" fontId="25" fillId="0" borderId="66" xfId="0" applyFont="1" applyBorder="1" applyAlignment="1" applyProtection="1">
      <alignment horizontal="center" vertical="center" wrapText="1"/>
      <protection locked="0"/>
    </xf>
    <xf numFmtId="0" fontId="25" fillId="3" borderId="51" xfId="0" applyFont="1" applyFill="1" applyBorder="1" applyAlignment="1">
      <alignment horizontal="center"/>
    </xf>
    <xf numFmtId="0" fontId="25" fillId="3" borderId="13" xfId="0" applyFont="1" applyFill="1" applyBorder="1" applyAlignment="1">
      <alignment vertical="center" wrapText="1"/>
    </xf>
    <xf numFmtId="0" fontId="25" fillId="6" borderId="25" xfId="0" applyFont="1" applyFill="1" applyBorder="1" applyAlignment="1">
      <alignment horizontal="center" vertical="center"/>
    </xf>
    <xf numFmtId="0" fontId="25" fillId="6" borderId="12" xfId="0" applyFont="1" applyFill="1" applyBorder="1" applyAlignment="1">
      <alignment horizontal="center" vertical="center"/>
    </xf>
    <xf numFmtId="0" fontId="25" fillId="6" borderId="5" xfId="0" applyFont="1" applyFill="1" applyBorder="1" applyAlignment="1">
      <alignment horizontal="center" vertical="center"/>
    </xf>
    <xf numFmtId="0" fontId="25" fillId="6" borderId="13" xfId="0" applyFont="1" applyFill="1" applyBorder="1" applyAlignment="1">
      <alignment horizontal="center" vertical="center"/>
    </xf>
    <xf numFmtId="0" fontId="25" fillId="6" borderId="18" xfId="0" applyFont="1" applyFill="1" applyBorder="1" applyAlignment="1">
      <alignment horizontal="center" vertical="center"/>
    </xf>
    <xf numFmtId="0" fontId="25" fillId="6" borderId="14" xfId="0" applyFont="1" applyFill="1" applyBorder="1" applyAlignment="1">
      <alignment horizontal="center" vertical="center"/>
    </xf>
    <xf numFmtId="0" fontId="25" fillId="6" borderId="17" xfId="0" applyFont="1" applyFill="1" applyBorder="1" applyAlignment="1">
      <alignment horizontal="center" vertical="center"/>
    </xf>
    <xf numFmtId="0" fontId="25" fillId="6" borderId="9" xfId="0" applyFont="1" applyFill="1" applyBorder="1" applyAlignment="1">
      <alignment horizontal="center" vertical="center"/>
    </xf>
    <xf numFmtId="0" fontId="32" fillId="3" borderId="5" xfId="0" applyFont="1" applyFill="1" applyBorder="1" applyAlignment="1">
      <alignment horizontal="center"/>
    </xf>
    <xf numFmtId="0" fontId="29" fillId="6" borderId="23" xfId="0" applyFont="1" applyFill="1" applyBorder="1" applyAlignment="1">
      <alignment horizontal="center" vertical="center" wrapText="1"/>
    </xf>
    <xf numFmtId="0" fontId="29" fillId="6" borderId="34" xfId="0"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9" fillId="6" borderId="12" xfId="0" applyFont="1" applyFill="1" applyBorder="1" applyAlignment="1">
      <alignment horizontal="center" vertical="center" wrapText="1"/>
    </xf>
    <xf numFmtId="0" fontId="29" fillId="6" borderId="19" xfId="0" applyFont="1" applyFill="1" applyBorder="1" applyAlignment="1">
      <alignment horizontal="center" vertical="center" wrapText="1"/>
    </xf>
    <xf numFmtId="0" fontId="29" fillId="6" borderId="21" xfId="0" applyFont="1" applyFill="1" applyBorder="1" applyAlignment="1">
      <alignment horizontal="center" vertical="center" wrapText="1"/>
    </xf>
    <xf numFmtId="0" fontId="29" fillId="6" borderId="17" xfId="0" applyFont="1" applyFill="1" applyBorder="1" applyAlignment="1">
      <alignment horizontal="center" vertical="center" wrapText="1"/>
    </xf>
    <xf numFmtId="0" fontId="29" fillId="3" borderId="25" xfId="0" applyFont="1" applyFill="1" applyBorder="1" applyAlignment="1">
      <alignment horizontal="center" vertical="center" wrapText="1"/>
    </xf>
    <xf numFmtId="0" fontId="29" fillId="6" borderId="48" xfId="0" applyFont="1" applyFill="1" applyBorder="1" applyAlignment="1">
      <alignment horizontal="center" vertical="center" wrapText="1"/>
    </xf>
    <xf numFmtId="0" fontId="25" fillId="4" borderId="42" xfId="0" applyFont="1" applyFill="1" applyBorder="1" applyAlignment="1">
      <alignment horizontal="center" vertical="top" wrapText="1"/>
    </xf>
    <xf numFmtId="0" fontId="29" fillId="6" borderId="25" xfId="0" applyFont="1" applyFill="1" applyBorder="1" applyAlignment="1">
      <alignment horizontal="center" vertical="center" wrapText="1"/>
    </xf>
    <xf numFmtId="0" fontId="29" fillId="6" borderId="26" xfId="0" applyFont="1" applyFill="1" applyBorder="1" applyAlignment="1">
      <alignment horizontal="center" vertical="center" wrapText="1"/>
    </xf>
    <xf numFmtId="0" fontId="25" fillId="5" borderId="4" xfId="0" applyFont="1" applyFill="1" applyBorder="1"/>
    <xf numFmtId="0" fontId="29" fillId="5" borderId="0" xfId="0" applyFont="1" applyFill="1" applyAlignment="1">
      <alignment wrapText="1"/>
    </xf>
    <xf numFmtId="0" fontId="29" fillId="6" borderId="69" xfId="0" applyFont="1" applyFill="1" applyBorder="1" applyAlignment="1">
      <alignment horizontal="center" vertical="center" wrapText="1"/>
    </xf>
    <xf numFmtId="0" fontId="29" fillId="6" borderId="74" xfId="0" applyFont="1" applyFill="1" applyBorder="1" applyAlignment="1">
      <alignment horizontal="center" vertical="center" wrapText="1"/>
    </xf>
    <xf numFmtId="0" fontId="29" fillId="6" borderId="42" xfId="0" applyFont="1" applyFill="1" applyBorder="1" applyAlignment="1">
      <alignment horizontal="center" vertical="center" wrapText="1"/>
    </xf>
    <xf numFmtId="0" fontId="25" fillId="4" borderId="31" xfId="0" applyFont="1" applyFill="1" applyBorder="1" applyAlignment="1">
      <alignment horizontal="center" vertical="top" wrapText="1"/>
    </xf>
    <xf numFmtId="0" fontId="29" fillId="6" borderId="60" xfId="0" applyFont="1" applyFill="1" applyBorder="1" applyAlignment="1">
      <alignment horizontal="center" vertical="center" wrapText="1"/>
    </xf>
    <xf numFmtId="0" fontId="29" fillId="6" borderId="47" xfId="0" applyFont="1" applyFill="1" applyBorder="1"/>
    <xf numFmtId="0" fontId="14" fillId="5" borderId="0" xfId="0" applyFont="1" applyFill="1"/>
    <xf numFmtId="0" fontId="14" fillId="7" borderId="0" xfId="0" applyFont="1" applyFill="1" applyAlignment="1">
      <alignment vertical="center" wrapText="1"/>
    </xf>
    <xf numFmtId="0" fontId="25" fillId="2" borderId="44" xfId="0" applyFont="1" applyFill="1" applyBorder="1" applyAlignment="1" applyProtection="1">
      <alignment horizontal="center" vertical="center" wrapText="1"/>
      <protection locked="0"/>
    </xf>
    <xf numFmtId="0" fontId="25" fillId="0" borderId="2" xfId="0" applyFont="1" applyBorder="1" applyAlignment="1" applyProtection="1">
      <alignment wrapText="1"/>
      <protection locked="0"/>
    </xf>
    <xf numFmtId="0" fontId="25" fillId="0" borderId="44" xfId="0" applyFont="1" applyBorder="1" applyAlignment="1" applyProtection="1">
      <alignment horizontal="center" vertical="center" wrapText="1"/>
      <protection locked="0"/>
    </xf>
    <xf numFmtId="0" fontId="29" fillId="7" borderId="27" xfId="0" applyFont="1" applyFill="1" applyBorder="1"/>
    <xf numFmtId="0" fontId="29" fillId="7" borderId="27" xfId="0" applyFont="1" applyFill="1" applyBorder="1" applyAlignment="1">
      <alignment horizontal="center" wrapText="1"/>
    </xf>
    <xf numFmtId="0" fontId="25" fillId="0" borderId="41" xfId="0" applyFont="1" applyBorder="1" applyAlignment="1" applyProtection="1">
      <alignment wrapText="1"/>
      <protection locked="0"/>
    </xf>
    <xf numFmtId="0" fontId="25" fillId="5" borderId="27" xfId="0" applyFont="1" applyFill="1" applyBorder="1"/>
    <xf numFmtId="0" fontId="25" fillId="0" borderId="41" xfId="0" applyFont="1" applyBorder="1" applyAlignment="1" applyProtection="1">
      <alignment horizontal="center" vertical="center" wrapText="1"/>
      <protection locked="0"/>
    </xf>
    <xf numFmtId="0" fontId="25" fillId="0" borderId="43" xfId="0" applyFont="1" applyBorder="1" applyAlignment="1" applyProtection="1">
      <alignment wrapText="1"/>
      <protection locked="0"/>
    </xf>
    <xf numFmtId="0" fontId="29" fillId="7" borderId="56" xfId="0" applyFont="1" applyFill="1" applyBorder="1" applyAlignment="1">
      <alignment horizontal="center" vertical="center" wrapText="1"/>
    </xf>
    <xf numFmtId="0" fontId="14" fillId="5" borderId="0" xfId="0" applyFont="1" applyFill="1" applyAlignment="1">
      <alignment vertical="center" wrapText="1"/>
    </xf>
    <xf numFmtId="0" fontId="25" fillId="7" borderId="33" xfId="0" applyFont="1" applyFill="1" applyBorder="1"/>
    <xf numFmtId="0" fontId="0" fillId="7" borderId="0" xfId="0" applyFill="1" applyAlignment="1">
      <alignment vertical="center"/>
    </xf>
    <xf numFmtId="0" fontId="25" fillId="0" borderId="42" xfId="0" applyFont="1" applyBorder="1" applyAlignment="1" applyProtection="1">
      <alignment horizontal="center" vertical="center"/>
      <protection locked="0"/>
    </xf>
    <xf numFmtId="0" fontId="25" fillId="2" borderId="42" xfId="0" applyFont="1" applyFill="1" applyBorder="1" applyAlignment="1" applyProtection="1">
      <alignment horizontal="center" vertical="center"/>
      <protection locked="0"/>
    </xf>
    <xf numFmtId="0" fontId="25" fillId="2" borderId="5"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2" fontId="29" fillId="15" borderId="52" xfId="0" applyNumberFormat="1" applyFont="1" applyFill="1" applyBorder="1" applyAlignment="1">
      <alignment horizontal="center" vertical="center" wrapText="1"/>
    </xf>
    <xf numFmtId="2" fontId="29" fillId="15" borderId="38" xfId="0" applyNumberFormat="1" applyFont="1" applyFill="1" applyBorder="1" applyAlignment="1">
      <alignment horizontal="center" vertical="center"/>
    </xf>
    <xf numFmtId="2" fontId="25" fillId="15" borderId="30" xfId="0" applyNumberFormat="1" applyFont="1" applyFill="1" applyBorder="1" applyAlignment="1">
      <alignment horizontal="center" vertical="center" wrapText="1"/>
    </xf>
    <xf numFmtId="2" fontId="25" fillId="16" borderId="5" xfId="0" applyNumberFormat="1" applyFont="1" applyFill="1" applyBorder="1" applyAlignment="1">
      <alignment horizontal="center" vertical="center"/>
    </xf>
    <xf numFmtId="2" fontId="25" fillId="16" borderId="21" xfId="0" applyNumberFormat="1" applyFont="1" applyFill="1" applyBorder="1" applyAlignment="1">
      <alignment horizontal="center" vertical="center"/>
    </xf>
    <xf numFmtId="2" fontId="25" fillId="16" borderId="42" xfId="0" applyNumberFormat="1" applyFont="1" applyFill="1" applyBorder="1" applyAlignment="1">
      <alignment horizontal="center" vertical="center"/>
    </xf>
    <xf numFmtId="2" fontId="25" fillId="16" borderId="19" xfId="0" applyNumberFormat="1" applyFont="1" applyFill="1" applyBorder="1" applyAlignment="1">
      <alignment horizontal="center" vertical="center" wrapText="1"/>
    </xf>
    <xf numFmtId="2" fontId="25" fillId="16" borderId="22" xfId="0" applyNumberFormat="1" applyFont="1" applyFill="1" applyBorder="1" applyAlignment="1">
      <alignment horizontal="center" vertical="center" wrapText="1"/>
    </xf>
    <xf numFmtId="2" fontId="25" fillId="16" borderId="19" xfId="0" applyNumberFormat="1" applyFont="1" applyFill="1" applyBorder="1" applyAlignment="1">
      <alignment horizontal="center" vertical="center"/>
    </xf>
    <xf numFmtId="2" fontId="25" fillId="16" borderId="21" xfId="0" applyNumberFormat="1" applyFont="1" applyFill="1" applyBorder="1" applyAlignment="1">
      <alignment horizontal="center" vertical="center" wrapText="1"/>
    </xf>
    <xf numFmtId="2" fontId="25" fillId="16" borderId="17" xfId="0" applyNumberFormat="1" applyFont="1" applyFill="1" applyBorder="1" applyAlignment="1">
      <alignment horizontal="center" vertical="center"/>
    </xf>
    <xf numFmtId="2" fontId="25" fillId="16" borderId="18" xfId="0" applyNumberFormat="1" applyFont="1" applyFill="1" applyBorder="1" applyAlignment="1">
      <alignment horizontal="center" vertical="center"/>
    </xf>
    <xf numFmtId="2" fontId="25" fillId="16" borderId="10" xfId="0" applyNumberFormat="1" applyFont="1" applyFill="1" applyBorder="1" applyAlignment="1">
      <alignment horizontal="center" vertical="center"/>
    </xf>
    <xf numFmtId="2" fontId="25" fillId="16" borderId="11" xfId="0" applyNumberFormat="1" applyFont="1" applyFill="1" applyBorder="1" applyAlignment="1">
      <alignment horizontal="center" vertical="center"/>
    </xf>
    <xf numFmtId="2" fontId="25" fillId="16" borderId="5" xfId="0" applyNumberFormat="1" applyFont="1" applyFill="1" applyBorder="1"/>
    <xf numFmtId="2" fontId="25" fillId="16" borderId="66" xfId="0" applyNumberFormat="1" applyFont="1" applyFill="1" applyBorder="1" applyAlignment="1">
      <alignment horizontal="center" vertical="center"/>
    </xf>
    <xf numFmtId="0" fontId="25" fillId="16" borderId="25" xfId="0" applyFont="1" applyFill="1" applyBorder="1" applyAlignment="1">
      <alignment horizontal="center" vertical="center" wrapText="1"/>
    </xf>
    <xf numFmtId="0" fontId="25" fillId="16" borderId="26" xfId="0" applyFont="1" applyFill="1" applyBorder="1" applyAlignment="1">
      <alignment horizontal="center" vertical="center" wrapText="1"/>
    </xf>
    <xf numFmtId="0" fontId="25" fillId="16" borderId="13" xfId="0" applyFont="1" applyFill="1" applyBorder="1" applyAlignment="1">
      <alignment horizontal="center" vertical="center" wrapText="1"/>
    </xf>
    <xf numFmtId="0" fontId="25" fillId="16" borderId="22" xfId="0" applyFont="1" applyFill="1" applyBorder="1" applyAlignment="1">
      <alignment horizontal="center" vertical="center" wrapText="1"/>
    </xf>
    <xf numFmtId="2" fontId="29" fillId="15" borderId="54" xfId="0" applyNumberFormat="1" applyFont="1" applyFill="1" applyBorder="1" applyAlignment="1">
      <alignment horizontal="center" vertical="center" wrapText="1"/>
    </xf>
    <xf numFmtId="0" fontId="25" fillId="16" borderId="17" xfId="0" applyFont="1" applyFill="1" applyBorder="1" applyAlignment="1">
      <alignment horizontal="center" vertical="center" wrapText="1"/>
    </xf>
    <xf numFmtId="0" fontId="25" fillId="16" borderId="67" xfId="0" applyFont="1" applyFill="1" applyBorder="1" applyAlignment="1">
      <alignment horizontal="center" vertical="center" wrapText="1"/>
    </xf>
    <xf numFmtId="0" fontId="25" fillId="16" borderId="44" xfId="0" applyFont="1" applyFill="1" applyBorder="1" applyAlignment="1">
      <alignment horizontal="center" vertical="center" wrapText="1"/>
    </xf>
    <xf numFmtId="0" fontId="25" fillId="16" borderId="42" xfId="0" applyFont="1" applyFill="1" applyBorder="1" applyAlignment="1">
      <alignment horizontal="center" vertical="center" wrapText="1"/>
    </xf>
    <xf numFmtId="0" fontId="25" fillId="16" borderId="18" xfId="0" applyFont="1" applyFill="1" applyBorder="1" applyAlignment="1">
      <alignment horizontal="center" vertical="center" wrapText="1"/>
    </xf>
    <xf numFmtId="0" fontId="25" fillId="16" borderId="64" xfId="0" applyFont="1" applyFill="1" applyBorder="1" applyAlignment="1">
      <alignment horizontal="center" vertical="center" wrapText="1"/>
    </xf>
    <xf numFmtId="0" fontId="25" fillId="16" borderId="45" xfId="0" applyFont="1" applyFill="1" applyBorder="1" applyAlignment="1">
      <alignment horizontal="center" vertical="center" wrapText="1"/>
    </xf>
    <xf numFmtId="2" fontId="25" fillId="16" borderId="42" xfId="0" applyNumberFormat="1" applyFont="1" applyFill="1" applyBorder="1" applyAlignment="1">
      <alignment horizontal="center" vertical="center" wrapText="1"/>
    </xf>
    <xf numFmtId="2" fontId="25" fillId="16" borderId="18" xfId="0" applyNumberFormat="1" applyFont="1" applyFill="1" applyBorder="1" applyAlignment="1">
      <alignment horizontal="center" vertical="center" wrapText="1"/>
    </xf>
    <xf numFmtId="2" fontId="25" fillId="15" borderId="49" xfId="0" applyNumberFormat="1" applyFont="1" applyFill="1" applyBorder="1" applyAlignment="1">
      <alignment horizontal="center" vertical="center" wrapText="1"/>
    </xf>
    <xf numFmtId="2" fontId="29" fillId="15" borderId="11" xfId="0" applyNumberFormat="1" applyFont="1" applyFill="1" applyBorder="1" applyAlignment="1">
      <alignment horizontal="center" vertical="center"/>
    </xf>
    <xf numFmtId="2" fontId="25" fillId="15" borderId="42" xfId="0" applyNumberFormat="1" applyFont="1" applyFill="1" applyBorder="1" applyAlignment="1">
      <alignment horizontal="center" vertical="center" wrapText="1"/>
    </xf>
    <xf numFmtId="2" fontId="29" fillId="15" borderId="9" xfId="0" applyNumberFormat="1" applyFont="1" applyFill="1" applyBorder="1" applyAlignment="1">
      <alignment horizontal="center" vertical="center"/>
    </xf>
    <xf numFmtId="2" fontId="29" fillId="15" borderId="10" xfId="0" applyNumberFormat="1" applyFont="1" applyFill="1" applyBorder="1" applyAlignment="1">
      <alignment horizontal="center" vertical="center"/>
    </xf>
    <xf numFmtId="2" fontId="29" fillId="15" borderId="11" xfId="0" applyNumberFormat="1" applyFont="1" applyFill="1" applyBorder="1" applyAlignment="1">
      <alignment horizontal="center" vertical="center" wrapText="1"/>
    </xf>
    <xf numFmtId="0" fontId="25" fillId="16" borderId="5" xfId="0" applyFont="1" applyFill="1" applyBorder="1" applyAlignment="1">
      <alignment horizontal="center" vertical="center" wrapText="1"/>
    </xf>
    <xf numFmtId="0" fontId="25" fillId="16" borderId="42" xfId="0" applyFont="1" applyFill="1" applyBorder="1" applyAlignment="1">
      <alignment horizontal="center" vertical="center"/>
    </xf>
    <xf numFmtId="165" fontId="25" fillId="16" borderId="26" xfId="0" applyNumberFormat="1" applyFont="1" applyFill="1" applyBorder="1" applyAlignment="1">
      <alignment horizontal="center" vertical="center" wrapText="1"/>
    </xf>
    <xf numFmtId="0" fontId="25" fillId="16" borderId="6" xfId="0" applyFont="1" applyFill="1" applyBorder="1" applyAlignment="1">
      <alignment horizontal="center" vertical="center" wrapText="1"/>
    </xf>
    <xf numFmtId="0" fontId="25" fillId="16" borderId="21" xfId="0" applyFont="1" applyFill="1" applyBorder="1" applyAlignment="1">
      <alignment horizontal="center" vertical="center" wrapText="1"/>
    </xf>
    <xf numFmtId="0" fontId="25" fillId="16" borderId="18" xfId="0" applyFont="1" applyFill="1" applyBorder="1" applyAlignment="1">
      <alignment horizontal="center" vertical="center"/>
    </xf>
    <xf numFmtId="0" fontId="25" fillId="16" borderId="58" xfId="0" applyFont="1" applyFill="1" applyBorder="1" applyAlignment="1">
      <alignment horizontal="center" vertical="center" wrapText="1"/>
    </xf>
    <xf numFmtId="2" fontId="25" fillId="15" borderId="67" xfId="0" applyNumberFormat="1" applyFont="1" applyFill="1" applyBorder="1" applyAlignment="1">
      <alignment horizontal="center" vertical="center" wrapText="1"/>
    </xf>
    <xf numFmtId="2" fontId="25" fillId="15" borderId="64" xfId="0" applyNumberFormat="1" applyFont="1" applyFill="1" applyBorder="1" applyAlignment="1">
      <alignment horizontal="center" vertical="center" wrapText="1"/>
    </xf>
    <xf numFmtId="0" fontId="33" fillId="16" borderId="12" xfId="9" applyFont="1" applyFill="1" applyBorder="1" applyAlignment="1">
      <alignment horizontal="center" vertical="center"/>
    </xf>
    <xf numFmtId="2" fontId="25" fillId="16" borderId="5" xfId="0" applyNumberFormat="1" applyFont="1" applyFill="1" applyBorder="1" applyAlignment="1">
      <alignment horizontal="center" vertical="center" wrapText="1"/>
    </xf>
    <xf numFmtId="0" fontId="33" fillId="16" borderId="41" xfId="9" applyFont="1" applyFill="1" applyBorder="1" applyAlignment="1">
      <alignment horizontal="center" vertical="center"/>
    </xf>
    <xf numFmtId="0" fontId="25" fillId="16" borderId="66" xfId="0" applyFont="1" applyFill="1" applyBorder="1" applyAlignment="1">
      <alignment horizontal="center" vertical="center" wrapText="1"/>
    </xf>
    <xf numFmtId="2" fontId="25" fillId="16" borderId="66" xfId="0" applyNumberFormat="1" applyFont="1" applyFill="1" applyBorder="1" applyAlignment="1">
      <alignment horizontal="center" vertical="center" wrapText="1"/>
    </xf>
    <xf numFmtId="0" fontId="25" fillId="16" borderId="43" xfId="0" applyFont="1" applyFill="1" applyBorder="1" applyAlignment="1">
      <alignment horizontal="center" vertical="center" wrapText="1"/>
    </xf>
    <xf numFmtId="0" fontId="25" fillId="16" borderId="12" xfId="0" applyFont="1" applyFill="1" applyBorder="1" applyAlignment="1">
      <alignment horizontal="center" vertical="center" wrapText="1"/>
    </xf>
    <xf numFmtId="0" fontId="25" fillId="16" borderId="41" xfId="0" applyFont="1" applyFill="1" applyBorder="1" applyAlignment="1">
      <alignment horizontal="center" vertical="center" wrapText="1"/>
    </xf>
    <xf numFmtId="0" fontId="25" fillId="16" borderId="2" xfId="0" applyFont="1" applyFill="1" applyBorder="1" applyAlignment="1">
      <alignment horizontal="center" vertical="center"/>
    </xf>
    <xf numFmtId="0" fontId="25" fillId="16" borderId="60" xfId="0" applyFont="1" applyFill="1" applyBorder="1" applyAlignment="1">
      <alignment horizontal="center" vertical="center" wrapText="1"/>
    </xf>
    <xf numFmtId="165" fontId="25" fillId="16" borderId="43" xfId="0" applyNumberFormat="1" applyFont="1" applyFill="1" applyBorder="1" applyAlignment="1">
      <alignment horizontal="center" vertical="center" wrapText="1"/>
    </xf>
    <xf numFmtId="2" fontId="29" fillId="15" borderId="38" xfId="0" applyNumberFormat="1" applyFont="1" applyFill="1" applyBorder="1" applyAlignment="1">
      <alignment horizontal="center" vertical="center" wrapText="1"/>
    </xf>
    <xf numFmtId="0" fontId="25" fillId="16" borderId="5" xfId="0" applyFont="1" applyFill="1" applyBorder="1" applyAlignment="1">
      <alignment horizontal="center" vertical="center"/>
    </xf>
    <xf numFmtId="2" fontId="25" fillId="15" borderId="26" xfId="0" applyNumberFormat="1" applyFont="1" applyFill="1" applyBorder="1" applyAlignment="1">
      <alignment horizontal="center" vertical="center" wrapText="1"/>
    </xf>
    <xf numFmtId="2" fontId="25" fillId="15" borderId="22" xfId="0" applyNumberFormat="1" applyFont="1" applyFill="1" applyBorder="1" applyAlignment="1">
      <alignment horizontal="center" vertical="center" wrapText="1"/>
    </xf>
    <xf numFmtId="2" fontId="29" fillId="15" borderId="54" xfId="0" applyNumberFormat="1" applyFont="1" applyFill="1" applyBorder="1" applyAlignment="1">
      <alignment horizontal="center" vertical="center"/>
    </xf>
    <xf numFmtId="0" fontId="25" fillId="16" borderId="2" xfId="0" applyFont="1" applyFill="1" applyBorder="1" applyAlignment="1">
      <alignment horizontal="center" vertical="center" wrapText="1"/>
    </xf>
    <xf numFmtId="2" fontId="29" fillId="15" borderId="59" xfId="0" applyNumberFormat="1" applyFont="1" applyFill="1" applyBorder="1" applyAlignment="1">
      <alignment horizontal="center" vertical="center" wrapText="1"/>
    </xf>
    <xf numFmtId="2" fontId="25" fillId="15" borderId="40" xfId="0" applyNumberFormat="1" applyFont="1" applyFill="1" applyBorder="1" applyAlignment="1">
      <alignment horizontal="center" vertical="center" wrapText="1"/>
    </xf>
    <xf numFmtId="2" fontId="29" fillId="15" borderId="30" xfId="0" applyNumberFormat="1" applyFont="1" applyFill="1" applyBorder="1" applyAlignment="1">
      <alignment horizontal="center" vertical="center" wrapText="1"/>
    </xf>
    <xf numFmtId="2" fontId="25" fillId="15" borderId="21" xfId="0" applyNumberFormat="1" applyFont="1" applyFill="1" applyBorder="1" applyAlignment="1">
      <alignment horizontal="center" vertical="center" wrapText="1"/>
    </xf>
    <xf numFmtId="0" fontId="33" fillId="16" borderId="13" xfId="9" applyFont="1" applyFill="1" applyBorder="1" applyAlignment="1">
      <alignment horizontal="center" vertical="center"/>
    </xf>
    <xf numFmtId="0" fontId="25" fillId="16" borderId="4" xfId="0" applyFont="1" applyFill="1" applyBorder="1" applyAlignment="1">
      <alignment horizontal="center" vertical="center" wrapText="1"/>
    </xf>
    <xf numFmtId="0" fontId="25" fillId="16" borderId="32" xfId="0" applyFont="1" applyFill="1" applyBorder="1" applyAlignment="1">
      <alignment horizontal="center" vertical="center" wrapText="1"/>
    </xf>
    <xf numFmtId="2" fontId="29" fillId="15" borderId="24" xfId="0" applyNumberFormat="1" applyFont="1" applyFill="1" applyBorder="1" applyAlignment="1">
      <alignment horizontal="center" vertical="center" wrapText="1"/>
    </xf>
    <xf numFmtId="165" fontId="25" fillId="16" borderId="42" xfId="0" applyNumberFormat="1" applyFont="1" applyFill="1" applyBorder="1" applyAlignment="1">
      <alignment horizontal="center" vertical="center" wrapText="1"/>
    </xf>
    <xf numFmtId="2" fontId="29" fillId="15" borderId="76" xfId="0" applyNumberFormat="1" applyFont="1" applyFill="1" applyBorder="1" applyAlignment="1">
      <alignment horizontal="center" vertical="center" wrapText="1"/>
    </xf>
    <xf numFmtId="0" fontId="25" fillId="16" borderId="49" xfId="0" applyFont="1" applyFill="1" applyBorder="1" applyAlignment="1">
      <alignment horizontal="center" vertical="center" wrapText="1"/>
    </xf>
    <xf numFmtId="0" fontId="25" fillId="16" borderId="40" xfId="0" applyFont="1" applyFill="1" applyBorder="1" applyAlignment="1">
      <alignment horizontal="center" vertical="center" wrapText="1"/>
    </xf>
    <xf numFmtId="0" fontId="25" fillId="16" borderId="5" xfId="0" applyFont="1" applyFill="1" applyBorder="1" applyAlignment="1">
      <alignment horizontal="center"/>
    </xf>
    <xf numFmtId="0" fontId="29" fillId="16" borderId="5" xfId="0" applyFont="1" applyFill="1" applyBorder="1" applyAlignment="1">
      <alignment horizontal="center" vertical="center"/>
    </xf>
    <xf numFmtId="0" fontId="25" fillId="16" borderId="5" xfId="0" applyFont="1" applyFill="1" applyBorder="1" applyAlignment="1">
      <alignment horizontal="center" vertical="top"/>
    </xf>
    <xf numFmtId="0" fontId="29" fillId="16" borderId="18" xfId="0" applyFont="1" applyFill="1" applyBorder="1" applyAlignment="1">
      <alignment horizontal="center" vertical="center"/>
    </xf>
    <xf numFmtId="0" fontId="29" fillId="16" borderId="42" xfId="0" applyFont="1" applyFill="1" applyBorder="1" applyAlignment="1">
      <alignment horizontal="center" vertical="center"/>
    </xf>
    <xf numFmtId="0" fontId="35" fillId="16" borderId="5" xfId="0" applyFont="1" applyFill="1" applyBorder="1" applyAlignment="1">
      <alignment horizontal="center" vertical="center"/>
    </xf>
    <xf numFmtId="0" fontId="33" fillId="16" borderId="18" xfId="0" applyFont="1" applyFill="1" applyBorder="1" applyAlignment="1">
      <alignment horizontal="center" vertical="center"/>
    </xf>
    <xf numFmtId="0" fontId="25" fillId="16" borderId="10" xfId="0" applyFont="1" applyFill="1" applyBorder="1" applyAlignment="1">
      <alignment horizontal="center" vertical="center"/>
    </xf>
    <xf numFmtId="0" fontId="25" fillId="16" borderId="10" xfId="0" applyFont="1" applyFill="1" applyBorder="1" applyAlignment="1">
      <alignment horizontal="center" vertical="center" wrapText="1"/>
    </xf>
    <xf numFmtId="0" fontId="25" fillId="16" borderId="42" xfId="0" applyFont="1" applyFill="1" applyBorder="1"/>
    <xf numFmtId="0" fontId="25" fillId="16" borderId="5" xfId="0" applyFont="1" applyFill="1" applyBorder="1"/>
    <xf numFmtId="2" fontId="25" fillId="16" borderId="5" xfId="0" applyNumberFormat="1" applyFont="1" applyFill="1" applyBorder="1" applyAlignment="1">
      <alignment vertical="top"/>
    </xf>
    <xf numFmtId="0" fontId="25" fillId="16" borderId="0" xfId="0" applyFont="1" applyFill="1" applyAlignment="1">
      <alignment horizontal="center" vertical="center"/>
    </xf>
    <xf numFmtId="0" fontId="25" fillId="16" borderId="5" xfId="0" applyFont="1" applyFill="1" applyBorder="1" applyAlignment="1">
      <alignment wrapText="1"/>
    </xf>
    <xf numFmtId="0" fontId="25" fillId="16" borderId="22" xfId="0" applyFont="1" applyFill="1" applyBorder="1" applyAlignment="1">
      <alignment horizontal="center" vertical="center"/>
    </xf>
    <xf numFmtId="0" fontId="25" fillId="16" borderId="14" xfId="0" applyFont="1" applyFill="1" applyBorder="1" applyAlignment="1">
      <alignment horizontal="center" vertical="center" wrapText="1"/>
    </xf>
    <xf numFmtId="0" fontId="25" fillId="16" borderId="19" xfId="0" applyFont="1" applyFill="1" applyBorder="1" applyAlignment="1">
      <alignment horizontal="center" vertical="center"/>
    </xf>
    <xf numFmtId="0" fontId="25" fillId="16" borderId="14" xfId="0" applyFont="1" applyFill="1" applyBorder="1" applyAlignment="1">
      <alignment horizontal="center" vertical="center"/>
    </xf>
    <xf numFmtId="0" fontId="25" fillId="16" borderId="17" xfId="0" applyFont="1" applyFill="1" applyBorder="1" applyAlignment="1">
      <alignment horizontal="center" vertical="center"/>
    </xf>
    <xf numFmtId="0" fontId="25" fillId="16" borderId="15" xfId="0" applyFont="1" applyFill="1" applyBorder="1" applyAlignment="1">
      <alignment horizontal="center" vertical="center"/>
    </xf>
    <xf numFmtId="0" fontId="33" fillId="16" borderId="5" xfId="0" applyFont="1" applyFill="1" applyBorder="1" applyAlignment="1">
      <alignment vertical="center" wrapText="1"/>
    </xf>
    <xf numFmtId="0" fontId="25" fillId="16" borderId="12" xfId="0" applyFont="1" applyFill="1" applyBorder="1" applyAlignment="1">
      <alignment horizontal="center" vertical="center"/>
    </xf>
    <xf numFmtId="0" fontId="25" fillId="16" borderId="21" xfId="0" applyFont="1" applyFill="1" applyBorder="1" applyAlignment="1">
      <alignment horizontal="center" vertical="center"/>
    </xf>
    <xf numFmtId="0" fontId="25" fillId="16" borderId="29" xfId="0" applyFont="1" applyFill="1" applyBorder="1" applyAlignment="1">
      <alignment horizontal="center" vertical="center" wrapText="1"/>
    </xf>
    <xf numFmtId="0" fontId="25" fillId="16" borderId="39" xfId="0" applyFont="1" applyFill="1" applyBorder="1" applyAlignment="1">
      <alignment horizontal="center" vertical="center"/>
    </xf>
    <xf numFmtId="0" fontId="25" fillId="16" borderId="55" xfId="0" applyFont="1" applyFill="1" applyBorder="1" applyAlignment="1">
      <alignment horizontal="center" vertical="center" wrapText="1"/>
    </xf>
    <xf numFmtId="0" fontId="25" fillId="16" borderId="13" xfId="0" applyFont="1" applyFill="1" applyBorder="1" applyAlignment="1">
      <alignment horizontal="center" vertical="center"/>
    </xf>
    <xf numFmtId="0" fontId="25" fillId="16" borderId="64" xfId="0" applyFont="1" applyFill="1" applyBorder="1" applyAlignment="1">
      <alignment horizontal="center" vertical="center"/>
    </xf>
    <xf numFmtId="0" fontId="25" fillId="16" borderId="26" xfId="0" applyFont="1" applyFill="1" applyBorder="1" applyAlignment="1">
      <alignment vertical="center"/>
    </xf>
    <xf numFmtId="0" fontId="25" fillId="16" borderId="21" xfId="0" applyFont="1" applyFill="1" applyBorder="1"/>
    <xf numFmtId="0" fontId="25" fillId="16" borderId="22" xfId="0" applyFont="1" applyFill="1" applyBorder="1"/>
    <xf numFmtId="0" fontId="33" fillId="16" borderId="5" xfId="0" applyFont="1" applyFill="1" applyBorder="1" applyAlignment="1">
      <alignment horizontal="center" vertical="center" wrapText="1"/>
    </xf>
    <xf numFmtId="0" fontId="29" fillId="17" borderId="5" xfId="0" applyFont="1" applyFill="1" applyBorder="1" applyAlignment="1">
      <alignment horizontal="center" vertical="top" wrapText="1"/>
    </xf>
    <xf numFmtId="0" fontId="29" fillId="11" borderId="5" xfId="0" applyFont="1" applyFill="1" applyBorder="1" applyAlignment="1">
      <alignment horizontal="center" vertical="top" wrapText="1"/>
    </xf>
    <xf numFmtId="0" fontId="29" fillId="10" borderId="5" xfId="0" applyFont="1" applyFill="1" applyBorder="1" applyAlignment="1">
      <alignment horizontal="center" vertical="top" wrapText="1"/>
    </xf>
    <xf numFmtId="0" fontId="29" fillId="16" borderId="5" xfId="0" applyFont="1" applyFill="1" applyBorder="1" applyAlignment="1">
      <alignment horizontal="center" vertical="top" wrapText="1"/>
    </xf>
    <xf numFmtId="0" fontId="14" fillId="6" borderId="46" xfId="0" applyFont="1" applyFill="1" applyBorder="1" applyAlignment="1">
      <alignment horizontal="center" vertical="center" wrapText="1"/>
    </xf>
    <xf numFmtId="0" fontId="14" fillId="6" borderId="10" xfId="0" applyFont="1" applyFill="1" applyBorder="1" applyAlignment="1">
      <alignment horizontal="center" vertical="center" wrapText="1"/>
    </xf>
    <xf numFmtId="0" fontId="25" fillId="3" borderId="29" xfId="0" applyFont="1" applyFill="1" applyBorder="1" applyAlignment="1">
      <alignment horizontal="left" vertical="top" wrapText="1"/>
    </xf>
    <xf numFmtId="0" fontId="25" fillId="3" borderId="55" xfId="0" applyFont="1" applyFill="1" applyBorder="1" applyAlignment="1">
      <alignment horizontal="left" vertical="top" wrapText="1"/>
    </xf>
    <xf numFmtId="0" fontId="25" fillId="3" borderId="40" xfId="0" applyFont="1" applyFill="1" applyBorder="1" applyAlignment="1">
      <alignment horizontal="left" vertical="top" wrapText="1"/>
    </xf>
    <xf numFmtId="0" fontId="29" fillId="3" borderId="75" xfId="0" applyFont="1" applyFill="1" applyBorder="1" applyAlignment="1">
      <alignment horizontal="center" vertical="center" wrapText="1"/>
    </xf>
    <xf numFmtId="0" fontId="29" fillId="3" borderId="75" xfId="0" applyFont="1" applyFill="1" applyBorder="1" applyAlignment="1">
      <alignment vertical="center" wrapText="1"/>
    </xf>
    <xf numFmtId="0" fontId="29" fillId="3" borderId="61" xfId="0" applyFont="1" applyFill="1" applyBorder="1" applyAlignment="1">
      <alignment vertical="center" wrapText="1"/>
    </xf>
    <xf numFmtId="0" fontId="25" fillId="3" borderId="48" xfId="0" applyFont="1" applyFill="1" applyBorder="1" applyAlignment="1">
      <alignment horizontal="center" vertical="center" wrapText="1"/>
    </xf>
    <xf numFmtId="0" fontId="25" fillId="16" borderId="2" xfId="0" applyFont="1" applyFill="1" applyBorder="1"/>
    <xf numFmtId="0" fontId="25" fillId="16" borderId="6" xfId="0" applyFont="1" applyFill="1" applyBorder="1"/>
    <xf numFmtId="0" fontId="25" fillId="16" borderId="26" xfId="0" applyFont="1" applyFill="1" applyBorder="1" applyAlignment="1">
      <alignment horizontal="center" vertical="center"/>
    </xf>
    <xf numFmtId="165" fontId="25" fillId="16" borderId="5" xfId="0" applyNumberFormat="1" applyFont="1" applyFill="1" applyBorder="1" applyAlignment="1">
      <alignment horizontal="center" vertical="center"/>
    </xf>
    <xf numFmtId="0" fontId="25" fillId="16" borderId="0" xfId="0" applyFont="1" applyFill="1" applyAlignment="1">
      <alignment wrapText="1"/>
    </xf>
    <xf numFmtId="0" fontId="25" fillId="16" borderId="5" xfId="0" applyFont="1" applyFill="1" applyBorder="1" applyAlignment="1">
      <alignment vertical="top"/>
    </xf>
    <xf numFmtId="166" fontId="25" fillId="16" borderId="5" xfId="0" applyNumberFormat="1" applyFont="1" applyFill="1" applyBorder="1" applyAlignment="1">
      <alignment horizontal="center" vertical="center"/>
    </xf>
    <xf numFmtId="0" fontId="22" fillId="16" borderId="5" xfId="0" applyFont="1" applyFill="1" applyBorder="1"/>
    <xf numFmtId="0" fontId="22" fillId="16" borderId="6" xfId="0" applyFont="1" applyFill="1" applyBorder="1"/>
    <xf numFmtId="0" fontId="25" fillId="7" borderId="0" xfId="0" applyFont="1" applyFill="1" applyAlignment="1">
      <alignment horizontal="center"/>
    </xf>
    <xf numFmtId="0" fontId="29" fillId="6" borderId="22" xfId="0" applyFont="1" applyFill="1" applyBorder="1" applyAlignment="1">
      <alignment horizontal="center" vertical="center"/>
    </xf>
    <xf numFmtId="0" fontId="29" fillId="6" borderId="12" xfId="0" applyFont="1" applyFill="1" applyBorder="1" applyAlignment="1">
      <alignment horizontal="center" vertical="center"/>
    </xf>
    <xf numFmtId="0" fontId="29" fillId="5" borderId="0" xfId="0" applyFont="1" applyFill="1" applyAlignment="1">
      <alignment vertical="center"/>
    </xf>
    <xf numFmtId="0" fontId="14" fillId="7" borderId="0" xfId="0" applyFont="1" applyFill="1" applyAlignment="1">
      <alignment vertical="center"/>
    </xf>
    <xf numFmtId="2" fontId="29" fillId="6" borderId="19" xfId="0" applyNumberFormat="1" applyFont="1" applyFill="1" applyBorder="1" applyAlignment="1">
      <alignment horizontal="center" vertical="center"/>
    </xf>
    <xf numFmtId="10" fontId="29" fillId="6" borderId="21" xfId="0" applyNumberFormat="1" applyFont="1" applyFill="1" applyBorder="1" applyAlignment="1">
      <alignment horizontal="center" vertical="center"/>
    </xf>
    <xf numFmtId="0" fontId="29" fillId="16" borderId="54" xfId="0" applyFont="1" applyFill="1" applyBorder="1" applyAlignment="1">
      <alignment horizontal="center"/>
    </xf>
    <xf numFmtId="0" fontId="25" fillId="16" borderId="5" xfId="0" applyFont="1" applyFill="1" applyBorder="1" applyAlignment="1">
      <alignment horizontal="left" vertical="center"/>
    </xf>
    <xf numFmtId="0" fontId="25" fillId="16" borderId="18" xfId="0" applyFont="1" applyFill="1" applyBorder="1" applyAlignment="1">
      <alignment horizontal="left" vertical="center"/>
    </xf>
    <xf numFmtId="0" fontId="25" fillId="16" borderId="42" xfId="0" applyFont="1" applyFill="1" applyBorder="1" applyAlignment="1">
      <alignment horizontal="left" vertical="center"/>
    </xf>
    <xf numFmtId="0" fontId="25" fillId="16" borderId="10" xfId="0" applyFont="1" applyFill="1" applyBorder="1" applyAlignment="1">
      <alignment horizontal="left" vertical="center"/>
    </xf>
    <xf numFmtId="0" fontId="25" fillId="16" borderId="5" xfId="0" applyFont="1" applyFill="1" applyBorder="1" applyAlignment="1">
      <alignment horizontal="left" vertical="center" wrapText="1"/>
    </xf>
    <xf numFmtId="0" fontId="25" fillId="16" borderId="18" xfId="0" applyFont="1" applyFill="1" applyBorder="1" applyAlignment="1">
      <alignment horizontal="left" vertical="center" wrapText="1"/>
    </xf>
    <xf numFmtId="0" fontId="25" fillId="16" borderId="42" xfId="0" applyFont="1" applyFill="1" applyBorder="1" applyAlignment="1">
      <alignment horizontal="left" vertical="center" wrapText="1"/>
    </xf>
    <xf numFmtId="0" fontId="29" fillId="6" borderId="1" xfId="0" applyFont="1" applyFill="1" applyBorder="1" applyAlignment="1">
      <alignment horizontal="center" vertical="center" wrapText="1"/>
    </xf>
    <xf numFmtId="0" fontId="25" fillId="2" borderId="62" xfId="0" applyFont="1" applyFill="1" applyBorder="1" applyAlignment="1" applyProtection="1">
      <alignment horizontal="left" vertical="top" wrapText="1"/>
      <protection locked="0"/>
    </xf>
    <xf numFmtId="0" fontId="25" fillId="2" borderId="16" xfId="0" applyFont="1" applyFill="1" applyBorder="1" applyAlignment="1" applyProtection="1">
      <alignment horizontal="left" vertical="top" wrapText="1"/>
      <protection locked="0"/>
    </xf>
    <xf numFmtId="0" fontId="25" fillId="2" borderId="63" xfId="0" applyFont="1" applyFill="1" applyBorder="1" applyAlignment="1" applyProtection="1">
      <alignment horizontal="left" vertical="top" wrapText="1"/>
      <protection locked="0"/>
    </xf>
    <xf numFmtId="0" fontId="29" fillId="6" borderId="14" xfId="0" applyFont="1" applyFill="1" applyBorder="1" applyAlignment="1">
      <alignment horizontal="center" vertical="center"/>
    </xf>
    <xf numFmtId="0" fontId="29" fillId="6" borderId="13" xfId="0" applyFont="1" applyFill="1" applyBorder="1" applyAlignment="1">
      <alignment horizontal="center" vertical="center"/>
    </xf>
    <xf numFmtId="0" fontId="29" fillId="3" borderId="5" xfId="0" applyFont="1" applyFill="1" applyBorder="1" applyAlignment="1">
      <alignment horizontal="left" wrapText="1"/>
    </xf>
    <xf numFmtId="0" fontId="15" fillId="3" borderId="5" xfId="0" applyFont="1" applyFill="1" applyBorder="1" applyAlignment="1">
      <alignment horizontal="left" wrapText="1"/>
    </xf>
    <xf numFmtId="0" fontId="15" fillId="3" borderId="5" xfId="0" applyFont="1" applyFill="1" applyBorder="1" applyAlignment="1">
      <alignment vertical="top" wrapText="1"/>
    </xf>
    <xf numFmtId="2" fontId="29" fillId="3" borderId="5" xfId="0" applyNumberFormat="1" applyFont="1" applyFill="1" applyBorder="1"/>
    <xf numFmtId="164" fontId="25" fillId="16" borderId="5" xfId="0" applyNumberFormat="1" applyFont="1" applyFill="1" applyBorder="1" applyAlignment="1">
      <alignment vertical="center"/>
    </xf>
    <xf numFmtId="164" fontId="25" fillId="16" borderId="5" xfId="0" applyNumberFormat="1" applyFont="1" applyFill="1" applyBorder="1"/>
    <xf numFmtId="0" fontId="29" fillId="15" borderId="35" xfId="0" applyFont="1" applyFill="1" applyBorder="1" applyAlignment="1">
      <alignment horizontal="center" vertical="center"/>
    </xf>
    <xf numFmtId="0" fontId="25" fillId="16" borderId="45" xfId="0" applyFont="1" applyFill="1" applyBorder="1" applyAlignment="1">
      <alignment horizontal="center" vertical="center"/>
    </xf>
    <xf numFmtId="0" fontId="25" fillId="2" borderId="33" xfId="0" applyFont="1" applyFill="1" applyBorder="1" applyAlignment="1" applyProtection="1">
      <alignment horizontal="center" vertical="center"/>
      <protection locked="0"/>
    </xf>
    <xf numFmtId="0" fontId="25" fillId="3" borderId="66" xfId="0" applyFont="1" applyFill="1" applyBorder="1" applyAlignment="1">
      <alignment horizontal="left" vertical="top"/>
    </xf>
    <xf numFmtId="0" fontId="25" fillId="16" borderId="66" xfId="0" applyFont="1" applyFill="1" applyBorder="1" applyAlignment="1">
      <alignment horizontal="center" vertical="center"/>
    </xf>
    <xf numFmtId="0" fontId="25" fillId="16" borderId="66" xfId="0" applyFont="1" applyFill="1" applyBorder="1" applyAlignment="1">
      <alignment horizontal="left" vertical="center" wrapText="1"/>
    </xf>
    <xf numFmtId="0" fontId="25" fillId="16" borderId="66" xfId="0" applyFont="1" applyFill="1" applyBorder="1" applyAlignment="1">
      <alignment horizontal="left" vertical="center"/>
    </xf>
    <xf numFmtId="2" fontId="29" fillId="5" borderId="0" xfId="0" applyNumberFormat="1" applyFont="1" applyFill="1" applyAlignment="1">
      <alignment horizontal="center" vertical="center"/>
    </xf>
    <xf numFmtId="0" fontId="25" fillId="3" borderId="66" xfId="0" applyFont="1" applyFill="1" applyBorder="1" applyAlignment="1">
      <alignment wrapText="1"/>
    </xf>
    <xf numFmtId="0" fontId="25" fillId="16" borderId="51" xfId="0" applyFont="1" applyFill="1" applyBorder="1" applyAlignment="1">
      <alignment horizontal="center" vertical="center"/>
    </xf>
    <xf numFmtId="0" fontId="25" fillId="3" borderId="10" xfId="0" applyFont="1" applyFill="1" applyBorder="1" applyAlignment="1">
      <alignment wrapText="1"/>
    </xf>
    <xf numFmtId="10" fontId="29" fillId="2" borderId="21" xfId="0" applyNumberFormat="1" applyFont="1" applyFill="1" applyBorder="1" applyAlignment="1">
      <alignment horizontal="center" vertical="center"/>
    </xf>
    <xf numFmtId="0" fontId="25" fillId="2" borderId="36" xfId="0" applyFont="1" applyFill="1" applyBorder="1" applyAlignment="1" applyProtection="1">
      <alignment horizontal="center" vertical="center" wrapText="1"/>
      <protection locked="0"/>
    </xf>
    <xf numFmtId="0" fontId="25" fillId="3" borderId="17" xfId="0" applyFont="1" applyFill="1" applyBorder="1" applyAlignment="1">
      <alignment horizontal="left" vertical="top"/>
    </xf>
    <xf numFmtId="0" fontId="31" fillId="7" borderId="0" xfId="0" applyFont="1" applyFill="1"/>
    <xf numFmtId="0" fontId="25" fillId="3" borderId="66" xfId="0" applyFont="1" applyFill="1" applyBorder="1" applyAlignment="1">
      <alignment horizontal="center" vertical="center" wrapText="1"/>
    </xf>
    <xf numFmtId="0" fontId="29" fillId="2" borderId="54" xfId="0" applyFont="1" applyFill="1" applyBorder="1" applyAlignment="1" applyProtection="1">
      <alignment horizontal="center" vertical="center"/>
      <protection locked="0"/>
    </xf>
    <xf numFmtId="2" fontId="25" fillId="16" borderId="74" xfId="0" applyNumberFormat="1" applyFont="1" applyFill="1" applyBorder="1" applyAlignment="1">
      <alignment horizontal="center" vertical="center"/>
    </xf>
    <xf numFmtId="2" fontId="25" fillId="16" borderId="22" xfId="0" applyNumberFormat="1" applyFont="1" applyFill="1" applyBorder="1" applyAlignment="1">
      <alignment horizontal="center" vertical="center"/>
    </xf>
    <xf numFmtId="0" fontId="40" fillId="6" borderId="5" xfId="0" applyFont="1" applyFill="1" applyBorder="1" applyAlignment="1">
      <alignment horizontal="center" vertical="center" wrapText="1"/>
    </xf>
    <xf numFmtId="2" fontId="40" fillId="16" borderId="21" xfId="0" applyNumberFormat="1" applyFont="1" applyFill="1" applyBorder="1" applyAlignment="1">
      <alignment horizontal="center" vertical="center" wrapText="1"/>
    </xf>
    <xf numFmtId="0" fontId="15" fillId="5" borderId="0" xfId="0" applyFont="1" applyFill="1" applyAlignment="1">
      <alignment horizontal="center" vertical="center" wrapText="1"/>
    </xf>
    <xf numFmtId="0" fontId="28" fillId="5" borderId="0" xfId="0" applyFont="1" applyFill="1" applyAlignment="1">
      <alignment vertical="center" wrapText="1"/>
    </xf>
    <xf numFmtId="2" fontId="25" fillId="5" borderId="0" xfId="0" applyNumberFormat="1" applyFont="1" applyFill="1" applyAlignment="1">
      <alignment horizontal="center" vertical="center"/>
    </xf>
    <xf numFmtId="0" fontId="27" fillId="5" borderId="0" xfId="0" applyFont="1" applyFill="1" applyAlignment="1">
      <alignment vertical="center" wrapText="1"/>
    </xf>
    <xf numFmtId="2" fontId="25" fillId="5" borderId="0" xfId="0" applyNumberFormat="1" applyFont="1" applyFill="1" applyAlignment="1">
      <alignment vertical="center"/>
    </xf>
    <xf numFmtId="2" fontId="29" fillId="15" borderId="8" xfId="0" applyNumberFormat="1" applyFont="1" applyFill="1" applyBorder="1" applyAlignment="1">
      <alignment horizontal="center" vertical="center"/>
    </xf>
    <xf numFmtId="2" fontId="29" fillId="15" borderId="52" xfId="0" applyNumberFormat="1" applyFont="1" applyFill="1" applyBorder="1" applyAlignment="1">
      <alignment horizontal="center" vertical="center"/>
    </xf>
    <xf numFmtId="2" fontId="29" fillId="15" borderId="48" xfId="0" applyNumberFormat="1" applyFont="1" applyFill="1" applyBorder="1" applyAlignment="1">
      <alignment horizontal="center" vertical="center" wrapText="1"/>
    </xf>
    <xf numFmtId="0" fontId="33" fillId="3" borderId="12" xfId="10" applyFont="1" applyFill="1" applyBorder="1" applyAlignment="1">
      <alignment vertical="center" wrapText="1"/>
    </xf>
    <xf numFmtId="0" fontId="33" fillId="3" borderId="12" xfId="10" applyFont="1" applyFill="1" applyBorder="1" applyAlignment="1">
      <alignment wrapText="1"/>
    </xf>
    <xf numFmtId="0" fontId="25" fillId="16" borderId="21" xfId="0" applyFont="1" applyFill="1" applyBorder="1" applyAlignment="1">
      <alignment horizontal="center"/>
    </xf>
    <xf numFmtId="0" fontId="33" fillId="3" borderId="13" xfId="10" applyFont="1" applyFill="1" applyBorder="1" applyAlignment="1">
      <alignment vertical="center" wrapText="1"/>
    </xf>
    <xf numFmtId="0" fontId="25" fillId="5" borderId="0" xfId="0" applyFont="1" applyFill="1" applyAlignment="1">
      <alignment horizontal="left" vertical="center"/>
    </xf>
    <xf numFmtId="0" fontId="10" fillId="7" borderId="0" xfId="0" applyFont="1" applyFill="1"/>
    <xf numFmtId="2" fontId="25" fillId="5" borderId="0" xfId="0" applyNumberFormat="1" applyFont="1" applyFill="1" applyAlignment="1">
      <alignment horizontal="center" vertical="center" wrapText="1"/>
    </xf>
    <xf numFmtId="0" fontId="25" fillId="6" borderId="5" xfId="0" applyFont="1" applyFill="1" applyBorder="1"/>
    <xf numFmtId="164" fontId="25" fillId="16" borderId="5" xfId="0" applyNumberFormat="1" applyFont="1" applyFill="1" applyBorder="1" applyAlignment="1">
      <alignment horizontal="right" vertical="center"/>
    </xf>
    <xf numFmtId="0" fontId="29" fillId="3" borderId="5" xfId="0" applyFont="1" applyFill="1" applyBorder="1" applyAlignment="1">
      <alignment vertical="center" wrapText="1"/>
    </xf>
    <xf numFmtId="0" fontId="29" fillId="3" borderId="74" xfId="0" applyFont="1" applyFill="1" applyBorder="1" applyAlignment="1">
      <alignment horizontal="center" vertical="center" wrapText="1"/>
    </xf>
    <xf numFmtId="0" fontId="29" fillId="3" borderId="71" xfId="0" applyFont="1" applyFill="1" applyBorder="1" applyAlignment="1">
      <alignment horizontal="center" vertical="center" wrapText="1"/>
    </xf>
    <xf numFmtId="0" fontId="24" fillId="7" borderId="0" xfId="0" applyFont="1" applyFill="1" applyAlignment="1">
      <alignment horizontal="center" vertical="center"/>
    </xf>
    <xf numFmtId="2" fontId="25" fillId="15" borderId="60" xfId="0" applyNumberFormat="1" applyFont="1" applyFill="1" applyBorder="1" applyAlignment="1">
      <alignment horizontal="center" vertical="center" wrapText="1"/>
    </xf>
    <xf numFmtId="0" fontId="44" fillId="5" borderId="0" xfId="0" applyFont="1" applyFill="1" applyAlignment="1">
      <alignment vertical="center"/>
    </xf>
    <xf numFmtId="0" fontId="43" fillId="5" borderId="0" xfId="0" applyFont="1" applyFill="1" applyAlignment="1">
      <alignment vertical="center" wrapText="1"/>
    </xf>
    <xf numFmtId="0" fontId="43" fillId="5" borderId="0" xfId="0" applyFont="1" applyFill="1" applyAlignment="1">
      <alignment vertical="center"/>
    </xf>
    <xf numFmtId="0" fontId="29" fillId="6" borderId="37" xfId="0" applyFont="1" applyFill="1" applyBorder="1" applyAlignment="1">
      <alignment horizontal="center" vertical="center" wrapText="1"/>
    </xf>
    <xf numFmtId="0" fontId="25" fillId="2" borderId="40" xfId="0" applyFont="1" applyFill="1" applyBorder="1" applyAlignment="1" applyProtection="1">
      <alignment wrapText="1"/>
      <protection locked="0"/>
    </xf>
    <xf numFmtId="0" fontId="15" fillId="3" borderId="7" xfId="0" applyFont="1" applyFill="1" applyBorder="1"/>
    <xf numFmtId="0" fontId="15" fillId="3" borderId="72" xfId="0" applyFont="1" applyFill="1" applyBorder="1"/>
    <xf numFmtId="0" fontId="15" fillId="3" borderId="37" xfId="0" applyFont="1" applyFill="1" applyBorder="1"/>
    <xf numFmtId="0" fontId="33" fillId="3" borderId="14" xfId="10" applyFont="1" applyFill="1" applyBorder="1" applyAlignment="1">
      <alignment vertical="center" wrapText="1"/>
    </xf>
    <xf numFmtId="0" fontId="25" fillId="7" borderId="5" xfId="0" applyFont="1" applyFill="1" applyBorder="1" applyAlignment="1">
      <alignment horizontal="left" vertical="top" wrapText="1"/>
    </xf>
    <xf numFmtId="0" fontId="25" fillId="7" borderId="66" xfId="0" applyFont="1" applyFill="1" applyBorder="1" applyAlignment="1">
      <alignment horizontal="left" vertical="top" wrapText="1"/>
    </xf>
    <xf numFmtId="0" fontId="25" fillId="7" borderId="42" xfId="0" applyFont="1" applyFill="1" applyBorder="1" applyAlignment="1">
      <alignment horizontal="left" vertical="top" wrapText="1"/>
    </xf>
    <xf numFmtId="0" fontId="25" fillId="7" borderId="66" xfId="0" applyFont="1" applyFill="1" applyBorder="1" applyAlignment="1">
      <alignment wrapText="1"/>
    </xf>
    <xf numFmtId="0" fontId="25" fillId="2" borderId="61" xfId="0" applyFont="1" applyFill="1" applyBorder="1" applyAlignment="1" applyProtection="1">
      <alignment wrapText="1"/>
      <protection locked="0"/>
    </xf>
    <xf numFmtId="0" fontId="25" fillId="2" borderId="6" xfId="0" applyFont="1" applyFill="1" applyBorder="1" applyAlignment="1" applyProtection="1">
      <alignment wrapText="1"/>
      <protection locked="0"/>
    </xf>
    <xf numFmtId="0" fontId="25" fillId="2" borderId="58" xfId="0" applyFont="1" applyFill="1" applyBorder="1" applyAlignment="1" applyProtection="1">
      <alignment wrapText="1"/>
      <protection locked="0"/>
    </xf>
    <xf numFmtId="2" fontId="25" fillId="2" borderId="5" xfId="0" applyNumberFormat="1" applyFont="1" applyFill="1" applyBorder="1" applyAlignment="1" applyProtection="1">
      <alignment horizontal="center" vertical="center" wrapText="1"/>
      <protection locked="0"/>
    </xf>
    <xf numFmtId="0" fontId="25" fillId="6" borderId="14" xfId="0" applyFont="1" applyFill="1" applyBorder="1" applyAlignment="1">
      <alignment horizontal="center" vertical="center" wrapText="1"/>
    </xf>
    <xf numFmtId="0" fontId="25" fillId="3" borderId="9" xfId="0" applyFont="1" applyFill="1" applyBorder="1" applyAlignment="1">
      <alignment horizontal="center" vertical="center" wrapText="1"/>
    </xf>
    <xf numFmtId="2" fontId="25" fillId="16" borderId="11" xfId="0" applyNumberFormat="1" applyFont="1" applyFill="1" applyBorder="1" applyAlignment="1">
      <alignment horizontal="center" vertical="center" wrapText="1"/>
    </xf>
    <xf numFmtId="0" fontId="29" fillId="6" borderId="28" xfId="0" applyFont="1" applyFill="1" applyBorder="1" applyAlignment="1">
      <alignment horizontal="center" vertical="center" wrapText="1"/>
    </xf>
    <xf numFmtId="0" fontId="29" fillId="3" borderId="54" xfId="0" applyFont="1" applyFill="1" applyBorder="1" applyAlignment="1">
      <alignment horizontal="center" vertical="center" wrapText="1"/>
    </xf>
    <xf numFmtId="0" fontId="0" fillId="23" borderId="0" xfId="0" applyFill="1"/>
    <xf numFmtId="2" fontId="25" fillId="5" borderId="2" xfId="0" applyNumberFormat="1" applyFont="1" applyFill="1" applyBorder="1" applyAlignment="1">
      <alignment horizontal="center" vertical="center"/>
    </xf>
    <xf numFmtId="2" fontId="25" fillId="5" borderId="42" xfId="0" applyNumberFormat="1" applyFont="1" applyFill="1" applyBorder="1" applyAlignment="1">
      <alignment horizontal="center" vertical="center"/>
    </xf>
    <xf numFmtId="0" fontId="29" fillId="6" borderId="48" xfId="0" applyFont="1" applyFill="1" applyBorder="1" applyAlignment="1">
      <alignment horizontal="center" vertical="center"/>
    </xf>
    <xf numFmtId="0" fontId="29" fillId="2" borderId="35" xfId="0" applyFont="1" applyFill="1" applyBorder="1" applyAlignment="1" applyProtection="1">
      <alignment horizontal="center" vertical="center" wrapText="1"/>
      <protection locked="0"/>
    </xf>
    <xf numFmtId="2" fontId="29" fillId="15" borderId="9" xfId="0" applyNumberFormat="1" applyFont="1" applyFill="1" applyBorder="1" applyAlignment="1">
      <alignment horizontal="center" vertical="center" wrapText="1"/>
    </xf>
    <xf numFmtId="2" fontId="29" fillId="15" borderId="10" xfId="0" applyNumberFormat="1" applyFont="1" applyFill="1" applyBorder="1" applyAlignment="1">
      <alignment horizontal="center" vertical="center" wrapText="1"/>
    </xf>
    <xf numFmtId="0" fontId="29" fillId="5" borderId="58" xfId="0" applyFont="1" applyFill="1" applyBorder="1" applyAlignment="1">
      <alignment horizontal="center" vertical="center"/>
    </xf>
    <xf numFmtId="0" fontId="29" fillId="15" borderId="35" xfId="0" applyFont="1" applyFill="1" applyBorder="1" applyAlignment="1">
      <alignment horizontal="center" vertical="center" wrapText="1"/>
    </xf>
    <xf numFmtId="0" fontId="23" fillId="5" borderId="0" xfId="0" applyFont="1" applyFill="1" applyAlignment="1">
      <alignment wrapText="1"/>
    </xf>
    <xf numFmtId="0" fontId="29" fillId="6" borderId="72" xfId="0" applyFont="1" applyFill="1" applyBorder="1" applyAlignment="1">
      <alignment horizontal="center" vertical="center" wrapText="1"/>
    </xf>
    <xf numFmtId="0" fontId="29" fillId="6" borderId="7" xfId="0" applyFont="1" applyFill="1" applyBorder="1" applyAlignment="1">
      <alignment horizontal="center" vertical="center" wrapText="1"/>
    </xf>
    <xf numFmtId="0" fontId="29" fillId="3" borderId="30" xfId="0" applyFont="1" applyFill="1" applyBorder="1" applyAlignment="1">
      <alignment horizontal="center" vertical="center" wrapText="1"/>
    </xf>
    <xf numFmtId="0" fontId="29" fillId="3" borderId="38" xfId="0" applyFont="1" applyFill="1" applyBorder="1" applyAlignment="1">
      <alignment horizontal="center" vertical="center" wrapText="1"/>
    </xf>
    <xf numFmtId="0" fontId="29" fillId="6" borderId="66" xfId="0" applyFont="1" applyFill="1" applyBorder="1" applyAlignment="1">
      <alignment horizontal="center" vertical="center" wrapText="1"/>
    </xf>
    <xf numFmtId="2" fontId="29" fillId="15" borderId="8" xfId="0" applyNumberFormat="1" applyFont="1" applyFill="1" applyBorder="1" applyAlignment="1">
      <alignment horizontal="center"/>
    </xf>
    <xf numFmtId="0" fontId="47" fillId="5" borderId="0" xfId="0" applyFont="1" applyFill="1"/>
    <xf numFmtId="0" fontId="47" fillId="23" borderId="0" xfId="0" applyFont="1" applyFill="1"/>
    <xf numFmtId="0" fontId="43" fillId="16" borderId="14" xfId="0" applyFont="1" applyFill="1" applyBorder="1" applyAlignment="1">
      <alignment horizontal="center" vertical="center"/>
    </xf>
    <xf numFmtId="0" fontId="43" fillId="16" borderId="47" xfId="0" applyFont="1" applyFill="1" applyBorder="1" applyAlignment="1">
      <alignment horizontal="center"/>
    </xf>
    <xf numFmtId="0" fontId="43" fillId="16" borderId="17" xfId="0" applyFont="1" applyFill="1" applyBorder="1" applyAlignment="1">
      <alignment horizontal="center"/>
    </xf>
    <xf numFmtId="0" fontId="43" fillId="16" borderId="31" xfId="0" applyFont="1" applyFill="1" applyBorder="1" applyAlignment="1">
      <alignment horizontal="center"/>
    </xf>
    <xf numFmtId="0" fontId="43" fillId="16" borderId="19" xfId="0" applyFont="1" applyFill="1" applyBorder="1" applyAlignment="1">
      <alignment horizontal="center"/>
    </xf>
    <xf numFmtId="0" fontId="43" fillId="16" borderId="12" xfId="0" applyFont="1" applyFill="1" applyBorder="1"/>
    <xf numFmtId="0" fontId="43" fillId="16" borderId="5" xfId="0" applyFont="1" applyFill="1" applyBorder="1" applyAlignment="1">
      <alignment horizontal="center"/>
    </xf>
    <xf numFmtId="0" fontId="43" fillId="16" borderId="21" xfId="0" applyFont="1" applyFill="1" applyBorder="1" applyAlignment="1">
      <alignment horizontal="center"/>
    </xf>
    <xf numFmtId="0" fontId="43" fillId="16" borderId="13" xfId="0" applyFont="1" applyFill="1" applyBorder="1"/>
    <xf numFmtId="0" fontId="43" fillId="16" borderId="32" xfId="0" applyFont="1" applyFill="1" applyBorder="1" applyAlignment="1">
      <alignment horizontal="center"/>
    </xf>
    <xf numFmtId="0" fontId="43" fillId="16" borderId="18" xfId="0" applyFont="1" applyFill="1" applyBorder="1" applyAlignment="1">
      <alignment horizontal="center"/>
    </xf>
    <xf numFmtId="0" fontId="43" fillId="16" borderId="22" xfId="0" applyFont="1" applyFill="1" applyBorder="1" applyAlignment="1">
      <alignment horizontal="center"/>
    </xf>
    <xf numFmtId="0" fontId="43" fillId="16" borderId="42" xfId="0" applyFont="1" applyFill="1" applyBorder="1" applyAlignment="1">
      <alignment horizontal="center" vertical="center"/>
    </xf>
    <xf numFmtId="0" fontId="43" fillId="16" borderId="12" xfId="0" applyFont="1" applyFill="1" applyBorder="1" applyAlignment="1">
      <alignment horizontal="center" vertical="center"/>
    </xf>
    <xf numFmtId="0" fontId="43" fillId="16" borderId="5" xfId="0" applyFont="1" applyFill="1" applyBorder="1" applyAlignment="1">
      <alignment horizontal="center" vertical="center"/>
    </xf>
    <xf numFmtId="0" fontId="43" fillId="16" borderId="21" xfId="0" applyFont="1" applyFill="1" applyBorder="1" applyAlignment="1">
      <alignment horizontal="center" vertical="center"/>
    </xf>
    <xf numFmtId="0" fontId="0" fillId="6" borderId="8" xfId="0" applyFill="1" applyBorder="1" applyAlignment="1">
      <alignment horizontal="center" vertical="center"/>
    </xf>
    <xf numFmtId="0" fontId="0" fillId="6" borderId="52" xfId="0" applyFill="1" applyBorder="1" applyAlignment="1">
      <alignment horizontal="center" vertical="center"/>
    </xf>
    <xf numFmtId="0" fontId="0" fillId="6" borderId="38" xfId="0" applyFill="1" applyBorder="1" applyAlignment="1">
      <alignment horizontal="center" vertical="center"/>
    </xf>
    <xf numFmtId="0" fontId="43" fillId="16" borderId="17" xfId="0" applyFont="1" applyFill="1" applyBorder="1" applyAlignment="1">
      <alignment horizontal="center" vertical="center"/>
    </xf>
    <xf numFmtId="0" fontId="43" fillId="16" borderId="19" xfId="0" applyFont="1" applyFill="1" applyBorder="1" applyAlignment="1">
      <alignment horizontal="center" vertical="center"/>
    </xf>
    <xf numFmtId="0" fontId="43" fillId="16" borderId="13" xfId="0" applyFont="1" applyFill="1" applyBorder="1" applyAlignment="1">
      <alignment horizontal="center" vertical="center"/>
    </xf>
    <xf numFmtId="0" fontId="43" fillId="16" borderId="18" xfId="0" applyFont="1" applyFill="1" applyBorder="1" applyAlignment="1">
      <alignment horizontal="center" vertical="center"/>
    </xf>
    <xf numFmtId="0" fontId="43" fillId="16" borderId="52" xfId="0" applyFont="1" applyFill="1" applyBorder="1" applyAlignment="1">
      <alignment horizontal="center" vertical="center"/>
    </xf>
    <xf numFmtId="0" fontId="43" fillId="16" borderId="22" xfId="0" applyFont="1" applyFill="1" applyBorder="1" applyAlignment="1">
      <alignment horizontal="center" vertical="center"/>
    </xf>
    <xf numFmtId="2" fontId="29" fillId="15" borderId="53" xfId="0" applyNumberFormat="1" applyFont="1" applyFill="1" applyBorder="1" applyAlignment="1">
      <alignment horizontal="center" vertical="center" wrapText="1"/>
    </xf>
    <xf numFmtId="0" fontId="29" fillId="5" borderId="50" xfId="0" applyFont="1" applyFill="1" applyBorder="1" applyAlignment="1">
      <alignment horizontal="center" vertical="center" wrapText="1"/>
    </xf>
    <xf numFmtId="0" fontId="29" fillId="6" borderId="20" xfId="0" applyFont="1" applyFill="1" applyBorder="1" applyAlignment="1">
      <alignment horizontal="center" vertical="center" wrapText="1"/>
    </xf>
    <xf numFmtId="0" fontId="25" fillId="4" borderId="17" xfId="0" applyFont="1" applyFill="1" applyBorder="1" applyAlignment="1">
      <alignment horizontal="center" vertical="top"/>
    </xf>
    <xf numFmtId="0" fontId="25" fillId="0" borderId="19" xfId="0" applyFont="1" applyBorder="1" applyAlignment="1" applyProtection="1">
      <alignment horizontal="center" vertical="center" wrapText="1"/>
      <protection locked="0"/>
    </xf>
    <xf numFmtId="0" fontId="25" fillId="16" borderId="19" xfId="0" applyFont="1" applyFill="1" applyBorder="1" applyAlignment="1">
      <alignment horizontal="center" vertical="center" wrapText="1"/>
    </xf>
    <xf numFmtId="0" fontId="25" fillId="0" borderId="14" xfId="0" applyFont="1" applyBorder="1" applyAlignment="1" applyProtection="1">
      <alignment horizontal="center" vertical="center" wrapText="1"/>
      <protection locked="0"/>
    </xf>
    <xf numFmtId="0" fontId="25" fillId="16" borderId="15" xfId="0" applyFont="1" applyFill="1" applyBorder="1" applyAlignment="1">
      <alignment horizontal="center" vertical="center" wrapText="1"/>
    </xf>
    <xf numFmtId="0" fontId="25" fillId="16" borderId="35" xfId="0" applyFont="1" applyFill="1" applyBorder="1" applyAlignment="1">
      <alignment horizontal="center" vertical="center" wrapText="1"/>
    </xf>
    <xf numFmtId="2" fontId="25" fillId="15" borderId="29" xfId="0" applyNumberFormat="1" applyFont="1" applyFill="1" applyBorder="1" applyAlignment="1">
      <alignment horizontal="center" vertical="center" wrapText="1"/>
    </xf>
    <xf numFmtId="0" fontId="25" fillId="16" borderId="8" xfId="0" applyFont="1" applyFill="1" applyBorder="1" applyAlignment="1">
      <alignment horizontal="center" vertical="center" wrapText="1"/>
    </xf>
    <xf numFmtId="0" fontId="25" fillId="16" borderId="38" xfId="0" applyFont="1" applyFill="1" applyBorder="1" applyAlignment="1">
      <alignment horizontal="center" vertical="center" wrapText="1"/>
    </xf>
    <xf numFmtId="0" fontId="25" fillId="16" borderId="52" xfId="0" applyFont="1" applyFill="1" applyBorder="1" applyAlignment="1">
      <alignment horizontal="center" vertical="center" wrapText="1"/>
    </xf>
    <xf numFmtId="0" fontId="25" fillId="16" borderId="33" xfId="0" applyFont="1" applyFill="1" applyBorder="1" applyAlignment="1">
      <alignment horizontal="center" vertical="center" wrapText="1"/>
    </xf>
    <xf numFmtId="2" fontId="29" fillId="15" borderId="8" xfId="0" applyNumberFormat="1" applyFont="1" applyFill="1" applyBorder="1" applyAlignment="1">
      <alignment horizontal="center" vertical="center" wrapText="1"/>
    </xf>
    <xf numFmtId="0" fontId="25" fillId="0" borderId="61" xfId="0" applyFont="1" applyBorder="1" applyAlignment="1" applyProtection="1">
      <alignment horizontal="center" vertical="center" wrapText="1"/>
      <protection locked="0"/>
    </xf>
    <xf numFmtId="2" fontId="25" fillId="16" borderId="17" xfId="0" applyNumberFormat="1" applyFont="1" applyFill="1" applyBorder="1" applyAlignment="1">
      <alignment horizontal="center" vertical="center" wrapText="1"/>
    </xf>
    <xf numFmtId="2" fontId="25" fillId="15" borderId="17" xfId="0" applyNumberFormat="1" applyFont="1" applyFill="1" applyBorder="1" applyAlignment="1">
      <alignment horizontal="center" vertical="center" wrapText="1"/>
    </xf>
    <xf numFmtId="2" fontId="25" fillId="16" borderId="52" xfId="0" applyNumberFormat="1" applyFont="1" applyFill="1" applyBorder="1" applyAlignment="1">
      <alignment horizontal="center" vertical="center" wrapText="1"/>
    </xf>
    <xf numFmtId="2" fontId="25" fillId="15" borderId="52" xfId="0" applyNumberFormat="1" applyFont="1" applyFill="1" applyBorder="1" applyAlignment="1">
      <alignment horizontal="center" vertical="center" wrapText="1"/>
    </xf>
    <xf numFmtId="0" fontId="25" fillId="0" borderId="78" xfId="0" applyFont="1" applyBorder="1" applyAlignment="1" applyProtection="1">
      <alignment horizontal="center" vertical="center" wrapText="1"/>
      <protection locked="0"/>
    </xf>
    <xf numFmtId="0" fontId="29" fillId="6" borderId="71" xfId="0" applyFont="1" applyFill="1" applyBorder="1" applyAlignment="1">
      <alignment horizontal="center" vertical="center" wrapText="1"/>
    </xf>
    <xf numFmtId="0" fontId="29" fillId="6" borderId="71" xfId="0" applyFont="1" applyFill="1" applyBorder="1" applyAlignment="1">
      <alignment horizontal="center" vertical="center"/>
    </xf>
    <xf numFmtId="0" fontId="29" fillId="6" borderId="74" xfId="0" applyFont="1" applyFill="1" applyBorder="1" applyAlignment="1">
      <alignment horizontal="center" vertical="center"/>
    </xf>
    <xf numFmtId="0" fontId="29" fillId="6" borderId="43" xfId="0" applyFont="1" applyFill="1" applyBorder="1" applyAlignment="1">
      <alignment horizontal="center" vertical="center" wrapText="1"/>
    </xf>
    <xf numFmtId="0" fontId="29" fillId="3" borderId="52" xfId="0" applyFont="1" applyFill="1" applyBorder="1" applyAlignment="1">
      <alignment horizontal="center" vertical="center" wrapText="1"/>
    </xf>
    <xf numFmtId="0" fontId="25" fillId="0" borderId="17" xfId="0" applyFont="1" applyBorder="1" applyAlignment="1" applyProtection="1">
      <alignment horizontal="center" vertical="center" wrapText="1"/>
      <protection locked="0"/>
    </xf>
    <xf numFmtId="0" fontId="25" fillId="4" borderId="17" xfId="0" applyFont="1" applyFill="1" applyBorder="1" applyAlignment="1">
      <alignment horizontal="center" vertical="top" wrapText="1"/>
    </xf>
    <xf numFmtId="165" fontId="25" fillId="16" borderId="19" xfId="0" applyNumberFormat="1" applyFont="1" applyFill="1" applyBorder="1" applyAlignment="1">
      <alignment horizontal="center" vertical="center" wrapText="1"/>
    </xf>
    <xf numFmtId="0" fontId="25" fillId="16" borderId="61" xfId="0" applyFont="1" applyFill="1" applyBorder="1" applyAlignment="1">
      <alignment horizontal="center" vertical="center" wrapText="1"/>
    </xf>
    <xf numFmtId="0" fontId="25" fillId="0" borderId="8" xfId="0" applyFont="1" applyBorder="1" applyAlignment="1" applyProtection="1">
      <alignment horizontal="center" vertical="center" wrapText="1"/>
      <protection locked="0"/>
    </xf>
    <xf numFmtId="0" fontId="25" fillId="4" borderId="52" xfId="0" applyFont="1" applyFill="1" applyBorder="1" applyAlignment="1">
      <alignment horizontal="center" vertical="top" wrapText="1"/>
    </xf>
    <xf numFmtId="0" fontId="25" fillId="16" borderId="59" xfId="0" applyFont="1" applyFill="1" applyBorder="1" applyAlignment="1">
      <alignment horizontal="center" vertical="center" wrapText="1"/>
    </xf>
    <xf numFmtId="0" fontId="25" fillId="16" borderId="52" xfId="0" applyFont="1" applyFill="1" applyBorder="1" applyAlignment="1">
      <alignment horizontal="center" vertical="center"/>
    </xf>
    <xf numFmtId="165" fontId="25" fillId="16" borderId="38" xfId="0" applyNumberFormat="1" applyFont="1" applyFill="1" applyBorder="1" applyAlignment="1">
      <alignment horizontal="center" vertical="center" wrapText="1"/>
    </xf>
    <xf numFmtId="0" fontId="25" fillId="2" borderId="14" xfId="0" applyFont="1" applyFill="1" applyBorder="1" applyAlignment="1" applyProtection="1">
      <alignment horizontal="center" vertical="center" wrapText="1"/>
      <protection locked="0"/>
    </xf>
    <xf numFmtId="0" fontId="25" fillId="2" borderId="17" xfId="0" applyFont="1" applyFill="1" applyBorder="1" applyAlignment="1" applyProtection="1">
      <alignment horizontal="center" vertical="center" wrapText="1"/>
      <protection locked="0"/>
    </xf>
    <xf numFmtId="0" fontId="25" fillId="16" borderId="62" xfId="0" applyFont="1" applyFill="1" applyBorder="1" applyAlignment="1">
      <alignment horizontal="center" vertical="center" wrapText="1"/>
    </xf>
    <xf numFmtId="2" fontId="25" fillId="15" borderId="19" xfId="0" applyNumberFormat="1" applyFont="1" applyFill="1" applyBorder="1" applyAlignment="1">
      <alignment horizontal="center" vertical="center" wrapText="1"/>
    </xf>
    <xf numFmtId="0" fontId="25" fillId="16" borderId="77" xfId="0" applyFont="1" applyFill="1" applyBorder="1" applyAlignment="1">
      <alignment horizontal="center" vertical="center" wrapText="1"/>
    </xf>
    <xf numFmtId="2" fontId="25" fillId="15" borderId="38" xfId="0" applyNumberFormat="1" applyFont="1" applyFill="1" applyBorder="1" applyAlignment="1">
      <alignment horizontal="center" vertical="center" wrapText="1"/>
    </xf>
    <xf numFmtId="0" fontId="29" fillId="7" borderId="50" xfId="0" applyFont="1" applyFill="1" applyBorder="1" applyAlignment="1">
      <alignment horizontal="center" vertical="center" wrapText="1"/>
    </xf>
    <xf numFmtId="0" fontId="25" fillId="2" borderId="19" xfId="0" applyFont="1" applyFill="1" applyBorder="1" applyAlignment="1" applyProtection="1">
      <alignment horizontal="center" vertical="center" wrapText="1"/>
      <protection locked="0"/>
    </xf>
    <xf numFmtId="0" fontId="29" fillId="3" borderId="22" xfId="0" applyFont="1" applyFill="1" applyBorder="1" applyAlignment="1">
      <alignment horizontal="center" vertical="center" wrapText="1"/>
    </xf>
    <xf numFmtId="0" fontId="29" fillId="3" borderId="78" xfId="0" applyFont="1" applyFill="1" applyBorder="1" applyAlignment="1">
      <alignment horizontal="center" vertical="center" wrapText="1"/>
    </xf>
    <xf numFmtId="0" fontId="33" fillId="16" borderId="25" xfId="9" applyFont="1" applyFill="1" applyBorder="1" applyAlignment="1">
      <alignment horizontal="center" vertical="center"/>
    </xf>
    <xf numFmtId="0" fontId="25" fillId="2" borderId="49" xfId="0" applyFont="1" applyFill="1" applyBorder="1" applyAlignment="1" applyProtection="1">
      <alignment horizontal="center" vertical="center" wrapText="1"/>
      <protection locked="0"/>
    </xf>
    <xf numFmtId="0" fontId="29" fillId="3" borderId="58" xfId="0" applyFont="1" applyFill="1" applyBorder="1" applyAlignment="1">
      <alignment horizontal="center" vertical="center" wrapText="1"/>
    </xf>
    <xf numFmtId="0" fontId="29" fillId="6" borderId="8" xfId="0" applyFont="1" applyFill="1" applyBorder="1" applyAlignment="1">
      <alignment horizontal="center" vertical="center" wrapText="1"/>
    </xf>
    <xf numFmtId="0" fontId="29" fillId="6" borderId="38" xfId="0" applyFont="1" applyFill="1" applyBorder="1" applyAlignment="1">
      <alignment horizontal="center" vertical="center" wrapText="1"/>
    </xf>
    <xf numFmtId="0" fontId="25" fillId="2" borderId="8" xfId="0" applyFont="1" applyFill="1" applyBorder="1" applyAlignment="1" applyProtection="1">
      <alignment horizontal="center" vertical="center" wrapText="1"/>
      <protection locked="0"/>
    </xf>
    <xf numFmtId="0" fontId="29" fillId="3" borderId="18" xfId="0" applyFont="1" applyFill="1" applyBorder="1" applyAlignment="1">
      <alignment horizontal="center" vertical="center" wrapText="1"/>
    </xf>
    <xf numFmtId="2" fontId="25" fillId="15" borderId="62" xfId="0" applyNumberFormat="1" applyFont="1" applyFill="1" applyBorder="1" applyAlignment="1">
      <alignment horizontal="center" vertical="center" wrapText="1"/>
    </xf>
    <xf numFmtId="2" fontId="25" fillId="2" borderId="17" xfId="0" applyNumberFormat="1" applyFont="1" applyFill="1" applyBorder="1" applyAlignment="1" applyProtection="1">
      <alignment horizontal="center" vertical="center" wrapText="1"/>
      <protection locked="0"/>
    </xf>
    <xf numFmtId="0" fontId="25" fillId="2" borderId="78" xfId="0" applyFont="1" applyFill="1" applyBorder="1" applyAlignment="1" applyProtection="1">
      <alignment horizontal="center" vertical="center" wrapText="1"/>
      <protection locked="0"/>
    </xf>
    <xf numFmtId="2" fontId="25" fillId="15" borderId="77" xfId="0" applyNumberFormat="1" applyFont="1" applyFill="1" applyBorder="1" applyAlignment="1">
      <alignment horizontal="center" vertical="center" wrapText="1"/>
    </xf>
    <xf numFmtId="2" fontId="25" fillId="2" borderId="18" xfId="0" applyNumberFormat="1" applyFont="1" applyFill="1" applyBorder="1" applyAlignment="1" applyProtection="1">
      <alignment horizontal="center" vertical="center" wrapText="1"/>
      <protection locked="0"/>
    </xf>
    <xf numFmtId="165" fontId="25" fillId="16" borderId="17" xfId="0" applyNumberFormat="1" applyFont="1" applyFill="1" applyBorder="1" applyAlignment="1">
      <alignment horizontal="center" vertical="center" wrapText="1"/>
    </xf>
    <xf numFmtId="0" fontId="25" fillId="2" borderId="47" xfId="0" applyFont="1" applyFill="1" applyBorder="1" applyAlignment="1" applyProtection="1">
      <alignment horizontal="center" vertical="center" wrapText="1"/>
      <protection locked="0"/>
    </xf>
    <xf numFmtId="165" fontId="25" fillId="16" borderId="52" xfId="0" applyNumberFormat="1" applyFont="1" applyFill="1" applyBorder="1" applyAlignment="1">
      <alignment horizontal="center" vertical="center" wrapText="1"/>
    </xf>
    <xf numFmtId="0" fontId="25" fillId="2" borderId="34" xfId="0" applyFont="1" applyFill="1" applyBorder="1" applyAlignment="1" applyProtection="1">
      <alignment horizontal="center" vertical="center" wrapText="1"/>
      <protection locked="0"/>
    </xf>
    <xf numFmtId="0" fontId="25" fillId="16" borderId="74" xfId="0" applyFont="1" applyFill="1" applyBorder="1" applyAlignment="1">
      <alignment horizontal="center" vertical="center" wrapText="1"/>
    </xf>
    <xf numFmtId="0" fontId="25" fillId="7" borderId="6" xfId="0" applyFont="1" applyFill="1" applyBorder="1"/>
    <xf numFmtId="2" fontId="25" fillId="16" borderId="43" xfId="0" applyNumberFormat="1" applyFont="1" applyFill="1" applyBorder="1" applyAlignment="1">
      <alignment horizontal="center" vertical="center"/>
    </xf>
    <xf numFmtId="0" fontId="29" fillId="3" borderId="23" xfId="0" applyFont="1" applyFill="1" applyBorder="1" applyAlignment="1">
      <alignment horizontal="center" vertical="center" wrapText="1"/>
    </xf>
    <xf numFmtId="0" fontId="25" fillId="0" borderId="51" xfId="0" applyFont="1" applyBorder="1" applyAlignment="1" applyProtection="1">
      <alignment horizontal="center" vertical="center" wrapText="1"/>
      <protection locked="0"/>
    </xf>
    <xf numFmtId="0" fontId="0" fillId="7" borderId="0" xfId="0" applyFill="1" applyAlignment="1"/>
    <xf numFmtId="0" fontId="48" fillId="5" borderId="0" xfId="0" applyFont="1" applyFill="1"/>
    <xf numFmtId="2" fontId="48" fillId="7" borderId="0" xfId="0" applyNumberFormat="1" applyFont="1" applyFill="1"/>
    <xf numFmtId="0" fontId="48" fillId="7" borderId="0" xfId="0" applyFont="1" applyFill="1" applyAlignment="1">
      <alignment horizontal="left" vertical="center"/>
    </xf>
    <xf numFmtId="0" fontId="25" fillId="5" borderId="0" xfId="0" applyFont="1" applyFill="1" applyBorder="1" applyAlignment="1">
      <alignment horizontal="center" vertical="top"/>
    </xf>
    <xf numFmtId="0" fontId="13" fillId="16" borderId="14" xfId="0" applyFont="1" applyFill="1" applyBorder="1" applyAlignment="1" applyProtection="1">
      <alignment vertical="center"/>
    </xf>
    <xf numFmtId="0" fontId="42" fillId="16" borderId="17" xfId="0" applyFont="1" applyFill="1" applyBorder="1" applyAlignment="1" applyProtection="1">
      <alignment vertical="center"/>
    </xf>
    <xf numFmtId="0" fontId="13" fillId="16" borderId="12" xfId="0" applyFont="1" applyFill="1" applyBorder="1" applyAlignment="1" applyProtection="1">
      <alignment vertical="center"/>
    </xf>
    <xf numFmtId="0" fontId="42" fillId="16" borderId="5" xfId="0" applyFont="1" applyFill="1" applyBorder="1" applyAlignment="1" applyProtection="1">
      <alignment vertical="center"/>
    </xf>
    <xf numFmtId="0" fontId="13" fillId="16" borderId="13" xfId="0" applyFont="1" applyFill="1" applyBorder="1" applyAlignment="1" applyProtection="1">
      <alignment vertical="center"/>
    </xf>
    <xf numFmtId="0" fontId="42" fillId="16" borderId="18" xfId="0" applyFont="1" applyFill="1" applyBorder="1" applyAlignment="1" applyProtection="1">
      <alignment vertical="center"/>
    </xf>
    <xf numFmtId="0" fontId="13" fillId="16" borderId="17" xfId="0" applyFont="1" applyFill="1" applyBorder="1" applyAlignment="1" applyProtection="1">
      <alignment vertical="center" wrapText="1"/>
    </xf>
    <xf numFmtId="0" fontId="13" fillId="16" borderId="5" xfId="0" applyFont="1" applyFill="1" applyBorder="1" applyAlignment="1" applyProtection="1">
      <alignment vertical="center" wrapText="1"/>
    </xf>
    <xf numFmtId="0" fontId="13" fillId="16" borderId="18" xfId="0" applyFont="1" applyFill="1" applyBorder="1" applyAlignment="1" applyProtection="1">
      <alignment vertical="center" wrapText="1"/>
    </xf>
    <xf numFmtId="0" fontId="16" fillId="16" borderId="5" xfId="0" applyFont="1" applyFill="1" applyBorder="1" applyAlignment="1" applyProtection="1">
      <alignment horizontal="center" vertical="center" wrapText="1"/>
    </xf>
    <xf numFmtId="0" fontId="16" fillId="16" borderId="17" xfId="0" applyFont="1" applyFill="1" applyBorder="1" applyAlignment="1" applyProtection="1">
      <alignment horizontal="center" vertical="center" wrapText="1"/>
    </xf>
    <xf numFmtId="0" fontId="16" fillId="16" borderId="18" xfId="0" applyFont="1" applyFill="1" applyBorder="1" applyAlignment="1" applyProtection="1">
      <alignment horizontal="center" vertical="center" wrapText="1"/>
    </xf>
    <xf numFmtId="0" fontId="25" fillId="3" borderId="61" xfId="0" applyFont="1" applyFill="1" applyBorder="1" applyAlignment="1">
      <alignment horizontal="center" vertical="center" wrapText="1"/>
    </xf>
    <xf numFmtId="0" fontId="25" fillId="3" borderId="6" xfId="0" applyFont="1" applyFill="1" applyBorder="1" applyAlignment="1">
      <alignment horizontal="center" vertical="center" wrapText="1"/>
    </xf>
    <xf numFmtId="0" fontId="10" fillId="16" borderId="5" xfId="0" applyFont="1" applyFill="1" applyBorder="1" applyAlignment="1">
      <alignment horizontal="center" vertical="center"/>
    </xf>
    <xf numFmtId="0" fontId="13" fillId="16" borderId="18" xfId="0" applyFont="1" applyFill="1" applyBorder="1" applyAlignment="1" applyProtection="1">
      <alignment horizontal="center" vertical="center" wrapText="1"/>
    </xf>
    <xf numFmtId="0" fontId="13" fillId="16" borderId="5" xfId="0" applyFont="1" applyFill="1" applyBorder="1" applyAlignment="1" applyProtection="1">
      <alignment horizontal="center" vertical="center" wrapText="1"/>
    </xf>
    <xf numFmtId="0" fontId="13" fillId="16" borderId="17" xfId="0" applyFont="1" applyFill="1" applyBorder="1" applyAlignment="1" applyProtection="1">
      <alignment horizontal="center" vertical="center" wrapText="1"/>
    </xf>
    <xf numFmtId="0" fontId="13" fillId="5" borderId="0" xfId="0" applyFont="1" applyFill="1" applyProtection="1"/>
    <xf numFmtId="0" fontId="13" fillId="5" borderId="0" xfId="0" applyFont="1" applyFill="1" applyBorder="1" applyProtection="1"/>
    <xf numFmtId="0" fontId="0" fillId="5" borderId="0" xfId="0" applyFill="1" applyProtection="1"/>
    <xf numFmtId="0" fontId="16" fillId="6" borderId="57" xfId="0" applyFont="1" applyFill="1" applyBorder="1" applyAlignment="1" applyProtection="1">
      <alignment vertical="top" wrapText="1"/>
    </xf>
    <xf numFmtId="0" fontId="16" fillId="6" borderId="0" xfId="0" applyFont="1" applyFill="1" applyAlignment="1" applyProtection="1">
      <alignment vertical="top" wrapText="1"/>
    </xf>
    <xf numFmtId="0" fontId="16" fillId="5" borderId="0" xfId="0" applyFont="1" applyFill="1" applyBorder="1" applyAlignment="1" applyProtection="1">
      <alignment vertical="top" wrapText="1"/>
    </xf>
    <xf numFmtId="0" fontId="16" fillId="6" borderId="33" xfId="0" applyFont="1" applyFill="1" applyBorder="1" applyAlignment="1" applyProtection="1">
      <alignment vertical="top" wrapText="1"/>
    </xf>
    <xf numFmtId="0" fontId="16" fillId="6" borderId="34" xfId="0" applyFont="1" applyFill="1" applyBorder="1" applyAlignment="1" applyProtection="1">
      <alignment vertical="top" wrapText="1"/>
    </xf>
    <xf numFmtId="0" fontId="16" fillId="6" borderId="27" xfId="0" applyFont="1" applyFill="1" applyBorder="1" applyAlignment="1" applyProtection="1">
      <alignment vertical="center"/>
    </xf>
    <xf numFmtId="0" fontId="16" fillId="6" borderId="56" xfId="0" applyFont="1" applyFill="1" applyBorder="1" applyAlignment="1" applyProtection="1">
      <alignment vertical="center"/>
    </xf>
    <xf numFmtId="0" fontId="16" fillId="6" borderId="20" xfId="0" applyFont="1" applyFill="1" applyBorder="1" applyAlignment="1" applyProtection="1">
      <alignment horizontal="center" vertical="center"/>
    </xf>
    <xf numFmtId="0" fontId="16" fillId="6" borderId="20" xfId="0" applyFont="1" applyFill="1" applyBorder="1" applyAlignment="1" applyProtection="1">
      <alignment horizontal="center" vertical="center" wrapText="1"/>
    </xf>
    <xf numFmtId="0" fontId="16" fillId="6" borderId="28" xfId="0" applyFont="1" applyFill="1" applyBorder="1" applyAlignment="1" applyProtection="1">
      <alignment horizontal="center" vertical="center" wrapText="1"/>
    </xf>
    <xf numFmtId="0" fontId="16" fillId="6" borderId="54" xfId="0" applyFont="1" applyFill="1" applyBorder="1" applyAlignment="1" applyProtection="1">
      <alignment horizontal="center" vertical="center" wrapText="1"/>
    </xf>
    <xf numFmtId="0" fontId="13" fillId="5" borderId="6" xfId="0" applyFont="1" applyFill="1" applyBorder="1" applyAlignment="1" applyProtection="1">
      <alignment horizontal="left" vertical="top"/>
    </xf>
    <xf numFmtId="0" fontId="13" fillId="5" borderId="5" xfId="0" applyFont="1" applyFill="1" applyBorder="1" applyAlignment="1" applyProtection="1">
      <alignment horizontal="left" vertical="top" wrapText="1"/>
    </xf>
    <xf numFmtId="0" fontId="13" fillId="5" borderId="5" xfId="0" applyFont="1" applyFill="1" applyBorder="1" applyAlignment="1" applyProtection="1">
      <alignment horizontal="left" vertical="top"/>
    </xf>
    <xf numFmtId="0" fontId="13" fillId="5" borderId="0" xfId="0" applyFont="1" applyFill="1" applyAlignment="1" applyProtection="1">
      <alignment horizontal="left" vertical="top"/>
    </xf>
    <xf numFmtId="0" fontId="16" fillId="6" borderId="20" xfId="0" applyFont="1" applyFill="1" applyBorder="1" applyAlignment="1" applyProtection="1">
      <alignment vertical="center"/>
    </xf>
    <xf numFmtId="0" fontId="13" fillId="16" borderId="19" xfId="0" applyFont="1" applyFill="1" applyBorder="1" applyAlignment="1" applyProtection="1">
      <alignment horizontal="center" vertical="center" wrapText="1"/>
    </xf>
    <xf numFmtId="0" fontId="16" fillId="5" borderId="0" xfId="0" applyFont="1" applyFill="1" applyAlignment="1" applyProtection="1">
      <alignment vertical="center" wrapText="1"/>
    </xf>
    <xf numFmtId="0" fontId="13" fillId="5" borderId="0" xfId="0" applyFont="1" applyFill="1" applyAlignment="1" applyProtection="1">
      <alignment horizontal="center" vertical="center" wrapText="1"/>
    </xf>
    <xf numFmtId="0" fontId="13" fillId="16" borderId="21" xfId="0" applyFont="1" applyFill="1" applyBorder="1" applyAlignment="1" applyProtection="1">
      <alignment horizontal="center" vertical="center" wrapText="1"/>
    </xf>
    <xf numFmtId="0" fontId="13" fillId="5" borderId="0" xfId="0" applyFont="1" applyFill="1" applyAlignment="1" applyProtection="1">
      <alignment horizontal="center"/>
    </xf>
    <xf numFmtId="0" fontId="13" fillId="16" borderId="5" xfId="0" applyFont="1" applyFill="1" applyBorder="1" applyAlignment="1" applyProtection="1">
      <alignment horizontal="center" wrapText="1"/>
    </xf>
    <xf numFmtId="0" fontId="13" fillId="16" borderId="18" xfId="0" applyFont="1" applyFill="1" applyBorder="1" applyAlignment="1" applyProtection="1">
      <alignment horizontal="center" wrapText="1"/>
    </xf>
    <xf numFmtId="0" fontId="13" fillId="16" borderId="22" xfId="0" applyFont="1" applyFill="1" applyBorder="1" applyAlignment="1" applyProtection="1">
      <alignment horizontal="center" vertical="center" wrapText="1"/>
    </xf>
    <xf numFmtId="0" fontId="0" fillId="0" borderId="0" xfId="0" applyProtection="1"/>
    <xf numFmtId="0" fontId="16" fillId="6" borderId="0" xfId="0" applyFont="1" applyFill="1" applyBorder="1" applyAlignment="1" applyProtection="1">
      <alignment vertical="top" wrapText="1"/>
    </xf>
    <xf numFmtId="0" fontId="16" fillId="5" borderId="0" xfId="0" applyFont="1" applyFill="1" applyProtection="1"/>
    <xf numFmtId="0" fontId="13" fillId="5" borderId="0" xfId="0" applyFont="1" applyFill="1" applyAlignment="1" applyProtection="1">
      <alignment horizontal="center" vertical="center"/>
    </xf>
    <xf numFmtId="0" fontId="16" fillId="6" borderId="57" xfId="0" applyFont="1" applyFill="1" applyBorder="1" applyAlignment="1" applyProtection="1">
      <alignment horizontal="center" vertical="center" wrapText="1"/>
    </xf>
    <xf numFmtId="0" fontId="16" fillId="6" borderId="33" xfId="0" applyFont="1" applyFill="1" applyBorder="1" applyAlignment="1" applyProtection="1">
      <alignment horizontal="center" vertical="center" wrapText="1"/>
    </xf>
    <xf numFmtId="0" fontId="13" fillId="16" borderId="14" xfId="0" applyFont="1" applyFill="1" applyBorder="1" applyAlignment="1" applyProtection="1">
      <alignment horizontal="center" vertical="center"/>
    </xf>
    <xf numFmtId="0" fontId="13" fillId="16" borderId="12" xfId="0" applyFont="1" applyFill="1" applyBorder="1" applyAlignment="1" applyProtection="1">
      <alignment horizontal="center" vertical="center"/>
    </xf>
    <xf numFmtId="0" fontId="13" fillId="16" borderId="13" xfId="0" applyFont="1" applyFill="1" applyBorder="1" applyAlignment="1" applyProtection="1">
      <alignment horizontal="center" vertical="center"/>
    </xf>
    <xf numFmtId="0" fontId="13" fillId="6" borderId="34" xfId="0" applyFont="1" applyFill="1" applyBorder="1" applyAlignment="1" applyProtection="1"/>
    <xf numFmtId="0" fontId="13" fillId="16" borderId="21" xfId="0" applyFont="1" applyFill="1" applyBorder="1" applyAlignment="1" applyProtection="1">
      <alignment horizontal="center"/>
    </xf>
    <xf numFmtId="0" fontId="13" fillId="16" borderId="22" xfId="0" applyFont="1" applyFill="1" applyBorder="1" applyAlignment="1" applyProtection="1">
      <alignment horizontal="center"/>
    </xf>
    <xf numFmtId="0" fontId="41" fillId="7" borderId="0" xfId="0" applyFont="1" applyFill="1" applyAlignment="1">
      <alignment horizontal="center" vertical="center"/>
    </xf>
    <xf numFmtId="0" fontId="13" fillId="6" borderId="33" xfId="0" applyFont="1" applyFill="1" applyBorder="1" applyAlignment="1" applyProtection="1"/>
    <xf numFmtId="0" fontId="13" fillId="6" borderId="46" xfId="0" applyFont="1" applyFill="1" applyBorder="1" applyAlignment="1" applyProtection="1"/>
    <xf numFmtId="0" fontId="13" fillId="6" borderId="54" xfId="0" applyFont="1" applyFill="1" applyBorder="1" applyAlignment="1" applyProtection="1"/>
    <xf numFmtId="2" fontId="29" fillId="5" borderId="0" xfId="0" applyNumberFormat="1" applyFont="1" applyFill="1" applyBorder="1" applyAlignment="1">
      <alignment horizontal="center" vertical="center" wrapText="1"/>
    </xf>
    <xf numFmtId="2" fontId="25" fillId="16" borderId="29" xfId="0" applyNumberFormat="1" applyFont="1" applyFill="1" applyBorder="1" applyAlignment="1">
      <alignment horizontal="center" vertical="center" wrapText="1"/>
    </xf>
    <xf numFmtId="2" fontId="25" fillId="16" borderId="55" xfId="0" applyNumberFormat="1" applyFont="1" applyFill="1" applyBorder="1" applyAlignment="1">
      <alignment horizontal="center" vertical="center" wrapText="1"/>
    </xf>
    <xf numFmtId="2" fontId="25" fillId="16" borderId="40" xfId="0" applyNumberFormat="1" applyFont="1" applyFill="1" applyBorder="1" applyAlignment="1">
      <alignment horizontal="center" vertical="center" wrapText="1"/>
    </xf>
    <xf numFmtId="0" fontId="25" fillId="2" borderId="17" xfId="0" applyFont="1" applyFill="1" applyBorder="1" applyAlignment="1" applyProtection="1">
      <alignment horizontal="center" vertical="center"/>
      <protection locked="0"/>
    </xf>
    <xf numFmtId="0" fontId="29" fillId="2" borderId="54" xfId="0" applyFont="1" applyFill="1" applyBorder="1" applyAlignment="1" applyProtection="1">
      <alignment horizontal="center" vertical="center" wrapText="1"/>
      <protection locked="0"/>
    </xf>
    <xf numFmtId="0" fontId="29" fillId="5" borderId="0" xfId="0" applyFont="1" applyFill="1" applyBorder="1" applyAlignment="1">
      <alignment horizontal="center" vertical="center" wrapText="1"/>
    </xf>
    <xf numFmtId="2" fontId="25" fillId="5" borderId="0" xfId="0" applyNumberFormat="1" applyFont="1" applyFill="1"/>
    <xf numFmtId="2" fontId="25" fillId="7" borderId="0" xfId="0" applyNumberFormat="1" applyFont="1" applyFill="1"/>
    <xf numFmtId="0" fontId="29" fillId="6" borderId="20" xfId="0" applyFont="1" applyFill="1" applyBorder="1" applyAlignment="1">
      <alignment horizontal="center" vertical="center" wrapText="1"/>
    </xf>
    <xf numFmtId="0" fontId="29" fillId="6" borderId="12" xfId="0" applyFont="1" applyFill="1" applyBorder="1" applyAlignment="1">
      <alignment horizontal="center" vertical="center" wrapText="1"/>
    </xf>
    <xf numFmtId="0" fontId="29" fillId="3" borderId="38" xfId="0" applyFont="1" applyFill="1" applyBorder="1" applyAlignment="1">
      <alignment horizontal="center" vertical="center" wrapText="1"/>
    </xf>
    <xf numFmtId="0" fontId="29" fillId="3" borderId="30" xfId="0" applyFont="1" applyFill="1" applyBorder="1" applyAlignment="1">
      <alignment horizontal="center" vertical="center" wrapText="1"/>
    </xf>
    <xf numFmtId="0" fontId="29" fillId="3" borderId="8" xfId="0" applyFont="1" applyFill="1" applyBorder="1" applyAlignment="1">
      <alignment horizontal="center" vertical="center" wrapText="1"/>
    </xf>
    <xf numFmtId="0" fontId="16" fillId="6" borderId="0" xfId="0" applyFont="1" applyFill="1" applyAlignment="1" applyProtection="1">
      <alignment horizontal="center" vertical="center" wrapText="1"/>
    </xf>
    <xf numFmtId="0" fontId="16" fillId="6" borderId="34" xfId="0" applyFont="1" applyFill="1" applyBorder="1" applyAlignment="1" applyProtection="1">
      <alignment horizontal="center" vertical="center" wrapText="1"/>
    </xf>
    <xf numFmtId="2" fontId="13" fillId="5" borderId="0" xfId="0" applyNumberFormat="1" applyFont="1" applyFill="1" applyProtection="1"/>
    <xf numFmtId="2" fontId="16" fillId="6" borderId="0" xfId="0" applyNumberFormat="1" applyFont="1" applyFill="1" applyAlignment="1" applyProtection="1">
      <alignment vertical="top" wrapText="1"/>
    </xf>
    <xf numFmtId="2" fontId="16" fillId="6" borderId="34" xfId="0" applyNumberFormat="1" applyFont="1" applyFill="1" applyBorder="1" applyAlignment="1" applyProtection="1">
      <alignment vertical="top" wrapText="1"/>
    </xf>
    <xf numFmtId="0" fontId="14" fillId="7" borderId="0" xfId="0" applyFont="1" applyFill="1" applyBorder="1"/>
    <xf numFmtId="0" fontId="16" fillId="6" borderId="18" xfId="0" applyFont="1" applyFill="1" applyBorder="1" applyAlignment="1">
      <alignment horizontal="center" vertical="center" wrapText="1"/>
    </xf>
    <xf numFmtId="0" fontId="29" fillId="6" borderId="23" xfId="0" applyFont="1" applyFill="1" applyBorder="1" applyAlignment="1">
      <alignment horizontal="center" vertical="center" wrapText="1"/>
    </xf>
    <xf numFmtId="0" fontId="29" fillId="5" borderId="0" xfId="0" applyFont="1" applyFill="1" applyAlignment="1">
      <alignment horizontal="center" vertical="center"/>
    </xf>
    <xf numFmtId="2" fontId="40" fillId="16" borderId="22" xfId="0" applyNumberFormat="1" applyFont="1" applyFill="1" applyBorder="1" applyAlignment="1">
      <alignment horizontal="center" vertical="center"/>
    </xf>
    <xf numFmtId="0" fontId="45" fillId="5" borderId="34" xfId="0" applyFont="1" applyFill="1" applyBorder="1" applyAlignment="1"/>
    <xf numFmtId="0" fontId="43" fillId="6" borderId="35" xfId="0" applyFont="1" applyFill="1" applyBorder="1" applyAlignment="1">
      <alignment horizontal="center" vertical="center"/>
    </xf>
    <xf numFmtId="0" fontId="43" fillId="6" borderId="36" xfId="0" applyFont="1" applyFill="1" applyBorder="1" applyAlignment="1">
      <alignment horizontal="center" vertical="center"/>
    </xf>
    <xf numFmtId="0" fontId="43" fillId="6" borderId="33" xfId="0" applyFont="1" applyFill="1" applyBorder="1" applyAlignment="1">
      <alignment horizontal="center" vertical="center"/>
    </xf>
    <xf numFmtId="0" fontId="29" fillId="6" borderId="7" xfId="0" applyFont="1" applyFill="1" applyBorder="1" applyAlignment="1">
      <alignment horizontal="center" vertical="center"/>
    </xf>
    <xf numFmtId="10" fontId="29" fillId="16" borderId="35" xfId="0" applyNumberFormat="1" applyFont="1" applyFill="1" applyBorder="1" applyAlignment="1">
      <alignment horizontal="center" vertical="center"/>
    </xf>
    <xf numFmtId="10" fontId="29" fillId="16" borderId="36" xfId="0" applyNumberFormat="1" applyFont="1" applyFill="1" applyBorder="1" applyAlignment="1">
      <alignment horizontal="center" vertical="center"/>
    </xf>
    <xf numFmtId="10" fontId="29" fillId="16" borderId="45" xfId="0" applyNumberFormat="1" applyFont="1" applyFill="1" applyBorder="1" applyAlignment="1">
      <alignment horizontal="center" vertical="center"/>
    </xf>
    <xf numFmtId="2" fontId="29" fillId="16" borderId="35" xfId="0" applyNumberFormat="1" applyFont="1" applyFill="1" applyBorder="1" applyAlignment="1">
      <alignment horizontal="center" vertical="center"/>
    </xf>
    <xf numFmtId="2" fontId="40" fillId="16" borderId="36" xfId="0" applyNumberFormat="1" applyFont="1" applyFill="1" applyBorder="1" applyAlignment="1">
      <alignment horizontal="center" vertical="center"/>
    </xf>
    <xf numFmtId="2" fontId="40" fillId="16" borderId="33" xfId="0" applyNumberFormat="1" applyFont="1" applyFill="1" applyBorder="1" applyAlignment="1">
      <alignment horizontal="center" vertical="center"/>
    </xf>
    <xf numFmtId="2" fontId="29" fillId="16" borderId="36" xfId="0" applyNumberFormat="1" applyFont="1" applyFill="1" applyBorder="1" applyAlignment="1">
      <alignment horizontal="center" vertical="center"/>
    </xf>
    <xf numFmtId="2" fontId="29" fillId="16" borderId="45" xfId="0" applyNumberFormat="1" applyFont="1" applyFill="1" applyBorder="1" applyAlignment="1">
      <alignment horizontal="center" vertical="center"/>
    </xf>
    <xf numFmtId="0" fontId="29" fillId="6" borderId="28" xfId="0" applyFont="1" applyFill="1" applyBorder="1" applyAlignment="1">
      <alignment horizontal="center" vertical="center"/>
    </xf>
    <xf numFmtId="2" fontId="29" fillId="16" borderId="29" xfId="0" applyNumberFormat="1" applyFont="1" applyFill="1" applyBorder="1" applyAlignment="1">
      <alignment horizontal="center" vertical="center"/>
    </xf>
    <xf numFmtId="2" fontId="29" fillId="16" borderId="55" xfId="0" applyNumberFormat="1" applyFont="1" applyFill="1" applyBorder="1" applyAlignment="1">
      <alignment horizontal="center" vertical="center"/>
    </xf>
    <xf numFmtId="2" fontId="29" fillId="16" borderId="40" xfId="0" applyNumberFormat="1" applyFont="1" applyFill="1" applyBorder="1" applyAlignment="1">
      <alignment horizontal="center" vertical="center"/>
    </xf>
    <xf numFmtId="0" fontId="43" fillId="5" borderId="0" xfId="0" applyFont="1" applyFill="1"/>
    <xf numFmtId="2" fontId="43" fillId="5" borderId="0" xfId="0" applyNumberFormat="1" applyFont="1" applyFill="1"/>
    <xf numFmtId="0" fontId="29" fillId="6" borderId="54" xfId="0" applyFont="1" applyFill="1" applyBorder="1" applyAlignment="1">
      <alignment horizontal="center" vertical="center"/>
    </xf>
    <xf numFmtId="0" fontId="50" fillId="12" borderId="29" xfId="0" applyFont="1" applyFill="1" applyBorder="1" applyAlignment="1">
      <alignment horizontal="center" vertical="center"/>
    </xf>
    <xf numFmtId="2" fontId="40" fillId="16" borderId="29" xfId="0" applyNumberFormat="1" applyFont="1" applyFill="1" applyBorder="1" applyAlignment="1">
      <alignment horizontal="center" vertical="center"/>
    </xf>
    <xf numFmtId="0" fontId="50" fillId="12" borderId="55" xfId="0" applyFont="1" applyFill="1" applyBorder="1" applyAlignment="1">
      <alignment horizontal="center" vertical="center"/>
    </xf>
    <xf numFmtId="2" fontId="40" fillId="16" borderId="55" xfId="0" applyNumberFormat="1" applyFont="1" applyFill="1" applyBorder="1" applyAlignment="1">
      <alignment horizontal="center" vertical="center"/>
    </xf>
    <xf numFmtId="0" fontId="50" fillId="12" borderId="40" xfId="0" applyFont="1" applyFill="1" applyBorder="1" applyAlignment="1">
      <alignment horizontal="center" vertical="center"/>
    </xf>
    <xf numFmtId="2" fontId="40" fillId="16" borderId="40" xfId="0" applyNumberFormat="1" applyFont="1" applyFill="1" applyBorder="1" applyAlignment="1">
      <alignment horizontal="center" vertical="center"/>
    </xf>
    <xf numFmtId="0" fontId="50" fillId="13" borderId="54" xfId="0" applyFont="1" applyFill="1" applyBorder="1" applyAlignment="1">
      <alignment horizontal="center" vertical="center"/>
    </xf>
    <xf numFmtId="2" fontId="29" fillId="16" borderId="54" xfId="0" applyNumberFormat="1" applyFont="1" applyFill="1" applyBorder="1" applyAlignment="1">
      <alignment horizontal="center" vertical="center"/>
    </xf>
    <xf numFmtId="0" fontId="50" fillId="14" borderId="54" xfId="0" applyFont="1" applyFill="1" applyBorder="1" applyAlignment="1">
      <alignment horizontal="center" vertical="center"/>
    </xf>
    <xf numFmtId="0" fontId="29" fillId="6" borderId="9" xfId="0" applyFont="1" applyFill="1" applyBorder="1" applyAlignment="1">
      <alignment horizontal="center" vertical="center"/>
    </xf>
    <xf numFmtId="0" fontId="43" fillId="0" borderId="0" xfId="0" applyFont="1"/>
    <xf numFmtId="0" fontId="43" fillId="5" borderId="0" xfId="0" applyFont="1" applyFill="1" applyAlignment="1">
      <alignment wrapText="1"/>
    </xf>
    <xf numFmtId="0" fontId="25" fillId="5" borderId="12" xfId="0" applyFont="1" applyFill="1" applyBorder="1" applyAlignment="1">
      <alignment horizontal="center" vertical="center"/>
    </xf>
    <xf numFmtId="0" fontId="25" fillId="5" borderId="5" xfId="0" applyFont="1" applyFill="1" applyBorder="1" applyAlignment="1">
      <alignment horizontal="center" vertical="center"/>
    </xf>
    <xf numFmtId="2" fontId="25" fillId="5" borderId="5" xfId="0" applyNumberFormat="1" applyFont="1" applyFill="1" applyBorder="1" applyAlignment="1">
      <alignment horizontal="center" vertical="center"/>
    </xf>
    <xf numFmtId="0" fontId="43" fillId="5" borderId="0" xfId="0" applyFont="1" applyFill="1" applyAlignment="1">
      <alignment horizontal="center"/>
    </xf>
    <xf numFmtId="0" fontId="25" fillId="5" borderId="13" xfId="0" applyFont="1" applyFill="1" applyBorder="1" applyAlignment="1">
      <alignment horizontal="center" vertical="center"/>
    </xf>
    <xf numFmtId="2" fontId="25" fillId="5" borderId="18" xfId="0" applyNumberFormat="1" applyFont="1" applyFill="1" applyBorder="1" applyAlignment="1">
      <alignment horizontal="center" vertical="center"/>
    </xf>
    <xf numFmtId="0" fontId="29" fillId="6" borderId="10" xfId="0" applyFont="1" applyFill="1" applyBorder="1" applyAlignment="1">
      <alignment horizontal="center" vertical="center"/>
    </xf>
    <xf numFmtId="0" fontId="29" fillId="6" borderId="11" xfId="0" applyFont="1" applyFill="1" applyBorder="1" applyAlignment="1">
      <alignment horizontal="center" vertical="center"/>
    </xf>
    <xf numFmtId="0" fontId="39" fillId="5" borderId="0" xfId="0" applyFont="1" applyFill="1" applyAlignment="1">
      <alignment vertical="center" textRotation="90"/>
    </xf>
    <xf numFmtId="0" fontId="29" fillId="6" borderId="73" xfId="0" applyFont="1" applyFill="1" applyBorder="1" applyAlignment="1">
      <alignment horizontal="center" vertical="center"/>
    </xf>
    <xf numFmtId="0" fontId="29" fillId="6" borderId="72" xfId="0" applyFont="1" applyFill="1" applyBorder="1" applyAlignment="1">
      <alignment horizontal="center" vertical="center"/>
    </xf>
    <xf numFmtId="0" fontId="29" fillId="6" borderId="37" xfId="0" applyFont="1" applyFill="1" applyBorder="1" applyAlignment="1">
      <alignment horizontal="center" vertical="center"/>
    </xf>
    <xf numFmtId="0" fontId="25" fillId="6" borderId="54" xfId="0" applyFont="1" applyFill="1" applyBorder="1" applyAlignment="1">
      <alignment horizontal="center" vertical="center"/>
    </xf>
    <xf numFmtId="2" fontId="25" fillId="16" borderId="46" xfId="0" applyNumberFormat="1" applyFont="1" applyFill="1" applyBorder="1" applyAlignment="1">
      <alignment horizontal="center" vertical="center"/>
    </xf>
    <xf numFmtId="0" fontId="25" fillId="6" borderId="23" xfId="0" applyFont="1" applyFill="1" applyBorder="1" applyAlignment="1">
      <alignment horizontal="center" vertical="center"/>
    </xf>
    <xf numFmtId="2" fontId="25" fillId="16" borderId="29" xfId="0" applyNumberFormat="1" applyFont="1" applyFill="1" applyBorder="1" applyAlignment="1">
      <alignment horizontal="center" vertical="center"/>
    </xf>
    <xf numFmtId="2" fontId="25" fillId="16" borderId="67" xfId="0" applyNumberFormat="1" applyFont="1" applyFill="1" applyBorder="1" applyAlignment="1">
      <alignment horizontal="center" vertical="center"/>
    </xf>
    <xf numFmtId="0" fontId="25" fillId="6" borderId="40" xfId="0" applyFont="1" applyFill="1" applyBorder="1" applyAlignment="1">
      <alignment horizontal="center" vertical="center"/>
    </xf>
    <xf numFmtId="2" fontId="25" fillId="16" borderId="32" xfId="0" applyNumberFormat="1" applyFont="1" applyFill="1" applyBorder="1" applyAlignment="1">
      <alignment horizontal="center" vertical="center"/>
    </xf>
    <xf numFmtId="0" fontId="25" fillId="6" borderId="45" xfId="0" applyFont="1" applyFill="1" applyBorder="1" applyAlignment="1">
      <alignment horizontal="center" vertical="center"/>
    </xf>
    <xf numFmtId="2" fontId="25" fillId="16" borderId="55" xfId="0" applyNumberFormat="1" applyFont="1" applyFill="1" applyBorder="1" applyAlignment="1">
      <alignment horizontal="center" vertical="center"/>
    </xf>
    <xf numFmtId="2" fontId="25" fillId="16" borderId="39" xfId="0" applyNumberFormat="1" applyFont="1" applyFill="1" applyBorder="1" applyAlignment="1">
      <alignment horizontal="center" vertical="center"/>
    </xf>
    <xf numFmtId="0" fontId="25" fillId="6" borderId="30" xfId="0" applyFont="1" applyFill="1" applyBorder="1" applyAlignment="1">
      <alignment horizontal="center" vertical="center"/>
    </xf>
    <xf numFmtId="0" fontId="25" fillId="6" borderId="33" xfId="0" applyFont="1" applyFill="1" applyBorder="1" applyAlignment="1">
      <alignment horizontal="center" vertical="center"/>
    </xf>
    <xf numFmtId="2" fontId="25" fillId="16" borderId="40" xfId="0" applyNumberFormat="1" applyFont="1" applyFill="1" applyBorder="1" applyAlignment="1">
      <alignment horizontal="center" vertical="center"/>
    </xf>
    <xf numFmtId="2" fontId="25" fillId="16" borderId="64" xfId="0" applyNumberFormat="1" applyFont="1" applyFill="1" applyBorder="1" applyAlignment="1">
      <alignment horizontal="center" vertical="center"/>
    </xf>
    <xf numFmtId="0" fontId="40" fillId="6" borderId="54" xfId="0" applyFont="1" applyFill="1" applyBorder="1" applyAlignment="1">
      <alignment horizontal="center" vertical="center" wrapText="1"/>
    </xf>
    <xf numFmtId="0" fontId="39" fillId="0" borderId="54" xfId="0" applyFont="1" applyBorder="1" applyAlignment="1">
      <alignment vertical="center" textRotation="90"/>
    </xf>
    <xf numFmtId="0" fontId="46" fillId="12" borderId="23" xfId="0" applyFont="1" applyFill="1" applyBorder="1" applyAlignment="1">
      <alignment horizontal="center" vertical="center"/>
    </xf>
    <xf numFmtId="2" fontId="10" fillId="16" borderId="54" xfId="0" applyNumberFormat="1" applyFont="1" applyFill="1" applyBorder="1" applyAlignment="1">
      <alignment horizontal="center" vertical="center"/>
    </xf>
    <xf numFmtId="2" fontId="25" fillId="16" borderId="48" xfId="0" applyNumberFormat="1" applyFont="1" applyFill="1" applyBorder="1" applyAlignment="1">
      <alignment horizontal="center" vertical="center"/>
    </xf>
    <xf numFmtId="2" fontId="25" fillId="16" borderId="54" xfId="0" applyNumberFormat="1" applyFont="1" applyFill="1" applyBorder="1" applyAlignment="1">
      <alignment horizontal="center" vertical="center"/>
    </xf>
    <xf numFmtId="0" fontId="25" fillId="3" borderId="35" xfId="0" applyFont="1" applyFill="1" applyBorder="1" applyAlignment="1">
      <alignment horizontal="left" vertical="top" wrapText="1"/>
    </xf>
    <xf numFmtId="0" fontId="51" fillId="5" borderId="0" xfId="0" applyFont="1" applyFill="1" applyAlignment="1">
      <alignment vertical="center"/>
    </xf>
    <xf numFmtId="0" fontId="48" fillId="5" borderId="0" xfId="0" applyFont="1" applyFill="1" applyAlignment="1">
      <alignment horizontal="left" vertical="top" wrapText="1"/>
    </xf>
    <xf numFmtId="2" fontId="48" fillId="5" borderId="0" xfId="0" applyNumberFormat="1" applyFont="1" applyFill="1" applyAlignment="1">
      <alignment horizontal="center" vertical="center"/>
    </xf>
    <xf numFmtId="2" fontId="48" fillId="5" borderId="0" xfId="0" applyNumberFormat="1" applyFont="1" applyFill="1" applyAlignment="1">
      <alignment vertical="center"/>
    </xf>
    <xf numFmtId="0" fontId="46" fillId="12" borderId="29" xfId="0" applyFont="1" applyFill="1" applyBorder="1" applyAlignment="1">
      <alignment horizontal="center" vertical="center"/>
    </xf>
    <xf numFmtId="0" fontId="46" fillId="12" borderId="55" xfId="0" applyFont="1" applyFill="1" applyBorder="1" applyAlignment="1">
      <alignment horizontal="center" vertical="center"/>
    </xf>
    <xf numFmtId="0" fontId="46" fillId="12" borderId="40" xfId="0" applyFont="1" applyFill="1" applyBorder="1" applyAlignment="1">
      <alignment horizontal="center" vertical="center"/>
    </xf>
    <xf numFmtId="0" fontId="46" fillId="13" borderId="54" xfId="0" applyFont="1" applyFill="1" applyBorder="1" applyAlignment="1">
      <alignment horizontal="center" vertical="center"/>
    </xf>
    <xf numFmtId="0" fontId="46" fillId="14" borderId="54" xfId="0" applyFont="1" applyFill="1" applyBorder="1" applyAlignment="1">
      <alignment horizontal="center" vertical="center"/>
    </xf>
    <xf numFmtId="0" fontId="43" fillId="5" borderId="0" xfId="0" applyFont="1" applyFill="1" applyAlignment="1">
      <alignment horizontal="right"/>
    </xf>
    <xf numFmtId="2" fontId="25" fillId="16" borderId="5" xfId="0" applyNumberFormat="1" applyFont="1" applyFill="1" applyBorder="1" applyAlignment="1">
      <alignment horizontal="center" vertical="center"/>
    </xf>
    <xf numFmtId="2" fontId="25" fillId="16" borderId="18" xfId="0" applyNumberFormat="1" applyFont="1" applyFill="1" applyBorder="1" applyAlignment="1">
      <alignment horizontal="center" vertical="center"/>
    </xf>
    <xf numFmtId="2" fontId="25" fillId="16" borderId="21" xfId="0" applyNumberFormat="1" applyFont="1" applyFill="1" applyBorder="1" applyAlignment="1">
      <alignment horizontal="center" vertical="center"/>
    </xf>
    <xf numFmtId="2" fontId="25" fillId="16" borderId="22" xfId="0" applyNumberFormat="1" applyFont="1" applyFill="1" applyBorder="1" applyAlignment="1">
      <alignment horizontal="center" vertical="center"/>
    </xf>
    <xf numFmtId="2" fontId="25" fillId="16" borderId="19" xfId="0" applyNumberFormat="1" applyFont="1" applyFill="1" applyBorder="1" applyAlignment="1">
      <alignment horizontal="center" vertical="center"/>
    </xf>
    <xf numFmtId="0" fontId="25" fillId="7" borderId="0" xfId="0" applyFont="1" applyFill="1" applyAlignment="1">
      <alignment horizontal="center" vertical="center" wrapText="1"/>
    </xf>
    <xf numFmtId="0" fontId="25" fillId="3" borderId="23" xfId="0" applyFont="1" applyFill="1" applyBorder="1" applyAlignment="1">
      <alignment horizontal="left" vertical="top" wrapText="1"/>
    </xf>
    <xf numFmtId="0" fontId="40" fillId="6" borderId="54" xfId="0" applyFont="1" applyFill="1" applyBorder="1" applyAlignment="1">
      <alignment horizontal="center"/>
    </xf>
    <xf numFmtId="0" fontId="48" fillId="7" borderId="0" xfId="0" applyFont="1" applyFill="1"/>
    <xf numFmtId="0" fontId="25" fillId="0" borderId="44" xfId="0" quotePrefix="1" applyFont="1" applyBorder="1" applyAlignment="1" applyProtection="1">
      <alignment horizontal="center" vertical="center" wrapText="1"/>
      <protection locked="0"/>
    </xf>
    <xf numFmtId="0" fontId="10" fillId="7" borderId="5" xfId="0" applyFont="1" applyFill="1" applyBorder="1"/>
    <xf numFmtId="0" fontId="29" fillId="3" borderId="8" xfId="0" applyFont="1" applyFill="1" applyBorder="1" applyAlignment="1">
      <alignment horizontal="center" vertical="center" wrapText="1"/>
    </xf>
    <xf numFmtId="0" fontId="25" fillId="7" borderId="0" xfId="0" applyFont="1" applyFill="1" applyAlignment="1">
      <alignment horizontal="center"/>
    </xf>
    <xf numFmtId="0" fontId="29" fillId="21" borderId="5" xfId="0" applyFont="1" applyFill="1" applyBorder="1" applyAlignment="1">
      <alignment horizontal="center" vertical="top" wrapText="1"/>
    </xf>
    <xf numFmtId="0" fontId="39" fillId="6" borderId="29" xfId="0" applyFont="1" applyFill="1" applyBorder="1" applyAlignment="1">
      <alignment horizontal="center" vertical="center"/>
    </xf>
    <xf numFmtId="0" fontId="39" fillId="6" borderId="55" xfId="0" applyFont="1" applyFill="1" applyBorder="1" applyAlignment="1">
      <alignment horizontal="center" vertical="center"/>
    </xf>
    <xf numFmtId="0" fontId="39" fillId="6" borderId="40" xfId="0" applyFont="1" applyFill="1" applyBorder="1" applyAlignment="1">
      <alignment horizontal="center" vertical="center"/>
    </xf>
    <xf numFmtId="0" fontId="25" fillId="16" borderId="52" xfId="0" applyFont="1" applyFill="1" applyBorder="1" applyAlignment="1">
      <alignment horizontal="center" vertical="center"/>
    </xf>
    <xf numFmtId="0" fontId="25" fillId="16" borderId="17" xfId="0" applyFont="1" applyFill="1" applyBorder="1" applyAlignment="1">
      <alignment horizontal="left" vertical="center" wrapText="1"/>
    </xf>
    <xf numFmtId="0" fontId="29" fillId="16" borderId="17" xfId="0" applyFont="1" applyFill="1" applyBorder="1" applyAlignment="1">
      <alignment horizontal="center" vertical="center"/>
    </xf>
    <xf numFmtId="0" fontId="25" fillId="16" borderId="17" xfId="0" applyFont="1" applyFill="1" applyBorder="1" applyAlignment="1">
      <alignment horizontal="left" vertical="center"/>
    </xf>
    <xf numFmtId="0" fontId="25" fillId="16" borderId="66" xfId="0" applyFont="1" applyFill="1" applyBorder="1" applyAlignment="1">
      <alignment horizontal="center" vertical="center"/>
    </xf>
    <xf numFmtId="0" fontId="29" fillId="3" borderId="8" xfId="0" applyFont="1" applyFill="1" applyBorder="1" applyAlignment="1">
      <alignment horizontal="center" vertical="center" wrapText="1"/>
    </xf>
    <xf numFmtId="0" fontId="25" fillId="7" borderId="0" xfId="0" applyFont="1" applyFill="1" applyAlignment="1">
      <alignment horizontal="center"/>
    </xf>
    <xf numFmtId="0" fontId="25" fillId="3" borderId="5" xfId="0" applyFont="1" applyFill="1" applyBorder="1" applyAlignment="1">
      <alignment horizontal="center" textRotation="90" wrapText="1"/>
    </xf>
    <xf numFmtId="0" fontId="33" fillId="3" borderId="5" xfId="0" applyFont="1" applyFill="1" applyBorder="1" applyAlignment="1">
      <alignment horizontal="center" vertical="center" textRotation="90" wrapText="1"/>
    </xf>
    <xf numFmtId="0" fontId="33" fillId="16" borderId="12" xfId="0" applyFont="1" applyFill="1" applyBorder="1" applyAlignment="1">
      <alignment horizontal="center" vertical="center" wrapText="1"/>
    </xf>
    <xf numFmtId="0" fontId="33" fillId="16" borderId="21" xfId="0" applyFont="1" applyFill="1" applyBorder="1" applyAlignment="1">
      <alignment horizontal="center" vertical="center" wrapText="1"/>
    </xf>
    <xf numFmtId="0" fontId="33" fillId="16" borderId="13" xfId="0" applyFont="1" applyFill="1" applyBorder="1" applyAlignment="1">
      <alignment horizontal="center" vertical="center" wrapText="1"/>
    </xf>
    <xf numFmtId="0" fontId="33" fillId="16" borderId="18" xfId="0" applyFont="1" applyFill="1" applyBorder="1" applyAlignment="1">
      <alignment horizontal="center" vertical="center" wrapText="1"/>
    </xf>
    <xf numFmtId="0" fontId="33" fillId="16" borderId="22" xfId="0" applyFont="1" applyFill="1" applyBorder="1" applyAlignment="1">
      <alignment horizontal="center" vertical="center" wrapText="1"/>
    </xf>
    <xf numFmtId="0" fontId="16" fillId="6" borderId="12" xfId="9" applyFont="1" applyFill="1" applyBorder="1" applyAlignment="1">
      <alignment horizontal="center" vertical="center"/>
    </xf>
    <xf numFmtId="0" fontId="16" fillId="6" borderId="5" xfId="9" applyFont="1" applyFill="1" applyBorder="1" applyAlignment="1">
      <alignment horizontal="center" vertical="center"/>
    </xf>
    <xf numFmtId="9" fontId="16" fillId="2" borderId="5" xfId="32" applyFont="1" applyFill="1" applyBorder="1" applyAlignment="1" applyProtection="1">
      <alignment horizontal="center" vertical="center"/>
      <protection locked="0"/>
    </xf>
    <xf numFmtId="2" fontId="16" fillId="16" borderId="5" xfId="9" applyNumberFormat="1" applyFont="1" applyFill="1" applyBorder="1" applyAlignment="1">
      <alignment horizontal="center" vertical="center"/>
    </xf>
    <xf numFmtId="2" fontId="16" fillId="16" borderId="21" xfId="9" applyNumberFormat="1" applyFont="1" applyFill="1" applyBorder="1" applyAlignment="1">
      <alignment horizontal="center" vertical="center"/>
    </xf>
    <xf numFmtId="0" fontId="16" fillId="6" borderId="12" xfId="0" applyFont="1" applyFill="1" applyBorder="1" applyAlignment="1">
      <alignment horizontal="center" vertical="center" wrapText="1"/>
    </xf>
    <xf numFmtId="0" fontId="16" fillId="6" borderId="5" xfId="0" applyFont="1" applyFill="1" applyBorder="1" applyAlignment="1">
      <alignment horizontal="center" vertical="center" wrapText="1"/>
    </xf>
    <xf numFmtId="2" fontId="40" fillId="2" borderId="5" xfId="0" applyNumberFormat="1" applyFont="1" applyFill="1" applyBorder="1" applyAlignment="1" applyProtection="1">
      <alignment horizontal="center" vertical="center"/>
    </xf>
    <xf numFmtId="2" fontId="40" fillId="2" borderId="21" xfId="0" applyNumberFormat="1" applyFont="1" applyFill="1" applyBorder="1" applyAlignment="1" applyProtection="1">
      <alignment horizontal="center" vertical="center"/>
    </xf>
    <xf numFmtId="0" fontId="13" fillId="2" borderId="5" xfId="9" applyFont="1" applyFill="1" applyBorder="1" applyAlignment="1" applyProtection="1">
      <alignment horizontal="center" vertical="center"/>
      <protection locked="0"/>
    </xf>
    <xf numFmtId="0" fontId="13" fillId="2" borderId="21" xfId="9" applyFont="1" applyFill="1" applyBorder="1" applyAlignment="1" applyProtection="1">
      <alignment horizontal="center" vertical="center"/>
      <protection locked="0"/>
    </xf>
    <xf numFmtId="167" fontId="10" fillId="2" borderId="5" xfId="0" applyNumberFormat="1" applyFont="1" applyFill="1" applyBorder="1" applyAlignment="1" applyProtection="1">
      <alignment horizontal="center"/>
      <protection locked="0"/>
    </xf>
    <xf numFmtId="167" fontId="10" fillId="2" borderId="21" xfId="0" applyNumberFormat="1" applyFont="1" applyFill="1" applyBorder="1" applyAlignment="1" applyProtection="1">
      <alignment horizontal="center"/>
      <protection locked="0"/>
    </xf>
    <xf numFmtId="0" fontId="16" fillId="6" borderId="12" xfId="0" applyFont="1" applyFill="1" applyBorder="1" applyAlignment="1">
      <alignment horizontal="center" vertical="center"/>
    </xf>
    <xf numFmtId="0" fontId="16" fillId="6" borderId="5" xfId="0" applyFont="1" applyFill="1" applyBorder="1" applyAlignment="1">
      <alignment horizontal="center" vertical="center"/>
    </xf>
    <xf numFmtId="167" fontId="13" fillId="2" borderId="5" xfId="9" applyNumberFormat="1" applyFont="1" applyFill="1" applyBorder="1" applyAlignment="1" applyProtection="1">
      <alignment horizontal="center" vertical="center"/>
      <protection locked="0"/>
    </xf>
    <xf numFmtId="167" fontId="13" fillId="2" borderId="21" xfId="9" applyNumberFormat="1" applyFont="1" applyFill="1" applyBorder="1" applyAlignment="1" applyProtection="1">
      <alignment horizontal="center" vertical="center"/>
      <protection locked="0"/>
    </xf>
    <xf numFmtId="0" fontId="10" fillId="5" borderId="0" xfId="0" applyFont="1" applyFill="1" applyAlignment="1">
      <alignment horizontal="right" vertical="top"/>
    </xf>
    <xf numFmtId="0" fontId="12" fillId="5" borderId="0" xfId="21" applyFont="1" applyFill="1" applyAlignment="1" applyProtection="1">
      <alignment horizontal="left" vertical="top"/>
      <protection locked="0"/>
    </xf>
    <xf numFmtId="0" fontId="11" fillId="5" borderId="0" xfId="0" applyFont="1" applyFill="1" applyAlignment="1">
      <alignment horizontal="center"/>
    </xf>
    <xf numFmtId="0" fontId="16" fillId="6" borderId="14" xfId="9" applyFont="1" applyFill="1" applyBorder="1" applyAlignment="1">
      <alignment horizontal="center" vertical="center"/>
    </xf>
    <xf numFmtId="0" fontId="16" fillId="6" borderId="17" xfId="9" applyFont="1" applyFill="1" applyBorder="1" applyAlignment="1">
      <alignment horizontal="center" vertical="center"/>
    </xf>
    <xf numFmtId="0" fontId="13" fillId="2" borderId="17" xfId="9" applyFont="1" applyFill="1" applyBorder="1" applyAlignment="1" applyProtection="1">
      <alignment horizontal="center" vertical="center"/>
      <protection locked="0"/>
    </xf>
    <xf numFmtId="0" fontId="13" fillId="2" borderId="19" xfId="9" applyFont="1" applyFill="1" applyBorder="1" applyAlignment="1" applyProtection="1">
      <alignment horizontal="center" vertical="center"/>
      <protection locked="0"/>
    </xf>
    <xf numFmtId="0" fontId="16" fillId="5" borderId="34" xfId="0" applyFont="1" applyFill="1" applyBorder="1" applyAlignment="1">
      <alignment horizontal="center" vertical="center"/>
    </xf>
    <xf numFmtId="0" fontId="18" fillId="6" borderId="20" xfId="0" applyFont="1" applyFill="1" applyBorder="1" applyAlignment="1">
      <alignment horizontal="center" vertical="center"/>
    </xf>
    <xf numFmtId="0" fontId="37" fillId="6" borderId="27" xfId="0" applyFont="1" applyFill="1" applyBorder="1" applyAlignment="1">
      <alignment horizontal="center" vertical="center"/>
    </xf>
    <xf numFmtId="0" fontId="37" fillId="6" borderId="56" xfId="0" applyFont="1" applyFill="1" applyBorder="1" applyAlignment="1">
      <alignment horizontal="center" vertical="center"/>
    </xf>
    <xf numFmtId="0" fontId="37" fillId="6" borderId="57" xfId="0" applyFont="1" applyFill="1" applyBorder="1" applyAlignment="1">
      <alignment horizontal="center" vertical="center"/>
    </xf>
    <xf numFmtId="0" fontId="37" fillId="6" borderId="0" xfId="0" applyFont="1" applyFill="1" applyAlignment="1">
      <alignment horizontal="center" vertical="center"/>
    </xf>
    <xf numFmtId="0" fontId="37" fillId="6" borderId="50" xfId="0" applyFont="1" applyFill="1" applyBorder="1" applyAlignment="1">
      <alignment horizontal="center" vertical="center"/>
    </xf>
    <xf numFmtId="0" fontId="13" fillId="15" borderId="13" xfId="9" applyFont="1" applyFill="1" applyBorder="1" applyAlignment="1">
      <alignment horizontal="center"/>
    </xf>
    <xf numFmtId="0" fontId="13" fillId="15" borderId="18" xfId="9" applyFont="1" applyFill="1" applyBorder="1" applyAlignment="1">
      <alignment horizontal="center"/>
    </xf>
    <xf numFmtId="0" fontId="13" fillId="6" borderId="18" xfId="9" applyFont="1" applyFill="1" applyBorder="1" applyAlignment="1">
      <alignment horizontal="center"/>
    </xf>
    <xf numFmtId="0" fontId="13" fillId="6" borderId="22" xfId="9" applyFont="1" applyFill="1" applyBorder="1" applyAlignment="1">
      <alignment horizontal="center"/>
    </xf>
    <xf numFmtId="0" fontId="16" fillId="6" borderId="13" xfId="0" applyFont="1" applyFill="1" applyBorder="1" applyAlignment="1">
      <alignment horizontal="center" vertical="center" wrapText="1"/>
    </xf>
    <xf numFmtId="0" fontId="16" fillId="6" borderId="18" xfId="0" applyFont="1" applyFill="1" applyBorder="1" applyAlignment="1">
      <alignment horizontal="center" vertical="center" wrapText="1"/>
    </xf>
    <xf numFmtId="2" fontId="40" fillId="0" borderId="18" xfId="0" applyNumberFormat="1" applyFont="1" applyBorder="1" applyAlignment="1" applyProtection="1">
      <alignment horizontal="center" vertical="center"/>
      <protection locked="0"/>
    </xf>
    <xf numFmtId="0" fontId="40" fillId="16" borderId="18" xfId="0" applyFont="1" applyFill="1" applyBorder="1" applyAlignment="1">
      <alignment horizontal="center" vertical="center" wrapText="1"/>
    </xf>
    <xf numFmtId="0" fontId="40" fillId="16" borderId="22" xfId="0" applyFont="1" applyFill="1" applyBorder="1" applyAlignment="1">
      <alignment horizontal="center" vertical="center" wrapText="1"/>
    </xf>
    <xf numFmtId="0" fontId="13" fillId="16" borderId="12" xfId="9" applyFont="1" applyFill="1" applyBorder="1" applyAlignment="1">
      <alignment horizontal="center"/>
    </xf>
    <xf numFmtId="0" fontId="13" fillId="16" borderId="5" xfId="9" applyFont="1" applyFill="1" applyBorder="1" applyAlignment="1">
      <alignment horizontal="center"/>
    </xf>
    <xf numFmtId="0" fontId="13" fillId="6" borderId="5" xfId="9" applyFont="1" applyFill="1" applyBorder="1" applyAlignment="1">
      <alignment horizontal="center"/>
    </xf>
    <xf numFmtId="0" fontId="13" fillId="6" borderId="21" xfId="9" applyFont="1" applyFill="1" applyBorder="1" applyAlignment="1">
      <alignment horizontal="center"/>
    </xf>
    <xf numFmtId="0" fontId="42" fillId="20" borderId="36" xfId="0" applyFont="1" applyFill="1" applyBorder="1" applyAlignment="1">
      <alignment horizontal="center"/>
    </xf>
    <xf numFmtId="0" fontId="42" fillId="20" borderId="6" xfId="0" applyFont="1" applyFill="1" applyBorder="1" applyAlignment="1">
      <alignment horizontal="center"/>
    </xf>
    <xf numFmtId="0" fontId="13" fillId="6" borderId="16" xfId="0" applyFont="1" applyFill="1" applyBorder="1" applyAlignment="1">
      <alignment horizontal="center"/>
    </xf>
    <xf numFmtId="0" fontId="13" fillId="6" borderId="31" xfId="0" applyFont="1" applyFill="1" applyBorder="1" applyAlignment="1">
      <alignment horizontal="center"/>
    </xf>
    <xf numFmtId="0" fontId="13" fillId="6" borderId="39" xfId="0" applyFont="1" applyFill="1" applyBorder="1" applyAlignment="1">
      <alignment horizontal="center"/>
    </xf>
    <xf numFmtId="0" fontId="10" fillId="2" borderId="10" xfId="0" applyFont="1" applyFill="1" applyBorder="1" applyAlignment="1" applyProtection="1">
      <alignment horizontal="center"/>
      <protection locked="0"/>
    </xf>
    <xf numFmtId="0" fontId="10" fillId="2" borderId="11" xfId="0" applyFont="1" applyFill="1" applyBorder="1" applyAlignment="1" applyProtection="1">
      <alignment horizontal="center"/>
      <protection locked="0"/>
    </xf>
    <xf numFmtId="0" fontId="40" fillId="6" borderId="9" xfId="0" applyFont="1" applyFill="1" applyBorder="1" applyAlignment="1">
      <alignment horizontal="left" vertical="center"/>
    </xf>
    <xf numFmtId="0" fontId="40" fillId="6" borderId="10" xfId="0" applyFont="1" applyFill="1" applyBorder="1" applyAlignment="1">
      <alignment horizontal="left" vertical="center"/>
    </xf>
    <xf numFmtId="0" fontId="40" fillId="6" borderId="9" xfId="0" applyFont="1" applyFill="1" applyBorder="1" applyAlignment="1">
      <alignment horizontal="left"/>
    </xf>
    <xf numFmtId="0" fontId="40" fillId="6" borderId="10" xfId="0" applyFont="1" applyFill="1" applyBorder="1" applyAlignment="1">
      <alignment horizontal="left"/>
    </xf>
    <xf numFmtId="0" fontId="19" fillId="2" borderId="12" xfId="0" applyFont="1" applyFill="1" applyBorder="1" applyAlignment="1" applyProtection="1">
      <alignment horizontal="center" vertical="center" wrapText="1"/>
      <protection locked="0"/>
    </xf>
    <xf numFmtId="0" fontId="19" fillId="2" borderId="5" xfId="0" applyFont="1" applyFill="1" applyBorder="1" applyAlignment="1" applyProtection="1">
      <alignment horizontal="center" vertical="center" wrapText="1"/>
      <protection locked="0"/>
    </xf>
    <xf numFmtId="0" fontId="17" fillId="6" borderId="20" xfId="0" applyFont="1" applyFill="1" applyBorder="1" applyAlignment="1">
      <alignment horizontal="center"/>
    </xf>
    <xf numFmtId="0" fontId="17" fillId="6" borderId="27" xfId="0" applyFont="1" applyFill="1" applyBorder="1" applyAlignment="1">
      <alignment horizontal="center"/>
    </xf>
    <xf numFmtId="0" fontId="17" fillId="6" borderId="56" xfId="0" applyFont="1" applyFill="1" applyBorder="1" applyAlignment="1">
      <alignment horizontal="center"/>
    </xf>
    <xf numFmtId="0" fontId="42" fillId="19" borderId="12" xfId="0" applyFont="1" applyFill="1" applyBorder="1" applyAlignment="1">
      <alignment horizontal="center"/>
    </xf>
    <xf numFmtId="0" fontId="42" fillId="19" borderId="5" xfId="0" applyFont="1" applyFill="1" applyBorder="1" applyAlignment="1">
      <alignment horizontal="center"/>
    </xf>
    <xf numFmtId="0" fontId="13" fillId="6" borderId="5" xfId="0" applyFont="1" applyFill="1" applyBorder="1" applyAlignment="1">
      <alignment horizontal="center"/>
    </xf>
    <xf numFmtId="0" fontId="13" fillId="6" borderId="21" xfId="0" applyFont="1" applyFill="1" applyBorder="1" applyAlignment="1">
      <alignment horizontal="center"/>
    </xf>
    <xf numFmtId="0" fontId="17" fillId="18" borderId="14" xfId="0" applyFont="1" applyFill="1" applyBorder="1" applyAlignment="1">
      <alignment horizontal="center"/>
    </xf>
    <xf numFmtId="0" fontId="17" fillId="18" borderId="17" xfId="0" applyFont="1" applyFill="1" applyBorder="1" applyAlignment="1">
      <alignment horizontal="center"/>
    </xf>
    <xf numFmtId="0" fontId="13" fillId="6" borderId="17" xfId="0" applyFont="1" applyFill="1" applyBorder="1" applyAlignment="1">
      <alignment horizontal="center"/>
    </xf>
    <xf numFmtId="0" fontId="13" fillId="6" borderId="19" xfId="0" applyFont="1" applyFill="1" applyBorder="1" applyAlignment="1">
      <alignment horizontal="center"/>
    </xf>
    <xf numFmtId="2" fontId="40" fillId="16" borderId="5" xfId="0" applyNumberFormat="1" applyFont="1" applyFill="1" applyBorder="1" applyAlignment="1">
      <alignment horizontal="center" vertical="center"/>
    </xf>
    <xf numFmtId="0" fontId="40" fillId="16" borderId="5" xfId="0" applyFont="1" applyFill="1" applyBorder="1" applyAlignment="1">
      <alignment horizontal="center" vertical="center"/>
    </xf>
    <xf numFmtId="2" fontId="40" fillId="16" borderId="18" xfId="0" applyNumberFormat="1" applyFont="1" applyFill="1" applyBorder="1" applyAlignment="1">
      <alignment horizontal="center" vertical="center"/>
    </xf>
    <xf numFmtId="0" fontId="0" fillId="7" borderId="0" xfId="0" applyFill="1" applyAlignment="1">
      <alignment horizontal="right" vertical="top"/>
    </xf>
    <xf numFmtId="0" fontId="7" fillId="7" borderId="0" xfId="21" applyFill="1" applyAlignment="1" applyProtection="1">
      <alignment horizontal="left" vertical="top"/>
      <protection locked="0"/>
    </xf>
    <xf numFmtId="0" fontId="1" fillId="7" borderId="0" xfId="0" applyFont="1" applyFill="1" applyAlignment="1">
      <alignment horizontal="center" vertical="center" wrapText="1"/>
    </xf>
    <xf numFmtId="0" fontId="39" fillId="0" borderId="28" xfId="0" applyFont="1" applyBorder="1" applyAlignment="1">
      <alignment horizontal="center" vertical="center" textRotation="90"/>
    </xf>
    <xf numFmtId="0" fontId="39" fillId="0" borderId="53" xfId="0" applyFont="1" applyBorder="1" applyAlignment="1">
      <alignment horizontal="center" vertical="center" textRotation="90"/>
    </xf>
    <xf numFmtId="0" fontId="39" fillId="0" borderId="30" xfId="0" applyFont="1" applyBorder="1" applyAlignment="1">
      <alignment horizontal="center" vertical="center" textRotation="90"/>
    </xf>
    <xf numFmtId="0" fontId="50" fillId="12" borderId="28" xfId="0" applyFont="1" applyFill="1" applyBorder="1" applyAlignment="1">
      <alignment horizontal="center" vertical="center"/>
    </xf>
    <xf numFmtId="0" fontId="50" fillId="12" borderId="53" xfId="0" applyFont="1" applyFill="1" applyBorder="1" applyAlignment="1">
      <alignment horizontal="center" vertical="center"/>
    </xf>
    <xf numFmtId="0" fontId="50" fillId="12" borderId="30" xfId="0" applyFont="1" applyFill="1" applyBorder="1" applyAlignment="1">
      <alignment horizontal="center" vertical="center"/>
    </xf>
    <xf numFmtId="2" fontId="25" fillId="16" borderId="37" xfId="0" applyNumberFormat="1" applyFont="1" applyFill="1" applyBorder="1" applyAlignment="1">
      <alignment horizontal="center" vertical="center"/>
    </xf>
    <xf numFmtId="2" fontId="25" fillId="16" borderId="74" xfId="0" applyNumberFormat="1" applyFont="1" applyFill="1" applyBorder="1" applyAlignment="1">
      <alignment horizontal="center" vertical="center"/>
    </xf>
    <xf numFmtId="2" fontId="25" fillId="16" borderId="38" xfId="0" applyNumberFormat="1" applyFont="1" applyFill="1" applyBorder="1" applyAlignment="1">
      <alignment horizontal="center" vertical="center"/>
    </xf>
    <xf numFmtId="0" fontId="43" fillId="5" borderId="70" xfId="0" applyFont="1" applyFill="1" applyBorder="1" applyAlignment="1">
      <alignment horizontal="center"/>
    </xf>
    <xf numFmtId="2" fontId="25" fillId="16" borderId="37" xfId="0" applyNumberFormat="1" applyFont="1" applyFill="1" applyBorder="1" applyAlignment="1">
      <alignment horizontal="center" vertical="center" wrapText="1"/>
    </xf>
    <xf numFmtId="2" fontId="25" fillId="16" borderId="38" xfId="0" applyNumberFormat="1" applyFont="1" applyFill="1" applyBorder="1" applyAlignment="1">
      <alignment horizontal="center" vertical="center" wrapText="1"/>
    </xf>
    <xf numFmtId="0" fontId="43" fillId="0" borderId="61" xfId="0" quotePrefix="1" applyFont="1" applyBorder="1" applyAlignment="1">
      <alignment horizontal="center" vertical="center" wrapText="1"/>
    </xf>
    <xf numFmtId="0" fontId="43" fillId="0" borderId="17" xfId="0" quotePrefix="1" applyFont="1" applyBorder="1" applyAlignment="1">
      <alignment horizontal="center" vertical="center" wrapText="1"/>
    </xf>
    <xf numFmtId="0" fontId="43" fillId="0" borderId="19" xfId="0" quotePrefix="1" applyFont="1" applyBorder="1" applyAlignment="1">
      <alignment horizontal="center" vertical="center" wrapText="1"/>
    </xf>
    <xf numFmtId="0" fontId="43" fillId="0" borderId="6" xfId="0" applyFont="1" applyBorder="1" applyAlignment="1">
      <alignment horizontal="center" vertical="center" wrapText="1"/>
    </xf>
    <xf numFmtId="0" fontId="43" fillId="0" borderId="5" xfId="0" applyFont="1" applyBorder="1" applyAlignment="1">
      <alignment horizontal="center" vertical="center" wrapText="1"/>
    </xf>
    <xf numFmtId="0" fontId="43" fillId="0" borderId="21" xfId="0" applyFont="1" applyBorder="1" applyAlignment="1">
      <alignment horizontal="center" vertical="center" wrapText="1"/>
    </xf>
    <xf numFmtId="0" fontId="43" fillId="0" borderId="31" xfId="0" applyFont="1" applyBorder="1" applyAlignment="1">
      <alignment horizontal="center" vertical="center" wrapText="1"/>
    </xf>
    <xf numFmtId="0" fontId="43" fillId="0" borderId="39" xfId="0" applyFont="1" applyBorder="1" applyAlignment="1">
      <alignment horizontal="center" vertical="center" wrapText="1"/>
    </xf>
    <xf numFmtId="0" fontId="43" fillId="0" borderId="32" xfId="0" applyFont="1" applyBorder="1" applyAlignment="1">
      <alignment horizontal="center" vertical="center" wrapText="1"/>
    </xf>
    <xf numFmtId="0" fontId="43" fillId="0" borderId="64" xfId="0" applyFont="1" applyBorder="1" applyAlignment="1">
      <alignment horizontal="center" vertical="center" wrapText="1"/>
    </xf>
    <xf numFmtId="0" fontId="43" fillId="5" borderId="0" xfId="0" applyFont="1" applyFill="1" applyAlignment="1">
      <alignment horizontal="center"/>
    </xf>
    <xf numFmtId="0" fontId="29" fillId="6" borderId="23" xfId="0" applyFont="1" applyFill="1" applyBorder="1" applyAlignment="1">
      <alignment horizontal="center" vertical="center"/>
    </xf>
    <xf numFmtId="0" fontId="29" fillId="6" borderId="48" xfId="0" applyFont="1" applyFill="1" applyBorder="1" applyAlignment="1">
      <alignment horizontal="center" vertical="center"/>
    </xf>
    <xf numFmtId="0" fontId="29" fillId="6" borderId="79" xfId="0" applyFont="1" applyFill="1" applyBorder="1" applyAlignment="1">
      <alignment horizontal="center" vertical="center"/>
    </xf>
    <xf numFmtId="0" fontId="29" fillId="6" borderId="46" xfId="0" applyFont="1" applyFill="1" applyBorder="1" applyAlignment="1">
      <alignment horizontal="center" vertical="center"/>
    </xf>
    <xf numFmtId="0" fontId="46" fillId="12" borderId="27" xfId="0" applyFont="1" applyFill="1" applyBorder="1" applyAlignment="1">
      <alignment horizontal="center" vertical="center"/>
    </xf>
    <xf numFmtId="0" fontId="46" fillId="12" borderId="0" xfId="0" applyFont="1" applyFill="1" applyAlignment="1">
      <alignment horizontal="center" vertical="center"/>
    </xf>
    <xf numFmtId="0" fontId="46" fillId="12" borderId="34" xfId="0" applyFont="1" applyFill="1" applyBorder="1" applyAlignment="1">
      <alignment horizontal="center" vertical="center"/>
    </xf>
    <xf numFmtId="0" fontId="46" fillId="12" borderId="28" xfId="0" applyFont="1" applyFill="1" applyBorder="1" applyAlignment="1">
      <alignment horizontal="center" vertical="center"/>
    </xf>
    <xf numFmtId="0" fontId="46" fillId="12" borderId="53" xfId="0" applyFont="1" applyFill="1" applyBorder="1" applyAlignment="1">
      <alignment horizontal="center" vertical="center"/>
    </xf>
    <xf numFmtId="0" fontId="46" fillId="12" borderId="30" xfId="0" applyFont="1" applyFill="1" applyBorder="1" applyAlignment="1">
      <alignment horizontal="center" vertical="center"/>
    </xf>
    <xf numFmtId="2" fontId="25" fillId="16" borderId="17" xfId="0" applyNumberFormat="1" applyFont="1" applyFill="1" applyBorder="1" applyAlignment="1">
      <alignment horizontal="center" vertical="center"/>
    </xf>
    <xf numFmtId="2" fontId="25" fillId="16" borderId="5" xfId="0" applyNumberFormat="1" applyFont="1" applyFill="1" applyBorder="1" applyAlignment="1">
      <alignment horizontal="center" vertical="center"/>
    </xf>
    <xf numFmtId="0" fontId="29" fillId="6" borderId="17" xfId="0" applyFont="1" applyFill="1" applyBorder="1" applyAlignment="1">
      <alignment horizontal="center" vertical="center"/>
    </xf>
    <xf numFmtId="0" fontId="29" fillId="6" borderId="5" xfId="0" applyFont="1" applyFill="1" applyBorder="1" applyAlignment="1">
      <alignment horizontal="center" vertical="center"/>
    </xf>
    <xf numFmtId="2" fontId="25" fillId="16" borderId="19" xfId="0" applyNumberFormat="1" applyFont="1" applyFill="1" applyBorder="1" applyAlignment="1">
      <alignment horizontal="center" vertical="center"/>
    </xf>
    <xf numFmtId="2" fontId="25" fillId="16" borderId="21" xfId="0" applyNumberFormat="1" applyFont="1" applyFill="1" applyBorder="1" applyAlignment="1">
      <alignment horizontal="center" vertical="center"/>
    </xf>
    <xf numFmtId="0" fontId="46" fillId="12" borderId="20" xfId="0" applyFont="1" applyFill="1" applyBorder="1" applyAlignment="1">
      <alignment horizontal="center" vertical="center"/>
    </xf>
    <xf numFmtId="0" fontId="46" fillId="12" borderId="33" xfId="0" applyFont="1" applyFill="1" applyBorder="1" applyAlignment="1">
      <alignment horizontal="center" vertical="center"/>
    </xf>
    <xf numFmtId="2" fontId="25" fillId="16" borderId="6" xfId="0" applyNumberFormat="1" applyFont="1" applyFill="1" applyBorder="1" applyAlignment="1">
      <alignment horizontal="center" vertical="center"/>
    </xf>
    <xf numFmtId="2" fontId="25" fillId="16" borderId="61" xfId="0" applyNumberFormat="1" applyFont="1" applyFill="1" applyBorder="1" applyAlignment="1">
      <alignment horizontal="center" vertical="center"/>
    </xf>
    <xf numFmtId="2" fontId="25" fillId="16" borderId="18" xfId="0" applyNumberFormat="1" applyFont="1" applyFill="1" applyBorder="1" applyAlignment="1">
      <alignment horizontal="center" vertical="center"/>
    </xf>
    <xf numFmtId="0" fontId="29" fillId="6" borderId="18" xfId="0" applyFont="1" applyFill="1" applyBorder="1" applyAlignment="1">
      <alignment horizontal="center" vertical="center"/>
    </xf>
    <xf numFmtId="2" fontId="25" fillId="16" borderId="22" xfId="0" applyNumberFormat="1" applyFont="1" applyFill="1" applyBorder="1" applyAlignment="1">
      <alignment horizontal="center" vertical="center"/>
    </xf>
    <xf numFmtId="2" fontId="25" fillId="16" borderId="58" xfId="0" applyNumberFormat="1" applyFont="1" applyFill="1" applyBorder="1" applyAlignment="1">
      <alignment horizontal="center" vertical="center"/>
    </xf>
    <xf numFmtId="0" fontId="46" fillId="14" borderId="28" xfId="0" applyFont="1" applyFill="1" applyBorder="1" applyAlignment="1">
      <alignment horizontal="center" vertical="center"/>
    </xf>
    <xf numFmtId="0" fontId="46" fillId="14" borderId="53" xfId="0" applyFont="1" applyFill="1" applyBorder="1" applyAlignment="1">
      <alignment horizontal="center" vertical="center"/>
    </xf>
    <xf numFmtId="0" fontId="46" fillId="14" borderId="30" xfId="0" applyFont="1" applyFill="1" applyBorder="1" applyAlignment="1">
      <alignment horizontal="center" vertical="center"/>
    </xf>
    <xf numFmtId="2" fontId="25" fillId="16" borderId="28" xfId="0" applyNumberFormat="1" applyFont="1" applyFill="1" applyBorder="1" applyAlignment="1">
      <alignment horizontal="center" vertical="center"/>
    </xf>
    <xf numFmtId="2" fontId="25" fillId="16" borderId="53" xfId="0" applyNumberFormat="1" applyFont="1" applyFill="1" applyBorder="1" applyAlignment="1">
      <alignment horizontal="center" vertical="center"/>
    </xf>
    <xf numFmtId="2" fontId="25" fillId="16" borderId="30" xfId="0" applyNumberFormat="1" applyFont="1" applyFill="1" applyBorder="1" applyAlignment="1">
      <alignment horizontal="center" vertical="center"/>
    </xf>
    <xf numFmtId="0" fontId="46" fillId="13" borderId="28" xfId="0" applyFont="1" applyFill="1" applyBorder="1" applyAlignment="1">
      <alignment horizontal="center" vertical="center"/>
    </xf>
    <xf numFmtId="0" fontId="46" fillId="13" borderId="53" xfId="0" applyFont="1" applyFill="1" applyBorder="1" applyAlignment="1">
      <alignment horizontal="center" vertical="center"/>
    </xf>
    <xf numFmtId="0" fontId="46" fillId="13" borderId="30" xfId="0" applyFont="1" applyFill="1" applyBorder="1" applyAlignment="1">
      <alignment horizontal="center" vertical="center"/>
    </xf>
    <xf numFmtId="0" fontId="40" fillId="6" borderId="23" xfId="0" applyFont="1" applyFill="1" applyBorder="1" applyAlignment="1">
      <alignment horizontal="center"/>
    </xf>
    <xf numFmtId="0" fontId="40" fillId="6" borderId="46" xfId="0" applyFont="1" applyFill="1" applyBorder="1" applyAlignment="1">
      <alignment horizontal="center"/>
    </xf>
    <xf numFmtId="0" fontId="40" fillId="6" borderId="24" xfId="0" applyFont="1" applyFill="1" applyBorder="1" applyAlignment="1">
      <alignment horizontal="center"/>
    </xf>
    <xf numFmtId="0" fontId="29" fillId="6" borderId="24" xfId="0" applyFont="1" applyFill="1" applyBorder="1" applyAlignment="1">
      <alignment horizontal="center" vertical="center"/>
    </xf>
    <xf numFmtId="0" fontId="24" fillId="3" borderId="20" xfId="0" applyFont="1" applyFill="1" applyBorder="1" applyAlignment="1">
      <alignment horizontal="center" vertical="center"/>
    </xf>
    <xf numFmtId="0" fontId="24" fillId="3" borderId="27" xfId="0" applyFont="1" applyFill="1" applyBorder="1" applyAlignment="1">
      <alignment horizontal="center" vertical="center"/>
    </xf>
    <xf numFmtId="0" fontId="24" fillId="3" borderId="56" xfId="0" applyFont="1" applyFill="1" applyBorder="1" applyAlignment="1">
      <alignment horizontal="center" vertical="center"/>
    </xf>
    <xf numFmtId="0" fontId="24" fillId="3" borderId="33" xfId="0" applyFont="1" applyFill="1" applyBorder="1" applyAlignment="1">
      <alignment horizontal="center" vertical="center"/>
    </xf>
    <xf numFmtId="0" fontId="24" fillId="3" borderId="34" xfId="0" applyFont="1" applyFill="1" applyBorder="1" applyAlignment="1">
      <alignment horizontal="center" vertical="center"/>
    </xf>
    <xf numFmtId="0" fontId="24" fillId="3" borderId="59" xfId="0" applyFont="1" applyFill="1" applyBorder="1" applyAlignment="1">
      <alignment horizontal="center" vertical="center"/>
    </xf>
    <xf numFmtId="0" fontId="15" fillId="5" borderId="0" xfId="0" applyFont="1" applyFill="1" applyAlignment="1">
      <alignment horizontal="center" vertical="center" wrapText="1"/>
    </xf>
    <xf numFmtId="0" fontId="27" fillId="3" borderId="23" xfId="0" applyFont="1" applyFill="1" applyBorder="1" applyAlignment="1">
      <alignment horizontal="center" vertical="center" wrapText="1"/>
    </xf>
    <xf numFmtId="0" fontId="27" fillId="3" borderId="46" xfId="0" applyFont="1" applyFill="1" applyBorder="1" applyAlignment="1">
      <alignment horizontal="center" vertical="center" wrapText="1"/>
    </xf>
    <xf numFmtId="0" fontId="27" fillId="3" borderId="24" xfId="0" applyFont="1" applyFill="1" applyBorder="1" applyAlignment="1">
      <alignment horizontal="center" vertical="center" wrapText="1"/>
    </xf>
    <xf numFmtId="0" fontId="24" fillId="3" borderId="23" xfId="0" applyFont="1" applyFill="1" applyBorder="1" applyAlignment="1">
      <alignment horizontal="center" vertical="center" wrapText="1"/>
    </xf>
    <xf numFmtId="0" fontId="24" fillId="3" borderId="24" xfId="0" applyFont="1" applyFill="1" applyBorder="1" applyAlignment="1">
      <alignment horizontal="center" vertical="center" wrapText="1"/>
    </xf>
    <xf numFmtId="0" fontId="29" fillId="3" borderId="19" xfId="0" applyFont="1" applyFill="1" applyBorder="1" applyAlignment="1">
      <alignment horizontal="center" vertical="center" wrapText="1"/>
    </xf>
    <xf numFmtId="0" fontId="29" fillId="3" borderId="21" xfId="0" applyFont="1" applyFill="1" applyBorder="1" applyAlignment="1">
      <alignment horizontal="center" vertical="center" wrapText="1"/>
    </xf>
    <xf numFmtId="0" fontId="29" fillId="3" borderId="14"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29" fillId="3" borderId="5" xfId="0" applyFont="1" applyFill="1" applyBorder="1" applyAlignment="1">
      <alignment horizontal="center" vertical="center" wrapText="1"/>
    </xf>
    <xf numFmtId="0" fontId="27" fillId="3" borderId="20" xfId="0" applyFont="1" applyFill="1" applyBorder="1" applyAlignment="1">
      <alignment horizontal="center" vertical="center" wrapText="1"/>
    </xf>
    <xf numFmtId="0" fontId="27" fillId="3" borderId="27" xfId="0" applyFont="1" applyFill="1" applyBorder="1" applyAlignment="1">
      <alignment horizontal="center" vertical="center" wrapText="1"/>
    </xf>
    <xf numFmtId="0" fontId="27" fillId="3" borderId="56" xfId="0" applyFont="1" applyFill="1" applyBorder="1" applyAlignment="1">
      <alignment horizontal="center" vertical="center" wrapText="1"/>
    </xf>
    <xf numFmtId="0" fontId="27" fillId="3" borderId="7" xfId="0" applyFont="1" applyFill="1" applyBorder="1" applyAlignment="1">
      <alignment horizontal="center" vertical="center" wrapText="1"/>
    </xf>
    <xf numFmtId="0" fontId="27" fillId="3" borderId="72" xfId="0" applyFont="1" applyFill="1" applyBorder="1" applyAlignment="1">
      <alignment horizontal="center" vertical="center" wrapText="1"/>
    </xf>
    <xf numFmtId="0" fontId="27" fillId="3" borderId="37" xfId="0" applyFont="1" applyFill="1" applyBorder="1" applyAlignment="1">
      <alignment horizontal="center" vertical="center" wrapText="1"/>
    </xf>
    <xf numFmtId="0" fontId="24" fillId="3" borderId="20" xfId="0" applyFont="1" applyFill="1" applyBorder="1" applyAlignment="1">
      <alignment horizontal="center" vertical="center" wrapText="1"/>
    </xf>
    <xf numFmtId="0" fontId="24" fillId="3" borderId="56" xfId="0" applyFont="1" applyFill="1" applyBorder="1" applyAlignment="1">
      <alignment horizontal="center" vertical="center" wrapText="1"/>
    </xf>
    <xf numFmtId="0" fontId="29" fillId="8" borderId="5" xfId="0" applyFont="1" applyFill="1" applyBorder="1" applyAlignment="1">
      <alignment horizontal="center" vertical="center" wrapText="1"/>
    </xf>
    <xf numFmtId="0" fontId="29" fillId="8" borderId="21" xfId="0" applyFont="1" applyFill="1" applyBorder="1" applyAlignment="1">
      <alignment horizontal="center" vertical="center" wrapText="1"/>
    </xf>
    <xf numFmtId="0" fontId="29" fillId="9" borderId="5" xfId="0" applyFont="1" applyFill="1" applyBorder="1" applyAlignment="1">
      <alignment horizontal="center" vertical="top"/>
    </xf>
    <xf numFmtId="0" fontId="29" fillId="10" borderId="5" xfId="0" applyFont="1" applyFill="1" applyBorder="1" applyAlignment="1">
      <alignment horizontal="center" vertical="top"/>
    </xf>
    <xf numFmtId="0" fontId="29" fillId="11" borderId="5" xfId="0" applyFont="1" applyFill="1" applyBorder="1" applyAlignment="1">
      <alignment horizontal="center" vertical="center"/>
    </xf>
    <xf numFmtId="0" fontId="28" fillId="3" borderId="20" xfId="0" applyFont="1" applyFill="1" applyBorder="1" applyAlignment="1">
      <alignment horizontal="center" vertical="center" wrapText="1"/>
    </xf>
    <xf numFmtId="0" fontId="28" fillId="3" borderId="27" xfId="0" applyFont="1" applyFill="1" applyBorder="1" applyAlignment="1">
      <alignment horizontal="center" vertical="center" wrapText="1"/>
    </xf>
    <xf numFmtId="0" fontId="28" fillId="3" borderId="56" xfId="0" applyFont="1" applyFill="1" applyBorder="1" applyAlignment="1">
      <alignment horizontal="center" vertical="center" wrapText="1"/>
    </xf>
    <xf numFmtId="0" fontId="29" fillId="8" borderId="18" xfId="0" applyFont="1" applyFill="1" applyBorder="1" applyAlignment="1">
      <alignment horizontal="center" vertical="center" wrapText="1"/>
    </xf>
    <xf numFmtId="0" fontId="29" fillId="8" borderId="22" xfId="0" applyFont="1" applyFill="1" applyBorder="1" applyAlignment="1">
      <alignment horizontal="center" vertical="center" wrapText="1"/>
    </xf>
    <xf numFmtId="0" fontId="24" fillId="3" borderId="20" xfId="0" applyFont="1" applyFill="1" applyBorder="1" applyAlignment="1">
      <alignment horizontal="center"/>
    </xf>
    <xf numFmtId="0" fontId="24" fillId="3" borderId="56" xfId="0" applyFont="1" applyFill="1" applyBorder="1" applyAlignment="1">
      <alignment horizontal="center"/>
    </xf>
    <xf numFmtId="2" fontId="29" fillId="8" borderId="5" xfId="0" applyNumberFormat="1" applyFont="1" applyFill="1" applyBorder="1" applyAlignment="1">
      <alignment horizontal="center" vertical="center" wrapText="1"/>
    </xf>
    <xf numFmtId="2" fontId="29" fillId="8" borderId="21" xfId="0" applyNumberFormat="1" applyFont="1" applyFill="1" applyBorder="1" applyAlignment="1">
      <alignment horizontal="center" vertical="center" wrapText="1"/>
    </xf>
    <xf numFmtId="0" fontId="29" fillId="21" borderId="5" xfId="0" applyFont="1" applyFill="1" applyBorder="1" applyAlignment="1">
      <alignment horizontal="center" vertical="top"/>
    </xf>
    <xf numFmtId="0" fontId="29" fillId="17" borderId="5" xfId="0" applyFont="1" applyFill="1" applyBorder="1" applyAlignment="1">
      <alignment horizontal="center" vertical="top"/>
    </xf>
    <xf numFmtId="0" fontId="29" fillId="22" borderId="18" xfId="0" applyFont="1" applyFill="1" applyBorder="1" applyAlignment="1">
      <alignment horizontal="center" vertical="top"/>
    </xf>
    <xf numFmtId="0" fontId="25" fillId="7" borderId="0" xfId="0" applyFont="1" applyFill="1" applyAlignment="1">
      <alignment horizontal="center" vertical="center" wrapText="1"/>
    </xf>
    <xf numFmtId="0" fontId="24" fillId="3" borderId="23" xfId="0" applyFont="1" applyFill="1" applyBorder="1" applyAlignment="1">
      <alignment horizontal="center" wrapText="1"/>
    </xf>
    <xf numFmtId="0" fontId="24" fillId="3" borderId="24" xfId="0" applyFont="1" applyFill="1" applyBorder="1" applyAlignment="1">
      <alignment horizontal="center" wrapText="1"/>
    </xf>
    <xf numFmtId="0" fontId="43" fillId="16" borderId="16" xfId="0" applyFont="1" applyFill="1" applyBorder="1" applyAlignment="1">
      <alignment horizontal="center"/>
    </xf>
    <xf numFmtId="0" fontId="43" fillId="16" borderId="6" xfId="0" applyFont="1" applyFill="1" applyBorder="1" applyAlignment="1">
      <alignment horizontal="center"/>
    </xf>
    <xf numFmtId="0" fontId="43" fillId="5" borderId="0" xfId="0" applyFont="1" applyFill="1" applyAlignment="1">
      <alignment horizontal="center" vertical="center"/>
    </xf>
    <xf numFmtId="0" fontId="43" fillId="6" borderId="37" xfId="0" applyFont="1" applyFill="1" applyBorder="1" applyAlignment="1">
      <alignment horizontal="center" vertical="center" wrapText="1"/>
    </xf>
    <xf numFmtId="0" fontId="43" fillId="6" borderId="38" xfId="0" applyFont="1" applyFill="1" applyBorder="1" applyAlignment="1">
      <alignment horizontal="center" vertical="center" wrapText="1"/>
    </xf>
    <xf numFmtId="0" fontId="43" fillId="6" borderId="17" xfId="0" applyFont="1" applyFill="1" applyBorder="1" applyAlignment="1">
      <alignment horizontal="center" vertical="center" wrapText="1"/>
    </xf>
    <xf numFmtId="0" fontId="43" fillId="6" borderId="18" xfId="0" applyFont="1" applyFill="1" applyBorder="1" applyAlignment="1">
      <alignment horizontal="center" vertical="center" wrapText="1"/>
    </xf>
    <xf numFmtId="0" fontId="43" fillId="6" borderId="19" xfId="0" applyFont="1" applyFill="1" applyBorder="1" applyAlignment="1">
      <alignment horizontal="center" vertical="center" wrapText="1"/>
    </xf>
    <xf numFmtId="0" fontId="43" fillId="6" borderId="22" xfId="0" applyFont="1" applyFill="1" applyBorder="1" applyAlignment="1">
      <alignment horizontal="center" vertical="center" wrapText="1"/>
    </xf>
    <xf numFmtId="0" fontId="43" fillId="6" borderId="20" xfId="0" applyFont="1" applyFill="1" applyBorder="1" applyAlignment="1">
      <alignment horizontal="center" vertical="center" wrapText="1"/>
    </xf>
    <xf numFmtId="0" fontId="43" fillId="6" borderId="33" xfId="0" applyFont="1" applyFill="1" applyBorder="1" applyAlignment="1">
      <alignment horizontal="center" vertical="center" wrapText="1"/>
    </xf>
    <xf numFmtId="0" fontId="43" fillId="6" borderId="28" xfId="0" applyFont="1" applyFill="1" applyBorder="1" applyAlignment="1">
      <alignment horizontal="center" vertical="center" wrapText="1"/>
    </xf>
    <xf numFmtId="0" fontId="43" fillId="6" borderId="30" xfId="0" applyFont="1" applyFill="1" applyBorder="1" applyAlignment="1">
      <alignment horizontal="center" vertical="center" wrapText="1"/>
    </xf>
    <xf numFmtId="0" fontId="43" fillId="6" borderId="72" xfId="0" applyFont="1" applyFill="1" applyBorder="1" applyAlignment="1">
      <alignment horizontal="center" vertical="center" wrapText="1"/>
    </xf>
    <xf numFmtId="0" fontId="43" fillId="6" borderId="52" xfId="0" applyFont="1" applyFill="1" applyBorder="1" applyAlignment="1">
      <alignment horizontal="center" vertical="center" wrapText="1"/>
    </xf>
    <xf numFmtId="0" fontId="43" fillId="6" borderId="73" xfId="0" applyFont="1" applyFill="1" applyBorder="1" applyAlignment="1">
      <alignment horizontal="center" vertical="center" wrapText="1"/>
    </xf>
    <xf numFmtId="0" fontId="43" fillId="6" borderId="77" xfId="0" applyFont="1" applyFill="1" applyBorder="1" applyAlignment="1">
      <alignment horizontal="center" vertical="center" wrapText="1"/>
    </xf>
    <xf numFmtId="0" fontId="43" fillId="6" borderId="56" xfId="0" applyFont="1" applyFill="1" applyBorder="1" applyAlignment="1">
      <alignment horizontal="center" vertical="center" wrapText="1"/>
    </xf>
    <xf numFmtId="0" fontId="43" fillId="6" borderId="59" xfId="0" applyFont="1" applyFill="1" applyBorder="1" applyAlignment="1">
      <alignment horizontal="center" vertical="center" wrapText="1"/>
    </xf>
    <xf numFmtId="0" fontId="44" fillId="13" borderId="20" xfId="0" applyFont="1" applyFill="1" applyBorder="1" applyAlignment="1">
      <alignment horizontal="center" vertical="center" wrapText="1"/>
    </xf>
    <xf numFmtId="0" fontId="44" fillId="13" borderId="27" xfId="0" applyFont="1" applyFill="1" applyBorder="1" applyAlignment="1">
      <alignment horizontal="center" vertical="center" wrapText="1"/>
    </xf>
    <xf numFmtId="0" fontId="44" fillId="13" borderId="56" xfId="0" applyFont="1" applyFill="1" applyBorder="1" applyAlignment="1">
      <alignment horizontal="center" vertical="center" wrapText="1"/>
    </xf>
    <xf numFmtId="0" fontId="44" fillId="13" borderId="33" xfId="0" applyFont="1" applyFill="1" applyBorder="1" applyAlignment="1">
      <alignment horizontal="center" vertical="center" wrapText="1"/>
    </xf>
    <xf numFmtId="0" fontId="44" fillId="13" borderId="34" xfId="0" applyFont="1" applyFill="1" applyBorder="1" applyAlignment="1">
      <alignment horizontal="center" vertical="center" wrapText="1"/>
    </xf>
    <xf numFmtId="0" fontId="44" fillId="13" borderId="59" xfId="0" applyFont="1" applyFill="1" applyBorder="1" applyAlignment="1">
      <alignment horizontal="center" vertical="center" wrapText="1"/>
    </xf>
    <xf numFmtId="0" fontId="43" fillId="16" borderId="62" xfId="0" applyFont="1" applyFill="1" applyBorder="1" applyAlignment="1">
      <alignment horizontal="center"/>
    </xf>
    <xf numFmtId="0" fontId="43" fillId="16" borderId="61" xfId="0" applyFont="1" applyFill="1" applyBorder="1" applyAlignment="1">
      <alignment horizontal="center"/>
    </xf>
    <xf numFmtId="0" fontId="44" fillId="12" borderId="20" xfId="0" applyFont="1" applyFill="1" applyBorder="1" applyAlignment="1">
      <alignment horizontal="center" vertical="center" wrapText="1"/>
    </xf>
    <xf numFmtId="0" fontId="44" fillId="12" borderId="27" xfId="0" applyFont="1" applyFill="1" applyBorder="1" applyAlignment="1">
      <alignment horizontal="center" vertical="center" wrapText="1"/>
    </xf>
    <xf numFmtId="0" fontId="44" fillId="12" borderId="56" xfId="0" applyFont="1" applyFill="1" applyBorder="1" applyAlignment="1">
      <alignment horizontal="center" vertical="center" wrapText="1"/>
    </xf>
    <xf numFmtId="0" fontId="44" fillId="12" borderId="33" xfId="0" applyFont="1" applyFill="1" applyBorder="1" applyAlignment="1">
      <alignment horizontal="center" vertical="center" wrapText="1"/>
    </xf>
    <xf numFmtId="0" fontId="44" fillId="12" borderId="34" xfId="0" applyFont="1" applyFill="1" applyBorder="1" applyAlignment="1">
      <alignment horizontal="center" vertical="center" wrapText="1"/>
    </xf>
    <xf numFmtId="0" fontId="44" fillId="12" borderId="59" xfId="0" applyFont="1" applyFill="1" applyBorder="1" applyAlignment="1">
      <alignment horizontal="center" vertical="center" wrapText="1"/>
    </xf>
    <xf numFmtId="0" fontId="43" fillId="6" borderId="57" xfId="0" applyFont="1" applyFill="1" applyBorder="1" applyAlignment="1">
      <alignment horizontal="center" vertical="center" wrapText="1"/>
    </xf>
    <xf numFmtId="0" fontId="43" fillId="6" borderId="75" xfId="0" applyFont="1" applyFill="1" applyBorder="1" applyAlignment="1">
      <alignment horizontal="center" vertical="center" wrapText="1"/>
    </xf>
    <xf numFmtId="0" fontId="43" fillId="6" borderId="70" xfId="0" applyFont="1" applyFill="1" applyBorder="1" applyAlignment="1">
      <alignment horizontal="center" vertical="center" wrapText="1"/>
    </xf>
    <xf numFmtId="0" fontId="43" fillId="6" borderId="69" xfId="0" applyFont="1" applyFill="1" applyBorder="1" applyAlignment="1">
      <alignment horizontal="center" vertical="center" wrapText="1"/>
    </xf>
    <xf numFmtId="0" fontId="44" fillId="14" borderId="20" xfId="0" applyFont="1" applyFill="1" applyBorder="1" applyAlignment="1">
      <alignment horizontal="center" vertical="center" wrapText="1"/>
    </xf>
    <xf numFmtId="0" fontId="44" fillId="14" borderId="27" xfId="0" applyFont="1" applyFill="1" applyBorder="1" applyAlignment="1">
      <alignment horizontal="center" vertical="center" wrapText="1"/>
    </xf>
    <xf numFmtId="0" fontId="44" fillId="14" borderId="56" xfId="0" applyFont="1" applyFill="1" applyBorder="1" applyAlignment="1">
      <alignment horizontal="center" vertical="center" wrapText="1"/>
    </xf>
    <xf numFmtId="0" fontId="44" fillId="14" borderId="33" xfId="0" applyFont="1" applyFill="1" applyBorder="1" applyAlignment="1">
      <alignment horizontal="center" vertical="center" wrapText="1"/>
    </xf>
    <xf numFmtId="0" fontId="44" fillId="14" borderId="34" xfId="0" applyFont="1" applyFill="1" applyBorder="1" applyAlignment="1">
      <alignment horizontal="center" vertical="center" wrapText="1"/>
    </xf>
    <xf numFmtId="0" fontId="44" fillId="14" borderId="59" xfId="0" applyFont="1" applyFill="1" applyBorder="1" applyAlignment="1">
      <alignment horizontal="center" vertical="center" wrapText="1"/>
    </xf>
    <xf numFmtId="0" fontId="0" fillId="6" borderId="33" xfId="0" applyFill="1" applyBorder="1" applyAlignment="1">
      <alignment horizontal="center"/>
    </xf>
    <xf numFmtId="0" fontId="0" fillId="6" borderId="34" xfId="0" applyFill="1" applyBorder="1" applyAlignment="1">
      <alignment horizontal="center"/>
    </xf>
    <xf numFmtId="0" fontId="43" fillId="6" borderId="14" xfId="0" applyFont="1" applyFill="1" applyBorder="1" applyAlignment="1">
      <alignment horizontal="center" vertical="center" wrapText="1"/>
    </xf>
    <xf numFmtId="0" fontId="43" fillId="6" borderId="13" xfId="0" applyFont="1" applyFill="1" applyBorder="1" applyAlignment="1">
      <alignment horizontal="center" vertical="center" wrapText="1"/>
    </xf>
    <xf numFmtId="0" fontId="43" fillId="16" borderId="63" xfId="0" applyFont="1" applyFill="1" applyBorder="1" applyAlignment="1">
      <alignment horizontal="center"/>
    </xf>
    <xf numFmtId="0" fontId="43" fillId="16" borderId="58" xfId="0" applyFont="1" applyFill="1" applyBorder="1" applyAlignment="1">
      <alignment horizontal="center"/>
    </xf>
    <xf numFmtId="0" fontId="0" fillId="6" borderId="59" xfId="0" applyFill="1" applyBorder="1" applyAlignment="1">
      <alignment horizontal="center"/>
    </xf>
    <xf numFmtId="0" fontId="16" fillId="6" borderId="23" xfId="0" applyFont="1" applyFill="1" applyBorder="1" applyAlignment="1" applyProtection="1">
      <alignment horizontal="center" vertical="center" wrapText="1"/>
    </xf>
    <xf numFmtId="0" fontId="16" fillId="6" borderId="46" xfId="0" applyFont="1" applyFill="1" applyBorder="1" applyAlignment="1" applyProtection="1">
      <alignment horizontal="center" vertical="center" wrapText="1"/>
    </xf>
    <xf numFmtId="0" fontId="16" fillId="6" borderId="24" xfId="0" applyFont="1" applyFill="1" applyBorder="1" applyAlignment="1" applyProtection="1">
      <alignment horizontal="center" vertical="center" wrapText="1"/>
    </xf>
    <xf numFmtId="2" fontId="16" fillId="15" borderId="23" xfId="0" applyNumberFormat="1" applyFont="1" applyFill="1" applyBorder="1" applyAlignment="1" applyProtection="1">
      <alignment horizontal="center" vertical="center"/>
    </xf>
    <xf numFmtId="2" fontId="16" fillId="15" borderId="24" xfId="0" applyNumberFormat="1" applyFont="1" applyFill="1" applyBorder="1" applyAlignment="1" applyProtection="1">
      <alignment horizontal="center" vertical="center"/>
    </xf>
    <xf numFmtId="0" fontId="13" fillId="6" borderId="20" xfId="0" applyFont="1" applyFill="1" applyBorder="1" applyAlignment="1" applyProtection="1">
      <alignment horizontal="center"/>
    </xf>
    <xf numFmtId="0" fontId="13" fillId="6" borderId="27" xfId="0" applyFont="1" applyFill="1" applyBorder="1" applyAlignment="1" applyProtection="1">
      <alignment horizontal="center"/>
    </xf>
    <xf numFmtId="0" fontId="13" fillId="6" borderId="56" xfId="0" applyFont="1" applyFill="1" applyBorder="1" applyAlignment="1" applyProtection="1">
      <alignment horizontal="center"/>
    </xf>
    <xf numFmtId="0" fontId="13" fillId="6" borderId="33" xfId="0" applyFont="1" applyFill="1" applyBorder="1" applyAlignment="1" applyProtection="1">
      <alignment horizontal="center"/>
    </xf>
    <xf numFmtId="0" fontId="13" fillId="6" borderId="34" xfId="0" applyFont="1" applyFill="1" applyBorder="1" applyAlignment="1" applyProtection="1">
      <alignment horizontal="center"/>
    </xf>
    <xf numFmtId="0" fontId="13" fillId="6" borderId="59" xfId="0" applyFont="1" applyFill="1" applyBorder="1" applyAlignment="1" applyProtection="1">
      <alignment horizontal="center"/>
    </xf>
    <xf numFmtId="2" fontId="16" fillId="6" borderId="20" xfId="0" applyNumberFormat="1" applyFont="1" applyFill="1" applyBorder="1" applyAlignment="1" applyProtection="1">
      <alignment horizontal="center"/>
    </xf>
    <xf numFmtId="2" fontId="16" fillId="6" borderId="27" xfId="0" applyNumberFormat="1" applyFont="1" applyFill="1" applyBorder="1" applyAlignment="1" applyProtection="1">
      <alignment horizontal="center"/>
    </xf>
    <xf numFmtId="2" fontId="16" fillId="6" borderId="56" xfId="0" applyNumberFormat="1" applyFont="1" applyFill="1" applyBorder="1" applyAlignment="1" applyProtection="1">
      <alignment horizontal="center"/>
    </xf>
    <xf numFmtId="2" fontId="16" fillId="6" borderId="33" xfId="0" applyNumberFormat="1" applyFont="1" applyFill="1" applyBorder="1" applyAlignment="1" applyProtection="1">
      <alignment horizontal="center"/>
    </xf>
    <xf numFmtId="2" fontId="16" fillId="6" borderId="34" xfId="0" applyNumberFormat="1" applyFont="1" applyFill="1" applyBorder="1" applyAlignment="1" applyProtection="1">
      <alignment horizontal="center"/>
    </xf>
    <xf numFmtId="2" fontId="16" fillId="6" borderId="59" xfId="0" applyNumberFormat="1" applyFont="1" applyFill="1" applyBorder="1" applyAlignment="1" applyProtection="1">
      <alignment horizontal="center"/>
    </xf>
    <xf numFmtId="2" fontId="16" fillId="6" borderId="23" xfId="0" applyNumberFormat="1" applyFont="1" applyFill="1" applyBorder="1" applyAlignment="1" applyProtection="1">
      <alignment horizontal="center"/>
    </xf>
    <xf numFmtId="2" fontId="16" fillId="6" borderId="46" xfId="0" applyNumberFormat="1" applyFont="1" applyFill="1" applyBorder="1" applyAlignment="1" applyProtection="1">
      <alignment horizontal="center"/>
    </xf>
    <xf numFmtId="2" fontId="16" fillId="6" borderId="24" xfId="0" applyNumberFormat="1" applyFont="1" applyFill="1" applyBorder="1" applyAlignment="1" applyProtection="1">
      <alignment horizontal="center"/>
    </xf>
    <xf numFmtId="0" fontId="16" fillId="6" borderId="46" xfId="0" applyFont="1" applyFill="1" applyBorder="1" applyAlignment="1" applyProtection="1">
      <alignment horizontal="center" vertical="center"/>
    </xf>
    <xf numFmtId="0" fontId="16" fillId="6" borderId="24" xfId="0" applyFont="1" applyFill="1" applyBorder="1" applyAlignment="1" applyProtection="1">
      <alignment horizontal="center" vertical="center"/>
    </xf>
    <xf numFmtId="0" fontId="16" fillId="6" borderId="23" xfId="0" applyFont="1" applyFill="1" applyBorder="1" applyAlignment="1" applyProtection="1">
      <alignment horizontal="center" vertical="center"/>
    </xf>
    <xf numFmtId="2" fontId="13" fillId="16" borderId="16" xfId="0" applyNumberFormat="1" applyFont="1" applyFill="1" applyBorder="1" applyAlignment="1" applyProtection="1">
      <alignment horizontal="center" vertical="center" wrapText="1"/>
    </xf>
    <xf numFmtId="2" fontId="13" fillId="16" borderId="31" xfId="0" applyNumberFormat="1" applyFont="1" applyFill="1" applyBorder="1" applyAlignment="1" applyProtection="1">
      <alignment horizontal="center" vertical="center" wrapText="1"/>
    </xf>
    <xf numFmtId="2" fontId="13" fillId="16" borderId="6" xfId="0" applyNumberFormat="1" applyFont="1" applyFill="1" applyBorder="1" applyAlignment="1" applyProtection="1">
      <alignment horizontal="center" vertical="center" wrapText="1"/>
    </xf>
    <xf numFmtId="2" fontId="13" fillId="16" borderId="5" xfId="0" applyNumberFormat="1" applyFont="1" applyFill="1" applyBorder="1" applyAlignment="1" applyProtection="1">
      <alignment horizontal="center" vertical="center" wrapText="1"/>
    </xf>
    <xf numFmtId="0" fontId="16" fillId="16" borderId="16" xfId="0" applyFont="1" applyFill="1" applyBorder="1" applyAlignment="1" applyProtection="1">
      <alignment horizontal="center" vertical="center" wrapText="1"/>
    </xf>
    <xf numFmtId="0" fontId="16" fillId="16" borderId="31" xfId="0" applyFont="1" applyFill="1" applyBorder="1" applyAlignment="1" applyProtection="1">
      <alignment horizontal="center" vertical="center" wrapText="1"/>
    </xf>
    <xf numFmtId="0" fontId="16" fillId="16" borderId="6" xfId="0" applyFont="1" applyFill="1" applyBorder="1" applyAlignment="1" applyProtection="1">
      <alignment horizontal="center" vertical="center" wrapText="1"/>
    </xf>
    <xf numFmtId="2" fontId="13" fillId="16" borderId="18" xfId="0" applyNumberFormat="1" applyFont="1" applyFill="1" applyBorder="1" applyAlignment="1" applyProtection="1">
      <alignment horizontal="center" vertical="center" wrapText="1"/>
    </xf>
    <xf numFmtId="2" fontId="13" fillId="16" borderId="63" xfId="0" applyNumberFormat="1" applyFont="1" applyFill="1" applyBorder="1" applyAlignment="1" applyProtection="1">
      <alignment horizontal="center" vertical="center" wrapText="1"/>
    </xf>
    <xf numFmtId="2" fontId="13" fillId="16" borderId="58" xfId="0" applyNumberFormat="1" applyFont="1" applyFill="1" applyBorder="1" applyAlignment="1" applyProtection="1">
      <alignment horizontal="center" vertical="center" wrapText="1"/>
    </xf>
    <xf numFmtId="2" fontId="13" fillId="16" borderId="32" xfId="0" applyNumberFormat="1" applyFont="1" applyFill="1" applyBorder="1" applyAlignment="1" applyProtection="1">
      <alignment horizontal="center" vertical="center" wrapText="1"/>
    </xf>
    <xf numFmtId="0" fontId="16" fillId="16" borderId="63" xfId="0" applyFont="1" applyFill="1" applyBorder="1" applyAlignment="1" applyProtection="1">
      <alignment horizontal="center" vertical="center" wrapText="1"/>
    </xf>
    <xf numFmtId="0" fontId="16" fillId="16" borderId="32" xfId="0" applyFont="1" applyFill="1" applyBorder="1" applyAlignment="1" applyProtection="1">
      <alignment horizontal="center" vertical="center" wrapText="1"/>
    </xf>
    <xf numFmtId="0" fontId="16" fillId="16" borderId="58" xfId="0" applyFont="1" applyFill="1" applyBorder="1" applyAlignment="1" applyProtection="1">
      <alignment horizontal="center" vertical="center" wrapText="1"/>
    </xf>
    <xf numFmtId="0" fontId="16" fillId="6" borderId="46" xfId="0" applyFont="1" applyFill="1" applyBorder="1" applyAlignment="1" applyProtection="1">
      <alignment horizontal="center" wrapText="1"/>
    </xf>
    <xf numFmtId="0" fontId="16" fillId="6" borderId="24" xfId="0" applyFont="1" applyFill="1" applyBorder="1" applyAlignment="1" applyProtection="1">
      <alignment horizontal="center" wrapText="1"/>
    </xf>
    <xf numFmtId="0" fontId="13" fillId="16" borderId="5" xfId="0" applyFont="1" applyFill="1" applyBorder="1" applyAlignment="1" applyProtection="1">
      <alignment horizontal="center" vertical="center" wrapText="1"/>
    </xf>
    <xf numFmtId="2" fontId="16" fillId="15" borderId="33" xfId="0" applyNumberFormat="1" applyFont="1" applyFill="1" applyBorder="1" applyAlignment="1" applyProtection="1">
      <alignment horizontal="center" vertical="center"/>
    </xf>
    <xf numFmtId="2" fontId="16" fillId="15" borderId="59" xfId="0" applyNumberFormat="1" applyFont="1" applyFill="1" applyBorder="1" applyAlignment="1" applyProtection="1">
      <alignment horizontal="center" vertical="center"/>
    </xf>
    <xf numFmtId="0" fontId="49" fillId="12" borderId="20" xfId="0" applyFont="1" applyFill="1" applyBorder="1" applyAlignment="1" applyProtection="1">
      <alignment horizontal="center" vertical="top"/>
    </xf>
    <xf numFmtId="0" fontId="49" fillId="12" borderId="27" xfId="0" applyFont="1" applyFill="1" applyBorder="1" applyAlignment="1" applyProtection="1">
      <alignment horizontal="center" vertical="top"/>
    </xf>
    <xf numFmtId="0" fontId="49" fillId="12" borderId="56" xfId="0" applyFont="1" applyFill="1" applyBorder="1" applyAlignment="1" applyProtection="1">
      <alignment horizontal="center" vertical="top"/>
    </xf>
    <xf numFmtId="0" fontId="49" fillId="12" borderId="33" xfId="0" applyFont="1" applyFill="1" applyBorder="1" applyAlignment="1" applyProtection="1">
      <alignment horizontal="center" vertical="top"/>
    </xf>
    <xf numFmtId="0" fontId="49" fillId="12" borderId="34" xfId="0" applyFont="1" applyFill="1" applyBorder="1" applyAlignment="1" applyProtection="1">
      <alignment horizontal="center" vertical="top"/>
    </xf>
    <xf numFmtId="0" fontId="49" fillId="12" borderId="59" xfId="0" applyFont="1" applyFill="1" applyBorder="1" applyAlignment="1" applyProtection="1">
      <alignment horizontal="center" vertical="top"/>
    </xf>
    <xf numFmtId="0" fontId="16" fillId="6" borderId="20" xfId="0" applyFont="1" applyFill="1" applyBorder="1" applyAlignment="1" applyProtection="1">
      <alignment horizontal="center" vertical="top" wrapText="1"/>
    </xf>
    <xf numFmtId="0" fontId="16" fillId="6" borderId="27" xfId="0" applyFont="1" applyFill="1" applyBorder="1" applyAlignment="1" applyProtection="1">
      <alignment horizontal="center" vertical="top" wrapText="1"/>
    </xf>
    <xf numFmtId="0" fontId="16" fillId="6" borderId="56" xfId="0" applyFont="1" applyFill="1" applyBorder="1" applyAlignment="1" applyProtection="1">
      <alignment horizontal="center" vertical="top" wrapText="1"/>
    </xf>
    <xf numFmtId="0" fontId="16" fillId="6" borderId="33" xfId="0" applyFont="1" applyFill="1" applyBorder="1" applyAlignment="1" applyProtection="1">
      <alignment horizontal="center" vertical="top" wrapText="1"/>
    </xf>
    <xf numFmtId="0" fontId="16" fillId="6" borderId="34" xfId="0" applyFont="1" applyFill="1" applyBorder="1" applyAlignment="1" applyProtection="1">
      <alignment horizontal="center" vertical="top" wrapText="1"/>
    </xf>
    <xf numFmtId="0" fontId="16" fillId="6" borderId="59" xfId="0" applyFont="1" applyFill="1" applyBorder="1" applyAlignment="1" applyProtection="1">
      <alignment horizontal="center" vertical="top" wrapText="1"/>
    </xf>
    <xf numFmtId="0" fontId="13" fillId="6" borderId="28" xfId="0" applyFont="1" applyFill="1" applyBorder="1" applyAlignment="1" applyProtection="1">
      <alignment horizontal="center" vertical="center"/>
    </xf>
    <xf numFmtId="0" fontId="13" fillId="6" borderId="30" xfId="0" applyFont="1" applyFill="1" applyBorder="1" applyAlignment="1" applyProtection="1">
      <alignment horizontal="center" vertical="center"/>
    </xf>
    <xf numFmtId="0" fontId="16" fillId="16" borderId="62" xfId="0" applyFont="1" applyFill="1" applyBorder="1" applyAlignment="1" applyProtection="1">
      <alignment horizontal="center" vertical="center" wrapText="1"/>
    </xf>
    <xf numFmtId="0" fontId="16" fillId="16" borderId="47" xfId="0" applyFont="1" applyFill="1" applyBorder="1" applyAlignment="1" applyProtection="1">
      <alignment horizontal="center" vertical="center" wrapText="1"/>
    </xf>
    <xf numFmtId="0" fontId="16" fillId="16" borderId="61" xfId="0" applyFont="1" applyFill="1" applyBorder="1" applyAlignment="1" applyProtection="1">
      <alignment horizontal="center" vertical="center" wrapText="1"/>
    </xf>
    <xf numFmtId="2" fontId="16" fillId="6" borderId="20" xfId="0" applyNumberFormat="1" applyFont="1" applyFill="1" applyBorder="1" applyAlignment="1" applyProtection="1">
      <alignment horizontal="center" vertical="center" wrapText="1"/>
    </xf>
    <xf numFmtId="2" fontId="16" fillId="6" borderId="56" xfId="0" applyNumberFormat="1" applyFont="1" applyFill="1" applyBorder="1" applyAlignment="1" applyProtection="1">
      <alignment horizontal="center" vertical="center" wrapText="1"/>
    </xf>
    <xf numFmtId="2" fontId="13" fillId="16" borderId="17" xfId="0" applyNumberFormat="1" applyFont="1" applyFill="1" applyBorder="1" applyAlignment="1" applyProtection="1">
      <alignment horizontal="center" vertical="center" wrapText="1"/>
    </xf>
    <xf numFmtId="2" fontId="16" fillId="15" borderId="34" xfId="0" applyNumberFormat="1" applyFont="1" applyFill="1" applyBorder="1" applyAlignment="1" applyProtection="1">
      <alignment horizontal="center" vertical="center"/>
    </xf>
    <xf numFmtId="0" fontId="16" fillId="6" borderId="20" xfId="0" applyFont="1" applyFill="1" applyBorder="1" applyAlignment="1" applyProtection="1">
      <alignment horizontal="center" vertical="center" wrapText="1"/>
    </xf>
    <xf numFmtId="0" fontId="16" fillId="6" borderId="56" xfId="0" applyFont="1" applyFill="1" applyBorder="1" applyAlignment="1" applyProtection="1">
      <alignment horizontal="center" vertical="center" wrapText="1"/>
    </xf>
    <xf numFmtId="0" fontId="16" fillId="6" borderId="27" xfId="0" applyFont="1" applyFill="1" applyBorder="1" applyAlignment="1" applyProtection="1">
      <alignment horizontal="center" vertical="center" wrapText="1"/>
    </xf>
    <xf numFmtId="0" fontId="13" fillId="16" borderId="18" xfId="0" applyFont="1" applyFill="1" applyBorder="1" applyAlignment="1" applyProtection="1">
      <alignment horizontal="center" vertical="center" wrapText="1"/>
    </xf>
    <xf numFmtId="0" fontId="13" fillId="0" borderId="5" xfId="0" applyFont="1" applyFill="1" applyBorder="1" applyAlignment="1" applyProtection="1">
      <alignment horizontal="center" vertical="center" wrapText="1"/>
      <protection locked="0"/>
    </xf>
    <xf numFmtId="0" fontId="13" fillId="0" borderId="18" xfId="0" applyFont="1" applyFill="1" applyBorder="1" applyAlignment="1" applyProtection="1">
      <alignment horizontal="center" vertical="center" wrapText="1"/>
      <protection locked="0"/>
    </xf>
    <xf numFmtId="0" fontId="13" fillId="16" borderId="17" xfId="0" applyFont="1" applyFill="1" applyBorder="1" applyAlignment="1" applyProtection="1">
      <alignment horizontal="center" vertical="center" wrapText="1"/>
    </xf>
    <xf numFmtId="0" fontId="13" fillId="0" borderId="17" xfId="0" applyFont="1" applyFill="1" applyBorder="1" applyAlignment="1" applyProtection="1">
      <alignment horizontal="center" vertical="center" wrapText="1"/>
      <protection locked="0"/>
    </xf>
    <xf numFmtId="0" fontId="16" fillId="6" borderId="20" xfId="0" applyFont="1" applyFill="1" applyBorder="1" applyAlignment="1" applyProtection="1">
      <alignment horizontal="center" vertical="center"/>
    </xf>
    <xf numFmtId="0" fontId="16" fillId="6" borderId="56" xfId="0" applyFont="1" applyFill="1" applyBorder="1" applyAlignment="1" applyProtection="1">
      <alignment horizontal="center" vertical="center"/>
    </xf>
    <xf numFmtId="0" fontId="16" fillId="6" borderId="27" xfId="0" applyFont="1" applyFill="1" applyBorder="1" applyAlignment="1" applyProtection="1">
      <alignment horizontal="center" vertical="center"/>
    </xf>
    <xf numFmtId="0" fontId="16" fillId="6" borderId="23" xfId="0" applyFont="1" applyFill="1" applyBorder="1" applyAlignment="1" applyProtection="1">
      <alignment horizontal="center" wrapText="1"/>
    </xf>
    <xf numFmtId="0" fontId="49" fillId="14" borderId="20" xfId="0" applyFont="1" applyFill="1" applyBorder="1" applyAlignment="1" applyProtection="1">
      <alignment horizontal="center" vertical="top"/>
    </xf>
    <xf numFmtId="0" fontId="49" fillId="14" borderId="27" xfId="0" applyFont="1" applyFill="1" applyBorder="1" applyAlignment="1" applyProtection="1">
      <alignment horizontal="center" vertical="top"/>
    </xf>
    <xf numFmtId="0" fontId="49" fillId="14" borderId="56" xfId="0" applyFont="1" applyFill="1" applyBorder="1" applyAlignment="1" applyProtection="1">
      <alignment horizontal="center" vertical="top"/>
    </xf>
    <xf numFmtId="0" fontId="49" fillId="14" borderId="33" xfId="0" applyFont="1" applyFill="1" applyBorder="1" applyAlignment="1" applyProtection="1">
      <alignment horizontal="center" vertical="top"/>
    </xf>
    <xf numFmtId="0" fontId="49" fillId="14" borderId="34" xfId="0" applyFont="1" applyFill="1" applyBorder="1" applyAlignment="1" applyProtection="1">
      <alignment horizontal="center" vertical="top"/>
    </xf>
    <xf numFmtId="0" fontId="49" fillId="14" borderId="59" xfId="0" applyFont="1" applyFill="1" applyBorder="1" applyAlignment="1" applyProtection="1">
      <alignment horizontal="center" vertical="top"/>
    </xf>
    <xf numFmtId="0" fontId="29" fillId="16" borderId="20" xfId="0" applyFont="1" applyFill="1" applyBorder="1" applyAlignment="1">
      <alignment horizontal="center" vertical="center" wrapText="1"/>
    </xf>
    <xf numFmtId="0" fontId="29" fillId="16" borderId="56" xfId="0" applyFont="1" applyFill="1" applyBorder="1" applyAlignment="1">
      <alignment horizontal="center" vertical="center" wrapText="1"/>
    </xf>
    <xf numFmtId="0" fontId="29" fillId="16" borderId="33" xfId="0" applyFont="1" applyFill="1" applyBorder="1" applyAlignment="1">
      <alignment horizontal="center" vertical="center" wrapText="1"/>
    </xf>
    <xf numFmtId="0" fontId="29" fillId="16" borderId="59" xfId="0" applyFont="1" applyFill="1" applyBorder="1" applyAlignment="1">
      <alignment horizontal="center" vertical="center" wrapText="1"/>
    </xf>
    <xf numFmtId="0" fontId="29" fillId="16" borderId="23" xfId="0" applyFont="1" applyFill="1" applyBorder="1" applyAlignment="1">
      <alignment horizontal="right" wrapText="1"/>
    </xf>
    <xf numFmtId="0" fontId="29" fillId="16" borderId="24" xfId="0" applyFont="1" applyFill="1" applyBorder="1" applyAlignment="1">
      <alignment horizontal="right" wrapText="1"/>
    </xf>
    <xf numFmtId="0" fontId="29" fillId="16" borderId="23" xfId="0" applyFont="1" applyFill="1" applyBorder="1" applyAlignment="1">
      <alignment horizontal="right" vertical="center" wrapText="1"/>
    </xf>
    <xf numFmtId="0" fontId="29" fillId="16" borderId="48" xfId="0" applyFont="1" applyFill="1" applyBorder="1" applyAlignment="1">
      <alignment horizontal="right" vertical="center" wrapText="1"/>
    </xf>
    <xf numFmtId="0" fontId="14" fillId="6" borderId="23" xfId="0" applyFont="1" applyFill="1" applyBorder="1" applyAlignment="1">
      <alignment horizontal="center"/>
    </xf>
    <xf numFmtId="0" fontId="14" fillId="6" borderId="46" xfId="0" applyFont="1" applyFill="1" applyBorder="1" applyAlignment="1">
      <alignment horizontal="center"/>
    </xf>
    <xf numFmtId="0" fontId="14" fillId="6" borderId="24" xfId="0" applyFont="1" applyFill="1" applyBorder="1" applyAlignment="1">
      <alignment horizontal="center"/>
    </xf>
    <xf numFmtId="0" fontId="29" fillId="6" borderId="35" xfId="0" applyFont="1" applyFill="1" applyBorder="1" applyAlignment="1">
      <alignment horizontal="center" vertical="center" wrapText="1"/>
    </xf>
    <xf numFmtId="0" fontId="29" fillId="6" borderId="47" xfId="0" applyFont="1" applyFill="1" applyBorder="1" applyAlignment="1">
      <alignment horizontal="center" vertical="center" wrapText="1"/>
    </xf>
    <xf numFmtId="0" fontId="29" fillId="6" borderId="15" xfId="0" applyFont="1" applyFill="1" applyBorder="1" applyAlignment="1">
      <alignment horizontal="center" vertical="center" wrapText="1"/>
    </xf>
    <xf numFmtId="0" fontId="29" fillId="6" borderId="23" xfId="0" applyFont="1" applyFill="1" applyBorder="1" applyAlignment="1">
      <alignment horizontal="center" vertical="center" wrapText="1"/>
    </xf>
    <xf numFmtId="0" fontId="29" fillId="6" borderId="46" xfId="0" applyFont="1" applyFill="1" applyBorder="1" applyAlignment="1">
      <alignment horizontal="center" vertical="center" wrapText="1"/>
    </xf>
    <xf numFmtId="0" fontId="29" fillId="6" borderId="24" xfId="0" applyFont="1" applyFill="1" applyBorder="1" applyAlignment="1">
      <alignment horizontal="center" vertical="center" wrapText="1"/>
    </xf>
    <xf numFmtId="0" fontId="29" fillId="6" borderId="28" xfId="0" applyFont="1" applyFill="1" applyBorder="1" applyAlignment="1">
      <alignment horizontal="center" vertical="center" wrapText="1"/>
    </xf>
    <xf numFmtId="0" fontId="29" fillId="6" borderId="30" xfId="0" applyFont="1" applyFill="1" applyBorder="1" applyAlignment="1">
      <alignment horizontal="center" vertical="center" wrapText="1"/>
    </xf>
    <xf numFmtId="0" fontId="15" fillId="5" borderId="27"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29" fillId="15" borderId="35" xfId="0" applyFont="1" applyFill="1" applyBorder="1" applyAlignment="1">
      <alignment horizontal="center" vertical="center"/>
    </xf>
    <xf numFmtId="0" fontId="29" fillId="15" borderId="15" xfId="0" applyFont="1" applyFill="1" applyBorder="1" applyAlignment="1">
      <alignment horizontal="center" vertical="center"/>
    </xf>
    <xf numFmtId="0" fontId="25" fillId="16" borderId="45" xfId="0" applyFont="1" applyFill="1" applyBorder="1" applyAlignment="1">
      <alignment horizontal="center" vertical="center"/>
    </xf>
    <xf numFmtId="0" fontId="25" fillId="16" borderId="64" xfId="0" applyFont="1" applyFill="1" applyBorder="1" applyAlignment="1">
      <alignment horizontal="center" vertical="center"/>
    </xf>
    <xf numFmtId="0" fontId="41" fillId="5" borderId="0" xfId="0" applyFont="1" applyFill="1" applyAlignment="1">
      <alignment horizontal="center" vertical="center" wrapText="1"/>
    </xf>
    <xf numFmtId="0" fontId="29" fillId="16" borderId="23" xfId="0" applyFont="1" applyFill="1" applyBorder="1" applyAlignment="1">
      <alignment horizontal="center" vertical="center" wrapText="1"/>
    </xf>
    <xf numFmtId="0" fontId="29" fillId="16" borderId="46" xfId="0" applyFont="1" applyFill="1" applyBorder="1" applyAlignment="1">
      <alignment horizontal="center" vertical="center" wrapText="1"/>
    </xf>
    <xf numFmtId="0" fontId="29" fillId="16" borderId="24" xfId="0" applyFont="1" applyFill="1" applyBorder="1" applyAlignment="1">
      <alignment horizontal="center" vertical="center" wrapText="1"/>
    </xf>
    <xf numFmtId="0" fontId="24" fillId="6" borderId="20" xfId="0" applyFont="1" applyFill="1" applyBorder="1" applyAlignment="1">
      <alignment horizontal="center" vertical="center" wrapText="1"/>
    </xf>
    <xf numFmtId="0" fontId="24" fillId="6" borderId="27" xfId="0" applyFont="1" applyFill="1" applyBorder="1" applyAlignment="1">
      <alignment horizontal="center" vertical="center" wrapText="1"/>
    </xf>
    <xf numFmtId="0" fontId="24" fillId="6" borderId="56" xfId="0" applyFont="1" applyFill="1" applyBorder="1" applyAlignment="1">
      <alignment horizontal="center" vertical="center" wrapText="1"/>
    </xf>
    <xf numFmtId="0" fontId="24" fillId="6" borderId="33" xfId="0" applyFont="1" applyFill="1" applyBorder="1" applyAlignment="1">
      <alignment horizontal="center" vertical="center" wrapText="1"/>
    </xf>
    <xf numFmtId="0" fontId="24" fillId="6" borderId="34" xfId="0" applyFont="1" applyFill="1" applyBorder="1" applyAlignment="1">
      <alignment horizontal="center" vertical="center" wrapText="1"/>
    </xf>
    <xf numFmtId="0" fontId="24" fillId="6" borderId="59" xfId="0" applyFont="1" applyFill="1" applyBorder="1" applyAlignment="1">
      <alignment horizontal="center" vertical="center" wrapText="1"/>
    </xf>
    <xf numFmtId="0" fontId="14" fillId="6" borderId="23" xfId="0" applyFont="1" applyFill="1" applyBorder="1" applyAlignment="1">
      <alignment horizontal="center" vertical="top" wrapText="1"/>
    </xf>
    <xf numFmtId="0" fontId="14" fillId="6" borderId="46" xfId="0" applyFont="1" applyFill="1" applyBorder="1" applyAlignment="1">
      <alignment horizontal="center" vertical="top" wrapText="1"/>
    </xf>
    <xf numFmtId="0" fontId="14" fillId="6" borderId="24" xfId="0" applyFont="1" applyFill="1" applyBorder="1" applyAlignment="1">
      <alignment horizontal="center" vertical="top" wrapText="1"/>
    </xf>
    <xf numFmtId="2" fontId="29" fillId="6" borderId="17" xfId="0" applyNumberFormat="1" applyFont="1" applyFill="1" applyBorder="1" applyAlignment="1">
      <alignment horizontal="center"/>
    </xf>
    <xf numFmtId="2" fontId="29" fillId="6" borderId="19" xfId="0" applyNumberFormat="1" applyFont="1" applyFill="1" applyBorder="1" applyAlignment="1">
      <alignment horizontal="center"/>
    </xf>
    <xf numFmtId="10" fontId="40" fillId="2" borderId="5" xfId="0" applyNumberFormat="1" applyFont="1" applyFill="1" applyBorder="1" applyAlignment="1">
      <alignment horizontal="center"/>
    </xf>
    <xf numFmtId="10" fontId="40" fillId="2" borderId="21" xfId="0" applyNumberFormat="1" applyFont="1" applyFill="1" applyBorder="1" applyAlignment="1">
      <alignment horizontal="center"/>
    </xf>
    <xf numFmtId="0" fontId="29" fillId="6" borderId="18" xfId="0" applyFont="1" applyFill="1" applyBorder="1" applyAlignment="1">
      <alignment horizontal="center"/>
    </xf>
    <xf numFmtId="0" fontId="29" fillId="6" borderId="22" xfId="0" applyFont="1" applyFill="1" applyBorder="1" applyAlignment="1">
      <alignment horizontal="center"/>
    </xf>
    <xf numFmtId="0" fontId="29" fillId="6" borderId="14" xfId="0" applyFont="1" applyFill="1" applyBorder="1" applyAlignment="1">
      <alignment horizontal="center"/>
    </xf>
    <xf numFmtId="0" fontId="29" fillId="6" borderId="17" xfId="0" applyFont="1" applyFill="1" applyBorder="1" applyAlignment="1">
      <alignment horizontal="center"/>
    </xf>
    <xf numFmtId="0" fontId="29" fillId="6" borderId="12" xfId="0" applyFont="1" applyFill="1" applyBorder="1" applyAlignment="1">
      <alignment horizontal="center"/>
    </xf>
    <xf numFmtId="0" fontId="29" fillId="6" borderId="5" xfId="0" applyFont="1" applyFill="1" applyBorder="1" applyAlignment="1">
      <alignment horizontal="center"/>
    </xf>
    <xf numFmtId="0" fontId="29" fillId="6" borderId="13" xfId="0" applyFont="1" applyFill="1" applyBorder="1" applyAlignment="1">
      <alignment horizontal="center"/>
    </xf>
    <xf numFmtId="0" fontId="25" fillId="5" borderId="0" xfId="0" applyFont="1" applyFill="1" applyAlignment="1">
      <alignment horizontal="center" wrapText="1"/>
    </xf>
    <xf numFmtId="0" fontId="14" fillId="6" borderId="23" xfId="0" applyFont="1" applyFill="1" applyBorder="1" applyAlignment="1">
      <alignment horizontal="center" vertical="top"/>
    </xf>
    <xf numFmtId="0" fontId="14" fillId="6" borderId="24" xfId="0" applyFont="1" applyFill="1" applyBorder="1" applyAlignment="1">
      <alignment horizontal="center" vertical="top"/>
    </xf>
    <xf numFmtId="0" fontId="24" fillId="6" borderId="33" xfId="0" applyFont="1" applyFill="1" applyBorder="1" applyAlignment="1">
      <alignment horizontal="center" vertical="center"/>
    </xf>
    <xf numFmtId="0" fontId="24" fillId="6" borderId="59" xfId="0" applyFont="1" applyFill="1" applyBorder="1" applyAlignment="1">
      <alignment horizontal="center" vertical="center"/>
    </xf>
    <xf numFmtId="0" fontId="29" fillId="6" borderId="51" xfId="0" applyFont="1" applyFill="1" applyBorder="1" applyAlignment="1">
      <alignment horizontal="center" vertical="center" wrapText="1"/>
    </xf>
    <xf numFmtId="0" fontId="29" fillId="6" borderId="44" xfId="0" applyFont="1" applyFill="1" applyBorder="1" applyAlignment="1">
      <alignment horizontal="center" vertical="center" wrapText="1"/>
    </xf>
    <xf numFmtId="0" fontId="29" fillId="6" borderId="4" xfId="0" applyFont="1" applyFill="1" applyBorder="1" applyAlignment="1">
      <alignment horizontal="center" vertical="center" wrapText="1"/>
    </xf>
    <xf numFmtId="0" fontId="29" fillId="6" borderId="67" xfId="0" applyFont="1" applyFill="1" applyBorder="1" applyAlignment="1">
      <alignment horizontal="center" vertical="center" wrapText="1"/>
    </xf>
    <xf numFmtId="0" fontId="29" fillId="6" borderId="74" xfId="0" applyFont="1" applyFill="1" applyBorder="1" applyAlignment="1">
      <alignment horizontal="center" vertical="center" wrapText="1"/>
    </xf>
    <xf numFmtId="0" fontId="29" fillId="6" borderId="71" xfId="0" applyFont="1" applyFill="1" applyBorder="1" applyAlignment="1">
      <alignment horizontal="center" vertical="center" wrapText="1"/>
    </xf>
    <xf numFmtId="0" fontId="29" fillId="6" borderId="53" xfId="0" applyFont="1" applyFill="1" applyBorder="1" applyAlignment="1">
      <alignment horizontal="center" vertical="center" wrapText="1"/>
    </xf>
    <xf numFmtId="0" fontId="14" fillId="7" borderId="0" xfId="0" applyFont="1" applyFill="1" applyAlignment="1">
      <alignment horizontal="center" vertical="center" wrapText="1"/>
    </xf>
    <xf numFmtId="0" fontId="14" fillId="7" borderId="0" xfId="0" applyFont="1" applyFill="1" applyAlignment="1">
      <alignment horizontal="center" wrapText="1"/>
    </xf>
    <xf numFmtId="0" fontId="29" fillId="16" borderId="28" xfId="0" applyFont="1" applyFill="1" applyBorder="1" applyAlignment="1">
      <alignment horizontal="center" vertical="center"/>
    </xf>
    <xf numFmtId="0" fontId="29" fillId="16" borderId="30" xfId="0" applyFont="1" applyFill="1" applyBorder="1" applyAlignment="1">
      <alignment horizontal="center" vertical="center"/>
    </xf>
    <xf numFmtId="0" fontId="29" fillId="5" borderId="0" xfId="0" applyFont="1" applyFill="1" applyAlignment="1">
      <alignment horizontal="center" vertical="center"/>
    </xf>
    <xf numFmtId="0" fontId="29" fillId="6" borderId="33" xfId="0" applyFont="1" applyFill="1" applyBorder="1" applyAlignment="1">
      <alignment horizontal="center" vertical="center" wrapText="1"/>
    </xf>
    <xf numFmtId="0" fontId="29" fillId="6" borderId="34" xfId="0" applyFont="1" applyFill="1" applyBorder="1" applyAlignment="1">
      <alignment horizontal="center" vertical="center" wrapText="1"/>
    </xf>
    <xf numFmtId="0" fontId="29" fillId="6" borderId="59" xfId="0" applyFont="1" applyFill="1" applyBorder="1" applyAlignment="1">
      <alignment horizontal="center" vertical="center" wrapText="1"/>
    </xf>
    <xf numFmtId="0" fontId="29" fillId="6" borderId="35" xfId="0" applyFont="1" applyFill="1" applyBorder="1" applyAlignment="1">
      <alignment horizontal="center"/>
    </xf>
    <xf numFmtId="0" fontId="29" fillId="6" borderId="47" xfId="0" applyFont="1" applyFill="1" applyBorder="1" applyAlignment="1">
      <alignment horizontal="center"/>
    </xf>
    <xf numFmtId="0" fontId="29" fillId="6" borderId="61" xfId="0" applyFont="1" applyFill="1" applyBorder="1" applyAlignment="1">
      <alignment horizontal="center"/>
    </xf>
    <xf numFmtId="2" fontId="29" fillId="6" borderId="62" xfId="0" applyNumberFormat="1" applyFont="1" applyFill="1" applyBorder="1" applyAlignment="1">
      <alignment horizontal="center" vertical="center"/>
    </xf>
    <xf numFmtId="2" fontId="29" fillId="6" borderId="15" xfId="0" applyNumberFormat="1" applyFont="1" applyFill="1" applyBorder="1" applyAlignment="1">
      <alignment horizontal="center" vertical="center"/>
    </xf>
    <xf numFmtId="0" fontId="29" fillId="6" borderId="36" xfId="0" applyFont="1" applyFill="1" applyBorder="1" applyAlignment="1">
      <alignment horizontal="center"/>
    </xf>
    <xf numFmtId="0" fontId="29" fillId="6" borderId="31" xfId="0" applyFont="1" applyFill="1" applyBorder="1" applyAlignment="1">
      <alignment horizontal="center"/>
    </xf>
    <xf numFmtId="0" fontId="29" fillId="6" borderId="6" xfId="0" applyFont="1" applyFill="1" applyBorder="1" applyAlignment="1">
      <alignment horizontal="center"/>
    </xf>
    <xf numFmtId="10" fontId="29" fillId="6" borderId="16" xfId="0" applyNumberFormat="1" applyFont="1" applyFill="1" applyBorder="1" applyAlignment="1">
      <alignment horizontal="center" vertical="center"/>
    </xf>
    <xf numFmtId="10" fontId="29" fillId="6" borderId="39" xfId="0" applyNumberFormat="1" applyFont="1" applyFill="1" applyBorder="1" applyAlignment="1">
      <alignment horizontal="center" vertical="center"/>
    </xf>
    <xf numFmtId="0" fontId="29" fillId="6" borderId="16" xfId="0" applyFont="1" applyFill="1" applyBorder="1" applyAlignment="1">
      <alignment horizontal="center" vertical="center"/>
    </xf>
    <xf numFmtId="0" fontId="29" fillId="6" borderId="39" xfId="0" applyFont="1" applyFill="1" applyBorder="1" applyAlignment="1">
      <alignment horizontal="center" vertical="center"/>
    </xf>
    <xf numFmtId="0" fontId="29" fillId="6" borderId="63" xfId="0" applyFont="1" applyFill="1" applyBorder="1" applyAlignment="1">
      <alignment horizontal="center" vertical="center"/>
    </xf>
    <xf numFmtId="0" fontId="29" fillId="6" borderId="64" xfId="0" applyFont="1" applyFill="1" applyBorder="1" applyAlignment="1">
      <alignment horizontal="center" vertical="center"/>
    </xf>
    <xf numFmtId="0" fontId="29" fillId="6" borderId="45" xfId="0" applyFont="1" applyFill="1" applyBorder="1" applyAlignment="1">
      <alignment horizontal="center" vertical="center" wrapText="1"/>
    </xf>
    <xf numFmtId="0" fontId="29" fillId="6" borderId="32" xfId="0" applyFont="1" applyFill="1" applyBorder="1" applyAlignment="1">
      <alignment horizontal="center" vertical="center" wrapText="1"/>
    </xf>
    <xf numFmtId="0" fontId="29" fillId="6" borderId="58" xfId="0" applyFont="1" applyFill="1" applyBorder="1" applyAlignment="1">
      <alignment horizontal="center" vertical="center" wrapText="1"/>
    </xf>
    <xf numFmtId="0" fontId="25" fillId="5" borderId="27" xfId="0" applyFont="1" applyFill="1" applyBorder="1" applyAlignment="1">
      <alignment horizontal="center" wrapText="1"/>
    </xf>
    <xf numFmtId="0" fontId="14" fillId="5" borderId="0" xfId="0" applyFont="1" applyFill="1" applyAlignment="1">
      <alignment horizontal="center"/>
    </xf>
    <xf numFmtId="0" fontId="29" fillId="6" borderId="17" xfId="0" applyFont="1" applyFill="1" applyBorder="1" applyAlignment="1">
      <alignment horizontal="center" vertical="center" wrapText="1"/>
    </xf>
    <xf numFmtId="0" fontId="29" fillId="6" borderId="19" xfId="0" applyFont="1" applyFill="1" applyBorder="1" applyAlignment="1">
      <alignment horizontal="center" vertical="center" wrapText="1"/>
    </xf>
    <xf numFmtId="0" fontId="14" fillId="6" borderId="46" xfId="0" applyFont="1" applyFill="1" applyBorder="1" applyAlignment="1">
      <alignment horizontal="center" vertical="top"/>
    </xf>
    <xf numFmtId="0" fontId="24" fillId="6" borderId="20" xfId="0" applyFont="1" applyFill="1" applyBorder="1" applyAlignment="1">
      <alignment horizontal="center" vertical="center"/>
    </xf>
    <xf numFmtId="0" fontId="24" fillId="6" borderId="27" xfId="0" applyFont="1" applyFill="1" applyBorder="1" applyAlignment="1">
      <alignment horizontal="center" vertical="center"/>
    </xf>
    <xf numFmtId="0" fontId="24" fillId="6" borderId="56" xfId="0" applyFont="1" applyFill="1" applyBorder="1" applyAlignment="1">
      <alignment horizontal="center" vertical="center"/>
    </xf>
    <xf numFmtId="0" fontId="24" fillId="6" borderId="34" xfId="0" applyFont="1" applyFill="1" applyBorder="1" applyAlignment="1">
      <alignment horizontal="center" vertical="center"/>
    </xf>
    <xf numFmtId="0" fontId="29" fillId="6" borderId="35" xfId="0" applyFont="1" applyFill="1" applyBorder="1" applyAlignment="1">
      <alignment horizontal="center" vertical="center"/>
    </xf>
    <xf numFmtId="0" fontId="29" fillId="6" borderId="15" xfId="0" applyFont="1" applyFill="1" applyBorder="1" applyAlignment="1">
      <alignment horizontal="center" vertical="center"/>
    </xf>
    <xf numFmtId="0" fontId="29" fillId="6" borderId="47" xfId="0" applyFont="1" applyFill="1" applyBorder="1" applyAlignment="1">
      <alignment horizontal="center" vertical="center"/>
    </xf>
    <xf numFmtId="0" fontId="14" fillId="5" borderId="0" xfId="0" applyFont="1" applyFill="1" applyAlignment="1">
      <alignment horizontal="center" vertical="center" wrapText="1"/>
    </xf>
    <xf numFmtId="0" fontId="41" fillId="5" borderId="0" xfId="0" applyFont="1" applyFill="1" applyAlignment="1">
      <alignment horizontal="center" vertical="center"/>
    </xf>
    <xf numFmtId="0" fontId="25" fillId="5" borderId="0" xfId="0" applyFont="1" applyFill="1" applyAlignment="1">
      <alignment horizontal="center"/>
    </xf>
    <xf numFmtId="0" fontId="25" fillId="5" borderId="34" xfId="0" applyFont="1" applyFill="1" applyBorder="1" applyAlignment="1">
      <alignment horizontal="center"/>
    </xf>
    <xf numFmtId="2" fontId="29" fillId="6" borderId="17" xfId="0" applyNumberFormat="1" applyFont="1" applyFill="1" applyBorder="1" applyAlignment="1">
      <alignment horizontal="center" vertical="center"/>
    </xf>
    <xf numFmtId="2" fontId="29" fillId="6" borderId="19" xfId="0" applyNumberFormat="1" applyFont="1" applyFill="1" applyBorder="1" applyAlignment="1">
      <alignment horizontal="center" vertical="center"/>
    </xf>
    <xf numFmtId="10" fontId="29" fillId="6" borderId="5" xfId="0" applyNumberFormat="1" applyFont="1" applyFill="1" applyBorder="1" applyAlignment="1">
      <alignment horizontal="center"/>
    </xf>
    <xf numFmtId="10" fontId="29" fillId="6" borderId="21" xfId="0" applyNumberFormat="1" applyFont="1" applyFill="1" applyBorder="1" applyAlignment="1">
      <alignment horizontal="center"/>
    </xf>
    <xf numFmtId="0" fontId="29" fillId="6" borderId="5" xfId="0" applyFont="1" applyFill="1" applyBorder="1" applyAlignment="1">
      <alignment horizontal="center" vertical="center" wrapText="1"/>
    </xf>
    <xf numFmtId="0" fontId="29" fillId="6" borderId="14" xfId="0" applyFont="1" applyFill="1" applyBorder="1" applyAlignment="1">
      <alignment horizontal="center" vertical="center"/>
    </xf>
    <xf numFmtId="0" fontId="29" fillId="6" borderId="14" xfId="0" applyFont="1" applyFill="1" applyBorder="1" applyAlignment="1">
      <alignment horizontal="center" vertical="center" wrapText="1"/>
    </xf>
    <xf numFmtId="0" fontId="29" fillId="6" borderId="12" xfId="0" applyFont="1" applyFill="1" applyBorder="1" applyAlignment="1">
      <alignment horizontal="center" vertical="center" wrapText="1"/>
    </xf>
    <xf numFmtId="0" fontId="29" fillId="6" borderId="21" xfId="0" applyFont="1" applyFill="1" applyBorder="1" applyAlignment="1">
      <alignment horizontal="center" vertical="center" wrapText="1"/>
    </xf>
    <xf numFmtId="0" fontId="24" fillId="3" borderId="20" xfId="0" applyFont="1" applyFill="1" applyBorder="1" applyAlignment="1">
      <alignment horizontal="center" vertical="top"/>
    </xf>
    <xf numFmtId="0" fontId="24" fillId="3" borderId="27" xfId="0" applyFont="1" applyFill="1" applyBorder="1" applyAlignment="1">
      <alignment horizontal="center" vertical="top"/>
    </xf>
    <xf numFmtId="0" fontId="24" fillId="3" borderId="56" xfId="0" applyFont="1" applyFill="1" applyBorder="1" applyAlignment="1">
      <alignment horizontal="center" vertical="top"/>
    </xf>
    <xf numFmtId="0" fontId="24" fillId="3" borderId="33" xfId="0" applyFont="1" applyFill="1" applyBorder="1" applyAlignment="1">
      <alignment horizontal="center" vertical="top"/>
    </xf>
    <xf numFmtId="0" fontId="24" fillId="3" borderId="34" xfId="0" applyFont="1" applyFill="1" applyBorder="1" applyAlignment="1">
      <alignment horizontal="center" vertical="top"/>
    </xf>
    <xf numFmtId="0" fontId="24" fillId="3" borderId="59" xfId="0" applyFont="1" applyFill="1" applyBorder="1" applyAlignment="1">
      <alignment horizontal="center" vertical="top"/>
    </xf>
    <xf numFmtId="0" fontId="41" fillId="7" borderId="0" xfId="0" applyFont="1" applyFill="1" applyAlignment="1">
      <alignment horizontal="center" vertical="center"/>
    </xf>
    <xf numFmtId="0" fontId="29" fillId="3" borderId="54" xfId="0" applyFont="1" applyFill="1" applyBorder="1" applyAlignment="1">
      <alignment horizontal="center" vertical="center" wrapText="1"/>
    </xf>
    <xf numFmtId="0" fontId="29" fillId="7" borderId="27" xfId="0" applyFont="1" applyFill="1" applyBorder="1" applyAlignment="1">
      <alignment horizontal="center" vertical="center" wrapText="1"/>
    </xf>
    <xf numFmtId="0" fontId="29" fillId="7" borderId="0" xfId="0" applyFont="1" applyFill="1" applyAlignment="1">
      <alignment horizontal="center" vertical="center" wrapText="1"/>
    </xf>
    <xf numFmtId="0" fontId="29" fillId="3" borderId="29" xfId="0" applyFont="1" applyFill="1" applyBorder="1" applyAlignment="1">
      <alignment horizontal="center" vertical="center"/>
    </xf>
    <xf numFmtId="0" fontId="29" fillId="3" borderId="28" xfId="0" applyFont="1" applyFill="1" applyBorder="1" applyAlignment="1">
      <alignment horizontal="center" vertical="center" wrapText="1"/>
    </xf>
    <xf numFmtId="0" fontId="29" fillId="3" borderId="23" xfId="0" applyFont="1" applyFill="1" applyBorder="1" applyAlignment="1">
      <alignment horizontal="center" vertical="center" wrapText="1"/>
    </xf>
    <xf numFmtId="0" fontId="29" fillId="3" borderId="46" xfId="0" applyFont="1" applyFill="1" applyBorder="1" applyAlignment="1">
      <alignment horizontal="center" vertical="center" wrapText="1"/>
    </xf>
    <xf numFmtId="0" fontId="29" fillId="3" borderId="24" xfId="0" applyFont="1" applyFill="1" applyBorder="1" applyAlignment="1">
      <alignment horizontal="center" vertical="center" wrapText="1"/>
    </xf>
    <xf numFmtId="0" fontId="29" fillId="3" borderId="23" xfId="0" applyFont="1" applyFill="1" applyBorder="1" applyAlignment="1">
      <alignment horizontal="center" vertical="center"/>
    </xf>
    <xf numFmtId="0" fontId="29" fillId="3" borderId="46" xfId="0" applyFont="1" applyFill="1" applyBorder="1" applyAlignment="1">
      <alignment horizontal="center" vertical="center"/>
    </xf>
    <xf numFmtId="0" fontId="29" fillId="3" borderId="24" xfId="0" applyFont="1" applyFill="1" applyBorder="1" applyAlignment="1">
      <alignment horizontal="center" vertical="center"/>
    </xf>
    <xf numFmtId="0" fontId="29" fillId="3" borderId="61" xfId="0" applyFont="1" applyFill="1" applyBorder="1" applyAlignment="1">
      <alignment horizontal="center" vertical="center" wrapText="1"/>
    </xf>
    <xf numFmtId="0" fontId="29" fillId="3" borderId="54" xfId="0" applyFont="1" applyFill="1" applyBorder="1" applyAlignment="1">
      <alignment horizontal="center" vertical="center"/>
    </xf>
    <xf numFmtId="0" fontId="29" fillId="3" borderId="29" xfId="0" applyFont="1" applyFill="1" applyBorder="1" applyAlignment="1">
      <alignment horizontal="center" vertical="center" wrapText="1"/>
    </xf>
    <xf numFmtId="0" fontId="29" fillId="3" borderId="20" xfId="0" applyFont="1" applyFill="1" applyBorder="1" applyAlignment="1">
      <alignment horizontal="center" vertical="center" wrapText="1"/>
    </xf>
    <xf numFmtId="0" fontId="29" fillId="3" borderId="27" xfId="0" applyFont="1" applyFill="1" applyBorder="1" applyAlignment="1">
      <alignment horizontal="center" vertical="center" wrapText="1"/>
    </xf>
    <xf numFmtId="0" fontId="29" fillId="3" borderId="56" xfId="0" applyFont="1" applyFill="1" applyBorder="1" applyAlignment="1">
      <alignment horizontal="center" vertical="center" wrapText="1"/>
    </xf>
    <xf numFmtId="0" fontId="14" fillId="3" borderId="23" xfId="0" applyFont="1" applyFill="1" applyBorder="1" applyAlignment="1">
      <alignment horizontal="center" vertical="center"/>
    </xf>
    <xf numFmtId="0" fontId="14" fillId="3" borderId="46" xfId="0" applyFont="1" applyFill="1" applyBorder="1" applyAlignment="1">
      <alignment horizontal="center" vertical="center"/>
    </xf>
    <xf numFmtId="0" fontId="14" fillId="3" borderId="24" xfId="0" applyFont="1" applyFill="1" applyBorder="1" applyAlignment="1">
      <alignment horizontal="center" vertical="center"/>
    </xf>
    <xf numFmtId="0" fontId="29" fillId="3" borderId="20" xfId="0" applyFont="1" applyFill="1" applyBorder="1" applyAlignment="1">
      <alignment horizontal="center" vertical="center"/>
    </xf>
    <xf numFmtId="0" fontId="29" fillId="3" borderId="27" xfId="0" applyFont="1" applyFill="1" applyBorder="1" applyAlignment="1">
      <alignment horizontal="center" vertical="center"/>
    </xf>
    <xf numFmtId="0" fontId="29" fillId="3" borderId="56" xfId="0" applyFont="1" applyFill="1" applyBorder="1" applyAlignment="1">
      <alignment horizontal="center" vertical="center"/>
    </xf>
    <xf numFmtId="0" fontId="29" fillId="3" borderId="30" xfId="0" applyFont="1" applyFill="1" applyBorder="1" applyAlignment="1">
      <alignment horizontal="center" vertical="center" wrapText="1"/>
    </xf>
    <xf numFmtId="0" fontId="29" fillId="3" borderId="35" xfId="0" applyFont="1" applyFill="1" applyBorder="1" applyAlignment="1">
      <alignment horizontal="center" vertical="center" wrapText="1"/>
    </xf>
    <xf numFmtId="0" fontId="29" fillId="3" borderId="47" xfId="0" applyFont="1" applyFill="1" applyBorder="1" applyAlignment="1">
      <alignment horizontal="center" vertical="center" wrapText="1"/>
    </xf>
    <xf numFmtId="0" fontId="29" fillId="3" borderId="15" xfId="0" applyFont="1" applyFill="1" applyBorder="1" applyAlignment="1">
      <alignment horizontal="center" vertical="center" wrapText="1"/>
    </xf>
    <xf numFmtId="0" fontId="29" fillId="3" borderId="53" xfId="0" applyFont="1" applyFill="1" applyBorder="1" applyAlignment="1">
      <alignment horizontal="center" vertical="center" wrapText="1"/>
    </xf>
    <xf numFmtId="0" fontId="29" fillId="7" borderId="0" xfId="0" applyFont="1" applyFill="1" applyAlignment="1">
      <alignment horizontal="center" vertical="center"/>
    </xf>
    <xf numFmtId="10" fontId="29" fillId="6" borderId="5" xfId="0" applyNumberFormat="1" applyFont="1" applyFill="1" applyBorder="1" applyAlignment="1">
      <alignment horizontal="center" vertical="center"/>
    </xf>
    <xf numFmtId="10" fontId="29" fillId="6" borderId="21" xfId="0" applyNumberFormat="1" applyFont="1" applyFill="1" applyBorder="1" applyAlignment="1">
      <alignment horizontal="center" vertical="center"/>
    </xf>
    <xf numFmtId="0" fontId="29" fillId="6" borderId="22" xfId="0" applyFont="1" applyFill="1" applyBorder="1" applyAlignment="1">
      <alignment horizontal="center" vertical="center"/>
    </xf>
    <xf numFmtId="0" fontId="29" fillId="6" borderId="12" xfId="0" applyFont="1" applyFill="1" applyBorder="1" applyAlignment="1">
      <alignment horizontal="center" vertical="center"/>
    </xf>
    <xf numFmtId="0" fontId="29" fillId="6" borderId="13" xfId="0" applyFont="1" applyFill="1" applyBorder="1" applyAlignment="1">
      <alignment horizontal="center" vertical="center"/>
    </xf>
    <xf numFmtId="0" fontId="29" fillId="7" borderId="0" xfId="0" applyFont="1" applyFill="1" applyAlignment="1">
      <alignment horizontal="center"/>
    </xf>
    <xf numFmtId="0" fontId="29" fillId="7" borderId="27" xfId="0" applyFont="1" applyFill="1" applyBorder="1" applyAlignment="1">
      <alignment horizontal="center" wrapText="1"/>
    </xf>
    <xf numFmtId="0" fontId="29" fillId="7" borderId="56" xfId="0" applyFont="1" applyFill="1" applyBorder="1" applyAlignment="1">
      <alignment horizontal="center" wrapText="1"/>
    </xf>
    <xf numFmtId="0" fontId="29" fillId="3" borderId="40" xfId="0" applyFont="1" applyFill="1" applyBorder="1" applyAlignment="1">
      <alignment horizontal="center" vertical="center" wrapText="1"/>
    </xf>
    <xf numFmtId="0" fontId="29" fillId="3" borderId="29" xfId="0" applyFont="1" applyFill="1" applyBorder="1" applyAlignment="1">
      <alignment horizontal="center"/>
    </xf>
    <xf numFmtId="0" fontId="14" fillId="6" borderId="20" xfId="0" applyFont="1" applyFill="1" applyBorder="1" applyAlignment="1">
      <alignment horizontal="center" vertical="center"/>
    </xf>
    <xf numFmtId="0" fontId="14" fillId="6" borderId="27" xfId="0" applyFont="1" applyFill="1" applyBorder="1" applyAlignment="1">
      <alignment horizontal="center" vertical="center"/>
    </xf>
    <xf numFmtId="0" fontId="14" fillId="6" borderId="56" xfId="0" applyFont="1" applyFill="1" applyBorder="1" applyAlignment="1">
      <alignment horizontal="center" vertical="center"/>
    </xf>
    <xf numFmtId="0" fontId="14" fillId="6" borderId="23" xfId="0" applyFont="1" applyFill="1" applyBorder="1" applyAlignment="1">
      <alignment horizontal="center" vertical="center"/>
    </xf>
    <xf numFmtId="0" fontId="14" fillId="6" borderId="24" xfId="0" applyFont="1" applyFill="1" applyBorder="1" applyAlignment="1">
      <alignment horizontal="center" vertical="center"/>
    </xf>
    <xf numFmtId="0" fontId="14" fillId="3" borderId="23" xfId="0" applyFont="1" applyFill="1" applyBorder="1" applyAlignment="1">
      <alignment horizontal="center" vertical="center" wrapText="1"/>
    </xf>
    <xf numFmtId="0" fontId="14" fillId="3" borderId="24" xfId="0" applyFont="1" applyFill="1" applyBorder="1" applyAlignment="1">
      <alignment horizontal="center" vertical="center" wrapText="1"/>
    </xf>
    <xf numFmtId="0" fontId="14" fillId="3" borderId="46" xfId="0" applyFont="1" applyFill="1" applyBorder="1" applyAlignment="1">
      <alignment horizontal="center" vertical="center" wrapText="1"/>
    </xf>
    <xf numFmtId="0" fontId="24" fillId="3" borderId="57" xfId="0" applyFont="1" applyFill="1" applyBorder="1" applyAlignment="1">
      <alignment horizontal="center" vertical="top"/>
    </xf>
    <xf numFmtId="0" fontId="24" fillId="3" borderId="0" xfId="0" applyFont="1" applyFill="1" applyAlignment="1">
      <alignment horizontal="center" vertical="top"/>
    </xf>
    <xf numFmtId="0" fontId="24" fillId="3" borderId="50" xfId="0" applyFont="1" applyFill="1" applyBorder="1" applyAlignment="1">
      <alignment horizontal="center" vertical="top"/>
    </xf>
    <xf numFmtId="0" fontId="14" fillId="6" borderId="46" xfId="0" applyFont="1" applyFill="1" applyBorder="1" applyAlignment="1">
      <alignment horizontal="center" vertical="center"/>
    </xf>
    <xf numFmtId="0" fontId="29" fillId="7" borderId="56" xfId="0" applyFont="1" applyFill="1" applyBorder="1" applyAlignment="1">
      <alignment horizontal="center" vertical="center" wrapText="1"/>
    </xf>
    <xf numFmtId="0" fontId="24" fillId="7" borderId="0" xfId="0" applyFont="1" applyFill="1" applyAlignment="1">
      <alignment horizontal="center" vertical="center"/>
    </xf>
    <xf numFmtId="0" fontId="41" fillId="7" borderId="0" xfId="0" applyFont="1" applyFill="1" applyAlignment="1">
      <alignment horizontal="center" vertical="center" wrapText="1"/>
    </xf>
    <xf numFmtId="0" fontId="24" fillId="3" borderId="23" xfId="0" applyFont="1" applyFill="1" applyBorder="1" applyAlignment="1">
      <alignment horizontal="center" vertical="top"/>
    </xf>
    <xf numFmtId="0" fontId="24" fillId="3" borderId="46" xfId="0" applyFont="1" applyFill="1" applyBorder="1" applyAlignment="1">
      <alignment horizontal="center" vertical="top"/>
    </xf>
    <xf numFmtId="0" fontId="24" fillId="3" borderId="24" xfId="0" applyFont="1" applyFill="1" applyBorder="1" applyAlignment="1">
      <alignment horizontal="center" vertical="top"/>
    </xf>
    <xf numFmtId="0" fontId="29" fillId="3" borderId="45" xfId="0" applyFont="1" applyFill="1" applyBorder="1" applyAlignment="1">
      <alignment horizontal="center" vertical="center" wrapText="1"/>
    </xf>
    <xf numFmtId="0" fontId="25" fillId="7" borderId="0" xfId="0" applyFont="1" applyFill="1" applyAlignment="1">
      <alignment horizontal="center"/>
    </xf>
    <xf numFmtId="0" fontId="29" fillId="6" borderId="42" xfId="0" applyFont="1" applyFill="1" applyBorder="1" applyAlignment="1">
      <alignment horizontal="center" vertical="center" wrapText="1"/>
    </xf>
    <xf numFmtId="0" fontId="24" fillId="3" borderId="5" xfId="0" applyFont="1" applyFill="1" applyBorder="1" applyAlignment="1">
      <alignment horizontal="center"/>
    </xf>
    <xf numFmtId="0" fontId="29" fillId="3" borderId="16" xfId="0" applyFont="1" applyFill="1" applyBorder="1" applyAlignment="1">
      <alignment horizontal="center" vertical="center" wrapText="1"/>
    </xf>
    <xf numFmtId="0" fontId="29" fillId="3" borderId="6" xfId="0" applyFont="1" applyFill="1" applyBorder="1" applyAlignment="1">
      <alignment horizontal="center" vertical="center" wrapText="1"/>
    </xf>
    <xf numFmtId="0" fontId="29" fillId="3" borderId="31" xfId="0" applyFont="1" applyFill="1" applyBorder="1" applyAlignment="1">
      <alignment horizontal="center" vertical="center" wrapText="1"/>
    </xf>
    <xf numFmtId="0" fontId="29" fillId="6" borderId="66" xfId="0" applyFont="1" applyFill="1" applyBorder="1" applyAlignment="1">
      <alignment horizontal="center" vertical="center" wrapText="1"/>
    </xf>
    <xf numFmtId="0" fontId="25" fillId="16" borderId="51" xfId="0" applyFont="1" applyFill="1" applyBorder="1" applyAlignment="1">
      <alignment horizontal="center" vertical="center"/>
    </xf>
    <xf numFmtId="0" fontId="25" fillId="16" borderId="52" xfId="0" applyFont="1" applyFill="1" applyBorder="1" applyAlignment="1">
      <alignment horizontal="center" vertical="center"/>
    </xf>
    <xf numFmtId="0" fontId="25" fillId="16" borderId="66" xfId="0" applyFont="1" applyFill="1" applyBorder="1" applyAlignment="1">
      <alignment horizontal="center" vertical="center"/>
    </xf>
    <xf numFmtId="0" fontId="32" fillId="3" borderId="5" xfId="0" applyFont="1" applyFill="1" applyBorder="1" applyAlignment="1">
      <alignment horizontal="center"/>
    </xf>
    <xf numFmtId="0" fontId="32" fillId="3" borderId="16"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16" xfId="0" applyFont="1" applyFill="1" applyBorder="1" applyAlignment="1">
      <alignment horizontal="center"/>
    </xf>
    <xf numFmtId="0" fontId="32" fillId="3" borderId="31" xfId="0" applyFont="1" applyFill="1" applyBorder="1" applyAlignment="1">
      <alignment horizontal="center"/>
    </xf>
    <xf numFmtId="0" fontId="32" fillId="3" borderId="6" xfId="0" applyFont="1" applyFill="1" applyBorder="1" applyAlignment="1">
      <alignment horizontal="center"/>
    </xf>
    <xf numFmtId="0" fontId="32" fillId="3" borderId="4" xfId="0" applyFont="1" applyFill="1" applyBorder="1" applyAlignment="1">
      <alignment horizontal="center"/>
    </xf>
    <xf numFmtId="0" fontId="27" fillId="3" borderId="23" xfId="0" applyFont="1" applyFill="1" applyBorder="1" applyAlignment="1">
      <alignment horizontal="center" vertical="center"/>
    </xf>
    <xf numFmtId="0" fontId="27" fillId="3" borderId="46" xfId="0" applyFont="1" applyFill="1" applyBorder="1" applyAlignment="1">
      <alignment horizontal="center" vertical="center"/>
    </xf>
    <xf numFmtId="0" fontId="27" fillId="3" borderId="24" xfId="0" applyFont="1" applyFill="1" applyBorder="1" applyAlignment="1">
      <alignment horizontal="center" vertical="center"/>
    </xf>
    <xf numFmtId="0" fontId="29" fillId="3" borderId="60" xfId="0" applyFont="1" applyFill="1" applyBorder="1" applyAlignment="1">
      <alignment horizontal="center"/>
    </xf>
    <xf numFmtId="0" fontId="29" fillId="3" borderId="4" xfId="0" applyFont="1" applyFill="1" applyBorder="1" applyAlignment="1">
      <alignment horizontal="center"/>
    </xf>
    <xf numFmtId="0" fontId="29" fillId="3" borderId="2" xfId="0" applyFont="1" applyFill="1" applyBorder="1" applyAlignment="1">
      <alignment horizontal="center"/>
    </xf>
    <xf numFmtId="0" fontId="29" fillId="3" borderId="16" xfId="0" applyFont="1" applyFill="1" applyBorder="1" applyAlignment="1">
      <alignment horizontal="center"/>
    </xf>
    <xf numFmtId="0" fontId="29" fillId="3" borderId="31" xfId="0" applyFont="1" applyFill="1" applyBorder="1" applyAlignment="1">
      <alignment horizontal="center"/>
    </xf>
    <xf numFmtId="0" fontId="29" fillId="3" borderId="6" xfId="0" applyFont="1" applyFill="1" applyBorder="1" applyAlignment="1">
      <alignment horizontal="center"/>
    </xf>
    <xf numFmtId="0" fontId="28" fillId="3" borderId="4" xfId="0" applyFont="1" applyFill="1" applyBorder="1" applyAlignment="1">
      <alignment horizontal="center" wrapText="1"/>
    </xf>
    <xf numFmtId="0" fontId="27" fillId="3" borderId="31" xfId="0" applyFont="1" applyFill="1" applyBorder="1" applyAlignment="1">
      <alignment horizontal="center"/>
    </xf>
    <xf numFmtId="0" fontId="27" fillId="3" borderId="6" xfId="0" applyFont="1" applyFill="1" applyBorder="1" applyAlignment="1">
      <alignment horizontal="center"/>
    </xf>
    <xf numFmtId="0" fontId="25" fillId="7" borderId="50" xfId="0" applyFont="1" applyFill="1" applyBorder="1" applyAlignment="1">
      <alignment horizontal="center"/>
    </xf>
    <xf numFmtId="0" fontId="14" fillId="3" borderId="23" xfId="0" applyFont="1" applyFill="1" applyBorder="1" applyAlignment="1">
      <alignment horizontal="center" wrapText="1"/>
    </xf>
    <xf numFmtId="0" fontId="14" fillId="3" borderId="46" xfId="0" applyFont="1" applyFill="1" applyBorder="1" applyAlignment="1">
      <alignment horizontal="center" wrapText="1"/>
    </xf>
    <xf numFmtId="0" fontId="14" fillId="3" borderId="24" xfId="0" applyFont="1" applyFill="1" applyBorder="1" applyAlignment="1">
      <alignment horizontal="center" wrapText="1"/>
    </xf>
    <xf numFmtId="0" fontId="14" fillId="3" borderId="23" xfId="0" applyFont="1" applyFill="1" applyBorder="1" applyAlignment="1">
      <alignment horizontal="center"/>
    </xf>
    <xf numFmtId="0" fontId="14" fillId="3" borderId="24" xfId="0" applyFont="1" applyFill="1" applyBorder="1" applyAlignment="1">
      <alignment horizontal="center"/>
    </xf>
    <xf numFmtId="0" fontId="17" fillId="3" borderId="45" xfId="0" applyFont="1" applyFill="1" applyBorder="1" applyAlignment="1">
      <alignment horizontal="center"/>
    </xf>
    <xf numFmtId="0" fontId="17" fillId="3" borderId="58" xfId="0" applyFont="1" applyFill="1" applyBorder="1" applyAlignment="1">
      <alignment horizontal="center"/>
    </xf>
    <xf numFmtId="0" fontId="14" fillId="3" borderId="5" xfId="0" applyFont="1" applyFill="1" applyBorder="1" applyAlignment="1">
      <alignment horizontal="center" vertical="center" wrapText="1"/>
    </xf>
    <xf numFmtId="0" fontId="29" fillId="3" borderId="14" xfId="0" applyFont="1" applyFill="1" applyBorder="1" applyAlignment="1">
      <alignment horizontal="center" wrapText="1"/>
    </xf>
    <xf numFmtId="0" fontId="29" fillId="3" borderId="19" xfId="0" applyFont="1" applyFill="1" applyBorder="1" applyAlignment="1">
      <alignment horizontal="center" wrapText="1"/>
    </xf>
    <xf numFmtId="0" fontId="14" fillId="3" borderId="7" xfId="0" applyFont="1" applyFill="1" applyBorder="1" applyAlignment="1">
      <alignment horizontal="center"/>
    </xf>
    <xf numFmtId="0" fontId="14" fillId="3" borderId="37" xfId="0" applyFont="1" applyFill="1" applyBorder="1" applyAlignment="1">
      <alignment horizontal="center"/>
    </xf>
    <xf numFmtId="0" fontId="29" fillId="3" borderId="46" xfId="0" applyFont="1" applyFill="1" applyBorder="1" applyAlignment="1">
      <alignment horizontal="center" wrapText="1"/>
    </xf>
    <xf numFmtId="0" fontId="29" fillId="3" borderId="24" xfId="0" applyFont="1" applyFill="1" applyBorder="1" applyAlignment="1">
      <alignment horizontal="center" wrapText="1"/>
    </xf>
    <xf numFmtId="0" fontId="14" fillId="3" borderId="20" xfId="0" applyFont="1" applyFill="1" applyBorder="1" applyAlignment="1">
      <alignment horizontal="center" vertical="center"/>
    </xf>
    <xf numFmtId="0" fontId="14" fillId="3" borderId="75" xfId="0" applyFont="1" applyFill="1" applyBorder="1" applyAlignment="1">
      <alignment horizontal="center" vertical="center"/>
    </xf>
    <xf numFmtId="0" fontId="29" fillId="3" borderId="48" xfId="0" applyFont="1" applyFill="1" applyBorder="1" applyAlignment="1">
      <alignment horizontal="center" vertical="center" wrapText="1"/>
    </xf>
    <xf numFmtId="0" fontId="14" fillId="3" borderId="7" xfId="0" applyFont="1" applyFill="1" applyBorder="1" applyAlignment="1">
      <alignment horizontal="center" vertical="center"/>
    </xf>
    <xf numFmtId="0" fontId="14" fillId="3" borderId="37" xfId="0" applyFont="1" applyFill="1" applyBorder="1" applyAlignment="1">
      <alignment horizontal="center" vertical="center"/>
    </xf>
    <xf numFmtId="0" fontId="14" fillId="3" borderId="27" xfId="0" applyFont="1" applyFill="1" applyBorder="1" applyAlignment="1">
      <alignment horizontal="center" vertical="center"/>
    </xf>
    <xf numFmtId="0" fontId="26" fillId="3" borderId="4" xfId="0" applyFont="1" applyFill="1" applyBorder="1" applyAlignment="1">
      <alignment horizontal="center"/>
    </xf>
    <xf numFmtId="0" fontId="26" fillId="3" borderId="2" xfId="0" applyFont="1" applyFill="1" applyBorder="1" applyAlignment="1">
      <alignment horizontal="center"/>
    </xf>
    <xf numFmtId="0" fontId="26" fillId="7" borderId="1" xfId="0" applyFont="1" applyFill="1" applyBorder="1" applyAlignment="1">
      <alignment horizontal="center"/>
    </xf>
    <xf numFmtId="0" fontId="26" fillId="7" borderId="60" xfId="0" applyFont="1" applyFill="1" applyBorder="1" applyAlignment="1">
      <alignment horizontal="center"/>
    </xf>
    <xf numFmtId="0" fontId="24" fillId="7" borderId="16" xfId="0" applyFont="1" applyFill="1" applyBorder="1" applyAlignment="1">
      <alignment horizontal="center"/>
    </xf>
    <xf numFmtId="0" fontId="24" fillId="7" borderId="31" xfId="0" applyFont="1" applyFill="1" applyBorder="1" applyAlignment="1">
      <alignment horizontal="center"/>
    </xf>
    <xf numFmtId="0" fontId="24" fillId="7" borderId="6" xfId="0" applyFont="1" applyFill="1" applyBorder="1" applyAlignment="1">
      <alignment horizontal="center"/>
    </xf>
    <xf numFmtId="0" fontId="22" fillId="6" borderId="23" xfId="0" applyFont="1" applyFill="1" applyBorder="1" applyAlignment="1">
      <alignment horizontal="center" vertical="center" wrapText="1"/>
    </xf>
    <xf numFmtId="0" fontId="22" fillId="6" borderId="46" xfId="0" applyFont="1" applyFill="1" applyBorder="1" applyAlignment="1">
      <alignment horizontal="center" vertical="center" wrapText="1"/>
    </xf>
    <xf numFmtId="0" fontId="22" fillId="6" borderId="24" xfId="0" applyFont="1" applyFill="1" applyBorder="1" applyAlignment="1">
      <alignment horizontal="center" vertical="center" wrapText="1"/>
    </xf>
    <xf numFmtId="0" fontId="1" fillId="7" borderId="0" xfId="0" applyFont="1" applyFill="1" applyAlignment="1">
      <alignment horizontal="center"/>
    </xf>
  </cellXfs>
  <cellStyles count="33">
    <cellStyle name="Comma 2" xfId="3" xr:uid="{00000000-0005-0000-0000-000000000000}"/>
    <cellStyle name="Comma 2 2" xfId="4" xr:uid="{00000000-0005-0000-0000-000001000000}"/>
    <cellStyle name="Comma 2 2 2" xfId="17" xr:uid="{00000000-0005-0000-0000-000002000000}"/>
    <cellStyle name="Comma 2 2 2 2" xfId="28" xr:uid="{00000000-0005-0000-0000-000003000000}"/>
    <cellStyle name="Comma 2 2 3" xfId="23" xr:uid="{00000000-0005-0000-0000-000004000000}"/>
    <cellStyle name="Comma 2 3" xfId="5" xr:uid="{00000000-0005-0000-0000-000005000000}"/>
    <cellStyle name="Comma 3" xfId="6" xr:uid="{00000000-0005-0000-0000-000006000000}"/>
    <cellStyle name="Comma 3 2" xfId="7" xr:uid="{00000000-0005-0000-0000-000007000000}"/>
    <cellStyle name="Comma 3 2 2" xfId="19" xr:uid="{00000000-0005-0000-0000-000008000000}"/>
    <cellStyle name="Comma 3 2 2 2" xfId="30" xr:uid="{00000000-0005-0000-0000-000009000000}"/>
    <cellStyle name="Comma 3 2 3" xfId="25" xr:uid="{00000000-0005-0000-0000-00000A000000}"/>
    <cellStyle name="Comma 3 3" xfId="18" xr:uid="{00000000-0005-0000-0000-00000B000000}"/>
    <cellStyle name="Comma 3 3 2" xfId="29" xr:uid="{00000000-0005-0000-0000-00000C000000}"/>
    <cellStyle name="Comma 3 4" xfId="24" xr:uid="{00000000-0005-0000-0000-00000D000000}"/>
    <cellStyle name="Comma 4" xfId="8" xr:uid="{00000000-0005-0000-0000-00000E000000}"/>
    <cellStyle name="Comma 4 2" xfId="20" xr:uid="{00000000-0005-0000-0000-00000F000000}"/>
    <cellStyle name="Comma 4 2 2" xfId="31" xr:uid="{00000000-0005-0000-0000-000010000000}"/>
    <cellStyle name="Comma 4 3" xfId="26" xr:uid="{00000000-0005-0000-0000-000011000000}"/>
    <cellStyle name="Comma 5" xfId="2" xr:uid="{00000000-0005-0000-0000-000012000000}"/>
    <cellStyle name="Comma 5 2" xfId="16" xr:uid="{00000000-0005-0000-0000-000013000000}"/>
    <cellStyle name="Comma 5 2 2" xfId="27" xr:uid="{00000000-0005-0000-0000-000014000000}"/>
    <cellStyle name="Comma 5 3" xfId="22" xr:uid="{00000000-0005-0000-0000-000015000000}"/>
    <cellStyle name="Hyperlink" xfId="21" builtinId="8"/>
    <cellStyle name="Normal" xfId="0" builtinId="0"/>
    <cellStyle name="Normal 2" xfId="9" xr:uid="{00000000-0005-0000-0000-000018000000}"/>
    <cellStyle name="Normal 2 2" xfId="10" xr:uid="{00000000-0005-0000-0000-000019000000}"/>
    <cellStyle name="Normal 3" xfId="11" xr:uid="{00000000-0005-0000-0000-00001A000000}"/>
    <cellStyle name="Normal 4" xfId="12" xr:uid="{00000000-0005-0000-0000-00001B000000}"/>
    <cellStyle name="Normal 5" xfId="13" xr:uid="{00000000-0005-0000-0000-00001C000000}"/>
    <cellStyle name="Normal 5 2" xfId="14" xr:uid="{00000000-0005-0000-0000-00001D000000}"/>
    <cellStyle name="Normal 6" xfId="15" xr:uid="{00000000-0005-0000-0000-00001E000000}"/>
    <cellStyle name="Normal 7" xfId="1" xr:uid="{00000000-0005-0000-0000-00001F000000}"/>
    <cellStyle name="Percent" xfId="32" builtinId="5"/>
  </cellStyles>
  <dxfs count="5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ill>
        <patternFill>
          <bgColor rgb="FFFFC000"/>
        </patternFill>
      </fill>
    </dxf>
    <dxf>
      <fill>
        <patternFill>
          <bgColor theme="6" tint="-0.24994659260841701"/>
        </patternFill>
      </fill>
    </dxf>
    <dxf>
      <fill>
        <patternFill>
          <bgColor theme="6"/>
        </patternFill>
      </fill>
    </dxf>
    <dxf>
      <fill>
        <patternFill>
          <bgColor rgb="FFFFC000"/>
        </patternFill>
      </fill>
    </dxf>
    <dxf>
      <fill>
        <patternFill>
          <bgColor theme="8" tint="0.39994506668294322"/>
        </patternFill>
      </fill>
    </dxf>
    <dxf>
      <font>
        <color theme="0"/>
      </font>
      <fill>
        <patternFill>
          <bgColor rgb="FFC00000"/>
        </patternFill>
      </fill>
    </dxf>
    <dxf>
      <font>
        <color theme="0"/>
      </font>
      <fill>
        <patternFill>
          <bgColor rgb="FFC00000"/>
        </patternFill>
      </fill>
    </dxf>
    <dxf>
      <font>
        <color auto="1"/>
      </font>
      <fill>
        <patternFill>
          <bgColor rgb="FFFFC000"/>
        </patternFill>
      </fill>
    </dxf>
    <dxf>
      <fill>
        <patternFill>
          <bgColor rgb="FFD5D3DC"/>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00B0F0"/>
        </patternFill>
      </fill>
    </dxf>
    <dxf>
      <fill>
        <patternFill>
          <bgColor rgb="FF00B0F0"/>
        </patternFill>
      </fill>
    </dxf>
    <dxf>
      <fill>
        <patternFill>
          <bgColor rgb="FFE0DCD3"/>
        </patternFill>
      </fill>
    </dxf>
    <dxf>
      <font>
        <color theme="0"/>
      </font>
      <fill>
        <patternFill>
          <bgColor rgb="FFC00000"/>
        </patternFill>
      </fill>
    </dxf>
    <dxf>
      <font>
        <color rgb="FF383745"/>
      </font>
      <fill>
        <patternFill>
          <bgColor rgb="FF92D050"/>
        </patternFill>
      </fill>
    </dxf>
    <dxf>
      <font>
        <color theme="0"/>
      </font>
      <fill>
        <patternFill>
          <bgColor rgb="FFC00000"/>
        </patternFill>
      </fill>
    </dxf>
    <dxf>
      <fill>
        <patternFill>
          <bgColor rgb="FFFFC000"/>
        </patternFill>
      </fill>
    </dxf>
    <dxf>
      <font>
        <color theme="0"/>
      </font>
      <fill>
        <patternFill>
          <bgColor rgb="FFC00000"/>
        </patternFill>
      </fill>
    </dxf>
    <dxf>
      <font>
        <color theme="0"/>
      </font>
      <fill>
        <patternFill>
          <bgColor rgb="FFC00000"/>
        </patternFill>
      </fill>
    </dxf>
    <dxf>
      <font>
        <color rgb="FF383745"/>
      </font>
      <fill>
        <patternFill>
          <bgColor rgb="FFFFC000"/>
        </patternFill>
      </fill>
    </dxf>
    <dxf>
      <font>
        <color rgb="FF383745"/>
      </font>
      <fill>
        <patternFill>
          <bgColor rgb="FFE0DCD3"/>
        </patternFill>
      </fill>
    </dxf>
    <dxf>
      <font>
        <color rgb="FF383745"/>
      </font>
      <fill>
        <patternFill>
          <bgColor rgb="FFFFC000"/>
        </patternFill>
      </fill>
    </dxf>
    <dxf>
      <font>
        <color theme="0"/>
      </font>
      <fill>
        <patternFill>
          <bgColor rgb="FFC00000"/>
        </patternFill>
      </fill>
    </dxf>
    <dxf>
      <fill>
        <patternFill>
          <bgColor rgb="FFFFC000"/>
        </patternFill>
      </fill>
    </dxf>
    <dxf>
      <fill>
        <patternFill>
          <bgColor rgb="FFFFC000"/>
        </patternFill>
      </fill>
    </dxf>
    <dxf>
      <fill>
        <patternFill>
          <bgColor rgb="FFFFC000"/>
        </patternFill>
      </fill>
    </dxf>
    <dxf>
      <font>
        <color theme="0"/>
      </font>
      <fill>
        <patternFill>
          <bgColor rgb="FFC00000"/>
        </patternFill>
      </fill>
    </dxf>
    <dxf>
      <font>
        <color rgb="FF383745"/>
      </font>
      <fill>
        <patternFill>
          <bgColor rgb="FFFFC000"/>
        </patternFill>
      </fill>
    </dxf>
    <dxf>
      <font>
        <color theme="0"/>
      </font>
      <fill>
        <patternFill>
          <bgColor rgb="FFC00000"/>
        </patternFill>
      </fill>
    </dxf>
    <dxf>
      <font>
        <color rgb="FF383745"/>
      </font>
      <fill>
        <patternFill>
          <bgColor rgb="FFFFC000"/>
        </patternFill>
      </fill>
    </dxf>
    <dxf>
      <fill>
        <patternFill>
          <bgColor rgb="FFFFC000"/>
        </patternFill>
      </fill>
    </dxf>
    <dxf>
      <font>
        <color theme="0"/>
      </font>
      <fill>
        <patternFill>
          <bgColor rgb="FFC00000"/>
        </patternFill>
      </fill>
    </dxf>
    <dxf>
      <font>
        <color rgb="FF383745"/>
      </font>
      <fill>
        <patternFill>
          <bgColor rgb="FFFFC000"/>
        </patternFill>
      </fill>
    </dxf>
    <dxf>
      <fill>
        <patternFill>
          <bgColor theme="6"/>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E0DCD3"/>
        </patternFill>
      </fill>
    </dxf>
    <dxf>
      <font>
        <color theme="0"/>
      </font>
      <fill>
        <patternFill>
          <bgColor rgb="FFC00000"/>
        </patternFill>
      </fill>
    </dxf>
    <dxf>
      <font>
        <color rgb="FF383745"/>
      </font>
      <fill>
        <patternFill>
          <bgColor rgb="FFE0DCD3"/>
        </patternFill>
      </fill>
    </dxf>
    <dxf>
      <font>
        <color rgb="FF383745"/>
      </font>
      <fill>
        <patternFill>
          <bgColor rgb="FF92D050"/>
        </patternFill>
      </fill>
    </dxf>
    <dxf>
      <font>
        <color theme="0"/>
      </font>
      <fill>
        <patternFill>
          <bgColor rgb="FFC00000"/>
        </patternFill>
      </fill>
    </dxf>
    <dxf>
      <fill>
        <patternFill>
          <bgColor rgb="FFFFC000"/>
        </patternFill>
      </fill>
    </dxf>
    <dxf>
      <fill>
        <patternFill>
          <bgColor rgb="FFFF0000"/>
        </patternFill>
      </fill>
    </dxf>
    <dxf>
      <font>
        <color rgb="FF383745"/>
      </font>
      <fill>
        <patternFill>
          <bgColor rgb="FFFFC000"/>
        </patternFill>
      </fill>
    </dxf>
    <dxf>
      <font>
        <color theme="0"/>
      </font>
      <fill>
        <patternFill>
          <bgColor rgb="FFC00000"/>
        </patternFill>
      </fill>
    </dxf>
    <dxf>
      <font>
        <color rgb="FF383745"/>
      </font>
      <fill>
        <patternFill>
          <bgColor rgb="FFFFC000"/>
        </patternFill>
      </fill>
    </dxf>
    <dxf>
      <font>
        <color theme="0"/>
      </font>
      <fill>
        <patternFill>
          <bgColor rgb="FFC00000"/>
        </patternFill>
      </fill>
    </dxf>
    <dxf>
      <fill>
        <patternFill>
          <bgColor rgb="FFFFC000"/>
        </patternFill>
      </fill>
    </dxf>
    <dxf>
      <font>
        <color theme="0"/>
      </font>
      <fill>
        <patternFill>
          <bgColor rgb="FFC00000"/>
        </patternFill>
      </fill>
    </dxf>
    <dxf>
      <fill>
        <patternFill>
          <bgColor rgb="FFFFC000"/>
        </patternFill>
      </fill>
    </dxf>
    <dxf>
      <fill>
        <patternFill>
          <bgColor rgb="FFFFC000"/>
        </patternFill>
      </fill>
    </dxf>
    <dxf>
      <font>
        <color rgb="FF383745"/>
      </font>
      <fill>
        <patternFill>
          <bgColor rgb="FFFFC000"/>
        </patternFill>
      </fill>
    </dxf>
    <dxf>
      <fill>
        <patternFill>
          <bgColor rgb="FFFFC000"/>
        </patternFill>
      </fill>
    </dxf>
    <dxf>
      <font>
        <color rgb="FF383745"/>
      </font>
      <fill>
        <patternFill>
          <bgColor rgb="FFFFC000"/>
        </patternFill>
      </fill>
    </dxf>
    <dxf>
      <font>
        <color theme="0"/>
      </font>
      <fill>
        <patternFill>
          <bgColor rgb="FFC00000"/>
        </patternFill>
      </fill>
    </dxf>
    <dxf>
      <font>
        <color theme="0"/>
      </font>
      <fill>
        <patternFill>
          <bgColor rgb="FFC00000"/>
        </patternFill>
      </fill>
    </dxf>
    <dxf>
      <font>
        <color rgb="FF383745"/>
      </font>
      <fill>
        <patternFill>
          <bgColor rgb="FFFFC000"/>
        </patternFill>
      </fill>
    </dxf>
    <dxf>
      <font>
        <color rgb="FF383745"/>
      </font>
      <fill>
        <patternFill>
          <bgColor rgb="FFFFC000"/>
        </patternFill>
      </fill>
    </dxf>
    <dxf>
      <fill>
        <patternFill>
          <bgColor rgb="FFFFC000"/>
        </patternFill>
      </fill>
    </dxf>
    <dxf>
      <font>
        <color theme="0"/>
      </font>
      <fill>
        <patternFill>
          <bgColor rgb="FFC00000"/>
        </patternFill>
      </fill>
    </dxf>
    <dxf>
      <font>
        <color theme="0"/>
      </font>
      <fill>
        <patternFill>
          <bgColor rgb="FFC00000"/>
        </patternFill>
      </fill>
    </dxf>
    <dxf>
      <font>
        <color rgb="FF383745"/>
      </font>
      <fill>
        <patternFill>
          <bgColor rgb="FFFFC000"/>
        </patternFill>
      </fill>
    </dxf>
    <dxf>
      <font>
        <color rgb="FF383745"/>
      </font>
      <fill>
        <patternFill>
          <bgColor rgb="FF92D050"/>
        </patternFill>
      </fill>
    </dxf>
    <dxf>
      <font>
        <color auto="1"/>
      </font>
      <fill>
        <patternFill>
          <bgColor rgb="FFE0DCD3"/>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FFC000"/>
        </patternFill>
      </fill>
    </dxf>
    <dxf>
      <fill>
        <patternFill>
          <bgColor rgb="FFFFC000"/>
        </patternFill>
      </fill>
    </dxf>
    <dxf>
      <fill>
        <patternFill>
          <bgColor rgb="FFE0DCD3"/>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FFC000"/>
        </patternFill>
      </fill>
    </dxf>
    <dxf>
      <fill>
        <patternFill>
          <bgColor rgb="FFFFC000"/>
        </patternFill>
      </fill>
    </dxf>
    <dxf>
      <fill>
        <patternFill>
          <bgColor rgb="FF92D050"/>
        </patternFill>
      </fill>
    </dxf>
    <dxf>
      <font>
        <color theme="0"/>
      </font>
      <fill>
        <patternFill>
          <bgColor rgb="FFC00000"/>
        </patternFill>
      </fill>
    </dxf>
    <dxf>
      <fill>
        <patternFill>
          <bgColor rgb="FFFFC000"/>
        </patternFill>
      </fill>
    </dxf>
    <dxf>
      <font>
        <color theme="0"/>
      </font>
      <fill>
        <patternFill>
          <bgColor rgb="FFC00000"/>
        </patternFill>
      </fill>
    </dxf>
    <dxf>
      <fill>
        <patternFill>
          <bgColor rgb="FF92D050"/>
        </patternFill>
      </fill>
    </dxf>
    <dxf>
      <font>
        <color theme="0"/>
      </font>
      <fill>
        <patternFill>
          <bgColor rgb="FFC00000"/>
        </patternFill>
      </fill>
    </dxf>
    <dxf>
      <font>
        <color rgb="FF383745"/>
      </font>
      <fill>
        <patternFill>
          <bgColor rgb="FFE0DCD3"/>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92D050"/>
        </patternFill>
      </fill>
    </dxf>
    <dxf>
      <font>
        <color theme="0"/>
      </font>
      <fill>
        <patternFill>
          <bgColor rgb="FFC00000"/>
        </patternFill>
      </fill>
    </dxf>
    <dxf>
      <fill>
        <patternFill>
          <bgColor rgb="FFFFC000"/>
        </patternFill>
      </fill>
    </dxf>
    <dxf>
      <font>
        <color rgb="FF383745"/>
      </font>
      <fill>
        <patternFill>
          <bgColor rgb="FFFFC000"/>
        </patternFill>
      </fill>
    </dxf>
    <dxf>
      <font>
        <color theme="0"/>
      </font>
      <fill>
        <patternFill>
          <bgColor rgb="FFC00000"/>
        </patternFill>
      </fill>
    </dxf>
    <dxf>
      <font>
        <color rgb="FF383745"/>
      </font>
      <fill>
        <patternFill>
          <bgColor rgb="FFFFC000"/>
        </patternFill>
      </fill>
    </dxf>
    <dxf>
      <font>
        <color theme="0"/>
      </font>
      <fill>
        <patternFill>
          <bgColor rgb="FFC00000"/>
        </patternFill>
      </fill>
    </dxf>
    <dxf>
      <fill>
        <patternFill>
          <bgColor rgb="FFFFC000"/>
        </patternFill>
      </fill>
    </dxf>
    <dxf>
      <font>
        <color theme="0"/>
      </font>
      <fill>
        <patternFill>
          <bgColor rgb="FFC00000"/>
        </patternFill>
      </fill>
    </dxf>
    <dxf>
      <font>
        <color rgb="FF383745"/>
      </font>
      <fill>
        <patternFill>
          <bgColor rgb="FFFFC000"/>
        </patternFill>
      </fill>
    </dxf>
    <dxf>
      <font>
        <color theme="0"/>
      </font>
      <fill>
        <patternFill>
          <bgColor rgb="FFC00000"/>
        </patternFill>
      </fill>
    </dxf>
    <dxf>
      <fill>
        <patternFill>
          <bgColor rgb="FFFFC000"/>
        </patternFill>
      </fill>
    </dxf>
    <dxf>
      <fill>
        <patternFill>
          <bgColor rgb="FFFFC000"/>
        </patternFill>
      </fill>
    </dxf>
    <dxf>
      <fill>
        <patternFill>
          <bgColor theme="6"/>
        </patternFill>
      </fill>
    </dxf>
    <dxf>
      <font>
        <color auto="1"/>
      </font>
      <fill>
        <patternFill>
          <bgColor theme="6" tint="-0.24994659260841701"/>
        </patternFill>
      </fill>
    </dxf>
    <dxf>
      <fill>
        <patternFill>
          <bgColor theme="6"/>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ill>
        <patternFill>
          <bgColor rgb="FFFFC000"/>
        </patternFill>
      </fill>
    </dxf>
    <dxf>
      <font>
        <color auto="1"/>
      </font>
      <fill>
        <patternFill>
          <bgColor rgb="FFFFC000"/>
        </patternFill>
      </fill>
    </dxf>
    <dxf>
      <fill>
        <patternFill>
          <bgColor rgb="FFFFC000"/>
        </patternFill>
      </fill>
    </dxf>
    <dxf>
      <fill>
        <patternFill>
          <bgColor rgb="FFE0DCD3"/>
        </patternFill>
      </fill>
    </dxf>
    <dxf>
      <font>
        <color theme="0"/>
      </font>
      <fill>
        <patternFill>
          <bgColor rgb="FFCB0000"/>
        </patternFill>
      </fill>
    </dxf>
    <dxf>
      <font>
        <color rgb="FF383745"/>
      </font>
      <fill>
        <patternFill>
          <bgColor rgb="FFE0DCD3"/>
        </patternFill>
      </fill>
    </dxf>
    <dxf>
      <font>
        <color theme="0"/>
      </font>
      <fill>
        <patternFill>
          <bgColor rgb="FFCB0000"/>
        </patternFill>
      </fill>
    </dxf>
    <dxf>
      <font>
        <color rgb="FF383745"/>
      </font>
      <fill>
        <patternFill>
          <bgColor rgb="FF92D05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ill>
        <patternFill>
          <bgColor rgb="FFFFC000"/>
        </patternFill>
      </fill>
    </dxf>
    <dxf>
      <fill>
        <patternFill>
          <bgColor rgb="FFFFC000"/>
        </patternFill>
      </fill>
    </dxf>
    <dxf>
      <fill>
        <patternFill>
          <bgColor rgb="FFFFC000"/>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ill>
        <patternFill>
          <bgColor rgb="FFFFC000"/>
        </patternFill>
      </fill>
    </dxf>
    <dxf>
      <fill>
        <patternFill>
          <bgColor rgb="FFFFC000"/>
        </patternFill>
      </fill>
    </dxf>
    <dxf>
      <font>
        <color theme="0"/>
      </font>
      <fill>
        <patternFill>
          <bgColor rgb="FFCB0000"/>
        </patternFill>
      </fill>
    </dxf>
    <dxf>
      <font>
        <color theme="0"/>
      </font>
      <fill>
        <patternFill>
          <bgColor rgb="FFCB0000"/>
        </patternFill>
      </fill>
    </dxf>
    <dxf>
      <fill>
        <patternFill>
          <bgColor theme="6"/>
        </patternFill>
      </fill>
    </dxf>
    <dxf>
      <fill>
        <patternFill>
          <bgColor theme="8" tint="-0.24994659260841701"/>
        </patternFill>
      </fill>
    </dxf>
    <dxf>
      <fill>
        <patternFill>
          <bgColor theme="8" tint="0.59996337778862885"/>
        </patternFill>
      </fill>
    </dxf>
    <dxf>
      <font>
        <color theme="0"/>
      </font>
      <fill>
        <patternFill>
          <bgColor rgb="FFCB0000"/>
        </patternFill>
      </fill>
    </dxf>
    <dxf>
      <font>
        <color theme="0"/>
      </font>
      <fill>
        <patternFill>
          <bgColor rgb="FFCB0000"/>
        </patternFill>
      </fill>
    </dxf>
    <dxf>
      <font>
        <color theme="0"/>
      </font>
      <fill>
        <patternFill>
          <bgColor rgb="FFCB0000"/>
        </patternFill>
      </fill>
    </dxf>
    <dxf>
      <font>
        <color theme="0"/>
      </font>
      <fill>
        <patternFill>
          <bgColor rgb="FFCB0000"/>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ill>
        <patternFill>
          <bgColor rgb="FFFFC000"/>
        </patternFill>
      </fill>
    </dxf>
    <dxf>
      <fill>
        <patternFill>
          <bgColor rgb="FFE0DCD3"/>
        </patternFill>
      </fill>
    </dxf>
    <dxf>
      <font>
        <color theme="0"/>
      </font>
      <fill>
        <patternFill>
          <bgColor rgb="FFCB0000"/>
        </patternFill>
      </fill>
    </dxf>
    <dxf>
      <font>
        <color rgb="FF383745"/>
      </font>
      <fill>
        <patternFill>
          <bgColor rgb="FFE0DCD3"/>
        </patternFill>
      </fill>
    </dxf>
    <dxf>
      <font>
        <color theme="0"/>
      </font>
      <fill>
        <patternFill>
          <bgColor rgb="FFC00000"/>
        </patternFill>
      </fill>
    </dxf>
    <dxf>
      <font>
        <color rgb="FF383745"/>
      </font>
      <fill>
        <patternFill>
          <bgColor rgb="FF92D05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fill>
        <patternFill>
          <bgColor rgb="FFCB0000"/>
        </patternFill>
      </fill>
    </dxf>
    <dxf>
      <font>
        <color rgb="FF383745"/>
      </font>
      <fill>
        <patternFill>
          <bgColor rgb="FFFFC000"/>
        </patternFill>
      </fill>
    </dxf>
    <dxf>
      <font>
        <color rgb="FF383745"/>
      </font>
      <fill>
        <patternFill>
          <bgColor rgb="FFFFC000"/>
        </patternFill>
      </fill>
    </dxf>
    <dxf>
      <fill>
        <patternFill>
          <bgColor rgb="FFFFC000"/>
        </patternFill>
      </fill>
    </dxf>
    <dxf>
      <fill>
        <patternFill>
          <bgColor rgb="FFFFC000"/>
        </patternFill>
      </fill>
    </dxf>
    <dxf>
      <font>
        <color theme="0"/>
      </font>
      <fill>
        <patternFill>
          <bgColor rgb="FFCB0000"/>
        </patternFill>
      </fill>
    </dxf>
    <dxf>
      <font>
        <color theme="0"/>
      </font>
      <fill>
        <patternFill>
          <bgColor rgb="FFCB0000"/>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ont>
        <color auto="1"/>
      </font>
      <fill>
        <patternFill>
          <bgColor rgb="FFFFC000"/>
        </patternFill>
      </fill>
    </dxf>
    <dxf>
      <font>
        <color auto="1"/>
      </font>
      <fill>
        <patternFill>
          <bgColor rgb="FFFFC000"/>
        </patternFill>
      </fill>
    </dxf>
    <dxf>
      <font>
        <color theme="0"/>
      </font>
      <fill>
        <patternFill>
          <bgColor rgb="FFC00000"/>
        </patternFill>
      </fill>
    </dxf>
    <dxf>
      <fill>
        <patternFill>
          <bgColor rgb="FFFFC000"/>
        </patternFill>
      </fill>
    </dxf>
    <dxf>
      <fill>
        <patternFill>
          <bgColor rgb="FFFFC000"/>
        </patternFill>
      </fill>
    </dxf>
    <dxf>
      <fill>
        <patternFill>
          <bgColor rgb="FFE0DCD3"/>
        </patternFill>
      </fill>
    </dxf>
    <dxf>
      <font>
        <color theme="0"/>
      </font>
      <fill>
        <patternFill>
          <bgColor rgb="FFCB0000"/>
        </patternFill>
      </fill>
    </dxf>
    <dxf>
      <font>
        <color theme="0"/>
      </font>
      <fill>
        <patternFill>
          <bgColor rgb="FFCB0000"/>
        </patternFill>
      </fill>
    </dxf>
    <dxf>
      <font>
        <color rgb="FF383745"/>
      </font>
      <fill>
        <patternFill>
          <bgColor rgb="FF92D050"/>
        </patternFill>
      </fill>
    </dxf>
    <dxf>
      <font>
        <color theme="0"/>
      </font>
      <fill>
        <patternFill>
          <bgColor rgb="FFCB0000"/>
        </patternFill>
      </fill>
    </dxf>
    <dxf>
      <font>
        <color theme="0"/>
      </font>
      <fill>
        <patternFill>
          <bgColor rgb="FFCB0000"/>
        </patternFill>
      </fill>
    </dxf>
    <dxf>
      <font>
        <color rgb="FF383745"/>
      </font>
      <fill>
        <patternFill>
          <bgColor rgb="FFE0DCD3"/>
        </patternFill>
      </fill>
    </dxf>
    <dxf>
      <font>
        <color rgb="FF383745"/>
      </font>
      <fill>
        <patternFill>
          <bgColor rgb="FFFFC000"/>
        </patternFill>
      </fill>
    </dxf>
    <dxf>
      <font>
        <color theme="0"/>
      </font>
      <fill>
        <patternFill>
          <bgColor rgb="FFCB0000"/>
        </patternFill>
      </fill>
    </dxf>
    <dxf>
      <font>
        <color rgb="FF383745"/>
      </font>
      <fill>
        <patternFill>
          <bgColor rgb="FFFFC000"/>
        </patternFill>
      </fill>
    </dxf>
    <dxf>
      <font>
        <color theme="0"/>
      </font>
      <fill>
        <patternFill>
          <bgColor rgb="FFCB0000"/>
        </patternFill>
      </fill>
    </dxf>
    <dxf>
      <font>
        <color theme="0"/>
      </font>
      <fill>
        <patternFill>
          <bgColor rgb="FFCB0000"/>
        </patternFill>
      </fill>
    </dxf>
    <dxf>
      <font>
        <color theme="0"/>
      </font>
      <fill>
        <patternFill>
          <bgColor rgb="FFCB0000"/>
        </patternFill>
      </fill>
    </dxf>
    <dxf>
      <fill>
        <patternFill>
          <bgColor rgb="FFFFC000"/>
        </patternFill>
      </fill>
    </dxf>
    <dxf>
      <fill>
        <patternFill>
          <bgColor rgb="FFFFC000"/>
        </patternFill>
      </fill>
    </dxf>
    <dxf>
      <fill>
        <patternFill>
          <bgColor theme="8" tint="0.59996337778862885"/>
        </patternFill>
      </fill>
    </dxf>
    <dxf>
      <fill>
        <patternFill>
          <bgColor theme="6"/>
        </patternFill>
      </fill>
    </dxf>
    <dxf>
      <fill>
        <patternFill>
          <bgColor theme="8" tint="-0.24994659260841701"/>
        </patternFill>
      </fill>
    </dxf>
    <dxf>
      <font>
        <color rgb="FF383745"/>
      </font>
      <fill>
        <patternFill>
          <bgColor rgb="FFFFC000"/>
        </patternFill>
      </fill>
    </dxf>
    <dxf>
      <font>
        <color rgb="FF383745"/>
      </font>
      <fill>
        <patternFill>
          <bgColor rgb="FF92D050"/>
        </patternFill>
      </fill>
    </dxf>
    <dxf>
      <font>
        <color auto="1"/>
      </font>
      <fill>
        <patternFill>
          <bgColor rgb="FFE0DCD3"/>
        </patternFill>
      </fill>
    </dxf>
    <dxf>
      <font>
        <color theme="0"/>
      </font>
      <fill>
        <patternFill>
          <bgColor rgb="FFC00000"/>
        </patternFill>
      </fill>
    </dxf>
    <dxf>
      <fill>
        <patternFill>
          <bgColor rgb="FFFFC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00B0F0"/>
        </patternFill>
      </fill>
    </dxf>
    <dxf>
      <fill>
        <patternFill>
          <bgColor rgb="FF00B0F0"/>
        </patternFill>
      </fill>
    </dxf>
    <dxf>
      <fill>
        <patternFill>
          <bgColor rgb="FFE0DCD3"/>
        </patternFill>
      </fill>
    </dxf>
    <dxf>
      <fill>
        <patternFill>
          <bgColor rgb="FFFFC000"/>
        </patternFill>
      </fill>
    </dxf>
    <dxf>
      <fill>
        <patternFill>
          <bgColor rgb="FFFF0000"/>
        </patternFill>
      </fill>
    </dxf>
    <dxf>
      <font>
        <color rgb="FF383745"/>
      </font>
      <fill>
        <patternFill>
          <bgColor rgb="FFE0DCD3"/>
        </patternFill>
      </fill>
    </dxf>
    <dxf>
      <fill>
        <patternFill>
          <bgColor rgb="FFFFC000"/>
        </patternFill>
      </fill>
    </dxf>
    <dxf>
      <fill>
        <patternFill>
          <bgColor rgb="FFFFC000"/>
        </patternFill>
      </fill>
    </dxf>
    <dxf>
      <fill>
        <patternFill>
          <bgColor rgb="FF92D050"/>
        </patternFill>
      </fill>
    </dxf>
    <dxf>
      <font>
        <color theme="0"/>
      </font>
      <fill>
        <patternFill>
          <bgColor rgb="FFC00000"/>
        </patternFill>
      </fill>
    </dxf>
    <dxf>
      <font>
        <color rgb="FFFFFFFF"/>
      </font>
      <fill>
        <patternFill>
          <bgColor rgb="FFCB0000"/>
        </patternFill>
      </fill>
    </dxf>
    <dxf>
      <font>
        <color rgb="FF383745"/>
      </font>
      <fill>
        <patternFill>
          <bgColor rgb="FFFFC000"/>
        </patternFill>
      </fill>
    </dxf>
    <dxf>
      <font>
        <color rgb="FFFFFFFF"/>
      </font>
      <fill>
        <patternFill>
          <bgColor rgb="FFCB0000"/>
        </patternFill>
      </fill>
    </dxf>
    <dxf>
      <fill>
        <patternFill>
          <bgColor rgb="FFFF0000"/>
        </patternFill>
      </fill>
    </dxf>
    <dxf>
      <fill>
        <patternFill>
          <bgColor rgb="FFFFC000"/>
        </patternFill>
      </fill>
    </dxf>
    <dxf>
      <fill>
        <patternFill>
          <bgColor rgb="FFFFC000"/>
        </patternFill>
      </fill>
    </dxf>
    <dxf>
      <font>
        <color theme="0"/>
      </font>
      <fill>
        <patternFill>
          <bgColor rgb="FFC00000"/>
        </patternFill>
      </fill>
    </dxf>
    <dxf>
      <font>
        <color rgb="FF383745"/>
      </font>
      <fill>
        <patternFill>
          <bgColor theme="6"/>
        </patternFill>
      </fill>
    </dxf>
    <dxf>
      <font>
        <color rgb="FF383745"/>
      </font>
      <fill>
        <patternFill>
          <bgColor theme="8" tint="-0.24994659260841701"/>
        </patternFill>
      </fill>
    </dxf>
    <dxf>
      <font>
        <color rgb="FF383745"/>
      </font>
      <fill>
        <patternFill>
          <bgColor theme="8" tint="0.59996337778862885"/>
        </patternFill>
      </fill>
    </dxf>
    <dxf>
      <font>
        <color auto="1"/>
      </font>
      <fill>
        <patternFill>
          <bgColor theme="6" tint="-0.24994659260841701"/>
        </patternFill>
      </fill>
    </dxf>
    <dxf>
      <fill>
        <patternFill>
          <bgColor rgb="FFFFC000"/>
        </patternFill>
      </fill>
    </dxf>
    <dxf>
      <fill>
        <patternFill>
          <bgColor rgb="FFFFC000"/>
        </patternFill>
      </fill>
    </dxf>
    <dxf>
      <fill>
        <patternFill>
          <bgColor rgb="FFFFC000"/>
        </patternFill>
      </fill>
    </dxf>
    <dxf>
      <font>
        <color theme="0"/>
      </font>
      <fill>
        <patternFill>
          <bgColor rgb="FFCB0000"/>
        </patternFill>
      </fill>
    </dxf>
    <dxf>
      <font>
        <color rgb="FF383745"/>
      </font>
      <fill>
        <patternFill>
          <bgColor rgb="FFFFC000"/>
        </patternFill>
      </fill>
    </dxf>
    <dxf>
      <font>
        <color rgb="FF383745"/>
      </font>
      <fill>
        <patternFill>
          <bgColor rgb="FFFFC000"/>
        </patternFill>
      </fill>
    </dxf>
    <dxf>
      <font>
        <color theme="0"/>
      </font>
      <fill>
        <patternFill>
          <bgColor rgb="FFCB0000"/>
        </patternFill>
      </fill>
    </dxf>
    <dxf>
      <fill>
        <patternFill>
          <bgColor rgb="FFFFC000"/>
        </patternFill>
      </fill>
    </dxf>
    <dxf>
      <font>
        <color theme="0"/>
      </font>
      <fill>
        <patternFill>
          <bgColor rgb="FFC00000"/>
        </patternFill>
      </fill>
    </dxf>
    <dxf>
      <fill>
        <patternFill>
          <bgColor rgb="FFFFC000"/>
        </patternFill>
      </fill>
    </dxf>
    <dxf>
      <fill>
        <patternFill>
          <bgColor rgb="FFFFC000"/>
        </patternFill>
      </fill>
    </dxf>
    <dxf>
      <font>
        <color rgb="FFFFFFFF"/>
      </font>
      <fill>
        <patternFill>
          <bgColor rgb="FFCB0000"/>
        </patternFill>
      </fill>
    </dxf>
    <dxf>
      <font>
        <color theme="0"/>
      </font>
      <fill>
        <patternFill>
          <bgColor rgb="FFCB0000"/>
        </patternFill>
      </fill>
    </dxf>
    <dxf>
      <fill>
        <patternFill>
          <bgColor rgb="FFFFC000"/>
        </patternFill>
      </fill>
    </dxf>
    <dxf>
      <fill>
        <patternFill>
          <bgColor rgb="FFFF0000"/>
        </patternFill>
      </fill>
    </dxf>
    <dxf>
      <fill>
        <patternFill>
          <bgColor rgb="FFFF0000"/>
        </patternFill>
      </fill>
    </dxf>
    <dxf>
      <font>
        <color rgb="FFFFFFFF"/>
      </font>
      <fill>
        <patternFill>
          <bgColor rgb="FFCB0000"/>
        </patternFill>
      </fill>
    </dxf>
    <dxf>
      <font>
        <color rgb="FFFFFFFF"/>
      </font>
      <fill>
        <patternFill>
          <bgColor rgb="FFCB0000"/>
        </patternFill>
      </fill>
    </dxf>
    <dxf>
      <font>
        <color theme="0"/>
      </font>
      <fill>
        <patternFill>
          <bgColor rgb="FFC00000"/>
        </patternFill>
      </fill>
    </dxf>
    <dxf>
      <font>
        <color rgb="FFFFFFFF"/>
      </font>
      <fill>
        <patternFill>
          <bgColor rgb="FFCB0000"/>
        </patternFill>
      </fill>
    </dxf>
    <dxf>
      <font>
        <color rgb="FF383745"/>
      </font>
      <fill>
        <patternFill>
          <bgColor rgb="FF92D050"/>
        </patternFill>
      </fill>
    </dxf>
    <dxf>
      <font>
        <color rgb="FF383745"/>
      </font>
      <fill>
        <patternFill>
          <bgColor rgb="FFFFC000"/>
        </patternFill>
      </fill>
    </dxf>
    <dxf>
      <font>
        <color auto="1"/>
      </font>
      <fill>
        <patternFill>
          <bgColor rgb="FFE0DCD3"/>
        </patternFill>
      </fill>
    </dxf>
    <dxf>
      <fill>
        <patternFill>
          <bgColor rgb="FFFFC000"/>
        </patternFill>
      </fill>
    </dxf>
    <dxf>
      <fill>
        <patternFill>
          <bgColor rgb="FFE0DCD3"/>
        </patternFill>
      </fill>
    </dxf>
    <dxf>
      <font>
        <color rgb="FFFFFFFF"/>
      </font>
      <fill>
        <patternFill>
          <bgColor rgb="FFCB0000"/>
        </patternFill>
      </fill>
    </dxf>
    <dxf>
      <fill>
        <patternFill>
          <bgColor rgb="FFFFC000"/>
        </patternFill>
      </fill>
    </dxf>
    <dxf>
      <fill>
        <patternFill>
          <bgColor rgb="FFFFC000"/>
        </patternFill>
      </fill>
    </dxf>
    <dxf>
      <font>
        <color rgb="FFFFFFFF"/>
      </font>
      <fill>
        <patternFill>
          <bgColor rgb="FFCB0000"/>
        </patternFill>
      </fill>
    </dxf>
    <dxf>
      <font>
        <color rgb="FF383745"/>
      </font>
      <fill>
        <patternFill>
          <bgColor rgb="FF92D050"/>
        </patternFill>
      </fill>
    </dxf>
    <dxf>
      <font>
        <color rgb="FF383745"/>
      </font>
      <fill>
        <patternFill>
          <bgColor rgb="FF92D050"/>
        </patternFill>
      </fill>
    </dxf>
    <dxf>
      <font>
        <color rgb="FFFFFFFF"/>
      </font>
      <fill>
        <patternFill>
          <bgColor rgb="FFCB0000"/>
        </patternFill>
      </fill>
    </dxf>
    <dxf>
      <font>
        <color rgb="FF383745"/>
      </font>
      <fill>
        <patternFill>
          <bgColor rgb="FFE0DCD3"/>
        </patternFill>
      </fill>
    </dxf>
    <dxf>
      <font>
        <color rgb="FFFFFFFF"/>
      </font>
      <fill>
        <patternFill>
          <bgColor rgb="FFCB0000"/>
        </patternFill>
      </fill>
    </dxf>
    <dxf>
      <font>
        <color rgb="FF383745"/>
      </font>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383745"/>
      </font>
      <fill>
        <patternFill>
          <bgColor rgb="FFFFC000"/>
        </patternFill>
      </fill>
    </dxf>
    <dxf>
      <font>
        <color theme="0"/>
      </font>
      <fill>
        <patternFill>
          <bgColor rgb="FFCB0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fill>
        <patternFill>
          <bgColor rgb="FFCB0000"/>
        </patternFill>
      </fill>
    </dxf>
    <dxf>
      <font>
        <color rgb="FF383745"/>
      </font>
      <fill>
        <patternFill>
          <bgColor rgb="FF92D050"/>
        </patternFill>
      </fill>
    </dxf>
    <dxf>
      <font>
        <color rgb="FF383745"/>
      </font>
      <fill>
        <patternFill>
          <bgColor rgb="FFFFC000"/>
        </patternFill>
      </fill>
    </dxf>
    <dxf>
      <font>
        <color rgb="FF000000"/>
      </font>
      <fill>
        <patternFill>
          <bgColor theme="6" tint="-0.24994659260841701"/>
        </patternFill>
      </fill>
    </dxf>
    <dxf>
      <font>
        <color rgb="FF383745"/>
      </font>
      <fill>
        <patternFill>
          <bgColor theme="6"/>
        </patternFill>
      </fill>
    </dxf>
    <dxf>
      <font>
        <color rgb="FF383745"/>
      </font>
      <fill>
        <patternFill>
          <bgColor theme="8" tint="-0.24994659260841701"/>
        </patternFill>
      </fill>
    </dxf>
    <dxf>
      <font>
        <color rgb="FF383745"/>
      </font>
      <fill>
        <patternFill>
          <fgColor auto="1"/>
          <bgColor theme="8" tint="0.59996337778862885"/>
        </patternFill>
      </fill>
    </dxf>
    <dxf>
      <font>
        <color auto="1"/>
      </font>
      <fill>
        <patternFill>
          <bgColor rgb="FFE0DCD3"/>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FFC000"/>
        </patternFill>
      </fill>
    </dxf>
    <dxf>
      <font>
        <color theme="0"/>
      </font>
      <fill>
        <patternFill>
          <bgColor rgb="FFC00000"/>
        </patternFill>
      </fill>
    </dxf>
    <dxf>
      <fill>
        <patternFill>
          <bgColor rgb="FFFFC000"/>
        </patternFill>
      </fill>
    </dxf>
    <dxf>
      <fill>
        <patternFill>
          <bgColor rgb="FFE0DCD3"/>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rgb="FFFFFFFF"/>
      </font>
      <fill>
        <patternFill>
          <bgColor rgb="FFCB0000"/>
        </patternFill>
      </fill>
    </dxf>
    <dxf>
      <fill>
        <patternFill>
          <bgColor rgb="FFFFC000"/>
        </patternFill>
      </fill>
    </dxf>
    <dxf>
      <font>
        <color rgb="FFFFFFFF"/>
      </font>
      <fill>
        <patternFill>
          <bgColor rgb="FFCB0000"/>
        </patternFill>
      </fill>
    </dxf>
    <dxf>
      <fill>
        <patternFill>
          <bgColor rgb="FFFFC000"/>
        </patternFill>
      </fill>
    </dxf>
    <dxf>
      <font>
        <color auto="1"/>
      </font>
      <fill>
        <patternFill>
          <bgColor rgb="FFE0DCD3"/>
        </patternFill>
      </fill>
    </dxf>
    <dxf>
      <font>
        <color rgb="FF383745"/>
      </font>
      <fill>
        <patternFill>
          <bgColor rgb="FF92D050"/>
        </patternFill>
      </fill>
    </dxf>
    <dxf>
      <font>
        <color rgb="FFFFFFFF"/>
      </font>
      <fill>
        <patternFill>
          <bgColor rgb="FFCB0000"/>
        </patternFill>
      </fill>
    </dxf>
    <dxf>
      <font>
        <color rgb="FFFFFFFF"/>
      </font>
      <fill>
        <patternFill>
          <bgColor rgb="FFCB0000"/>
        </patternFill>
      </fill>
    </dxf>
    <dxf>
      <font>
        <color auto="1"/>
      </font>
      <fill>
        <patternFill>
          <bgColor rgb="FFFFC000"/>
        </patternFill>
      </fill>
    </dxf>
    <dxf>
      <fill>
        <patternFill>
          <bgColor rgb="FFFFC000"/>
        </patternFill>
      </fill>
    </dxf>
    <dxf>
      <fill>
        <patternFill>
          <bgColor rgb="FFFF0000"/>
        </patternFill>
      </fill>
    </dxf>
    <dxf>
      <font>
        <color rgb="FF383745"/>
      </font>
      <fill>
        <patternFill>
          <bgColor rgb="FFFFC000"/>
        </patternFill>
      </fill>
    </dxf>
    <dxf>
      <font>
        <color rgb="FFFFFFFF"/>
      </font>
      <fill>
        <patternFill>
          <bgColor rgb="FFCB0000"/>
        </patternFill>
      </fill>
    </dxf>
    <dxf>
      <fill>
        <patternFill>
          <bgColor rgb="FFFF0000"/>
        </patternFill>
      </fill>
    </dxf>
    <dxf>
      <fill>
        <patternFill>
          <bgColor rgb="FFFF0000"/>
        </patternFill>
      </fill>
    </dxf>
    <dxf>
      <font>
        <color rgb="FFFFFFFF"/>
      </font>
      <fill>
        <patternFill>
          <bgColor rgb="FFCB0000"/>
        </patternFill>
      </fill>
    </dxf>
    <dxf>
      <font>
        <color rgb="FFFFFFFF"/>
      </font>
      <fill>
        <patternFill>
          <bgColor rgb="FFCB0000"/>
        </patternFill>
      </fill>
    </dxf>
    <dxf>
      <font>
        <color theme="0"/>
      </font>
      <fill>
        <patternFill>
          <bgColor rgb="FFCB0000"/>
        </patternFill>
      </fill>
    </dxf>
    <dxf>
      <font>
        <color rgb="FF383745"/>
      </font>
      <fill>
        <patternFill>
          <bgColor rgb="FF92D050"/>
        </patternFill>
      </fill>
    </dxf>
    <dxf>
      <font>
        <color rgb="FF383745"/>
      </font>
      <fill>
        <patternFill>
          <bgColor rgb="FF92D050"/>
        </patternFill>
      </fill>
    </dxf>
    <dxf>
      <font>
        <color rgb="FFFFFFFF"/>
      </font>
      <fill>
        <patternFill>
          <bgColor rgb="FFCB0000"/>
        </patternFill>
      </fill>
    </dxf>
    <dxf>
      <font>
        <b/>
        <i val="0"/>
        <color rgb="FFFFFFFF"/>
      </font>
      <fill>
        <patternFill>
          <bgColor rgb="FFCB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rgb="FF383745"/>
      </font>
      <fill>
        <patternFill>
          <bgColor rgb="FFFFC000"/>
        </patternFill>
      </fill>
    </dxf>
    <dxf>
      <font>
        <color rgb="FFFFFFFF"/>
      </font>
      <fill>
        <patternFill>
          <bgColor rgb="FFCB0000"/>
        </patternFill>
      </fill>
    </dxf>
    <dxf>
      <font>
        <color rgb="FF383745"/>
      </font>
      <fill>
        <patternFill>
          <bgColor rgb="FFFFC000"/>
        </patternFill>
      </fill>
    </dxf>
    <dxf>
      <font>
        <color rgb="FF383745"/>
      </font>
      <fill>
        <patternFill>
          <bgColor rgb="FFFFC000"/>
        </patternFill>
      </fill>
    </dxf>
    <dxf>
      <font>
        <color rgb="FFFFFFFF"/>
      </font>
      <fill>
        <patternFill>
          <bgColor rgb="FFCB0000"/>
        </patternFill>
      </fill>
    </dxf>
    <dxf>
      <font>
        <color rgb="FF383745"/>
      </font>
      <fill>
        <patternFill>
          <bgColor rgb="FFFFC000"/>
        </patternFill>
      </fill>
    </dxf>
    <dxf>
      <font>
        <color theme="0"/>
      </font>
      <fill>
        <patternFill>
          <bgColor rgb="FFCB0000"/>
        </patternFill>
      </fill>
    </dxf>
    <dxf>
      <font>
        <color rgb="FFFFFFFF"/>
      </font>
      <fill>
        <patternFill>
          <bgColor rgb="FFCB0000"/>
        </patternFill>
      </fill>
    </dxf>
    <dxf>
      <font>
        <color rgb="FFFFFFFF"/>
      </font>
      <fill>
        <patternFill>
          <bgColor rgb="FFCB0000"/>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92D050"/>
        </patternFill>
      </fill>
    </dxf>
    <dxf>
      <font>
        <color theme="0"/>
      </font>
      <fill>
        <patternFill>
          <bgColor rgb="FFC00000"/>
        </patternFill>
      </fill>
    </dxf>
    <dxf>
      <fill>
        <patternFill>
          <bgColor rgb="FF92D050"/>
        </patternFill>
      </fill>
    </dxf>
    <dxf>
      <font>
        <color theme="0"/>
      </font>
      <fill>
        <patternFill>
          <bgColor rgb="FFC0000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rgb="FF663300"/>
        </patternFill>
      </fill>
    </dxf>
    <dxf>
      <fill>
        <patternFill>
          <bgColor rgb="FF0033CC"/>
        </patternFill>
      </fill>
    </dxf>
    <dxf>
      <fill>
        <patternFill>
          <bgColor rgb="FF006600"/>
        </patternFill>
      </fill>
    </dxf>
    <dxf>
      <font>
        <color theme="0"/>
      </font>
      <fill>
        <patternFill>
          <bgColor rgb="FFC00000"/>
        </patternFill>
      </fill>
    </dxf>
    <dxf>
      <fill>
        <patternFill>
          <bgColor rgb="FF92D05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rgb="FF663300"/>
        </patternFill>
      </fill>
    </dxf>
    <dxf>
      <fill>
        <patternFill>
          <bgColor rgb="FF0033CC"/>
        </patternFill>
      </fill>
    </dxf>
    <dxf>
      <fill>
        <patternFill>
          <bgColor rgb="FF006600"/>
        </patternFill>
      </fill>
    </dxf>
    <dxf>
      <fill>
        <patternFill>
          <bgColor rgb="FF92D050"/>
        </patternFill>
      </fill>
    </dxf>
    <dxf>
      <font>
        <color theme="0"/>
      </font>
      <fill>
        <patternFill>
          <bgColor rgb="FFC00000"/>
        </patternFill>
      </fill>
    </dxf>
    <dxf>
      <font>
        <color theme="0"/>
      </font>
      <fill>
        <patternFill>
          <bgColor rgb="FFC00000"/>
        </patternFill>
      </fill>
    </dxf>
    <dxf>
      <fill>
        <patternFill>
          <bgColor rgb="FF92D05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rgb="FF663300"/>
        </patternFill>
      </fill>
    </dxf>
    <dxf>
      <fill>
        <patternFill>
          <bgColor rgb="FF0033CC"/>
        </patternFill>
      </fill>
    </dxf>
    <dxf>
      <fill>
        <patternFill>
          <bgColor rgb="FF006600"/>
        </patternFill>
      </fill>
    </dxf>
    <dxf>
      <fill>
        <patternFill>
          <bgColor rgb="FFFFC00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rgb="FF663300"/>
        </patternFill>
      </fill>
    </dxf>
    <dxf>
      <fill>
        <patternFill>
          <bgColor rgb="FF0033CC"/>
        </patternFill>
      </fill>
    </dxf>
    <dxf>
      <fill>
        <patternFill>
          <bgColor rgb="FF006600"/>
        </patternFill>
      </fill>
    </dxf>
    <dxf>
      <font>
        <color auto="1"/>
      </font>
      <fill>
        <patternFill>
          <bgColor rgb="FFDD7979"/>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theme="6" tint="-0.24994659260841701"/>
        </patternFill>
      </fill>
    </dxf>
    <dxf>
      <fill>
        <patternFill>
          <bgColor rgb="FFFFC000"/>
        </patternFill>
      </fill>
    </dxf>
    <dxf>
      <font>
        <color theme="0"/>
      </font>
      <fill>
        <patternFill>
          <bgColor rgb="FFC00000"/>
        </patternFill>
      </fill>
    </dxf>
    <dxf>
      <fill>
        <patternFill>
          <bgColor rgb="FF92D050"/>
        </patternFill>
      </fill>
    </dxf>
    <dxf>
      <fill>
        <patternFill>
          <bgColor rgb="FF92D050"/>
        </patternFill>
      </fill>
    </dxf>
    <dxf>
      <fill>
        <patternFill>
          <bgColor rgb="FFFFC000"/>
        </patternFill>
      </fill>
    </dxf>
    <dxf>
      <font>
        <color auto="1"/>
      </font>
      <fill>
        <patternFill>
          <bgColor rgb="FFFFC000"/>
        </patternFill>
      </fill>
    </dxf>
    <dxf>
      <fill>
        <patternFill>
          <bgColor rgb="FF92D050"/>
        </patternFill>
      </fill>
    </dxf>
    <dxf>
      <font>
        <color auto="1"/>
      </font>
      <fill>
        <patternFill>
          <bgColor rgb="FFFFC000"/>
        </patternFill>
      </fill>
    </dxf>
    <dxf>
      <fill>
        <patternFill>
          <bgColor rgb="FF92D050"/>
        </patternFill>
      </fill>
    </dxf>
    <dxf>
      <font>
        <color auto="1"/>
      </font>
      <fill>
        <patternFill>
          <bgColor rgb="FFFFC000"/>
        </patternFill>
      </fill>
    </dxf>
    <dxf>
      <fill>
        <patternFill>
          <bgColor rgb="FF92D050"/>
        </patternFill>
      </fill>
    </dxf>
    <dxf>
      <font>
        <color theme="0"/>
      </font>
      <fill>
        <patternFill>
          <bgColor rgb="FFC00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ont>
        <b/>
        <i val="0"/>
        <u val="none"/>
        <color theme="0"/>
      </font>
      <fill>
        <patternFill>
          <bgColor rgb="FFC0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theme="6" tint="-0.24994659260841701"/>
        </patternFill>
      </fill>
    </dxf>
    <dxf>
      <fill>
        <patternFill>
          <bgColor rgb="FF92D050"/>
        </patternFill>
      </fill>
    </dxf>
    <dxf>
      <fill>
        <patternFill>
          <bgColor theme="6" tint="-0.24994659260841701"/>
        </patternFill>
      </fill>
    </dxf>
    <dxf>
      <fill>
        <patternFill>
          <bgColor rgb="FF92D050"/>
        </patternFill>
      </fill>
    </dxf>
    <dxf>
      <font>
        <color auto="1"/>
      </font>
      <fill>
        <patternFill>
          <bgColor rgb="FFFFC000"/>
        </patternFill>
      </fill>
    </dxf>
    <dxf>
      <fill>
        <patternFill>
          <bgColor rgb="FF92D050"/>
        </patternFill>
      </fill>
    </dxf>
    <dxf>
      <font>
        <u val="none"/>
        <color auto="1"/>
      </font>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ont>
        <color theme="0"/>
      </font>
      <fill>
        <patternFill>
          <bgColor rgb="FFC00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ont>
        <color auto="1"/>
      </font>
      <fill>
        <patternFill>
          <bgColor rgb="FFFFC000"/>
        </patternFill>
      </fill>
    </dxf>
    <dxf>
      <fill>
        <patternFill>
          <bgColor rgb="FF92D050"/>
        </patternFill>
      </fill>
    </dxf>
    <dxf>
      <font>
        <color theme="0"/>
      </font>
      <fill>
        <patternFill>
          <bgColor rgb="FFC0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ont>
        <color theme="0"/>
      </font>
      <fill>
        <patternFill>
          <bgColor rgb="FFC0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ont>
        <color rgb="FFC00000"/>
      </font>
      <fill>
        <patternFill>
          <bgColor rgb="FFC00000"/>
        </patternFill>
      </fill>
    </dxf>
    <dxf>
      <font>
        <color theme="0"/>
      </font>
      <fill>
        <patternFill>
          <bgColor rgb="FFC00000"/>
        </patternFill>
      </fill>
    </dxf>
    <dxf>
      <fill>
        <patternFill>
          <bgColor rgb="FFC00000"/>
        </patternFill>
      </fill>
    </dxf>
    <dxf>
      <fill>
        <patternFill>
          <bgColor rgb="FFC0000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92D050"/>
        </patternFill>
      </fill>
    </dxf>
    <dxf>
      <font>
        <color rgb="FFFFFFFF"/>
      </font>
      <fill>
        <patternFill>
          <bgColor rgb="FFCB0000"/>
        </patternFill>
      </fill>
    </dxf>
  </dxfs>
  <tableStyles count="0" defaultTableStyle="TableStyleMedium2" defaultPivotStyle="PivotStyleLight16"/>
  <colors>
    <mruColors>
      <color rgb="FFDD7979"/>
      <color rgb="FFF4D4D4"/>
      <color rgb="FFFFFF99"/>
      <color rgb="FFABC3C9"/>
      <color rgb="FFD5D3DC"/>
      <color rgb="FFE0DCD3"/>
      <color rgb="FF0033CC"/>
      <color rgb="FF006600"/>
      <color rgb="FF000000"/>
      <color rgb="FF3837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47623</xdr:colOff>
      <xdr:row>4</xdr:row>
      <xdr:rowOff>15875</xdr:rowOff>
    </xdr:from>
    <xdr:to>
      <xdr:col>9</xdr:col>
      <xdr:colOff>1047748</xdr:colOff>
      <xdr:row>16</xdr:row>
      <xdr:rowOff>182879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47623" y="1039813"/>
          <a:ext cx="6596063" cy="2738754"/>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n-GB" sz="3600" b="0" i="0" u="none" strike="noStrike" kern="1400" cap="none" spc="-50" normalizeH="0" baseline="0" noProof="0">
              <a:ln>
                <a:noFill/>
              </a:ln>
              <a:solidFill>
                <a:schemeClr val="accent1"/>
              </a:solidFill>
              <a:effectLst/>
              <a:uLnTx/>
              <a:uFillTx/>
              <a:latin typeface="Source Sans Pro" panose="020B0503030403020204" pitchFamily="34" charset="0"/>
              <a:ea typeface="Source Sans Pro" panose="020B0503030403020204" pitchFamily="34" charset="0"/>
              <a:cs typeface="Arial" panose="020B0604020202020204" pitchFamily="34" charset="0"/>
            </a:rPr>
            <a:t>The Statutory Biodiversity Metric</a:t>
          </a:r>
        </a:p>
        <a:p>
          <a:pPr marL="0" marR="0" lvl="0" indent="0" algn="ctr" defTabSz="914400" eaLnBrk="1" fontAlgn="auto" latinLnBrk="0" hangingPunct="1">
            <a:lnSpc>
              <a:spcPct val="100000"/>
            </a:lnSpc>
            <a:spcBef>
              <a:spcPts val="600"/>
            </a:spcBef>
            <a:spcAft>
              <a:spcPts val="0"/>
            </a:spcAft>
            <a:buClrTx/>
            <a:buSzTx/>
            <a:buFontTx/>
            <a:buNone/>
            <a:tabLst/>
            <a:defRPr/>
          </a:pPr>
          <a:r>
            <a:rPr kumimoji="0" lang="en-GB" sz="2000" b="0" i="0" u="none" strike="noStrike" kern="0" cap="none" spc="75" normalizeH="0" baseline="0" noProof="0">
              <a:ln>
                <a:noFill/>
              </a:ln>
              <a:solidFill>
                <a:schemeClr val="accent1"/>
              </a:solidFill>
              <a:effectLst/>
              <a:uLnTx/>
              <a:uFillTx/>
              <a:latin typeface="Rockwell Light" panose="02040303020102020203" pitchFamily="18" charset="0"/>
              <a:ea typeface="Times New Roman" panose="02020603050405020304" pitchFamily="18" charset="0"/>
              <a:cs typeface="Arial" panose="020B0604020202020204" pitchFamily="34" charset="0"/>
            </a:rPr>
            <a:t>Auditing and accounting for biodiversity</a:t>
          </a:r>
        </a:p>
        <a:p>
          <a:pPr marL="810260" marR="600710" lvl="0" indent="-90170" algn="ctr" defTabSz="914400" eaLnBrk="1" fontAlgn="auto" latinLnBrk="0" hangingPunct="1">
            <a:lnSpc>
              <a:spcPct val="107000"/>
            </a:lnSpc>
            <a:spcBef>
              <a:spcPts val="600"/>
            </a:spcBef>
            <a:spcAft>
              <a:spcPts val="600"/>
            </a:spcAft>
            <a:buClrTx/>
            <a:buSzTx/>
            <a:buFontTx/>
            <a:buNone/>
            <a:tabLst/>
            <a:defRPr/>
          </a:pPr>
          <a:r>
            <a:rPr kumimoji="0" lang="en-GB" sz="2800" b="1" i="0" u="none" strike="noStrike" kern="0" cap="none" spc="0" normalizeH="0" baseline="0" noProof="0">
              <a:ln>
                <a:noFill/>
              </a:ln>
              <a:solidFill>
                <a:schemeClr val="accent1"/>
              </a:solidFill>
              <a:effectLst/>
              <a:uLnTx/>
              <a:uFillTx/>
              <a:latin typeface="Source Sans Pro" panose="020B0503030403020204" pitchFamily="34" charset="0"/>
              <a:ea typeface="Source Sans Pro" panose="020B0503030403020204" pitchFamily="34" charset="0"/>
              <a:cs typeface="Arial" panose="020B0604020202020204" pitchFamily="34" charset="0"/>
            </a:rPr>
            <a:t>Calculation Tool</a:t>
          </a:r>
        </a:p>
        <a:p>
          <a:pPr marL="810260" marR="600710" lvl="0" indent="-90170" algn="ctr" defTabSz="914400" eaLnBrk="1" fontAlgn="auto" latinLnBrk="0" hangingPunct="1">
            <a:lnSpc>
              <a:spcPct val="107000"/>
            </a:lnSpc>
            <a:spcBef>
              <a:spcPts val="600"/>
            </a:spcBef>
            <a:spcAft>
              <a:spcPts val="600"/>
            </a:spcAft>
            <a:buClrTx/>
            <a:buSzTx/>
            <a:buFontTx/>
            <a:buNone/>
            <a:tabLst/>
            <a:defRPr/>
          </a:pPr>
          <a:endParaRPr kumimoji="0" lang="en-GB" sz="2800" b="1" i="0" u="none" strike="noStrike" kern="0" cap="none" spc="0" normalizeH="0" baseline="0" noProof="0">
            <a:ln>
              <a:noFill/>
            </a:ln>
            <a:solidFill>
              <a:schemeClr val="accent1"/>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9</xdr:col>
      <xdr:colOff>1106964</xdr:colOff>
      <xdr:row>0</xdr:row>
      <xdr:rowOff>66674</xdr:rowOff>
    </xdr:from>
    <xdr:to>
      <xdr:col>15</xdr:col>
      <xdr:colOff>387077</xdr:colOff>
      <xdr:row>23</xdr:row>
      <xdr:rowOff>104775</xdr:rowOff>
    </xdr:to>
    <xdr:pic>
      <xdr:nvPicPr>
        <xdr:cNvPr id="16" name="ymail_attachmentId20443" descr="70bbc3a1-ae62-45e9-a9c6-e8665ec98842">
          <a:extLst>
            <a:ext uri="{FF2B5EF4-FFF2-40B4-BE49-F238E27FC236}">
              <a16:creationId xmlns:a16="http://schemas.microsoft.com/office/drawing/2014/main" id="{00000000-0008-0000-0000-00001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02902" y="66674"/>
          <a:ext cx="5923800" cy="5133976"/>
        </a:xfrm>
        <a:prstGeom prst="rect">
          <a:avLst/>
        </a:prstGeom>
        <a:noFill/>
        <a:ln>
          <a:noFill/>
        </a:ln>
      </xdr:spPr>
    </xdr:pic>
    <xdr:clientData/>
  </xdr:twoCellAnchor>
  <xdr:twoCellAnchor>
    <xdr:from>
      <xdr:col>3</xdr:col>
      <xdr:colOff>79374</xdr:colOff>
      <xdr:row>11</xdr:row>
      <xdr:rowOff>7938</xdr:rowOff>
    </xdr:from>
    <xdr:to>
      <xdr:col>6</xdr:col>
      <xdr:colOff>396874</xdr:colOff>
      <xdr:row>14</xdr:row>
      <xdr:rowOff>166689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857374" y="2452688"/>
          <a:ext cx="2246313" cy="77787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810260" marR="600710" lvl="0" indent="-90170" algn="ctr" defTabSz="914400" eaLnBrk="1" fontAlgn="auto" latinLnBrk="0" hangingPunct="1">
            <a:lnSpc>
              <a:spcPct val="107000"/>
            </a:lnSpc>
            <a:spcBef>
              <a:spcPts val="600"/>
            </a:spcBef>
            <a:spcAft>
              <a:spcPts val="600"/>
            </a:spcAft>
            <a:buClrTx/>
            <a:buSzTx/>
            <a:buFontTx/>
            <a:buNone/>
            <a:tabLst/>
            <a:defRPr/>
          </a:pPr>
          <a:endParaRPr kumimoji="0" lang="en-GB" sz="2800" b="1" i="0" u="none" strike="noStrike" kern="0" cap="none" spc="0" normalizeH="0" baseline="0" noProof="0">
            <a:ln>
              <a:noFill/>
            </a:ln>
            <a:solidFill>
              <a:schemeClr val="accent1"/>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4</xdr:col>
      <xdr:colOff>46832</xdr:colOff>
      <xdr:row>11</xdr:row>
      <xdr:rowOff>187139</xdr:rowOff>
    </xdr:from>
    <xdr:to>
      <xdr:col>6</xdr:col>
      <xdr:colOff>528423</xdr:colOff>
      <xdr:row>13</xdr:row>
      <xdr:rowOff>187715</xdr:rowOff>
    </xdr:to>
    <xdr:sp macro="[0]!Activatestartmenu" textlink="">
      <xdr:nvSpPr>
        <xdr:cNvPr id="14" name="TextBox 13">
          <a:extLst>
            <a:ext uri="{FF2B5EF4-FFF2-40B4-BE49-F238E27FC236}">
              <a16:creationId xmlns:a16="http://schemas.microsoft.com/office/drawing/2014/main" id="{00000000-0008-0000-0000-00000E000000}"/>
            </a:ext>
          </a:extLst>
        </xdr:cNvPr>
        <xdr:cNvSpPr txBox="1"/>
      </xdr:nvSpPr>
      <xdr:spPr>
        <a:xfrm>
          <a:off x="2463801" y="2711264"/>
          <a:ext cx="1767466" cy="429201"/>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bevelB w="114300" prst="artDeco"/>
          <a:contourClr>
            <a:srgbClr val="FFFFFF"/>
          </a:contourClr>
        </a:sp3d>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baseline="0">
              <a:solidFill>
                <a:schemeClr val="bg1"/>
              </a:solidFill>
              <a:effectLst/>
              <a:latin typeface="Rockwell Light" panose="02040303020102020203" pitchFamily="18" charset="0"/>
              <a:ea typeface="Source Sans Pro" panose="020B0503030403020204" pitchFamily="34" charset="0"/>
              <a:cs typeface="Arial" panose="020B0604020202020204" pitchFamily="34" charset="0"/>
            </a:rPr>
            <a:t>Open  Tool</a:t>
          </a:r>
          <a:endParaRPr lang="en-GB" sz="1600" b="1">
            <a:solidFill>
              <a:schemeClr val="bg1"/>
            </a:solidFill>
            <a:effectLst/>
            <a:latin typeface="Rockwell Light" panose="02040303020102020203" pitchFamily="18" charset="0"/>
            <a:ea typeface="Source Sans Pro" panose="020B0503030403020204" pitchFamily="34" charset="0"/>
          </a:endParaRPr>
        </a:p>
        <a:p>
          <a:endParaRPr lang="en-GB" sz="1100" b="1">
            <a:solidFill>
              <a:schemeClr val="bg1"/>
            </a:solidFill>
          </a:endParaRPr>
        </a:p>
      </xdr:txBody>
    </xdr:sp>
    <xdr:clientData/>
  </xdr:twoCellAnchor>
  <xdr:twoCellAnchor>
    <xdr:from>
      <xdr:col>20</xdr:col>
      <xdr:colOff>0</xdr:colOff>
      <xdr:row>7</xdr:row>
      <xdr:rowOff>0</xdr:rowOff>
    </xdr:from>
    <xdr:to>
      <xdr:col>22</xdr:col>
      <xdr:colOff>29369</xdr:colOff>
      <xdr:row>9</xdr:row>
      <xdr:rowOff>81756</xdr:rowOff>
    </xdr:to>
    <xdr:sp macro="[0]!Protectall" textlink="">
      <xdr:nvSpPr>
        <xdr:cNvPr id="3" name="Rectangle: Rounded Corners 2" descr="Protect all&#10;">
          <a:extLst>
            <a:ext uri="{FF2B5EF4-FFF2-40B4-BE49-F238E27FC236}">
              <a16:creationId xmlns:a16="http://schemas.microsoft.com/office/drawing/2014/main" id="{00000000-0008-0000-0000-000003000000}"/>
            </a:ext>
          </a:extLst>
        </xdr:cNvPr>
        <xdr:cNvSpPr/>
      </xdr:nvSpPr>
      <xdr:spPr>
        <a:xfrm>
          <a:off x="15462250" y="1619250"/>
          <a:ext cx="1315244" cy="4945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bg1"/>
              </a:solidFill>
            </a:rPr>
            <a:t>Protect all</a:t>
          </a:r>
        </a:p>
        <a:p>
          <a:pPr algn="ctr"/>
          <a:endParaRPr lang="en-GB"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55</xdr:row>
      <xdr:rowOff>95250</xdr:rowOff>
    </xdr:from>
    <xdr:to>
      <xdr:col>7</xdr:col>
      <xdr:colOff>31750</xdr:colOff>
      <xdr:row>64</xdr:row>
      <xdr:rowOff>577849</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14350" y="10712450"/>
          <a:ext cx="4800600" cy="3771899"/>
        </a:xfrm>
        <a:prstGeom prst="rect">
          <a:avLst/>
        </a:prstGeom>
        <a:solidFill>
          <a:schemeClr val="bg2"/>
        </a:solidFill>
        <a:ln w="349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a:solidFill>
                <a:schemeClr val="accent1"/>
              </a:solidFill>
              <a:latin typeface="Rockwell Light" panose="02040303020102020203" pitchFamily="18" charset="0"/>
            </a:rPr>
            <a:t>Off-site baseline map</a:t>
          </a:r>
        </a:p>
      </xdr:txBody>
    </xdr:sp>
    <xdr:clientData/>
  </xdr:twoCellAnchor>
  <xdr:twoCellAnchor>
    <xdr:from>
      <xdr:col>7</xdr:col>
      <xdr:colOff>514350</xdr:colOff>
      <xdr:row>55</xdr:row>
      <xdr:rowOff>95250</xdr:rowOff>
    </xdr:from>
    <xdr:to>
      <xdr:col>15</xdr:col>
      <xdr:colOff>6350</xdr:colOff>
      <xdr:row>64</xdr:row>
      <xdr:rowOff>577850</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5797550" y="10712450"/>
          <a:ext cx="4762500" cy="3771900"/>
        </a:xfrm>
        <a:prstGeom prst="rect">
          <a:avLst/>
        </a:prstGeom>
        <a:solidFill>
          <a:schemeClr val="bg2"/>
        </a:solidFill>
        <a:ln w="349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a:solidFill>
                <a:schemeClr val="accent1"/>
              </a:solidFill>
              <a:latin typeface="Rockwell Light" panose="02040303020102020203" pitchFamily="18" charset="0"/>
            </a:rPr>
            <a:t>Off-site</a:t>
          </a:r>
          <a:r>
            <a:rPr lang="en-GB" sz="2000" baseline="0">
              <a:solidFill>
                <a:schemeClr val="accent1"/>
              </a:solidFill>
              <a:latin typeface="Rockwell Light" panose="02040303020102020203" pitchFamily="18" charset="0"/>
            </a:rPr>
            <a:t> p</a:t>
          </a:r>
          <a:r>
            <a:rPr lang="en-GB" sz="2000">
              <a:solidFill>
                <a:schemeClr val="accent1"/>
              </a:solidFill>
              <a:latin typeface="Rockwell Light" panose="02040303020102020203" pitchFamily="18" charset="0"/>
            </a:rPr>
            <a:t>ost intervention map</a:t>
          </a:r>
        </a:p>
      </xdr:txBody>
    </xdr:sp>
    <xdr:clientData/>
  </xdr:twoCellAnchor>
  <xdr:twoCellAnchor>
    <xdr:from>
      <xdr:col>7</xdr:col>
      <xdr:colOff>514349</xdr:colOff>
      <xdr:row>35</xdr:row>
      <xdr:rowOff>161925</xdr:rowOff>
    </xdr:from>
    <xdr:to>
      <xdr:col>14</xdr:col>
      <xdr:colOff>361949</xdr:colOff>
      <xdr:row>53</xdr:row>
      <xdr:rowOff>161925</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5553074" y="6724650"/>
          <a:ext cx="4505325" cy="3781425"/>
        </a:xfrm>
        <a:prstGeom prst="rect">
          <a:avLst/>
        </a:prstGeom>
        <a:solidFill>
          <a:schemeClr val="bg2"/>
        </a:solidFill>
        <a:ln w="349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a:solidFill>
                <a:sysClr val="windowText" lastClr="000000"/>
              </a:solidFill>
              <a:latin typeface="Rockwell Light" panose="02040303020102020203" pitchFamily="18" charset="0"/>
            </a:rPr>
            <a:t>On-site</a:t>
          </a:r>
          <a:r>
            <a:rPr lang="en-GB" sz="2000" baseline="0">
              <a:solidFill>
                <a:sysClr val="windowText" lastClr="000000"/>
              </a:solidFill>
              <a:latin typeface="Rockwell Light" panose="02040303020102020203" pitchFamily="18" charset="0"/>
            </a:rPr>
            <a:t> p</a:t>
          </a:r>
          <a:r>
            <a:rPr lang="en-GB" sz="2000">
              <a:solidFill>
                <a:sysClr val="windowText" lastClr="000000"/>
              </a:solidFill>
              <a:latin typeface="Rockwell Light" panose="02040303020102020203" pitchFamily="18" charset="0"/>
            </a:rPr>
            <a:t>ost intervention</a:t>
          </a:r>
          <a:r>
            <a:rPr lang="en-GB" sz="2000" baseline="0">
              <a:solidFill>
                <a:sysClr val="windowText" lastClr="000000"/>
              </a:solidFill>
              <a:latin typeface="Rockwell Light" panose="02040303020102020203" pitchFamily="18" charset="0"/>
            </a:rPr>
            <a:t> </a:t>
          </a:r>
          <a:r>
            <a:rPr lang="en-GB" sz="2000">
              <a:solidFill>
                <a:sysClr val="windowText" lastClr="000000"/>
              </a:solidFill>
              <a:latin typeface="Rockwell Light" panose="02040303020102020203" pitchFamily="18" charset="0"/>
            </a:rPr>
            <a:t>map</a:t>
          </a:r>
        </a:p>
      </xdr:txBody>
    </xdr:sp>
    <xdr:clientData/>
  </xdr:twoCellAnchor>
  <xdr:twoCellAnchor>
    <xdr:from>
      <xdr:col>2</xdr:col>
      <xdr:colOff>190500</xdr:colOff>
      <xdr:row>35</xdr:row>
      <xdr:rowOff>161925</xdr:rowOff>
    </xdr:from>
    <xdr:to>
      <xdr:col>7</xdr:col>
      <xdr:colOff>9525</xdr:colOff>
      <xdr:row>53</xdr:row>
      <xdr:rowOff>161925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476250" y="6724650"/>
          <a:ext cx="4572000" cy="3781425"/>
        </a:xfrm>
        <a:prstGeom prst="rect">
          <a:avLst/>
        </a:prstGeom>
        <a:solidFill>
          <a:schemeClr val="bg2"/>
        </a:solidFill>
        <a:ln w="349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a:solidFill>
                <a:sysClr val="windowText" lastClr="000000"/>
              </a:solidFill>
              <a:latin typeface="Rockwell Light" panose="02040303020102020203" pitchFamily="18" charset="0"/>
            </a:rPr>
            <a:t>On-site baseline</a:t>
          </a:r>
          <a:r>
            <a:rPr lang="en-GB" sz="2000" baseline="0">
              <a:solidFill>
                <a:sysClr val="windowText" lastClr="000000"/>
              </a:solidFill>
              <a:latin typeface="Rockwell Light" panose="02040303020102020203" pitchFamily="18" charset="0"/>
            </a:rPr>
            <a:t> map</a:t>
          </a:r>
          <a:endParaRPr lang="en-GB" sz="2000">
            <a:solidFill>
              <a:sysClr val="windowText" lastClr="000000"/>
            </a:solidFill>
            <a:latin typeface="Rockwell Light" panose="02040303020102020203" pitchFamily="18" charset="0"/>
          </a:endParaRPr>
        </a:p>
      </xdr:txBody>
    </xdr:sp>
    <xdr:clientData/>
  </xdr:twoCellAnchor>
  <xdr:twoCellAnchor>
    <xdr:from>
      <xdr:col>12</xdr:col>
      <xdr:colOff>15239</xdr:colOff>
      <xdr:row>11</xdr:row>
      <xdr:rowOff>270509</xdr:rowOff>
    </xdr:from>
    <xdr:to>
      <xdr:col>16</xdr:col>
      <xdr:colOff>216944</xdr:colOff>
      <xdr:row>17</xdr:row>
      <xdr:rowOff>27509</xdr:rowOff>
    </xdr:to>
    <xdr:sp macro="[0]!ActivateSelectWorksheet" textlink="">
      <xdr:nvSpPr>
        <xdr:cNvPr id="4" name="TextBox 3">
          <a:extLst>
            <a:ext uri="{FF2B5EF4-FFF2-40B4-BE49-F238E27FC236}">
              <a16:creationId xmlns:a16="http://schemas.microsoft.com/office/drawing/2014/main" id="{00000000-0008-0000-0100-000004000000}"/>
            </a:ext>
          </a:extLst>
        </xdr:cNvPr>
        <xdr:cNvSpPr txBox="1"/>
      </xdr:nvSpPr>
      <xdr:spPr>
        <a:xfrm>
          <a:off x="9243059" y="3112769"/>
          <a:ext cx="1794285" cy="1159080"/>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bg1"/>
              </a:solidFill>
              <a:latin typeface="Rockwell Light" panose="02040303020102020203" pitchFamily="18" charset="0"/>
            </a:rPr>
            <a:t>Main menu </a:t>
          </a:r>
          <a:endParaRPr lang="en-GB" sz="1400" b="1">
            <a:solidFill>
              <a:schemeClr val="bg1"/>
            </a:solidFill>
            <a:latin typeface="Rockwell Light" panose="02040303020102020203" pitchFamily="18" charset="0"/>
          </a:endParaRPr>
        </a:p>
      </xdr:txBody>
    </xdr:sp>
    <xdr:clientData/>
  </xdr:twoCellAnchor>
  <xdr:twoCellAnchor>
    <xdr:from>
      <xdr:col>2</xdr:col>
      <xdr:colOff>85726</xdr:colOff>
      <xdr:row>0</xdr:row>
      <xdr:rowOff>114300</xdr:rowOff>
    </xdr:from>
    <xdr:to>
      <xdr:col>16</xdr:col>
      <xdr:colOff>266701</xdr:colOff>
      <xdr:row>6</xdr:row>
      <xdr:rowOff>76200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371476" y="114300"/>
          <a:ext cx="10582275" cy="1181100"/>
        </a:xfrm>
        <a:prstGeom prst="roundRect">
          <a:avLst/>
        </a:prstGeom>
        <a:solidFill>
          <a:srgbClr val="E0DCD3"/>
        </a:solidFill>
        <a:ln w="9525" cmpd="sng">
          <a:solidFill>
            <a:schemeClr val="lt1">
              <a:shade val="50000"/>
            </a:schemeClr>
          </a:solidFill>
        </a:ln>
        <a:effectLst>
          <a:innerShdw blurRad="25400" dist="393700" dir="2160000">
            <a:prstClr val="black">
              <a:alpha val="47000"/>
            </a:prstClr>
          </a:innerShdw>
        </a:effectLst>
        <a:scene3d>
          <a:camera prst="orthographicFront"/>
          <a:lightRig rig="threePt" dir="t"/>
        </a:scene3d>
        <a:sp3d contourW="25400">
          <a:bevelT w="114300" prst="artDeco"/>
          <a:bevelB w="0" h="69850" prst="artDeco"/>
          <a:contourClr>
            <a:schemeClr val="bg1"/>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800" b="0" i="0" u="none" strike="noStrike">
              <a:solidFill>
                <a:sysClr val="windowText" lastClr="000000"/>
              </a:solidFill>
              <a:effectLst/>
              <a:latin typeface="Rockwell Light" panose="02040303020102020203" pitchFamily="18" charset="0"/>
              <a:ea typeface="Source Sans Pro" panose="020B0503030403020204" pitchFamily="34" charset="0"/>
              <a:cs typeface="+mn-cs"/>
            </a:rPr>
            <a:t>The Statutory Biodiversity Metric </a:t>
          </a:r>
        </a:p>
        <a:p>
          <a:pPr algn="ctr"/>
          <a:r>
            <a:rPr lang="en-GB" sz="2800" b="0" i="0" u="none" strike="noStrike">
              <a:solidFill>
                <a:sysClr val="windowText" lastClr="000000"/>
              </a:solidFill>
              <a:effectLst/>
              <a:latin typeface="Rockwell Light" panose="02040303020102020203" pitchFamily="18" charset="0"/>
              <a:ea typeface="Source Sans Pro" panose="020B0503030403020204" pitchFamily="34" charset="0"/>
              <a:cs typeface="+mn-cs"/>
            </a:rPr>
            <a:t>Start</a:t>
          </a:r>
          <a:r>
            <a:rPr lang="en-GB" sz="2800" b="0" i="0" u="none" strike="noStrike" baseline="0">
              <a:solidFill>
                <a:sysClr val="windowText" lastClr="000000"/>
              </a:solidFill>
              <a:effectLst/>
              <a:latin typeface="Rockwell Light" panose="02040303020102020203" pitchFamily="18" charset="0"/>
              <a:ea typeface="Source Sans Pro" panose="020B0503030403020204" pitchFamily="34" charset="0"/>
              <a:cs typeface="+mn-cs"/>
            </a:rPr>
            <a:t> page</a:t>
          </a:r>
          <a:r>
            <a:rPr lang="en-GB" sz="2800" b="0">
              <a:solidFill>
                <a:sysClr val="windowText" lastClr="000000"/>
              </a:solidFill>
              <a:latin typeface="Rockwell Light" panose="02040303020102020203" pitchFamily="18" charset="0"/>
              <a:ea typeface="Source Sans Pro" panose="020B0503030403020204" pitchFamily="34" charset="0"/>
            </a:rPr>
            <a:t> </a:t>
          </a:r>
        </a:p>
      </xdr:txBody>
    </xdr:sp>
    <xdr:clientData/>
  </xdr:twoCellAnchor>
  <xdr:twoCellAnchor>
    <xdr:from>
      <xdr:col>12</xdr:col>
      <xdr:colOff>38101</xdr:colOff>
      <xdr:row>7</xdr:row>
      <xdr:rowOff>295274</xdr:rowOff>
    </xdr:from>
    <xdr:to>
      <xdr:col>16</xdr:col>
      <xdr:colOff>239806</xdr:colOff>
      <xdr:row>11</xdr:row>
      <xdr:rowOff>96089</xdr:rowOff>
    </xdr:to>
    <xdr:sp macro="[0]!ActivateInstructions" textlink="">
      <xdr:nvSpPr>
        <xdr:cNvPr id="8" name="Rounded Rectangle 7">
          <a:extLst>
            <a:ext uri="{FF2B5EF4-FFF2-40B4-BE49-F238E27FC236}">
              <a16:creationId xmlns:a16="http://schemas.microsoft.com/office/drawing/2014/main" id="{00000000-0008-0000-0100-000008000000}"/>
            </a:ext>
          </a:extLst>
        </xdr:cNvPr>
        <xdr:cNvSpPr/>
      </xdr:nvSpPr>
      <xdr:spPr>
        <a:xfrm>
          <a:off x="9265921" y="1712594"/>
          <a:ext cx="1794285" cy="997155"/>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Instructions</a:t>
          </a:r>
        </a:p>
      </xdr:txBody>
    </xdr:sp>
    <xdr:clientData/>
  </xdr:twoCellAnchor>
  <xdr:twoCellAnchor>
    <xdr:from>
      <xdr:col>12</xdr:col>
      <xdr:colOff>40004</xdr:colOff>
      <xdr:row>17</xdr:row>
      <xdr:rowOff>222885</xdr:rowOff>
    </xdr:from>
    <xdr:to>
      <xdr:col>16</xdr:col>
      <xdr:colOff>279400</xdr:colOff>
      <xdr:row>22</xdr:row>
      <xdr:rowOff>311150</xdr:rowOff>
    </xdr:to>
    <xdr:sp macro="[0]!ActivateResults" textlink="">
      <xdr:nvSpPr>
        <xdr:cNvPr id="9" name="Rounded Rectangle 8">
          <a:extLst>
            <a:ext uri="{FF2B5EF4-FFF2-40B4-BE49-F238E27FC236}">
              <a16:creationId xmlns:a16="http://schemas.microsoft.com/office/drawing/2014/main" id="{00000000-0008-0000-0100-000009000000}"/>
            </a:ext>
          </a:extLst>
        </xdr:cNvPr>
        <xdr:cNvSpPr/>
      </xdr:nvSpPr>
      <xdr:spPr>
        <a:xfrm>
          <a:off x="9787254" y="4509135"/>
          <a:ext cx="1871346" cy="1504315"/>
        </a:xfrm>
        <a:prstGeom prst="roundRect">
          <a:avLst/>
        </a:prstGeom>
        <a:solidFill>
          <a:schemeClr val="accent3"/>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accent1"/>
              </a:solidFill>
              <a:latin typeface="Rockwell Light" panose="02040303020102020203" pitchFamily="18" charset="0"/>
            </a:rPr>
            <a:t>Results</a:t>
          </a:r>
        </a:p>
      </xdr:txBody>
    </xdr:sp>
    <xdr:clientData/>
  </xdr:twoCellAnchor>
  <xdr:twoCellAnchor>
    <xdr:from>
      <xdr:col>12</xdr:col>
      <xdr:colOff>55247</xdr:colOff>
      <xdr:row>33</xdr:row>
      <xdr:rowOff>43816</xdr:rowOff>
    </xdr:from>
    <xdr:to>
      <xdr:col>16</xdr:col>
      <xdr:colOff>200025</xdr:colOff>
      <xdr:row>35</xdr:row>
      <xdr:rowOff>0</xdr:rowOff>
    </xdr:to>
    <xdr:sp macro="[0]!HideSheetReset1" textlink="">
      <xdr:nvSpPr>
        <xdr:cNvPr id="14" name="Rounded Rectangle 13">
          <a:extLst>
            <a:ext uri="{FF2B5EF4-FFF2-40B4-BE49-F238E27FC236}">
              <a16:creationId xmlns:a16="http://schemas.microsoft.com/office/drawing/2014/main" id="{00000000-0008-0000-0100-00000E000000}"/>
            </a:ext>
          </a:extLst>
        </xdr:cNvPr>
        <xdr:cNvSpPr/>
      </xdr:nvSpPr>
      <xdr:spPr>
        <a:xfrm>
          <a:off x="9284972" y="5987416"/>
          <a:ext cx="1744978" cy="375284"/>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Reset</a:t>
          </a:r>
          <a:r>
            <a:rPr lang="en-GB" sz="1400" b="1" baseline="0">
              <a:solidFill>
                <a:schemeClr val="bg1"/>
              </a:solidFill>
              <a:latin typeface="Rockwell Light" panose="02040303020102020203" pitchFamily="18" charset="0"/>
            </a:rPr>
            <a:t> view</a:t>
          </a:r>
          <a:endParaRPr lang="en-GB" sz="1400" b="1">
            <a:solidFill>
              <a:schemeClr val="bg1"/>
            </a:solidFill>
            <a:latin typeface="Rockwell Light" panose="02040303020102020203" pitchFamily="18" charset="0"/>
          </a:endParaRPr>
        </a:p>
      </xdr:txBody>
    </xdr:sp>
    <xdr:clientData/>
  </xdr:twoCellAnchor>
  <xdr:twoCellAnchor>
    <xdr:from>
      <xdr:col>12</xdr:col>
      <xdr:colOff>66675</xdr:colOff>
      <xdr:row>28</xdr:row>
      <xdr:rowOff>163830</xdr:rowOff>
    </xdr:from>
    <xdr:to>
      <xdr:col>16</xdr:col>
      <xdr:colOff>180974</xdr:colOff>
      <xdr:row>32</xdr:row>
      <xdr:rowOff>123825</xdr:rowOff>
    </xdr:to>
    <xdr:sp macro="[0]!UnhideSheetviewall" textlink="">
      <xdr:nvSpPr>
        <xdr:cNvPr id="11" name="Rounded Rectangle 10">
          <a:extLst>
            <a:ext uri="{FF2B5EF4-FFF2-40B4-BE49-F238E27FC236}">
              <a16:creationId xmlns:a16="http://schemas.microsoft.com/office/drawing/2014/main" id="{00000000-0008-0000-0100-00000B000000}"/>
            </a:ext>
          </a:extLst>
        </xdr:cNvPr>
        <xdr:cNvSpPr/>
      </xdr:nvSpPr>
      <xdr:spPr>
        <a:xfrm>
          <a:off x="9296400" y="5478780"/>
          <a:ext cx="1714499" cy="379095"/>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baseline="0">
              <a:solidFill>
                <a:schemeClr val="bg1"/>
              </a:solidFill>
              <a:latin typeface="Rockwell Light" panose="02040303020102020203" pitchFamily="18" charset="0"/>
            </a:rPr>
            <a:t>View all</a:t>
          </a:r>
          <a:endParaRPr lang="en-GB" sz="1400" b="1">
            <a:solidFill>
              <a:schemeClr val="bg1"/>
            </a:solidFill>
            <a:latin typeface="Rockwell Light" panose="02040303020102020203" pitchFamily="18" charset="0"/>
          </a:endParaRPr>
        </a:p>
      </xdr:txBody>
    </xdr:sp>
    <xdr:clientData/>
  </xdr:twoCellAnchor>
  <xdr:twoCellAnchor>
    <xdr:from>
      <xdr:col>5</xdr:col>
      <xdr:colOff>647700</xdr:colOff>
      <xdr:row>36</xdr:row>
      <xdr:rowOff>57149</xdr:rowOff>
    </xdr:from>
    <xdr:to>
      <xdr:col>6</xdr:col>
      <xdr:colOff>476250</xdr:colOff>
      <xdr:row>37</xdr:row>
      <xdr:rowOff>142875</xdr:rowOff>
    </xdr:to>
    <xdr:sp macro="[0]!InsertPicUsingShapeAddPictureFunctionB" textlink="">
      <xdr:nvSpPr>
        <xdr:cNvPr id="10" name="Rounded Rectangle 13">
          <a:extLst>
            <a:ext uri="{FF2B5EF4-FFF2-40B4-BE49-F238E27FC236}">
              <a16:creationId xmlns:a16="http://schemas.microsoft.com/office/drawing/2014/main" id="{00000000-0008-0000-0100-00000A000000}"/>
            </a:ext>
          </a:extLst>
        </xdr:cNvPr>
        <xdr:cNvSpPr/>
      </xdr:nvSpPr>
      <xdr:spPr>
        <a:xfrm>
          <a:off x="4095750" y="6829424"/>
          <a:ext cx="809625" cy="390526"/>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Insert</a:t>
          </a:r>
        </a:p>
      </xdr:txBody>
    </xdr:sp>
    <xdr:clientData/>
  </xdr:twoCellAnchor>
  <xdr:twoCellAnchor>
    <xdr:from>
      <xdr:col>12</xdr:col>
      <xdr:colOff>28575</xdr:colOff>
      <xdr:row>36</xdr:row>
      <xdr:rowOff>38100</xdr:rowOff>
    </xdr:from>
    <xdr:to>
      <xdr:col>14</xdr:col>
      <xdr:colOff>238125</xdr:colOff>
      <xdr:row>37</xdr:row>
      <xdr:rowOff>133350</xdr:rowOff>
    </xdr:to>
    <xdr:sp macro="[0]!InsertPicUsingShapeAddPictureFunctionPD" textlink="">
      <xdr:nvSpPr>
        <xdr:cNvPr id="12" name="Rounded Rectangle 13">
          <a:extLst>
            <a:ext uri="{FF2B5EF4-FFF2-40B4-BE49-F238E27FC236}">
              <a16:creationId xmlns:a16="http://schemas.microsoft.com/office/drawing/2014/main" id="{00000000-0008-0000-0100-00000C000000}"/>
            </a:ext>
          </a:extLst>
        </xdr:cNvPr>
        <xdr:cNvSpPr/>
      </xdr:nvSpPr>
      <xdr:spPr>
        <a:xfrm>
          <a:off x="9163050" y="6810375"/>
          <a:ext cx="771525" cy="4000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Insert </a:t>
          </a:r>
        </a:p>
      </xdr:txBody>
    </xdr:sp>
    <xdr:clientData/>
  </xdr:twoCellAnchor>
  <xdr:twoCellAnchor>
    <xdr:from>
      <xdr:col>5</xdr:col>
      <xdr:colOff>619125</xdr:colOff>
      <xdr:row>55</xdr:row>
      <xdr:rowOff>180974</xdr:rowOff>
    </xdr:from>
    <xdr:to>
      <xdr:col>6</xdr:col>
      <xdr:colOff>447675</xdr:colOff>
      <xdr:row>58</xdr:row>
      <xdr:rowOff>28575</xdr:rowOff>
    </xdr:to>
    <xdr:sp macro="[0]!InsertPicUsingShapeAddPictureFunctionBOS" textlink="">
      <xdr:nvSpPr>
        <xdr:cNvPr id="23" name="Rounded Rectangle 13">
          <a:extLst>
            <a:ext uri="{FF2B5EF4-FFF2-40B4-BE49-F238E27FC236}">
              <a16:creationId xmlns:a16="http://schemas.microsoft.com/office/drawing/2014/main" id="{00000000-0008-0000-0100-000017000000}"/>
            </a:ext>
          </a:extLst>
        </xdr:cNvPr>
        <xdr:cNvSpPr/>
      </xdr:nvSpPr>
      <xdr:spPr>
        <a:xfrm>
          <a:off x="4067175" y="10906124"/>
          <a:ext cx="809625" cy="390526"/>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Insert</a:t>
          </a:r>
        </a:p>
      </xdr:txBody>
    </xdr:sp>
    <xdr:clientData/>
  </xdr:twoCellAnchor>
  <xdr:twoCellAnchor>
    <xdr:from>
      <xdr:col>11</xdr:col>
      <xdr:colOff>76200</xdr:colOff>
      <xdr:row>55</xdr:row>
      <xdr:rowOff>180974</xdr:rowOff>
    </xdr:from>
    <xdr:to>
      <xdr:col>14</xdr:col>
      <xdr:colOff>219075</xdr:colOff>
      <xdr:row>58</xdr:row>
      <xdr:rowOff>28575</xdr:rowOff>
    </xdr:to>
    <xdr:sp macro="[0]!InsertPicUsingShapeAddPictureFunctionPDOS" textlink="">
      <xdr:nvSpPr>
        <xdr:cNvPr id="34" name="Rounded Rectangle 13">
          <a:extLst>
            <a:ext uri="{FF2B5EF4-FFF2-40B4-BE49-F238E27FC236}">
              <a16:creationId xmlns:a16="http://schemas.microsoft.com/office/drawing/2014/main" id="{00000000-0008-0000-0100-000022000000}"/>
            </a:ext>
          </a:extLst>
        </xdr:cNvPr>
        <xdr:cNvSpPr/>
      </xdr:nvSpPr>
      <xdr:spPr>
        <a:xfrm>
          <a:off x="9105900" y="10906124"/>
          <a:ext cx="809625" cy="390526"/>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Insert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107526</xdr:colOff>
      <xdr:row>9</xdr:row>
      <xdr:rowOff>127846</xdr:rowOff>
    </xdr:from>
    <xdr:to>
      <xdr:col>4</xdr:col>
      <xdr:colOff>20108</xdr:colOff>
      <xdr:row>13</xdr:row>
      <xdr:rowOff>185496</xdr:rowOff>
    </xdr:to>
    <xdr:sp macro="[0]!returnstartInstructions" textlink="">
      <xdr:nvSpPr>
        <xdr:cNvPr id="14" name="Rounded Rectangle 13">
          <a:extLst>
            <a:ext uri="{FF2B5EF4-FFF2-40B4-BE49-F238E27FC236}">
              <a16:creationId xmlns:a16="http://schemas.microsoft.com/office/drawing/2014/main" id="{00000000-0008-0000-0200-00000E000000}"/>
            </a:ext>
          </a:extLst>
        </xdr:cNvPr>
        <xdr:cNvSpPr/>
      </xdr:nvSpPr>
      <xdr:spPr>
        <a:xfrm>
          <a:off x="107526" y="1956646"/>
          <a:ext cx="1627082" cy="105587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latin typeface="Rockwell Light" panose="02040303020102020203" pitchFamily="18" charset="0"/>
            </a:rPr>
            <a:t>Start page</a:t>
          </a:r>
        </a:p>
      </xdr:txBody>
    </xdr:sp>
    <xdr:clientData/>
  </xdr:twoCellAnchor>
  <xdr:twoCellAnchor>
    <xdr:from>
      <xdr:col>0</xdr:col>
      <xdr:colOff>106680</xdr:colOff>
      <xdr:row>14</xdr:row>
      <xdr:rowOff>129540</xdr:rowOff>
    </xdr:from>
    <xdr:to>
      <xdr:col>3</xdr:col>
      <xdr:colOff>1272540</xdr:colOff>
      <xdr:row>19</xdr:row>
      <xdr:rowOff>53340</xdr:rowOff>
    </xdr:to>
    <xdr:sp macro="[0]!ActivateSelectWorksheet" textlink="">
      <xdr:nvSpPr>
        <xdr:cNvPr id="35" name="TextBox 34">
          <a:extLst>
            <a:ext uri="{FF2B5EF4-FFF2-40B4-BE49-F238E27FC236}">
              <a16:creationId xmlns:a16="http://schemas.microsoft.com/office/drawing/2014/main" id="{00000000-0008-0000-0200-000023000000}"/>
            </a:ext>
          </a:extLst>
        </xdr:cNvPr>
        <xdr:cNvSpPr txBox="1"/>
      </xdr:nvSpPr>
      <xdr:spPr>
        <a:xfrm>
          <a:off x="106680" y="3162300"/>
          <a:ext cx="1600200" cy="952500"/>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bg1"/>
              </a:solidFill>
              <a:latin typeface="Rockwell Light" panose="02040303020102020203" pitchFamily="18" charset="0"/>
            </a:rPr>
            <a:t>Main menu </a:t>
          </a:r>
          <a:endParaRPr lang="en-GB" sz="1400" b="1">
            <a:solidFill>
              <a:schemeClr val="bg1"/>
            </a:solidFill>
            <a:latin typeface="Rockwell Light" panose="02040303020102020203" pitchFamily="18" charset="0"/>
          </a:endParaRPr>
        </a:p>
      </xdr:txBody>
    </xdr:sp>
    <xdr:clientData/>
  </xdr:twoCellAnchor>
  <xdr:twoCellAnchor>
    <xdr:from>
      <xdr:col>3</xdr:col>
      <xdr:colOff>0</xdr:colOff>
      <xdr:row>2</xdr:row>
      <xdr:rowOff>0</xdr:rowOff>
    </xdr:from>
    <xdr:to>
      <xdr:col>16</xdr:col>
      <xdr:colOff>495300</xdr:colOff>
      <xdr:row>7</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428625" y="400050"/>
          <a:ext cx="10582275" cy="1181100"/>
        </a:xfrm>
        <a:prstGeom prst="roundRect">
          <a:avLst/>
        </a:prstGeom>
        <a:solidFill>
          <a:srgbClr val="E0DCD3"/>
        </a:solidFill>
        <a:ln w="9525" cmpd="sng">
          <a:solidFill>
            <a:schemeClr val="lt1">
              <a:shade val="50000"/>
            </a:schemeClr>
          </a:solidFill>
        </a:ln>
        <a:effectLst>
          <a:innerShdw blurRad="25400" dist="393700" dir="2160000">
            <a:prstClr val="black">
              <a:alpha val="47000"/>
            </a:prstClr>
          </a:innerShdw>
        </a:effectLst>
        <a:scene3d>
          <a:camera prst="orthographicFront"/>
          <a:lightRig rig="threePt" dir="t"/>
        </a:scene3d>
        <a:sp3d contourW="25400">
          <a:bevelT w="114300" prst="artDeco"/>
          <a:bevelB w="0" h="69850" prst="artDeco"/>
          <a:contourClr>
            <a:schemeClr val="bg1"/>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800" b="0" i="0" u="none" strike="noStrike">
              <a:solidFill>
                <a:schemeClr val="accent1"/>
              </a:solidFill>
              <a:effectLst/>
              <a:latin typeface="Rockwell Light" panose="02040303020102020203" pitchFamily="18" charset="0"/>
              <a:ea typeface="Source Sans Pro" panose="020B0503030403020204" pitchFamily="34" charset="0"/>
              <a:cs typeface="+mn-cs"/>
            </a:rPr>
            <a:t>The Statutory Biodiversity Metric</a:t>
          </a:r>
          <a:br>
            <a:rPr lang="en-GB" sz="2800" b="0" i="0" u="none" strike="noStrike">
              <a:solidFill>
                <a:schemeClr val="accent1"/>
              </a:solidFill>
              <a:effectLst/>
              <a:latin typeface="Rockwell Light" panose="02040303020102020203" pitchFamily="18" charset="0"/>
              <a:ea typeface="Source Sans Pro" panose="020B0503030403020204" pitchFamily="34" charset="0"/>
              <a:cs typeface="+mn-cs"/>
            </a:rPr>
          </a:br>
          <a:r>
            <a:rPr lang="en-GB" sz="2800" b="0" i="0" u="none" strike="noStrike">
              <a:solidFill>
                <a:schemeClr val="accent1"/>
              </a:solidFill>
              <a:effectLst/>
              <a:latin typeface="Rockwell Light" panose="02040303020102020203" pitchFamily="18" charset="0"/>
              <a:ea typeface="Source Sans Pro" panose="020B0503030403020204" pitchFamily="34" charset="0"/>
              <a:cs typeface="+mn-cs"/>
            </a:rPr>
            <a:t>Instructions</a:t>
          </a:r>
          <a:endParaRPr lang="en-GB" sz="2800" b="0">
            <a:solidFill>
              <a:schemeClr val="accent1"/>
            </a:solidFill>
            <a:latin typeface="Rockwell Light" panose="02040303020102020203" pitchFamily="18" charset="0"/>
            <a:ea typeface="Source Sans Pro" panose="020B0503030403020204" pitchFamily="34" charset="0"/>
          </a:endParaRPr>
        </a:p>
      </xdr:txBody>
    </xdr:sp>
    <xdr:clientData/>
  </xdr:twoCellAnchor>
  <xdr:twoCellAnchor>
    <xdr:from>
      <xdr:col>5</xdr:col>
      <xdr:colOff>590550</xdr:colOff>
      <xdr:row>8</xdr:row>
      <xdr:rowOff>190500</xdr:rowOff>
    </xdr:from>
    <xdr:to>
      <xdr:col>15</xdr:col>
      <xdr:colOff>19050</xdr:colOff>
      <xdr:row>10</xdr:row>
      <xdr:rowOff>57150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2876550" y="1838325"/>
          <a:ext cx="5715000" cy="457200"/>
        </a:xfrm>
        <a:prstGeom prst="roundRect">
          <a:avLst/>
        </a:prstGeom>
        <a:solidFill>
          <a:srgbClr val="E0DCD3"/>
        </a:solidFill>
        <a:ln w="9525" cmpd="sng">
          <a:solidFill>
            <a:schemeClr val="lt1">
              <a:shade val="50000"/>
            </a:schemeClr>
          </a:solidFill>
        </a:ln>
        <a:effectLst>
          <a:innerShdw blurRad="25400" dist="393700" dir="2160000">
            <a:prstClr val="black">
              <a:alpha val="47000"/>
            </a:prstClr>
          </a:innerShdw>
        </a:effectLst>
        <a:scene3d>
          <a:camera prst="orthographicFront"/>
          <a:lightRig rig="threePt" dir="t"/>
        </a:scene3d>
        <a:sp3d contourW="25400">
          <a:bevelT w="114300" prst="artDeco"/>
          <a:bevelB w="0" h="69850" prst="artDeco"/>
          <a:contourClr>
            <a:schemeClr val="bg1"/>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800" b="0" i="0" u="none" strike="noStrike">
              <a:solidFill>
                <a:schemeClr val="accent1"/>
              </a:solidFill>
              <a:effectLst/>
              <a:latin typeface="Rockwell Light" panose="02040303020102020203" pitchFamily="18" charset="0"/>
              <a:ea typeface="Source Sans Pro" panose="020B0503030403020204" pitchFamily="34" charset="0"/>
              <a:cs typeface="+mn-cs"/>
            </a:rPr>
            <a:t>Double click</a:t>
          </a:r>
          <a:r>
            <a:rPr lang="en-GB" sz="1800" b="0" i="0" u="none" strike="noStrike" baseline="0">
              <a:solidFill>
                <a:schemeClr val="accent1"/>
              </a:solidFill>
              <a:effectLst/>
              <a:latin typeface="Rockwell Light" panose="02040303020102020203" pitchFamily="18" charset="0"/>
              <a:ea typeface="Source Sans Pro" panose="020B0503030403020204" pitchFamily="34" charset="0"/>
              <a:cs typeface="+mn-cs"/>
            </a:rPr>
            <a:t> the front page below to open the file</a:t>
          </a:r>
          <a:endParaRPr lang="en-GB" sz="1800" b="0">
            <a:solidFill>
              <a:schemeClr val="accent1"/>
            </a:solidFill>
            <a:latin typeface="Rockwell Light" panose="02040303020102020203" pitchFamily="18" charset="0"/>
            <a:ea typeface="Source Sans Pro" panose="020B0503030403020204" pitchFamily="34" charset="0"/>
          </a:endParaRPr>
        </a:p>
      </xdr:txBody>
    </xdr:sp>
    <xdr:clientData/>
  </xdr:twoCellAnchor>
  <xdr:twoCellAnchor>
    <xdr:from>
      <xdr:col>0</xdr:col>
      <xdr:colOff>82550</xdr:colOff>
      <xdr:row>19</xdr:row>
      <xdr:rowOff>203200</xdr:rowOff>
    </xdr:from>
    <xdr:to>
      <xdr:col>3</xdr:col>
      <xdr:colOff>1248410</xdr:colOff>
      <xdr:row>24</xdr:row>
      <xdr:rowOff>127000</xdr:rowOff>
    </xdr:to>
    <xdr:sp macro="[0]!ActivateTranslationTool" textlink="">
      <xdr:nvSpPr>
        <xdr:cNvPr id="7" name="TextBox 6">
          <a:extLst>
            <a:ext uri="{FF2B5EF4-FFF2-40B4-BE49-F238E27FC236}">
              <a16:creationId xmlns:a16="http://schemas.microsoft.com/office/drawing/2014/main" id="{00000000-0008-0000-0200-000007000000}"/>
            </a:ext>
          </a:extLst>
        </xdr:cNvPr>
        <xdr:cNvSpPr txBox="1"/>
      </xdr:nvSpPr>
      <xdr:spPr>
        <a:xfrm>
          <a:off x="82550" y="4318000"/>
          <a:ext cx="1623060" cy="971550"/>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bg1"/>
              </a:solidFill>
              <a:latin typeface="Rockwell Light" panose="02040303020102020203" pitchFamily="18" charset="0"/>
            </a:rPr>
            <a:t>Phase 1 - metric habitat translation tool</a:t>
          </a:r>
          <a:endParaRPr lang="en-GB" sz="1400" b="1">
            <a:solidFill>
              <a:schemeClr val="bg1"/>
            </a:solidFill>
            <a:latin typeface="Rockwell Light" panose="020403030201020202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14</xdr:col>
          <xdr:colOff>965200</xdr:colOff>
          <xdr:row>49</xdr:row>
          <xdr:rowOff>57150</xdr:rowOff>
        </xdr:to>
        <xdr:sp macro="" textlink="">
          <xdr:nvSpPr>
            <xdr:cNvPr id="3083" name="Object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53975</xdr:colOff>
      <xdr:row>0</xdr:row>
      <xdr:rowOff>72391</xdr:rowOff>
    </xdr:from>
    <xdr:to>
      <xdr:col>0</xdr:col>
      <xdr:colOff>1100667</xdr:colOff>
      <xdr:row>4</xdr:row>
      <xdr:rowOff>21166</xdr:rowOff>
    </xdr:to>
    <xdr:sp macro="[0]!ActivateResults" textlink="">
      <xdr:nvSpPr>
        <xdr:cNvPr id="2" name="TextBox 1">
          <a:extLst>
            <a:ext uri="{FF2B5EF4-FFF2-40B4-BE49-F238E27FC236}">
              <a16:creationId xmlns:a16="http://schemas.microsoft.com/office/drawing/2014/main" id="{00000000-0008-0000-0B00-000002000000}"/>
            </a:ext>
          </a:extLst>
        </xdr:cNvPr>
        <xdr:cNvSpPr txBox="1"/>
      </xdr:nvSpPr>
      <xdr:spPr>
        <a:xfrm>
          <a:off x="53975" y="72391"/>
          <a:ext cx="1046692" cy="837775"/>
        </a:xfrm>
        <a:prstGeom prst="roundRect">
          <a:avLst/>
        </a:prstGeom>
        <a:solidFill>
          <a:srgbClr val="383745"/>
        </a:solidFill>
        <a:ln w="9525" cmpd="sng">
          <a:solidFill>
            <a:srgbClr val="383745"/>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a:solidFill>
                <a:schemeClr val="bg1"/>
              </a:solidFill>
            </a:rPr>
            <a:t>Return to results</a:t>
          </a:r>
        </a:p>
        <a:p>
          <a:pPr algn="ctr"/>
          <a:r>
            <a:rPr lang="en-GB" sz="1200">
              <a:solidFill>
                <a:schemeClr val="bg1"/>
              </a:solidFill>
            </a:rPr>
            <a:t>menu</a:t>
          </a:r>
        </a:p>
      </xdr:txBody>
    </xdr:sp>
    <xdr:clientData/>
  </xdr:twoCellAnchor>
  <xdr:twoCellAnchor>
    <xdr:from>
      <xdr:col>0</xdr:col>
      <xdr:colOff>0</xdr:colOff>
      <xdr:row>4</xdr:row>
      <xdr:rowOff>201084</xdr:rowOff>
    </xdr:from>
    <xdr:to>
      <xdr:col>0</xdr:col>
      <xdr:colOff>1115786</xdr:colOff>
      <xdr:row>7</xdr:row>
      <xdr:rowOff>204438</xdr:rowOff>
    </xdr:to>
    <xdr:sp macro="[0]!ActivateAreaHabitatTradingSummary" textlink="">
      <xdr:nvSpPr>
        <xdr:cNvPr id="5" name="TextBox 4">
          <a:extLst>
            <a:ext uri="{FF2B5EF4-FFF2-40B4-BE49-F238E27FC236}">
              <a16:creationId xmlns:a16="http://schemas.microsoft.com/office/drawing/2014/main" id="{00000000-0008-0000-0B00-000005000000}"/>
            </a:ext>
          </a:extLst>
        </xdr:cNvPr>
        <xdr:cNvSpPr txBox="1"/>
      </xdr:nvSpPr>
      <xdr:spPr>
        <a:xfrm>
          <a:off x="0" y="1090084"/>
          <a:ext cx="1115786" cy="797104"/>
        </a:xfrm>
        <a:prstGeom prst="roundRect">
          <a:avLst/>
        </a:prstGeom>
        <a:solidFill>
          <a:schemeClr val="accent3"/>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a:solidFill>
                <a:schemeClr val="accent1"/>
              </a:solidFill>
            </a:rPr>
            <a:t>Trading summary Area Habitats</a:t>
          </a:r>
        </a:p>
      </xdr:txBody>
    </xdr:sp>
    <xdr:clientData/>
  </xdr:twoCellAnchor>
  <xdr:twoCellAnchor>
    <xdr:from>
      <xdr:col>0</xdr:col>
      <xdr:colOff>31751</xdr:colOff>
      <xdr:row>8</xdr:row>
      <xdr:rowOff>169333</xdr:rowOff>
    </xdr:from>
    <xdr:to>
      <xdr:col>0</xdr:col>
      <xdr:colOff>1111251</xdr:colOff>
      <xdr:row>11</xdr:row>
      <xdr:rowOff>373771</xdr:rowOff>
    </xdr:to>
    <xdr:sp macro="[0]!ActivateWatercourseTradingSummary" textlink="">
      <xdr:nvSpPr>
        <xdr:cNvPr id="6" name="TextBox 5">
          <a:extLst>
            <a:ext uri="{FF2B5EF4-FFF2-40B4-BE49-F238E27FC236}">
              <a16:creationId xmlns:a16="http://schemas.microsoft.com/office/drawing/2014/main" id="{00000000-0008-0000-0B00-000006000000}"/>
            </a:ext>
          </a:extLst>
        </xdr:cNvPr>
        <xdr:cNvSpPr txBox="1"/>
      </xdr:nvSpPr>
      <xdr:spPr>
        <a:xfrm>
          <a:off x="31751" y="2095500"/>
          <a:ext cx="1079500" cy="797104"/>
        </a:xfrm>
        <a:prstGeom prst="roundRect">
          <a:avLst/>
        </a:prstGeom>
        <a:solidFill>
          <a:schemeClr val="accent3"/>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solidFill>
            </a:rPr>
            <a:t>Trading summary Watercourses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0</xdr:row>
      <xdr:rowOff>72392</xdr:rowOff>
    </xdr:from>
    <xdr:to>
      <xdr:col>0</xdr:col>
      <xdr:colOff>1057275</xdr:colOff>
      <xdr:row>3</xdr:row>
      <xdr:rowOff>161925</xdr:rowOff>
    </xdr:to>
    <xdr:sp macro="[0]!ActivateResults" textlink="">
      <xdr:nvSpPr>
        <xdr:cNvPr id="2" name="TextBox 1">
          <a:extLst>
            <a:ext uri="{FF2B5EF4-FFF2-40B4-BE49-F238E27FC236}">
              <a16:creationId xmlns:a16="http://schemas.microsoft.com/office/drawing/2014/main" id="{00000000-0008-0000-0C00-000002000000}"/>
            </a:ext>
          </a:extLst>
        </xdr:cNvPr>
        <xdr:cNvSpPr txBox="1"/>
      </xdr:nvSpPr>
      <xdr:spPr>
        <a:xfrm>
          <a:off x="85725" y="72392"/>
          <a:ext cx="971550" cy="794383"/>
        </a:xfrm>
        <a:prstGeom prst="roundRect">
          <a:avLst/>
        </a:prstGeom>
        <a:solidFill>
          <a:srgbClr val="383745"/>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a:solidFill>
                <a:schemeClr val="bg1"/>
              </a:solidFill>
            </a:rPr>
            <a:t>Return to results</a:t>
          </a:r>
        </a:p>
        <a:p>
          <a:pPr algn="ctr"/>
          <a:r>
            <a:rPr lang="en-GB" sz="1200">
              <a:solidFill>
                <a:schemeClr val="bg1"/>
              </a:solidFill>
            </a:rPr>
            <a:t>menu</a:t>
          </a:r>
        </a:p>
      </xdr:txBody>
    </xdr:sp>
    <xdr:clientData/>
  </xdr:twoCellAnchor>
  <xdr:twoCellAnchor>
    <xdr:from>
      <xdr:col>0</xdr:col>
      <xdr:colOff>25400</xdr:colOff>
      <xdr:row>4</xdr:row>
      <xdr:rowOff>127000</xdr:rowOff>
    </xdr:from>
    <xdr:to>
      <xdr:col>0</xdr:col>
      <xdr:colOff>1141186</xdr:colOff>
      <xdr:row>7</xdr:row>
      <xdr:rowOff>124004</xdr:rowOff>
    </xdr:to>
    <xdr:sp macro="[0]!ActivateAreaHabitatTradingSummary" textlink="">
      <xdr:nvSpPr>
        <xdr:cNvPr id="4" name="TextBox 3">
          <a:extLst>
            <a:ext uri="{FF2B5EF4-FFF2-40B4-BE49-F238E27FC236}">
              <a16:creationId xmlns:a16="http://schemas.microsoft.com/office/drawing/2014/main" id="{00000000-0008-0000-0C00-000004000000}"/>
            </a:ext>
          </a:extLst>
        </xdr:cNvPr>
        <xdr:cNvSpPr txBox="1"/>
      </xdr:nvSpPr>
      <xdr:spPr>
        <a:xfrm>
          <a:off x="25400" y="1016000"/>
          <a:ext cx="1115786" cy="797104"/>
        </a:xfrm>
        <a:prstGeom prst="roundRect">
          <a:avLst/>
        </a:prstGeom>
        <a:solidFill>
          <a:schemeClr val="accent3"/>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a:solidFill>
                <a:schemeClr val="accent1"/>
              </a:solidFill>
            </a:rPr>
            <a:t>Trading summary Area Habitats</a:t>
          </a:r>
        </a:p>
      </xdr:txBody>
    </xdr:sp>
    <xdr:clientData/>
  </xdr:twoCellAnchor>
  <xdr:twoCellAnchor>
    <xdr:from>
      <xdr:col>0</xdr:col>
      <xdr:colOff>25400</xdr:colOff>
      <xdr:row>8</xdr:row>
      <xdr:rowOff>0</xdr:rowOff>
    </xdr:from>
    <xdr:to>
      <xdr:col>0</xdr:col>
      <xdr:colOff>1141186</xdr:colOff>
      <xdr:row>10</xdr:row>
      <xdr:rowOff>428804</xdr:rowOff>
    </xdr:to>
    <xdr:sp macro="[0]!ActivateTradingSummaryHedgerows_Click" textlink="">
      <xdr:nvSpPr>
        <xdr:cNvPr id="5" name="TextBox 4">
          <a:extLst>
            <a:ext uri="{FF2B5EF4-FFF2-40B4-BE49-F238E27FC236}">
              <a16:creationId xmlns:a16="http://schemas.microsoft.com/office/drawing/2014/main" id="{00000000-0008-0000-0C00-000005000000}"/>
            </a:ext>
          </a:extLst>
        </xdr:cNvPr>
        <xdr:cNvSpPr txBox="1"/>
      </xdr:nvSpPr>
      <xdr:spPr>
        <a:xfrm>
          <a:off x="25400" y="1930400"/>
          <a:ext cx="1115786" cy="797104"/>
        </a:xfrm>
        <a:prstGeom prst="roundRect">
          <a:avLst/>
        </a:prstGeom>
        <a:solidFill>
          <a:schemeClr val="accent3"/>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a:solidFill>
                <a:schemeClr val="accent1"/>
              </a:solidFill>
            </a:rPr>
            <a:t>Trading summary hedgerows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4</xdr:row>
      <xdr:rowOff>101895</xdr:rowOff>
    </xdr:from>
    <xdr:to>
      <xdr:col>7</xdr:col>
      <xdr:colOff>15875</xdr:colOff>
      <xdr:row>7</xdr:row>
      <xdr:rowOff>285750</xdr:rowOff>
    </xdr:to>
    <xdr:grpSp>
      <xdr:nvGrpSpPr>
        <xdr:cNvPr id="7" name="Group 6">
          <a:extLst>
            <a:ext uri="{FF2B5EF4-FFF2-40B4-BE49-F238E27FC236}">
              <a16:creationId xmlns:a16="http://schemas.microsoft.com/office/drawing/2014/main" id="{00000000-0008-0000-0F00-000007000000}"/>
            </a:ext>
          </a:extLst>
        </xdr:cNvPr>
        <xdr:cNvGrpSpPr/>
      </xdr:nvGrpSpPr>
      <xdr:grpSpPr>
        <a:xfrm>
          <a:off x="0" y="903583"/>
          <a:ext cx="8945563" cy="763292"/>
          <a:chOff x="205740" y="855086"/>
          <a:chExt cx="4701455" cy="793824"/>
        </a:xfrm>
      </xdr:grpSpPr>
      <xdr:sp macro="[0]!ToggleHideRows" textlink="">
        <xdr:nvSpPr>
          <xdr:cNvPr id="17" name="Rectangle: Rounded Corners 19">
            <a:extLst>
              <a:ext uri="{FF2B5EF4-FFF2-40B4-BE49-F238E27FC236}">
                <a16:creationId xmlns:a16="http://schemas.microsoft.com/office/drawing/2014/main" id="{00000000-0008-0000-0F00-000011000000}"/>
              </a:ext>
            </a:extLst>
          </xdr:cNvPr>
          <xdr:cNvSpPr/>
        </xdr:nvSpPr>
        <xdr:spPr>
          <a:xfrm>
            <a:off x="2620817" y="883920"/>
            <a:ext cx="2286000" cy="360001"/>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0">
                <a:latin typeface="+mn-lt"/>
              </a:rPr>
              <a:t>Condense / Show Rows</a:t>
            </a:r>
          </a:p>
        </xdr:txBody>
      </xdr:sp>
      <xdr:sp macro="[0]!ActivateSelectWorksheet" textlink="">
        <xdr:nvSpPr>
          <xdr:cNvPr id="15" name="Rounded Rectangle 14">
            <a:extLst>
              <a:ext uri="{FF2B5EF4-FFF2-40B4-BE49-F238E27FC236}">
                <a16:creationId xmlns:a16="http://schemas.microsoft.com/office/drawing/2014/main" id="{00000000-0008-0000-0F00-00000F000000}"/>
              </a:ext>
            </a:extLst>
          </xdr:cNvPr>
          <xdr:cNvSpPr/>
        </xdr:nvSpPr>
        <xdr:spPr>
          <a:xfrm>
            <a:off x="205740" y="1341124"/>
            <a:ext cx="2286000" cy="28800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mn-lt"/>
              </a:rPr>
              <a:t>Main M</a:t>
            </a:r>
            <a:r>
              <a:rPr lang="en-GB" sz="1200">
                <a:solidFill>
                  <a:schemeClr val="bg1"/>
                </a:solidFill>
                <a:latin typeface="+mn-lt"/>
              </a:rPr>
              <a:t>enu </a:t>
            </a:r>
          </a:p>
        </xdr:txBody>
      </xdr:sp>
      <xdr:sp macro="[0]!ActivateInstructions" textlink="">
        <xdr:nvSpPr>
          <xdr:cNvPr id="16" name="Rounded Rectangle 15">
            <a:extLst>
              <a:ext uri="{FF2B5EF4-FFF2-40B4-BE49-F238E27FC236}">
                <a16:creationId xmlns:a16="http://schemas.microsoft.com/office/drawing/2014/main" id="{00000000-0008-0000-0F00-000010000000}"/>
              </a:ext>
            </a:extLst>
          </xdr:cNvPr>
          <xdr:cNvSpPr/>
        </xdr:nvSpPr>
        <xdr:spPr>
          <a:xfrm>
            <a:off x="2621195" y="1360910"/>
            <a:ext cx="2286000" cy="28800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bevelB w="1143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mn-lt"/>
              </a:rPr>
              <a:t>Instructions</a:t>
            </a:r>
          </a:p>
        </xdr:txBody>
      </xdr:sp>
      <xdr:sp macro="[0]!ToggleHideColumns" textlink="">
        <xdr:nvSpPr>
          <xdr:cNvPr id="19" name="Rectangle: Rounded Corners 19">
            <a:extLst>
              <a:ext uri="{FF2B5EF4-FFF2-40B4-BE49-F238E27FC236}">
                <a16:creationId xmlns:a16="http://schemas.microsoft.com/office/drawing/2014/main" id="{00000000-0008-0000-0F00-000013000000}"/>
              </a:ext>
            </a:extLst>
          </xdr:cNvPr>
          <xdr:cNvSpPr/>
        </xdr:nvSpPr>
        <xdr:spPr>
          <a:xfrm>
            <a:off x="206819" y="855086"/>
            <a:ext cx="2286000" cy="360001"/>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mn-lt"/>
              </a:rPr>
              <a:t>Condense / Show Columns</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123825</xdr:colOff>
      <xdr:row>3</xdr:row>
      <xdr:rowOff>113360</xdr:rowOff>
    </xdr:from>
    <xdr:to>
      <xdr:col>5</xdr:col>
      <xdr:colOff>0</xdr:colOff>
      <xdr:row>6</xdr:row>
      <xdr:rowOff>276225</xdr:rowOff>
    </xdr:to>
    <xdr:grpSp>
      <xdr:nvGrpSpPr>
        <xdr:cNvPr id="38" name="Group 37">
          <a:extLst>
            <a:ext uri="{FF2B5EF4-FFF2-40B4-BE49-F238E27FC236}">
              <a16:creationId xmlns:a16="http://schemas.microsoft.com/office/drawing/2014/main" id="{00000000-0008-0000-1000-000026000000}"/>
            </a:ext>
          </a:extLst>
        </xdr:cNvPr>
        <xdr:cNvGrpSpPr/>
      </xdr:nvGrpSpPr>
      <xdr:grpSpPr>
        <a:xfrm>
          <a:off x="879475" y="837260"/>
          <a:ext cx="7013575" cy="975665"/>
          <a:chOff x="-17943940" y="767611"/>
          <a:chExt cx="12775995" cy="756968"/>
        </a:xfrm>
        <a:solidFill>
          <a:schemeClr val="accent1"/>
        </a:solidFill>
      </xdr:grpSpPr>
      <xdr:sp macro="[0]!ToggleHideRows" textlink="">
        <xdr:nvSpPr>
          <xdr:cNvPr id="39" name="Rectangle: Rounded Corners 19">
            <a:extLst>
              <a:ext uri="{FF2B5EF4-FFF2-40B4-BE49-F238E27FC236}">
                <a16:creationId xmlns:a16="http://schemas.microsoft.com/office/drawing/2014/main" id="{00000000-0008-0000-1000-000027000000}"/>
              </a:ext>
            </a:extLst>
          </xdr:cNvPr>
          <xdr:cNvSpPr/>
        </xdr:nvSpPr>
        <xdr:spPr>
          <a:xfrm>
            <a:off x="-11093861" y="767611"/>
            <a:ext cx="5925916" cy="36927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40" name="Rounded Rectangle 39">
            <a:extLst>
              <a:ext uri="{FF2B5EF4-FFF2-40B4-BE49-F238E27FC236}">
                <a16:creationId xmlns:a16="http://schemas.microsoft.com/office/drawing/2014/main" id="{00000000-0008-0000-1000-000028000000}"/>
              </a:ext>
            </a:extLst>
          </xdr:cNvPr>
          <xdr:cNvSpPr/>
        </xdr:nvSpPr>
        <xdr:spPr>
          <a:xfrm>
            <a:off x="-17943940" y="1221545"/>
            <a:ext cx="6307485" cy="303034"/>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41" name="Rounded Rectangle 40">
            <a:extLst>
              <a:ext uri="{FF2B5EF4-FFF2-40B4-BE49-F238E27FC236}">
                <a16:creationId xmlns:a16="http://schemas.microsoft.com/office/drawing/2014/main" id="{00000000-0008-0000-1000-000029000000}"/>
              </a:ext>
            </a:extLst>
          </xdr:cNvPr>
          <xdr:cNvSpPr/>
        </xdr:nvSpPr>
        <xdr:spPr>
          <a:xfrm>
            <a:off x="-11118791" y="1215522"/>
            <a:ext cx="5932724" cy="309057"/>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42" name="Rectangle: Rounded Corners 19">
            <a:extLst>
              <a:ext uri="{FF2B5EF4-FFF2-40B4-BE49-F238E27FC236}">
                <a16:creationId xmlns:a16="http://schemas.microsoft.com/office/drawing/2014/main" id="{00000000-0008-0000-1000-00002A000000}"/>
              </a:ext>
            </a:extLst>
          </xdr:cNvPr>
          <xdr:cNvSpPr/>
        </xdr:nvSpPr>
        <xdr:spPr>
          <a:xfrm>
            <a:off x="-17886499" y="799583"/>
            <a:ext cx="6199437" cy="337296"/>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15241</xdr:colOff>
      <xdr:row>4</xdr:row>
      <xdr:rowOff>83820</xdr:rowOff>
    </xdr:from>
    <xdr:to>
      <xdr:col>7</xdr:col>
      <xdr:colOff>7621</xdr:colOff>
      <xdr:row>8</xdr:row>
      <xdr:rowOff>55506</xdr:rowOff>
    </xdr:to>
    <xdr:grpSp>
      <xdr:nvGrpSpPr>
        <xdr:cNvPr id="21" name="Group 20">
          <a:extLst>
            <a:ext uri="{FF2B5EF4-FFF2-40B4-BE49-F238E27FC236}">
              <a16:creationId xmlns:a16="http://schemas.microsoft.com/office/drawing/2014/main" id="{00000000-0008-0000-1100-000015000000}"/>
            </a:ext>
          </a:extLst>
        </xdr:cNvPr>
        <xdr:cNvGrpSpPr/>
      </xdr:nvGrpSpPr>
      <xdr:grpSpPr>
        <a:xfrm>
          <a:off x="15241" y="877570"/>
          <a:ext cx="5732780" cy="765436"/>
          <a:chOff x="205740" y="877124"/>
          <a:chExt cx="4701455" cy="771786"/>
        </a:xfrm>
        <a:solidFill>
          <a:schemeClr val="accent1"/>
        </a:solidFill>
      </xdr:grpSpPr>
      <xdr:sp macro="[0]!ToggleHideRows" textlink="">
        <xdr:nvSpPr>
          <xdr:cNvPr id="22" name="Rectangle: Rounded Corners 19">
            <a:extLst>
              <a:ext uri="{FF2B5EF4-FFF2-40B4-BE49-F238E27FC236}">
                <a16:creationId xmlns:a16="http://schemas.microsoft.com/office/drawing/2014/main" id="{00000000-0008-0000-1100-000016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23" name="Rounded Rectangle 22">
            <a:extLst>
              <a:ext uri="{FF2B5EF4-FFF2-40B4-BE49-F238E27FC236}">
                <a16:creationId xmlns:a16="http://schemas.microsoft.com/office/drawing/2014/main" id="{00000000-0008-0000-1100-000017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24" name="Rounded Rectangle 23">
            <a:extLst>
              <a:ext uri="{FF2B5EF4-FFF2-40B4-BE49-F238E27FC236}">
                <a16:creationId xmlns:a16="http://schemas.microsoft.com/office/drawing/2014/main" id="{00000000-0008-0000-1100-000018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25" name="Rectangle: Rounded Corners 19">
            <a:extLst>
              <a:ext uri="{FF2B5EF4-FFF2-40B4-BE49-F238E27FC236}">
                <a16:creationId xmlns:a16="http://schemas.microsoft.com/office/drawing/2014/main" id="{00000000-0008-0000-1100-000019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2540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198120</xdr:colOff>
      <xdr:row>4</xdr:row>
      <xdr:rowOff>91440</xdr:rowOff>
    </xdr:from>
    <xdr:to>
      <xdr:col>3</xdr:col>
      <xdr:colOff>3756660</xdr:colOff>
      <xdr:row>6</xdr:row>
      <xdr:rowOff>406026</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198120" y="866140"/>
          <a:ext cx="5482590" cy="454286"/>
          <a:chOff x="205740" y="877124"/>
          <a:chExt cx="4701455" cy="771786"/>
        </a:xfrm>
        <a:solidFill>
          <a:schemeClr val="accent1"/>
        </a:solidFill>
      </xdr:grpSpPr>
      <xdr:sp macro="[0]!ToggleHideRows" textlink="">
        <xdr:nvSpPr>
          <xdr:cNvPr id="12" name="Rectangle: Rounded Corners 19">
            <a:extLst>
              <a:ext uri="{FF2B5EF4-FFF2-40B4-BE49-F238E27FC236}">
                <a16:creationId xmlns:a16="http://schemas.microsoft.com/office/drawing/2014/main" id="{00000000-0008-0000-1500-00000C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13" name="Rounded Rectangle 12">
            <a:extLst>
              <a:ext uri="{FF2B5EF4-FFF2-40B4-BE49-F238E27FC236}">
                <a16:creationId xmlns:a16="http://schemas.microsoft.com/office/drawing/2014/main" id="{00000000-0008-0000-1500-00000D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14" name="Rounded Rectangle 13">
            <a:extLst>
              <a:ext uri="{FF2B5EF4-FFF2-40B4-BE49-F238E27FC236}">
                <a16:creationId xmlns:a16="http://schemas.microsoft.com/office/drawing/2014/main" id="{00000000-0008-0000-1500-00000E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15" name="Rectangle: Rounded Corners 19">
            <a:extLst>
              <a:ext uri="{FF2B5EF4-FFF2-40B4-BE49-F238E27FC236}">
                <a16:creationId xmlns:a16="http://schemas.microsoft.com/office/drawing/2014/main" id="{00000000-0008-0000-1500-00000F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182881</xdr:colOff>
      <xdr:row>4</xdr:row>
      <xdr:rowOff>99060</xdr:rowOff>
    </xdr:from>
    <xdr:to>
      <xdr:col>4</xdr:col>
      <xdr:colOff>53340</xdr:colOff>
      <xdr:row>8</xdr:row>
      <xdr:rowOff>85986</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182881" y="956310"/>
          <a:ext cx="6176009" cy="755276"/>
          <a:chOff x="205740" y="877124"/>
          <a:chExt cx="4701455" cy="771786"/>
        </a:xfrm>
        <a:solidFill>
          <a:schemeClr val="accent1"/>
        </a:solidFill>
      </xdr:grpSpPr>
      <xdr:sp macro="[0]!ToggleHideRows" textlink="">
        <xdr:nvSpPr>
          <xdr:cNvPr id="12" name="Rectangle: Rounded Corners 19">
            <a:extLst>
              <a:ext uri="{FF2B5EF4-FFF2-40B4-BE49-F238E27FC236}">
                <a16:creationId xmlns:a16="http://schemas.microsoft.com/office/drawing/2014/main" id="{00000000-0008-0000-1600-00000C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13" name="Rounded Rectangle 12">
            <a:extLst>
              <a:ext uri="{FF2B5EF4-FFF2-40B4-BE49-F238E27FC236}">
                <a16:creationId xmlns:a16="http://schemas.microsoft.com/office/drawing/2014/main" id="{00000000-0008-0000-1600-00000D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14" name="Rounded Rectangle 13">
            <a:extLst>
              <a:ext uri="{FF2B5EF4-FFF2-40B4-BE49-F238E27FC236}">
                <a16:creationId xmlns:a16="http://schemas.microsoft.com/office/drawing/2014/main" id="{00000000-0008-0000-1600-00000E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15" name="Rectangle: Rounded Corners 19">
            <a:extLst>
              <a:ext uri="{FF2B5EF4-FFF2-40B4-BE49-F238E27FC236}">
                <a16:creationId xmlns:a16="http://schemas.microsoft.com/office/drawing/2014/main" id="{00000000-0008-0000-1600-00000F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4</xdr:row>
      <xdr:rowOff>89535</xdr:rowOff>
    </xdr:from>
    <xdr:to>
      <xdr:col>4</xdr:col>
      <xdr:colOff>32384</xdr:colOff>
      <xdr:row>8</xdr:row>
      <xdr:rowOff>30741</xdr:rowOff>
    </xdr:to>
    <xdr:grpSp>
      <xdr:nvGrpSpPr>
        <xdr:cNvPr id="7" name="Group 6">
          <a:extLst>
            <a:ext uri="{FF2B5EF4-FFF2-40B4-BE49-F238E27FC236}">
              <a16:creationId xmlns:a16="http://schemas.microsoft.com/office/drawing/2014/main" id="{00000000-0008-0000-1700-000007000000}"/>
            </a:ext>
          </a:extLst>
        </xdr:cNvPr>
        <xdr:cNvGrpSpPr/>
      </xdr:nvGrpSpPr>
      <xdr:grpSpPr>
        <a:xfrm>
          <a:off x="206375" y="997585"/>
          <a:ext cx="5071109" cy="760356"/>
          <a:chOff x="205740" y="877124"/>
          <a:chExt cx="4701455" cy="771786"/>
        </a:xfrm>
        <a:solidFill>
          <a:schemeClr val="accent1"/>
        </a:solidFill>
      </xdr:grpSpPr>
      <xdr:sp macro="[0]!ToggleHideRows" textlink="">
        <xdr:nvSpPr>
          <xdr:cNvPr id="8" name="Rectangle: Rounded Corners 19">
            <a:extLst>
              <a:ext uri="{FF2B5EF4-FFF2-40B4-BE49-F238E27FC236}">
                <a16:creationId xmlns:a16="http://schemas.microsoft.com/office/drawing/2014/main" id="{00000000-0008-0000-1700-000008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9" name="Rounded Rectangle 8">
            <a:extLst>
              <a:ext uri="{FF2B5EF4-FFF2-40B4-BE49-F238E27FC236}">
                <a16:creationId xmlns:a16="http://schemas.microsoft.com/office/drawing/2014/main" id="{00000000-0008-0000-1700-000009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10" name="Rounded Rectangle 9">
            <a:extLst>
              <a:ext uri="{FF2B5EF4-FFF2-40B4-BE49-F238E27FC236}">
                <a16:creationId xmlns:a16="http://schemas.microsoft.com/office/drawing/2014/main" id="{00000000-0008-0000-1700-00000A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16" name="Rectangle: Rounded Corners 19">
            <a:extLst>
              <a:ext uri="{FF2B5EF4-FFF2-40B4-BE49-F238E27FC236}">
                <a16:creationId xmlns:a16="http://schemas.microsoft.com/office/drawing/2014/main" id="{00000000-0008-0000-1700-000010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190501</xdr:colOff>
      <xdr:row>4</xdr:row>
      <xdr:rowOff>102177</xdr:rowOff>
    </xdr:from>
    <xdr:to>
      <xdr:col>4</xdr:col>
      <xdr:colOff>7793</xdr:colOff>
      <xdr:row>6</xdr:row>
      <xdr:rowOff>432350</xdr:rowOff>
    </xdr:to>
    <xdr:grpSp>
      <xdr:nvGrpSpPr>
        <xdr:cNvPr id="79" name="Group 78">
          <a:extLst>
            <a:ext uri="{FF2B5EF4-FFF2-40B4-BE49-F238E27FC236}">
              <a16:creationId xmlns:a16="http://schemas.microsoft.com/office/drawing/2014/main" id="{00000000-0008-0000-1B00-00004F000000}"/>
            </a:ext>
          </a:extLst>
        </xdr:cNvPr>
        <xdr:cNvGrpSpPr/>
      </xdr:nvGrpSpPr>
      <xdr:grpSpPr>
        <a:xfrm>
          <a:off x="190501" y="946727"/>
          <a:ext cx="4986192" cy="768323"/>
          <a:chOff x="205740" y="877124"/>
          <a:chExt cx="4701455" cy="771786"/>
        </a:xfrm>
        <a:solidFill>
          <a:schemeClr val="accent1"/>
        </a:solidFill>
      </xdr:grpSpPr>
      <xdr:sp macro="[0]!ToggleHideRows" textlink="">
        <xdr:nvSpPr>
          <xdr:cNvPr id="80" name="Rectangle: Rounded Corners 19">
            <a:extLst>
              <a:ext uri="{FF2B5EF4-FFF2-40B4-BE49-F238E27FC236}">
                <a16:creationId xmlns:a16="http://schemas.microsoft.com/office/drawing/2014/main" id="{00000000-0008-0000-1B00-000050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81" name="Rounded Rectangle 80">
            <a:extLst>
              <a:ext uri="{FF2B5EF4-FFF2-40B4-BE49-F238E27FC236}">
                <a16:creationId xmlns:a16="http://schemas.microsoft.com/office/drawing/2014/main" id="{00000000-0008-0000-1B00-000051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82" name="Rounded Rectangle 81">
            <a:extLst>
              <a:ext uri="{FF2B5EF4-FFF2-40B4-BE49-F238E27FC236}">
                <a16:creationId xmlns:a16="http://schemas.microsoft.com/office/drawing/2014/main" id="{00000000-0008-0000-1B00-000052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83" name="Rectangle: Rounded Corners 19">
            <a:extLst>
              <a:ext uri="{FF2B5EF4-FFF2-40B4-BE49-F238E27FC236}">
                <a16:creationId xmlns:a16="http://schemas.microsoft.com/office/drawing/2014/main" id="{00000000-0008-0000-1B00-000053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4</xdr:row>
      <xdr:rowOff>83820</xdr:rowOff>
    </xdr:from>
    <xdr:to>
      <xdr:col>4</xdr:col>
      <xdr:colOff>998220</xdr:colOff>
      <xdr:row>8</xdr:row>
      <xdr:rowOff>78366</xdr:rowOff>
    </xdr:to>
    <xdr:grpSp>
      <xdr:nvGrpSpPr>
        <xdr:cNvPr id="96" name="Group 95">
          <a:extLst>
            <a:ext uri="{FF2B5EF4-FFF2-40B4-BE49-F238E27FC236}">
              <a16:creationId xmlns:a16="http://schemas.microsoft.com/office/drawing/2014/main" id="{00000000-0008-0000-1C00-000060000000}"/>
            </a:ext>
          </a:extLst>
        </xdr:cNvPr>
        <xdr:cNvGrpSpPr/>
      </xdr:nvGrpSpPr>
      <xdr:grpSpPr>
        <a:xfrm>
          <a:off x="196850" y="782320"/>
          <a:ext cx="5309870" cy="756546"/>
          <a:chOff x="205740" y="877124"/>
          <a:chExt cx="4701455" cy="771786"/>
        </a:xfrm>
        <a:solidFill>
          <a:schemeClr val="accent1"/>
        </a:solidFill>
      </xdr:grpSpPr>
      <xdr:sp macro="[0]!ToggleHideRows" textlink="">
        <xdr:nvSpPr>
          <xdr:cNvPr id="97" name="Rectangle: Rounded Corners 19">
            <a:extLst>
              <a:ext uri="{FF2B5EF4-FFF2-40B4-BE49-F238E27FC236}">
                <a16:creationId xmlns:a16="http://schemas.microsoft.com/office/drawing/2014/main" id="{00000000-0008-0000-1C00-000061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98" name="Rounded Rectangle 97">
            <a:extLst>
              <a:ext uri="{FF2B5EF4-FFF2-40B4-BE49-F238E27FC236}">
                <a16:creationId xmlns:a16="http://schemas.microsoft.com/office/drawing/2014/main" id="{00000000-0008-0000-1C00-000062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99" name="Rounded Rectangle 98">
            <a:extLst>
              <a:ext uri="{FF2B5EF4-FFF2-40B4-BE49-F238E27FC236}">
                <a16:creationId xmlns:a16="http://schemas.microsoft.com/office/drawing/2014/main" id="{00000000-0008-0000-1C00-000063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100" name="Rectangle: Rounded Corners 19">
            <a:extLst>
              <a:ext uri="{FF2B5EF4-FFF2-40B4-BE49-F238E27FC236}">
                <a16:creationId xmlns:a16="http://schemas.microsoft.com/office/drawing/2014/main" id="{00000000-0008-0000-1C00-000064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25121</xdr:colOff>
      <xdr:row>4</xdr:row>
      <xdr:rowOff>100484</xdr:rowOff>
    </xdr:from>
    <xdr:to>
      <xdr:col>4</xdr:col>
      <xdr:colOff>1029956</xdr:colOff>
      <xdr:row>8</xdr:row>
      <xdr:rowOff>85149</xdr:rowOff>
    </xdr:to>
    <xdr:grpSp>
      <xdr:nvGrpSpPr>
        <xdr:cNvPr id="38" name="Group 37">
          <a:extLst>
            <a:ext uri="{FF2B5EF4-FFF2-40B4-BE49-F238E27FC236}">
              <a16:creationId xmlns:a16="http://schemas.microsoft.com/office/drawing/2014/main" id="{00000000-0008-0000-1D00-000026000000}"/>
            </a:ext>
          </a:extLst>
        </xdr:cNvPr>
        <xdr:cNvGrpSpPr/>
      </xdr:nvGrpSpPr>
      <xdr:grpSpPr>
        <a:xfrm>
          <a:off x="221971" y="1199034"/>
          <a:ext cx="5506985" cy="746665"/>
          <a:chOff x="205740" y="877124"/>
          <a:chExt cx="4701455" cy="771786"/>
        </a:xfrm>
        <a:solidFill>
          <a:schemeClr val="accent1"/>
        </a:solidFill>
      </xdr:grpSpPr>
      <xdr:sp macro="[0]!ToggleHideRows" textlink="">
        <xdr:nvSpPr>
          <xdr:cNvPr id="39" name="Rectangle: Rounded Corners 19">
            <a:extLst>
              <a:ext uri="{FF2B5EF4-FFF2-40B4-BE49-F238E27FC236}">
                <a16:creationId xmlns:a16="http://schemas.microsoft.com/office/drawing/2014/main" id="{00000000-0008-0000-1D00-000027000000}"/>
              </a:ext>
            </a:extLst>
          </xdr:cNvPr>
          <xdr:cNvSpPr/>
        </xdr:nvSpPr>
        <xdr:spPr>
          <a:xfrm>
            <a:off x="2620817" y="883920"/>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Rows</a:t>
            </a:r>
          </a:p>
        </xdr:txBody>
      </xdr:sp>
      <xdr:sp macro="[0]!ActivateSelectWorksheet" textlink="">
        <xdr:nvSpPr>
          <xdr:cNvPr id="40" name="Rounded Rectangle 39">
            <a:extLst>
              <a:ext uri="{FF2B5EF4-FFF2-40B4-BE49-F238E27FC236}">
                <a16:creationId xmlns:a16="http://schemas.microsoft.com/office/drawing/2014/main" id="{00000000-0008-0000-1D00-000028000000}"/>
              </a:ext>
            </a:extLst>
          </xdr:cNvPr>
          <xdr:cNvSpPr/>
        </xdr:nvSpPr>
        <xdr:spPr>
          <a:xfrm>
            <a:off x="205740" y="1347548"/>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aseline="0">
                <a:solidFill>
                  <a:schemeClr val="bg1"/>
                </a:solidFill>
                <a:latin typeface="Rockwell Light" panose="02040303020102020203" pitchFamily="18" charset="0"/>
              </a:rPr>
              <a:t>Main M</a:t>
            </a:r>
            <a:r>
              <a:rPr lang="en-GB" sz="1200">
                <a:solidFill>
                  <a:schemeClr val="bg1"/>
                </a:solidFill>
                <a:latin typeface="Rockwell Light" panose="02040303020102020203" pitchFamily="18" charset="0"/>
              </a:rPr>
              <a:t>enu </a:t>
            </a:r>
          </a:p>
        </xdr:txBody>
      </xdr:sp>
      <xdr:sp macro="[0]!ActivateInstructions" textlink="">
        <xdr:nvSpPr>
          <xdr:cNvPr id="41" name="Rounded Rectangle 40">
            <a:extLst>
              <a:ext uri="{FF2B5EF4-FFF2-40B4-BE49-F238E27FC236}">
                <a16:creationId xmlns:a16="http://schemas.microsoft.com/office/drawing/2014/main" id="{00000000-0008-0000-1D00-000029000000}"/>
              </a:ext>
            </a:extLst>
          </xdr:cNvPr>
          <xdr:cNvSpPr/>
        </xdr:nvSpPr>
        <xdr:spPr>
          <a:xfrm>
            <a:off x="2621195" y="1360910"/>
            <a:ext cx="2286000" cy="288000"/>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latin typeface="Rockwell Light" panose="02040303020102020203" pitchFamily="18" charset="0"/>
              </a:rPr>
              <a:t>Instructions</a:t>
            </a:r>
          </a:p>
        </xdr:txBody>
      </xdr:sp>
      <xdr:sp macro="[0]!ToggleHideColumns" textlink="">
        <xdr:nvSpPr>
          <xdr:cNvPr id="42" name="Rectangle: Rounded Corners 19">
            <a:extLst>
              <a:ext uri="{FF2B5EF4-FFF2-40B4-BE49-F238E27FC236}">
                <a16:creationId xmlns:a16="http://schemas.microsoft.com/office/drawing/2014/main" id="{00000000-0008-0000-1D00-00002A000000}"/>
              </a:ext>
            </a:extLst>
          </xdr:cNvPr>
          <xdr:cNvSpPr/>
        </xdr:nvSpPr>
        <xdr:spPr>
          <a:xfrm>
            <a:off x="206819" y="877124"/>
            <a:ext cx="2286000" cy="360001"/>
          </a:xfrm>
          <a:prstGeom prst="roundRect">
            <a:avLst/>
          </a:prstGeom>
          <a:grp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latin typeface="Rockwell Light" panose="02040303020102020203" pitchFamily="18" charset="0"/>
              </a:rPr>
              <a:t>Condense / Show Columns</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83820</xdr:colOff>
      <xdr:row>0</xdr:row>
      <xdr:rowOff>76200</xdr:rowOff>
    </xdr:from>
    <xdr:to>
      <xdr:col>1</xdr:col>
      <xdr:colOff>1508760</xdr:colOff>
      <xdr:row>0</xdr:row>
      <xdr:rowOff>632460</xdr:rowOff>
    </xdr:to>
    <xdr:sp macro="[0]!returnstartG1" textlink="">
      <xdr:nvSpPr>
        <xdr:cNvPr id="3" name="Rounded Rectangle 2">
          <a:extLst>
            <a:ext uri="{FF2B5EF4-FFF2-40B4-BE49-F238E27FC236}">
              <a16:creationId xmlns:a16="http://schemas.microsoft.com/office/drawing/2014/main" id="{00000000-0008-0000-2100-000003000000}"/>
            </a:ext>
          </a:extLst>
        </xdr:cNvPr>
        <xdr:cNvSpPr/>
      </xdr:nvSpPr>
      <xdr:spPr>
        <a:xfrm>
          <a:off x="83820" y="76200"/>
          <a:ext cx="1424940" cy="55626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rPr>
            <a:t>Return to start</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66675</xdr:colOff>
      <xdr:row>0</xdr:row>
      <xdr:rowOff>66675</xdr:rowOff>
    </xdr:from>
    <xdr:to>
      <xdr:col>0</xdr:col>
      <xdr:colOff>1583055</xdr:colOff>
      <xdr:row>0</xdr:row>
      <xdr:rowOff>619125</xdr:rowOff>
    </xdr:to>
    <xdr:sp macro="[0]!returnstartG2" textlink="">
      <xdr:nvSpPr>
        <xdr:cNvPr id="3" name="Rounded Rectangle 2">
          <a:extLst>
            <a:ext uri="{FF2B5EF4-FFF2-40B4-BE49-F238E27FC236}">
              <a16:creationId xmlns:a16="http://schemas.microsoft.com/office/drawing/2014/main" id="{00000000-0008-0000-2200-000003000000}"/>
            </a:ext>
          </a:extLst>
        </xdr:cNvPr>
        <xdr:cNvSpPr/>
      </xdr:nvSpPr>
      <xdr:spPr>
        <a:xfrm>
          <a:off x="66675" y="66675"/>
          <a:ext cx="1516380" cy="5524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latin typeface="Rockwell Light" panose="02040303020102020203" pitchFamily="18" charset="0"/>
            </a:rPr>
            <a:t>Return To Start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68580</xdr:colOff>
      <xdr:row>0</xdr:row>
      <xdr:rowOff>53340</xdr:rowOff>
    </xdr:from>
    <xdr:to>
      <xdr:col>0</xdr:col>
      <xdr:colOff>1584960</xdr:colOff>
      <xdr:row>0</xdr:row>
      <xdr:rowOff>426720</xdr:rowOff>
    </xdr:to>
    <xdr:sp macro="[0]!returnstartG3" textlink="">
      <xdr:nvSpPr>
        <xdr:cNvPr id="2" name="Rounded Rectangle 1">
          <a:extLst>
            <a:ext uri="{FF2B5EF4-FFF2-40B4-BE49-F238E27FC236}">
              <a16:creationId xmlns:a16="http://schemas.microsoft.com/office/drawing/2014/main" id="{00000000-0008-0000-2300-000002000000}"/>
            </a:ext>
          </a:extLst>
        </xdr:cNvPr>
        <xdr:cNvSpPr/>
      </xdr:nvSpPr>
      <xdr:spPr>
        <a:xfrm>
          <a:off x="68580" y="53340"/>
          <a:ext cx="1516380" cy="37338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rPr>
            <a:t>Return to start</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91440</xdr:colOff>
      <xdr:row>0</xdr:row>
      <xdr:rowOff>91440</xdr:rowOff>
    </xdr:from>
    <xdr:to>
      <xdr:col>5</xdr:col>
      <xdr:colOff>1607820</xdr:colOff>
      <xdr:row>0</xdr:row>
      <xdr:rowOff>571500</xdr:rowOff>
    </xdr:to>
    <xdr:sp macro="[0]!returnstartG4" textlink="">
      <xdr:nvSpPr>
        <xdr:cNvPr id="3" name="Rounded Rectangle 2">
          <a:extLst>
            <a:ext uri="{FF2B5EF4-FFF2-40B4-BE49-F238E27FC236}">
              <a16:creationId xmlns:a16="http://schemas.microsoft.com/office/drawing/2014/main" id="{00000000-0008-0000-2400-000003000000}"/>
            </a:ext>
          </a:extLst>
        </xdr:cNvPr>
        <xdr:cNvSpPr/>
      </xdr:nvSpPr>
      <xdr:spPr>
        <a:xfrm>
          <a:off x="4259580" y="91440"/>
          <a:ext cx="1516380" cy="48006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rPr>
            <a:t>Return to start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60960</xdr:colOff>
      <xdr:row>0</xdr:row>
      <xdr:rowOff>30480</xdr:rowOff>
    </xdr:from>
    <xdr:to>
      <xdr:col>2</xdr:col>
      <xdr:colOff>1577340</xdr:colOff>
      <xdr:row>0</xdr:row>
      <xdr:rowOff>403860</xdr:rowOff>
    </xdr:to>
    <xdr:sp macro="[0]!returnstartG5" textlink="">
      <xdr:nvSpPr>
        <xdr:cNvPr id="2" name="Rounded Rectangle 1">
          <a:extLst>
            <a:ext uri="{FF2B5EF4-FFF2-40B4-BE49-F238E27FC236}">
              <a16:creationId xmlns:a16="http://schemas.microsoft.com/office/drawing/2014/main" id="{00000000-0008-0000-2500-000002000000}"/>
            </a:ext>
          </a:extLst>
        </xdr:cNvPr>
        <xdr:cNvSpPr/>
      </xdr:nvSpPr>
      <xdr:spPr>
        <a:xfrm>
          <a:off x="1310640" y="30480"/>
          <a:ext cx="1516380" cy="37338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rPr>
            <a:t>Return to start</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56926</xdr:colOff>
      <xdr:row>0</xdr:row>
      <xdr:rowOff>49754</xdr:rowOff>
    </xdr:from>
    <xdr:to>
      <xdr:col>1</xdr:col>
      <xdr:colOff>674146</xdr:colOff>
      <xdr:row>0</xdr:row>
      <xdr:rowOff>484094</xdr:rowOff>
    </xdr:to>
    <xdr:sp macro="[0]!returnstartG6" textlink="">
      <xdr:nvSpPr>
        <xdr:cNvPr id="3" name="Rounded Rectangle 2">
          <a:extLst>
            <a:ext uri="{FF2B5EF4-FFF2-40B4-BE49-F238E27FC236}">
              <a16:creationId xmlns:a16="http://schemas.microsoft.com/office/drawing/2014/main" id="{00000000-0008-0000-2600-000003000000}"/>
            </a:ext>
          </a:extLst>
        </xdr:cNvPr>
        <xdr:cNvSpPr/>
      </xdr:nvSpPr>
      <xdr:spPr>
        <a:xfrm>
          <a:off x="56926" y="49754"/>
          <a:ext cx="1166308" cy="43434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rPr>
            <a:t>Return to start</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53340</xdr:colOff>
      <xdr:row>0</xdr:row>
      <xdr:rowOff>38100</xdr:rowOff>
    </xdr:from>
    <xdr:to>
      <xdr:col>1</xdr:col>
      <xdr:colOff>632460</xdr:colOff>
      <xdr:row>1</xdr:row>
      <xdr:rowOff>198120</xdr:rowOff>
    </xdr:to>
    <xdr:sp macro="[0]!returnstartG7" textlink="">
      <xdr:nvSpPr>
        <xdr:cNvPr id="3" name="Rounded Rectangle 2">
          <a:extLst>
            <a:ext uri="{FF2B5EF4-FFF2-40B4-BE49-F238E27FC236}">
              <a16:creationId xmlns:a16="http://schemas.microsoft.com/office/drawing/2014/main" id="{00000000-0008-0000-2700-000003000000}"/>
            </a:ext>
          </a:extLst>
        </xdr:cNvPr>
        <xdr:cNvSpPr/>
      </xdr:nvSpPr>
      <xdr:spPr>
        <a:xfrm>
          <a:off x="53340" y="38100"/>
          <a:ext cx="1188720" cy="350520"/>
        </a:xfrm>
        <a:prstGeom prst="roundRect">
          <a:avLst/>
        </a:prstGeom>
        <a:solidFill>
          <a:schemeClr val="tx2">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rPr>
            <a:t>Return to start</a:t>
          </a:r>
        </a:p>
      </xdr:txBody>
    </xdr:sp>
    <xdr:clientData/>
  </xdr:twoCellAnchor>
  <xdr:twoCellAnchor>
    <xdr:from>
      <xdr:col>0</xdr:col>
      <xdr:colOff>53340</xdr:colOff>
      <xdr:row>0</xdr:row>
      <xdr:rowOff>38100</xdr:rowOff>
    </xdr:from>
    <xdr:to>
      <xdr:col>1</xdr:col>
      <xdr:colOff>632460</xdr:colOff>
      <xdr:row>1</xdr:row>
      <xdr:rowOff>198120</xdr:rowOff>
    </xdr:to>
    <xdr:sp macro="[0]!returnstarttechdata" textlink="">
      <xdr:nvSpPr>
        <xdr:cNvPr id="4" name="Rounded Rectangle 2">
          <a:extLst>
            <a:ext uri="{FF2B5EF4-FFF2-40B4-BE49-F238E27FC236}">
              <a16:creationId xmlns:a16="http://schemas.microsoft.com/office/drawing/2014/main" id="{00000000-0008-0000-2700-000004000000}"/>
            </a:ext>
          </a:extLst>
        </xdr:cNvPr>
        <xdr:cNvSpPr/>
      </xdr:nvSpPr>
      <xdr:spPr>
        <a:xfrm>
          <a:off x="53340" y="38100"/>
          <a:ext cx="1188720" cy="360045"/>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solidFill>
                <a:schemeClr val="bg1"/>
              </a:solidFill>
            </a:rPr>
            <a:t>Return to start</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60960</xdr:colOff>
      <xdr:row>0</xdr:row>
      <xdr:rowOff>68580</xdr:rowOff>
    </xdr:from>
    <xdr:to>
      <xdr:col>0</xdr:col>
      <xdr:colOff>1577340</xdr:colOff>
      <xdr:row>1</xdr:row>
      <xdr:rowOff>114300</xdr:rowOff>
    </xdr:to>
    <xdr:sp macro="[0]!returnstartG8" textlink="">
      <xdr:nvSpPr>
        <xdr:cNvPr id="3" name="Rounded Rectangle 2">
          <a:extLst>
            <a:ext uri="{FF2B5EF4-FFF2-40B4-BE49-F238E27FC236}">
              <a16:creationId xmlns:a16="http://schemas.microsoft.com/office/drawing/2014/main" id="{00000000-0008-0000-2800-000003000000}"/>
            </a:ext>
          </a:extLst>
        </xdr:cNvPr>
        <xdr:cNvSpPr/>
      </xdr:nvSpPr>
      <xdr:spPr>
        <a:xfrm>
          <a:off x="60960" y="68580"/>
          <a:ext cx="1516380" cy="41148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rPr>
            <a:t>Return to start</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91440</xdr:colOff>
      <xdr:row>0</xdr:row>
      <xdr:rowOff>60960</xdr:rowOff>
    </xdr:from>
    <xdr:to>
      <xdr:col>1</xdr:col>
      <xdr:colOff>1516380</xdr:colOff>
      <xdr:row>0</xdr:row>
      <xdr:rowOff>617220</xdr:rowOff>
    </xdr:to>
    <xdr:sp macro="[0]!returnstartG9" textlink="">
      <xdr:nvSpPr>
        <xdr:cNvPr id="2" name="Rounded Rectangle 1">
          <a:extLst>
            <a:ext uri="{FF2B5EF4-FFF2-40B4-BE49-F238E27FC236}">
              <a16:creationId xmlns:a16="http://schemas.microsoft.com/office/drawing/2014/main" id="{00000000-0008-0000-2900-000002000000}"/>
            </a:ext>
          </a:extLst>
        </xdr:cNvPr>
        <xdr:cNvSpPr/>
      </xdr:nvSpPr>
      <xdr:spPr>
        <a:xfrm>
          <a:off x="91440" y="60960"/>
          <a:ext cx="1424940" cy="55626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rPr>
            <a:t>Return to start</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59267</xdr:colOff>
      <xdr:row>9</xdr:row>
      <xdr:rowOff>200025</xdr:rowOff>
    </xdr:from>
    <xdr:to>
      <xdr:col>8</xdr:col>
      <xdr:colOff>162842</xdr:colOff>
      <xdr:row>15</xdr:row>
      <xdr:rowOff>59850</xdr:rowOff>
    </xdr:to>
    <xdr:sp macro="[0]!ActivateG1AllHabitats" textlink="">
      <xdr:nvSpPr>
        <xdr:cNvPr id="6" name="TextBox 5">
          <a:extLst>
            <a:ext uri="{FF2B5EF4-FFF2-40B4-BE49-F238E27FC236}">
              <a16:creationId xmlns:a16="http://schemas.microsoft.com/office/drawing/2014/main" id="{00000000-0008-0000-2A00-000006000000}"/>
            </a:ext>
          </a:extLst>
        </xdr:cNvPr>
        <xdr:cNvSpPr txBox="1"/>
      </xdr:nvSpPr>
      <xdr:spPr>
        <a:xfrm>
          <a:off x="2459567" y="2057400"/>
          <a:ext cx="2018100" cy="1288575"/>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latin typeface="Rockwell Light" panose="02040303020102020203" pitchFamily="18" charset="0"/>
            </a:rPr>
            <a:t>All area habitats</a:t>
          </a:r>
        </a:p>
      </xdr:txBody>
    </xdr:sp>
    <xdr:clientData/>
  </xdr:twoCellAnchor>
  <xdr:twoCellAnchor>
    <xdr:from>
      <xdr:col>8</xdr:col>
      <xdr:colOff>397933</xdr:colOff>
      <xdr:row>9</xdr:row>
      <xdr:rowOff>223307</xdr:rowOff>
    </xdr:from>
    <xdr:to>
      <xdr:col>12</xdr:col>
      <xdr:colOff>15733</xdr:colOff>
      <xdr:row>15</xdr:row>
      <xdr:rowOff>86307</xdr:rowOff>
    </xdr:to>
    <xdr:sp macro="[0]!ActivateG2HabitatGroups" textlink="">
      <xdr:nvSpPr>
        <xdr:cNvPr id="8" name="Rounded Rectangle 7">
          <a:extLst>
            <a:ext uri="{FF2B5EF4-FFF2-40B4-BE49-F238E27FC236}">
              <a16:creationId xmlns:a16="http://schemas.microsoft.com/office/drawing/2014/main" id="{00000000-0008-0000-2A00-000008000000}"/>
            </a:ext>
          </a:extLst>
        </xdr:cNvPr>
        <xdr:cNvSpPr/>
      </xdr:nvSpPr>
      <xdr:spPr>
        <a:xfrm>
          <a:off x="4611793" y="2052107"/>
          <a:ext cx="1972380" cy="127270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latin typeface="Rockwell Light" panose="02040303020102020203" pitchFamily="18" charset="0"/>
            </a:rPr>
            <a:t>Area habitat groups</a:t>
          </a:r>
        </a:p>
      </xdr:txBody>
    </xdr:sp>
    <xdr:clientData/>
  </xdr:twoCellAnchor>
  <xdr:twoCellAnchor>
    <xdr:from>
      <xdr:col>12</xdr:col>
      <xdr:colOff>245534</xdr:colOff>
      <xdr:row>9</xdr:row>
      <xdr:rowOff>193673</xdr:rowOff>
    </xdr:from>
    <xdr:to>
      <xdr:col>15</xdr:col>
      <xdr:colOff>379801</xdr:colOff>
      <xdr:row>15</xdr:row>
      <xdr:rowOff>56673</xdr:rowOff>
    </xdr:to>
    <xdr:sp macro="[0]!ActivateG3Multipliers" textlink="">
      <xdr:nvSpPr>
        <xdr:cNvPr id="9" name="Rounded Rectangle 8">
          <a:extLst>
            <a:ext uri="{FF2B5EF4-FFF2-40B4-BE49-F238E27FC236}">
              <a16:creationId xmlns:a16="http://schemas.microsoft.com/office/drawing/2014/main" id="{00000000-0008-0000-2A00-000009000000}"/>
            </a:ext>
          </a:extLst>
        </xdr:cNvPr>
        <xdr:cNvSpPr/>
      </xdr:nvSpPr>
      <xdr:spPr>
        <a:xfrm>
          <a:off x="6960659" y="2051048"/>
          <a:ext cx="2020217" cy="12917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bg1"/>
              </a:solidFill>
              <a:latin typeface="Rockwell Light" panose="02040303020102020203" pitchFamily="18" charset="0"/>
            </a:rPr>
            <a:t>Multipliers</a:t>
          </a:r>
          <a:r>
            <a:rPr lang="en-GB" sz="2000">
              <a:solidFill>
                <a:schemeClr val="bg1"/>
              </a:solidFill>
            </a:rPr>
            <a:t> </a:t>
          </a:r>
        </a:p>
      </xdr:txBody>
    </xdr:sp>
    <xdr:clientData/>
  </xdr:twoCellAnchor>
  <xdr:twoCellAnchor>
    <xdr:from>
      <xdr:col>1</xdr:col>
      <xdr:colOff>93134</xdr:colOff>
      <xdr:row>9</xdr:row>
      <xdr:rowOff>220134</xdr:rowOff>
    </xdr:from>
    <xdr:to>
      <xdr:col>4</xdr:col>
      <xdr:colOff>499409</xdr:colOff>
      <xdr:row>15</xdr:row>
      <xdr:rowOff>83784</xdr:rowOff>
    </xdr:to>
    <xdr:sp macro="[0]!returnstarttechdata" textlink="">
      <xdr:nvSpPr>
        <xdr:cNvPr id="10" name="TextBox 9">
          <a:extLst>
            <a:ext uri="{FF2B5EF4-FFF2-40B4-BE49-F238E27FC236}">
              <a16:creationId xmlns:a16="http://schemas.microsoft.com/office/drawing/2014/main" id="{00000000-0008-0000-2A00-00000A000000}"/>
            </a:ext>
          </a:extLst>
        </xdr:cNvPr>
        <xdr:cNvSpPr txBox="1"/>
      </xdr:nvSpPr>
      <xdr:spPr>
        <a:xfrm>
          <a:off x="245534" y="2077509"/>
          <a:ext cx="2016000" cy="1292400"/>
        </a:xfrm>
        <a:prstGeom prst="roundRect">
          <a:avLst/>
        </a:prstGeom>
        <a:solidFill>
          <a:srgbClr val="F4D4D4"/>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1"/>
              </a:solidFill>
              <a:latin typeface="Rockwell Light" panose="02040303020102020203" pitchFamily="18" charset="0"/>
            </a:rPr>
            <a:t>Return to start</a:t>
          </a:r>
        </a:p>
        <a:p>
          <a:pPr algn="ctr"/>
          <a:r>
            <a:rPr lang="en-GB" sz="1400" b="1">
              <a:solidFill>
                <a:schemeClr val="accent1"/>
              </a:solidFill>
              <a:latin typeface="Rockwell Light" panose="02040303020102020203" pitchFamily="18" charset="0"/>
            </a:rPr>
            <a:t>page</a:t>
          </a:r>
        </a:p>
      </xdr:txBody>
    </xdr:sp>
    <xdr:clientData/>
  </xdr:twoCellAnchor>
  <xdr:twoCellAnchor>
    <xdr:from>
      <xdr:col>1</xdr:col>
      <xdr:colOff>114300</xdr:colOff>
      <xdr:row>16</xdr:row>
      <xdr:rowOff>168275</xdr:rowOff>
    </xdr:from>
    <xdr:to>
      <xdr:col>4</xdr:col>
      <xdr:colOff>525850</xdr:colOff>
      <xdr:row>23</xdr:row>
      <xdr:rowOff>9050</xdr:rowOff>
    </xdr:to>
    <xdr:sp macro="[0]!ActivateG4Temporalmultipliers" textlink="">
      <xdr:nvSpPr>
        <xdr:cNvPr id="12" name="TextBox 11">
          <a:extLst>
            <a:ext uri="{FF2B5EF4-FFF2-40B4-BE49-F238E27FC236}">
              <a16:creationId xmlns:a16="http://schemas.microsoft.com/office/drawing/2014/main" id="{00000000-0008-0000-2A00-00000C000000}"/>
            </a:ext>
          </a:extLst>
        </xdr:cNvPr>
        <xdr:cNvSpPr txBox="1"/>
      </xdr:nvSpPr>
      <xdr:spPr>
        <a:xfrm>
          <a:off x="266700" y="3663950"/>
          <a:ext cx="2021275" cy="1307625"/>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latin typeface="Rockwell Light" panose="02040303020102020203" pitchFamily="18" charset="0"/>
            </a:rPr>
            <a:t>Temporal multipliers</a:t>
          </a:r>
        </a:p>
      </xdr:txBody>
    </xdr:sp>
    <xdr:clientData/>
  </xdr:twoCellAnchor>
  <xdr:twoCellAnchor>
    <xdr:from>
      <xdr:col>5</xdr:col>
      <xdr:colOff>120651</xdr:colOff>
      <xdr:row>16</xdr:row>
      <xdr:rowOff>173567</xdr:rowOff>
    </xdr:from>
    <xdr:to>
      <xdr:col>8</xdr:col>
      <xdr:colOff>212584</xdr:colOff>
      <xdr:row>23</xdr:row>
      <xdr:rowOff>17517</xdr:rowOff>
    </xdr:to>
    <xdr:sp macro="[0]!ActivateG5EnhancementTemporaldata" textlink="">
      <xdr:nvSpPr>
        <xdr:cNvPr id="13" name="TextBox 12">
          <a:extLst>
            <a:ext uri="{FF2B5EF4-FFF2-40B4-BE49-F238E27FC236}">
              <a16:creationId xmlns:a16="http://schemas.microsoft.com/office/drawing/2014/main" id="{00000000-0008-0000-2A00-00000D000000}"/>
            </a:ext>
          </a:extLst>
        </xdr:cNvPr>
        <xdr:cNvSpPr txBox="1"/>
      </xdr:nvSpPr>
      <xdr:spPr>
        <a:xfrm>
          <a:off x="2520951" y="3669242"/>
          <a:ext cx="2006458" cy="1310800"/>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latin typeface="Rockwell Light" panose="02040303020102020203" pitchFamily="18" charset="0"/>
            </a:rPr>
            <a:t>Enhancement temporal multipliers</a:t>
          </a:r>
        </a:p>
      </xdr:txBody>
    </xdr:sp>
    <xdr:clientData/>
  </xdr:twoCellAnchor>
  <xdr:twoCellAnchor>
    <xdr:from>
      <xdr:col>8</xdr:col>
      <xdr:colOff>446617</xdr:colOff>
      <xdr:row>16</xdr:row>
      <xdr:rowOff>183092</xdr:rowOff>
    </xdr:from>
    <xdr:to>
      <xdr:col>12</xdr:col>
      <xdr:colOff>66534</xdr:colOff>
      <xdr:row>23</xdr:row>
      <xdr:rowOff>7992</xdr:rowOff>
    </xdr:to>
    <xdr:sp macro="[0]!ActivateG6Hedgerowdata" textlink="">
      <xdr:nvSpPr>
        <xdr:cNvPr id="14" name="TextBox 13">
          <a:extLst>
            <a:ext uri="{FF2B5EF4-FFF2-40B4-BE49-F238E27FC236}">
              <a16:creationId xmlns:a16="http://schemas.microsoft.com/office/drawing/2014/main" id="{00000000-0008-0000-2A00-00000E000000}"/>
            </a:ext>
          </a:extLst>
        </xdr:cNvPr>
        <xdr:cNvSpPr txBox="1"/>
      </xdr:nvSpPr>
      <xdr:spPr>
        <a:xfrm>
          <a:off x="4761442" y="3678767"/>
          <a:ext cx="2020217" cy="1291750"/>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solidFill>
              <a:latin typeface="Rockwell Light" panose="02040303020102020203" pitchFamily="18" charset="0"/>
            </a:rPr>
            <a:t>Hedgerow data</a:t>
          </a:r>
        </a:p>
      </xdr:txBody>
    </xdr:sp>
    <xdr:clientData/>
  </xdr:twoCellAnchor>
  <xdr:twoCellAnchor>
    <xdr:from>
      <xdr:col>1</xdr:col>
      <xdr:colOff>136524</xdr:colOff>
      <xdr:row>24</xdr:row>
      <xdr:rowOff>7409</xdr:rowOff>
    </xdr:from>
    <xdr:to>
      <xdr:col>4</xdr:col>
      <xdr:colOff>544899</xdr:colOff>
      <xdr:row>30</xdr:row>
      <xdr:rowOff>115942</xdr:rowOff>
    </xdr:to>
    <xdr:sp macro="[0]!ActivateG7WaterCdata" textlink="">
      <xdr:nvSpPr>
        <xdr:cNvPr id="16" name="TextBox 15">
          <a:extLst>
            <a:ext uri="{FF2B5EF4-FFF2-40B4-BE49-F238E27FC236}">
              <a16:creationId xmlns:a16="http://schemas.microsoft.com/office/drawing/2014/main" id="{00000000-0008-0000-2A00-000010000000}"/>
            </a:ext>
          </a:extLst>
        </xdr:cNvPr>
        <xdr:cNvSpPr txBox="1"/>
      </xdr:nvSpPr>
      <xdr:spPr>
        <a:xfrm>
          <a:off x="288924" y="5179484"/>
          <a:ext cx="2018100" cy="1251533"/>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aseline="0">
              <a:solidFill>
                <a:schemeClr val="bg1"/>
              </a:solidFill>
              <a:latin typeface="Rockwell Light" panose="02040303020102020203" pitchFamily="18" charset="0"/>
            </a:rPr>
            <a:t>Watercourse data</a:t>
          </a:r>
          <a:endParaRPr lang="en-GB" sz="1400">
            <a:solidFill>
              <a:schemeClr val="bg1"/>
            </a:solidFill>
            <a:latin typeface="Rockwell Light" panose="02040303020102020203" pitchFamily="18" charset="0"/>
          </a:endParaRPr>
        </a:p>
      </xdr:txBody>
    </xdr:sp>
    <xdr:clientData/>
  </xdr:twoCellAnchor>
  <xdr:twoCellAnchor>
    <xdr:from>
      <xdr:col>5</xdr:col>
      <xdr:colOff>151341</xdr:colOff>
      <xdr:row>23</xdr:row>
      <xdr:rowOff>198967</xdr:rowOff>
    </xdr:from>
    <xdr:to>
      <xdr:col>8</xdr:col>
      <xdr:colOff>258091</xdr:colOff>
      <xdr:row>30</xdr:row>
      <xdr:rowOff>97950</xdr:rowOff>
    </xdr:to>
    <xdr:sp macro="[0]!ActivateConditionlookup" textlink="">
      <xdr:nvSpPr>
        <xdr:cNvPr id="17" name="TextBox 16">
          <a:extLst>
            <a:ext uri="{FF2B5EF4-FFF2-40B4-BE49-F238E27FC236}">
              <a16:creationId xmlns:a16="http://schemas.microsoft.com/office/drawing/2014/main" id="{00000000-0008-0000-2A00-000011000000}"/>
            </a:ext>
          </a:extLst>
        </xdr:cNvPr>
        <xdr:cNvSpPr txBox="1"/>
      </xdr:nvSpPr>
      <xdr:spPr>
        <a:xfrm>
          <a:off x="2551641" y="5161492"/>
          <a:ext cx="2021275" cy="1251533"/>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aseline="0">
              <a:solidFill>
                <a:schemeClr val="bg1"/>
              </a:solidFill>
              <a:latin typeface="Rockwell Light" panose="02040303020102020203" pitchFamily="18" charset="0"/>
            </a:rPr>
            <a:t>Condition data</a:t>
          </a:r>
          <a:endParaRPr lang="en-GB" sz="1400">
            <a:solidFill>
              <a:schemeClr val="bg1"/>
            </a:solidFill>
            <a:latin typeface="Rockwell Light" panose="02040303020102020203" pitchFamily="18" charset="0"/>
          </a:endParaRPr>
        </a:p>
      </xdr:txBody>
    </xdr:sp>
    <xdr:clientData/>
  </xdr:twoCellAnchor>
  <xdr:twoCellAnchor>
    <xdr:from>
      <xdr:col>12</xdr:col>
      <xdr:colOff>302683</xdr:colOff>
      <xdr:row>16</xdr:row>
      <xdr:rowOff>154517</xdr:rowOff>
    </xdr:from>
    <xdr:to>
      <xdr:col>15</xdr:col>
      <xdr:colOff>436950</xdr:colOff>
      <xdr:row>22</xdr:row>
      <xdr:rowOff>145575</xdr:rowOff>
    </xdr:to>
    <xdr:sp macro="[0]!ActivateTranslationTool" textlink="">
      <xdr:nvSpPr>
        <xdr:cNvPr id="18" name="TextBox 17">
          <a:extLst>
            <a:ext uri="{FF2B5EF4-FFF2-40B4-BE49-F238E27FC236}">
              <a16:creationId xmlns:a16="http://schemas.microsoft.com/office/drawing/2014/main" id="{00000000-0008-0000-2A00-000012000000}"/>
            </a:ext>
          </a:extLst>
        </xdr:cNvPr>
        <xdr:cNvSpPr txBox="1"/>
      </xdr:nvSpPr>
      <xdr:spPr>
        <a:xfrm>
          <a:off x="7017808" y="3650192"/>
          <a:ext cx="2020217" cy="1248358"/>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aseline="0">
              <a:solidFill>
                <a:schemeClr val="bg1"/>
              </a:solidFill>
              <a:latin typeface="Rockwell Light" panose="02040303020102020203" pitchFamily="18" charset="0"/>
            </a:rPr>
            <a:t>Phase 1 - metric </a:t>
          </a:r>
        </a:p>
        <a:p>
          <a:pPr algn="ctr"/>
          <a:r>
            <a:rPr lang="en-GB" sz="1400" baseline="0">
              <a:solidFill>
                <a:schemeClr val="bg1"/>
              </a:solidFill>
              <a:latin typeface="Rockwell Light" panose="02040303020102020203" pitchFamily="18" charset="0"/>
            </a:rPr>
            <a:t>habitat translation tool</a:t>
          </a:r>
        </a:p>
      </xdr:txBody>
    </xdr:sp>
    <xdr:clientData/>
  </xdr:twoCellAnchor>
  <xdr:twoCellAnchor>
    <xdr:from>
      <xdr:col>3</xdr:col>
      <xdr:colOff>0</xdr:colOff>
      <xdr:row>0</xdr:row>
      <xdr:rowOff>200024</xdr:rowOff>
    </xdr:from>
    <xdr:to>
      <xdr:col>15</xdr:col>
      <xdr:colOff>609600</xdr:colOff>
      <xdr:row>8</xdr:row>
      <xdr:rowOff>9524</xdr:rowOff>
    </xdr:to>
    <xdr:sp macro="" textlink="">
      <xdr:nvSpPr>
        <xdr:cNvPr id="15" name="TextBox 14">
          <a:extLst>
            <a:ext uri="{FF2B5EF4-FFF2-40B4-BE49-F238E27FC236}">
              <a16:creationId xmlns:a16="http://schemas.microsoft.com/office/drawing/2014/main" id="{00000000-0008-0000-2A00-00000F000000}"/>
            </a:ext>
          </a:extLst>
        </xdr:cNvPr>
        <xdr:cNvSpPr txBox="1"/>
      </xdr:nvSpPr>
      <xdr:spPr>
        <a:xfrm>
          <a:off x="428625" y="200024"/>
          <a:ext cx="8391525" cy="1457325"/>
        </a:xfrm>
        <a:prstGeom prst="roundRect">
          <a:avLst/>
        </a:prstGeom>
        <a:solidFill>
          <a:srgbClr val="E0DCD3"/>
        </a:solidFill>
        <a:ln w="9525" cmpd="sng">
          <a:solidFill>
            <a:schemeClr val="lt1">
              <a:shade val="50000"/>
            </a:schemeClr>
          </a:solidFill>
        </a:ln>
        <a:effectLst>
          <a:innerShdw blurRad="25400" dist="393700" dir="2160000">
            <a:prstClr val="black">
              <a:alpha val="47000"/>
            </a:prstClr>
          </a:innerShdw>
        </a:effectLst>
        <a:scene3d>
          <a:camera prst="orthographicFront"/>
          <a:lightRig rig="threePt" dir="t"/>
        </a:scene3d>
        <a:sp3d contourW="25400">
          <a:bevelT w="114300" prst="artDeco"/>
          <a:bevelB w="0" h="69850" prst="artDeco"/>
          <a:contourClr>
            <a:schemeClr val="bg1"/>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800" b="0" i="0" u="none" strike="noStrike">
              <a:solidFill>
                <a:schemeClr val="accent1"/>
              </a:solidFill>
              <a:effectLst/>
              <a:latin typeface="Rockwell Light" panose="02040303020102020203" pitchFamily="18" charset="0"/>
              <a:ea typeface="Source Sans Pro" panose="020B0503030403020204" pitchFamily="34" charset="0"/>
              <a:cs typeface="+mn-cs"/>
            </a:rPr>
            <a:t>The Statutory Biodiversity Metric </a:t>
          </a:r>
        </a:p>
        <a:p>
          <a:pPr algn="ctr"/>
          <a:r>
            <a:rPr lang="en-GB" sz="2800" b="0" i="0" u="none" strike="noStrike">
              <a:solidFill>
                <a:schemeClr val="accent1"/>
              </a:solidFill>
              <a:effectLst/>
              <a:latin typeface="Rockwell Light" panose="02040303020102020203" pitchFamily="18" charset="0"/>
              <a:ea typeface="Source Sans Pro" panose="020B0503030403020204" pitchFamily="34" charset="0"/>
              <a:cs typeface="+mn-cs"/>
            </a:rPr>
            <a:t>Technical Data</a:t>
          </a:r>
          <a:endParaRPr lang="en-GB" sz="2800" b="0">
            <a:solidFill>
              <a:schemeClr val="accent1"/>
            </a:solidFill>
            <a:latin typeface="Rockwell Light" panose="02040303020102020203" pitchFamily="18" charset="0"/>
            <a:ea typeface="Source Sans Pro" panose="020B0503030403020204" pitchFamily="34" charset="0"/>
          </a:endParaRPr>
        </a:p>
      </xdr:txBody>
    </xdr:sp>
    <xdr:clientData/>
  </xdr:twoCellAnchor>
  <xdr:twoCellAnchor>
    <xdr:from>
      <xdr:col>9</xdr:col>
      <xdr:colOff>19050</xdr:colOff>
      <xdr:row>24</xdr:row>
      <xdr:rowOff>28575</xdr:rowOff>
    </xdr:from>
    <xdr:to>
      <xdr:col>12</xdr:col>
      <xdr:colOff>122625</xdr:colOff>
      <xdr:row>30</xdr:row>
      <xdr:rowOff>130758</xdr:rowOff>
    </xdr:to>
    <xdr:sp macro="[0]!Activatecalculations" textlink="">
      <xdr:nvSpPr>
        <xdr:cNvPr id="2" name="TextBox 1">
          <a:extLst>
            <a:ext uri="{FF2B5EF4-FFF2-40B4-BE49-F238E27FC236}">
              <a16:creationId xmlns:a16="http://schemas.microsoft.com/office/drawing/2014/main" id="{00000000-0008-0000-2A00-000002000000}"/>
            </a:ext>
          </a:extLst>
        </xdr:cNvPr>
        <xdr:cNvSpPr txBox="1"/>
      </xdr:nvSpPr>
      <xdr:spPr>
        <a:xfrm>
          <a:off x="4819650" y="5200650"/>
          <a:ext cx="2018100" cy="1245183"/>
        </a:xfrm>
        <a:prstGeom prst="roundRect">
          <a:avLst/>
        </a:prstGeom>
        <a:solidFill>
          <a:schemeClr val="accen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aseline="0">
              <a:solidFill>
                <a:schemeClr val="bg1"/>
              </a:solidFill>
              <a:latin typeface="Rockwell Light" panose="02040303020102020203" pitchFamily="18" charset="0"/>
            </a:rPr>
            <a:t>Unit shortfall calculations</a:t>
          </a:r>
        </a:p>
      </xdr:txBody>
    </xdr:sp>
    <xdr:clientData/>
  </xdr:twoCellAnchor>
  <xdr:twoCellAnchor>
    <xdr:from>
      <xdr:col>12</xdr:col>
      <xdr:colOff>333375</xdr:colOff>
      <xdr:row>24</xdr:row>
      <xdr:rowOff>19050</xdr:rowOff>
    </xdr:from>
    <xdr:to>
      <xdr:col>15</xdr:col>
      <xdr:colOff>466600</xdr:colOff>
      <xdr:row>30</xdr:row>
      <xdr:rowOff>171625</xdr:rowOff>
    </xdr:to>
    <xdr:sp macro="[0]!Activatemainmenu" textlink="">
      <xdr:nvSpPr>
        <xdr:cNvPr id="3" name="TextBox 2">
          <a:extLst>
            <a:ext uri="{FF2B5EF4-FFF2-40B4-BE49-F238E27FC236}">
              <a16:creationId xmlns:a16="http://schemas.microsoft.com/office/drawing/2014/main" id="{00000000-0008-0000-2A00-000003000000}"/>
            </a:ext>
          </a:extLst>
        </xdr:cNvPr>
        <xdr:cNvSpPr txBox="1"/>
      </xdr:nvSpPr>
      <xdr:spPr>
        <a:xfrm>
          <a:off x="7048500" y="5191125"/>
          <a:ext cx="2019175" cy="1295575"/>
        </a:xfrm>
        <a:prstGeom prst="roundRect">
          <a:avLst/>
        </a:prstGeom>
        <a:solidFill>
          <a:srgbClr val="F4D4D4"/>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1"/>
              </a:solidFill>
              <a:latin typeface="Rockwell Light" panose="02040303020102020203" pitchFamily="18" charset="0"/>
            </a:rPr>
            <a:t>Main</a:t>
          </a:r>
          <a:r>
            <a:rPr lang="en-GB" sz="1400" b="1" baseline="0">
              <a:solidFill>
                <a:schemeClr val="accent1"/>
              </a:solidFill>
              <a:latin typeface="Rockwell Light" panose="02040303020102020203" pitchFamily="18" charset="0"/>
            </a:rPr>
            <a:t> menu</a:t>
          </a:r>
          <a:endParaRPr lang="en-GB" sz="1400" b="1">
            <a:solidFill>
              <a:schemeClr val="accent1"/>
            </a:solidFill>
            <a:latin typeface="Rockwell Light" panose="02040303020102020203"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et%20Gain\Rivers%20and%20Streams\Master%20metric%20with%20RS%20amendments%20with%20new%20G7%20layou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YN264DF\m312897$\Net%20Gain\Rivers%20and%20Streams\Master%20metric%20with%20RS%20amendments%20with%20new%20G7%20layou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YN264DF\m312897$\Net%20Gain\Latest%20Tool%20with%20updated%20hedgerows%2006%2011%20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tart"/>
      <sheetName val="Instructions"/>
      <sheetName val="Main Menu"/>
      <sheetName val="Results"/>
      <sheetName val="Headline Results"/>
      <sheetName val="Detailed Results"/>
      <sheetName val="Trading Summary"/>
      <sheetName val="A-1 Site Habitat Baseline"/>
      <sheetName val="A-2 Site Habitat Creation"/>
      <sheetName val="A-3 Site Habitat Enhancement"/>
      <sheetName val="A-4 Site Habitat Succession"/>
      <sheetName val="B-1 Site Hedge Baseline"/>
      <sheetName val="B-2 Site Hedge Creation"/>
      <sheetName val="B-3 Site Hedge Enhancement"/>
      <sheetName val="C-1 Site River Baseline"/>
      <sheetName val="C-2 Site River Creation"/>
      <sheetName val="C-3 Site River Enhancement"/>
      <sheetName val="D-1 Off Site Habitat Baseline"/>
      <sheetName val="D-2 Off Site Habitat Creation"/>
      <sheetName val="D-3 Off Site Habitat Enhancment"/>
      <sheetName val="D-4 Off Site Habitat Succession"/>
      <sheetName val="E-1 Off Site Hedge Baseline"/>
      <sheetName val="E-2 Off Site Hedge Creation"/>
      <sheetName val="E-3 Off Site Hedge Enhancement"/>
      <sheetName val="F-1 Off Site River Baseline"/>
      <sheetName val="F-2 Off Site River Creation"/>
      <sheetName val="F-3 Off Site River Enhancement"/>
      <sheetName val="G-1 All Habitats"/>
      <sheetName val="G-2 Habitat groups"/>
      <sheetName val="G-3 Multipliers"/>
      <sheetName val="G-4 Temporal multipliers"/>
      <sheetName val="G-5 Enhancement Temporal"/>
      <sheetName val="G-6 Hedgerow Data"/>
      <sheetName val="G-7 Rivers Data"/>
      <sheetName val="G-8 Condition Look up"/>
      <sheetName val="G-9 Translation Phase 1"/>
      <sheetName val="Technical Data"/>
      <sheetName val="Lists"/>
      <sheetName val="Master metric with RS amend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9">
          <cell r="C9" t="str">
            <v>Baseline ref</v>
          </cell>
        </row>
      </sheetData>
      <sheetData sheetId="26"/>
      <sheetData sheetId="27"/>
      <sheetData sheetId="28"/>
      <sheetData sheetId="29"/>
      <sheetData sheetId="30"/>
      <sheetData sheetId="31"/>
      <sheetData sheetId="32"/>
      <sheetData sheetId="33"/>
      <sheetData sheetId="34" refreshError="1">
        <row r="2">
          <cell r="C2" t="str">
            <v>Distinctivness</v>
          </cell>
        </row>
        <row r="4">
          <cell r="AA4" t="str">
            <v xml:space="preserve">No Encroachment </v>
          </cell>
          <cell r="AB4">
            <v>1</v>
          </cell>
        </row>
        <row r="5">
          <cell r="AA5" t="str">
            <v>Minor</v>
          </cell>
          <cell r="AB5">
            <v>0.8</v>
          </cell>
        </row>
        <row r="6">
          <cell r="AA6" t="str">
            <v>Major</v>
          </cell>
          <cell r="AB6">
            <v>0.5</v>
          </cell>
        </row>
      </sheetData>
      <sheetData sheetId="35"/>
      <sheetData sheetId="36"/>
      <sheetData sheetId="37"/>
      <sheetData sheetId="38"/>
      <sheetData sheetId="3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7 Rivers Data"/>
      <sheetName val="Introduction"/>
      <sheetName val="Start"/>
      <sheetName val="Instructions"/>
      <sheetName val="Main Menu"/>
      <sheetName val="Results"/>
      <sheetName val="Headline Results"/>
      <sheetName val="Detailed Results"/>
      <sheetName val="Trading Summary"/>
      <sheetName val="A-1 Site Habitat Baseline"/>
      <sheetName val="A-2 Site Habitat Creation"/>
      <sheetName val="A-3 Site Habitat Enhancement"/>
      <sheetName val="A-4 Site Habitat Succession"/>
      <sheetName val="B-1 Site Hedge Baseline"/>
      <sheetName val="B-2 Site Hedge Creation"/>
      <sheetName val="B-3 Site Hedge Enhancement"/>
      <sheetName val="C-1 Site River Baseline"/>
      <sheetName val="C-2 Site River Creation"/>
      <sheetName val="C-3 Site River Enhancement"/>
      <sheetName val="D-1 Off Site Habitat Baseline"/>
      <sheetName val="D-2 Off Site Habitat Creation"/>
      <sheetName val="D-3 Off Site Habitat Enhancment"/>
      <sheetName val="D-4 Off Site Habitat Succession"/>
      <sheetName val="E-1 Off Site Hedge Baseline"/>
      <sheetName val="E-2 Off Site Hedge Creation"/>
      <sheetName val="E-3 Off Site Hedge Enhancement"/>
      <sheetName val="F-1 Off Site River Baseline"/>
      <sheetName val="F-2 Off Site River Creation"/>
      <sheetName val="F-3 Off Site River Enhancement"/>
      <sheetName val="G-1 All Habitats"/>
      <sheetName val="G-2 Habitat groups"/>
      <sheetName val="G-3 Multipliers"/>
      <sheetName val="G-4 Temporal multipliers"/>
      <sheetName val="G-5 Enhancement Temporal"/>
      <sheetName val="G-6 Hedgerow Data"/>
      <sheetName val="G-8 Condition Look up"/>
      <sheetName val="G-9 Translation Phase 1"/>
      <sheetName val="Technical Data"/>
      <sheetName val="Lists"/>
      <sheetName val="Master metric with RS amendment"/>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9">
          <cell r="C9" t="str">
            <v>Baseline ref</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tart"/>
      <sheetName val="Instructions"/>
      <sheetName val="Main Menu"/>
      <sheetName val="Results"/>
      <sheetName val="Headline Results"/>
      <sheetName val="Detailed Results"/>
      <sheetName val="Trading Summary"/>
      <sheetName val="C-1 Site River Baseline"/>
      <sheetName val="C-2 Site River Creation"/>
      <sheetName val="C-3 Site River Enhancement"/>
      <sheetName val="F-1 Off Site River Baseline"/>
      <sheetName val="F-2 Off Site River Creation"/>
      <sheetName val="F-3 Off Site River Enhancement"/>
      <sheetName val="G-7 Rivers Data"/>
      <sheetName val="A-1 Site Habitat Baseline"/>
      <sheetName val="A-2 Site Habitat Creation"/>
      <sheetName val="A-3 Site Habitat Enhancement"/>
      <sheetName val="A-4 Site Habitat Succession"/>
      <sheetName val="D-1 Off Site Habitat Baseline"/>
      <sheetName val="D-2 Off Site Habitat Creation"/>
      <sheetName val="D-3 Off Site Habitat Enhancment"/>
      <sheetName val="D-4 Off Site Habitat Succession"/>
      <sheetName val="B-1 Site Hedge Baseline"/>
      <sheetName val="B-2 Site Hedge Creation"/>
      <sheetName val="B-3 Site Hedge Enhancement"/>
      <sheetName val="E-1 Off Site Hedge Baseline"/>
      <sheetName val="E-2 Off Site Hedge Creation"/>
      <sheetName val="E-3 Off Site Hedge Enhancement"/>
      <sheetName val="G-6 Hedgerow Data"/>
      <sheetName val="G-1 All Habitats"/>
      <sheetName val="G-2 Habitat groups"/>
      <sheetName val="G-3 Multipliers"/>
      <sheetName val="G-4 Temporal multipliers"/>
      <sheetName val="G-5 Enhancement Temporal"/>
      <sheetName val="G-8 Condition Look up"/>
      <sheetName val="G-9 Translation Phase 1"/>
      <sheetName val="Technical Data"/>
      <sheetName val="List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 sheetId="25" refreshError="1"/>
      <sheetData sheetId="26"/>
      <sheetData sheetId="27" refreshError="1"/>
      <sheetData sheetId="28" refreshError="1"/>
      <sheetData sheetId="29">
        <row r="3">
          <cell r="B3" t="str">
            <v>Native Species Rich Hedgerow with trees - Associated with bank or ditch</v>
          </cell>
        </row>
      </sheetData>
      <sheetData sheetId="30"/>
      <sheetData sheetId="31" refreshError="1"/>
      <sheetData sheetId="32"/>
      <sheetData sheetId="33"/>
      <sheetData sheetId="34" refreshError="1"/>
      <sheetData sheetId="35" refreshError="1"/>
      <sheetData sheetId="36" refreshError="1"/>
      <sheetData sheetId="37" refreshError="1"/>
      <sheetData sheetId="38" refreshError="1"/>
    </sheetDataSet>
  </externalBook>
</externalLink>
</file>

<file path=xl/theme/theme1.xml><?xml version="1.0" encoding="utf-8"?>
<a:theme xmlns:a="http://schemas.openxmlformats.org/drawingml/2006/main" name="Office Theme">
  <a:themeElements>
    <a:clrScheme name="Metric Theme Elegant">
      <a:dk1>
        <a:srgbClr val="ABC3C9"/>
      </a:dk1>
      <a:lt1>
        <a:sysClr val="window" lastClr="FFFFFF"/>
      </a:lt1>
      <a:dk2>
        <a:srgbClr val="CCBE9F"/>
      </a:dk2>
      <a:lt2>
        <a:srgbClr val="E0DCD3"/>
      </a:lt2>
      <a:accent1>
        <a:srgbClr val="383745"/>
      </a:accent1>
      <a:accent2>
        <a:srgbClr val="CAB8CB"/>
      </a:accent2>
      <a:accent3>
        <a:srgbClr val="F4D4D4"/>
      </a:accent3>
      <a:accent4>
        <a:srgbClr val="C0C0C0"/>
      </a:accent4>
      <a:accent5>
        <a:srgbClr val="92D050"/>
      </a:accent5>
      <a:accent6>
        <a:srgbClr val="945642"/>
      </a:accent6>
      <a:hlink>
        <a:srgbClr val="00B0F0"/>
      </a:hlink>
      <a:folHlink>
        <a:srgbClr val="FFC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tabColor theme="0" tint="-0.249977111117893"/>
  </sheetPr>
  <dimension ref="A1:Z591"/>
  <sheetViews>
    <sheetView showRowColHeaders="0" zoomScale="80" zoomScaleNormal="80" workbookViewId="0">
      <selection activeCell="AI28" sqref="AI28"/>
    </sheetView>
  </sheetViews>
  <sheetFormatPr defaultColWidth="9.1796875" defaultRowHeight="14.5" customHeight="1" zeroHeight="1" x14ac:dyDescent="0.35"/>
  <cols>
    <col min="1" max="2" width="9.1796875" style="3" customWidth="1"/>
    <col min="3" max="3" width="7" style="3" customWidth="1"/>
    <col min="4" max="6" width="9.1796875" style="3" customWidth="1"/>
    <col min="7" max="7" width="12.1796875" style="3" customWidth="1"/>
    <col min="8" max="8" width="5.7265625" style="3" customWidth="1"/>
    <col min="9" max="9" width="9.1796875" style="3" customWidth="1"/>
    <col min="10" max="10" width="34.54296875" style="3" customWidth="1"/>
    <col min="11" max="11" width="13.7265625" style="3" bestFit="1" customWidth="1"/>
    <col min="12" max="12" width="19.26953125" style="3" customWidth="1"/>
    <col min="13" max="14" width="9.1796875" style="3" customWidth="1"/>
    <col min="15" max="18" width="9.1796875" style="3"/>
    <col min="19" max="19" width="9.1796875" style="3" customWidth="1"/>
    <col min="20" max="26" width="9.1796875" style="3" hidden="1" customWidth="1"/>
    <col min="27" max="27" width="9.1796875" style="3" customWidth="1"/>
    <col min="28" max="16384" width="9.1796875" style="3"/>
  </cols>
  <sheetData>
    <row r="1" spans="1:7" ht="30" customHeight="1" x14ac:dyDescent="0.5">
      <c r="A1" s="2"/>
      <c r="B1" s="2"/>
      <c r="C1" s="2"/>
      <c r="D1" s="2"/>
      <c r="E1" s="2"/>
      <c r="F1" s="2"/>
      <c r="G1" s="2"/>
    </row>
    <row r="2" spans="1:7" ht="16.5" customHeight="1" x14ac:dyDescent="0.35"/>
    <row r="3" spans="1:7" ht="16.5" customHeight="1" x14ac:dyDescent="0.35"/>
    <row r="4" spans="1:7" ht="16.5" customHeight="1" x14ac:dyDescent="0.35"/>
    <row r="5" spans="1:7" ht="16.5" customHeight="1" x14ac:dyDescent="0.35"/>
    <row r="6" spans="1:7" ht="16.5" customHeight="1" x14ac:dyDescent="0.35"/>
    <row r="7" spans="1:7" ht="16.5" customHeight="1" x14ac:dyDescent="0.35"/>
    <row r="8" spans="1:7" ht="16.5" customHeight="1" x14ac:dyDescent="0.35"/>
    <row r="9" spans="1:7" ht="16.5" customHeight="1" x14ac:dyDescent="0.35"/>
    <row r="10" spans="1:7" ht="16.5" customHeight="1" x14ac:dyDescent="0.35"/>
    <row r="11" spans="1:7" ht="16.5" customHeight="1" x14ac:dyDescent="0.35"/>
    <row r="12" spans="1:7" ht="16.5" customHeight="1" x14ac:dyDescent="0.35"/>
    <row r="13" spans="1:7" ht="16.5" customHeight="1" x14ac:dyDescent="0.35"/>
    <row r="14" spans="1:7" ht="16.5" customHeight="1" x14ac:dyDescent="0.35"/>
    <row r="15" spans="1:7" ht="16.5" customHeight="1" x14ac:dyDescent="0.35"/>
    <row r="16" spans="1:7" ht="16.5" customHeight="1" x14ac:dyDescent="0.35"/>
    <row r="17" spans="10:10" ht="16.5" customHeight="1" x14ac:dyDescent="0.35"/>
    <row r="18" spans="10:10" ht="16.5" customHeight="1" x14ac:dyDescent="0.35"/>
    <row r="19" spans="10:10" ht="16.5" customHeight="1" x14ac:dyDescent="0.35"/>
    <row r="20" spans="10:10" ht="16.5" customHeight="1" x14ac:dyDescent="0.35"/>
    <row r="21" spans="10:10" ht="16.5" customHeight="1" x14ac:dyDescent="0.35"/>
    <row r="22" spans="10:10" ht="16.5" customHeight="1" x14ac:dyDescent="0.35"/>
    <row r="23" spans="10:10" ht="16.5" customHeight="1" x14ac:dyDescent="0.35"/>
    <row r="24" spans="10:10" ht="16.5" customHeight="1" x14ac:dyDescent="0.35"/>
    <row r="25" spans="10:10" ht="16.5" customHeight="1" x14ac:dyDescent="0.35">
      <c r="J25" s="4"/>
    </row>
    <row r="26" spans="10:10" ht="16.5" customHeight="1" x14ac:dyDescent="0.35"/>
    <row r="27" spans="10:10" ht="16.5" customHeight="1" x14ac:dyDescent="0.35"/>
    <row r="28" spans="10:10" ht="16.5" customHeight="1" x14ac:dyDescent="0.35"/>
    <row r="29" spans="10:10" ht="16.5" customHeight="1" x14ac:dyDescent="0.35"/>
    <row r="30" spans="10:10" ht="16.5" customHeight="1" x14ac:dyDescent="0.35"/>
    <row r="31" spans="10:10" ht="16.5" customHeight="1" x14ac:dyDescent="0.35"/>
    <row r="32" spans="10:10" ht="16.5" customHeight="1" x14ac:dyDescent="0.35"/>
    <row r="33" ht="16.5" customHeight="1" x14ac:dyDescent="0.35"/>
    <row r="34" ht="16.5" customHeight="1" x14ac:dyDescent="0.35"/>
    <row r="35" ht="16.5" customHeight="1" x14ac:dyDescent="0.35"/>
    <row r="36" ht="16.5" customHeight="1" x14ac:dyDescent="0.35"/>
    <row r="37" ht="16.5" customHeight="1" x14ac:dyDescent="0.35"/>
    <row r="38" ht="16.5" customHeight="1" x14ac:dyDescent="0.35"/>
    <row r="39" ht="16.5" customHeight="1" x14ac:dyDescent="0.35"/>
    <row r="40" ht="16.5" customHeight="1" x14ac:dyDescent="0.35"/>
    <row r="41" ht="16.5" customHeight="1" x14ac:dyDescent="0.35"/>
    <row r="42" ht="16.5" customHeight="1" x14ac:dyDescent="0.35"/>
    <row r="43" ht="16.5" customHeight="1" x14ac:dyDescent="0.35"/>
    <row r="44" ht="16.5" customHeight="1" x14ac:dyDescent="0.35"/>
    <row r="45" ht="16.5" customHeight="1" x14ac:dyDescent="0.35"/>
    <row r="46" ht="16.5" customHeight="1" x14ac:dyDescent="0.35"/>
    <row r="47" ht="16.5" customHeight="1" x14ac:dyDescent="0.35"/>
    <row r="48" ht="16.5" customHeight="1" x14ac:dyDescent="0.35"/>
    <row r="49" ht="16.5" customHeight="1" x14ac:dyDescent="0.35"/>
    <row r="50" ht="16.5" customHeight="1" x14ac:dyDescent="0.35"/>
    <row r="51" ht="16.5" customHeight="1" x14ac:dyDescent="0.35"/>
    <row r="52" ht="16.5" customHeight="1" x14ac:dyDescent="0.35"/>
    <row r="53" ht="16.5" customHeight="1" x14ac:dyDescent="0.35"/>
    <row r="54" ht="16.5" customHeight="1" x14ac:dyDescent="0.35"/>
    <row r="55" ht="16.5" customHeight="1" x14ac:dyDescent="0.35"/>
    <row r="56" ht="16.5" customHeight="1" x14ac:dyDescent="0.35"/>
    <row r="57" ht="16.5" customHeight="1" x14ac:dyDescent="0.35"/>
    <row r="58" ht="16.5" customHeight="1" x14ac:dyDescent="0.35"/>
    <row r="59" ht="16.5" customHeight="1" x14ac:dyDescent="0.35"/>
    <row r="60" ht="16.5" customHeight="1" x14ac:dyDescent="0.35"/>
    <row r="61" ht="16.5" customHeight="1" x14ac:dyDescent="0.35"/>
    <row r="62" ht="16.5" customHeight="1" x14ac:dyDescent="0.35"/>
    <row r="63" ht="16.5" customHeight="1" x14ac:dyDescent="0.35"/>
    <row r="64" ht="16.5" customHeight="1" x14ac:dyDescent="0.35"/>
    <row r="65" ht="16.5" customHeight="1" x14ac:dyDescent="0.35"/>
    <row r="66" ht="16.5" customHeight="1" x14ac:dyDescent="0.35"/>
    <row r="67" ht="16.5" customHeight="1" x14ac:dyDescent="0.35"/>
    <row r="68" ht="16.5" customHeight="1" x14ac:dyDescent="0.35"/>
    <row r="69" ht="16.5" customHeight="1" x14ac:dyDescent="0.35"/>
    <row r="70" ht="16.5" customHeight="1" x14ac:dyDescent="0.35"/>
    <row r="71" ht="16.5" customHeight="1" x14ac:dyDescent="0.35"/>
    <row r="72" ht="16.5" customHeight="1" x14ac:dyDescent="0.35"/>
    <row r="73" ht="16.5" customHeight="1" x14ac:dyDescent="0.35"/>
    <row r="74" ht="16.5" customHeight="1" x14ac:dyDescent="0.35"/>
    <row r="75" ht="16.5" customHeight="1" x14ac:dyDescent="0.35"/>
    <row r="76" ht="16.5" customHeight="1" x14ac:dyDescent="0.35"/>
    <row r="77" ht="16.5" customHeight="1" x14ac:dyDescent="0.35"/>
    <row r="78" ht="16.5" customHeight="1" x14ac:dyDescent="0.35"/>
    <row r="79" ht="16.5" customHeight="1" x14ac:dyDescent="0.35"/>
    <row r="80" ht="16.5" customHeight="1" x14ac:dyDescent="0.35"/>
    <row r="81" ht="16.5" customHeight="1" x14ac:dyDescent="0.35"/>
    <row r="82" ht="16.5" customHeight="1" x14ac:dyDescent="0.35"/>
    <row r="83" ht="16.5" customHeight="1" x14ac:dyDescent="0.35"/>
    <row r="84" ht="16.5" customHeight="1" x14ac:dyDescent="0.35"/>
    <row r="85" ht="16.5" customHeight="1" x14ac:dyDescent="0.35"/>
    <row r="86" ht="16.5" customHeight="1" x14ac:dyDescent="0.35"/>
    <row r="87" ht="16.5" customHeight="1" x14ac:dyDescent="0.35"/>
    <row r="88" ht="16.5" customHeight="1" x14ac:dyDescent="0.35"/>
    <row r="89" ht="16.5" customHeight="1" x14ac:dyDescent="0.35"/>
    <row r="90" ht="16.5" customHeight="1" x14ac:dyDescent="0.35"/>
    <row r="91" ht="16.5" customHeight="1" x14ac:dyDescent="0.35"/>
    <row r="92" ht="16.5" customHeight="1" x14ac:dyDescent="0.35"/>
    <row r="93" ht="16.5" customHeight="1" x14ac:dyDescent="0.35"/>
    <row r="94" ht="16.5" customHeight="1" x14ac:dyDescent="0.35"/>
    <row r="95" ht="16.5" customHeight="1" x14ac:dyDescent="0.35"/>
    <row r="96" ht="16.5" customHeight="1" x14ac:dyDescent="0.35"/>
    <row r="97" ht="16.5" customHeight="1" x14ac:dyDescent="0.35"/>
    <row r="98" ht="16.5" customHeight="1" x14ac:dyDescent="0.35"/>
    <row r="99" ht="16.5" customHeight="1" x14ac:dyDescent="0.35"/>
    <row r="100" ht="16.5" customHeight="1" x14ac:dyDescent="0.35"/>
    <row r="101" ht="16.5" customHeight="1" x14ac:dyDescent="0.35"/>
    <row r="102" ht="16.5" customHeight="1" x14ac:dyDescent="0.35"/>
    <row r="103" ht="16.5" customHeight="1" x14ac:dyDescent="0.35"/>
    <row r="104" ht="16.5" customHeight="1" x14ac:dyDescent="0.35"/>
    <row r="105" ht="16.5" customHeight="1" x14ac:dyDescent="0.35"/>
    <row r="106" ht="16.5" customHeight="1" x14ac:dyDescent="0.35"/>
    <row r="107" ht="16.5" customHeight="1" x14ac:dyDescent="0.35"/>
    <row r="108" ht="16.5" customHeight="1" x14ac:dyDescent="0.35"/>
    <row r="109" ht="16.5" customHeight="1" x14ac:dyDescent="0.35"/>
    <row r="110" ht="16.5" customHeight="1" x14ac:dyDescent="0.35"/>
    <row r="111" ht="16.5" customHeight="1" x14ac:dyDescent="0.35"/>
    <row r="112" ht="16.5" customHeight="1" x14ac:dyDescent="0.35"/>
    <row r="113" ht="16.5" customHeight="1" x14ac:dyDescent="0.35"/>
    <row r="114" ht="16.5" customHeight="1" x14ac:dyDescent="0.35"/>
    <row r="115" ht="16.5" customHeight="1" x14ac:dyDescent="0.35"/>
    <row r="116" ht="16.5" customHeight="1" x14ac:dyDescent="0.35"/>
    <row r="117" ht="16.5" customHeight="1" x14ac:dyDescent="0.35"/>
    <row r="118" ht="16.5" customHeight="1" x14ac:dyDescent="0.35"/>
    <row r="119" ht="16.5" customHeight="1" x14ac:dyDescent="0.35"/>
    <row r="120" ht="16.5" customHeight="1" x14ac:dyDescent="0.35"/>
    <row r="121" ht="16.5" customHeight="1" x14ac:dyDescent="0.35"/>
    <row r="122" ht="16.5" customHeight="1" x14ac:dyDescent="0.35"/>
    <row r="123" ht="16.5" customHeight="1" x14ac:dyDescent="0.35"/>
    <row r="124" ht="16.5" customHeight="1" x14ac:dyDescent="0.35"/>
    <row r="125" ht="16.5" customHeight="1" x14ac:dyDescent="0.35"/>
    <row r="126" ht="16.5" customHeight="1" x14ac:dyDescent="0.35"/>
    <row r="127" ht="16.5" customHeight="1" x14ac:dyDescent="0.35"/>
    <row r="128" ht="16.5" customHeight="1" x14ac:dyDescent="0.35"/>
    <row r="129" ht="16.5" customHeight="1" x14ac:dyDescent="0.35"/>
    <row r="130" ht="16.5" customHeight="1" x14ac:dyDescent="0.35"/>
    <row r="131" ht="16.5" customHeight="1" x14ac:dyDescent="0.35"/>
    <row r="132" ht="16.5" customHeight="1" x14ac:dyDescent="0.35"/>
    <row r="133" ht="16.5" customHeight="1" x14ac:dyDescent="0.35"/>
    <row r="134" ht="16.5" customHeight="1" x14ac:dyDescent="0.35"/>
    <row r="135" ht="16.5" customHeight="1" x14ac:dyDescent="0.35"/>
    <row r="136" ht="16.5" customHeight="1" x14ac:dyDescent="0.35"/>
    <row r="137" ht="16.5" customHeight="1" x14ac:dyDescent="0.35"/>
    <row r="138" ht="16.5" customHeight="1" x14ac:dyDescent="0.35"/>
    <row r="139" ht="16.5" customHeight="1" x14ac:dyDescent="0.35"/>
    <row r="140" ht="16.5" customHeight="1" x14ac:dyDescent="0.35"/>
    <row r="141" ht="16.5" customHeight="1" x14ac:dyDescent="0.35"/>
    <row r="142" ht="16.5" customHeight="1" x14ac:dyDescent="0.35"/>
    <row r="143" ht="16.5" customHeight="1" x14ac:dyDescent="0.35"/>
    <row r="144" ht="16.5" customHeight="1" x14ac:dyDescent="0.35"/>
    <row r="145" ht="16.5" customHeight="1" x14ac:dyDescent="0.35"/>
    <row r="146" ht="16.5" customHeight="1" x14ac:dyDescent="0.35"/>
    <row r="147" ht="16.5" customHeight="1" x14ac:dyDescent="0.35"/>
    <row r="148" ht="16.5" customHeight="1" x14ac:dyDescent="0.35"/>
    <row r="149" ht="16.5" customHeight="1" x14ac:dyDescent="0.35"/>
    <row r="150" ht="16.5" customHeight="1" x14ac:dyDescent="0.35"/>
    <row r="151" ht="16.5" customHeight="1" x14ac:dyDescent="0.35"/>
    <row r="152" ht="16.5" customHeight="1" x14ac:dyDescent="0.35"/>
    <row r="153" ht="16.5" customHeight="1" x14ac:dyDescent="0.35"/>
    <row r="154" ht="16.5" customHeight="1" x14ac:dyDescent="0.35"/>
    <row r="155" ht="16.5" customHeight="1" x14ac:dyDescent="0.35"/>
    <row r="156" ht="16.5" customHeight="1" x14ac:dyDescent="0.35"/>
    <row r="157" ht="16.5" customHeight="1" x14ac:dyDescent="0.35"/>
    <row r="158" ht="16.5" customHeight="1" x14ac:dyDescent="0.35"/>
    <row r="159" ht="16.5" customHeight="1" x14ac:dyDescent="0.35"/>
    <row r="160" ht="16.5" customHeight="1" x14ac:dyDescent="0.35"/>
    <row r="161" ht="16.5" customHeight="1" x14ac:dyDescent="0.35"/>
    <row r="162" ht="16.5" customHeight="1" x14ac:dyDescent="0.35"/>
    <row r="163" ht="16.5" customHeight="1" x14ac:dyDescent="0.35"/>
    <row r="164" ht="16.5" customHeight="1" x14ac:dyDescent="0.35"/>
    <row r="165" ht="16.5" customHeight="1" x14ac:dyDescent="0.35"/>
    <row r="166" ht="16.5" customHeight="1" x14ac:dyDescent="0.35"/>
    <row r="167" ht="16.5" customHeight="1" x14ac:dyDescent="0.35"/>
    <row r="168" ht="16.5" customHeight="1" x14ac:dyDescent="0.35"/>
    <row r="169" ht="16.5" customHeight="1" x14ac:dyDescent="0.35"/>
    <row r="170" ht="16.5" customHeight="1" x14ac:dyDescent="0.35"/>
    <row r="171" ht="16.5" customHeight="1" x14ac:dyDescent="0.35"/>
    <row r="172" ht="16.5" customHeight="1" x14ac:dyDescent="0.35"/>
    <row r="173" ht="16.5" customHeight="1" x14ac:dyDescent="0.35"/>
    <row r="174" ht="16.5" customHeight="1" x14ac:dyDescent="0.35"/>
    <row r="175" ht="16.5" customHeight="1" x14ac:dyDescent="0.35"/>
    <row r="176" ht="16.5" customHeight="1" x14ac:dyDescent="0.35"/>
    <row r="177" ht="16.5" customHeight="1" x14ac:dyDescent="0.35"/>
    <row r="178" ht="16.5" customHeight="1" x14ac:dyDescent="0.35"/>
    <row r="179" ht="16.5" customHeight="1" x14ac:dyDescent="0.35"/>
    <row r="180" ht="16.5" customHeight="1" x14ac:dyDescent="0.35"/>
    <row r="181" ht="16.5" customHeight="1" x14ac:dyDescent="0.35"/>
    <row r="182" ht="16.5" customHeight="1" x14ac:dyDescent="0.35"/>
    <row r="183" ht="16.5" customHeight="1" x14ac:dyDescent="0.35"/>
    <row r="184" ht="16.5" customHeight="1" x14ac:dyDescent="0.35"/>
    <row r="185" ht="16.5" customHeight="1" x14ac:dyDescent="0.35"/>
    <row r="186" ht="16.5" customHeight="1" x14ac:dyDescent="0.35"/>
    <row r="187" ht="16.5" customHeight="1" x14ac:dyDescent="0.35"/>
    <row r="188" ht="16.5" customHeight="1" x14ac:dyDescent="0.35"/>
    <row r="189" ht="16.5" customHeight="1" x14ac:dyDescent="0.35"/>
    <row r="190" ht="16.5" customHeight="1" x14ac:dyDescent="0.35"/>
    <row r="191" ht="16.5" customHeight="1" x14ac:dyDescent="0.35"/>
    <row r="192" ht="16.5" customHeight="1" x14ac:dyDescent="0.35"/>
    <row r="193" ht="16.5" customHeight="1" x14ac:dyDescent="0.35"/>
    <row r="194" ht="16.5" customHeight="1" x14ac:dyDescent="0.35"/>
    <row r="195" ht="16.5" customHeight="1" x14ac:dyDescent="0.35"/>
    <row r="196" ht="16.5" customHeight="1" x14ac:dyDescent="0.35"/>
    <row r="197" ht="16.5" customHeight="1" x14ac:dyDescent="0.35"/>
    <row r="198" ht="16.5" customHeight="1" x14ac:dyDescent="0.35"/>
    <row r="199" ht="16.5" customHeight="1" x14ac:dyDescent="0.35"/>
    <row r="200" ht="16.5" customHeight="1" x14ac:dyDescent="0.35"/>
    <row r="201" ht="16.5" customHeight="1" x14ac:dyDescent="0.35"/>
    <row r="202" ht="16.5" customHeight="1" x14ac:dyDescent="0.35"/>
    <row r="203" ht="16.5" customHeight="1" x14ac:dyDescent="0.35"/>
    <row r="204" ht="16.5" customHeight="1" x14ac:dyDescent="0.35"/>
    <row r="205" ht="16.5" customHeight="1" x14ac:dyDescent="0.35"/>
    <row r="206" ht="16.5" customHeight="1" x14ac:dyDescent="0.35"/>
    <row r="207" ht="16.5" customHeight="1" x14ac:dyDescent="0.35"/>
    <row r="208" ht="16.5" customHeight="1" x14ac:dyDescent="0.35"/>
    <row r="209" ht="16.5" customHeight="1" x14ac:dyDescent="0.35"/>
    <row r="210" ht="16.5" customHeight="1" x14ac:dyDescent="0.35"/>
    <row r="211" ht="16.5" customHeight="1" x14ac:dyDescent="0.35"/>
    <row r="212" ht="16.5" customHeight="1" x14ac:dyDescent="0.35"/>
    <row r="213" ht="16.5" customHeight="1" x14ac:dyDescent="0.35"/>
    <row r="214" ht="16.5" customHeight="1" x14ac:dyDescent="0.35"/>
    <row r="215" ht="16.5" customHeight="1" x14ac:dyDescent="0.35"/>
    <row r="216" ht="16.5" customHeight="1" x14ac:dyDescent="0.35"/>
    <row r="217" ht="16.5" customHeight="1" x14ac:dyDescent="0.35"/>
    <row r="218" ht="16.5" customHeight="1" x14ac:dyDescent="0.35"/>
    <row r="219" ht="16.5" customHeight="1" x14ac:dyDescent="0.35"/>
    <row r="220" ht="16.5" customHeight="1" x14ac:dyDescent="0.35"/>
    <row r="221" ht="16.5" customHeight="1" x14ac:dyDescent="0.35"/>
    <row r="222" ht="16.5" customHeight="1" x14ac:dyDescent="0.35"/>
    <row r="223" ht="16.5" customHeight="1" x14ac:dyDescent="0.35"/>
    <row r="224" ht="16.5" customHeight="1" x14ac:dyDescent="0.35"/>
    <row r="225" ht="16.5" customHeight="1" x14ac:dyDescent="0.35"/>
    <row r="226" ht="16.5" customHeight="1" x14ac:dyDescent="0.35"/>
    <row r="227" ht="16.5" customHeight="1" x14ac:dyDescent="0.35"/>
    <row r="228" ht="16.5" customHeight="1" x14ac:dyDescent="0.35"/>
    <row r="229" ht="16.5" customHeight="1" x14ac:dyDescent="0.35"/>
    <row r="230" ht="16.5" customHeight="1" x14ac:dyDescent="0.35"/>
    <row r="231" ht="16.5" customHeight="1" x14ac:dyDescent="0.35"/>
    <row r="232" ht="16.5" customHeight="1" x14ac:dyDescent="0.35"/>
    <row r="233" ht="16.5" customHeight="1" x14ac:dyDescent="0.35"/>
    <row r="234" ht="16.5" customHeight="1" x14ac:dyDescent="0.35"/>
    <row r="235" ht="16.5" customHeight="1" x14ac:dyDescent="0.35"/>
    <row r="236" ht="16.5" customHeight="1" x14ac:dyDescent="0.35"/>
    <row r="237" ht="16.5" customHeight="1" x14ac:dyDescent="0.35"/>
    <row r="238" ht="16.5" customHeight="1" x14ac:dyDescent="0.35"/>
    <row r="239" ht="16.5" customHeight="1" x14ac:dyDescent="0.35"/>
    <row r="240" ht="16.5" customHeight="1" x14ac:dyDescent="0.35"/>
    <row r="241" ht="16.5" customHeight="1" x14ac:dyDescent="0.35"/>
    <row r="242" ht="16.5" customHeight="1" x14ac:dyDescent="0.35"/>
    <row r="243" ht="16.5" customHeight="1" x14ac:dyDescent="0.35"/>
    <row r="244" ht="16.5" customHeight="1" x14ac:dyDescent="0.35"/>
    <row r="245" ht="16.5" customHeight="1" x14ac:dyDescent="0.35"/>
    <row r="246" ht="16.5" customHeight="1" x14ac:dyDescent="0.35"/>
    <row r="247" ht="16.5" customHeight="1" x14ac:dyDescent="0.35"/>
    <row r="248" ht="16.5" customHeight="1" x14ac:dyDescent="0.35"/>
    <row r="249" ht="16.5" customHeight="1" x14ac:dyDescent="0.35"/>
    <row r="250" ht="16.5" customHeight="1" x14ac:dyDescent="0.35"/>
    <row r="251" ht="16.5" customHeight="1" x14ac:dyDescent="0.35"/>
    <row r="252" ht="16.5" customHeight="1" x14ac:dyDescent="0.35"/>
    <row r="253" ht="16.5" customHeight="1" x14ac:dyDescent="0.35"/>
    <row r="254" ht="16.5" customHeight="1" x14ac:dyDescent="0.35"/>
    <row r="255" ht="16.5" customHeight="1" x14ac:dyDescent="0.35"/>
    <row r="256" ht="16.5" customHeight="1" x14ac:dyDescent="0.35"/>
    <row r="257" ht="16.5" customHeight="1" x14ac:dyDescent="0.35"/>
    <row r="258" ht="16.5" customHeight="1" x14ac:dyDescent="0.35"/>
    <row r="259" ht="16.5" customHeight="1" x14ac:dyDescent="0.35"/>
    <row r="260" ht="16.5" customHeight="1" x14ac:dyDescent="0.35"/>
    <row r="261" ht="16.5" customHeight="1" x14ac:dyDescent="0.35"/>
    <row r="262" ht="16.5" customHeight="1" x14ac:dyDescent="0.35"/>
    <row r="263" ht="16.5" customHeight="1" x14ac:dyDescent="0.35"/>
    <row r="264" ht="16.5" customHeight="1" x14ac:dyDescent="0.35"/>
    <row r="265" ht="16.5" customHeight="1" x14ac:dyDescent="0.35"/>
    <row r="266" ht="16.5" customHeight="1" x14ac:dyDescent="0.35"/>
    <row r="267" ht="16.5" customHeight="1" x14ac:dyDescent="0.35"/>
    <row r="268" ht="16.5" customHeight="1" x14ac:dyDescent="0.35"/>
    <row r="269" ht="16.5" customHeight="1" x14ac:dyDescent="0.35"/>
    <row r="270" ht="16.5" customHeight="1" x14ac:dyDescent="0.35"/>
    <row r="271" ht="16.5" customHeight="1" x14ac:dyDescent="0.35"/>
    <row r="272" ht="16.5" customHeight="1" x14ac:dyDescent="0.35"/>
    <row r="273" ht="16.5" customHeight="1" x14ac:dyDescent="0.35"/>
    <row r="274" ht="16.5" customHeight="1" x14ac:dyDescent="0.35"/>
    <row r="275" ht="16.5" customHeight="1" x14ac:dyDescent="0.35"/>
    <row r="276" ht="16.5" customHeight="1" x14ac:dyDescent="0.35"/>
    <row r="277" ht="16.5" customHeight="1" x14ac:dyDescent="0.35"/>
    <row r="278" ht="16.5" customHeight="1" x14ac:dyDescent="0.35"/>
    <row r="279" ht="16.5" customHeight="1" x14ac:dyDescent="0.35"/>
    <row r="280" ht="16.5" customHeight="1" x14ac:dyDescent="0.35"/>
    <row r="281" ht="16.5" customHeight="1" x14ac:dyDescent="0.35"/>
    <row r="282" ht="16.5" customHeight="1" x14ac:dyDescent="0.35"/>
    <row r="283" ht="16.5" customHeight="1" x14ac:dyDescent="0.35"/>
    <row r="284" ht="16.5" customHeight="1" x14ac:dyDescent="0.35"/>
    <row r="285" ht="16.5" customHeight="1" x14ac:dyDescent="0.35"/>
    <row r="286" ht="16.5" customHeight="1" x14ac:dyDescent="0.35"/>
    <row r="287" ht="16.5" customHeight="1" x14ac:dyDescent="0.35"/>
    <row r="288" ht="16.5" customHeight="1" x14ac:dyDescent="0.35"/>
    <row r="289" ht="16.5" customHeight="1" x14ac:dyDescent="0.35"/>
    <row r="290" ht="16.5" customHeight="1" x14ac:dyDescent="0.35"/>
    <row r="291" ht="16.5" customHeight="1" x14ac:dyDescent="0.35"/>
    <row r="292" ht="16.5" customHeight="1" x14ac:dyDescent="0.35"/>
    <row r="293" ht="16.5" customHeight="1" x14ac:dyDescent="0.35"/>
    <row r="294" ht="16.5" customHeight="1" x14ac:dyDescent="0.35"/>
    <row r="295" ht="16.5" customHeight="1" x14ac:dyDescent="0.35"/>
    <row r="296" ht="16.5" customHeight="1" x14ac:dyDescent="0.35"/>
    <row r="297" ht="16.5" customHeight="1" x14ac:dyDescent="0.35"/>
    <row r="298" ht="16.5" customHeight="1" x14ac:dyDescent="0.35"/>
    <row r="299" ht="16.5" customHeight="1" x14ac:dyDescent="0.35"/>
    <row r="300" ht="16.5" customHeight="1" x14ac:dyDescent="0.35"/>
    <row r="301" ht="16.5" customHeight="1" x14ac:dyDescent="0.35"/>
    <row r="302" ht="16.5" customHeight="1" x14ac:dyDescent="0.35"/>
    <row r="303" ht="16.5" customHeight="1" x14ac:dyDescent="0.35"/>
    <row r="304" ht="16.5" customHeight="1" x14ac:dyDescent="0.35"/>
    <row r="305" ht="16.5" customHeight="1" x14ac:dyDescent="0.35"/>
    <row r="306" ht="16.5" customHeight="1" x14ac:dyDescent="0.35"/>
    <row r="307" ht="16.5" customHeight="1" x14ac:dyDescent="0.35"/>
    <row r="308" ht="16.5" customHeight="1" x14ac:dyDescent="0.35"/>
    <row r="309" ht="16.5" customHeight="1" x14ac:dyDescent="0.35"/>
    <row r="310" ht="16.5" customHeight="1" x14ac:dyDescent="0.35"/>
    <row r="311" ht="16.5" customHeight="1" x14ac:dyDescent="0.35"/>
    <row r="312" ht="16.5" customHeight="1" x14ac:dyDescent="0.35"/>
    <row r="313" ht="16.5" customHeight="1" x14ac:dyDescent="0.35"/>
    <row r="314" ht="16.5" customHeight="1" x14ac:dyDescent="0.35"/>
    <row r="315" ht="16.5" customHeight="1" x14ac:dyDescent="0.35"/>
    <row r="316" ht="16.5" customHeight="1" x14ac:dyDescent="0.35"/>
    <row r="317" ht="16.5" customHeight="1" x14ac:dyDescent="0.35"/>
    <row r="318" ht="16.5" customHeight="1" x14ac:dyDescent="0.35"/>
    <row r="319" ht="16.5" customHeight="1" x14ac:dyDescent="0.35"/>
    <row r="320" ht="16.5" customHeight="1" x14ac:dyDescent="0.35"/>
    <row r="321" ht="16.5" customHeight="1" x14ac:dyDescent="0.35"/>
    <row r="322" ht="16.5" customHeight="1" x14ac:dyDescent="0.35"/>
    <row r="323" ht="16.5" customHeight="1" x14ac:dyDescent="0.35"/>
    <row r="324" ht="16.5" customHeight="1" x14ac:dyDescent="0.35"/>
    <row r="325" ht="16.5" customHeight="1" x14ac:dyDescent="0.35"/>
    <row r="326" ht="16.5" customHeight="1" x14ac:dyDescent="0.35"/>
    <row r="327" ht="16.5" customHeight="1" x14ac:dyDescent="0.35"/>
    <row r="328" ht="16.5" customHeight="1" x14ac:dyDescent="0.35"/>
    <row r="329" ht="16.5" customHeight="1" x14ac:dyDescent="0.35"/>
    <row r="330" ht="16.5" customHeight="1" x14ac:dyDescent="0.35"/>
    <row r="331" ht="16.5" customHeight="1" x14ac:dyDescent="0.35"/>
    <row r="332" ht="16.5" customHeight="1" x14ac:dyDescent="0.35"/>
    <row r="333" ht="16.5" customHeight="1" x14ac:dyDescent="0.35"/>
    <row r="334" ht="16.5" customHeight="1" x14ac:dyDescent="0.35"/>
    <row r="335" ht="16.5" customHeight="1" x14ac:dyDescent="0.35"/>
    <row r="336" ht="16.5" customHeight="1" x14ac:dyDescent="0.35"/>
    <row r="337" ht="16.5" customHeight="1" x14ac:dyDescent="0.35"/>
    <row r="338" ht="16.5" customHeight="1" x14ac:dyDescent="0.35"/>
    <row r="339" ht="16.5" customHeight="1" x14ac:dyDescent="0.35"/>
    <row r="340" ht="16.5" customHeight="1" x14ac:dyDescent="0.35"/>
    <row r="341" ht="16.5" customHeight="1" x14ac:dyDescent="0.35"/>
    <row r="342" ht="16.5" customHeight="1" x14ac:dyDescent="0.35"/>
    <row r="343" ht="16.5" customHeight="1" x14ac:dyDescent="0.35"/>
    <row r="344" ht="16.5" customHeight="1" x14ac:dyDescent="0.35"/>
    <row r="345" ht="16.5" customHeight="1" x14ac:dyDescent="0.35"/>
    <row r="346" ht="16.5" customHeight="1" x14ac:dyDescent="0.35"/>
    <row r="347" ht="16.5" customHeight="1" x14ac:dyDescent="0.35"/>
    <row r="348" ht="16.5" customHeight="1" x14ac:dyDescent="0.35"/>
    <row r="349" ht="16.5" customHeight="1" x14ac:dyDescent="0.35"/>
    <row r="350" ht="16.5" customHeight="1" x14ac:dyDescent="0.35"/>
    <row r="351" ht="16.5" customHeight="1" x14ac:dyDescent="0.35"/>
    <row r="352" ht="16.5" customHeight="1" x14ac:dyDescent="0.35"/>
    <row r="353" ht="16.5" customHeight="1" x14ac:dyDescent="0.35"/>
    <row r="354" ht="16.5" customHeight="1" x14ac:dyDescent="0.35"/>
    <row r="355" ht="16.5" customHeight="1" x14ac:dyDescent="0.35"/>
    <row r="356" ht="16.5" customHeight="1" x14ac:dyDescent="0.35"/>
    <row r="357" ht="16.5" customHeight="1" x14ac:dyDescent="0.35"/>
    <row r="358" ht="16.5" customHeight="1" x14ac:dyDescent="0.35"/>
    <row r="359" ht="16.5" customHeight="1" x14ac:dyDescent="0.35"/>
    <row r="360" ht="16.5" customHeight="1" x14ac:dyDescent="0.35"/>
    <row r="361" ht="16.5" customHeight="1" x14ac:dyDescent="0.35"/>
    <row r="362" ht="16.5" customHeight="1" x14ac:dyDescent="0.35"/>
    <row r="363" ht="16.5" customHeight="1" x14ac:dyDescent="0.35"/>
    <row r="364" ht="16.5" customHeight="1" x14ac:dyDescent="0.35"/>
    <row r="365" ht="16.5" customHeight="1" x14ac:dyDescent="0.35"/>
    <row r="366" ht="16.5" customHeight="1" x14ac:dyDescent="0.35"/>
    <row r="367" ht="16.5" customHeight="1" x14ac:dyDescent="0.35"/>
    <row r="368" ht="16.5" customHeight="1" x14ac:dyDescent="0.35"/>
    <row r="369" ht="16.5" customHeight="1" x14ac:dyDescent="0.35"/>
    <row r="370" ht="16.5" customHeight="1" x14ac:dyDescent="0.35"/>
    <row r="371" ht="16.5" customHeight="1" x14ac:dyDescent="0.35"/>
    <row r="372" ht="16.5" customHeight="1" x14ac:dyDescent="0.35"/>
    <row r="373" ht="16.5" customHeight="1" x14ac:dyDescent="0.35"/>
    <row r="374" ht="16.5" customHeight="1" x14ac:dyDescent="0.35"/>
    <row r="375" ht="16.5" customHeight="1" x14ac:dyDescent="0.35"/>
    <row r="376" ht="16.5" customHeight="1" x14ac:dyDescent="0.35"/>
    <row r="377" ht="16.5" customHeight="1" x14ac:dyDescent="0.35"/>
    <row r="378" ht="16.5" customHeight="1" x14ac:dyDescent="0.35"/>
    <row r="379" ht="16.5" customHeight="1" x14ac:dyDescent="0.35"/>
    <row r="380" ht="16.5" customHeight="1" x14ac:dyDescent="0.35"/>
    <row r="381" ht="16.5" customHeight="1" x14ac:dyDescent="0.35"/>
    <row r="382" ht="16.5" customHeight="1" x14ac:dyDescent="0.35"/>
    <row r="383" ht="16.5" customHeight="1" x14ac:dyDescent="0.35"/>
    <row r="384" ht="16.5" customHeight="1" x14ac:dyDescent="0.35"/>
    <row r="385" ht="16.5" customHeight="1" x14ac:dyDescent="0.35"/>
    <row r="386" ht="16.5" customHeight="1" x14ac:dyDescent="0.35"/>
    <row r="387" ht="16.5" customHeight="1" x14ac:dyDescent="0.35"/>
    <row r="388" ht="16.5" customHeight="1" x14ac:dyDescent="0.35"/>
    <row r="389" ht="16.5" customHeight="1" x14ac:dyDescent="0.35"/>
    <row r="390" ht="16.5" customHeight="1" x14ac:dyDescent="0.35"/>
    <row r="391" ht="16.5" customHeight="1" x14ac:dyDescent="0.35"/>
    <row r="392" ht="16.5" customHeight="1" x14ac:dyDescent="0.35"/>
    <row r="393" ht="16.5" customHeight="1" x14ac:dyDescent="0.35"/>
    <row r="394" ht="16.5" customHeight="1" x14ac:dyDescent="0.35"/>
    <row r="395" ht="16.5" customHeight="1" x14ac:dyDescent="0.35"/>
    <row r="396" ht="16.5" customHeight="1" x14ac:dyDescent="0.35"/>
    <row r="397" ht="16.5" customHeight="1" x14ac:dyDescent="0.35"/>
    <row r="398" ht="16.5" customHeight="1" x14ac:dyDescent="0.35"/>
    <row r="399" ht="16.5" customHeight="1" x14ac:dyDescent="0.35"/>
    <row r="400" ht="16.5" customHeight="1" x14ac:dyDescent="0.35"/>
    <row r="401" ht="16.5" customHeight="1" x14ac:dyDescent="0.35"/>
    <row r="402" ht="16.5" customHeight="1" x14ac:dyDescent="0.35"/>
    <row r="403" ht="16.5" customHeight="1" x14ac:dyDescent="0.35"/>
    <row r="404" ht="16.5" customHeight="1" x14ac:dyDescent="0.35"/>
    <row r="405" ht="16.5" customHeight="1" x14ac:dyDescent="0.35"/>
    <row r="406" ht="16.5" customHeight="1" x14ac:dyDescent="0.35"/>
    <row r="407" ht="16.5" customHeight="1" x14ac:dyDescent="0.35"/>
    <row r="408" ht="16.5" customHeight="1" x14ac:dyDescent="0.35"/>
    <row r="409" ht="16.5" customHeight="1" x14ac:dyDescent="0.35"/>
    <row r="410" ht="16.5" customHeight="1" x14ac:dyDescent="0.35"/>
    <row r="411" ht="16.5" customHeight="1" x14ac:dyDescent="0.35"/>
    <row r="412" ht="16.5" customHeight="1" x14ac:dyDescent="0.35"/>
    <row r="413" ht="16.5" customHeight="1" x14ac:dyDescent="0.35"/>
    <row r="414" ht="16.5" customHeight="1" x14ac:dyDescent="0.35"/>
    <row r="415" ht="16.5" customHeight="1" x14ac:dyDescent="0.35"/>
    <row r="416" ht="16.5" customHeight="1" x14ac:dyDescent="0.35"/>
    <row r="417" ht="16.5" customHeight="1" x14ac:dyDescent="0.35"/>
    <row r="418" ht="16.5" customHeight="1" x14ac:dyDescent="0.35"/>
    <row r="419" ht="16.5" customHeight="1" x14ac:dyDescent="0.35"/>
    <row r="420" ht="16.5" customHeight="1" x14ac:dyDescent="0.35"/>
    <row r="421" ht="16.5" customHeight="1" x14ac:dyDescent="0.35"/>
    <row r="422" ht="16.5" customHeight="1" x14ac:dyDescent="0.35"/>
    <row r="423" ht="16.5" customHeight="1" x14ac:dyDescent="0.35"/>
    <row r="424" ht="16.5" customHeight="1" x14ac:dyDescent="0.35"/>
    <row r="425" ht="16.5" customHeight="1" x14ac:dyDescent="0.35"/>
    <row r="426" ht="16.5" customHeight="1" x14ac:dyDescent="0.35"/>
    <row r="427" ht="16.5" customHeight="1" x14ac:dyDescent="0.35"/>
    <row r="428" ht="16.5" customHeight="1" x14ac:dyDescent="0.35"/>
    <row r="429" ht="16.5" customHeight="1" x14ac:dyDescent="0.35"/>
    <row r="430" ht="16.5" customHeight="1" x14ac:dyDescent="0.35"/>
    <row r="431" ht="16.5" customHeight="1" x14ac:dyDescent="0.35"/>
    <row r="432" ht="16.5" customHeight="1" x14ac:dyDescent="0.35"/>
    <row r="433" ht="16.5" customHeight="1" x14ac:dyDescent="0.35"/>
    <row r="434" ht="16.5" customHeight="1" x14ac:dyDescent="0.35"/>
    <row r="435" ht="16.5" customHeight="1" x14ac:dyDescent="0.35"/>
    <row r="436" ht="16.5" customHeight="1" x14ac:dyDescent="0.35"/>
    <row r="437" ht="16.5" customHeight="1" x14ac:dyDescent="0.35"/>
    <row r="438" ht="16.5" customHeight="1" x14ac:dyDescent="0.35"/>
    <row r="439" ht="16.5" customHeight="1" x14ac:dyDescent="0.35"/>
    <row r="440" ht="16.5" customHeight="1" x14ac:dyDescent="0.35"/>
    <row r="441" ht="16.5" customHeight="1" x14ac:dyDescent="0.35"/>
    <row r="442" ht="16.5" customHeight="1" x14ac:dyDescent="0.35"/>
    <row r="443" ht="16.5" customHeight="1" x14ac:dyDescent="0.35"/>
    <row r="444" ht="16.5" customHeight="1" x14ac:dyDescent="0.35"/>
    <row r="445" ht="16.5" customHeight="1" x14ac:dyDescent="0.35"/>
    <row r="446" ht="16.5" customHeight="1" x14ac:dyDescent="0.35"/>
    <row r="447" ht="16.5" customHeight="1" x14ac:dyDescent="0.35"/>
    <row r="448" ht="16.5" customHeight="1" x14ac:dyDescent="0.35"/>
    <row r="449" ht="16.5" customHeight="1" x14ac:dyDescent="0.35"/>
    <row r="450" ht="16.5" customHeight="1" x14ac:dyDescent="0.35"/>
    <row r="451" ht="16.5" customHeight="1" x14ac:dyDescent="0.35"/>
    <row r="452" ht="16.5" customHeight="1" x14ac:dyDescent="0.35"/>
    <row r="453" ht="16.5" customHeight="1" x14ac:dyDescent="0.35"/>
    <row r="454" ht="16.5" customHeight="1" x14ac:dyDescent="0.35"/>
    <row r="455" ht="16.5" customHeight="1" x14ac:dyDescent="0.35"/>
    <row r="456" ht="16.5" customHeight="1" x14ac:dyDescent="0.35"/>
    <row r="457" ht="16.5" customHeight="1" x14ac:dyDescent="0.35"/>
    <row r="458" ht="16.5" customHeight="1" x14ac:dyDescent="0.35"/>
    <row r="459" ht="16.5" customHeight="1" x14ac:dyDescent="0.35"/>
    <row r="460" ht="16.5" customHeight="1" x14ac:dyDescent="0.35"/>
    <row r="461" ht="16.5" customHeight="1" x14ac:dyDescent="0.35"/>
    <row r="462" ht="16.5" customHeight="1" x14ac:dyDescent="0.35"/>
    <row r="463" ht="16.5" customHeight="1" x14ac:dyDescent="0.35"/>
    <row r="464" ht="16.5" customHeight="1" x14ac:dyDescent="0.35"/>
    <row r="465" ht="16.5" customHeight="1" x14ac:dyDescent="0.35"/>
    <row r="466" ht="16.5" customHeight="1" x14ac:dyDescent="0.35"/>
    <row r="467" ht="16.5" customHeight="1" x14ac:dyDescent="0.35"/>
    <row r="468" ht="16.5" customHeight="1" x14ac:dyDescent="0.35"/>
    <row r="469" ht="16.5" customHeight="1" x14ac:dyDescent="0.35"/>
    <row r="470" ht="16.5" customHeight="1" x14ac:dyDescent="0.35"/>
    <row r="471" ht="16.5" customHeight="1" x14ac:dyDescent="0.35"/>
    <row r="472" ht="16.5" customHeight="1" x14ac:dyDescent="0.35"/>
    <row r="473" ht="16.5" customHeight="1" x14ac:dyDescent="0.35"/>
    <row r="474" ht="16.5" customHeight="1" x14ac:dyDescent="0.35"/>
    <row r="475" ht="16.5" customHeight="1" x14ac:dyDescent="0.35"/>
    <row r="476" ht="16.5" customHeight="1" x14ac:dyDescent="0.35"/>
    <row r="477" ht="16.5" customHeight="1" x14ac:dyDescent="0.35"/>
    <row r="478" ht="16.5" customHeight="1" x14ac:dyDescent="0.35"/>
    <row r="479" ht="16.5" customHeight="1" x14ac:dyDescent="0.35"/>
    <row r="480" ht="16.5" customHeight="1" x14ac:dyDescent="0.35"/>
    <row r="481" ht="16.5" customHeight="1" x14ac:dyDescent="0.35"/>
    <row r="482" ht="16.5" customHeight="1" x14ac:dyDescent="0.35"/>
    <row r="483" ht="16.5" customHeight="1" x14ac:dyDescent="0.35"/>
    <row r="484" ht="16.5" customHeight="1" x14ac:dyDescent="0.35"/>
    <row r="485" ht="16.5" customHeight="1" x14ac:dyDescent="0.35"/>
    <row r="486" ht="16.5" customHeight="1" x14ac:dyDescent="0.35"/>
    <row r="487" ht="16.5" customHeight="1" x14ac:dyDescent="0.35"/>
    <row r="488" ht="16.5" customHeight="1" x14ac:dyDescent="0.35"/>
    <row r="489" ht="16.5" customHeight="1" x14ac:dyDescent="0.35"/>
    <row r="490" ht="16.5" customHeight="1" x14ac:dyDescent="0.35"/>
    <row r="491" ht="16.5" customHeight="1" x14ac:dyDescent="0.35"/>
    <row r="492" ht="16.5" customHeight="1" x14ac:dyDescent="0.35"/>
    <row r="493" ht="16.5" customHeight="1" x14ac:dyDescent="0.35"/>
    <row r="494" ht="16.5" customHeight="1" x14ac:dyDescent="0.35"/>
    <row r="495" ht="16.5" customHeight="1" x14ac:dyDescent="0.35"/>
    <row r="496" ht="16.5" customHeight="1" x14ac:dyDescent="0.35"/>
    <row r="497" ht="16.5" customHeight="1" x14ac:dyDescent="0.35"/>
    <row r="498" ht="16.5" customHeight="1" x14ac:dyDescent="0.35"/>
    <row r="499" ht="16.5" customHeight="1" x14ac:dyDescent="0.35"/>
    <row r="500" ht="16.5" customHeight="1" x14ac:dyDescent="0.35"/>
    <row r="501" ht="16.5" customHeight="1" x14ac:dyDescent="0.35"/>
    <row r="502" ht="16.5" customHeight="1" x14ac:dyDescent="0.35"/>
    <row r="503" ht="16.5" customHeight="1" x14ac:dyDescent="0.35"/>
    <row r="504" ht="16.5" customHeight="1" x14ac:dyDescent="0.35"/>
    <row r="505" ht="16.5" customHeight="1" x14ac:dyDescent="0.35"/>
    <row r="506" ht="16.5" customHeight="1" x14ac:dyDescent="0.35"/>
    <row r="507" ht="16.5" customHeight="1" x14ac:dyDescent="0.35"/>
    <row r="508" ht="16.5" customHeight="1" x14ac:dyDescent="0.35"/>
    <row r="509" ht="16.5" customHeight="1" x14ac:dyDescent="0.35"/>
    <row r="510" ht="16.5" customHeight="1" x14ac:dyDescent="0.35"/>
    <row r="511" ht="16.5" customHeight="1" x14ac:dyDescent="0.35"/>
    <row r="512" ht="16.5" customHeight="1" x14ac:dyDescent="0.35"/>
    <row r="513" ht="16.5" customHeight="1" x14ac:dyDescent="0.35"/>
    <row r="514" ht="16.5" customHeight="1" x14ac:dyDescent="0.35"/>
    <row r="515" ht="16.5" customHeight="1" x14ac:dyDescent="0.35"/>
    <row r="516" ht="16.5" customHeight="1" x14ac:dyDescent="0.35"/>
    <row r="517" ht="16.5" customHeight="1" x14ac:dyDescent="0.35"/>
    <row r="518" ht="16.5" customHeight="1" x14ac:dyDescent="0.35"/>
    <row r="519" ht="16.5" customHeight="1" x14ac:dyDescent="0.35"/>
    <row r="520" ht="16.5" customHeight="1" x14ac:dyDescent="0.35"/>
    <row r="521" ht="16.5" customHeight="1" x14ac:dyDescent="0.35"/>
    <row r="522" ht="16.5" customHeight="1" x14ac:dyDescent="0.35"/>
    <row r="523" ht="16.5" customHeight="1" x14ac:dyDescent="0.35"/>
    <row r="524" ht="16.5" customHeight="1" x14ac:dyDescent="0.35"/>
    <row r="525" ht="16.5" customHeight="1" x14ac:dyDescent="0.35"/>
    <row r="526" ht="16.5" customHeight="1" x14ac:dyDescent="0.35"/>
    <row r="527" ht="16.5" customHeight="1" x14ac:dyDescent="0.35"/>
    <row r="528" ht="16.5" customHeight="1" x14ac:dyDescent="0.35"/>
    <row r="529" ht="16.5" customHeight="1" x14ac:dyDescent="0.35"/>
    <row r="530" ht="16.5" customHeight="1" x14ac:dyDescent="0.35"/>
    <row r="531" ht="16.5" customHeight="1" x14ac:dyDescent="0.35"/>
    <row r="532" ht="16.5" customHeight="1" x14ac:dyDescent="0.35"/>
    <row r="533" ht="16.5" customHeight="1" x14ac:dyDescent="0.35"/>
    <row r="534" ht="16.5" customHeight="1" x14ac:dyDescent="0.35"/>
    <row r="535" ht="16.5" customHeight="1" x14ac:dyDescent="0.35"/>
    <row r="536" ht="16.5" customHeight="1" x14ac:dyDescent="0.35"/>
    <row r="537" ht="16.5" customHeight="1" x14ac:dyDescent="0.35"/>
    <row r="538" ht="16.5" customHeight="1" x14ac:dyDescent="0.35"/>
    <row r="539" ht="16.5" customHeight="1" x14ac:dyDescent="0.35"/>
    <row r="540" ht="16.5" customHeight="1" x14ac:dyDescent="0.35"/>
    <row r="541" ht="16.5" customHeight="1" x14ac:dyDescent="0.35"/>
    <row r="542" ht="16.5" customHeight="1" x14ac:dyDescent="0.35"/>
    <row r="543" ht="16.5" customHeight="1" x14ac:dyDescent="0.35"/>
    <row r="544" ht="16.5" customHeight="1" x14ac:dyDescent="0.35"/>
    <row r="545" ht="16.5" customHeight="1" x14ac:dyDescent="0.35"/>
    <row r="546" ht="16.5" customHeight="1" x14ac:dyDescent="0.35"/>
    <row r="547" ht="16.5" customHeight="1" x14ac:dyDescent="0.35"/>
    <row r="548" ht="16.5" customHeight="1" x14ac:dyDescent="0.35"/>
    <row r="549" ht="16.5" customHeight="1" x14ac:dyDescent="0.35"/>
    <row r="550" ht="16.5" customHeight="1" x14ac:dyDescent="0.35"/>
    <row r="551" ht="16.5" customHeight="1" x14ac:dyDescent="0.35"/>
    <row r="552" ht="16.5" customHeight="1" x14ac:dyDescent="0.35"/>
    <row r="553" ht="16.5" customHeight="1" x14ac:dyDescent="0.35"/>
    <row r="554" ht="16.5" customHeight="1" x14ac:dyDescent="0.35"/>
    <row r="555" ht="16.5" customHeight="1" x14ac:dyDescent="0.35"/>
    <row r="556" x14ac:dyDescent="0.35"/>
    <row r="557" x14ac:dyDescent="0.35"/>
    <row r="558" x14ac:dyDescent="0.35"/>
    <row r="559" x14ac:dyDescent="0.35"/>
    <row r="560" x14ac:dyDescent="0.35"/>
    <row r="561" x14ac:dyDescent="0.35"/>
    <row r="562" x14ac:dyDescent="0.35"/>
    <row r="563" x14ac:dyDescent="0.35"/>
    <row r="564" x14ac:dyDescent="0.35"/>
    <row r="565" x14ac:dyDescent="0.35"/>
    <row r="566" x14ac:dyDescent="0.35"/>
    <row r="567" x14ac:dyDescent="0.35"/>
    <row r="568" x14ac:dyDescent="0.35"/>
    <row r="569" x14ac:dyDescent="0.35"/>
    <row r="570" x14ac:dyDescent="0.35"/>
    <row r="571" x14ac:dyDescent="0.35"/>
    <row r="572" x14ac:dyDescent="0.35"/>
    <row r="573" x14ac:dyDescent="0.35"/>
    <row r="574" x14ac:dyDescent="0.35"/>
    <row r="575" x14ac:dyDescent="0.35"/>
    <row r="576" x14ac:dyDescent="0.35"/>
    <row r="577" x14ac:dyDescent="0.35"/>
    <row r="578" x14ac:dyDescent="0.35"/>
    <row r="579" x14ac:dyDescent="0.35"/>
    <row r="580" x14ac:dyDescent="0.35"/>
    <row r="581" x14ac:dyDescent="0.35"/>
    <row r="583" ht="14.5" customHeight="1" x14ac:dyDescent="0.35"/>
    <row r="584" ht="14.5" customHeight="1" x14ac:dyDescent="0.35"/>
    <row r="585" ht="14.5" customHeight="1" x14ac:dyDescent="0.35"/>
    <row r="586" ht="14.5" customHeight="1" x14ac:dyDescent="0.35"/>
    <row r="587" ht="14.5" customHeight="1" x14ac:dyDescent="0.35"/>
    <row r="588" ht="14.5" customHeight="1" x14ac:dyDescent="0.35"/>
    <row r="589" ht="14.5" customHeight="1" x14ac:dyDescent="0.35"/>
    <row r="590" ht="14.5" customHeight="1" x14ac:dyDescent="0.35"/>
    <row r="591" ht="14.5" customHeight="1" x14ac:dyDescent="0.35"/>
  </sheetData>
  <sheetProtection algorithmName="SHA-512" hashValue="aB4h2kewnJRDK4zSqAMzuIrsVi8WQX2Hfka79gRKbWQAwrROIKX6kDUNALDsYpmkibUTpghqK4pNe1rXTnY1AQ==" saltValue="RlBpwtD4qY5DZ/XVM+xqdw==" spinCount="100000" sheet="1" objects="1" scenarios="1"/>
  <customSheetViews>
    <customSheetView guid="{8BDA793C-C9C5-4FC6-A0A5-F1109F6D4F22}" scale="80" state="hidden">
      <selection activeCell="D14" sqref="D14"/>
    </customSheetView>
  </customSheetView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tabColor theme="0" tint="-0.249977111117893"/>
  </sheetPr>
  <dimension ref="A1:AC68"/>
  <sheetViews>
    <sheetView zoomScale="90" zoomScaleNormal="80" workbookViewId="0">
      <selection activeCell="R14" sqref="R14"/>
    </sheetView>
  </sheetViews>
  <sheetFormatPr defaultColWidth="0" defaultRowHeight="0" customHeight="1" zeroHeight="1" x14ac:dyDescent="0.3"/>
  <cols>
    <col min="1" max="2" width="2.1796875" style="5" customWidth="1"/>
    <col min="3" max="3" width="3" style="5" customWidth="1"/>
    <col min="4" max="4" width="10.54296875" style="5" customWidth="1"/>
    <col min="5" max="5" width="33.81640625" style="5" customWidth="1"/>
    <col min="6" max="6" width="14.7265625" style="5" customWidth="1"/>
    <col min="7" max="7" width="9.1796875" style="5" customWidth="1"/>
    <col min="8" max="8" width="7.81640625" style="5" customWidth="1"/>
    <col min="9" max="9" width="42.7265625" style="5" customWidth="1"/>
    <col min="10" max="10" width="23.81640625" style="5" customWidth="1"/>
    <col min="11" max="11" width="2.81640625" style="5" customWidth="1"/>
    <col min="12" max="12" width="1.54296875" style="5" customWidth="1"/>
    <col min="13" max="13" width="4.1796875" style="5" customWidth="1"/>
    <col min="14" max="14" width="4.26953125" style="5" customWidth="1"/>
    <col min="15" max="15" width="5.7265625" style="5" customWidth="1"/>
    <col min="16" max="16" width="9.1796875" style="5" customWidth="1"/>
    <col min="17" max="17" width="34.54296875" style="5" customWidth="1"/>
    <col min="18" max="18" width="13.7265625" style="5" bestFit="1" customWidth="1"/>
    <col min="19" max="19" width="19.26953125" style="5" customWidth="1"/>
    <col min="20" max="28" width="9.1796875" style="5" customWidth="1"/>
    <col min="29" max="29" width="0" style="5" hidden="1" customWidth="1"/>
    <col min="30" max="16384" width="9.1796875" style="5" hidden="1"/>
  </cols>
  <sheetData>
    <row r="1" spans="1:19" ht="15.65" customHeight="1" x14ac:dyDescent="0.6">
      <c r="B1" s="6"/>
      <c r="C1" s="6"/>
      <c r="E1" s="7"/>
      <c r="F1" s="816"/>
      <c r="G1" s="816"/>
      <c r="H1" s="816"/>
      <c r="I1" s="816"/>
      <c r="J1" s="816"/>
      <c r="K1" s="817"/>
      <c r="L1" s="817"/>
      <c r="M1" s="817"/>
      <c r="N1" s="817"/>
      <c r="O1" s="817"/>
      <c r="P1" s="817"/>
    </row>
    <row r="2" spans="1:19" ht="15.75" customHeight="1" x14ac:dyDescent="0.6">
      <c r="B2" s="6"/>
      <c r="C2" s="6"/>
      <c r="E2" s="7"/>
    </row>
    <row r="3" spans="1:19" ht="15.75" customHeight="1" x14ac:dyDescent="0.6">
      <c r="A3" s="7"/>
      <c r="B3" s="7"/>
      <c r="C3" s="7"/>
      <c r="D3" s="7"/>
      <c r="E3" s="7"/>
      <c r="F3" s="818"/>
      <c r="G3" s="818"/>
      <c r="H3" s="818"/>
      <c r="I3" s="818"/>
      <c r="J3" s="818"/>
      <c r="K3" s="818"/>
      <c r="L3" s="818"/>
      <c r="M3" s="818"/>
      <c r="N3" s="818"/>
      <c r="O3" s="818"/>
      <c r="P3" s="818"/>
      <c r="Q3" s="818"/>
    </row>
    <row r="4" spans="1:19" ht="16.5" customHeight="1" x14ac:dyDescent="0.6">
      <c r="A4" s="7"/>
      <c r="B4" s="7"/>
      <c r="C4" s="7"/>
      <c r="D4" s="7"/>
      <c r="E4" s="7"/>
      <c r="F4" s="818"/>
      <c r="G4" s="818"/>
      <c r="H4" s="818"/>
      <c r="I4" s="818"/>
      <c r="J4" s="818"/>
      <c r="K4" s="818"/>
      <c r="L4" s="818"/>
      <c r="M4" s="818"/>
      <c r="N4" s="818"/>
      <c r="O4" s="818"/>
      <c r="P4" s="818"/>
      <c r="Q4" s="818"/>
    </row>
    <row r="5" spans="1:19" ht="16.5" customHeight="1" x14ac:dyDescent="0.6">
      <c r="A5" s="7"/>
      <c r="B5" s="7"/>
      <c r="C5" s="7"/>
      <c r="D5" s="7"/>
      <c r="E5" s="7"/>
      <c r="F5" s="8"/>
      <c r="G5" s="8"/>
      <c r="H5" s="8"/>
      <c r="I5" s="8"/>
      <c r="J5" s="8"/>
      <c r="K5" s="8"/>
      <c r="L5" s="8"/>
      <c r="M5" s="8"/>
      <c r="N5" s="8"/>
      <c r="O5" s="8"/>
      <c r="P5" s="8"/>
      <c r="Q5" s="8"/>
      <c r="R5" s="8"/>
      <c r="S5" s="8"/>
    </row>
    <row r="6" spans="1:19" ht="16.5" customHeight="1" x14ac:dyDescent="0.6">
      <c r="B6" s="6"/>
      <c r="C6" s="6"/>
      <c r="D6" s="7"/>
      <c r="E6" s="7"/>
      <c r="F6" s="8"/>
      <c r="G6" s="8"/>
      <c r="H6" s="8"/>
      <c r="I6" s="8"/>
      <c r="J6" s="8"/>
      <c r="K6" s="8"/>
      <c r="L6" s="8"/>
      <c r="M6" s="8"/>
      <c r="N6" s="8"/>
      <c r="O6" s="8"/>
      <c r="P6" s="8"/>
      <c r="Q6" s="8"/>
      <c r="R6" s="8"/>
      <c r="S6" s="8"/>
    </row>
    <row r="7" spans="1:19" ht="16.5" customHeight="1" x14ac:dyDescent="0.6">
      <c r="B7" s="6"/>
      <c r="C7" s="7"/>
      <c r="D7" s="7"/>
      <c r="E7" s="7"/>
      <c r="F7" s="8"/>
      <c r="G7" s="8"/>
      <c r="H7" s="8"/>
      <c r="I7" s="8"/>
      <c r="J7" s="8"/>
      <c r="K7" s="8"/>
      <c r="L7" s="8"/>
      <c r="M7" s="8"/>
      <c r="N7" s="8"/>
      <c r="O7" s="8"/>
      <c r="P7" s="8"/>
      <c r="Q7" s="8"/>
      <c r="R7" s="8"/>
      <c r="S7" s="8"/>
    </row>
    <row r="8" spans="1:19" ht="23.5" customHeight="1" thickBot="1" x14ac:dyDescent="0.65">
      <c r="B8" s="6"/>
      <c r="C8" s="6"/>
      <c r="D8" s="693">
        <v>4.0999999999999996</v>
      </c>
      <c r="E8" s="823" t="str">
        <f>IF(OR(F16="",F17=""), "'Completed by' and 'Date of metric completion' fields must be filled in ▲","")</f>
        <v/>
      </c>
      <c r="F8" s="823"/>
      <c r="G8" s="823"/>
      <c r="H8" s="823"/>
      <c r="I8" s="823"/>
      <c r="J8" s="823"/>
      <c r="K8" s="8"/>
      <c r="L8" s="8"/>
      <c r="M8" s="8"/>
      <c r="N8" s="8"/>
      <c r="O8" s="8"/>
      <c r="P8" s="8"/>
      <c r="Q8" s="8"/>
      <c r="R8" s="8"/>
      <c r="S8" s="8"/>
    </row>
    <row r="9" spans="1:19" ht="23.5" customHeight="1" x14ac:dyDescent="0.3">
      <c r="B9" s="6"/>
      <c r="D9" s="824" t="s">
        <v>0</v>
      </c>
      <c r="E9" s="825"/>
      <c r="F9" s="825"/>
      <c r="G9" s="825"/>
      <c r="H9" s="825"/>
      <c r="I9" s="825"/>
      <c r="J9" s="826"/>
      <c r="K9" s="8"/>
      <c r="L9" s="8"/>
      <c r="M9" s="8"/>
      <c r="N9" s="8"/>
      <c r="O9" s="8"/>
      <c r="P9" s="8"/>
      <c r="Q9" s="8"/>
      <c r="R9" s="8"/>
      <c r="S9" s="8"/>
    </row>
    <row r="10" spans="1:19" ht="21.65" customHeight="1" thickBot="1" x14ac:dyDescent="0.35">
      <c r="B10" s="6"/>
      <c r="D10" s="827"/>
      <c r="E10" s="828"/>
      <c r="F10" s="828"/>
      <c r="G10" s="828"/>
      <c r="H10" s="828"/>
      <c r="I10" s="828"/>
      <c r="J10" s="829"/>
      <c r="K10" s="8"/>
      <c r="L10" s="8"/>
      <c r="M10" s="8"/>
      <c r="N10" s="8"/>
      <c r="P10" s="8"/>
      <c r="Q10" s="8"/>
      <c r="R10" s="8"/>
    </row>
    <row r="11" spans="1:19" ht="25.9" customHeight="1" x14ac:dyDescent="0.3">
      <c r="B11" s="6"/>
      <c r="D11" s="819" t="s">
        <v>1</v>
      </c>
      <c r="E11" s="820"/>
      <c r="F11" s="821" t="s">
        <v>1627</v>
      </c>
      <c r="G11" s="821"/>
      <c r="H11" s="821"/>
      <c r="I11" s="821"/>
      <c r="J11" s="822"/>
      <c r="K11" s="8"/>
      <c r="L11" s="8"/>
      <c r="M11" s="8"/>
      <c r="N11" s="8"/>
      <c r="P11" s="8"/>
      <c r="Q11" s="8"/>
      <c r="R11" s="8"/>
    </row>
    <row r="12" spans="1:19" ht="24" customHeight="1" x14ac:dyDescent="0.3">
      <c r="B12" s="6"/>
      <c r="D12" s="799" t="s">
        <v>2</v>
      </c>
      <c r="E12" s="800"/>
      <c r="F12" s="808" t="s">
        <v>1631</v>
      </c>
      <c r="G12" s="808"/>
      <c r="H12" s="808"/>
      <c r="I12" s="808"/>
      <c r="J12" s="809"/>
      <c r="K12" s="8"/>
      <c r="L12" s="8"/>
      <c r="M12" s="8"/>
      <c r="N12" s="8"/>
      <c r="P12" s="8"/>
      <c r="Q12" s="8"/>
      <c r="R12" s="8"/>
    </row>
    <row r="13" spans="1:19" ht="21.65" customHeight="1" x14ac:dyDescent="0.3">
      <c r="B13" s="6"/>
      <c r="D13" s="799" t="s">
        <v>3</v>
      </c>
      <c r="E13" s="800"/>
      <c r="F13" s="808" t="s">
        <v>1628</v>
      </c>
      <c r="G13" s="808"/>
      <c r="H13" s="808"/>
      <c r="I13" s="808"/>
      <c r="J13" s="809"/>
      <c r="K13" s="8"/>
      <c r="L13" s="8"/>
      <c r="M13" s="8"/>
      <c r="N13" s="8"/>
      <c r="P13" s="8"/>
      <c r="Q13" s="8"/>
      <c r="R13" s="8"/>
    </row>
    <row r="14" spans="1:19" ht="22.15" customHeight="1" x14ac:dyDescent="0.3">
      <c r="B14" s="6"/>
      <c r="D14" s="799" t="s">
        <v>4</v>
      </c>
      <c r="E14" s="800"/>
      <c r="F14" s="808"/>
      <c r="G14" s="808"/>
      <c r="H14" s="808"/>
      <c r="I14" s="808"/>
      <c r="J14" s="809"/>
      <c r="K14" s="8"/>
      <c r="L14" s="8"/>
      <c r="M14" s="8"/>
      <c r="N14" s="8"/>
      <c r="P14" s="8"/>
      <c r="Q14" s="8"/>
      <c r="R14" s="8"/>
    </row>
    <row r="15" spans="1:19" ht="21.65" customHeight="1" x14ac:dyDescent="0.3">
      <c r="B15" s="6"/>
      <c r="D15" s="799" t="s">
        <v>5</v>
      </c>
      <c r="E15" s="800"/>
      <c r="F15" s="808"/>
      <c r="G15" s="808"/>
      <c r="H15" s="808"/>
      <c r="I15" s="808"/>
      <c r="J15" s="809"/>
      <c r="K15" s="8"/>
      <c r="L15" s="8"/>
      <c r="M15" s="8"/>
      <c r="N15" s="8"/>
      <c r="P15" s="8"/>
      <c r="Q15" s="8"/>
      <c r="R15" s="8"/>
    </row>
    <row r="16" spans="1:19" ht="21" customHeight="1" x14ac:dyDescent="0.3">
      <c r="D16" s="799" t="s">
        <v>6</v>
      </c>
      <c r="E16" s="800"/>
      <c r="F16" s="808" t="s">
        <v>1628</v>
      </c>
      <c r="G16" s="808"/>
      <c r="H16" s="808"/>
      <c r="I16" s="808"/>
      <c r="J16" s="809"/>
      <c r="K16" s="8"/>
      <c r="L16" s="8"/>
      <c r="M16" s="8"/>
      <c r="N16" s="8"/>
      <c r="P16" s="8"/>
      <c r="Q16" s="8"/>
      <c r="R16" s="8"/>
    </row>
    <row r="17" spans="3:18" ht="21" customHeight="1" x14ac:dyDescent="0.3">
      <c r="D17" s="799" t="s">
        <v>7</v>
      </c>
      <c r="E17" s="800"/>
      <c r="F17" s="814">
        <v>45162</v>
      </c>
      <c r="G17" s="814"/>
      <c r="H17" s="814"/>
      <c r="I17" s="814"/>
      <c r="J17" s="815"/>
      <c r="K17" s="8"/>
      <c r="L17" s="8"/>
      <c r="M17" s="8"/>
      <c r="N17" s="8"/>
      <c r="P17" s="8"/>
      <c r="Q17" s="8"/>
      <c r="R17" s="8"/>
    </row>
    <row r="18" spans="3:18" ht="23.5" customHeight="1" x14ac:dyDescent="0.3">
      <c r="D18" s="799" t="s">
        <v>8</v>
      </c>
      <c r="E18" s="800"/>
      <c r="F18" s="808" t="s">
        <v>1629</v>
      </c>
      <c r="G18" s="808"/>
      <c r="H18" s="808"/>
      <c r="I18" s="808"/>
      <c r="J18" s="809"/>
      <c r="K18" s="8"/>
      <c r="L18" s="8"/>
      <c r="M18" s="8"/>
      <c r="N18" s="8"/>
      <c r="P18" s="8"/>
      <c r="Q18" s="8"/>
      <c r="R18" s="8"/>
    </row>
    <row r="19" spans="3:18" ht="24.65" customHeight="1" x14ac:dyDescent="0.3">
      <c r="D19" s="799" t="s">
        <v>9</v>
      </c>
      <c r="E19" s="800"/>
      <c r="F19" s="808" t="s">
        <v>1630</v>
      </c>
      <c r="G19" s="808"/>
      <c r="H19" s="808"/>
      <c r="I19" s="808"/>
      <c r="J19" s="809"/>
      <c r="K19" s="8"/>
      <c r="L19" s="8"/>
      <c r="M19" s="8"/>
      <c r="N19" s="8"/>
      <c r="P19" s="8"/>
      <c r="Q19" s="8"/>
      <c r="R19" s="8"/>
    </row>
    <row r="20" spans="3:18" ht="24.65" customHeight="1" x14ac:dyDescent="0.3">
      <c r="D20" s="799" t="s">
        <v>10</v>
      </c>
      <c r="E20" s="800"/>
      <c r="F20" s="808"/>
      <c r="G20" s="808"/>
      <c r="H20" s="808"/>
      <c r="I20" s="808"/>
      <c r="J20" s="809"/>
      <c r="K20" s="8"/>
      <c r="L20" s="8"/>
      <c r="M20" s="8"/>
      <c r="N20" s="8"/>
      <c r="P20" s="8"/>
      <c r="Q20" s="8"/>
      <c r="R20" s="8"/>
    </row>
    <row r="21" spans="3:18" ht="19.899999999999999" customHeight="1" x14ac:dyDescent="0.3">
      <c r="D21" s="812" t="s">
        <v>11</v>
      </c>
      <c r="E21" s="813"/>
      <c r="F21" s="810"/>
      <c r="G21" s="810"/>
      <c r="H21" s="810"/>
      <c r="I21" s="810"/>
      <c r="J21" s="811"/>
      <c r="K21" s="8"/>
      <c r="L21" s="8"/>
      <c r="M21" s="8"/>
      <c r="N21" s="8"/>
      <c r="P21" s="8"/>
      <c r="Q21" s="8"/>
      <c r="R21" s="8"/>
    </row>
    <row r="22" spans="3:18" ht="19.899999999999999" customHeight="1" x14ac:dyDescent="0.3">
      <c r="D22" s="799" t="s">
        <v>12</v>
      </c>
      <c r="E22" s="800"/>
      <c r="F22" s="801">
        <v>0.1</v>
      </c>
      <c r="G22" s="801"/>
      <c r="H22" s="801"/>
      <c r="I22" s="802" t="str">
        <f>IF(OR(F22&gt;=10%,F22=""),"","Target set below 10% ▲")</f>
        <v/>
      </c>
      <c r="J22" s="803"/>
      <c r="K22" s="8"/>
      <c r="L22" s="8"/>
      <c r="M22" s="8"/>
      <c r="N22" s="8"/>
      <c r="P22" s="8"/>
      <c r="Q22" s="8"/>
      <c r="R22" s="8"/>
    </row>
    <row r="23" spans="3:18" ht="31" customHeight="1" x14ac:dyDescent="0.3">
      <c r="D23" s="804" t="s">
        <v>1538</v>
      </c>
      <c r="E23" s="805"/>
      <c r="F23" s="806" t="str">
        <f>IF(AND('Irreplaceable Habitats'!K32=0,'Irreplaceable Habitats'!K65=0,'Irreplaceable Habitats'!AP65=0,'Irreplaceable Habitats'!AP32=0),"No ✓","Yes ⚠")</f>
        <v>No ✓</v>
      </c>
      <c r="G23" s="806"/>
      <c r="H23" s="806"/>
      <c r="I23" s="806"/>
      <c r="J23" s="807"/>
      <c r="K23" s="8"/>
      <c r="L23" s="8"/>
      <c r="M23" s="8"/>
      <c r="N23" s="8"/>
      <c r="P23" s="8"/>
      <c r="Q23" s="8"/>
      <c r="R23" s="8"/>
    </row>
    <row r="24" spans="3:18" ht="37" customHeight="1" x14ac:dyDescent="0.3">
      <c r="D24" s="804" t="s">
        <v>1542</v>
      </c>
      <c r="E24" s="805"/>
      <c r="F24" s="867">
        <f>'A-1 On-Site Habitat Baseline'!H260</f>
        <v>0</v>
      </c>
      <c r="G24" s="868"/>
      <c r="H24" s="868"/>
      <c r="I24" s="448" t="s">
        <v>1540</v>
      </c>
      <c r="J24" s="449">
        <f>'Irreplaceable Habitats'!K33</f>
        <v>0</v>
      </c>
      <c r="K24" s="8"/>
      <c r="L24" s="8"/>
      <c r="M24" s="8"/>
      <c r="N24" s="8"/>
      <c r="P24" s="8"/>
      <c r="Q24" s="8"/>
      <c r="R24" s="8"/>
    </row>
    <row r="25" spans="3:18" ht="39" customHeight="1" thickBot="1" x14ac:dyDescent="0.35">
      <c r="D25" s="834" t="s">
        <v>1543</v>
      </c>
      <c r="E25" s="835"/>
      <c r="F25" s="869" t="e">
        <f xml:space="preserve"> IF(#REF!=0, "N/A",#REF!)</f>
        <v>#REF!</v>
      </c>
      <c r="G25" s="869"/>
      <c r="H25" s="869"/>
      <c r="I25" s="689" t="s">
        <v>1541</v>
      </c>
      <c r="J25" s="692" t="str">
        <f>IF('Irreplaceable Habitats'!K66=0, "N/A", 'Irreplaceable Habitats'!K66)</f>
        <v>N/A</v>
      </c>
      <c r="P25" s="8"/>
      <c r="Q25" s="8"/>
      <c r="R25" s="8"/>
    </row>
    <row r="26" spans="3:18" ht="14.15" customHeight="1" x14ac:dyDescent="0.3">
      <c r="P26" s="8"/>
      <c r="Q26" s="8"/>
      <c r="R26" s="8"/>
    </row>
    <row r="27" spans="3:18" ht="51" hidden="1" customHeight="1" thickBot="1" x14ac:dyDescent="0.35">
      <c r="D27" s="834" t="s">
        <v>13</v>
      </c>
      <c r="E27" s="835"/>
      <c r="F27" s="836"/>
      <c r="G27" s="836"/>
      <c r="H27" s="836"/>
      <c r="I27" s="837" t="str">
        <f>IF(F27="Yes", "Only acceptable in exceptionally rare circumstances, ensure any deviations have been agreed with the consenting body ⚠", "")</f>
        <v/>
      </c>
      <c r="J27" s="838"/>
      <c r="P27" s="8"/>
      <c r="Q27" s="8"/>
      <c r="R27" s="8"/>
    </row>
    <row r="28" spans="3:18" ht="16.5" customHeight="1" thickBot="1" x14ac:dyDescent="0.35">
      <c r="C28" s="8"/>
      <c r="K28" s="8"/>
      <c r="P28" s="8"/>
      <c r="Q28" s="8"/>
      <c r="R28" s="8"/>
    </row>
    <row r="29" spans="3:18" ht="20.25" customHeight="1" thickBot="1" x14ac:dyDescent="0.45">
      <c r="C29" s="8"/>
      <c r="D29" s="856" t="s">
        <v>14</v>
      </c>
      <c r="E29" s="857"/>
      <c r="F29" s="857"/>
      <c r="G29" s="857"/>
      <c r="H29" s="857"/>
      <c r="I29" s="857"/>
      <c r="J29" s="858"/>
      <c r="K29" s="8"/>
      <c r="L29" s="9"/>
      <c r="M29" s="9"/>
      <c r="N29" s="9"/>
      <c r="P29" s="8"/>
      <c r="Q29" s="8"/>
      <c r="R29" s="8"/>
    </row>
    <row r="30" spans="3:18" ht="20.25" customHeight="1" x14ac:dyDescent="0.4">
      <c r="C30" s="8"/>
      <c r="D30" s="863" t="s">
        <v>15</v>
      </c>
      <c r="E30" s="864"/>
      <c r="F30" s="865" t="s">
        <v>16</v>
      </c>
      <c r="G30" s="865"/>
      <c r="H30" s="865"/>
      <c r="I30" s="865"/>
      <c r="J30" s="866"/>
      <c r="K30" s="8"/>
      <c r="L30" s="9"/>
      <c r="M30" s="9"/>
      <c r="N30" s="9"/>
      <c r="P30" s="8"/>
      <c r="Q30" s="8"/>
      <c r="R30" s="8"/>
    </row>
    <row r="31" spans="3:18" ht="16.5" customHeight="1" x14ac:dyDescent="0.3">
      <c r="D31" s="859" t="s">
        <v>17</v>
      </c>
      <c r="E31" s="860"/>
      <c r="F31" s="861" t="s">
        <v>18</v>
      </c>
      <c r="G31" s="861"/>
      <c r="H31" s="861"/>
      <c r="I31" s="861"/>
      <c r="J31" s="862"/>
      <c r="P31" s="8"/>
      <c r="Q31" s="8"/>
      <c r="R31" s="8"/>
    </row>
    <row r="32" spans="3:18" ht="16.5" customHeight="1" x14ac:dyDescent="0.3">
      <c r="D32" s="843"/>
      <c r="E32" s="844"/>
      <c r="F32" s="845" t="s">
        <v>19</v>
      </c>
      <c r="G32" s="846"/>
      <c r="H32" s="846"/>
      <c r="I32" s="846"/>
      <c r="J32" s="847"/>
      <c r="P32" s="8"/>
      <c r="Q32" s="8"/>
      <c r="R32" s="8"/>
    </row>
    <row r="33" spans="4:18" ht="16.5" customHeight="1" x14ac:dyDescent="0.3">
      <c r="D33" s="854"/>
      <c r="E33" s="855"/>
      <c r="F33" s="841" t="s">
        <v>20</v>
      </c>
      <c r="G33" s="841"/>
      <c r="H33" s="841"/>
      <c r="I33" s="841"/>
      <c r="J33" s="842"/>
      <c r="K33" s="8"/>
      <c r="L33" s="8"/>
      <c r="M33" s="8"/>
      <c r="N33" s="8"/>
      <c r="P33" s="8"/>
      <c r="Q33" s="8"/>
      <c r="R33" s="8"/>
    </row>
    <row r="34" spans="4:18" ht="16.5" customHeight="1" x14ac:dyDescent="0.3">
      <c r="D34" s="839"/>
      <c r="E34" s="840"/>
      <c r="F34" s="841" t="s">
        <v>21</v>
      </c>
      <c r="G34" s="841"/>
      <c r="H34" s="841"/>
      <c r="I34" s="841"/>
      <c r="J34" s="842"/>
      <c r="K34" s="8"/>
      <c r="L34" s="8"/>
      <c r="M34" s="8"/>
      <c r="N34" s="8"/>
      <c r="P34" s="8"/>
      <c r="Q34" s="8"/>
      <c r="R34" s="8"/>
    </row>
    <row r="35" spans="4:18" ht="16.5" customHeight="1" thickBot="1" x14ac:dyDescent="0.35">
      <c r="D35" s="830"/>
      <c r="E35" s="831"/>
      <c r="F35" s="832" t="s">
        <v>22</v>
      </c>
      <c r="G35" s="832"/>
      <c r="H35" s="832"/>
      <c r="I35" s="832"/>
      <c r="J35" s="833"/>
      <c r="K35" s="8"/>
      <c r="L35" s="8"/>
      <c r="M35" s="8"/>
      <c r="N35" s="8"/>
      <c r="P35" s="8"/>
      <c r="Q35" s="8"/>
      <c r="R35" s="8"/>
    </row>
    <row r="36" spans="4:18" ht="16.5" customHeight="1" x14ac:dyDescent="0.3">
      <c r="D36" s="8"/>
      <c r="E36" s="8"/>
      <c r="F36" s="8"/>
      <c r="G36" s="8"/>
      <c r="H36" s="8"/>
      <c r="I36" s="8"/>
      <c r="J36" s="8"/>
      <c r="K36" s="8"/>
      <c r="L36" s="8"/>
      <c r="M36" s="8"/>
      <c r="N36" s="8"/>
      <c r="P36" s="8"/>
      <c r="Q36" s="8"/>
      <c r="R36" s="8"/>
    </row>
    <row r="37" spans="4:18" ht="24" customHeight="1" x14ac:dyDescent="0.3">
      <c r="D37" s="8"/>
      <c r="E37" s="8"/>
      <c r="F37" s="8"/>
      <c r="G37" s="8"/>
      <c r="H37" s="8"/>
      <c r="I37" s="8"/>
      <c r="J37" s="8"/>
      <c r="K37" s="8"/>
      <c r="L37" s="8"/>
      <c r="M37" s="8"/>
      <c r="N37" s="8"/>
      <c r="P37" s="8"/>
      <c r="Q37" s="8"/>
      <c r="R37" s="8"/>
    </row>
    <row r="38" spans="4:18" ht="15" x14ac:dyDescent="0.3">
      <c r="D38" s="8"/>
      <c r="E38" s="8"/>
      <c r="F38" s="8"/>
      <c r="G38" s="8"/>
      <c r="H38" s="8"/>
      <c r="I38" s="8"/>
      <c r="J38" s="8"/>
      <c r="K38" s="8"/>
      <c r="L38" s="8"/>
      <c r="M38" s="8"/>
      <c r="N38" s="8"/>
      <c r="P38" s="8"/>
      <c r="Q38" s="8"/>
      <c r="R38" s="8"/>
    </row>
    <row r="39" spans="4:18" ht="15" x14ac:dyDescent="0.3">
      <c r="D39" s="8"/>
      <c r="E39" s="8"/>
      <c r="F39" s="8"/>
      <c r="G39" s="8"/>
      <c r="H39" s="8"/>
      <c r="I39" s="8"/>
      <c r="J39" s="8"/>
      <c r="K39" s="8"/>
      <c r="L39" s="8"/>
      <c r="M39" s="8"/>
      <c r="N39" s="8"/>
      <c r="O39" s="8"/>
      <c r="P39" s="8"/>
      <c r="Q39" s="8"/>
      <c r="R39" s="8"/>
    </row>
    <row r="40" spans="4:18" ht="15" x14ac:dyDescent="0.3">
      <c r="D40" s="8"/>
      <c r="E40" s="8"/>
      <c r="F40" s="8"/>
      <c r="G40" s="8"/>
      <c r="H40" s="8"/>
      <c r="I40" s="8"/>
      <c r="J40" s="8"/>
      <c r="K40" s="8"/>
      <c r="L40" s="8"/>
      <c r="M40" s="8"/>
      <c r="N40" s="8"/>
      <c r="O40" s="8"/>
      <c r="P40" s="8"/>
      <c r="Q40" s="8"/>
      <c r="R40" s="8"/>
    </row>
    <row r="41" spans="4:18" ht="15" x14ac:dyDescent="0.3">
      <c r="D41" s="8"/>
      <c r="E41" s="8"/>
      <c r="F41" s="8"/>
      <c r="G41" s="8"/>
      <c r="H41" s="8"/>
      <c r="I41" s="8"/>
      <c r="J41" s="8"/>
      <c r="K41" s="8"/>
      <c r="L41" s="8"/>
      <c r="M41" s="8"/>
      <c r="N41" s="8"/>
      <c r="O41" s="8"/>
      <c r="P41" s="8"/>
      <c r="Q41" s="8"/>
      <c r="R41" s="8"/>
    </row>
    <row r="42" spans="4:18" ht="15" x14ac:dyDescent="0.3">
      <c r="D42" s="8"/>
      <c r="E42" s="8"/>
      <c r="F42" s="8"/>
      <c r="G42" s="8"/>
      <c r="H42" s="8"/>
      <c r="I42" s="8"/>
      <c r="J42" s="8"/>
      <c r="K42" s="8"/>
      <c r="L42" s="8"/>
      <c r="M42" s="8"/>
      <c r="N42" s="8"/>
      <c r="O42" s="8"/>
      <c r="P42" s="8"/>
      <c r="Q42" s="8"/>
      <c r="R42" s="8"/>
    </row>
    <row r="43" spans="4:18" ht="15" x14ac:dyDescent="0.3">
      <c r="D43" s="8"/>
      <c r="E43" s="8"/>
      <c r="F43" s="8"/>
      <c r="G43" s="8"/>
      <c r="H43" s="8"/>
      <c r="I43" s="8"/>
      <c r="J43" s="8"/>
      <c r="K43" s="8"/>
      <c r="L43" s="8"/>
      <c r="M43" s="8"/>
      <c r="N43" s="8"/>
      <c r="O43" s="8"/>
      <c r="P43" s="8"/>
      <c r="Q43" s="8"/>
      <c r="R43" s="8"/>
    </row>
    <row r="44" spans="4:18" ht="15" x14ac:dyDescent="0.3">
      <c r="D44" s="8"/>
      <c r="E44" s="8"/>
      <c r="F44" s="8"/>
      <c r="G44" s="8"/>
      <c r="H44" s="8"/>
      <c r="I44" s="8"/>
      <c r="J44" s="8"/>
      <c r="K44" s="8"/>
      <c r="L44" s="8"/>
      <c r="M44" s="8"/>
      <c r="N44" s="8"/>
      <c r="O44" s="8"/>
      <c r="P44" s="8"/>
      <c r="Q44" s="8"/>
      <c r="R44" s="8"/>
    </row>
    <row r="45" spans="4:18" ht="15" x14ac:dyDescent="0.3">
      <c r="D45" s="8"/>
      <c r="E45" s="8"/>
      <c r="F45" s="8"/>
      <c r="G45" s="8"/>
      <c r="H45" s="8"/>
      <c r="I45" s="8"/>
      <c r="J45" s="8"/>
      <c r="K45" s="8"/>
      <c r="L45" s="8"/>
      <c r="M45" s="8"/>
      <c r="N45" s="8"/>
      <c r="O45" s="8"/>
      <c r="P45" s="8"/>
      <c r="Q45" s="8"/>
      <c r="R45" s="8"/>
    </row>
    <row r="46" spans="4:18" ht="15" x14ac:dyDescent="0.3">
      <c r="D46" s="8"/>
      <c r="E46" s="8"/>
      <c r="F46" s="8"/>
      <c r="G46" s="8"/>
      <c r="H46" s="8"/>
      <c r="I46" s="8"/>
      <c r="J46" s="8"/>
      <c r="K46" s="8"/>
      <c r="L46" s="8"/>
      <c r="M46" s="8"/>
      <c r="N46" s="8"/>
      <c r="O46" s="8"/>
      <c r="P46" s="8"/>
      <c r="Q46" s="8"/>
      <c r="R46" s="8"/>
    </row>
    <row r="47" spans="4:18" ht="15" x14ac:dyDescent="0.3">
      <c r="D47" s="8"/>
      <c r="E47" s="8"/>
      <c r="F47" s="8"/>
      <c r="G47" s="8"/>
      <c r="H47" s="8"/>
      <c r="I47" s="8"/>
      <c r="J47" s="8"/>
      <c r="K47" s="8"/>
      <c r="L47" s="8"/>
      <c r="M47" s="8"/>
      <c r="N47" s="8"/>
      <c r="O47" s="8"/>
      <c r="P47" s="8"/>
      <c r="Q47" s="8"/>
      <c r="R47" s="8"/>
    </row>
    <row r="48" spans="4:18" ht="15" x14ac:dyDescent="0.3">
      <c r="D48" s="8"/>
      <c r="E48" s="8"/>
      <c r="F48" s="8"/>
      <c r="G48" s="8"/>
      <c r="H48" s="8"/>
      <c r="I48" s="8"/>
      <c r="J48" s="8"/>
      <c r="K48" s="8"/>
      <c r="L48" s="8"/>
      <c r="M48" s="8"/>
      <c r="N48" s="8"/>
      <c r="O48" s="8"/>
      <c r="P48" s="8"/>
      <c r="Q48" s="8"/>
      <c r="R48" s="8"/>
    </row>
    <row r="49" spans="4:18" ht="15" x14ac:dyDescent="0.3">
      <c r="D49" s="8"/>
      <c r="E49" s="8"/>
      <c r="F49" s="8"/>
      <c r="G49" s="8"/>
      <c r="H49" s="8"/>
      <c r="I49" s="8"/>
      <c r="J49" s="8"/>
      <c r="K49" s="8"/>
      <c r="L49" s="8"/>
      <c r="M49" s="8"/>
      <c r="N49" s="8"/>
      <c r="O49" s="8"/>
      <c r="P49" s="8"/>
      <c r="Q49" s="8"/>
      <c r="R49" s="8"/>
    </row>
    <row r="50" spans="4:18" ht="15" x14ac:dyDescent="0.3">
      <c r="D50" s="8"/>
      <c r="E50" s="8"/>
      <c r="F50" s="8"/>
      <c r="G50" s="8"/>
      <c r="H50" s="8"/>
      <c r="I50" s="8"/>
      <c r="J50" s="8"/>
      <c r="K50" s="8"/>
      <c r="L50" s="8"/>
      <c r="M50" s="8"/>
      <c r="N50" s="8"/>
      <c r="O50" s="8"/>
      <c r="P50" s="8"/>
      <c r="Q50" s="8"/>
      <c r="R50" s="8"/>
    </row>
    <row r="51" spans="4:18" ht="15" x14ac:dyDescent="0.3">
      <c r="D51" s="8"/>
      <c r="E51" s="8"/>
      <c r="F51" s="8"/>
      <c r="G51" s="8"/>
      <c r="H51" s="8"/>
      <c r="I51" s="8"/>
      <c r="J51" s="8"/>
      <c r="K51" s="8"/>
      <c r="L51" s="8"/>
      <c r="M51" s="8"/>
      <c r="N51" s="8"/>
      <c r="O51" s="8"/>
      <c r="P51" s="8"/>
      <c r="Q51" s="8"/>
      <c r="R51" s="8"/>
    </row>
    <row r="52" spans="4:18" ht="15" x14ac:dyDescent="0.3">
      <c r="D52" s="8"/>
      <c r="E52" s="8"/>
      <c r="F52" s="8"/>
      <c r="G52" s="8"/>
      <c r="H52" s="8"/>
      <c r="I52" s="8"/>
      <c r="J52" s="8"/>
      <c r="K52" s="8"/>
      <c r="L52" s="8"/>
      <c r="M52" s="8"/>
      <c r="N52" s="8"/>
      <c r="O52" s="8"/>
      <c r="P52" s="8"/>
      <c r="Q52" s="8"/>
      <c r="R52" s="8"/>
    </row>
    <row r="53" spans="4:18" ht="21" customHeight="1" x14ac:dyDescent="0.3">
      <c r="D53" s="8"/>
      <c r="E53" s="8"/>
      <c r="F53" s="8"/>
      <c r="G53" s="8"/>
      <c r="H53" s="8"/>
      <c r="I53" s="8"/>
      <c r="J53" s="8"/>
      <c r="K53" s="8"/>
      <c r="L53" s="8"/>
      <c r="M53" s="8"/>
      <c r="N53" s="8"/>
      <c r="O53" s="8"/>
      <c r="P53" s="8"/>
      <c r="Q53" s="8"/>
      <c r="R53" s="8"/>
    </row>
    <row r="54" spans="4:18" ht="15.5" thickBot="1" x14ac:dyDescent="0.35">
      <c r="P54" s="8"/>
      <c r="Q54" s="8"/>
      <c r="R54" s="8"/>
    </row>
    <row r="55" spans="4:18" ht="14.5" thickBot="1" x14ac:dyDescent="0.35">
      <c r="D55" s="852" t="s">
        <v>23</v>
      </c>
      <c r="E55" s="853"/>
      <c r="F55" s="848"/>
      <c r="G55" s="849"/>
      <c r="I55" s="850" t="s">
        <v>24</v>
      </c>
      <c r="J55" s="851"/>
      <c r="K55" s="848"/>
      <c r="L55" s="848"/>
      <c r="M55" s="848"/>
      <c r="N55" s="848"/>
      <c r="O55" s="849"/>
    </row>
    <row r="56" spans="4:18" ht="14" x14ac:dyDescent="0.3"/>
    <row r="57" spans="4:18" ht="14" x14ac:dyDescent="0.3"/>
    <row r="58" spans="4:18" ht="14" x14ac:dyDescent="0.3"/>
    <row r="59" spans="4:18" ht="6" customHeight="1" x14ac:dyDescent="0.3"/>
    <row r="60" spans="4:18" ht="14" x14ac:dyDescent="0.3"/>
    <row r="61" spans="4:18" ht="14" x14ac:dyDescent="0.3"/>
    <row r="62" spans="4:18" ht="14" x14ac:dyDescent="0.3"/>
    <row r="63" spans="4:18" ht="63.75" customHeight="1" x14ac:dyDescent="0.3"/>
    <row r="64" spans="4:18" ht="105.75" customHeight="1" x14ac:dyDescent="0.3"/>
    <row r="65" spans="4:15" ht="48.75" customHeight="1" thickBot="1" x14ac:dyDescent="0.35"/>
    <row r="66" spans="4:15" ht="16.5" customHeight="1" thickBot="1" x14ac:dyDescent="0.35">
      <c r="D66" s="850" t="s">
        <v>25</v>
      </c>
      <c r="E66" s="851"/>
      <c r="F66" s="848"/>
      <c r="G66" s="849"/>
      <c r="I66" s="850" t="s">
        <v>26</v>
      </c>
      <c r="J66" s="851"/>
      <c r="K66" s="848"/>
      <c r="L66" s="848"/>
      <c r="M66" s="848"/>
      <c r="N66" s="848"/>
      <c r="O66" s="849"/>
    </row>
    <row r="67" spans="4:15" ht="105.75" customHeight="1" x14ac:dyDescent="0.3"/>
    <row r="68" spans="4:15" ht="105.75" customHeight="1" x14ac:dyDescent="0.3"/>
  </sheetData>
  <sheetProtection algorithmName="SHA-512" hashValue="NY5Zgh31hfokxOJbzLwC2UrxYr1pw9xQQT8z/8ctass5WtHcltZMWdR5uSlS8WSclX33tVOxbo7AeyZ251ascg==" saltValue="E3ogFOdbiSyXHVRY9SHbig==" spinCount="100000" sheet="1" objects="1" scenarios="1"/>
  <customSheetViews>
    <customSheetView guid="{8BDA793C-C9C5-4FC6-A0A5-F1109F6D4F22}" scale="90"/>
  </customSheetViews>
  <mergeCells count="60">
    <mergeCell ref="D24:E24"/>
    <mergeCell ref="D33:E33"/>
    <mergeCell ref="D29:J29"/>
    <mergeCell ref="F33:J33"/>
    <mergeCell ref="D31:E31"/>
    <mergeCell ref="F31:J31"/>
    <mergeCell ref="D30:E30"/>
    <mergeCell ref="F30:J30"/>
    <mergeCell ref="F24:H24"/>
    <mergeCell ref="D25:E25"/>
    <mergeCell ref="F25:H25"/>
    <mergeCell ref="K55:O55"/>
    <mergeCell ref="D66:E66"/>
    <mergeCell ref="F66:G66"/>
    <mergeCell ref="I66:J66"/>
    <mergeCell ref="K66:O66"/>
    <mergeCell ref="D55:E55"/>
    <mergeCell ref="F55:G55"/>
    <mergeCell ref="I55:J55"/>
    <mergeCell ref="D35:E35"/>
    <mergeCell ref="F35:J35"/>
    <mergeCell ref="D27:E27"/>
    <mergeCell ref="F27:H27"/>
    <mergeCell ref="I27:J27"/>
    <mergeCell ref="D34:E34"/>
    <mergeCell ref="F34:J34"/>
    <mergeCell ref="D32:E32"/>
    <mergeCell ref="F32:J32"/>
    <mergeCell ref="F16:J16"/>
    <mergeCell ref="D13:E13"/>
    <mergeCell ref="D14:E14"/>
    <mergeCell ref="D15:E15"/>
    <mergeCell ref="D16:E16"/>
    <mergeCell ref="D12:E12"/>
    <mergeCell ref="F12:J12"/>
    <mergeCell ref="F13:J13"/>
    <mergeCell ref="F14:J14"/>
    <mergeCell ref="F15:J15"/>
    <mergeCell ref="F1:J1"/>
    <mergeCell ref="K1:P1"/>
    <mergeCell ref="F3:Q4"/>
    <mergeCell ref="D11:E11"/>
    <mergeCell ref="F11:J11"/>
    <mergeCell ref="E8:J8"/>
    <mergeCell ref="D9:J10"/>
    <mergeCell ref="D20:E20"/>
    <mergeCell ref="F20:J20"/>
    <mergeCell ref="F21:J21"/>
    <mergeCell ref="D17:E17"/>
    <mergeCell ref="D21:E21"/>
    <mergeCell ref="F18:J18"/>
    <mergeCell ref="F19:J19"/>
    <mergeCell ref="F17:J17"/>
    <mergeCell ref="D18:E18"/>
    <mergeCell ref="D19:E19"/>
    <mergeCell ref="D22:E22"/>
    <mergeCell ref="F22:H22"/>
    <mergeCell ref="I22:J22"/>
    <mergeCell ref="D23:E23"/>
    <mergeCell ref="F23:J23"/>
  </mergeCells>
  <conditionalFormatting sqref="I22">
    <cfRule type="containsText" dxfId="522" priority="17" operator="containsText" text="▲">
      <formula>NOT(ISERROR(SEARCH("▲",I22)))</formula>
    </cfRule>
  </conditionalFormatting>
  <conditionalFormatting sqref="F27 F23:F24">
    <cfRule type="containsText" dxfId="521" priority="15" operator="containsText" text="No">
      <formula>NOT(ISERROR(SEARCH("No",F23)))</formula>
    </cfRule>
    <cfRule type="containsText" dxfId="520" priority="16" operator="containsText" text="Yes">
      <formula>NOT(ISERROR(SEARCH("Yes",F23)))</formula>
    </cfRule>
  </conditionalFormatting>
  <conditionalFormatting sqref="I27 I24">
    <cfRule type="containsText" dxfId="519" priority="11" operator="containsText" text="tab">
      <formula>NOT(ISERROR(SEARCH("tab",I24)))</formula>
    </cfRule>
    <cfRule type="containsText" dxfId="518" priority="12" operator="containsText" text="▲">
      <formula>NOT(ISERROR(SEARCH("▲",I24)))</formula>
    </cfRule>
  </conditionalFormatting>
  <conditionalFormatting sqref="J24">
    <cfRule type="containsText" dxfId="517" priority="7" operator="containsText" text="tab">
      <formula>NOT(ISERROR(SEARCH("tab",J24)))</formula>
    </cfRule>
    <cfRule type="containsText" dxfId="516" priority="8" operator="containsText" text="▲">
      <formula>NOT(ISERROR(SEARCH("▲",J24)))</formula>
    </cfRule>
  </conditionalFormatting>
  <conditionalFormatting sqref="I27:J27">
    <cfRule type="containsBlanks" dxfId="515" priority="6">
      <formula>LEN(TRIM(I27))=0</formula>
    </cfRule>
  </conditionalFormatting>
  <conditionalFormatting sqref="F16:J16">
    <cfRule type="containsBlanks" dxfId="514" priority="5">
      <formula>LEN(TRIM(F16))=0</formula>
    </cfRule>
  </conditionalFormatting>
  <conditionalFormatting sqref="F17:J17">
    <cfRule type="containsBlanks" dxfId="513" priority="4">
      <formula>LEN(TRIM(F17))=0</formula>
    </cfRule>
  </conditionalFormatting>
  <conditionalFormatting sqref="E8:J8">
    <cfRule type="containsText" dxfId="512" priority="3" operator="containsText" text="▲">
      <formula>NOT(ISERROR(SEARCH("▲",E8)))</formula>
    </cfRule>
  </conditionalFormatting>
  <conditionalFormatting sqref="D8">
    <cfRule type="expression" dxfId="511" priority="1">
      <formula>$E$8="'Completed by' and 'Date of metric completetion' fields must be filled in ▲"</formula>
    </cfRule>
  </conditionalFormatting>
  <dataValidations count="1">
    <dataValidation type="list" showInputMessage="1" showErrorMessage="1" sqref="F27:H27" xr:uid="{6BB539B8-7713-4BB6-85D9-6B1282E3766C}">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3">
    <tabColor theme="0" tint="-0.249977111117893"/>
  </sheetPr>
  <dimension ref="A1:Z564"/>
  <sheetViews>
    <sheetView tabSelected="1" zoomScaleNormal="80" workbookViewId="0"/>
  </sheetViews>
  <sheetFormatPr defaultColWidth="0" defaultRowHeight="14.5" customHeight="1" zeroHeight="1" x14ac:dyDescent="0.35"/>
  <cols>
    <col min="1" max="3" width="2.1796875" style="3" customWidth="1"/>
    <col min="4" max="4" width="18.7265625" style="3" customWidth="1"/>
    <col min="5" max="8" width="9.1796875" style="3" customWidth="1"/>
    <col min="9" max="9" width="7" style="3" customWidth="1"/>
    <col min="10" max="12" width="9.1796875" style="3" customWidth="1"/>
    <col min="13" max="13" width="12.1796875" style="3" customWidth="1"/>
    <col min="14" max="14" width="5.7265625" style="3" customWidth="1"/>
    <col min="15" max="15" width="14.54296875" style="3" customWidth="1"/>
    <col min="16" max="16" width="14" style="3" customWidth="1"/>
    <col min="17" max="17" width="13.7265625" style="3" bestFit="1" customWidth="1"/>
    <col min="18" max="18" width="19.26953125" style="3" customWidth="1"/>
    <col min="19" max="26" width="9.1796875" style="3" customWidth="1"/>
    <col min="27" max="16384" width="9.1796875" style="3" hidden="1"/>
  </cols>
  <sheetData>
    <row r="1" spans="1:18" ht="15.75" customHeight="1" x14ac:dyDescent="0.7">
      <c r="B1" s="10"/>
      <c r="C1" s="10"/>
      <c r="E1" s="11"/>
      <c r="F1" s="870"/>
      <c r="G1" s="870"/>
      <c r="H1" s="870"/>
      <c r="I1" s="870"/>
      <c r="J1" s="870"/>
      <c r="K1" s="871"/>
      <c r="L1" s="871"/>
      <c r="M1" s="871"/>
      <c r="N1" s="871"/>
      <c r="O1" s="871"/>
    </row>
    <row r="2" spans="1:18" ht="15.75" customHeight="1" x14ac:dyDescent="0.7">
      <c r="B2" s="10"/>
      <c r="C2" s="10"/>
      <c r="E2" s="11"/>
    </row>
    <row r="3" spans="1:18" ht="15.75" customHeight="1" x14ac:dyDescent="0.7">
      <c r="A3" s="11"/>
      <c r="B3" s="11"/>
      <c r="C3" s="11"/>
      <c r="D3" s="11"/>
      <c r="E3" s="11"/>
      <c r="F3" s="12"/>
      <c r="G3" s="12"/>
      <c r="H3" s="12"/>
      <c r="I3" s="12"/>
      <c r="J3" s="12"/>
      <c r="K3" s="12"/>
      <c r="L3" s="12"/>
      <c r="M3" s="12"/>
      <c r="N3" s="12"/>
      <c r="O3" s="12"/>
      <c r="P3" s="12"/>
    </row>
    <row r="4" spans="1:18" ht="16.5" customHeight="1" x14ac:dyDescent="0.7">
      <c r="A4" s="11"/>
      <c r="B4" s="11"/>
      <c r="C4" s="11"/>
      <c r="D4" s="11"/>
      <c r="E4" s="11"/>
      <c r="F4" s="12"/>
      <c r="G4" s="12"/>
      <c r="H4" s="12"/>
      <c r="I4" s="12"/>
      <c r="J4" s="12"/>
      <c r="K4" s="12"/>
      <c r="L4" s="12"/>
      <c r="M4" s="12"/>
      <c r="N4" s="12"/>
      <c r="O4" s="12"/>
      <c r="P4" s="12"/>
    </row>
    <row r="5" spans="1:18" ht="16.5" customHeight="1" x14ac:dyDescent="0.7">
      <c r="A5" s="11"/>
      <c r="B5" s="11"/>
      <c r="C5" s="11"/>
      <c r="D5" s="11"/>
      <c r="E5" s="11"/>
      <c r="F5" s="13"/>
      <c r="G5" s="13"/>
      <c r="H5" s="13"/>
      <c r="I5" s="13"/>
      <c r="J5" s="13"/>
      <c r="K5" s="13"/>
      <c r="L5" s="13"/>
      <c r="M5" s="13"/>
      <c r="N5" s="13"/>
      <c r="O5" s="13"/>
      <c r="P5" s="13"/>
      <c r="Q5" s="13"/>
      <c r="R5" s="13"/>
    </row>
    <row r="6" spans="1:18" ht="16.5" customHeight="1" x14ac:dyDescent="0.7">
      <c r="B6" s="10"/>
      <c r="C6" s="10"/>
      <c r="D6" s="11"/>
      <c r="E6" s="11"/>
      <c r="F6" s="13"/>
      <c r="G6" s="13"/>
      <c r="H6" s="13"/>
      <c r="I6" s="13"/>
      <c r="J6" s="13"/>
      <c r="K6" s="13"/>
      <c r="L6" s="13"/>
      <c r="M6" s="13"/>
      <c r="N6" s="13"/>
      <c r="O6" s="13"/>
      <c r="P6" s="13"/>
      <c r="Q6" s="13"/>
      <c r="R6" s="13"/>
    </row>
    <row r="7" spans="1:18" ht="16.5" customHeight="1" x14ac:dyDescent="0.7">
      <c r="B7" s="10"/>
      <c r="C7" s="11"/>
      <c r="D7" s="11"/>
      <c r="E7" s="11"/>
      <c r="F7" s="13"/>
      <c r="G7" s="13"/>
      <c r="H7" s="13"/>
      <c r="I7" s="13"/>
      <c r="J7" s="13"/>
      <c r="K7" s="13"/>
      <c r="L7" s="13"/>
      <c r="M7" s="13"/>
      <c r="N7" s="13"/>
      <c r="O7" s="13"/>
      <c r="P7" s="13"/>
      <c r="Q7" s="13"/>
      <c r="R7" s="13"/>
    </row>
    <row r="8" spans="1:18" ht="16.5" customHeight="1" x14ac:dyDescent="0.7">
      <c r="B8" s="10"/>
      <c r="C8" s="10"/>
      <c r="D8" s="11"/>
      <c r="E8" s="11"/>
      <c r="F8" s="13"/>
      <c r="G8" s="13"/>
      <c r="H8" s="13"/>
      <c r="I8" s="13"/>
      <c r="J8" s="13"/>
      <c r="K8" s="13"/>
      <c r="L8" s="13"/>
      <c r="M8" s="13"/>
      <c r="N8" s="13"/>
      <c r="O8" s="13"/>
      <c r="P8" s="13"/>
      <c r="Q8" s="13"/>
      <c r="R8" s="13"/>
    </row>
    <row r="9" spans="1:18" ht="16.5" customHeight="1" x14ac:dyDescent="0.35">
      <c r="B9" s="10"/>
      <c r="C9" s="10"/>
      <c r="D9" s="14"/>
      <c r="E9" s="14"/>
      <c r="F9" s="13"/>
      <c r="G9" s="13"/>
      <c r="H9" s="13"/>
      <c r="I9" s="13"/>
      <c r="J9" s="13"/>
      <c r="K9" s="13"/>
      <c r="L9" s="13"/>
      <c r="M9" s="13"/>
      <c r="N9" s="13"/>
      <c r="O9" s="13"/>
      <c r="P9" s="13"/>
      <c r="Q9" s="13"/>
      <c r="R9" s="13"/>
    </row>
    <row r="10" spans="1:18" ht="30" customHeight="1" x14ac:dyDescent="0.5">
      <c r="B10" s="10"/>
      <c r="C10" s="10"/>
      <c r="D10" s="2"/>
      <c r="E10" s="2"/>
      <c r="F10" s="2"/>
      <c r="G10" s="872"/>
      <c r="H10" s="872"/>
      <c r="I10" s="872"/>
      <c r="J10" s="872"/>
      <c r="K10" s="872"/>
      <c r="L10" s="872"/>
      <c r="M10" s="872"/>
      <c r="N10" s="872"/>
      <c r="O10" s="872"/>
    </row>
    <row r="11" spans="1:18" ht="16.5" customHeight="1" x14ac:dyDescent="0.35">
      <c r="B11" s="10"/>
      <c r="C11" s="10"/>
    </row>
    <row r="12" spans="1:18" ht="16.5" customHeight="1" x14ac:dyDescent="0.35">
      <c r="B12" s="10"/>
      <c r="C12" s="10"/>
      <c r="G12" s="603"/>
      <c r="H12" s="603"/>
      <c r="I12" s="603"/>
      <c r="J12" s="603"/>
      <c r="K12" s="603"/>
      <c r="L12" s="603"/>
      <c r="M12" s="603"/>
      <c r="N12" s="603"/>
      <c r="O12" s="603"/>
    </row>
    <row r="13" spans="1:18" ht="16.5" customHeight="1" x14ac:dyDescent="0.35">
      <c r="B13" s="10"/>
      <c r="C13" s="10"/>
      <c r="G13" s="603"/>
      <c r="H13" s="603"/>
      <c r="I13" s="603"/>
      <c r="J13" s="603"/>
      <c r="K13" s="603"/>
      <c r="L13" s="603"/>
      <c r="M13" s="603"/>
      <c r="N13" s="603"/>
      <c r="O13" s="603"/>
    </row>
    <row r="14" spans="1:18" ht="16.5" customHeight="1" x14ac:dyDescent="0.35">
      <c r="B14" s="10"/>
      <c r="C14" s="10"/>
      <c r="G14" s="603"/>
      <c r="H14" s="603"/>
      <c r="I14" s="603"/>
      <c r="J14" s="603"/>
      <c r="K14" s="603"/>
      <c r="L14" s="603"/>
      <c r="M14" s="603"/>
      <c r="N14" s="603"/>
      <c r="O14" s="603"/>
    </row>
    <row r="15" spans="1:18" ht="16.5" customHeight="1" x14ac:dyDescent="0.35">
      <c r="B15" s="10"/>
      <c r="C15" s="10"/>
      <c r="G15" s="603"/>
      <c r="H15" s="603"/>
      <c r="I15" s="603"/>
      <c r="J15" s="603"/>
      <c r="K15" s="603"/>
      <c r="L15" s="603"/>
      <c r="M15" s="603"/>
      <c r="N15" s="603"/>
      <c r="O15" s="603"/>
    </row>
    <row r="16" spans="1:18" ht="16.5" customHeight="1" x14ac:dyDescent="0.35">
      <c r="B16" s="10"/>
      <c r="C16" s="10"/>
      <c r="G16" s="603"/>
      <c r="H16" s="603"/>
      <c r="I16" s="603"/>
      <c r="J16" s="603"/>
      <c r="K16" s="603"/>
      <c r="L16" s="603"/>
      <c r="M16" s="603"/>
      <c r="N16" s="603"/>
      <c r="O16" s="603"/>
    </row>
    <row r="17" spans="2:15" ht="16.5" customHeight="1" x14ac:dyDescent="0.35">
      <c r="B17" s="10"/>
      <c r="C17" s="10"/>
      <c r="G17" s="603"/>
      <c r="H17" s="603"/>
      <c r="I17" s="603"/>
      <c r="J17" s="603"/>
      <c r="K17" s="603"/>
      <c r="L17" s="603"/>
      <c r="M17" s="603"/>
      <c r="N17" s="603"/>
      <c r="O17" s="603"/>
    </row>
    <row r="18" spans="2:15" ht="16.5" customHeight="1" x14ac:dyDescent="0.35">
      <c r="B18" s="10"/>
      <c r="C18" s="10"/>
      <c r="G18" s="603"/>
      <c r="H18" s="603"/>
      <c r="I18" s="603"/>
      <c r="J18" s="603"/>
      <c r="K18" s="603"/>
      <c r="L18" s="603"/>
      <c r="M18" s="603"/>
      <c r="N18" s="603"/>
      <c r="O18" s="603"/>
    </row>
    <row r="19" spans="2:15" ht="16.5" customHeight="1" x14ac:dyDescent="0.35">
      <c r="B19" s="10"/>
      <c r="C19" s="10"/>
      <c r="G19" s="603"/>
      <c r="H19" s="603"/>
      <c r="I19" s="603"/>
      <c r="J19" s="603"/>
      <c r="K19" s="603"/>
      <c r="L19" s="603"/>
      <c r="M19" s="603"/>
      <c r="N19" s="603"/>
      <c r="O19" s="603"/>
    </row>
    <row r="20" spans="2:15" ht="16.5" customHeight="1" x14ac:dyDescent="0.35">
      <c r="B20" s="10"/>
      <c r="C20" s="10"/>
      <c r="G20" s="603"/>
      <c r="H20" s="603"/>
      <c r="I20" s="603"/>
      <c r="J20" s="603"/>
      <c r="K20" s="603"/>
      <c r="L20" s="603"/>
      <c r="M20" s="603"/>
      <c r="N20" s="603"/>
      <c r="O20" s="603"/>
    </row>
    <row r="21" spans="2:15" ht="16.5" customHeight="1" x14ac:dyDescent="0.35">
      <c r="B21" s="10"/>
      <c r="C21" s="10"/>
      <c r="G21" s="603"/>
      <c r="H21" s="603"/>
      <c r="I21" s="603"/>
      <c r="J21" s="603"/>
      <c r="K21" s="603"/>
      <c r="L21" s="603"/>
      <c r="M21" s="603"/>
      <c r="N21" s="603"/>
      <c r="O21" s="603"/>
    </row>
    <row r="22" spans="2:15" ht="16.5" customHeight="1" x14ac:dyDescent="0.35">
      <c r="B22" s="10"/>
      <c r="C22" s="10"/>
      <c r="G22" s="603"/>
      <c r="H22" s="603"/>
      <c r="I22" s="603"/>
      <c r="J22" s="603"/>
      <c r="K22" s="603"/>
      <c r="L22" s="603"/>
      <c r="M22" s="603"/>
      <c r="N22" s="603"/>
      <c r="O22" s="603"/>
    </row>
    <row r="23" spans="2:15" ht="16.5" customHeight="1" x14ac:dyDescent="0.35">
      <c r="B23" s="10"/>
      <c r="C23" s="10"/>
      <c r="G23" s="603"/>
      <c r="H23" s="603"/>
      <c r="I23" s="603"/>
      <c r="J23" s="603"/>
      <c r="K23" s="603"/>
      <c r="L23" s="603"/>
      <c r="M23" s="603"/>
      <c r="N23" s="603"/>
      <c r="O23" s="603"/>
    </row>
    <row r="24" spans="2:15" ht="16.5" customHeight="1" x14ac:dyDescent="0.35">
      <c r="B24" s="10"/>
      <c r="C24" s="10"/>
      <c r="G24" s="603"/>
      <c r="H24" s="603"/>
      <c r="I24" s="603"/>
      <c r="J24" s="603"/>
      <c r="K24" s="603"/>
      <c r="L24" s="603"/>
      <c r="M24" s="603"/>
      <c r="N24" s="603"/>
      <c r="O24" s="603"/>
    </row>
    <row r="25" spans="2:15" ht="16.5" customHeight="1" x14ac:dyDescent="0.35">
      <c r="B25" s="10"/>
      <c r="C25" s="10"/>
      <c r="G25" s="603"/>
      <c r="H25" s="603"/>
      <c r="I25" s="603"/>
      <c r="J25" s="603"/>
      <c r="K25" s="603"/>
      <c r="L25" s="603"/>
      <c r="M25" s="603"/>
      <c r="N25" s="603"/>
      <c r="O25" s="603"/>
    </row>
    <row r="26" spans="2:15" ht="16.5" customHeight="1" x14ac:dyDescent="0.35">
      <c r="B26" s="10"/>
      <c r="C26" s="10"/>
      <c r="G26" s="603"/>
      <c r="H26" s="603"/>
      <c r="I26" s="603"/>
      <c r="J26" s="603"/>
      <c r="K26" s="603"/>
      <c r="L26" s="603"/>
      <c r="M26" s="603"/>
      <c r="N26" s="603"/>
      <c r="O26" s="603"/>
    </row>
    <row r="27" spans="2:15" ht="16.5" customHeight="1" x14ac:dyDescent="0.35">
      <c r="B27" s="10"/>
      <c r="C27" s="10"/>
      <c r="G27" s="603"/>
      <c r="H27" s="603"/>
      <c r="I27" s="603"/>
      <c r="J27" s="603"/>
      <c r="K27" s="603"/>
      <c r="L27" s="603"/>
      <c r="M27" s="603"/>
      <c r="N27" s="603"/>
      <c r="O27" s="603"/>
    </row>
    <row r="28" spans="2:15" ht="16.5" customHeight="1" x14ac:dyDescent="0.35">
      <c r="B28" s="10"/>
      <c r="C28" s="10"/>
      <c r="G28" s="603"/>
      <c r="H28" s="603"/>
      <c r="I28" s="603"/>
      <c r="J28" s="603"/>
      <c r="K28" s="603"/>
      <c r="L28" s="603"/>
      <c r="M28" s="603"/>
      <c r="N28" s="603"/>
      <c r="O28" s="603"/>
    </row>
    <row r="29" spans="2:15" ht="16.5" customHeight="1" x14ac:dyDescent="0.35">
      <c r="B29" s="10"/>
      <c r="C29" s="10"/>
      <c r="G29" s="603"/>
      <c r="H29" s="603"/>
      <c r="I29" s="603"/>
      <c r="J29" s="603"/>
      <c r="K29" s="603"/>
      <c r="L29" s="603"/>
      <c r="M29" s="603"/>
      <c r="N29" s="603"/>
      <c r="O29" s="603"/>
    </row>
    <row r="30" spans="2:15" ht="16.5" customHeight="1" x14ac:dyDescent="0.35">
      <c r="B30" s="10"/>
      <c r="C30" s="10"/>
      <c r="G30" s="603"/>
      <c r="H30" s="603"/>
      <c r="I30" s="603"/>
      <c r="J30" s="603"/>
      <c r="K30" s="603"/>
      <c r="L30" s="603"/>
      <c r="M30" s="603"/>
      <c r="N30" s="603"/>
      <c r="O30" s="603"/>
    </row>
    <row r="31" spans="2:15" ht="16.5" customHeight="1" x14ac:dyDescent="0.35">
      <c r="B31" s="10"/>
      <c r="C31" s="10"/>
      <c r="G31" s="603"/>
      <c r="H31" s="603"/>
      <c r="I31" s="603"/>
      <c r="J31" s="603"/>
      <c r="K31" s="603"/>
      <c r="L31" s="603"/>
      <c r="M31" s="603"/>
      <c r="N31" s="603"/>
      <c r="O31" s="603"/>
    </row>
    <row r="32" spans="2:15" ht="16.5" customHeight="1" x14ac:dyDescent="0.35">
      <c r="B32" s="10"/>
      <c r="C32" s="10"/>
      <c r="G32" s="603"/>
      <c r="H32" s="603"/>
      <c r="I32" s="603"/>
      <c r="J32" s="603"/>
      <c r="K32" s="603"/>
      <c r="L32" s="603"/>
      <c r="M32" s="603"/>
      <c r="N32" s="603"/>
      <c r="O32" s="603"/>
    </row>
    <row r="33" spans="2:15" ht="16.5" customHeight="1" x14ac:dyDescent="0.35">
      <c r="B33" s="10"/>
      <c r="C33" s="10"/>
      <c r="G33" s="603"/>
      <c r="H33" s="603"/>
      <c r="I33" s="603"/>
      <c r="J33" s="603"/>
      <c r="K33" s="603"/>
      <c r="L33" s="603"/>
      <c r="M33" s="603"/>
      <c r="N33" s="603"/>
      <c r="O33" s="603"/>
    </row>
    <row r="34" spans="2:15" ht="16.5" customHeight="1" x14ac:dyDescent="0.35">
      <c r="B34" s="10"/>
      <c r="C34" s="10"/>
      <c r="G34" s="603"/>
      <c r="H34" s="603"/>
      <c r="I34" s="603"/>
      <c r="J34" s="603"/>
      <c r="K34" s="603"/>
      <c r="L34" s="603"/>
      <c r="M34" s="603"/>
      <c r="N34" s="603"/>
      <c r="O34" s="603"/>
    </row>
    <row r="35" spans="2:15" ht="16.5" customHeight="1" x14ac:dyDescent="0.35">
      <c r="B35" s="10"/>
      <c r="C35" s="10"/>
      <c r="G35" s="603"/>
      <c r="H35" s="603"/>
      <c r="I35" s="603"/>
      <c r="J35" s="603"/>
      <c r="K35" s="603"/>
      <c r="L35" s="603"/>
      <c r="M35" s="603"/>
      <c r="N35" s="603"/>
      <c r="O35" s="603"/>
    </row>
    <row r="36" spans="2:15" ht="16.5" customHeight="1" x14ac:dyDescent="0.35">
      <c r="B36" s="10"/>
      <c r="C36" s="10"/>
      <c r="G36" s="603"/>
      <c r="H36" s="603"/>
      <c r="I36" s="603"/>
      <c r="J36" s="603"/>
      <c r="K36" s="603"/>
      <c r="L36" s="603"/>
      <c r="M36" s="603"/>
      <c r="N36" s="603"/>
      <c r="O36" s="603"/>
    </row>
    <row r="37" spans="2:15" ht="16.5" customHeight="1" x14ac:dyDescent="0.35">
      <c r="B37" s="10"/>
      <c r="C37" s="10"/>
      <c r="G37" s="603"/>
      <c r="H37" s="603"/>
      <c r="I37" s="603"/>
      <c r="J37" s="603"/>
      <c r="K37" s="603"/>
      <c r="L37" s="603"/>
      <c r="M37" s="603"/>
      <c r="N37" s="603"/>
      <c r="O37" s="603"/>
    </row>
    <row r="38" spans="2:15" ht="16.5" customHeight="1" x14ac:dyDescent="0.35">
      <c r="B38" s="10"/>
      <c r="C38" s="10"/>
      <c r="G38" s="603"/>
      <c r="H38" s="603"/>
      <c r="I38" s="603"/>
      <c r="J38" s="603"/>
      <c r="K38" s="603"/>
      <c r="L38" s="603"/>
      <c r="M38" s="603"/>
      <c r="N38" s="603"/>
      <c r="O38" s="603"/>
    </row>
    <row r="39" spans="2:15" ht="16.5" customHeight="1" x14ac:dyDescent="0.35">
      <c r="B39" s="10"/>
      <c r="C39" s="10"/>
      <c r="G39" s="603"/>
      <c r="H39" s="603"/>
      <c r="I39" s="603"/>
      <c r="J39" s="603"/>
      <c r="K39" s="603"/>
      <c r="L39" s="603"/>
      <c r="M39" s="603"/>
      <c r="N39" s="603"/>
      <c r="O39" s="603"/>
    </row>
    <row r="40" spans="2:15" ht="16.5" customHeight="1" x14ac:dyDescent="0.35">
      <c r="B40" s="10"/>
      <c r="C40" s="10"/>
      <c r="G40" s="603"/>
      <c r="H40" s="603"/>
      <c r="I40" s="603"/>
      <c r="J40" s="603"/>
      <c r="K40" s="603"/>
      <c r="L40" s="603"/>
      <c r="M40" s="603"/>
      <c r="N40" s="603"/>
      <c r="O40" s="603"/>
    </row>
    <row r="41" spans="2:15" ht="16.5" customHeight="1" x14ac:dyDescent="0.35">
      <c r="B41" s="10"/>
      <c r="C41" s="10"/>
      <c r="G41" s="603"/>
      <c r="H41" s="603"/>
      <c r="I41" s="603"/>
      <c r="J41" s="603"/>
      <c r="K41" s="603"/>
      <c r="L41" s="603"/>
      <c r="M41" s="603"/>
      <c r="N41" s="603"/>
      <c r="O41" s="603"/>
    </row>
    <row r="42" spans="2:15" ht="16.5" customHeight="1" x14ac:dyDescent="0.35">
      <c r="B42" s="10"/>
      <c r="C42" s="10"/>
    </row>
    <row r="43" spans="2:15" ht="16.5" customHeight="1" x14ac:dyDescent="0.35">
      <c r="B43" s="10"/>
      <c r="C43" s="10"/>
    </row>
    <row r="44" spans="2:15" ht="16.5" customHeight="1" x14ac:dyDescent="0.35">
      <c r="B44" s="10"/>
      <c r="C44" s="10"/>
    </row>
    <row r="45" spans="2:15" ht="16.5" customHeight="1" x14ac:dyDescent="0.35">
      <c r="B45" s="10"/>
      <c r="C45" s="10"/>
    </row>
    <row r="46" spans="2:15" ht="16.5" customHeight="1" x14ac:dyDescent="0.35">
      <c r="B46" s="10"/>
      <c r="C46" s="10"/>
    </row>
    <row r="47" spans="2:15" ht="16.5" customHeight="1" x14ac:dyDescent="0.35">
      <c r="B47" s="10"/>
      <c r="C47" s="10"/>
    </row>
    <row r="48" spans="2:15" ht="16.5" customHeight="1" x14ac:dyDescent="0.35">
      <c r="B48" s="10"/>
      <c r="C48" s="10"/>
    </row>
    <row r="49" spans="2:3" ht="16.5" customHeight="1" x14ac:dyDescent="0.35">
      <c r="B49" s="10"/>
      <c r="C49" s="10"/>
    </row>
    <row r="50" spans="2:3" ht="16.5" customHeight="1" x14ac:dyDescent="0.35">
      <c r="B50" s="10"/>
      <c r="C50" s="10"/>
    </row>
    <row r="51" spans="2:3" ht="16.5" customHeight="1" x14ac:dyDescent="0.35">
      <c r="B51" s="10"/>
      <c r="C51" s="10"/>
    </row>
    <row r="52" spans="2:3" ht="16.5" customHeight="1" x14ac:dyDescent="0.35">
      <c r="B52" s="10"/>
      <c r="C52" s="10"/>
    </row>
    <row r="53" spans="2:3" ht="16.5" customHeight="1" x14ac:dyDescent="0.35">
      <c r="B53" s="10"/>
      <c r="C53" s="10"/>
    </row>
    <row r="54" spans="2:3" ht="16.5" customHeight="1" x14ac:dyDescent="0.35">
      <c r="B54" s="10"/>
      <c r="C54" s="10"/>
    </row>
    <row r="55" spans="2:3" ht="16.5" customHeight="1" x14ac:dyDescent="0.35">
      <c r="B55" s="10"/>
      <c r="C55" s="10"/>
    </row>
    <row r="56" spans="2:3" ht="16.5" customHeight="1" x14ac:dyDescent="0.35">
      <c r="B56" s="10"/>
      <c r="C56" s="10"/>
    </row>
    <row r="57" spans="2:3" ht="16.5" customHeight="1" x14ac:dyDescent="0.35">
      <c r="B57" s="10"/>
      <c r="C57" s="10"/>
    </row>
    <row r="58" spans="2:3" ht="16.5" customHeight="1" x14ac:dyDescent="0.35">
      <c r="B58" s="10"/>
      <c r="C58" s="10"/>
    </row>
    <row r="59" spans="2:3" ht="16.5" customHeight="1" x14ac:dyDescent="0.35">
      <c r="B59" s="10"/>
      <c r="C59" s="10"/>
    </row>
    <row r="60" spans="2:3" ht="16.5" hidden="1" customHeight="1" x14ac:dyDescent="0.35">
      <c r="B60" s="10"/>
      <c r="C60" s="10"/>
    </row>
    <row r="61" spans="2:3" ht="16.5" hidden="1" customHeight="1" x14ac:dyDescent="0.35">
      <c r="B61" s="10"/>
      <c r="C61" s="10"/>
    </row>
    <row r="62" spans="2:3" ht="16.5" hidden="1" customHeight="1" x14ac:dyDescent="0.35">
      <c r="B62" s="10"/>
      <c r="C62" s="10"/>
    </row>
    <row r="63" spans="2:3" ht="16.5" hidden="1" customHeight="1" x14ac:dyDescent="0.35">
      <c r="B63" s="10"/>
      <c r="C63" s="10"/>
    </row>
    <row r="64" spans="2:3" ht="16.5" hidden="1" customHeight="1" x14ac:dyDescent="0.35">
      <c r="B64" s="10"/>
      <c r="C64" s="10"/>
    </row>
    <row r="65" spans="2:3" ht="16.5" hidden="1" customHeight="1" x14ac:dyDescent="0.35">
      <c r="B65" s="10"/>
      <c r="C65" s="10"/>
    </row>
    <row r="66" spans="2:3" ht="16.5" hidden="1" customHeight="1" x14ac:dyDescent="0.35">
      <c r="B66" s="10"/>
      <c r="C66" s="10"/>
    </row>
    <row r="67" spans="2:3" ht="16.5" hidden="1" customHeight="1" x14ac:dyDescent="0.35">
      <c r="B67" s="10"/>
      <c r="C67" s="10"/>
    </row>
    <row r="68" spans="2:3" ht="16.5" hidden="1" customHeight="1" x14ac:dyDescent="0.35">
      <c r="B68" s="10"/>
      <c r="C68" s="10"/>
    </row>
    <row r="69" spans="2:3" ht="16.5" hidden="1" customHeight="1" x14ac:dyDescent="0.35">
      <c r="B69" s="10"/>
      <c r="C69" s="10"/>
    </row>
    <row r="70" spans="2:3" ht="16.5" hidden="1" customHeight="1" x14ac:dyDescent="0.35">
      <c r="B70" s="10"/>
      <c r="C70" s="10"/>
    </row>
    <row r="71" spans="2:3" ht="16.5" hidden="1" customHeight="1" x14ac:dyDescent="0.35">
      <c r="B71" s="10"/>
      <c r="C71" s="10"/>
    </row>
    <row r="72" spans="2:3" ht="16.5" hidden="1" customHeight="1" x14ac:dyDescent="0.35">
      <c r="B72" s="10"/>
      <c r="C72" s="10"/>
    </row>
    <row r="73" spans="2:3" ht="16.5" hidden="1" customHeight="1" x14ac:dyDescent="0.35">
      <c r="B73" s="10"/>
      <c r="C73" s="10"/>
    </row>
    <row r="74" spans="2:3" ht="16.5" hidden="1" customHeight="1" x14ac:dyDescent="0.35">
      <c r="B74" s="10"/>
      <c r="C74" s="10"/>
    </row>
    <row r="75" spans="2:3" ht="16.5" hidden="1" customHeight="1" x14ac:dyDescent="0.35">
      <c r="B75" s="10"/>
      <c r="C75" s="10"/>
    </row>
    <row r="76" spans="2:3" ht="16.5" hidden="1" customHeight="1" x14ac:dyDescent="0.35">
      <c r="B76" s="10"/>
      <c r="C76" s="10"/>
    </row>
    <row r="77" spans="2:3" ht="16.5" hidden="1" customHeight="1" x14ac:dyDescent="0.35">
      <c r="B77" s="10"/>
      <c r="C77" s="10"/>
    </row>
    <row r="78" spans="2:3" ht="16.5" hidden="1" customHeight="1" x14ac:dyDescent="0.35">
      <c r="B78" s="10"/>
      <c r="C78" s="10"/>
    </row>
    <row r="79" spans="2:3" ht="16.5" hidden="1" customHeight="1" x14ac:dyDescent="0.35">
      <c r="B79" s="10"/>
      <c r="C79" s="10"/>
    </row>
    <row r="80" spans="2:3" ht="16.5" hidden="1" customHeight="1" x14ac:dyDescent="0.35">
      <c r="B80" s="10"/>
      <c r="C80" s="10"/>
    </row>
    <row r="81" spans="2:3" ht="16.5" hidden="1" customHeight="1" x14ac:dyDescent="0.35">
      <c r="B81" s="10"/>
      <c r="C81" s="10"/>
    </row>
    <row r="82" spans="2:3" ht="16.5" hidden="1" customHeight="1" x14ac:dyDescent="0.35">
      <c r="B82" s="10"/>
      <c r="C82" s="10"/>
    </row>
    <row r="83" spans="2:3" ht="16.5" hidden="1" customHeight="1" x14ac:dyDescent="0.35">
      <c r="B83" s="10"/>
      <c r="C83" s="10"/>
    </row>
    <row r="84" spans="2:3" ht="16.5" hidden="1" customHeight="1" x14ac:dyDescent="0.35">
      <c r="B84" s="10"/>
      <c r="C84" s="10"/>
    </row>
    <row r="85" spans="2:3" ht="16.5" hidden="1" customHeight="1" x14ac:dyDescent="0.35">
      <c r="B85" s="10"/>
      <c r="C85" s="10"/>
    </row>
    <row r="86" spans="2:3" ht="16.5" hidden="1" customHeight="1" x14ac:dyDescent="0.35">
      <c r="B86" s="10"/>
      <c r="C86" s="10"/>
    </row>
    <row r="87" spans="2:3" ht="16.5" hidden="1" customHeight="1" x14ac:dyDescent="0.35">
      <c r="B87" s="10"/>
      <c r="C87" s="10"/>
    </row>
    <row r="88" spans="2:3" ht="16.5" hidden="1" customHeight="1" x14ac:dyDescent="0.35">
      <c r="B88" s="10"/>
      <c r="C88" s="10"/>
    </row>
    <row r="89" spans="2:3" ht="16.5" hidden="1" customHeight="1" x14ac:dyDescent="0.35">
      <c r="B89" s="10"/>
      <c r="C89" s="10"/>
    </row>
    <row r="90" spans="2:3" ht="16.5" hidden="1" customHeight="1" x14ac:dyDescent="0.35">
      <c r="B90" s="10"/>
      <c r="C90" s="10"/>
    </row>
    <row r="91" spans="2:3" ht="16.5" hidden="1" customHeight="1" x14ac:dyDescent="0.35">
      <c r="B91" s="10"/>
      <c r="C91" s="10"/>
    </row>
    <row r="92" spans="2:3" ht="16.5" hidden="1" customHeight="1" x14ac:dyDescent="0.35">
      <c r="B92" s="10"/>
      <c r="C92" s="10"/>
    </row>
    <row r="93" spans="2:3" ht="16.5" hidden="1" customHeight="1" x14ac:dyDescent="0.35">
      <c r="B93" s="10"/>
      <c r="C93" s="10"/>
    </row>
    <row r="94" spans="2:3" ht="16.5" hidden="1" customHeight="1" x14ac:dyDescent="0.35">
      <c r="B94" s="10"/>
      <c r="C94" s="10"/>
    </row>
    <row r="95" spans="2:3" ht="16.5" hidden="1" customHeight="1" x14ac:dyDescent="0.35">
      <c r="B95" s="10"/>
      <c r="C95" s="10"/>
    </row>
    <row r="96" spans="2:3" ht="16.5" hidden="1" customHeight="1" x14ac:dyDescent="0.35">
      <c r="B96" s="10"/>
      <c r="C96" s="10"/>
    </row>
    <row r="97" spans="2:3" ht="16.5" hidden="1" customHeight="1" x14ac:dyDescent="0.35">
      <c r="B97" s="10"/>
      <c r="C97" s="10"/>
    </row>
    <row r="98" spans="2:3" ht="16.5" hidden="1" customHeight="1" x14ac:dyDescent="0.35">
      <c r="B98" s="10"/>
      <c r="C98" s="10"/>
    </row>
    <row r="99" spans="2:3" ht="16.5" hidden="1" customHeight="1" x14ac:dyDescent="0.35">
      <c r="B99" s="10"/>
      <c r="C99" s="10"/>
    </row>
    <row r="100" spans="2:3" ht="16.5" hidden="1" customHeight="1" x14ac:dyDescent="0.35">
      <c r="B100" s="10"/>
      <c r="C100" s="10"/>
    </row>
    <row r="101" spans="2:3" ht="16.5" hidden="1" customHeight="1" x14ac:dyDescent="0.35">
      <c r="B101" s="10"/>
      <c r="C101" s="10"/>
    </row>
    <row r="102" spans="2:3" ht="16.5" hidden="1" customHeight="1" x14ac:dyDescent="0.35">
      <c r="B102" s="10"/>
      <c r="C102" s="10"/>
    </row>
    <row r="103" spans="2:3" ht="16.5" hidden="1" customHeight="1" x14ac:dyDescent="0.35">
      <c r="B103" s="10"/>
      <c r="C103" s="10"/>
    </row>
    <row r="104" spans="2:3" ht="16.5" hidden="1" customHeight="1" x14ac:dyDescent="0.35">
      <c r="B104" s="10"/>
      <c r="C104" s="10"/>
    </row>
    <row r="105" spans="2:3" ht="16.5" hidden="1" customHeight="1" x14ac:dyDescent="0.35">
      <c r="B105" s="10"/>
      <c r="C105" s="10"/>
    </row>
    <row r="106" spans="2:3" ht="16.5" hidden="1" customHeight="1" x14ac:dyDescent="0.35">
      <c r="B106" s="10"/>
      <c r="C106" s="10"/>
    </row>
    <row r="107" spans="2:3" ht="16.5" hidden="1" customHeight="1" x14ac:dyDescent="0.35">
      <c r="B107" s="10"/>
      <c r="C107" s="10"/>
    </row>
    <row r="108" spans="2:3" ht="16.5" hidden="1" customHeight="1" x14ac:dyDescent="0.35">
      <c r="B108" s="10"/>
      <c r="C108" s="10"/>
    </row>
    <row r="109" spans="2:3" ht="16.5" hidden="1" customHeight="1" x14ac:dyDescent="0.35">
      <c r="B109" s="10"/>
      <c r="C109" s="10"/>
    </row>
    <row r="110" spans="2:3" ht="16.5" hidden="1" customHeight="1" x14ac:dyDescent="0.35">
      <c r="B110" s="10"/>
      <c r="C110" s="10"/>
    </row>
    <row r="111" spans="2:3" ht="16.5" hidden="1" customHeight="1" x14ac:dyDescent="0.35">
      <c r="B111" s="10"/>
      <c r="C111" s="10"/>
    </row>
    <row r="112" spans="2:3" ht="16.5" hidden="1" customHeight="1" x14ac:dyDescent="0.35">
      <c r="B112" s="10"/>
      <c r="C112" s="10"/>
    </row>
    <row r="113" spans="2:3" ht="16.5" hidden="1" customHeight="1" x14ac:dyDescent="0.35">
      <c r="B113" s="10"/>
      <c r="C113" s="10"/>
    </row>
    <row r="114" spans="2:3" ht="16.5" hidden="1" customHeight="1" x14ac:dyDescent="0.35">
      <c r="B114" s="10"/>
      <c r="C114" s="10"/>
    </row>
    <row r="115" spans="2:3" ht="16.5" hidden="1" customHeight="1" x14ac:dyDescent="0.35">
      <c r="B115" s="10"/>
      <c r="C115" s="10"/>
    </row>
    <row r="116" spans="2:3" ht="16.5" hidden="1" customHeight="1" x14ac:dyDescent="0.35">
      <c r="B116" s="10"/>
      <c r="C116" s="10"/>
    </row>
    <row r="117" spans="2:3" ht="16.5" hidden="1" customHeight="1" x14ac:dyDescent="0.35">
      <c r="B117" s="10"/>
      <c r="C117" s="10"/>
    </row>
    <row r="118" spans="2:3" ht="16.5" hidden="1" customHeight="1" x14ac:dyDescent="0.35">
      <c r="B118" s="10"/>
      <c r="C118" s="10"/>
    </row>
    <row r="119" spans="2:3" ht="16.5" hidden="1" customHeight="1" x14ac:dyDescent="0.35">
      <c r="B119" s="10"/>
      <c r="C119" s="10"/>
    </row>
    <row r="120" spans="2:3" ht="16.5" hidden="1" customHeight="1" x14ac:dyDescent="0.35">
      <c r="B120" s="10"/>
      <c r="C120" s="10"/>
    </row>
    <row r="121" spans="2:3" ht="16.5" hidden="1" customHeight="1" x14ac:dyDescent="0.35">
      <c r="B121" s="10"/>
      <c r="C121" s="10"/>
    </row>
    <row r="122" spans="2:3" ht="16.5" hidden="1" customHeight="1" x14ac:dyDescent="0.35">
      <c r="B122" s="10"/>
      <c r="C122" s="10"/>
    </row>
    <row r="123" spans="2:3" ht="16.5" hidden="1" customHeight="1" x14ac:dyDescent="0.35">
      <c r="B123" s="10"/>
      <c r="C123" s="10"/>
    </row>
    <row r="124" spans="2:3" ht="16.5" hidden="1" customHeight="1" x14ac:dyDescent="0.35">
      <c r="B124" s="10"/>
      <c r="C124" s="10"/>
    </row>
    <row r="125" spans="2:3" ht="16.5" hidden="1" customHeight="1" x14ac:dyDescent="0.35">
      <c r="B125" s="10"/>
      <c r="C125" s="10"/>
    </row>
    <row r="126" spans="2:3" ht="16.5" hidden="1" customHeight="1" x14ac:dyDescent="0.35">
      <c r="B126" s="10"/>
      <c r="C126" s="10"/>
    </row>
    <row r="127" spans="2:3" ht="16.5" hidden="1" customHeight="1" x14ac:dyDescent="0.35">
      <c r="B127" s="10"/>
      <c r="C127" s="10"/>
    </row>
    <row r="128" spans="2:3" ht="16.5" hidden="1" customHeight="1" x14ac:dyDescent="0.35">
      <c r="B128" s="10"/>
      <c r="C128" s="10"/>
    </row>
    <row r="129" spans="2:3" ht="16.5" hidden="1" customHeight="1" x14ac:dyDescent="0.35">
      <c r="B129" s="10"/>
      <c r="C129" s="10"/>
    </row>
    <row r="130" spans="2:3" ht="16.5" hidden="1" customHeight="1" x14ac:dyDescent="0.35">
      <c r="B130" s="10"/>
      <c r="C130" s="10"/>
    </row>
    <row r="131" spans="2:3" ht="16.5" hidden="1" customHeight="1" x14ac:dyDescent="0.35">
      <c r="B131" s="10"/>
      <c r="C131" s="10"/>
    </row>
    <row r="132" spans="2:3" ht="16.5" hidden="1" customHeight="1" x14ac:dyDescent="0.35">
      <c r="B132" s="10"/>
      <c r="C132" s="10"/>
    </row>
    <row r="133" spans="2:3" ht="16.5" hidden="1" customHeight="1" x14ac:dyDescent="0.35">
      <c r="B133" s="10"/>
      <c r="C133" s="10"/>
    </row>
    <row r="134" spans="2:3" ht="16.5" hidden="1" customHeight="1" x14ac:dyDescent="0.35">
      <c r="B134" s="10"/>
      <c r="C134" s="10"/>
    </row>
    <row r="135" spans="2:3" ht="16.5" hidden="1" customHeight="1" x14ac:dyDescent="0.35">
      <c r="B135" s="10"/>
      <c r="C135" s="10"/>
    </row>
    <row r="136" spans="2:3" ht="16.5" hidden="1" customHeight="1" x14ac:dyDescent="0.35">
      <c r="B136" s="10"/>
      <c r="C136" s="10"/>
    </row>
    <row r="137" spans="2:3" ht="16.5" hidden="1" customHeight="1" x14ac:dyDescent="0.35">
      <c r="B137" s="10"/>
      <c r="C137" s="10"/>
    </row>
    <row r="138" spans="2:3" ht="16.5" hidden="1" customHeight="1" x14ac:dyDescent="0.35">
      <c r="B138" s="10"/>
      <c r="C138" s="10"/>
    </row>
    <row r="139" spans="2:3" ht="16.5" hidden="1" customHeight="1" x14ac:dyDescent="0.35">
      <c r="B139" s="10"/>
      <c r="C139" s="10"/>
    </row>
    <row r="140" spans="2:3" ht="16.5" hidden="1" customHeight="1" x14ac:dyDescent="0.35">
      <c r="B140" s="10"/>
      <c r="C140" s="10"/>
    </row>
    <row r="141" spans="2:3" ht="16.5" hidden="1" customHeight="1" x14ac:dyDescent="0.35">
      <c r="B141" s="10"/>
      <c r="C141" s="10"/>
    </row>
    <row r="142" spans="2:3" ht="16.5" hidden="1" customHeight="1" x14ac:dyDescent="0.35">
      <c r="B142" s="10"/>
      <c r="C142" s="10"/>
    </row>
    <row r="143" spans="2:3" ht="16.5" hidden="1" customHeight="1" x14ac:dyDescent="0.35">
      <c r="B143" s="10"/>
      <c r="C143" s="10"/>
    </row>
    <row r="144" spans="2:3" ht="16.5" hidden="1" customHeight="1" x14ac:dyDescent="0.35">
      <c r="B144" s="10"/>
      <c r="C144" s="10"/>
    </row>
    <row r="145" spans="2:3" ht="16.5" hidden="1" customHeight="1" x14ac:dyDescent="0.35">
      <c r="B145" s="10"/>
      <c r="C145" s="10"/>
    </row>
    <row r="146" spans="2:3" ht="16.5" hidden="1" customHeight="1" x14ac:dyDescent="0.35">
      <c r="B146" s="10"/>
      <c r="C146" s="10"/>
    </row>
    <row r="147" spans="2:3" ht="16.5" hidden="1" customHeight="1" x14ac:dyDescent="0.35">
      <c r="B147" s="10"/>
      <c r="C147" s="10"/>
    </row>
    <row r="148" spans="2:3" ht="16.5" hidden="1" customHeight="1" x14ac:dyDescent="0.35">
      <c r="B148" s="10"/>
      <c r="C148" s="10"/>
    </row>
    <row r="149" spans="2:3" ht="16.5" hidden="1" customHeight="1" x14ac:dyDescent="0.35">
      <c r="B149" s="10"/>
      <c r="C149" s="10"/>
    </row>
    <row r="150" spans="2:3" ht="16.5" hidden="1" customHeight="1" x14ac:dyDescent="0.35">
      <c r="B150" s="10"/>
      <c r="C150" s="10"/>
    </row>
    <row r="151" spans="2:3" ht="16.5" hidden="1" customHeight="1" x14ac:dyDescent="0.35">
      <c r="B151" s="10"/>
      <c r="C151" s="10"/>
    </row>
    <row r="152" spans="2:3" ht="16.5" hidden="1" customHeight="1" x14ac:dyDescent="0.35">
      <c r="B152" s="10"/>
      <c r="C152" s="10"/>
    </row>
    <row r="153" spans="2:3" ht="16.5" hidden="1" customHeight="1" x14ac:dyDescent="0.35">
      <c r="B153" s="10"/>
      <c r="C153" s="10"/>
    </row>
    <row r="154" spans="2:3" ht="16.5" hidden="1" customHeight="1" x14ac:dyDescent="0.35">
      <c r="B154" s="10"/>
      <c r="C154" s="10"/>
    </row>
    <row r="155" spans="2:3" ht="16.5" hidden="1" customHeight="1" x14ac:dyDescent="0.35">
      <c r="B155" s="10"/>
      <c r="C155" s="10"/>
    </row>
    <row r="156" spans="2:3" ht="16.5" hidden="1" customHeight="1" x14ac:dyDescent="0.35">
      <c r="B156" s="10"/>
      <c r="C156" s="10"/>
    </row>
    <row r="157" spans="2:3" ht="16.5" hidden="1" customHeight="1" x14ac:dyDescent="0.35">
      <c r="B157" s="10"/>
      <c r="C157" s="10"/>
    </row>
    <row r="158" spans="2:3" ht="16.5" hidden="1" customHeight="1" x14ac:dyDescent="0.35">
      <c r="B158" s="10"/>
      <c r="C158" s="10"/>
    </row>
    <row r="159" spans="2:3" ht="16.5" hidden="1" customHeight="1" x14ac:dyDescent="0.35">
      <c r="B159" s="10"/>
      <c r="C159" s="10"/>
    </row>
    <row r="160" spans="2:3" ht="16.5" hidden="1" customHeight="1" x14ac:dyDescent="0.35">
      <c r="B160" s="10"/>
      <c r="C160" s="10"/>
    </row>
    <row r="161" spans="2:3" ht="16.5" hidden="1" customHeight="1" x14ac:dyDescent="0.35">
      <c r="B161" s="10"/>
      <c r="C161" s="10"/>
    </row>
    <row r="162" spans="2:3" ht="16.5" hidden="1" customHeight="1" x14ac:dyDescent="0.35">
      <c r="B162" s="10"/>
      <c r="C162" s="10"/>
    </row>
    <row r="163" spans="2:3" ht="16.5" hidden="1" customHeight="1" x14ac:dyDescent="0.35">
      <c r="B163" s="10"/>
      <c r="C163" s="10"/>
    </row>
    <row r="164" spans="2:3" ht="16.5" hidden="1" customHeight="1" x14ac:dyDescent="0.35">
      <c r="B164" s="10"/>
      <c r="C164" s="10"/>
    </row>
    <row r="165" spans="2:3" ht="16.5" hidden="1" customHeight="1" x14ac:dyDescent="0.35">
      <c r="B165" s="10"/>
      <c r="C165" s="10"/>
    </row>
    <row r="166" spans="2:3" ht="16.5" hidden="1" customHeight="1" x14ac:dyDescent="0.35">
      <c r="B166" s="10"/>
      <c r="C166" s="10"/>
    </row>
    <row r="167" spans="2:3" ht="16.5" hidden="1" customHeight="1" x14ac:dyDescent="0.35">
      <c r="B167" s="10"/>
      <c r="C167" s="10"/>
    </row>
    <row r="168" spans="2:3" ht="16.5" hidden="1" customHeight="1" x14ac:dyDescent="0.35">
      <c r="B168" s="10"/>
      <c r="C168" s="10"/>
    </row>
    <row r="169" spans="2:3" ht="16.5" hidden="1" customHeight="1" x14ac:dyDescent="0.35">
      <c r="B169" s="10"/>
      <c r="C169" s="10"/>
    </row>
    <row r="170" spans="2:3" ht="16.5" hidden="1" customHeight="1" x14ac:dyDescent="0.35">
      <c r="B170" s="10"/>
      <c r="C170" s="10"/>
    </row>
    <row r="171" spans="2:3" ht="16.5" hidden="1" customHeight="1" x14ac:dyDescent="0.35">
      <c r="B171" s="10"/>
      <c r="C171" s="10"/>
    </row>
    <row r="172" spans="2:3" ht="16.5" hidden="1" customHeight="1" x14ac:dyDescent="0.35">
      <c r="B172" s="10"/>
      <c r="C172" s="10"/>
    </row>
    <row r="173" spans="2:3" ht="16.5" hidden="1" customHeight="1" x14ac:dyDescent="0.35">
      <c r="B173" s="10"/>
      <c r="C173" s="10"/>
    </row>
    <row r="174" spans="2:3" ht="16.5" hidden="1" customHeight="1" x14ac:dyDescent="0.35">
      <c r="B174" s="10"/>
      <c r="C174" s="10"/>
    </row>
    <row r="175" spans="2:3" ht="16.5" hidden="1" customHeight="1" x14ac:dyDescent="0.35">
      <c r="B175" s="10"/>
      <c r="C175" s="10"/>
    </row>
    <row r="176" spans="2:3" ht="16.5" hidden="1" customHeight="1" x14ac:dyDescent="0.35">
      <c r="B176" s="10"/>
      <c r="C176" s="10"/>
    </row>
    <row r="177" spans="2:3" ht="16.5" hidden="1" customHeight="1" x14ac:dyDescent="0.35">
      <c r="B177" s="10"/>
      <c r="C177" s="10"/>
    </row>
    <row r="178" spans="2:3" ht="16.5" hidden="1" customHeight="1" x14ac:dyDescent="0.35">
      <c r="B178" s="10"/>
      <c r="C178" s="10"/>
    </row>
    <row r="179" spans="2:3" ht="16.5" hidden="1" customHeight="1" x14ac:dyDescent="0.35">
      <c r="B179" s="10"/>
      <c r="C179" s="10"/>
    </row>
    <row r="180" spans="2:3" ht="16.5" hidden="1" customHeight="1" x14ac:dyDescent="0.35">
      <c r="B180" s="10"/>
      <c r="C180" s="10"/>
    </row>
    <row r="181" spans="2:3" ht="16.5" hidden="1" customHeight="1" x14ac:dyDescent="0.35">
      <c r="B181" s="10"/>
      <c r="C181" s="10"/>
    </row>
    <row r="182" spans="2:3" ht="16.5" hidden="1" customHeight="1" x14ac:dyDescent="0.35">
      <c r="B182" s="10"/>
      <c r="C182" s="10"/>
    </row>
    <row r="183" spans="2:3" ht="16.5" hidden="1" customHeight="1" x14ac:dyDescent="0.35">
      <c r="B183" s="10"/>
      <c r="C183" s="10"/>
    </row>
    <row r="184" spans="2:3" ht="16.5" hidden="1" customHeight="1" x14ac:dyDescent="0.35">
      <c r="B184" s="10"/>
      <c r="C184" s="10"/>
    </row>
    <row r="185" spans="2:3" ht="16.5" hidden="1" customHeight="1" x14ac:dyDescent="0.35">
      <c r="B185" s="10"/>
      <c r="C185" s="10"/>
    </row>
    <row r="186" spans="2:3" ht="16.5" hidden="1" customHeight="1" x14ac:dyDescent="0.35">
      <c r="B186" s="10"/>
      <c r="C186" s="10"/>
    </row>
    <row r="187" spans="2:3" ht="16.5" hidden="1" customHeight="1" x14ac:dyDescent="0.35">
      <c r="B187" s="10"/>
      <c r="C187" s="10"/>
    </row>
    <row r="188" spans="2:3" ht="16.5" hidden="1" customHeight="1" x14ac:dyDescent="0.35">
      <c r="B188" s="10"/>
      <c r="C188" s="10"/>
    </row>
    <row r="189" spans="2:3" ht="16.5" hidden="1" customHeight="1" x14ac:dyDescent="0.35">
      <c r="B189" s="10"/>
      <c r="C189" s="10"/>
    </row>
    <row r="190" spans="2:3" ht="16.5" hidden="1" customHeight="1" x14ac:dyDescent="0.35">
      <c r="B190" s="10"/>
      <c r="C190" s="10"/>
    </row>
    <row r="191" spans="2:3" ht="16.5" hidden="1" customHeight="1" x14ac:dyDescent="0.35">
      <c r="B191" s="10"/>
      <c r="C191" s="10"/>
    </row>
    <row r="192" spans="2:3" ht="16.5" hidden="1" customHeight="1" x14ac:dyDescent="0.35">
      <c r="B192" s="10"/>
      <c r="C192" s="10"/>
    </row>
    <row r="193" spans="2:3" ht="16.5" hidden="1" customHeight="1" x14ac:dyDescent="0.35">
      <c r="B193" s="10"/>
      <c r="C193" s="10"/>
    </row>
    <row r="194" spans="2:3" ht="16.5" hidden="1" customHeight="1" x14ac:dyDescent="0.35">
      <c r="B194" s="10"/>
      <c r="C194" s="10"/>
    </row>
    <row r="195" spans="2:3" ht="16.5" hidden="1" customHeight="1" x14ac:dyDescent="0.35">
      <c r="B195" s="10"/>
      <c r="C195" s="10"/>
    </row>
    <row r="196" spans="2:3" ht="16.5" hidden="1" customHeight="1" x14ac:dyDescent="0.35">
      <c r="B196" s="10"/>
      <c r="C196" s="10"/>
    </row>
    <row r="197" spans="2:3" ht="16.5" hidden="1" customHeight="1" x14ac:dyDescent="0.35">
      <c r="B197" s="10"/>
      <c r="C197" s="10"/>
    </row>
    <row r="198" spans="2:3" ht="16.5" hidden="1" customHeight="1" x14ac:dyDescent="0.35">
      <c r="B198" s="10"/>
      <c r="C198" s="10"/>
    </row>
    <row r="199" spans="2:3" ht="16.5" hidden="1" customHeight="1" x14ac:dyDescent="0.35">
      <c r="B199" s="10"/>
      <c r="C199" s="10"/>
    </row>
    <row r="200" spans="2:3" ht="16.5" hidden="1" customHeight="1" x14ac:dyDescent="0.35">
      <c r="B200" s="10"/>
      <c r="C200" s="10"/>
    </row>
    <row r="201" spans="2:3" ht="16.5" hidden="1" customHeight="1" x14ac:dyDescent="0.35">
      <c r="B201" s="10"/>
      <c r="C201" s="10"/>
    </row>
    <row r="202" spans="2:3" ht="16.5" hidden="1" customHeight="1" x14ac:dyDescent="0.35">
      <c r="B202" s="10"/>
      <c r="C202" s="10"/>
    </row>
    <row r="203" spans="2:3" ht="16.5" hidden="1" customHeight="1" x14ac:dyDescent="0.35">
      <c r="B203" s="10"/>
      <c r="C203" s="10"/>
    </row>
    <row r="204" spans="2:3" ht="16.5" hidden="1" customHeight="1" x14ac:dyDescent="0.35">
      <c r="B204" s="10"/>
      <c r="C204" s="10"/>
    </row>
    <row r="205" spans="2:3" ht="16.5" hidden="1" customHeight="1" x14ac:dyDescent="0.35">
      <c r="B205" s="10"/>
      <c r="C205" s="10"/>
    </row>
    <row r="206" spans="2:3" ht="16.5" hidden="1" customHeight="1" x14ac:dyDescent="0.35">
      <c r="B206" s="10"/>
      <c r="C206" s="10"/>
    </row>
    <row r="207" spans="2:3" ht="16.5" hidden="1" customHeight="1" x14ac:dyDescent="0.35">
      <c r="B207" s="10"/>
      <c r="C207" s="10"/>
    </row>
    <row r="208" spans="2:3" ht="16.5" hidden="1" customHeight="1" x14ac:dyDescent="0.35">
      <c r="B208" s="10"/>
      <c r="C208" s="10"/>
    </row>
    <row r="209" spans="2:3" ht="16.5" hidden="1" customHeight="1" x14ac:dyDescent="0.35">
      <c r="B209" s="10"/>
      <c r="C209" s="10"/>
    </row>
    <row r="210" spans="2:3" ht="16.5" hidden="1" customHeight="1" x14ac:dyDescent="0.35">
      <c r="B210" s="10"/>
      <c r="C210" s="10"/>
    </row>
    <row r="211" spans="2:3" ht="16.5" hidden="1" customHeight="1" x14ac:dyDescent="0.35">
      <c r="B211" s="10"/>
      <c r="C211" s="10"/>
    </row>
    <row r="212" spans="2:3" ht="16.5" hidden="1" customHeight="1" x14ac:dyDescent="0.35">
      <c r="B212" s="10"/>
      <c r="C212" s="10"/>
    </row>
    <row r="213" spans="2:3" ht="16.5" hidden="1" customHeight="1" x14ac:dyDescent="0.35">
      <c r="B213" s="10"/>
      <c r="C213" s="10"/>
    </row>
    <row r="214" spans="2:3" ht="16.5" hidden="1" customHeight="1" x14ac:dyDescent="0.35">
      <c r="B214" s="10"/>
      <c r="C214" s="10"/>
    </row>
    <row r="215" spans="2:3" ht="16.5" hidden="1" customHeight="1" x14ac:dyDescent="0.35">
      <c r="B215" s="10"/>
      <c r="C215" s="10"/>
    </row>
    <row r="216" spans="2:3" ht="16.5" hidden="1" customHeight="1" x14ac:dyDescent="0.35">
      <c r="B216" s="10"/>
      <c r="C216" s="10"/>
    </row>
    <row r="217" spans="2:3" ht="16.5" hidden="1" customHeight="1" x14ac:dyDescent="0.35">
      <c r="B217" s="10"/>
      <c r="C217" s="10"/>
    </row>
    <row r="218" spans="2:3" ht="16.5" hidden="1" customHeight="1" x14ac:dyDescent="0.35">
      <c r="B218" s="10"/>
      <c r="C218" s="10"/>
    </row>
    <row r="219" spans="2:3" ht="16.5" hidden="1" customHeight="1" x14ac:dyDescent="0.35">
      <c r="B219" s="10"/>
      <c r="C219" s="10"/>
    </row>
    <row r="220" spans="2:3" ht="16.5" hidden="1" customHeight="1" x14ac:dyDescent="0.35">
      <c r="B220" s="10"/>
      <c r="C220" s="10"/>
    </row>
    <row r="221" spans="2:3" ht="16.5" hidden="1" customHeight="1" x14ac:dyDescent="0.35">
      <c r="B221" s="10"/>
      <c r="C221" s="10"/>
    </row>
    <row r="222" spans="2:3" ht="16.5" hidden="1" customHeight="1" x14ac:dyDescent="0.35">
      <c r="B222" s="10"/>
      <c r="C222" s="10"/>
    </row>
    <row r="223" spans="2:3" ht="16.5" hidden="1" customHeight="1" x14ac:dyDescent="0.35">
      <c r="B223" s="10"/>
      <c r="C223" s="10"/>
    </row>
    <row r="224" spans="2:3" ht="16.5" hidden="1" customHeight="1" x14ac:dyDescent="0.35">
      <c r="B224" s="10"/>
      <c r="C224" s="10"/>
    </row>
    <row r="225" spans="2:3" ht="16.5" hidden="1" customHeight="1" x14ac:dyDescent="0.35">
      <c r="B225" s="10"/>
      <c r="C225" s="10"/>
    </row>
    <row r="226" spans="2:3" ht="16.5" hidden="1" customHeight="1" x14ac:dyDescent="0.35">
      <c r="B226" s="10"/>
      <c r="C226" s="10"/>
    </row>
    <row r="227" spans="2:3" ht="16.5" hidden="1" customHeight="1" x14ac:dyDescent="0.35">
      <c r="B227" s="10"/>
      <c r="C227" s="10"/>
    </row>
    <row r="228" spans="2:3" ht="16.5" hidden="1" customHeight="1" x14ac:dyDescent="0.35">
      <c r="B228" s="10"/>
      <c r="C228" s="10"/>
    </row>
    <row r="229" spans="2:3" ht="16.5" hidden="1" customHeight="1" x14ac:dyDescent="0.35">
      <c r="B229" s="10"/>
      <c r="C229" s="10"/>
    </row>
    <row r="230" spans="2:3" ht="16.5" hidden="1" customHeight="1" x14ac:dyDescent="0.35">
      <c r="B230" s="10"/>
      <c r="C230" s="10"/>
    </row>
    <row r="231" spans="2:3" ht="16.5" hidden="1" customHeight="1" x14ac:dyDescent="0.35">
      <c r="B231" s="10"/>
      <c r="C231" s="10"/>
    </row>
    <row r="232" spans="2:3" ht="16.5" hidden="1" customHeight="1" x14ac:dyDescent="0.35">
      <c r="B232" s="10"/>
      <c r="C232" s="10"/>
    </row>
    <row r="233" spans="2:3" ht="16.5" hidden="1" customHeight="1" x14ac:dyDescent="0.35">
      <c r="B233" s="10"/>
      <c r="C233" s="10"/>
    </row>
    <row r="234" spans="2:3" ht="16.5" hidden="1" customHeight="1" x14ac:dyDescent="0.35">
      <c r="B234" s="10"/>
      <c r="C234" s="10"/>
    </row>
    <row r="235" spans="2:3" ht="16.5" hidden="1" customHeight="1" x14ac:dyDescent="0.35">
      <c r="B235" s="10"/>
      <c r="C235" s="10"/>
    </row>
    <row r="236" spans="2:3" ht="16.5" hidden="1" customHeight="1" x14ac:dyDescent="0.35">
      <c r="B236" s="10"/>
      <c r="C236" s="10"/>
    </row>
    <row r="237" spans="2:3" ht="16.5" hidden="1" customHeight="1" x14ac:dyDescent="0.35">
      <c r="B237" s="10"/>
      <c r="C237" s="10"/>
    </row>
    <row r="238" spans="2:3" ht="16.5" hidden="1" customHeight="1" x14ac:dyDescent="0.35">
      <c r="B238" s="10"/>
      <c r="C238" s="10"/>
    </row>
    <row r="239" spans="2:3" ht="16.5" hidden="1" customHeight="1" x14ac:dyDescent="0.35">
      <c r="B239" s="10"/>
      <c r="C239" s="10"/>
    </row>
    <row r="240" spans="2:3" ht="16.5" hidden="1" customHeight="1" x14ac:dyDescent="0.35">
      <c r="B240" s="10"/>
      <c r="C240" s="10"/>
    </row>
    <row r="241" spans="2:3" ht="16.5" hidden="1" customHeight="1" x14ac:dyDescent="0.35">
      <c r="B241" s="10"/>
      <c r="C241" s="10"/>
    </row>
    <row r="242" spans="2:3" ht="16.5" hidden="1" customHeight="1" x14ac:dyDescent="0.35">
      <c r="B242" s="10"/>
      <c r="C242" s="10"/>
    </row>
    <row r="243" spans="2:3" ht="16.5" hidden="1" customHeight="1" x14ac:dyDescent="0.35">
      <c r="B243" s="10"/>
      <c r="C243" s="10"/>
    </row>
    <row r="244" spans="2:3" ht="16.5" hidden="1" customHeight="1" x14ac:dyDescent="0.35">
      <c r="B244" s="10"/>
      <c r="C244" s="10"/>
    </row>
    <row r="245" spans="2:3" ht="16.5" hidden="1" customHeight="1" x14ac:dyDescent="0.35">
      <c r="B245" s="10"/>
      <c r="C245" s="10"/>
    </row>
    <row r="246" spans="2:3" ht="16.5" hidden="1" customHeight="1" x14ac:dyDescent="0.35">
      <c r="B246" s="10"/>
      <c r="C246" s="10"/>
    </row>
    <row r="247" spans="2:3" ht="16.5" hidden="1" customHeight="1" x14ac:dyDescent="0.35">
      <c r="B247" s="10"/>
      <c r="C247" s="10"/>
    </row>
    <row r="248" spans="2:3" ht="16.5" hidden="1" customHeight="1" x14ac:dyDescent="0.35">
      <c r="B248" s="10"/>
      <c r="C248" s="10"/>
    </row>
    <row r="249" spans="2:3" ht="16.5" hidden="1" customHeight="1" x14ac:dyDescent="0.35">
      <c r="B249" s="10"/>
      <c r="C249" s="10"/>
    </row>
    <row r="250" spans="2:3" ht="16.5" hidden="1" customHeight="1" x14ac:dyDescent="0.35">
      <c r="B250" s="10"/>
      <c r="C250" s="10"/>
    </row>
    <row r="251" spans="2:3" ht="16.5" hidden="1" customHeight="1" x14ac:dyDescent="0.35">
      <c r="B251" s="10"/>
      <c r="C251" s="10"/>
    </row>
    <row r="252" spans="2:3" ht="16.5" hidden="1" customHeight="1" x14ac:dyDescent="0.35">
      <c r="B252" s="10"/>
      <c r="C252" s="10"/>
    </row>
    <row r="253" spans="2:3" ht="16.5" hidden="1" customHeight="1" x14ac:dyDescent="0.35">
      <c r="B253" s="10"/>
      <c r="C253" s="10"/>
    </row>
    <row r="254" spans="2:3" ht="16.5" hidden="1" customHeight="1" x14ac:dyDescent="0.35">
      <c r="B254" s="10"/>
      <c r="C254" s="10"/>
    </row>
    <row r="255" spans="2:3" ht="16.5" hidden="1" customHeight="1" x14ac:dyDescent="0.35">
      <c r="B255" s="10"/>
      <c r="C255" s="10"/>
    </row>
    <row r="256" spans="2:3" ht="16.5" hidden="1" customHeight="1" x14ac:dyDescent="0.35">
      <c r="B256" s="10"/>
      <c r="C256" s="10"/>
    </row>
    <row r="257" spans="2:3" ht="16.5" hidden="1" customHeight="1" x14ac:dyDescent="0.35">
      <c r="B257" s="10"/>
      <c r="C257" s="10"/>
    </row>
    <row r="258" spans="2:3" ht="16.5" hidden="1" customHeight="1" x14ac:dyDescent="0.35">
      <c r="B258" s="10"/>
      <c r="C258" s="10"/>
    </row>
    <row r="259" spans="2:3" ht="16.5" hidden="1" customHeight="1" x14ac:dyDescent="0.35">
      <c r="B259" s="10"/>
      <c r="C259" s="10"/>
    </row>
    <row r="260" spans="2:3" ht="16.5" hidden="1" customHeight="1" x14ac:dyDescent="0.35">
      <c r="B260" s="10"/>
      <c r="C260" s="10"/>
    </row>
    <row r="261" spans="2:3" ht="16.5" hidden="1" customHeight="1" x14ac:dyDescent="0.35">
      <c r="B261" s="10"/>
      <c r="C261" s="10"/>
    </row>
    <row r="262" spans="2:3" ht="16.5" hidden="1" customHeight="1" x14ac:dyDescent="0.35">
      <c r="B262" s="10"/>
      <c r="C262" s="10"/>
    </row>
    <row r="263" spans="2:3" ht="16.5" hidden="1" customHeight="1" x14ac:dyDescent="0.35">
      <c r="B263" s="10"/>
      <c r="C263" s="10"/>
    </row>
    <row r="264" spans="2:3" ht="16.5" hidden="1" customHeight="1" x14ac:dyDescent="0.35">
      <c r="B264" s="10"/>
      <c r="C264" s="10"/>
    </row>
    <row r="265" spans="2:3" ht="16.5" hidden="1" customHeight="1" x14ac:dyDescent="0.35">
      <c r="B265" s="10"/>
      <c r="C265" s="10"/>
    </row>
    <row r="266" spans="2:3" ht="16.5" hidden="1" customHeight="1" x14ac:dyDescent="0.35">
      <c r="B266" s="10"/>
      <c r="C266" s="10"/>
    </row>
    <row r="267" spans="2:3" ht="16.5" hidden="1" customHeight="1" x14ac:dyDescent="0.35">
      <c r="B267" s="10"/>
      <c r="C267" s="10"/>
    </row>
    <row r="268" spans="2:3" ht="16.5" hidden="1" customHeight="1" x14ac:dyDescent="0.35">
      <c r="B268" s="10"/>
      <c r="C268" s="10"/>
    </row>
    <row r="269" spans="2:3" ht="16.5" hidden="1" customHeight="1" x14ac:dyDescent="0.35">
      <c r="B269" s="10"/>
      <c r="C269" s="10"/>
    </row>
    <row r="270" spans="2:3" ht="16.5" hidden="1" customHeight="1" x14ac:dyDescent="0.35">
      <c r="B270" s="10"/>
      <c r="C270" s="10"/>
    </row>
    <row r="271" spans="2:3" ht="16.5" hidden="1" customHeight="1" x14ac:dyDescent="0.35">
      <c r="B271" s="10"/>
      <c r="C271" s="10"/>
    </row>
    <row r="272" spans="2:3" ht="16.5" hidden="1" customHeight="1" x14ac:dyDescent="0.35">
      <c r="B272" s="10"/>
      <c r="C272" s="10"/>
    </row>
    <row r="273" spans="2:3" ht="16.5" hidden="1" customHeight="1" x14ac:dyDescent="0.35">
      <c r="B273" s="10"/>
      <c r="C273" s="10"/>
    </row>
    <row r="274" spans="2:3" ht="16.5" hidden="1" customHeight="1" x14ac:dyDescent="0.35">
      <c r="B274" s="10"/>
      <c r="C274" s="10"/>
    </row>
    <row r="275" spans="2:3" ht="16.5" hidden="1" customHeight="1" x14ac:dyDescent="0.35">
      <c r="B275" s="10"/>
      <c r="C275" s="10"/>
    </row>
    <row r="276" spans="2:3" ht="16.5" hidden="1" customHeight="1" x14ac:dyDescent="0.35">
      <c r="B276" s="10"/>
      <c r="C276" s="10"/>
    </row>
    <row r="277" spans="2:3" ht="16.5" hidden="1" customHeight="1" x14ac:dyDescent="0.35">
      <c r="B277" s="10"/>
      <c r="C277" s="10"/>
    </row>
    <row r="278" spans="2:3" ht="16.5" hidden="1" customHeight="1" x14ac:dyDescent="0.35">
      <c r="B278" s="10"/>
      <c r="C278" s="10"/>
    </row>
    <row r="279" spans="2:3" ht="16.5" hidden="1" customHeight="1" x14ac:dyDescent="0.35">
      <c r="B279" s="10"/>
      <c r="C279" s="10"/>
    </row>
    <row r="280" spans="2:3" ht="16.5" hidden="1" customHeight="1" x14ac:dyDescent="0.35">
      <c r="B280" s="10"/>
      <c r="C280" s="10"/>
    </row>
    <row r="281" spans="2:3" ht="16.5" hidden="1" customHeight="1" x14ac:dyDescent="0.35">
      <c r="B281" s="10"/>
      <c r="C281" s="10"/>
    </row>
    <row r="282" spans="2:3" ht="16.5" hidden="1" customHeight="1" x14ac:dyDescent="0.35">
      <c r="B282" s="10"/>
      <c r="C282" s="10"/>
    </row>
    <row r="283" spans="2:3" ht="16.5" hidden="1" customHeight="1" x14ac:dyDescent="0.35">
      <c r="B283" s="10"/>
      <c r="C283" s="10"/>
    </row>
    <row r="284" spans="2:3" ht="16.5" hidden="1" customHeight="1" x14ac:dyDescent="0.35">
      <c r="B284" s="10"/>
      <c r="C284" s="10"/>
    </row>
    <row r="285" spans="2:3" ht="16.5" hidden="1" customHeight="1" x14ac:dyDescent="0.35">
      <c r="B285" s="10"/>
      <c r="C285" s="10"/>
    </row>
    <row r="286" spans="2:3" ht="16.5" hidden="1" customHeight="1" x14ac:dyDescent="0.35">
      <c r="B286" s="10"/>
      <c r="C286" s="10"/>
    </row>
    <row r="287" spans="2:3" ht="16.5" hidden="1" customHeight="1" x14ac:dyDescent="0.35">
      <c r="B287" s="10"/>
      <c r="C287" s="10"/>
    </row>
    <row r="288" spans="2:3" ht="16.5" hidden="1" customHeight="1" x14ac:dyDescent="0.35">
      <c r="B288" s="10"/>
      <c r="C288" s="10"/>
    </row>
    <row r="289" spans="2:3" ht="16.5" hidden="1" customHeight="1" x14ac:dyDescent="0.35">
      <c r="B289" s="10"/>
      <c r="C289" s="10"/>
    </row>
    <row r="290" spans="2:3" ht="16.5" hidden="1" customHeight="1" x14ac:dyDescent="0.35">
      <c r="B290" s="10"/>
      <c r="C290" s="10"/>
    </row>
    <row r="291" spans="2:3" ht="16.5" hidden="1" customHeight="1" x14ac:dyDescent="0.35">
      <c r="B291" s="10"/>
      <c r="C291" s="10"/>
    </row>
    <row r="292" spans="2:3" ht="16.5" hidden="1" customHeight="1" x14ac:dyDescent="0.35">
      <c r="B292" s="10"/>
      <c r="C292" s="10"/>
    </row>
    <row r="293" spans="2:3" ht="16.5" hidden="1" customHeight="1" x14ac:dyDescent="0.35">
      <c r="B293" s="10"/>
      <c r="C293" s="10"/>
    </row>
    <row r="294" spans="2:3" ht="16.5" hidden="1" customHeight="1" x14ac:dyDescent="0.35">
      <c r="B294" s="10"/>
      <c r="C294" s="10"/>
    </row>
    <row r="295" spans="2:3" ht="16.5" hidden="1" customHeight="1" x14ac:dyDescent="0.35">
      <c r="B295" s="10"/>
      <c r="C295" s="10"/>
    </row>
    <row r="296" spans="2:3" ht="16.5" hidden="1" customHeight="1" x14ac:dyDescent="0.35">
      <c r="B296" s="10"/>
      <c r="C296" s="10"/>
    </row>
    <row r="297" spans="2:3" ht="16.5" hidden="1" customHeight="1" x14ac:dyDescent="0.35">
      <c r="B297" s="10"/>
      <c r="C297" s="10"/>
    </row>
    <row r="298" spans="2:3" ht="16.5" hidden="1" customHeight="1" x14ac:dyDescent="0.35">
      <c r="B298" s="10"/>
      <c r="C298" s="10"/>
    </row>
    <row r="299" spans="2:3" ht="16.5" hidden="1" customHeight="1" x14ac:dyDescent="0.35">
      <c r="B299" s="10"/>
      <c r="C299" s="10"/>
    </row>
    <row r="300" spans="2:3" ht="16.5" hidden="1" customHeight="1" x14ac:dyDescent="0.35">
      <c r="B300" s="10"/>
      <c r="C300" s="10"/>
    </row>
    <row r="301" spans="2:3" ht="16.5" hidden="1" customHeight="1" x14ac:dyDescent="0.35">
      <c r="B301" s="10"/>
      <c r="C301" s="10"/>
    </row>
    <row r="302" spans="2:3" ht="16.5" hidden="1" customHeight="1" x14ac:dyDescent="0.35">
      <c r="B302" s="10"/>
      <c r="C302" s="10"/>
    </row>
    <row r="303" spans="2:3" ht="16.5" hidden="1" customHeight="1" x14ac:dyDescent="0.35">
      <c r="B303" s="10"/>
      <c r="C303" s="10"/>
    </row>
    <row r="304" spans="2:3" ht="16.5" hidden="1" customHeight="1" x14ac:dyDescent="0.35">
      <c r="B304" s="10"/>
      <c r="C304" s="10"/>
    </row>
    <row r="305" spans="2:3" ht="16.5" hidden="1" customHeight="1" x14ac:dyDescent="0.35">
      <c r="B305" s="10"/>
      <c r="C305" s="10"/>
    </row>
    <row r="306" spans="2:3" ht="16.5" hidden="1" customHeight="1" x14ac:dyDescent="0.35">
      <c r="B306" s="10"/>
      <c r="C306" s="10"/>
    </row>
    <row r="307" spans="2:3" ht="16.5" hidden="1" customHeight="1" x14ac:dyDescent="0.35">
      <c r="B307" s="10"/>
      <c r="C307" s="10"/>
    </row>
    <row r="308" spans="2:3" ht="16.5" hidden="1" customHeight="1" x14ac:dyDescent="0.35">
      <c r="B308" s="10"/>
      <c r="C308" s="10"/>
    </row>
    <row r="309" spans="2:3" ht="16.5" hidden="1" customHeight="1" x14ac:dyDescent="0.35">
      <c r="B309" s="10"/>
      <c r="C309" s="10"/>
    </row>
    <row r="310" spans="2:3" ht="16.5" hidden="1" customHeight="1" x14ac:dyDescent="0.35">
      <c r="B310" s="10"/>
      <c r="C310" s="10"/>
    </row>
    <row r="311" spans="2:3" ht="16.5" hidden="1" customHeight="1" x14ac:dyDescent="0.35">
      <c r="B311" s="10"/>
      <c r="C311" s="10"/>
    </row>
    <row r="312" spans="2:3" ht="16.5" hidden="1" customHeight="1" x14ac:dyDescent="0.35">
      <c r="B312" s="10"/>
      <c r="C312" s="10"/>
    </row>
    <row r="313" spans="2:3" ht="16.5" hidden="1" customHeight="1" x14ac:dyDescent="0.35">
      <c r="B313" s="10"/>
      <c r="C313" s="10"/>
    </row>
    <row r="314" spans="2:3" ht="16.5" hidden="1" customHeight="1" x14ac:dyDescent="0.35">
      <c r="B314" s="10"/>
      <c r="C314" s="10"/>
    </row>
    <row r="315" spans="2:3" ht="16.5" hidden="1" customHeight="1" x14ac:dyDescent="0.35">
      <c r="B315" s="10"/>
      <c r="C315" s="10"/>
    </row>
    <row r="316" spans="2:3" ht="16.5" hidden="1" customHeight="1" x14ac:dyDescent="0.35">
      <c r="B316" s="10"/>
      <c r="C316" s="10"/>
    </row>
    <row r="317" spans="2:3" ht="16.5" hidden="1" customHeight="1" x14ac:dyDescent="0.35">
      <c r="B317" s="10"/>
      <c r="C317" s="10"/>
    </row>
    <row r="318" spans="2:3" ht="16.5" hidden="1" customHeight="1" x14ac:dyDescent="0.35">
      <c r="B318" s="10"/>
      <c r="C318" s="10"/>
    </row>
    <row r="319" spans="2:3" ht="16.5" hidden="1" customHeight="1" x14ac:dyDescent="0.35">
      <c r="B319" s="10"/>
      <c r="C319" s="10"/>
    </row>
    <row r="320" spans="2:3" ht="16.5" hidden="1" customHeight="1" x14ac:dyDescent="0.35">
      <c r="B320" s="10"/>
      <c r="C320" s="10"/>
    </row>
    <row r="321" spans="2:3" ht="16.5" hidden="1" customHeight="1" x14ac:dyDescent="0.35">
      <c r="B321" s="10"/>
      <c r="C321" s="10"/>
    </row>
    <row r="322" spans="2:3" ht="16.5" hidden="1" customHeight="1" x14ac:dyDescent="0.35">
      <c r="B322" s="10"/>
      <c r="C322" s="10"/>
    </row>
    <row r="323" spans="2:3" ht="16.5" hidden="1" customHeight="1" x14ac:dyDescent="0.35">
      <c r="B323" s="10"/>
      <c r="C323" s="10"/>
    </row>
    <row r="324" spans="2:3" ht="16.5" hidden="1" customHeight="1" x14ac:dyDescent="0.35">
      <c r="B324" s="10"/>
      <c r="C324" s="10"/>
    </row>
    <row r="325" spans="2:3" ht="16.5" hidden="1" customHeight="1" x14ac:dyDescent="0.35">
      <c r="B325" s="10"/>
      <c r="C325" s="10"/>
    </row>
    <row r="326" spans="2:3" ht="16.5" hidden="1" customHeight="1" x14ac:dyDescent="0.35">
      <c r="B326" s="10"/>
      <c r="C326" s="10"/>
    </row>
    <row r="327" spans="2:3" ht="16.5" hidden="1" customHeight="1" x14ac:dyDescent="0.35">
      <c r="B327" s="10"/>
      <c r="C327" s="10"/>
    </row>
    <row r="328" spans="2:3" ht="16.5" hidden="1" customHeight="1" x14ac:dyDescent="0.35">
      <c r="B328" s="10"/>
      <c r="C328" s="10"/>
    </row>
    <row r="329" spans="2:3" ht="16.5" hidden="1" customHeight="1" x14ac:dyDescent="0.35">
      <c r="B329" s="10"/>
      <c r="C329" s="10"/>
    </row>
    <row r="330" spans="2:3" ht="16.5" hidden="1" customHeight="1" x14ac:dyDescent="0.35">
      <c r="B330" s="10"/>
      <c r="C330" s="10"/>
    </row>
    <row r="331" spans="2:3" ht="16.5" hidden="1" customHeight="1" x14ac:dyDescent="0.35">
      <c r="B331" s="10"/>
      <c r="C331" s="10"/>
    </row>
    <row r="332" spans="2:3" ht="16.5" hidden="1" customHeight="1" x14ac:dyDescent="0.35">
      <c r="B332" s="10"/>
      <c r="C332" s="10"/>
    </row>
    <row r="333" spans="2:3" ht="16.5" hidden="1" customHeight="1" x14ac:dyDescent="0.35">
      <c r="B333" s="10"/>
      <c r="C333" s="10"/>
    </row>
    <row r="334" spans="2:3" ht="16.5" hidden="1" customHeight="1" x14ac:dyDescent="0.35">
      <c r="B334" s="10"/>
      <c r="C334" s="10"/>
    </row>
    <row r="335" spans="2:3" ht="16.5" hidden="1" customHeight="1" x14ac:dyDescent="0.35">
      <c r="B335" s="10"/>
      <c r="C335" s="10"/>
    </row>
    <row r="336" spans="2:3" ht="16.5" hidden="1" customHeight="1" x14ac:dyDescent="0.35">
      <c r="B336" s="10"/>
      <c r="C336" s="10"/>
    </row>
    <row r="337" spans="2:3" ht="16.5" hidden="1" customHeight="1" x14ac:dyDescent="0.35">
      <c r="B337" s="10"/>
      <c r="C337" s="10"/>
    </row>
    <row r="338" spans="2:3" ht="16.5" hidden="1" customHeight="1" x14ac:dyDescent="0.35">
      <c r="B338" s="10"/>
      <c r="C338" s="10"/>
    </row>
    <row r="339" spans="2:3" ht="16.5" hidden="1" customHeight="1" x14ac:dyDescent="0.35">
      <c r="B339" s="10"/>
      <c r="C339" s="10"/>
    </row>
    <row r="340" spans="2:3" ht="16.5" hidden="1" customHeight="1" x14ac:dyDescent="0.35">
      <c r="B340" s="10"/>
      <c r="C340" s="10"/>
    </row>
    <row r="341" spans="2:3" ht="16.5" hidden="1" customHeight="1" x14ac:dyDescent="0.35">
      <c r="B341" s="10"/>
      <c r="C341" s="10"/>
    </row>
    <row r="342" spans="2:3" ht="16.5" hidden="1" customHeight="1" x14ac:dyDescent="0.35">
      <c r="B342" s="10"/>
      <c r="C342" s="10"/>
    </row>
    <row r="343" spans="2:3" ht="16.5" hidden="1" customHeight="1" x14ac:dyDescent="0.35">
      <c r="B343" s="10"/>
      <c r="C343" s="10"/>
    </row>
    <row r="344" spans="2:3" ht="16.5" hidden="1" customHeight="1" x14ac:dyDescent="0.35">
      <c r="B344" s="10"/>
      <c r="C344" s="10"/>
    </row>
    <row r="345" spans="2:3" ht="16.5" hidden="1" customHeight="1" x14ac:dyDescent="0.35">
      <c r="B345" s="10"/>
      <c r="C345" s="10"/>
    </row>
    <row r="346" spans="2:3" ht="16.5" hidden="1" customHeight="1" x14ac:dyDescent="0.35">
      <c r="B346" s="10"/>
      <c r="C346" s="10"/>
    </row>
    <row r="347" spans="2:3" ht="16.5" hidden="1" customHeight="1" x14ac:dyDescent="0.35">
      <c r="B347" s="10"/>
      <c r="C347" s="10"/>
    </row>
    <row r="348" spans="2:3" ht="16.5" hidden="1" customHeight="1" x14ac:dyDescent="0.35">
      <c r="B348" s="10"/>
      <c r="C348" s="10"/>
    </row>
    <row r="349" spans="2:3" ht="16.5" hidden="1" customHeight="1" x14ac:dyDescent="0.35">
      <c r="B349" s="10"/>
      <c r="C349" s="10"/>
    </row>
    <row r="350" spans="2:3" ht="16.5" hidden="1" customHeight="1" x14ac:dyDescent="0.35">
      <c r="B350" s="10"/>
      <c r="C350" s="10"/>
    </row>
    <row r="351" spans="2:3" ht="16.5" hidden="1" customHeight="1" x14ac:dyDescent="0.35">
      <c r="B351" s="10"/>
      <c r="C351" s="10"/>
    </row>
    <row r="352" spans="2:3" ht="16.5" hidden="1" customHeight="1" x14ac:dyDescent="0.35">
      <c r="B352" s="10"/>
      <c r="C352" s="10"/>
    </row>
    <row r="353" spans="2:3" ht="16.5" hidden="1" customHeight="1" x14ac:dyDescent="0.35">
      <c r="B353" s="10"/>
      <c r="C353" s="10"/>
    </row>
    <row r="354" spans="2:3" ht="16.5" hidden="1" customHeight="1" x14ac:dyDescent="0.35">
      <c r="B354" s="10"/>
      <c r="C354" s="10"/>
    </row>
    <row r="355" spans="2:3" ht="16.5" hidden="1" customHeight="1" x14ac:dyDescent="0.35">
      <c r="B355" s="10"/>
      <c r="C355" s="10"/>
    </row>
    <row r="356" spans="2:3" ht="16.5" hidden="1" customHeight="1" x14ac:dyDescent="0.35">
      <c r="B356" s="10"/>
      <c r="C356" s="10"/>
    </row>
    <row r="357" spans="2:3" ht="16.5" hidden="1" customHeight="1" x14ac:dyDescent="0.35">
      <c r="B357" s="10"/>
      <c r="C357" s="10"/>
    </row>
    <row r="358" spans="2:3" ht="16.5" hidden="1" customHeight="1" x14ac:dyDescent="0.35">
      <c r="B358" s="10"/>
      <c r="C358" s="10"/>
    </row>
    <row r="359" spans="2:3" ht="16.5" hidden="1" customHeight="1" x14ac:dyDescent="0.35">
      <c r="B359" s="10"/>
      <c r="C359" s="10"/>
    </row>
    <row r="360" spans="2:3" ht="16.5" hidden="1" customHeight="1" x14ac:dyDescent="0.35">
      <c r="B360" s="10"/>
      <c r="C360" s="10"/>
    </row>
    <row r="361" spans="2:3" ht="16.5" hidden="1" customHeight="1" x14ac:dyDescent="0.35">
      <c r="B361" s="10"/>
      <c r="C361" s="10"/>
    </row>
    <row r="362" spans="2:3" ht="16.5" hidden="1" customHeight="1" x14ac:dyDescent="0.35">
      <c r="B362" s="10"/>
      <c r="C362" s="10"/>
    </row>
    <row r="363" spans="2:3" ht="16.5" hidden="1" customHeight="1" x14ac:dyDescent="0.35">
      <c r="B363" s="10"/>
      <c r="C363" s="10"/>
    </row>
    <row r="364" spans="2:3" ht="16.5" hidden="1" customHeight="1" x14ac:dyDescent="0.35">
      <c r="B364" s="10"/>
      <c r="C364" s="10"/>
    </row>
    <row r="365" spans="2:3" ht="16.5" hidden="1" customHeight="1" x14ac:dyDescent="0.35">
      <c r="B365" s="10"/>
      <c r="C365" s="10"/>
    </row>
    <row r="366" spans="2:3" ht="16.5" hidden="1" customHeight="1" x14ac:dyDescent="0.35">
      <c r="B366" s="10"/>
      <c r="C366" s="10"/>
    </row>
    <row r="367" spans="2:3" ht="16.5" hidden="1" customHeight="1" x14ac:dyDescent="0.35">
      <c r="B367" s="10"/>
      <c r="C367" s="10"/>
    </row>
    <row r="368" spans="2:3" ht="16.5" hidden="1" customHeight="1" x14ac:dyDescent="0.35">
      <c r="B368" s="10"/>
      <c r="C368" s="10"/>
    </row>
    <row r="369" spans="2:3" ht="16.5" hidden="1" customHeight="1" x14ac:dyDescent="0.35">
      <c r="B369" s="10"/>
      <c r="C369" s="10"/>
    </row>
    <row r="370" spans="2:3" ht="16.5" hidden="1" customHeight="1" x14ac:dyDescent="0.35">
      <c r="B370" s="10"/>
      <c r="C370" s="10"/>
    </row>
    <row r="371" spans="2:3" ht="16.5" hidden="1" customHeight="1" x14ac:dyDescent="0.35">
      <c r="B371" s="10"/>
      <c r="C371" s="10"/>
    </row>
    <row r="372" spans="2:3" ht="16.5" hidden="1" customHeight="1" x14ac:dyDescent="0.35">
      <c r="B372" s="10"/>
      <c r="C372" s="10"/>
    </row>
    <row r="373" spans="2:3" ht="16.5" hidden="1" customHeight="1" x14ac:dyDescent="0.35">
      <c r="B373" s="10"/>
      <c r="C373" s="10"/>
    </row>
    <row r="374" spans="2:3" ht="16.5" hidden="1" customHeight="1" x14ac:dyDescent="0.35">
      <c r="B374" s="10"/>
      <c r="C374" s="10"/>
    </row>
    <row r="375" spans="2:3" ht="16.5" hidden="1" customHeight="1" x14ac:dyDescent="0.35">
      <c r="B375" s="10"/>
      <c r="C375" s="10"/>
    </row>
    <row r="376" spans="2:3" ht="16.5" hidden="1" customHeight="1" x14ac:dyDescent="0.35">
      <c r="B376" s="10"/>
      <c r="C376" s="10"/>
    </row>
    <row r="377" spans="2:3" ht="16.5" hidden="1" customHeight="1" x14ac:dyDescent="0.35">
      <c r="B377" s="10"/>
      <c r="C377" s="10"/>
    </row>
    <row r="378" spans="2:3" ht="16.5" hidden="1" customHeight="1" x14ac:dyDescent="0.35">
      <c r="B378" s="10"/>
      <c r="C378" s="10"/>
    </row>
    <row r="379" spans="2:3" ht="16.5" hidden="1" customHeight="1" x14ac:dyDescent="0.35">
      <c r="B379" s="10"/>
      <c r="C379" s="10"/>
    </row>
    <row r="380" spans="2:3" ht="16.5" hidden="1" customHeight="1" x14ac:dyDescent="0.35">
      <c r="B380" s="10"/>
      <c r="C380" s="10"/>
    </row>
    <row r="381" spans="2:3" ht="16.5" hidden="1" customHeight="1" x14ac:dyDescent="0.35">
      <c r="B381" s="10"/>
      <c r="C381" s="10"/>
    </row>
    <row r="382" spans="2:3" ht="16.5" hidden="1" customHeight="1" x14ac:dyDescent="0.35">
      <c r="B382" s="10"/>
      <c r="C382" s="10"/>
    </row>
    <row r="383" spans="2:3" ht="16.5" hidden="1" customHeight="1" x14ac:dyDescent="0.35">
      <c r="B383" s="10"/>
      <c r="C383" s="10"/>
    </row>
    <row r="384" spans="2:3" ht="16.5" hidden="1" customHeight="1" x14ac:dyDescent="0.35">
      <c r="B384" s="10"/>
      <c r="C384" s="10"/>
    </row>
    <row r="385" spans="2:3" ht="16.5" hidden="1" customHeight="1" x14ac:dyDescent="0.35">
      <c r="B385" s="10"/>
      <c r="C385" s="10"/>
    </row>
    <row r="386" spans="2:3" ht="16.5" hidden="1" customHeight="1" x14ac:dyDescent="0.35">
      <c r="B386" s="10"/>
      <c r="C386" s="10"/>
    </row>
    <row r="387" spans="2:3" ht="16.5" hidden="1" customHeight="1" x14ac:dyDescent="0.35">
      <c r="B387" s="10"/>
      <c r="C387" s="10"/>
    </row>
    <row r="388" spans="2:3" ht="16.5" hidden="1" customHeight="1" x14ac:dyDescent="0.35">
      <c r="B388" s="10"/>
      <c r="C388" s="10"/>
    </row>
    <row r="389" spans="2:3" ht="16.5" hidden="1" customHeight="1" x14ac:dyDescent="0.35">
      <c r="B389" s="10"/>
      <c r="C389" s="10"/>
    </row>
    <row r="390" spans="2:3" ht="16.5" hidden="1" customHeight="1" x14ac:dyDescent="0.35">
      <c r="B390" s="10"/>
      <c r="C390" s="10"/>
    </row>
    <row r="391" spans="2:3" ht="16.5" hidden="1" customHeight="1" x14ac:dyDescent="0.35">
      <c r="B391" s="10"/>
      <c r="C391" s="10"/>
    </row>
    <row r="392" spans="2:3" ht="16.5" hidden="1" customHeight="1" x14ac:dyDescent="0.35">
      <c r="B392" s="10"/>
      <c r="C392" s="10"/>
    </row>
    <row r="393" spans="2:3" ht="16.5" hidden="1" customHeight="1" x14ac:dyDescent="0.35">
      <c r="B393" s="10"/>
      <c r="C393" s="10"/>
    </row>
    <row r="394" spans="2:3" ht="16.5" hidden="1" customHeight="1" x14ac:dyDescent="0.35">
      <c r="B394" s="10"/>
      <c r="C394" s="10"/>
    </row>
    <row r="395" spans="2:3" ht="16.5" hidden="1" customHeight="1" x14ac:dyDescent="0.35">
      <c r="B395" s="10"/>
      <c r="C395" s="10"/>
    </row>
    <row r="396" spans="2:3" ht="16.5" hidden="1" customHeight="1" x14ac:dyDescent="0.35">
      <c r="B396" s="10"/>
      <c r="C396" s="10"/>
    </row>
    <row r="397" spans="2:3" ht="16.5" hidden="1" customHeight="1" x14ac:dyDescent="0.35">
      <c r="B397" s="10"/>
      <c r="C397" s="10"/>
    </row>
    <row r="398" spans="2:3" ht="16.5" hidden="1" customHeight="1" x14ac:dyDescent="0.35">
      <c r="B398" s="10"/>
      <c r="C398" s="10"/>
    </row>
    <row r="399" spans="2:3" ht="16.5" hidden="1" customHeight="1" x14ac:dyDescent="0.35">
      <c r="B399" s="10"/>
      <c r="C399" s="10"/>
    </row>
    <row r="400" spans="2:3" ht="16.5" hidden="1" customHeight="1" x14ac:dyDescent="0.35">
      <c r="B400" s="10"/>
      <c r="C400" s="10"/>
    </row>
    <row r="401" spans="2:3" ht="16.5" hidden="1" customHeight="1" x14ac:dyDescent="0.35">
      <c r="B401" s="10"/>
      <c r="C401" s="10"/>
    </row>
    <row r="402" spans="2:3" ht="16.5" hidden="1" customHeight="1" x14ac:dyDescent="0.35">
      <c r="B402" s="10"/>
      <c r="C402" s="10"/>
    </row>
    <row r="403" spans="2:3" ht="16.5" hidden="1" customHeight="1" x14ac:dyDescent="0.35">
      <c r="B403" s="10"/>
      <c r="C403" s="10"/>
    </row>
    <row r="404" spans="2:3" ht="16.5" hidden="1" customHeight="1" x14ac:dyDescent="0.35">
      <c r="B404" s="10"/>
      <c r="C404" s="10"/>
    </row>
    <row r="405" spans="2:3" ht="16.5" hidden="1" customHeight="1" x14ac:dyDescent="0.35">
      <c r="B405" s="10"/>
      <c r="C405" s="10"/>
    </row>
    <row r="406" spans="2:3" ht="16.5" hidden="1" customHeight="1" x14ac:dyDescent="0.35">
      <c r="B406" s="10"/>
      <c r="C406" s="10"/>
    </row>
    <row r="407" spans="2:3" ht="16.5" hidden="1" customHeight="1" x14ac:dyDescent="0.35">
      <c r="B407" s="10"/>
      <c r="C407" s="10"/>
    </row>
    <row r="408" spans="2:3" ht="16.5" hidden="1" customHeight="1" x14ac:dyDescent="0.35">
      <c r="B408" s="10"/>
      <c r="C408" s="10"/>
    </row>
    <row r="409" spans="2:3" ht="16.5" hidden="1" customHeight="1" x14ac:dyDescent="0.35">
      <c r="B409" s="10"/>
      <c r="C409" s="10"/>
    </row>
    <row r="410" spans="2:3" ht="16.5" hidden="1" customHeight="1" x14ac:dyDescent="0.35">
      <c r="B410" s="10"/>
      <c r="C410" s="10"/>
    </row>
    <row r="411" spans="2:3" ht="16.5" hidden="1" customHeight="1" x14ac:dyDescent="0.35">
      <c r="B411" s="10"/>
      <c r="C411" s="10"/>
    </row>
    <row r="412" spans="2:3" ht="16.5" hidden="1" customHeight="1" x14ac:dyDescent="0.35">
      <c r="B412" s="10"/>
      <c r="C412" s="10"/>
    </row>
    <row r="413" spans="2:3" ht="16.5" hidden="1" customHeight="1" x14ac:dyDescent="0.35">
      <c r="B413" s="10"/>
      <c r="C413" s="10"/>
    </row>
    <row r="414" spans="2:3" ht="16.5" hidden="1" customHeight="1" x14ac:dyDescent="0.35">
      <c r="B414" s="10"/>
      <c r="C414" s="10"/>
    </row>
    <row r="415" spans="2:3" ht="16.5" hidden="1" customHeight="1" x14ac:dyDescent="0.35">
      <c r="B415" s="10"/>
      <c r="C415" s="10"/>
    </row>
    <row r="416" spans="2:3" ht="16.5" hidden="1" customHeight="1" x14ac:dyDescent="0.35">
      <c r="B416" s="10"/>
      <c r="C416" s="10"/>
    </row>
    <row r="417" spans="2:3" ht="16.5" hidden="1" customHeight="1" x14ac:dyDescent="0.35">
      <c r="B417" s="10"/>
      <c r="C417" s="10"/>
    </row>
    <row r="418" spans="2:3" ht="16.5" hidden="1" customHeight="1" x14ac:dyDescent="0.35">
      <c r="B418" s="10"/>
      <c r="C418" s="10"/>
    </row>
    <row r="419" spans="2:3" ht="16.5" hidden="1" customHeight="1" x14ac:dyDescent="0.35">
      <c r="B419" s="10"/>
      <c r="C419" s="10"/>
    </row>
    <row r="420" spans="2:3" ht="16.5" hidden="1" customHeight="1" x14ac:dyDescent="0.35">
      <c r="B420" s="10"/>
      <c r="C420" s="10"/>
    </row>
    <row r="421" spans="2:3" ht="16.5" hidden="1" customHeight="1" x14ac:dyDescent="0.35">
      <c r="B421" s="10"/>
      <c r="C421" s="10"/>
    </row>
    <row r="422" spans="2:3" ht="16.5" hidden="1" customHeight="1" x14ac:dyDescent="0.35">
      <c r="B422" s="10"/>
      <c r="C422" s="10"/>
    </row>
    <row r="423" spans="2:3" ht="16.5" hidden="1" customHeight="1" x14ac:dyDescent="0.35">
      <c r="B423" s="10"/>
      <c r="C423" s="10"/>
    </row>
    <row r="424" spans="2:3" ht="16.5" hidden="1" customHeight="1" x14ac:dyDescent="0.35">
      <c r="B424" s="10"/>
      <c r="C424" s="10"/>
    </row>
    <row r="425" spans="2:3" ht="16.5" hidden="1" customHeight="1" x14ac:dyDescent="0.35">
      <c r="B425" s="10"/>
      <c r="C425" s="10"/>
    </row>
    <row r="426" spans="2:3" ht="16.5" hidden="1" customHeight="1" x14ac:dyDescent="0.35">
      <c r="B426" s="10"/>
      <c r="C426" s="10"/>
    </row>
    <row r="427" spans="2:3" ht="16.5" hidden="1" customHeight="1" x14ac:dyDescent="0.35">
      <c r="B427" s="10"/>
      <c r="C427" s="10"/>
    </row>
    <row r="428" spans="2:3" ht="16.5" hidden="1" customHeight="1" x14ac:dyDescent="0.35">
      <c r="B428" s="10"/>
      <c r="C428" s="10"/>
    </row>
    <row r="429" spans="2:3" ht="16.5" hidden="1" customHeight="1" x14ac:dyDescent="0.35">
      <c r="B429" s="10"/>
      <c r="C429" s="10"/>
    </row>
    <row r="430" spans="2:3" ht="16.5" hidden="1" customHeight="1" x14ac:dyDescent="0.35">
      <c r="B430" s="10"/>
      <c r="C430" s="10"/>
    </row>
    <row r="431" spans="2:3" ht="16.5" hidden="1" customHeight="1" x14ac:dyDescent="0.35">
      <c r="B431" s="10"/>
      <c r="C431" s="10"/>
    </row>
    <row r="432" spans="2:3" ht="16.5" hidden="1" customHeight="1" x14ac:dyDescent="0.35">
      <c r="B432" s="10"/>
      <c r="C432" s="10"/>
    </row>
    <row r="433" spans="2:3" ht="16.5" hidden="1" customHeight="1" x14ac:dyDescent="0.35">
      <c r="B433" s="10"/>
      <c r="C433" s="10"/>
    </row>
    <row r="434" spans="2:3" ht="16.5" hidden="1" customHeight="1" x14ac:dyDescent="0.35">
      <c r="B434" s="10"/>
      <c r="C434" s="10"/>
    </row>
    <row r="435" spans="2:3" ht="16.5" hidden="1" customHeight="1" x14ac:dyDescent="0.35">
      <c r="B435" s="10"/>
      <c r="C435" s="10"/>
    </row>
    <row r="436" spans="2:3" ht="16.5" hidden="1" customHeight="1" x14ac:dyDescent="0.35">
      <c r="B436" s="10"/>
      <c r="C436" s="10"/>
    </row>
    <row r="437" spans="2:3" ht="16.5" hidden="1" customHeight="1" x14ac:dyDescent="0.35">
      <c r="B437" s="10"/>
      <c r="C437" s="10"/>
    </row>
    <row r="438" spans="2:3" ht="16.5" hidden="1" customHeight="1" x14ac:dyDescent="0.35">
      <c r="B438" s="10"/>
      <c r="C438" s="10"/>
    </row>
    <row r="439" spans="2:3" ht="16.5" hidden="1" customHeight="1" x14ac:dyDescent="0.35">
      <c r="B439" s="10"/>
      <c r="C439" s="10"/>
    </row>
    <row r="440" spans="2:3" ht="16.5" hidden="1" customHeight="1" x14ac:dyDescent="0.35">
      <c r="B440" s="10"/>
      <c r="C440" s="10"/>
    </row>
    <row r="441" spans="2:3" ht="16.5" hidden="1" customHeight="1" x14ac:dyDescent="0.35">
      <c r="B441" s="10"/>
      <c r="C441" s="10"/>
    </row>
    <row r="442" spans="2:3" ht="16.5" hidden="1" customHeight="1" x14ac:dyDescent="0.35">
      <c r="B442" s="10"/>
      <c r="C442" s="10"/>
    </row>
    <row r="443" spans="2:3" ht="16.5" hidden="1" customHeight="1" x14ac:dyDescent="0.35">
      <c r="B443" s="10"/>
      <c r="C443" s="10"/>
    </row>
    <row r="444" spans="2:3" ht="16.5" hidden="1" customHeight="1" x14ac:dyDescent="0.35">
      <c r="B444" s="10"/>
      <c r="C444" s="10"/>
    </row>
    <row r="445" spans="2:3" ht="16.5" hidden="1" customHeight="1" x14ac:dyDescent="0.35">
      <c r="B445" s="10"/>
      <c r="C445" s="10"/>
    </row>
    <row r="446" spans="2:3" ht="16.5" hidden="1" customHeight="1" x14ac:dyDescent="0.35">
      <c r="B446" s="10"/>
      <c r="C446" s="10"/>
    </row>
    <row r="447" spans="2:3" ht="16.5" hidden="1" customHeight="1" x14ac:dyDescent="0.35">
      <c r="B447" s="10"/>
      <c r="C447" s="10"/>
    </row>
    <row r="448" spans="2:3" ht="16.5" hidden="1" customHeight="1" x14ac:dyDescent="0.35">
      <c r="B448" s="10"/>
      <c r="C448" s="10"/>
    </row>
    <row r="449" spans="2:3" ht="16.5" hidden="1" customHeight="1" x14ac:dyDescent="0.35">
      <c r="B449" s="10"/>
      <c r="C449" s="10"/>
    </row>
    <row r="450" spans="2:3" ht="16.5" hidden="1" customHeight="1" x14ac:dyDescent="0.35">
      <c r="B450" s="10"/>
      <c r="C450" s="10"/>
    </row>
    <row r="451" spans="2:3" ht="16.5" hidden="1" customHeight="1" x14ac:dyDescent="0.35">
      <c r="B451" s="10"/>
      <c r="C451" s="10"/>
    </row>
    <row r="452" spans="2:3" ht="16.5" hidden="1" customHeight="1" x14ac:dyDescent="0.35">
      <c r="B452" s="10"/>
      <c r="C452" s="10"/>
    </row>
    <row r="453" spans="2:3" ht="16.5" hidden="1" customHeight="1" x14ac:dyDescent="0.35">
      <c r="B453" s="10"/>
      <c r="C453" s="10"/>
    </row>
    <row r="454" spans="2:3" ht="16.5" hidden="1" customHeight="1" x14ac:dyDescent="0.35">
      <c r="B454" s="10"/>
      <c r="C454" s="10"/>
    </row>
    <row r="455" spans="2:3" ht="16.5" hidden="1" customHeight="1" x14ac:dyDescent="0.35">
      <c r="B455" s="10"/>
      <c r="C455" s="10"/>
    </row>
    <row r="456" spans="2:3" ht="16.5" hidden="1" customHeight="1" x14ac:dyDescent="0.35">
      <c r="B456" s="10"/>
      <c r="C456" s="10"/>
    </row>
    <row r="457" spans="2:3" ht="16.5" hidden="1" customHeight="1" x14ac:dyDescent="0.35">
      <c r="B457" s="10"/>
      <c r="C457" s="10"/>
    </row>
    <row r="458" spans="2:3" ht="16.5" hidden="1" customHeight="1" x14ac:dyDescent="0.35">
      <c r="B458" s="10"/>
      <c r="C458" s="10"/>
    </row>
    <row r="459" spans="2:3" ht="16.5" hidden="1" customHeight="1" x14ac:dyDescent="0.35">
      <c r="B459" s="10"/>
      <c r="C459" s="10"/>
    </row>
    <row r="460" spans="2:3" ht="16.5" hidden="1" customHeight="1" x14ac:dyDescent="0.35">
      <c r="B460" s="10"/>
      <c r="C460" s="10"/>
    </row>
    <row r="461" spans="2:3" ht="16.5" hidden="1" customHeight="1" x14ac:dyDescent="0.35">
      <c r="B461" s="10"/>
      <c r="C461" s="10"/>
    </row>
    <row r="462" spans="2:3" ht="16.5" hidden="1" customHeight="1" x14ac:dyDescent="0.35">
      <c r="B462" s="10"/>
      <c r="C462" s="10"/>
    </row>
    <row r="463" spans="2:3" ht="16.5" hidden="1" customHeight="1" x14ac:dyDescent="0.35">
      <c r="B463" s="10"/>
      <c r="C463" s="10"/>
    </row>
    <row r="464" spans="2:3" ht="16.5" hidden="1" customHeight="1" x14ac:dyDescent="0.35">
      <c r="B464" s="10"/>
      <c r="C464" s="10"/>
    </row>
    <row r="465" spans="2:3" ht="16.5" hidden="1" customHeight="1" x14ac:dyDescent="0.35">
      <c r="B465" s="10"/>
      <c r="C465" s="10"/>
    </row>
    <row r="466" spans="2:3" ht="16.5" hidden="1" customHeight="1" x14ac:dyDescent="0.35">
      <c r="B466" s="10"/>
      <c r="C466" s="10"/>
    </row>
    <row r="467" spans="2:3" ht="16.5" hidden="1" customHeight="1" x14ac:dyDescent="0.35">
      <c r="B467" s="10"/>
      <c r="C467" s="10"/>
    </row>
    <row r="468" spans="2:3" ht="16.5" hidden="1" customHeight="1" x14ac:dyDescent="0.35">
      <c r="B468" s="10"/>
      <c r="C468" s="10"/>
    </row>
    <row r="469" spans="2:3" ht="16.5" hidden="1" customHeight="1" x14ac:dyDescent="0.35">
      <c r="B469" s="10"/>
      <c r="C469" s="10"/>
    </row>
    <row r="470" spans="2:3" ht="16.5" hidden="1" customHeight="1" x14ac:dyDescent="0.35">
      <c r="B470" s="10"/>
      <c r="C470" s="10"/>
    </row>
    <row r="471" spans="2:3" ht="16.5" hidden="1" customHeight="1" x14ac:dyDescent="0.35">
      <c r="B471" s="10"/>
      <c r="C471" s="10"/>
    </row>
    <row r="472" spans="2:3" ht="16.5" hidden="1" customHeight="1" x14ac:dyDescent="0.35">
      <c r="B472" s="10"/>
      <c r="C472" s="10"/>
    </row>
    <row r="473" spans="2:3" ht="16.5" hidden="1" customHeight="1" x14ac:dyDescent="0.35">
      <c r="B473" s="10"/>
      <c r="C473" s="10"/>
    </row>
    <row r="474" spans="2:3" ht="16.5" hidden="1" customHeight="1" x14ac:dyDescent="0.35">
      <c r="B474" s="10"/>
      <c r="C474" s="10"/>
    </row>
    <row r="475" spans="2:3" ht="16.5" hidden="1" customHeight="1" x14ac:dyDescent="0.35">
      <c r="B475" s="10"/>
      <c r="C475" s="10"/>
    </row>
    <row r="476" spans="2:3" ht="16.5" hidden="1" customHeight="1" x14ac:dyDescent="0.35">
      <c r="B476" s="10"/>
      <c r="C476" s="10"/>
    </row>
    <row r="477" spans="2:3" ht="16.5" hidden="1" customHeight="1" x14ac:dyDescent="0.35">
      <c r="B477" s="10"/>
      <c r="C477" s="10"/>
    </row>
    <row r="478" spans="2:3" ht="16.5" hidden="1" customHeight="1" x14ac:dyDescent="0.35">
      <c r="B478" s="10"/>
      <c r="C478" s="10"/>
    </row>
    <row r="479" spans="2:3" ht="16.5" hidden="1" customHeight="1" x14ac:dyDescent="0.35">
      <c r="B479" s="10"/>
      <c r="C479" s="10"/>
    </row>
    <row r="480" spans="2:3" ht="16.5" hidden="1" customHeight="1" x14ac:dyDescent="0.35">
      <c r="B480" s="10"/>
      <c r="C480" s="10"/>
    </row>
    <row r="481" spans="2:3" ht="16.5" hidden="1" customHeight="1" x14ac:dyDescent="0.35">
      <c r="B481" s="10"/>
      <c r="C481" s="10"/>
    </row>
    <row r="482" spans="2:3" ht="16.5" hidden="1" customHeight="1" x14ac:dyDescent="0.35">
      <c r="B482" s="10"/>
      <c r="C482" s="10"/>
    </row>
    <row r="483" spans="2:3" ht="16.5" hidden="1" customHeight="1" x14ac:dyDescent="0.35">
      <c r="B483" s="10"/>
      <c r="C483" s="10"/>
    </row>
    <row r="484" spans="2:3" ht="16.5" hidden="1" customHeight="1" x14ac:dyDescent="0.35">
      <c r="B484" s="10"/>
      <c r="C484" s="10"/>
    </row>
    <row r="485" spans="2:3" ht="16.5" hidden="1" customHeight="1" x14ac:dyDescent="0.35">
      <c r="B485" s="10"/>
      <c r="C485" s="10"/>
    </row>
    <row r="486" spans="2:3" ht="16.5" hidden="1" customHeight="1" x14ac:dyDescent="0.35">
      <c r="B486" s="10"/>
      <c r="C486" s="10"/>
    </row>
    <row r="487" spans="2:3" ht="16.5" hidden="1" customHeight="1" x14ac:dyDescent="0.35">
      <c r="B487" s="10"/>
      <c r="C487" s="10"/>
    </row>
    <row r="488" spans="2:3" ht="16.5" hidden="1" customHeight="1" x14ac:dyDescent="0.35">
      <c r="B488" s="10"/>
      <c r="C488" s="10"/>
    </row>
    <row r="489" spans="2:3" ht="16.5" hidden="1" customHeight="1" x14ac:dyDescent="0.35">
      <c r="B489" s="10"/>
      <c r="C489" s="10"/>
    </row>
    <row r="490" spans="2:3" ht="16.5" hidden="1" customHeight="1" x14ac:dyDescent="0.35">
      <c r="B490" s="10"/>
      <c r="C490" s="10"/>
    </row>
    <row r="491" spans="2:3" ht="16.5" hidden="1" customHeight="1" x14ac:dyDescent="0.35">
      <c r="B491" s="10"/>
      <c r="C491" s="10"/>
    </row>
    <row r="492" spans="2:3" ht="16.5" hidden="1" customHeight="1" x14ac:dyDescent="0.35">
      <c r="B492" s="10"/>
      <c r="C492" s="10"/>
    </row>
    <row r="493" spans="2:3" ht="16.5" hidden="1" customHeight="1" x14ac:dyDescent="0.35">
      <c r="B493" s="10"/>
      <c r="C493" s="10"/>
    </row>
    <row r="494" spans="2:3" ht="16.5" hidden="1" customHeight="1" x14ac:dyDescent="0.35">
      <c r="B494" s="10"/>
      <c r="C494" s="10"/>
    </row>
    <row r="495" spans="2:3" ht="16.5" hidden="1" customHeight="1" x14ac:dyDescent="0.35">
      <c r="B495" s="10"/>
      <c r="C495" s="10"/>
    </row>
    <row r="496" spans="2:3" ht="16.5" hidden="1" customHeight="1" x14ac:dyDescent="0.35">
      <c r="B496" s="10"/>
      <c r="C496" s="10"/>
    </row>
    <row r="497" spans="2:3" ht="16.5" hidden="1" customHeight="1" x14ac:dyDescent="0.35">
      <c r="B497" s="10"/>
      <c r="C497" s="10"/>
    </row>
    <row r="498" spans="2:3" ht="16.5" hidden="1" customHeight="1" x14ac:dyDescent="0.35">
      <c r="B498" s="10"/>
      <c r="C498" s="10"/>
    </row>
    <row r="499" spans="2:3" ht="16.5" hidden="1" customHeight="1" x14ac:dyDescent="0.35">
      <c r="B499" s="10"/>
      <c r="C499" s="10"/>
    </row>
    <row r="500" spans="2:3" ht="16.5" hidden="1" customHeight="1" x14ac:dyDescent="0.35">
      <c r="B500" s="10"/>
      <c r="C500" s="10"/>
    </row>
    <row r="501" spans="2:3" ht="16.5" hidden="1" customHeight="1" x14ac:dyDescent="0.35">
      <c r="B501" s="10"/>
      <c r="C501" s="10"/>
    </row>
    <row r="502" spans="2:3" ht="16.5" hidden="1" customHeight="1" x14ac:dyDescent="0.35">
      <c r="B502" s="10"/>
      <c r="C502" s="10"/>
    </row>
    <row r="503" spans="2:3" ht="16.5" hidden="1" customHeight="1" x14ac:dyDescent="0.35">
      <c r="B503" s="10"/>
      <c r="C503" s="10"/>
    </row>
    <row r="504" spans="2:3" ht="16.5" hidden="1" customHeight="1" x14ac:dyDescent="0.35">
      <c r="B504" s="10"/>
      <c r="C504" s="10"/>
    </row>
    <row r="505" spans="2:3" ht="16.5" hidden="1" customHeight="1" x14ac:dyDescent="0.35">
      <c r="B505" s="10"/>
      <c r="C505" s="10"/>
    </row>
    <row r="506" spans="2:3" ht="16.5" hidden="1" customHeight="1" x14ac:dyDescent="0.35">
      <c r="B506" s="10"/>
      <c r="C506" s="10"/>
    </row>
    <row r="507" spans="2:3" ht="16.5" hidden="1" customHeight="1" x14ac:dyDescent="0.35">
      <c r="B507" s="10"/>
      <c r="C507" s="10"/>
    </row>
    <row r="508" spans="2:3" ht="16.5" hidden="1" customHeight="1" x14ac:dyDescent="0.35">
      <c r="B508" s="10"/>
      <c r="C508" s="10"/>
    </row>
    <row r="509" spans="2:3" ht="16.5" hidden="1" customHeight="1" x14ac:dyDescent="0.35">
      <c r="B509" s="10"/>
      <c r="C509" s="10"/>
    </row>
    <row r="510" spans="2:3" ht="16.5" hidden="1" customHeight="1" x14ac:dyDescent="0.35">
      <c r="B510" s="10"/>
      <c r="C510" s="10"/>
    </row>
    <row r="511" spans="2:3" ht="16.5" hidden="1" customHeight="1" x14ac:dyDescent="0.35">
      <c r="B511" s="10"/>
      <c r="C511" s="10"/>
    </row>
    <row r="512" spans="2:3" ht="16.5" hidden="1" customHeight="1" x14ac:dyDescent="0.35">
      <c r="B512" s="10"/>
      <c r="C512" s="10"/>
    </row>
    <row r="513" spans="2:3" ht="16.5" hidden="1" customHeight="1" x14ac:dyDescent="0.35">
      <c r="B513" s="10"/>
      <c r="C513" s="10"/>
    </row>
    <row r="514" spans="2:3" ht="16.5" hidden="1" customHeight="1" x14ac:dyDescent="0.35">
      <c r="B514" s="10"/>
      <c r="C514" s="10"/>
    </row>
    <row r="515" spans="2:3" ht="16.5" hidden="1" customHeight="1" x14ac:dyDescent="0.35">
      <c r="B515" s="10"/>
      <c r="C515" s="10"/>
    </row>
    <row r="516" spans="2:3" ht="16.5" hidden="1" customHeight="1" x14ac:dyDescent="0.35">
      <c r="B516" s="10"/>
      <c r="C516" s="10"/>
    </row>
    <row r="517" spans="2:3" ht="16.5" hidden="1" customHeight="1" x14ac:dyDescent="0.35">
      <c r="B517" s="10"/>
      <c r="C517" s="10"/>
    </row>
    <row r="518" spans="2:3" ht="16.5" hidden="1" customHeight="1" x14ac:dyDescent="0.35">
      <c r="B518" s="10"/>
      <c r="C518" s="10"/>
    </row>
    <row r="519" spans="2:3" ht="16.5" hidden="1" customHeight="1" x14ac:dyDescent="0.35">
      <c r="B519" s="10"/>
      <c r="C519" s="10"/>
    </row>
    <row r="520" spans="2:3" ht="16.5" hidden="1" customHeight="1" x14ac:dyDescent="0.35">
      <c r="B520" s="10"/>
      <c r="C520" s="10"/>
    </row>
    <row r="521" spans="2:3" ht="16.5" hidden="1" customHeight="1" x14ac:dyDescent="0.35">
      <c r="B521" s="10"/>
      <c r="C521" s="10"/>
    </row>
    <row r="522" spans="2:3" ht="16.5" hidden="1" customHeight="1" x14ac:dyDescent="0.35">
      <c r="B522" s="10"/>
      <c r="C522" s="10"/>
    </row>
    <row r="523" spans="2:3" ht="16.5" hidden="1" customHeight="1" x14ac:dyDescent="0.35">
      <c r="B523" s="10"/>
      <c r="C523" s="10"/>
    </row>
    <row r="524" spans="2:3" ht="16.5" hidden="1" customHeight="1" x14ac:dyDescent="0.35">
      <c r="B524" s="10"/>
      <c r="C524" s="10"/>
    </row>
    <row r="525" spans="2:3" ht="16.5" hidden="1" customHeight="1" x14ac:dyDescent="0.35">
      <c r="B525" s="10"/>
      <c r="C525" s="10"/>
    </row>
    <row r="526" spans="2:3" ht="16.5" hidden="1" customHeight="1" x14ac:dyDescent="0.35">
      <c r="B526" s="10"/>
      <c r="C526" s="10"/>
    </row>
    <row r="527" spans="2:3" ht="16.5" hidden="1" customHeight="1" x14ac:dyDescent="0.35">
      <c r="B527" s="10"/>
      <c r="C527" s="10"/>
    </row>
    <row r="528" spans="2:3" ht="16.5" hidden="1" customHeight="1" x14ac:dyDescent="0.35">
      <c r="B528" s="10"/>
      <c r="C528" s="10"/>
    </row>
    <row r="529" spans="2:3" ht="16.5" hidden="1" customHeight="1" x14ac:dyDescent="0.35">
      <c r="B529" s="10"/>
      <c r="C529" s="10"/>
    </row>
    <row r="530" spans="2:3" ht="16.5" hidden="1" customHeight="1" x14ac:dyDescent="0.35">
      <c r="B530" s="10"/>
      <c r="C530" s="10"/>
    </row>
    <row r="531" spans="2:3" ht="16.5" hidden="1" customHeight="1" x14ac:dyDescent="0.35">
      <c r="B531" s="10"/>
      <c r="C531" s="10"/>
    </row>
    <row r="532" spans="2:3" ht="16.5" hidden="1" customHeight="1" x14ac:dyDescent="0.35">
      <c r="B532" s="10"/>
      <c r="C532" s="10"/>
    </row>
    <row r="533" spans="2:3" ht="16.5" hidden="1" customHeight="1" x14ac:dyDescent="0.35">
      <c r="B533" s="10"/>
      <c r="C533" s="10"/>
    </row>
    <row r="534" spans="2:3" ht="16.5" hidden="1" customHeight="1" x14ac:dyDescent="0.35">
      <c r="B534" s="10"/>
      <c r="C534" s="10"/>
    </row>
    <row r="535" spans="2:3" ht="16.5" hidden="1" customHeight="1" x14ac:dyDescent="0.35">
      <c r="B535" s="10"/>
      <c r="C535" s="10"/>
    </row>
    <row r="536" spans="2:3" ht="16.5" hidden="1" customHeight="1" x14ac:dyDescent="0.35">
      <c r="B536" s="10"/>
      <c r="C536" s="10"/>
    </row>
    <row r="537" spans="2:3" ht="16.5" hidden="1" customHeight="1" x14ac:dyDescent="0.35">
      <c r="B537" s="10"/>
      <c r="C537" s="10"/>
    </row>
    <row r="538" spans="2:3" ht="16.5" hidden="1" customHeight="1" x14ac:dyDescent="0.35">
      <c r="B538" s="10"/>
      <c r="C538" s="10"/>
    </row>
    <row r="539" spans="2:3" ht="16.5" hidden="1" customHeight="1" x14ac:dyDescent="0.35">
      <c r="B539" s="10"/>
      <c r="C539" s="10"/>
    </row>
    <row r="540" spans="2:3" ht="16.5" hidden="1" customHeight="1" x14ac:dyDescent="0.35">
      <c r="B540" s="10"/>
      <c r="C540" s="10"/>
    </row>
    <row r="541" spans="2:3" ht="16.5" hidden="1" customHeight="1" x14ac:dyDescent="0.35">
      <c r="B541" s="10"/>
      <c r="C541" s="10"/>
    </row>
    <row r="542" spans="2:3" ht="16.5" hidden="1" customHeight="1" x14ac:dyDescent="0.35">
      <c r="B542" s="10"/>
      <c r="C542" s="10"/>
    </row>
    <row r="543" spans="2:3" ht="16.5" hidden="1" customHeight="1" x14ac:dyDescent="0.35">
      <c r="B543" s="10"/>
      <c r="C543" s="10"/>
    </row>
    <row r="544" spans="2:3" ht="16.5" hidden="1" customHeight="1" x14ac:dyDescent="0.35">
      <c r="B544" s="10"/>
      <c r="C544" s="10"/>
    </row>
    <row r="545" spans="2:3" ht="16.5" hidden="1" customHeight="1" x14ac:dyDescent="0.35">
      <c r="B545" s="10"/>
      <c r="C545" s="10"/>
    </row>
    <row r="546" spans="2:3" ht="16.5" hidden="1" customHeight="1" x14ac:dyDescent="0.35">
      <c r="B546" s="10"/>
      <c r="C546" s="10"/>
    </row>
    <row r="547" spans="2:3" ht="16.5" hidden="1" customHeight="1" x14ac:dyDescent="0.35">
      <c r="B547" s="10"/>
      <c r="C547" s="10"/>
    </row>
    <row r="548" spans="2:3" ht="16.5" hidden="1" customHeight="1" x14ac:dyDescent="0.35">
      <c r="B548" s="10"/>
      <c r="C548" s="10"/>
    </row>
    <row r="549" spans="2:3" ht="16.5" hidden="1" customHeight="1" x14ac:dyDescent="0.35">
      <c r="B549" s="10"/>
      <c r="C549" s="10"/>
    </row>
    <row r="550" spans="2:3" ht="16.5" hidden="1" customHeight="1" x14ac:dyDescent="0.35">
      <c r="B550" s="10"/>
      <c r="C550" s="10"/>
    </row>
    <row r="551" spans="2:3" ht="16.5" hidden="1" customHeight="1" x14ac:dyDescent="0.35">
      <c r="B551" s="10"/>
      <c r="C551" s="10"/>
    </row>
    <row r="552" spans="2:3" ht="16.5" hidden="1" customHeight="1" x14ac:dyDescent="0.35">
      <c r="B552" s="10"/>
      <c r="C552" s="10"/>
    </row>
    <row r="553" spans="2:3" ht="16.5" hidden="1" customHeight="1" x14ac:dyDescent="0.35">
      <c r="B553" s="10"/>
      <c r="C553" s="10"/>
    </row>
    <row r="554" spans="2:3" ht="16.5" hidden="1" customHeight="1" x14ac:dyDescent="0.35"/>
    <row r="555" spans="2:3" ht="16.5" hidden="1" customHeight="1" x14ac:dyDescent="0.35"/>
    <row r="556" spans="2:3" ht="16.5" hidden="1" customHeight="1" x14ac:dyDescent="0.35"/>
    <row r="557" spans="2:3" ht="16.5" hidden="1" customHeight="1" x14ac:dyDescent="0.35"/>
    <row r="558" spans="2:3" ht="16.5" hidden="1" customHeight="1" x14ac:dyDescent="0.35"/>
    <row r="559" spans="2:3" ht="16.5" hidden="1" customHeight="1" x14ac:dyDescent="0.35"/>
    <row r="560" spans="2:3" ht="16.5" hidden="1" customHeight="1" x14ac:dyDescent="0.35"/>
    <row r="561" ht="16.5" hidden="1" customHeight="1" x14ac:dyDescent="0.35"/>
    <row r="562" ht="16.5" hidden="1" customHeight="1" x14ac:dyDescent="0.35"/>
    <row r="563" ht="16.5" hidden="1" customHeight="1" x14ac:dyDescent="0.35"/>
    <row r="564" ht="16.5" hidden="1" customHeight="1" x14ac:dyDescent="0.35"/>
  </sheetData>
  <sheetProtection algorithmName="SHA-512" hashValue="0MKXoWBTM2kmaS6jRNOksjiG/1+ZQjzVlMG/a8B6k5LZU+ZN17pCSd+gKNUWOmab2FAATbbXgSsfZ011VnggFQ==" saltValue="PLGWRtti1d8rDzpKU3/quQ==" spinCount="100000" sheet="1" objects="1" scenarios="1"/>
  <customSheetViews>
    <customSheetView guid="{8BDA793C-C9C5-4FC6-A0A5-F1109F6D4F22}" state="hidden">
      <selection activeCell="D14" sqref="D14"/>
    </customSheetView>
  </customSheetViews>
  <mergeCells count="3">
    <mergeCell ref="F1:J1"/>
    <mergeCell ref="K1:O1"/>
    <mergeCell ref="G10:O1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Document.DC" shapeId="3083" r:id="rId4">
          <objectPr locked="0" defaultSize="0" r:id="rId5">
            <anchor moveWithCells="1">
              <from>
                <xdr:col>6</xdr:col>
                <xdr:colOff>0</xdr:colOff>
                <xdr:row>11</xdr:row>
                <xdr:rowOff>0</xdr:rowOff>
              </from>
              <to>
                <xdr:col>14</xdr:col>
                <xdr:colOff>965200</xdr:colOff>
                <xdr:row>49</xdr:row>
                <xdr:rowOff>57150</xdr:rowOff>
              </to>
            </anchor>
          </objectPr>
        </oleObject>
      </mc:Choice>
      <mc:Fallback>
        <oleObject progId="Acrobat.Document.DC" shapeId="3083"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02118-3D38-4EFA-9E67-C89D3F37F7A4}">
  <sheetPr codeName="Sheet2">
    <tabColor theme="6"/>
  </sheetPr>
  <dimension ref="A1:W174"/>
  <sheetViews>
    <sheetView zoomScale="80" zoomScaleNormal="80" workbookViewId="0"/>
  </sheetViews>
  <sheetFormatPr defaultRowHeight="14.5" x14ac:dyDescent="0.35"/>
  <cols>
    <col min="4" max="4" width="23.453125" customWidth="1"/>
    <col min="5" max="5" width="66.81640625" customWidth="1"/>
    <col min="6" max="6" width="25.54296875" customWidth="1"/>
    <col min="7" max="7" width="39.453125" bestFit="1" customWidth="1"/>
    <col min="8" max="8" width="36.26953125" bestFit="1" customWidth="1"/>
    <col min="9" max="9" width="36.26953125" customWidth="1"/>
    <col min="10" max="11" width="36.26953125" bestFit="1" customWidth="1"/>
    <col min="12" max="12" width="13.1796875" customWidth="1"/>
    <col min="13" max="13" width="38.7265625" customWidth="1"/>
    <col min="14" max="14" width="13.1796875" bestFit="1" customWidth="1"/>
    <col min="15" max="15" width="13.54296875" bestFit="1" customWidth="1"/>
    <col min="16" max="16" width="10.81640625" bestFit="1" customWidth="1"/>
  </cols>
  <sheetData>
    <row r="1" spans="1:19" ht="15" thickBot="1" x14ac:dyDescent="0.4">
      <c r="A1" s="1"/>
      <c r="B1" s="1"/>
      <c r="C1" s="1"/>
      <c r="D1" s="1"/>
      <c r="E1" s="1"/>
      <c r="F1" s="1"/>
      <c r="G1" s="1"/>
      <c r="H1" s="1"/>
      <c r="I1" s="1"/>
      <c r="J1" s="1"/>
      <c r="K1" s="1"/>
      <c r="L1" s="1"/>
      <c r="M1" s="1"/>
      <c r="N1" s="1"/>
      <c r="O1" s="1"/>
      <c r="P1" s="1"/>
      <c r="Q1" s="1"/>
      <c r="R1" s="1"/>
      <c r="S1" s="1"/>
    </row>
    <row r="2" spans="1:19" ht="15" thickBot="1" x14ac:dyDescent="0.4">
      <c r="A2" s="1"/>
      <c r="B2" s="1"/>
      <c r="C2" s="1"/>
      <c r="D2" s="1"/>
      <c r="E2" s="697" t="s">
        <v>40</v>
      </c>
      <c r="F2" s="697" t="s">
        <v>41</v>
      </c>
      <c r="G2" s="697" t="s">
        <v>1546</v>
      </c>
      <c r="H2" s="706" t="s">
        <v>1547</v>
      </c>
      <c r="I2" s="691"/>
      <c r="J2" s="1"/>
      <c r="K2" s="1"/>
      <c r="L2" s="1"/>
      <c r="M2" s="1"/>
      <c r="N2" s="1"/>
      <c r="O2" s="1"/>
      <c r="P2" s="1"/>
      <c r="Q2" s="1"/>
      <c r="R2" s="1"/>
      <c r="S2" s="1"/>
    </row>
    <row r="3" spans="1:19" x14ac:dyDescent="0.35">
      <c r="A3" s="1"/>
      <c r="B3" s="1"/>
      <c r="C3" s="1"/>
      <c r="D3" s="694" t="s">
        <v>29</v>
      </c>
      <c r="E3" s="698">
        <f>Start!F22</f>
        <v>0.1</v>
      </c>
      <c r="F3" s="701" t="e">
        <f>#REF!</f>
        <v>#REF!</v>
      </c>
      <c r="G3" s="701" t="e">
        <f>#REF!</f>
        <v>#REF!</v>
      </c>
      <c r="H3" s="707" t="e">
        <f>#REF!</f>
        <v>#REF!</v>
      </c>
      <c r="I3" s="452"/>
      <c r="J3" s="1"/>
      <c r="K3" s="1"/>
      <c r="L3" s="1"/>
      <c r="M3" s="1"/>
      <c r="N3" s="1"/>
      <c r="O3" s="1"/>
      <c r="P3" s="1"/>
      <c r="Q3" s="1"/>
      <c r="R3" s="1"/>
      <c r="S3" s="1"/>
    </row>
    <row r="4" spans="1:19" x14ac:dyDescent="0.35">
      <c r="A4" s="1"/>
      <c r="B4" s="1"/>
      <c r="C4" s="1"/>
      <c r="D4" s="695" t="s">
        <v>31</v>
      </c>
      <c r="E4" s="699">
        <f>Start!F22</f>
        <v>0.1</v>
      </c>
      <c r="F4" s="702" t="e">
        <f>#REF!</f>
        <v>#REF!</v>
      </c>
      <c r="G4" s="704" t="e">
        <f>#REF!</f>
        <v>#REF!</v>
      </c>
      <c r="H4" s="708" t="e">
        <f>#REF!</f>
        <v>#REF!</v>
      </c>
      <c r="I4" s="710"/>
      <c r="J4" s="1"/>
      <c r="K4" s="1"/>
      <c r="L4" s="1"/>
      <c r="M4" s="1"/>
      <c r="N4" s="1"/>
      <c r="O4" s="1"/>
      <c r="P4" s="1"/>
      <c r="Q4" s="1"/>
      <c r="R4" s="1"/>
      <c r="S4" s="1"/>
    </row>
    <row r="5" spans="1:19" ht="15" thickBot="1" x14ac:dyDescent="0.4">
      <c r="A5" s="1"/>
      <c r="B5" s="1"/>
      <c r="C5" s="1"/>
      <c r="D5" s="696" t="s">
        <v>33</v>
      </c>
      <c r="E5" s="700">
        <f>Start!F22</f>
        <v>0.1</v>
      </c>
      <c r="F5" s="703" t="e">
        <f>#REF!</f>
        <v>#REF!</v>
      </c>
      <c r="G5" s="705" t="e">
        <f>#REF!</f>
        <v>#REF!</v>
      </c>
      <c r="H5" s="709" t="e">
        <f>#REF!</f>
        <v>#REF!</v>
      </c>
      <c r="I5" s="710"/>
      <c r="J5" s="1"/>
      <c r="K5" s="1"/>
      <c r="L5" s="1"/>
      <c r="M5" s="1"/>
      <c r="N5" s="1"/>
      <c r="O5" s="1"/>
      <c r="P5" s="1"/>
      <c r="Q5" s="1"/>
      <c r="R5" s="1"/>
      <c r="S5" s="1"/>
    </row>
    <row r="6" spans="1:19" x14ac:dyDescent="0.35">
      <c r="A6" s="1"/>
      <c r="B6" s="1"/>
      <c r="C6" s="1"/>
      <c r="D6" s="1"/>
      <c r="E6" s="710"/>
      <c r="F6" s="710"/>
      <c r="G6" s="710"/>
      <c r="H6" s="711"/>
      <c r="I6" s="710"/>
      <c r="J6" s="1"/>
      <c r="K6" s="1"/>
      <c r="L6" s="1"/>
      <c r="M6" s="1"/>
      <c r="N6" s="1"/>
      <c r="O6" s="1"/>
      <c r="P6" s="1"/>
      <c r="Q6" s="1"/>
      <c r="R6" s="1"/>
      <c r="S6" s="1"/>
    </row>
    <row r="7" spans="1:19" ht="15" thickBot="1" x14ac:dyDescent="0.4">
      <c r="A7" s="1"/>
      <c r="B7" s="1"/>
      <c r="C7" s="1"/>
      <c r="D7" s="1"/>
      <c r="E7" s="710"/>
      <c r="F7" s="710"/>
      <c r="G7" s="710"/>
      <c r="H7" s="711"/>
      <c r="I7" s="710"/>
      <c r="J7" s="1"/>
      <c r="K7" s="1"/>
      <c r="L7" s="1"/>
      <c r="M7" s="1"/>
      <c r="N7" s="1"/>
      <c r="O7" s="1"/>
      <c r="P7" s="1"/>
      <c r="Q7" s="1"/>
      <c r="R7" s="1"/>
      <c r="S7" s="1"/>
    </row>
    <row r="8" spans="1:19" ht="15" thickBot="1" x14ac:dyDescent="0.4">
      <c r="A8" s="1"/>
      <c r="B8" s="1"/>
      <c r="C8" s="1"/>
      <c r="D8" s="1"/>
      <c r="E8" s="712" t="s">
        <v>1548</v>
      </c>
      <c r="F8" s="497" t="s">
        <v>1549</v>
      </c>
      <c r="G8" s="712" t="s">
        <v>1550</v>
      </c>
      <c r="H8" s="710"/>
      <c r="I8" s="710"/>
      <c r="J8" s="1"/>
      <c r="K8" s="1"/>
      <c r="L8" s="1"/>
      <c r="M8" s="1"/>
      <c r="N8" s="1"/>
      <c r="O8" s="1"/>
      <c r="P8" s="1"/>
      <c r="Q8" s="1"/>
      <c r="R8" s="1"/>
      <c r="S8" s="1"/>
    </row>
    <row r="9" spans="1:19" x14ac:dyDescent="0.35">
      <c r="A9" s="1"/>
      <c r="B9" s="1"/>
      <c r="C9" s="1"/>
      <c r="D9" s="1"/>
      <c r="E9" s="713" t="s">
        <v>651</v>
      </c>
      <c r="F9" s="707" t="e">
        <f>IF(H3&lt;=0,((H63+M120+G136)*-1), IF(H3&gt;=G3-F3, ((H63+M120+G136)*-1)+(G3-F3), ((H63+M120+G136)*-1)+H3))</f>
        <v>#REF!</v>
      </c>
      <c r="G9" s="714" t="e">
        <f t="shared" ref="G9:G15" si="0">F9*2</f>
        <v>#REF!</v>
      </c>
      <c r="H9" s="710"/>
      <c r="I9" s="710"/>
      <c r="J9" s="1"/>
      <c r="K9" s="1"/>
      <c r="L9" s="1"/>
      <c r="M9" s="1"/>
      <c r="N9" s="1"/>
      <c r="O9" s="1"/>
      <c r="P9" s="1"/>
      <c r="Q9" s="1"/>
      <c r="R9" s="1"/>
      <c r="S9" s="1"/>
    </row>
    <row r="10" spans="1:19" x14ac:dyDescent="0.35">
      <c r="A10" s="1"/>
      <c r="B10" s="1"/>
      <c r="C10" s="1"/>
      <c r="D10" s="1"/>
      <c r="E10" s="715" t="s">
        <v>680</v>
      </c>
      <c r="F10" s="708">
        <f>(H55+M125)*-1</f>
        <v>0</v>
      </c>
      <c r="G10" s="716">
        <f t="shared" si="0"/>
        <v>0</v>
      </c>
      <c r="H10" s="710"/>
      <c r="I10" s="710"/>
      <c r="J10" s="1"/>
      <c r="K10" s="1"/>
      <c r="L10" s="1"/>
      <c r="M10" s="1"/>
      <c r="N10" s="1"/>
      <c r="O10" s="1"/>
      <c r="P10" s="1"/>
      <c r="Q10" s="1"/>
      <c r="R10" s="1"/>
      <c r="S10" s="1"/>
    </row>
    <row r="11" spans="1:19" x14ac:dyDescent="0.35">
      <c r="A11" s="1"/>
      <c r="B11" s="1"/>
      <c r="C11" s="1"/>
      <c r="D11" s="1"/>
      <c r="E11" s="715" t="s">
        <v>1551</v>
      </c>
      <c r="F11" s="708">
        <f>H43*-1</f>
        <v>0</v>
      </c>
      <c r="G11" s="716">
        <f t="shared" si="0"/>
        <v>0</v>
      </c>
      <c r="H11" s="710"/>
      <c r="I11" s="710"/>
      <c r="J11" s="1"/>
      <c r="K11" s="1"/>
      <c r="L11" s="1"/>
      <c r="M11" s="1"/>
      <c r="N11" s="1"/>
      <c r="O11" s="1"/>
      <c r="P11" s="1"/>
      <c r="Q11" s="1"/>
      <c r="R11" s="1"/>
      <c r="S11" s="1"/>
    </row>
    <row r="12" spans="1:19" x14ac:dyDescent="0.35">
      <c r="A12" s="1"/>
      <c r="B12" s="1"/>
      <c r="C12" s="1"/>
      <c r="D12" s="1"/>
      <c r="E12" s="715" t="s">
        <v>1552</v>
      </c>
      <c r="F12" s="708">
        <f>(H25+M127)*-1</f>
        <v>0</v>
      </c>
      <c r="G12" s="716">
        <f t="shared" si="0"/>
        <v>0</v>
      </c>
      <c r="H12" s="1"/>
      <c r="I12" s="1"/>
      <c r="J12" s="711"/>
      <c r="K12" s="711"/>
      <c r="L12" s="1"/>
      <c r="M12" s="1"/>
      <c r="N12" s="1"/>
      <c r="O12" s="1"/>
      <c r="P12" s="1"/>
      <c r="Q12" s="1"/>
      <c r="R12" s="1"/>
      <c r="S12" s="1"/>
    </row>
    <row r="13" spans="1:19" ht="15" thickBot="1" x14ac:dyDescent="0.4">
      <c r="A13" s="1"/>
      <c r="B13" s="1"/>
      <c r="C13" s="1"/>
      <c r="D13" s="1"/>
      <c r="E13" s="717" t="s">
        <v>1553</v>
      </c>
      <c r="F13" s="709">
        <f>H19*-1</f>
        <v>0</v>
      </c>
      <c r="G13" s="718">
        <f t="shared" si="0"/>
        <v>0</v>
      </c>
      <c r="H13" s="1"/>
      <c r="I13" s="1"/>
      <c r="J13" s="1"/>
      <c r="K13" s="1"/>
      <c r="L13" s="1"/>
      <c r="M13" s="1"/>
      <c r="N13" s="1"/>
      <c r="O13" s="1"/>
      <c r="P13" s="1"/>
      <c r="Q13" s="1"/>
      <c r="R13" s="1"/>
      <c r="S13" s="1"/>
    </row>
    <row r="14" spans="1:19" ht="15" thickBot="1" x14ac:dyDescent="0.4">
      <c r="A14" s="1"/>
      <c r="B14" s="1"/>
      <c r="C14" s="1"/>
      <c r="D14" s="1"/>
      <c r="E14" s="719" t="s">
        <v>1554</v>
      </c>
      <c r="F14" s="720" t="e">
        <f>IF(H4&lt;=0, (G145*-1), IF(H4&gt;=G4-F4, (G145*-1)+(G4-F4), (G145*-1)+H4))</f>
        <v>#REF!</v>
      </c>
      <c r="G14" s="720" t="e">
        <f t="shared" si="0"/>
        <v>#REF!</v>
      </c>
      <c r="H14" s="1"/>
      <c r="I14" s="1"/>
      <c r="J14" s="1"/>
      <c r="K14" s="1"/>
      <c r="L14" s="1"/>
      <c r="M14" s="1"/>
      <c r="N14" s="1"/>
      <c r="O14" s="1"/>
      <c r="P14" s="1"/>
      <c r="Q14" s="1"/>
      <c r="R14" s="1"/>
      <c r="S14" s="1"/>
    </row>
    <row r="15" spans="1:19" ht="15" thickBot="1" x14ac:dyDescent="0.4">
      <c r="A15" s="1"/>
      <c r="B15" s="1"/>
      <c r="C15" s="1"/>
      <c r="D15" s="1"/>
      <c r="E15" s="721" t="s">
        <v>1555</v>
      </c>
      <c r="F15" s="720" t="e">
        <f>IF(H5&lt;=0, (G155*-1), IF(H5&gt;=G5-F5, (G155*-1)+(G5-F5), (G155*-1)+H5))</f>
        <v>#REF!</v>
      </c>
      <c r="G15" s="720" t="e">
        <f t="shared" si="0"/>
        <v>#REF!</v>
      </c>
      <c r="H15" s="1"/>
      <c r="I15" s="1"/>
      <c r="J15" s="1"/>
      <c r="K15" s="1"/>
      <c r="L15" s="1"/>
      <c r="M15" s="1"/>
      <c r="N15" s="1"/>
      <c r="O15" s="1"/>
      <c r="P15" s="1"/>
      <c r="Q15" s="1"/>
      <c r="R15" s="1"/>
      <c r="S15" s="1"/>
    </row>
    <row r="16" spans="1:19" x14ac:dyDescent="0.35">
      <c r="A16" s="1"/>
      <c r="B16" s="1"/>
      <c r="C16" s="1"/>
      <c r="D16" s="1"/>
      <c r="E16" s="710"/>
      <c r="F16" s="436"/>
      <c r="G16" s="436"/>
      <c r="H16" s="1"/>
      <c r="I16" s="1"/>
      <c r="J16" s="1"/>
      <c r="K16" s="1"/>
      <c r="L16" s="1"/>
      <c r="M16" s="1"/>
      <c r="N16" s="1"/>
      <c r="O16" s="1"/>
      <c r="P16" s="1"/>
      <c r="Q16" s="1"/>
      <c r="R16" s="1"/>
      <c r="S16" s="1"/>
    </row>
    <row r="17" spans="1:23" ht="15" thickBot="1" x14ac:dyDescent="0.4">
      <c r="A17" s="1"/>
      <c r="B17" s="1"/>
      <c r="C17" s="1"/>
      <c r="D17" s="1"/>
      <c r="E17" s="710"/>
      <c r="F17" s="1"/>
      <c r="G17" s="1"/>
      <c r="H17" s="1"/>
      <c r="I17" s="1"/>
      <c r="J17" s="1"/>
      <c r="K17" s="1"/>
      <c r="L17" s="1"/>
      <c r="M17" s="1"/>
      <c r="N17" s="1"/>
      <c r="O17" s="1"/>
      <c r="P17" s="1"/>
      <c r="Q17" s="1"/>
      <c r="R17" s="1"/>
      <c r="S17" s="1"/>
    </row>
    <row r="18" spans="1:23" ht="15" thickBot="1" x14ac:dyDescent="0.4">
      <c r="A18" s="1"/>
      <c r="B18" s="1"/>
      <c r="C18" s="1"/>
      <c r="D18" s="712" t="s">
        <v>1548</v>
      </c>
      <c r="E18" s="722" t="s">
        <v>1556</v>
      </c>
      <c r="F18" s="722" t="s">
        <v>789</v>
      </c>
      <c r="G18" s="722" t="s">
        <v>1557</v>
      </c>
      <c r="H18" s="712" t="s">
        <v>1558</v>
      </c>
      <c r="I18" s="691"/>
      <c r="J18" s="710"/>
      <c r="K18" s="710"/>
      <c r="L18" s="710"/>
      <c r="M18" s="710"/>
      <c r="N18" s="710"/>
      <c r="O18" s="710"/>
      <c r="P18" s="710"/>
      <c r="Q18" s="710"/>
      <c r="R18" s="710"/>
      <c r="S18" s="710"/>
      <c r="T18" s="723"/>
      <c r="U18" s="723"/>
      <c r="V18" s="723"/>
      <c r="W18" s="723"/>
    </row>
    <row r="19" spans="1:23" x14ac:dyDescent="0.35">
      <c r="A19" s="1"/>
      <c r="B19" s="873" t="s">
        <v>1559</v>
      </c>
      <c r="C19" s="1"/>
      <c r="D19" s="876" t="s">
        <v>1553</v>
      </c>
      <c r="E19" s="231" t="s">
        <v>449</v>
      </c>
      <c r="F19" s="232" t="s">
        <v>49</v>
      </c>
      <c r="G19" s="284" t="e">
        <f>'G-2 Habitat groups'!$BE$39</f>
        <v>#REF!</v>
      </c>
      <c r="H19" s="879">
        <f>SUMIF(G19:G23, "&lt;0")</f>
        <v>0</v>
      </c>
      <c r="I19" s="452"/>
      <c r="J19" s="710"/>
      <c r="K19" s="710"/>
      <c r="L19" s="710"/>
      <c r="M19" s="710"/>
      <c r="N19" s="710"/>
      <c r="O19" s="710"/>
      <c r="P19" s="710"/>
      <c r="Q19" s="710"/>
      <c r="R19" s="710"/>
      <c r="S19" s="710"/>
      <c r="T19" s="723"/>
      <c r="U19" s="723"/>
      <c r="V19" s="723"/>
      <c r="W19" s="723"/>
    </row>
    <row r="20" spans="1:23" x14ac:dyDescent="0.35">
      <c r="A20" s="1"/>
      <c r="B20" s="874"/>
      <c r="C20" s="1"/>
      <c r="D20" s="877"/>
      <c r="E20" s="227" t="s">
        <v>452</v>
      </c>
      <c r="F20" s="228" t="s">
        <v>49</v>
      </c>
      <c r="G20" s="277" t="e">
        <f>'G-2 Habitat groups'!$BE$40</f>
        <v>#REF!</v>
      </c>
      <c r="H20" s="880"/>
      <c r="I20" s="452"/>
      <c r="J20" s="710"/>
      <c r="K20" s="710"/>
      <c r="L20" s="710"/>
      <c r="M20" s="710"/>
      <c r="N20" s="710"/>
      <c r="O20" s="710"/>
      <c r="P20" s="710"/>
      <c r="Q20" s="710"/>
      <c r="R20" s="710"/>
      <c r="S20" s="710"/>
      <c r="T20" s="723"/>
      <c r="U20" s="723"/>
      <c r="V20" s="723"/>
      <c r="W20" s="723"/>
    </row>
    <row r="21" spans="1:23" x14ac:dyDescent="0.35">
      <c r="A21" s="1"/>
      <c r="B21" s="874"/>
      <c r="C21" s="1"/>
      <c r="D21" s="877"/>
      <c r="E21" s="227" t="s">
        <v>455</v>
      </c>
      <c r="F21" s="228" t="s">
        <v>49</v>
      </c>
      <c r="G21" s="277" t="e">
        <f>'G-2 Habitat groups'!$BE$41</f>
        <v>#REF!</v>
      </c>
      <c r="H21" s="880"/>
      <c r="I21" s="452"/>
      <c r="J21" s="710"/>
      <c r="K21" s="710"/>
      <c r="L21" s="710"/>
      <c r="M21" s="710"/>
      <c r="N21" s="710"/>
      <c r="O21" s="710"/>
      <c r="P21" s="710"/>
      <c r="Q21" s="710"/>
      <c r="R21" s="710"/>
      <c r="S21" s="710"/>
      <c r="T21" s="723"/>
      <c r="U21" s="723"/>
      <c r="V21" s="723"/>
      <c r="W21" s="723"/>
    </row>
    <row r="22" spans="1:23" x14ac:dyDescent="0.35">
      <c r="A22" s="1"/>
      <c r="B22" s="874"/>
      <c r="C22" s="1"/>
      <c r="D22" s="877"/>
      <c r="E22" s="227" t="s">
        <v>458</v>
      </c>
      <c r="F22" s="228" t="s">
        <v>49</v>
      </c>
      <c r="G22" s="277" t="e">
        <f>'G-2 Habitat groups'!$BE$42</f>
        <v>#REF!</v>
      </c>
      <c r="H22" s="880"/>
      <c r="I22" s="452"/>
      <c r="J22" s="710"/>
      <c r="K22" s="710"/>
      <c r="L22" s="710"/>
      <c r="M22" s="710"/>
      <c r="N22" s="710"/>
      <c r="O22" s="710"/>
      <c r="P22" s="710"/>
      <c r="Q22" s="710"/>
      <c r="R22" s="710"/>
      <c r="S22" s="710"/>
      <c r="T22" s="723"/>
      <c r="U22" s="723"/>
      <c r="V22" s="723"/>
      <c r="W22" s="723"/>
    </row>
    <row r="23" spans="1:23" ht="15" thickBot="1" x14ac:dyDescent="0.4">
      <c r="A23" s="1"/>
      <c r="B23" s="874"/>
      <c r="C23" s="1"/>
      <c r="D23" s="878"/>
      <c r="E23" s="229" t="s">
        <v>461</v>
      </c>
      <c r="F23" s="230" t="s">
        <v>49</v>
      </c>
      <c r="G23" s="285" t="e">
        <f>'G-2 Habitat groups'!$BE$43</f>
        <v>#REF!</v>
      </c>
      <c r="H23" s="881"/>
      <c r="I23" s="452"/>
      <c r="J23" s="710"/>
      <c r="K23" s="710"/>
      <c r="L23" s="710"/>
      <c r="M23" s="710"/>
      <c r="N23" s="710"/>
      <c r="O23" s="710"/>
      <c r="P23" s="710"/>
      <c r="Q23" s="710"/>
      <c r="R23" s="710"/>
      <c r="S23" s="710"/>
      <c r="T23" s="723"/>
      <c r="U23" s="723"/>
      <c r="V23" s="723"/>
      <c r="W23" s="723"/>
    </row>
    <row r="24" spans="1:23" ht="15" thickBot="1" x14ac:dyDescent="0.4">
      <c r="A24" s="1"/>
      <c r="B24" s="874"/>
      <c r="C24" s="1"/>
      <c r="D24" s="1"/>
      <c r="E24" s="1"/>
      <c r="F24" s="710"/>
      <c r="G24" s="710"/>
      <c r="H24" s="710"/>
      <c r="I24" s="710"/>
      <c r="J24" s="710"/>
      <c r="K24" s="710"/>
      <c r="L24" s="710"/>
      <c r="M24" s="710"/>
      <c r="N24" s="710"/>
      <c r="O24" s="710"/>
      <c r="P24" s="710"/>
      <c r="Q24" s="710"/>
      <c r="R24" s="710"/>
      <c r="S24" s="710"/>
      <c r="T24" s="723"/>
      <c r="U24" s="723"/>
      <c r="V24" s="723"/>
      <c r="W24" s="723"/>
    </row>
    <row r="25" spans="1:23" x14ac:dyDescent="0.35">
      <c r="A25" s="1"/>
      <c r="B25" s="874"/>
      <c r="C25" s="1"/>
      <c r="D25" s="876" t="s">
        <v>1552</v>
      </c>
      <c r="E25" s="231" t="s">
        <v>346</v>
      </c>
      <c r="F25" s="232" t="s">
        <v>47</v>
      </c>
      <c r="G25" s="284" t="e">
        <f>'G-2 Habitat groups'!BE31</f>
        <v>#REF!</v>
      </c>
      <c r="H25" s="879">
        <f>SUMIF(G25:G41, "&lt;0")</f>
        <v>0</v>
      </c>
      <c r="I25" s="452"/>
      <c r="J25" s="710"/>
      <c r="K25" s="710"/>
      <c r="L25" s="710"/>
      <c r="M25" s="710"/>
      <c r="N25" s="710"/>
      <c r="O25" s="710"/>
      <c r="P25" s="710"/>
      <c r="Q25" s="710"/>
      <c r="R25" s="710"/>
      <c r="S25" s="710"/>
      <c r="T25" s="723"/>
      <c r="U25" s="723"/>
      <c r="V25" s="723"/>
      <c r="W25" s="723"/>
    </row>
    <row r="26" spans="1:23" x14ac:dyDescent="0.35">
      <c r="A26" s="1"/>
      <c r="B26" s="874"/>
      <c r="C26" s="1"/>
      <c r="D26" s="877"/>
      <c r="E26" s="227" t="s">
        <v>464</v>
      </c>
      <c r="F26" s="228" t="s">
        <v>49</v>
      </c>
      <c r="G26" s="277" t="e">
        <f>'G-2 Habitat groups'!$BE$44</f>
        <v>#REF!</v>
      </c>
      <c r="H26" s="880"/>
      <c r="I26" s="452"/>
      <c r="J26" s="710"/>
      <c r="K26" s="710"/>
      <c r="L26" s="710"/>
      <c r="M26" s="710"/>
      <c r="N26" s="710"/>
      <c r="O26" s="710"/>
      <c r="P26" s="710"/>
      <c r="Q26" s="710"/>
      <c r="R26" s="710"/>
      <c r="S26" s="710"/>
      <c r="T26" s="723"/>
      <c r="U26" s="723"/>
      <c r="V26" s="723"/>
      <c r="W26" s="723"/>
    </row>
    <row r="27" spans="1:23" x14ac:dyDescent="0.35">
      <c r="A27" s="1"/>
      <c r="B27" s="874"/>
      <c r="C27" s="1"/>
      <c r="D27" s="877"/>
      <c r="E27" s="227" t="s">
        <v>472</v>
      </c>
      <c r="F27" s="228" t="s">
        <v>49</v>
      </c>
      <c r="G27" s="277" t="e">
        <f>'G-2 Habitat groups'!$BE$45</f>
        <v>#REF!</v>
      </c>
      <c r="H27" s="880"/>
      <c r="I27" s="452"/>
      <c r="J27" s="710"/>
      <c r="K27" s="710"/>
      <c r="L27" s="710"/>
      <c r="M27" s="710"/>
      <c r="N27" s="710"/>
      <c r="O27" s="710"/>
      <c r="P27" s="710"/>
      <c r="Q27" s="710"/>
      <c r="R27" s="710"/>
      <c r="S27" s="710"/>
      <c r="T27" s="723"/>
      <c r="U27" s="723"/>
      <c r="V27" s="723"/>
      <c r="W27" s="723"/>
    </row>
    <row r="28" spans="1:23" x14ac:dyDescent="0.35">
      <c r="A28" s="1"/>
      <c r="B28" s="874"/>
      <c r="C28" s="1"/>
      <c r="D28" s="877"/>
      <c r="E28" s="227" t="s">
        <v>480</v>
      </c>
      <c r="F28" s="228" t="s">
        <v>50</v>
      </c>
      <c r="G28" s="277" t="e">
        <f>'G-2 Habitat groups'!$BE$46</f>
        <v>#REF!</v>
      </c>
      <c r="H28" s="880"/>
      <c r="I28" s="452"/>
      <c r="J28" s="710"/>
      <c r="K28" s="710"/>
      <c r="L28" s="1"/>
      <c r="M28" s="1"/>
      <c r="N28" s="1"/>
      <c r="O28" s="1"/>
      <c r="P28" s="710"/>
      <c r="Q28" s="710"/>
      <c r="R28" s="710"/>
      <c r="S28" s="710"/>
      <c r="T28" s="723"/>
      <c r="U28" s="723"/>
      <c r="V28" s="723"/>
      <c r="W28" s="723"/>
    </row>
    <row r="29" spans="1:23" x14ac:dyDescent="0.35">
      <c r="A29" s="1"/>
      <c r="B29" s="874"/>
      <c r="C29" s="1"/>
      <c r="D29" s="877"/>
      <c r="E29" s="227" t="s">
        <v>484</v>
      </c>
      <c r="F29" s="228" t="s">
        <v>50</v>
      </c>
      <c r="G29" s="277" t="e">
        <f>'G-2 Habitat groups'!$BE$47</f>
        <v>#REF!</v>
      </c>
      <c r="H29" s="880"/>
      <c r="I29" s="452"/>
      <c r="J29" s="710"/>
      <c r="K29" s="710"/>
      <c r="L29" s="1"/>
      <c r="M29" s="1"/>
      <c r="N29" s="1"/>
      <c r="O29" s="1"/>
      <c r="P29" s="710"/>
      <c r="Q29" s="710"/>
      <c r="R29" s="710"/>
      <c r="S29" s="710"/>
      <c r="T29" s="723"/>
      <c r="U29" s="723"/>
      <c r="V29" s="723"/>
      <c r="W29" s="723"/>
    </row>
    <row r="30" spans="1:23" x14ac:dyDescent="0.35">
      <c r="A30" s="1"/>
      <c r="B30" s="874"/>
      <c r="C30" s="1"/>
      <c r="D30" s="877"/>
      <c r="E30" s="227" t="s">
        <v>493</v>
      </c>
      <c r="F30" s="228" t="s">
        <v>50</v>
      </c>
      <c r="G30" s="277" t="e">
        <f>'G-2 Habitat groups'!$BE$48</f>
        <v>#REF!</v>
      </c>
      <c r="H30" s="880"/>
      <c r="I30" s="452"/>
      <c r="J30" s="710"/>
      <c r="K30" s="710"/>
      <c r="L30" s="1"/>
      <c r="M30" s="1"/>
      <c r="N30" s="1"/>
      <c r="O30" s="1"/>
      <c r="P30" s="710"/>
      <c r="Q30" s="710"/>
      <c r="R30" s="710"/>
      <c r="S30" s="710"/>
      <c r="T30" s="723"/>
      <c r="U30" s="723"/>
      <c r="V30" s="723"/>
      <c r="W30" s="723"/>
    </row>
    <row r="31" spans="1:23" x14ac:dyDescent="0.35">
      <c r="A31" s="1"/>
      <c r="B31" s="874"/>
      <c r="C31" s="1"/>
      <c r="D31" s="877"/>
      <c r="E31" s="227" t="s">
        <v>501</v>
      </c>
      <c r="F31" s="228" t="s">
        <v>50</v>
      </c>
      <c r="G31" s="277" t="e">
        <f>'G-2 Habitat groups'!$BE$49</f>
        <v>#REF!</v>
      </c>
      <c r="H31" s="880"/>
      <c r="I31" s="452"/>
      <c r="J31" s="710"/>
      <c r="K31" s="710"/>
      <c r="L31" s="1"/>
      <c r="M31" s="1"/>
      <c r="N31" s="1"/>
      <c r="O31" s="1"/>
      <c r="P31" s="710"/>
      <c r="Q31" s="710"/>
      <c r="R31" s="710"/>
      <c r="S31" s="710"/>
      <c r="T31" s="723"/>
      <c r="U31" s="723"/>
      <c r="V31" s="723"/>
      <c r="W31" s="723"/>
    </row>
    <row r="32" spans="1:23" x14ac:dyDescent="0.35">
      <c r="A32" s="1"/>
      <c r="B32" s="874"/>
      <c r="C32" s="1"/>
      <c r="D32" s="877"/>
      <c r="E32" s="227" t="s">
        <v>608</v>
      </c>
      <c r="F32" s="228" t="s">
        <v>53</v>
      </c>
      <c r="G32" s="277" t="e">
        <f>'G-2 Habitat groups'!$BE$54</f>
        <v>#REF!</v>
      </c>
      <c r="H32" s="880"/>
      <c r="I32" s="452"/>
      <c r="J32" s="710"/>
      <c r="K32" s="710"/>
      <c r="L32" s="1"/>
      <c r="M32" s="1"/>
      <c r="N32" s="1"/>
      <c r="O32" s="1"/>
      <c r="P32" s="710"/>
      <c r="Q32" s="710"/>
      <c r="R32" s="710"/>
      <c r="S32" s="710"/>
      <c r="T32" s="723"/>
      <c r="U32" s="723"/>
      <c r="V32" s="723"/>
      <c r="W32" s="723"/>
    </row>
    <row r="33" spans="1:23" x14ac:dyDescent="0.35">
      <c r="A33" s="1"/>
      <c r="B33" s="874"/>
      <c r="C33" s="1"/>
      <c r="D33" s="877"/>
      <c r="E33" s="227" t="s">
        <v>611</v>
      </c>
      <c r="F33" s="228" t="s">
        <v>53</v>
      </c>
      <c r="G33" s="277" t="e">
        <f>'G-2 Habitat groups'!$BE$56</f>
        <v>#REF!</v>
      </c>
      <c r="H33" s="880"/>
      <c r="I33" s="452"/>
      <c r="J33" s="710"/>
      <c r="K33" s="710"/>
      <c r="L33" s="1"/>
      <c r="M33" s="1"/>
      <c r="N33" s="1"/>
      <c r="O33" s="1"/>
      <c r="P33" s="710"/>
      <c r="Q33" s="710"/>
      <c r="R33" s="710"/>
      <c r="S33" s="710"/>
      <c r="T33" s="723"/>
      <c r="U33" s="723"/>
      <c r="V33" s="723"/>
      <c r="W33" s="723"/>
    </row>
    <row r="34" spans="1:23" x14ac:dyDescent="0.35">
      <c r="A34" s="1"/>
      <c r="B34" s="874"/>
      <c r="C34" s="1"/>
      <c r="D34" s="877"/>
      <c r="E34" s="227" t="s">
        <v>632</v>
      </c>
      <c r="F34" s="228" t="s">
        <v>53</v>
      </c>
      <c r="G34" s="277" t="e">
        <f>'G-2 Habitat groups'!$BE$58</f>
        <v>#REF!</v>
      </c>
      <c r="H34" s="880"/>
      <c r="I34" s="452"/>
      <c r="J34" s="710"/>
      <c r="K34" s="710"/>
      <c r="L34" s="1"/>
      <c r="M34" s="1"/>
      <c r="N34" s="1"/>
      <c r="O34" s="1"/>
      <c r="P34" s="710"/>
      <c r="Q34" s="710"/>
      <c r="R34" s="710"/>
      <c r="S34" s="710"/>
      <c r="T34" s="723"/>
      <c r="U34" s="723"/>
      <c r="V34" s="723"/>
      <c r="W34" s="723"/>
    </row>
    <row r="35" spans="1:23" x14ac:dyDescent="0.35">
      <c r="A35" s="1"/>
      <c r="B35" s="874"/>
      <c r="C35" s="1"/>
      <c r="D35" s="877"/>
      <c r="E35" s="227" t="s">
        <v>635</v>
      </c>
      <c r="F35" s="228" t="s">
        <v>53</v>
      </c>
      <c r="G35" s="277" t="e">
        <f>'G-2 Habitat groups'!$BE$59</f>
        <v>#REF!</v>
      </c>
      <c r="H35" s="880"/>
      <c r="I35" s="452"/>
      <c r="J35" s="710"/>
      <c r="K35" s="710"/>
      <c r="L35" s="1"/>
      <c r="M35" s="1"/>
      <c r="N35" s="1"/>
      <c r="O35" s="1"/>
      <c r="P35" s="710"/>
      <c r="Q35" s="710"/>
      <c r="R35" s="710"/>
      <c r="S35" s="710"/>
      <c r="T35" s="723"/>
      <c r="U35" s="723"/>
      <c r="V35" s="723"/>
      <c r="W35" s="723"/>
    </row>
    <row r="36" spans="1:23" x14ac:dyDescent="0.35">
      <c r="A36" s="1"/>
      <c r="B36" s="874"/>
      <c r="C36" s="1"/>
      <c r="D36" s="877"/>
      <c r="E36" s="227" t="s">
        <v>644</v>
      </c>
      <c r="F36" s="228" t="s">
        <v>57</v>
      </c>
      <c r="G36" s="277" t="e">
        <f>'G-2 Habitat groups'!$BE$61</f>
        <v>#REF!</v>
      </c>
      <c r="H36" s="880"/>
      <c r="I36" s="452"/>
      <c r="J36" s="710"/>
      <c r="K36" s="710"/>
      <c r="L36" s="1"/>
      <c r="M36" s="1"/>
      <c r="N36" s="1"/>
      <c r="O36" s="1"/>
      <c r="P36" s="710"/>
      <c r="Q36" s="710"/>
      <c r="R36" s="710"/>
      <c r="S36" s="710"/>
      <c r="T36" s="723"/>
      <c r="U36" s="723"/>
      <c r="V36" s="723"/>
      <c r="W36" s="723"/>
    </row>
    <row r="37" spans="1:23" x14ac:dyDescent="0.35">
      <c r="A37" s="1"/>
      <c r="B37" s="874"/>
      <c r="C37" s="1"/>
      <c r="D37" s="877"/>
      <c r="E37" s="227" t="s">
        <v>649</v>
      </c>
      <c r="F37" s="228" t="s">
        <v>805</v>
      </c>
      <c r="G37" s="277" t="e">
        <f>'G-2 Habitat groups'!$BE$62</f>
        <v>#REF!</v>
      </c>
      <c r="H37" s="880"/>
      <c r="I37" s="452"/>
      <c r="J37" s="710"/>
      <c r="K37" s="710"/>
      <c r="L37" s="1"/>
      <c r="M37" s="1"/>
      <c r="N37" s="1"/>
      <c r="O37" s="1"/>
      <c r="P37" s="710"/>
      <c r="Q37" s="710"/>
      <c r="R37" s="710"/>
      <c r="S37" s="710"/>
      <c r="T37" s="723"/>
      <c r="U37" s="723"/>
      <c r="V37" s="723"/>
      <c r="W37" s="723"/>
    </row>
    <row r="38" spans="1:23" x14ac:dyDescent="0.35">
      <c r="A38" s="1"/>
      <c r="B38" s="874"/>
      <c r="C38" s="1"/>
      <c r="D38" s="877"/>
      <c r="E38" s="227" t="s">
        <v>657</v>
      </c>
      <c r="F38" s="228" t="s">
        <v>805</v>
      </c>
      <c r="G38" s="277" t="e">
        <f>'G-2 Habitat groups'!$BE$63</f>
        <v>#REF!</v>
      </c>
      <c r="H38" s="880"/>
      <c r="I38" s="452"/>
      <c r="J38" s="710"/>
      <c r="K38" s="710"/>
      <c r="L38" s="1"/>
      <c r="M38" s="1"/>
      <c r="N38" s="1"/>
      <c r="O38" s="1"/>
      <c r="P38" s="710"/>
      <c r="Q38" s="710"/>
      <c r="R38" s="710"/>
      <c r="S38" s="710"/>
      <c r="T38" s="723"/>
      <c r="U38" s="723"/>
      <c r="V38" s="723"/>
      <c r="W38" s="723"/>
    </row>
    <row r="39" spans="1:23" x14ac:dyDescent="0.35">
      <c r="A39" s="1"/>
      <c r="B39" s="874"/>
      <c r="C39" s="1"/>
      <c r="D39" s="877"/>
      <c r="E39" s="227" t="s">
        <v>664</v>
      </c>
      <c r="F39" s="228" t="s">
        <v>805</v>
      </c>
      <c r="G39" s="277" t="e">
        <f>'G-2 Habitat groups'!$BE$64</f>
        <v>#REF!</v>
      </c>
      <c r="H39" s="880"/>
      <c r="I39" s="452"/>
      <c r="J39" s="710"/>
      <c r="K39" s="710"/>
      <c r="L39" s="1"/>
      <c r="M39" s="1"/>
      <c r="N39" s="1"/>
      <c r="O39" s="1"/>
      <c r="P39" s="710"/>
      <c r="Q39" s="710"/>
      <c r="R39" s="710"/>
      <c r="S39" s="710"/>
      <c r="T39" s="723"/>
      <c r="U39" s="723"/>
      <c r="V39" s="723"/>
      <c r="W39" s="723"/>
    </row>
    <row r="40" spans="1:23" x14ac:dyDescent="0.35">
      <c r="A40" s="1"/>
      <c r="B40" s="874"/>
      <c r="C40" s="1"/>
      <c r="D40" s="877"/>
      <c r="E40" s="227" t="s">
        <v>671</v>
      </c>
      <c r="F40" s="228" t="s">
        <v>805</v>
      </c>
      <c r="G40" s="277" t="e">
        <f>'G-2 Habitat groups'!$BE$65</f>
        <v>#REF!</v>
      </c>
      <c r="H40" s="880"/>
      <c r="I40" s="452"/>
      <c r="J40" s="710"/>
      <c r="K40" s="710"/>
      <c r="L40" s="710"/>
      <c r="M40" s="710"/>
      <c r="N40" s="710"/>
      <c r="O40" s="710"/>
      <c r="P40" s="710"/>
      <c r="Q40" s="710"/>
      <c r="R40" s="710"/>
      <c r="S40" s="710"/>
      <c r="T40" s="723"/>
      <c r="U40" s="723"/>
      <c r="V40" s="723"/>
      <c r="W40" s="723"/>
    </row>
    <row r="41" spans="1:23" ht="15" thickBot="1" x14ac:dyDescent="0.4">
      <c r="A41" s="1"/>
      <c r="B41" s="874"/>
      <c r="C41" s="1"/>
      <c r="D41" s="878"/>
      <c r="E41" s="229" t="s">
        <v>678</v>
      </c>
      <c r="F41" s="230" t="s">
        <v>808</v>
      </c>
      <c r="G41" s="285" t="e">
        <f>'G-2 Habitat groups'!$BE$68</f>
        <v>#REF!</v>
      </c>
      <c r="H41" s="881"/>
      <c r="I41" s="452"/>
      <c r="J41" s="710"/>
      <c r="K41" s="710"/>
      <c r="L41" s="710"/>
      <c r="M41" s="710"/>
      <c r="N41" s="710"/>
      <c r="O41" s="710"/>
      <c r="P41" s="710"/>
      <c r="Q41" s="710"/>
      <c r="R41" s="710"/>
      <c r="S41" s="710"/>
      <c r="T41" s="723"/>
      <c r="U41" s="723"/>
      <c r="V41" s="723"/>
      <c r="W41" s="723"/>
    </row>
    <row r="42" spans="1:23" ht="15" thickBot="1" x14ac:dyDescent="0.4">
      <c r="A42" s="1"/>
      <c r="B42" s="874"/>
      <c r="C42" s="1"/>
      <c r="D42" s="1"/>
      <c r="E42" s="1"/>
      <c r="F42" s="710"/>
      <c r="G42" s="710"/>
      <c r="H42" s="710"/>
      <c r="I42" s="710"/>
      <c r="J42" s="710"/>
      <c r="K42" s="710"/>
      <c r="L42" s="710"/>
      <c r="M42" s="710"/>
      <c r="N42" s="710"/>
      <c r="O42" s="710"/>
      <c r="P42" s="710"/>
      <c r="Q42" s="710"/>
      <c r="R42" s="710"/>
      <c r="S42" s="710"/>
      <c r="T42" s="723"/>
      <c r="U42" s="723"/>
      <c r="V42" s="723"/>
      <c r="W42" s="723"/>
    </row>
    <row r="43" spans="1:23" x14ac:dyDescent="0.35">
      <c r="A43" s="1"/>
      <c r="B43" s="874"/>
      <c r="C43" s="1"/>
      <c r="D43" s="876" t="s">
        <v>1551</v>
      </c>
      <c r="E43" s="231" t="s">
        <v>1520</v>
      </c>
      <c r="F43" s="232" t="s">
        <v>53</v>
      </c>
      <c r="G43" s="284" t="e">
        <f>'G-2 Habitat groups'!$BE$52</f>
        <v>#REF!</v>
      </c>
      <c r="H43" s="879">
        <f>SUMIF(G43:G53, "&lt;0")</f>
        <v>0</v>
      </c>
      <c r="I43" s="452"/>
      <c r="J43" s="710"/>
      <c r="K43" s="710"/>
      <c r="L43" s="710"/>
      <c r="M43" s="710"/>
      <c r="N43" s="710"/>
      <c r="O43" s="710"/>
      <c r="P43" s="710"/>
      <c r="Q43" s="710"/>
      <c r="R43" s="710"/>
      <c r="S43" s="710"/>
      <c r="T43" s="723"/>
      <c r="U43" s="723"/>
      <c r="V43" s="723"/>
      <c r="W43" s="723"/>
    </row>
    <row r="44" spans="1:23" x14ac:dyDescent="0.35">
      <c r="A44" s="1"/>
      <c r="B44" s="874"/>
      <c r="C44" s="1"/>
      <c r="D44" s="877"/>
      <c r="E44" s="227" t="s">
        <v>604</v>
      </c>
      <c r="F44" s="228" t="s">
        <v>53</v>
      </c>
      <c r="G44" s="277" t="e">
        <f>'G-2 Habitat groups'!$BE$53</f>
        <v>#REF!</v>
      </c>
      <c r="H44" s="880"/>
      <c r="I44" s="452"/>
      <c r="J44" s="710"/>
      <c r="K44" s="710"/>
      <c r="L44" s="710"/>
      <c r="M44" s="710"/>
      <c r="N44" s="710"/>
      <c r="O44" s="710"/>
      <c r="P44" s="710"/>
      <c r="Q44" s="710"/>
      <c r="R44" s="710"/>
      <c r="S44" s="710"/>
      <c r="T44" s="723"/>
      <c r="U44" s="723"/>
      <c r="V44" s="723"/>
      <c r="W44" s="723"/>
    </row>
    <row r="45" spans="1:23" x14ac:dyDescent="0.35">
      <c r="A45" s="1"/>
      <c r="B45" s="874"/>
      <c r="C45" s="1"/>
      <c r="D45" s="877"/>
      <c r="E45" s="227" t="s">
        <v>629</v>
      </c>
      <c r="F45" s="228" t="s">
        <v>53</v>
      </c>
      <c r="G45" s="277" t="e">
        <f>'G-2 Habitat groups'!$BE$57</f>
        <v>#REF!</v>
      </c>
      <c r="H45" s="880"/>
      <c r="I45" s="452"/>
      <c r="J45" s="710"/>
      <c r="K45" s="710"/>
      <c r="L45" s="710"/>
      <c r="M45" s="710"/>
      <c r="N45" s="710"/>
      <c r="O45" s="710"/>
      <c r="P45" s="710"/>
      <c r="Q45" s="710"/>
      <c r="R45" s="710"/>
      <c r="S45" s="710"/>
      <c r="T45" s="723"/>
      <c r="U45" s="723"/>
      <c r="V45" s="723"/>
      <c r="W45" s="723"/>
    </row>
    <row r="46" spans="1:23" x14ac:dyDescent="0.35">
      <c r="A46" s="1"/>
      <c r="B46" s="874"/>
      <c r="C46" s="1"/>
      <c r="D46" s="877"/>
      <c r="E46" s="227" t="s">
        <v>640</v>
      </c>
      <c r="F46" s="228" t="s">
        <v>53</v>
      </c>
      <c r="G46" s="277" t="e">
        <f>'G-2 Habitat groups'!$BE$60</f>
        <v>#REF!</v>
      </c>
      <c r="H46" s="880"/>
      <c r="I46" s="452"/>
      <c r="J46" s="710"/>
      <c r="K46" s="710"/>
      <c r="L46" s="710"/>
      <c r="M46" s="710"/>
      <c r="N46" s="710"/>
      <c r="O46" s="710"/>
      <c r="P46" s="710"/>
      <c r="Q46" s="710"/>
      <c r="R46" s="710"/>
      <c r="S46" s="710"/>
      <c r="T46" s="723"/>
      <c r="U46" s="723"/>
      <c r="V46" s="723"/>
      <c r="W46" s="723"/>
    </row>
    <row r="47" spans="1:23" x14ac:dyDescent="0.35">
      <c r="A47" s="1"/>
      <c r="B47" s="874"/>
      <c r="C47" s="1"/>
      <c r="D47" s="877"/>
      <c r="E47" s="227" t="s">
        <v>689</v>
      </c>
      <c r="F47" s="228" t="s">
        <v>54</v>
      </c>
      <c r="G47" s="277" t="e">
        <f>'G-2 Habitat groups'!$BE$66</f>
        <v>#REF!</v>
      </c>
      <c r="H47" s="880"/>
      <c r="I47" s="452"/>
      <c r="J47" s="710"/>
      <c r="K47" s="710"/>
      <c r="L47" s="710"/>
      <c r="M47" s="710"/>
      <c r="N47" s="710"/>
      <c r="O47" s="710"/>
      <c r="P47" s="710"/>
      <c r="Q47" s="710"/>
      <c r="R47" s="710"/>
      <c r="S47" s="710"/>
      <c r="T47" s="723"/>
      <c r="U47" s="723"/>
      <c r="V47" s="723"/>
      <c r="W47" s="723"/>
    </row>
    <row r="48" spans="1:23" x14ac:dyDescent="0.35">
      <c r="A48" s="1"/>
      <c r="B48" s="874"/>
      <c r="C48" s="1"/>
      <c r="D48" s="877"/>
      <c r="E48" s="227" t="s">
        <v>692</v>
      </c>
      <c r="F48" s="228" t="s">
        <v>54</v>
      </c>
      <c r="G48" s="277" t="e">
        <f>'G-2 Habitat groups'!$BE$67</f>
        <v>#REF!</v>
      </c>
      <c r="H48" s="880"/>
      <c r="I48" s="452"/>
      <c r="J48" s="710"/>
      <c r="K48" s="710"/>
      <c r="L48" s="710"/>
      <c r="M48" s="710"/>
      <c r="N48" s="710"/>
      <c r="O48" s="710"/>
      <c r="P48" s="710"/>
      <c r="Q48" s="710"/>
      <c r="R48" s="710"/>
      <c r="S48" s="710"/>
      <c r="T48" s="723"/>
      <c r="U48" s="723"/>
      <c r="V48" s="723"/>
      <c r="W48" s="723"/>
    </row>
    <row r="49" spans="1:23" x14ac:dyDescent="0.35">
      <c r="A49" s="1"/>
      <c r="B49" s="874"/>
      <c r="C49" s="1"/>
      <c r="D49" s="877"/>
      <c r="E49" s="227" t="s">
        <v>702</v>
      </c>
      <c r="F49" s="228" t="s">
        <v>54</v>
      </c>
      <c r="G49" s="277" t="e">
        <f>'G-2 Habitat groups'!$BE$69</f>
        <v>#REF!</v>
      </c>
      <c r="H49" s="880"/>
      <c r="I49" s="452"/>
      <c r="J49" s="710"/>
      <c r="K49" s="710"/>
      <c r="L49" s="710"/>
      <c r="M49" s="710"/>
      <c r="N49" s="710"/>
      <c r="O49" s="710"/>
      <c r="P49" s="710"/>
      <c r="Q49" s="710"/>
      <c r="R49" s="710"/>
      <c r="S49" s="710"/>
      <c r="T49" s="723"/>
      <c r="U49" s="723"/>
      <c r="V49" s="723"/>
      <c r="W49" s="723"/>
    </row>
    <row r="50" spans="1:23" x14ac:dyDescent="0.35">
      <c r="A50" s="1"/>
      <c r="B50" s="874"/>
      <c r="C50" s="1"/>
      <c r="D50" s="877"/>
      <c r="E50" s="227" t="s">
        <v>706</v>
      </c>
      <c r="F50" s="228" t="s">
        <v>54</v>
      </c>
      <c r="G50" s="277" t="e">
        <f>'G-2 Habitat groups'!$BE$70</f>
        <v>#REF!</v>
      </c>
      <c r="H50" s="880"/>
      <c r="I50" s="452"/>
      <c r="J50" s="710"/>
      <c r="K50" s="710"/>
      <c r="L50" s="710"/>
      <c r="M50" s="710"/>
      <c r="N50" s="710"/>
      <c r="O50" s="710"/>
      <c r="P50" s="710"/>
      <c r="Q50" s="710"/>
      <c r="R50" s="710"/>
      <c r="S50" s="710"/>
      <c r="T50" s="723"/>
      <c r="U50" s="723"/>
      <c r="V50" s="723"/>
      <c r="W50" s="723"/>
    </row>
    <row r="51" spans="1:23" x14ac:dyDescent="0.35">
      <c r="A51" s="1"/>
      <c r="B51" s="874"/>
      <c r="C51" s="1"/>
      <c r="D51" s="877"/>
      <c r="E51" s="227" t="s">
        <v>709</v>
      </c>
      <c r="F51" s="228" t="s">
        <v>54</v>
      </c>
      <c r="G51" s="277" t="e">
        <f>'G-2 Habitat groups'!$BE$71</f>
        <v>#REF!</v>
      </c>
      <c r="H51" s="880"/>
      <c r="I51" s="452"/>
      <c r="J51" s="710"/>
      <c r="K51" s="710"/>
      <c r="L51" s="710"/>
      <c r="M51" s="710"/>
      <c r="N51" s="710"/>
      <c r="O51" s="710"/>
      <c r="P51" s="710"/>
      <c r="Q51" s="710"/>
      <c r="R51" s="710"/>
      <c r="S51" s="710"/>
      <c r="T51" s="723"/>
      <c r="U51" s="723"/>
      <c r="V51" s="723"/>
      <c r="W51" s="723"/>
    </row>
    <row r="52" spans="1:23" x14ac:dyDescent="0.35">
      <c r="A52" s="1"/>
      <c r="B52" s="874"/>
      <c r="C52" s="1"/>
      <c r="D52" s="877"/>
      <c r="E52" s="227" t="s">
        <v>736</v>
      </c>
      <c r="F52" s="228" t="s">
        <v>54</v>
      </c>
      <c r="G52" s="277" t="e">
        <f>'G-2 Habitat groups'!$BE$72</f>
        <v>#REF!</v>
      </c>
      <c r="H52" s="880"/>
      <c r="I52" s="452"/>
      <c r="J52" s="710"/>
      <c r="K52" s="710"/>
      <c r="L52" s="710"/>
      <c r="M52" s="710"/>
      <c r="N52" s="710"/>
      <c r="O52" s="710"/>
      <c r="P52" s="710"/>
      <c r="Q52" s="710"/>
      <c r="R52" s="710"/>
      <c r="S52" s="710"/>
      <c r="T52" s="723"/>
      <c r="U52" s="723"/>
      <c r="V52" s="723"/>
      <c r="W52" s="723"/>
    </row>
    <row r="53" spans="1:23" ht="15" thickBot="1" x14ac:dyDescent="0.4">
      <c r="A53" s="1"/>
      <c r="B53" s="874"/>
      <c r="C53" s="1"/>
      <c r="D53" s="878"/>
      <c r="E53" s="229" t="s">
        <v>103</v>
      </c>
      <c r="F53" s="230" t="s">
        <v>54</v>
      </c>
      <c r="G53" s="285" t="e">
        <f>'G-2 Habitat groups'!$BE$73</f>
        <v>#REF!</v>
      </c>
      <c r="H53" s="881"/>
      <c r="I53" s="452"/>
      <c r="J53" s="710"/>
      <c r="K53" s="710"/>
      <c r="L53" s="710"/>
      <c r="M53" s="710"/>
      <c r="N53" s="710"/>
      <c r="O53" s="710"/>
      <c r="P53" s="710"/>
      <c r="Q53" s="710"/>
      <c r="R53" s="710"/>
      <c r="S53" s="710"/>
      <c r="T53" s="723"/>
      <c r="U53" s="723"/>
      <c r="V53" s="723"/>
      <c r="W53" s="723"/>
    </row>
    <row r="54" spans="1:23" ht="15" thickBot="1" x14ac:dyDescent="0.4">
      <c r="A54" s="1"/>
      <c r="B54" s="874"/>
      <c r="C54" s="1"/>
      <c r="D54" s="1"/>
      <c r="E54" s="1"/>
      <c r="F54" s="710"/>
      <c r="G54" s="710"/>
      <c r="H54" s="710"/>
      <c r="I54" s="710"/>
      <c r="J54" s="710"/>
      <c r="K54" s="710"/>
      <c r="L54" s="710"/>
      <c r="M54" s="710"/>
      <c r="N54" s="710"/>
      <c r="O54" s="710"/>
      <c r="P54" s="710"/>
      <c r="Q54" s="710"/>
      <c r="R54" s="710"/>
      <c r="S54" s="710"/>
      <c r="T54" s="723"/>
      <c r="U54" s="723"/>
      <c r="V54" s="723"/>
      <c r="W54" s="723"/>
    </row>
    <row r="55" spans="1:23" x14ac:dyDescent="0.35">
      <c r="A55" s="1"/>
      <c r="B55" s="874"/>
      <c r="C55" s="1"/>
      <c r="D55" s="876" t="s">
        <v>680</v>
      </c>
      <c r="E55" s="231" t="s">
        <v>351</v>
      </c>
      <c r="F55" s="232" t="s">
        <v>47</v>
      </c>
      <c r="G55" s="284" t="e">
        <f>'G-2 Habitat groups'!$BE$32</f>
        <v>#REF!</v>
      </c>
      <c r="H55" s="879">
        <f>SUMIF(G55:G61, "&lt;0")</f>
        <v>0</v>
      </c>
      <c r="I55" s="452"/>
      <c r="J55" s="710"/>
      <c r="K55" s="710"/>
      <c r="L55" s="710"/>
      <c r="M55" s="710"/>
      <c r="N55" s="710"/>
      <c r="O55" s="710"/>
      <c r="P55" s="710"/>
      <c r="Q55" s="710"/>
      <c r="R55" s="710"/>
      <c r="S55" s="710"/>
      <c r="T55" s="723"/>
      <c r="U55" s="723"/>
      <c r="V55" s="723"/>
      <c r="W55" s="723"/>
    </row>
    <row r="56" spans="1:23" x14ac:dyDescent="0.35">
      <c r="A56" s="1"/>
      <c r="B56" s="874"/>
      <c r="C56" s="1"/>
      <c r="D56" s="877"/>
      <c r="E56" s="227" t="s">
        <v>378</v>
      </c>
      <c r="F56" s="228" t="s">
        <v>47</v>
      </c>
      <c r="G56" s="277" t="e">
        <f>'G-2 Habitat groups'!$BE$33</f>
        <v>#REF!</v>
      </c>
      <c r="H56" s="880"/>
      <c r="I56" s="452"/>
      <c r="J56" s="710"/>
      <c r="K56" s="710"/>
      <c r="L56" s="710"/>
      <c r="M56" s="710"/>
      <c r="N56" s="710"/>
      <c r="O56" s="710"/>
      <c r="P56" s="710"/>
      <c r="Q56" s="710"/>
      <c r="R56" s="710"/>
      <c r="S56" s="710"/>
      <c r="T56" s="723"/>
      <c r="U56" s="723"/>
      <c r="V56" s="723"/>
      <c r="W56" s="723"/>
    </row>
    <row r="57" spans="1:23" x14ac:dyDescent="0.35">
      <c r="A57" s="1"/>
      <c r="B57" s="874"/>
      <c r="C57" s="1"/>
      <c r="D57" s="877"/>
      <c r="E57" s="227" t="s">
        <v>385</v>
      </c>
      <c r="F57" s="228" t="s">
        <v>47</v>
      </c>
      <c r="G57" s="277" t="e">
        <f>'G-2 Habitat groups'!$BE$34</f>
        <v>#REF!</v>
      </c>
      <c r="H57" s="880"/>
      <c r="I57" s="452"/>
      <c r="J57" s="710"/>
      <c r="K57" s="710"/>
      <c r="L57" s="710"/>
      <c r="M57" s="710"/>
      <c r="N57" s="710"/>
      <c r="O57" s="710"/>
      <c r="P57" s="710"/>
      <c r="Q57" s="710"/>
      <c r="R57" s="710"/>
      <c r="S57" s="710"/>
      <c r="T57" s="723"/>
      <c r="U57" s="723"/>
      <c r="V57" s="723"/>
      <c r="W57" s="723"/>
    </row>
    <row r="58" spans="1:23" x14ac:dyDescent="0.35">
      <c r="A58" s="1"/>
      <c r="B58" s="874"/>
      <c r="C58" s="1"/>
      <c r="D58" s="877"/>
      <c r="E58" s="227" t="s">
        <v>807</v>
      </c>
      <c r="F58" s="228" t="s">
        <v>48</v>
      </c>
      <c r="G58" s="277" t="e">
        <f>'G-2 Habitat groups'!$BE$35</f>
        <v>#REF!</v>
      </c>
      <c r="H58" s="880"/>
      <c r="I58" s="452"/>
      <c r="J58" s="710"/>
      <c r="K58" s="710"/>
      <c r="L58" s="710"/>
      <c r="M58" s="710"/>
      <c r="N58" s="710"/>
      <c r="O58" s="710"/>
      <c r="P58" s="710"/>
      <c r="Q58" s="710"/>
      <c r="R58" s="710"/>
      <c r="S58" s="710"/>
      <c r="T58" s="723"/>
      <c r="U58" s="723"/>
      <c r="V58" s="723"/>
      <c r="W58" s="723"/>
    </row>
    <row r="59" spans="1:23" x14ac:dyDescent="0.35">
      <c r="A59" s="1"/>
      <c r="B59" s="874"/>
      <c r="C59" s="1"/>
      <c r="D59" s="877"/>
      <c r="E59" s="227" t="s">
        <v>425</v>
      </c>
      <c r="F59" s="228" t="s">
        <v>48</v>
      </c>
      <c r="G59" s="277" t="e">
        <f>'G-2 Habitat groups'!$BE$36</f>
        <v>#REF!</v>
      </c>
      <c r="H59" s="880"/>
      <c r="I59" s="452"/>
      <c r="J59" s="710"/>
      <c r="K59" s="710"/>
      <c r="L59" s="710"/>
      <c r="M59" s="710"/>
      <c r="N59" s="710"/>
      <c r="O59" s="710"/>
      <c r="P59" s="710"/>
      <c r="Q59" s="710"/>
      <c r="R59" s="710"/>
      <c r="S59" s="710"/>
      <c r="T59" s="723"/>
      <c r="U59" s="723"/>
      <c r="V59" s="723"/>
      <c r="W59" s="723"/>
    </row>
    <row r="60" spans="1:23" x14ac:dyDescent="0.35">
      <c r="A60" s="1"/>
      <c r="B60" s="874"/>
      <c r="C60" s="1"/>
      <c r="D60" s="877"/>
      <c r="E60" s="227" t="s">
        <v>437</v>
      </c>
      <c r="F60" s="228" t="s">
        <v>48</v>
      </c>
      <c r="G60" s="277" t="e">
        <f>'G-2 Habitat groups'!$BE$37</f>
        <v>#REF!</v>
      </c>
      <c r="H60" s="880"/>
      <c r="I60" s="452"/>
      <c r="J60" s="710"/>
      <c r="K60" s="710"/>
      <c r="L60" s="710"/>
      <c r="M60" s="710"/>
      <c r="N60" s="710"/>
      <c r="O60" s="710"/>
      <c r="P60" s="710"/>
      <c r="Q60" s="710"/>
      <c r="R60" s="710"/>
      <c r="S60" s="710"/>
      <c r="T60" s="723"/>
      <c r="U60" s="723"/>
      <c r="V60" s="723"/>
      <c r="W60" s="723"/>
    </row>
    <row r="61" spans="1:23" ht="15" thickBot="1" x14ac:dyDescent="0.4">
      <c r="A61" s="1"/>
      <c r="B61" s="874"/>
      <c r="C61" s="1"/>
      <c r="D61" s="878"/>
      <c r="E61" s="229" t="s">
        <v>539</v>
      </c>
      <c r="F61" s="230" t="s">
        <v>51</v>
      </c>
      <c r="G61" s="285" t="e">
        <f>'G-2 Habitat groups'!$BE$50</f>
        <v>#REF!</v>
      </c>
      <c r="H61" s="881"/>
      <c r="I61" s="452"/>
      <c r="J61" s="710"/>
      <c r="K61" s="710"/>
      <c r="L61" s="710"/>
      <c r="M61" s="710"/>
      <c r="N61" s="710"/>
      <c r="O61" s="710"/>
      <c r="P61" s="710"/>
      <c r="Q61" s="710"/>
      <c r="R61" s="710"/>
      <c r="S61" s="710"/>
      <c r="T61" s="723"/>
      <c r="U61" s="723"/>
      <c r="V61" s="723"/>
      <c r="W61" s="723"/>
    </row>
    <row r="62" spans="1:23" ht="15" thickBot="1" x14ac:dyDescent="0.4">
      <c r="A62" s="1"/>
      <c r="B62" s="874"/>
      <c r="C62" s="1"/>
      <c r="D62" s="473"/>
      <c r="E62" s="1"/>
      <c r="F62" s="710"/>
      <c r="G62" s="710"/>
      <c r="H62" s="710"/>
      <c r="I62" s="710"/>
      <c r="J62" s="710"/>
      <c r="K62" s="710"/>
      <c r="L62" s="710"/>
      <c r="M62" s="710"/>
      <c r="N62" s="710"/>
      <c r="O62" s="710"/>
      <c r="P62" s="710"/>
      <c r="Q62" s="710"/>
      <c r="R62" s="710"/>
      <c r="S62" s="710"/>
      <c r="T62" s="723"/>
      <c r="U62" s="723"/>
      <c r="V62" s="723"/>
      <c r="W62" s="723"/>
    </row>
    <row r="63" spans="1:23" x14ac:dyDescent="0.35">
      <c r="A63" s="1"/>
      <c r="B63" s="874"/>
      <c r="C63" s="1"/>
      <c r="D63" s="876" t="s">
        <v>651</v>
      </c>
      <c r="E63" s="231" t="s">
        <v>339</v>
      </c>
      <c r="F63" s="232" t="s">
        <v>47</v>
      </c>
      <c r="G63" s="284" t="e">
        <f>'G-2 Habitat groups'!$BE$30</f>
        <v>#REF!</v>
      </c>
      <c r="H63" s="883">
        <f>SUMIF(G63:G64, "&lt;0")</f>
        <v>0</v>
      </c>
      <c r="I63" s="464"/>
      <c r="J63" s="710"/>
      <c r="K63" s="710"/>
      <c r="L63" s="710"/>
      <c r="M63" s="710"/>
      <c r="N63" s="710"/>
      <c r="O63" s="710"/>
      <c r="P63" s="710"/>
      <c r="Q63" s="710"/>
      <c r="R63" s="710"/>
      <c r="S63" s="710"/>
      <c r="T63" s="723"/>
      <c r="U63" s="723"/>
      <c r="V63" s="723"/>
      <c r="W63" s="723"/>
    </row>
    <row r="64" spans="1:23" ht="15" thickBot="1" x14ac:dyDescent="0.4">
      <c r="A64" s="1"/>
      <c r="B64" s="875"/>
      <c r="C64" s="1"/>
      <c r="D64" s="878"/>
      <c r="E64" s="229" t="s">
        <v>596</v>
      </c>
      <c r="F64" s="230" t="s">
        <v>52</v>
      </c>
      <c r="G64" s="285" t="e">
        <f>'G-2 Habitat groups'!$BE$51</f>
        <v>#REF!</v>
      </c>
      <c r="H64" s="884"/>
      <c r="I64" s="464"/>
      <c r="J64" s="710"/>
      <c r="K64" s="710"/>
      <c r="L64" s="710"/>
      <c r="M64" s="710"/>
      <c r="N64" s="710"/>
      <c r="O64" s="710"/>
      <c r="P64" s="710"/>
      <c r="Q64" s="710"/>
      <c r="R64" s="710"/>
      <c r="S64" s="710"/>
      <c r="T64" s="723"/>
      <c r="U64" s="723"/>
      <c r="V64" s="723"/>
      <c r="W64" s="723"/>
    </row>
    <row r="65" spans="1:23" ht="15" thickBot="1" x14ac:dyDescent="0.4">
      <c r="A65" s="1"/>
      <c r="B65" s="1"/>
      <c r="C65" s="1"/>
      <c r="D65" s="1"/>
      <c r="E65" s="1"/>
      <c r="F65" s="710"/>
      <c r="G65" s="710"/>
      <c r="H65" s="710"/>
      <c r="I65" s="710"/>
      <c r="J65" s="710"/>
      <c r="K65" s="710"/>
      <c r="L65" s="710"/>
      <c r="M65" s="710"/>
      <c r="N65" s="710"/>
      <c r="O65" s="710"/>
      <c r="P65" s="710"/>
      <c r="Q65" s="710"/>
      <c r="R65" s="710"/>
      <c r="S65" s="710"/>
      <c r="T65" s="723"/>
      <c r="U65" s="723"/>
      <c r="V65" s="723"/>
      <c r="W65" s="723"/>
    </row>
    <row r="66" spans="1:23" ht="33.65" customHeight="1" x14ac:dyDescent="0.35">
      <c r="A66" s="1"/>
      <c r="B66" s="1"/>
      <c r="C66" s="1"/>
      <c r="D66" s="1"/>
      <c r="E66" s="1"/>
      <c r="F66" s="710"/>
      <c r="G66" s="710"/>
      <c r="H66" s="710"/>
      <c r="I66" s="710"/>
      <c r="J66" s="782" t="s">
        <v>1560</v>
      </c>
      <c r="K66" s="885" t="s">
        <v>1561</v>
      </c>
      <c r="L66" s="886"/>
      <c r="M66" s="887"/>
      <c r="N66" s="710"/>
      <c r="O66" s="710"/>
      <c r="P66" s="710"/>
      <c r="Q66" s="710"/>
      <c r="R66" s="710"/>
      <c r="S66" s="710"/>
      <c r="T66" s="723"/>
      <c r="U66" s="723"/>
      <c r="V66" s="723"/>
      <c r="W66" s="723"/>
    </row>
    <row r="67" spans="1:23" ht="28" customHeight="1" x14ac:dyDescent="0.35">
      <c r="A67" s="1"/>
      <c r="B67" s="1"/>
      <c r="C67" s="1"/>
      <c r="D67" s="1"/>
      <c r="E67" s="1"/>
      <c r="F67" s="710"/>
      <c r="G67" s="710"/>
      <c r="H67" s="710"/>
      <c r="I67" s="710"/>
      <c r="J67" s="783" t="s">
        <v>1562</v>
      </c>
      <c r="K67" s="888" t="s">
        <v>1563</v>
      </c>
      <c r="L67" s="889"/>
      <c r="M67" s="890"/>
      <c r="N67" s="710"/>
      <c r="O67" s="710"/>
      <c r="P67" s="710"/>
      <c r="Q67" s="710"/>
      <c r="R67" s="710"/>
      <c r="S67" s="710"/>
      <c r="T67" s="723"/>
      <c r="U67" s="723"/>
      <c r="V67" s="723"/>
      <c r="W67" s="723"/>
    </row>
    <row r="68" spans="1:23" ht="32.15" customHeight="1" x14ac:dyDescent="0.35">
      <c r="A68" s="1"/>
      <c r="B68" s="1"/>
      <c r="C68" s="1"/>
      <c r="D68" s="1"/>
      <c r="E68" s="1"/>
      <c r="F68" s="710"/>
      <c r="G68" s="710"/>
      <c r="H68" s="710"/>
      <c r="I68" s="710"/>
      <c r="J68" s="783" t="s">
        <v>1564</v>
      </c>
      <c r="K68" s="888" t="s">
        <v>1565</v>
      </c>
      <c r="L68" s="889"/>
      <c r="M68" s="890"/>
      <c r="N68" s="710"/>
      <c r="O68" s="710"/>
      <c r="P68" s="710"/>
      <c r="Q68" s="710"/>
      <c r="R68" s="710"/>
      <c r="S68" s="710"/>
      <c r="T68" s="723"/>
      <c r="U68" s="723"/>
      <c r="V68" s="723"/>
      <c r="W68" s="723"/>
    </row>
    <row r="69" spans="1:23" ht="32.15" customHeight="1" x14ac:dyDescent="0.35">
      <c r="A69" s="1"/>
      <c r="B69" s="1"/>
      <c r="C69" s="1"/>
      <c r="D69" s="1"/>
      <c r="E69" s="1"/>
      <c r="F69" s="710"/>
      <c r="G69" s="710"/>
      <c r="H69" s="710"/>
      <c r="I69" s="710"/>
      <c r="J69" s="783" t="s">
        <v>1566</v>
      </c>
      <c r="K69" s="891" t="s">
        <v>1567</v>
      </c>
      <c r="L69" s="891"/>
      <c r="M69" s="892"/>
      <c r="N69" s="710"/>
      <c r="O69" s="710"/>
      <c r="P69" s="710"/>
      <c r="Q69" s="710"/>
      <c r="R69" s="710"/>
      <c r="S69" s="710"/>
      <c r="T69" s="723"/>
      <c r="U69" s="723"/>
      <c r="V69" s="723"/>
      <c r="W69" s="723"/>
    </row>
    <row r="70" spans="1:23" ht="29.5" customHeight="1" thickBot="1" x14ac:dyDescent="0.4">
      <c r="A70" s="1"/>
      <c r="B70" s="1"/>
      <c r="C70" s="1"/>
      <c r="D70" s="1"/>
      <c r="E70" s="1"/>
      <c r="F70" s="710"/>
      <c r="G70" s="710"/>
      <c r="H70" s="710"/>
      <c r="I70" s="710"/>
      <c r="J70" s="784" t="s">
        <v>1568</v>
      </c>
      <c r="K70" s="893" t="s">
        <v>1569</v>
      </c>
      <c r="L70" s="893"/>
      <c r="M70" s="894"/>
      <c r="N70" s="710"/>
      <c r="O70" s="710"/>
      <c r="P70" s="710"/>
      <c r="Q70" s="710"/>
      <c r="R70" s="710"/>
      <c r="S70" s="710"/>
      <c r="T70" s="723"/>
      <c r="U70" s="723"/>
      <c r="V70" s="723"/>
      <c r="W70" s="723"/>
    </row>
    <row r="71" spans="1:23" ht="15.65" customHeight="1" x14ac:dyDescent="0.35">
      <c r="A71" s="1"/>
      <c r="B71" s="1"/>
      <c r="C71" s="1"/>
      <c r="D71" s="1"/>
      <c r="E71" s="1"/>
      <c r="F71" s="710"/>
      <c r="G71" s="710"/>
      <c r="H71" s="710"/>
      <c r="I71" s="710"/>
      <c r="J71" s="710"/>
      <c r="K71" s="710"/>
      <c r="L71" s="710"/>
      <c r="M71" s="710"/>
      <c r="N71" s="710"/>
      <c r="O71" s="710"/>
      <c r="P71" s="710"/>
      <c r="Q71" s="710"/>
      <c r="R71" s="710"/>
      <c r="S71" s="710"/>
      <c r="T71" s="723"/>
      <c r="U71" s="723"/>
      <c r="V71" s="723"/>
      <c r="W71" s="723"/>
    </row>
    <row r="72" spans="1:23" hidden="1" x14ac:dyDescent="0.35">
      <c r="A72" s="1"/>
      <c r="B72" s="1"/>
      <c r="C72" s="1"/>
      <c r="D72" s="1"/>
      <c r="E72" s="1" t="s">
        <v>100</v>
      </c>
      <c r="F72" s="710"/>
      <c r="G72" s="710"/>
      <c r="H72" s="710"/>
      <c r="I72" s="710"/>
      <c r="J72" s="895"/>
      <c r="K72" s="895"/>
      <c r="L72" s="895"/>
      <c r="M72" s="710"/>
      <c r="N72" s="710"/>
      <c r="O72" s="710"/>
      <c r="P72" s="710"/>
      <c r="Q72" s="710"/>
      <c r="R72" s="710"/>
      <c r="S72" s="710"/>
      <c r="T72" s="723"/>
      <c r="U72" s="723"/>
      <c r="V72" s="723"/>
      <c r="W72" s="723"/>
    </row>
    <row r="73" spans="1:23" hidden="1" x14ac:dyDescent="0.35">
      <c r="A73" s="1"/>
      <c r="B73" s="1"/>
      <c r="C73" s="1" t="s">
        <v>1548</v>
      </c>
      <c r="D73" s="1"/>
      <c r="E73" s="710" t="s">
        <v>203</v>
      </c>
      <c r="F73" s="710" t="s">
        <v>789</v>
      </c>
      <c r="G73" s="710" t="s">
        <v>1570</v>
      </c>
      <c r="H73" s="724"/>
      <c r="I73" s="724"/>
      <c r="J73" s="710"/>
      <c r="K73" s="710"/>
      <c r="L73" s="710"/>
      <c r="M73" s="710"/>
      <c r="N73" s="710"/>
      <c r="O73" s="710"/>
      <c r="P73" s="710"/>
      <c r="Q73" s="710"/>
      <c r="R73" s="710"/>
      <c r="S73" s="710"/>
      <c r="T73" s="723"/>
      <c r="U73" s="723"/>
      <c r="V73" s="723"/>
      <c r="W73" s="723"/>
    </row>
    <row r="74" spans="1:23" hidden="1" x14ac:dyDescent="0.35">
      <c r="A74" s="1"/>
      <c r="B74" s="1"/>
      <c r="C74" s="710" t="s">
        <v>651</v>
      </c>
      <c r="D74" s="710"/>
      <c r="E74" s="725" t="str">
        <f>'G-2 Habitat groups'!AU30</f>
        <v>Grassland - Traditional orchards</v>
      </c>
      <c r="F74" s="726" t="str">
        <f>'G-2 Habitat groups'!AV30</f>
        <v>Grassland</v>
      </c>
      <c r="G74" s="727" t="e">
        <f>'G-2 Habitat groups'!$BE$30</f>
        <v>#REF!</v>
      </c>
      <c r="H74" s="882"/>
      <c r="I74" s="728"/>
      <c r="J74" s="710"/>
      <c r="K74" s="710"/>
      <c r="L74" s="710"/>
      <c r="M74" s="1"/>
      <c r="N74" s="1"/>
      <c r="O74" s="1"/>
      <c r="P74" s="1"/>
      <c r="Q74" s="710"/>
      <c r="R74" s="710"/>
      <c r="S74" s="710"/>
      <c r="T74" s="723"/>
      <c r="U74" s="723"/>
      <c r="V74" s="723"/>
      <c r="W74" s="723"/>
    </row>
    <row r="75" spans="1:23" hidden="1" x14ac:dyDescent="0.35">
      <c r="A75" s="1"/>
      <c r="B75" s="1"/>
      <c r="C75" s="710" t="s">
        <v>1552</v>
      </c>
      <c r="D75" s="710"/>
      <c r="E75" s="725" t="str">
        <f>'G-2 Habitat groups'!AU31</f>
        <v>Grassland - Floodplain wetland mosaic and CFGM</v>
      </c>
      <c r="F75" s="726" t="str">
        <f>'G-2 Habitat groups'!AV31</f>
        <v>Grassland</v>
      </c>
      <c r="G75" s="727" t="e">
        <f>'G-2 Habitat groups'!$BE$31</f>
        <v>#REF!</v>
      </c>
      <c r="H75" s="882"/>
      <c r="I75" s="728"/>
      <c r="J75" s="710"/>
      <c r="K75" s="710"/>
      <c r="L75" s="710"/>
      <c r="M75" s="1"/>
      <c r="N75" s="1"/>
      <c r="O75" s="1"/>
      <c r="P75" s="1"/>
      <c r="Q75" s="710"/>
      <c r="R75" s="710"/>
      <c r="S75" s="710"/>
      <c r="T75" s="723"/>
      <c r="U75" s="723"/>
      <c r="V75" s="723"/>
      <c r="W75" s="723"/>
    </row>
    <row r="76" spans="1:23" hidden="1" x14ac:dyDescent="0.35">
      <c r="A76" s="1"/>
      <c r="B76" s="1"/>
      <c r="C76" s="710" t="s">
        <v>680</v>
      </c>
      <c r="D76" s="710"/>
      <c r="E76" s="725" t="str">
        <f>'G-2 Habitat groups'!AU32</f>
        <v>Grassland - Lowland calcareous grassland</v>
      </c>
      <c r="F76" s="726" t="str">
        <f>'G-2 Habitat groups'!AV32</f>
        <v>Grassland</v>
      </c>
      <c r="G76" s="727" t="e">
        <f>'G-2 Habitat groups'!$BE$32</f>
        <v>#REF!</v>
      </c>
      <c r="H76" s="882"/>
      <c r="I76" s="728"/>
      <c r="J76" s="710"/>
      <c r="K76" s="710"/>
      <c r="L76" s="710"/>
      <c r="M76" s="1"/>
      <c r="N76" s="1"/>
      <c r="O76" s="1"/>
      <c r="P76" s="1"/>
      <c r="Q76" s="710"/>
      <c r="R76" s="710"/>
      <c r="S76" s="710"/>
      <c r="T76" s="723"/>
      <c r="U76" s="723"/>
      <c r="V76" s="723"/>
      <c r="W76" s="723"/>
    </row>
    <row r="77" spans="1:23" hidden="1" x14ac:dyDescent="0.35">
      <c r="A77" s="1"/>
      <c r="B77" s="1"/>
      <c r="C77" s="710" t="s">
        <v>680</v>
      </c>
      <c r="D77" s="710"/>
      <c r="E77" s="725" t="str">
        <f>'G-2 Habitat groups'!AU33</f>
        <v>Grassland - Tall herb communities (H6430)</v>
      </c>
      <c r="F77" s="726" t="str">
        <f>'G-2 Habitat groups'!AV33</f>
        <v>Grassland</v>
      </c>
      <c r="G77" s="727" t="e">
        <f>'G-2 Habitat groups'!$BE$33</f>
        <v>#REF!</v>
      </c>
      <c r="H77" s="882"/>
      <c r="I77" s="728"/>
      <c r="J77" s="710"/>
      <c r="K77" s="710"/>
      <c r="L77" s="710"/>
      <c r="M77" s="1"/>
      <c r="N77" s="1"/>
      <c r="O77" s="1"/>
      <c r="P77" s="1"/>
      <c r="Q77" s="710"/>
      <c r="R77" s="710"/>
      <c r="S77" s="710"/>
      <c r="T77" s="723"/>
      <c r="U77" s="723"/>
      <c r="V77" s="723"/>
      <c r="W77" s="723"/>
    </row>
    <row r="78" spans="1:23" hidden="1" x14ac:dyDescent="0.35">
      <c r="A78" s="1"/>
      <c r="B78" s="1"/>
      <c r="C78" s="710" t="s">
        <v>680</v>
      </c>
      <c r="D78" s="710"/>
      <c r="E78" s="725" t="str">
        <f>'G-2 Habitat groups'!AU34</f>
        <v>Grassland - Upland calcareous grassland</v>
      </c>
      <c r="F78" s="726" t="str">
        <f>'G-2 Habitat groups'!AV34</f>
        <v>Grassland</v>
      </c>
      <c r="G78" s="727" t="e">
        <f>'G-2 Habitat groups'!$BE$34</f>
        <v>#REF!</v>
      </c>
      <c r="H78" s="882"/>
      <c r="I78" s="728"/>
      <c r="J78" s="710"/>
      <c r="K78" s="710"/>
      <c r="L78" s="710"/>
      <c r="M78" s="1"/>
      <c r="N78" s="1"/>
      <c r="O78" s="1"/>
      <c r="P78" s="1"/>
      <c r="Q78" s="710"/>
      <c r="R78" s="710"/>
      <c r="S78" s="710"/>
      <c r="T78" s="723"/>
      <c r="U78" s="723"/>
      <c r="V78" s="723"/>
      <c r="W78" s="723"/>
    </row>
    <row r="79" spans="1:23" hidden="1" x14ac:dyDescent="0.35">
      <c r="A79" s="1"/>
      <c r="B79" s="1"/>
      <c r="C79" s="710" t="s">
        <v>680</v>
      </c>
      <c r="D79" s="710"/>
      <c r="E79" s="725" t="str">
        <f>'G-2 Habitat groups'!AU35</f>
        <v>Heathland and shrub - Lowland Heathland</v>
      </c>
      <c r="F79" s="726" t="str">
        <f>'G-2 Habitat groups'!AV35</f>
        <v>Heathland and shrub</v>
      </c>
      <c r="G79" s="727" t="e">
        <f>'G-2 Habitat groups'!$BE$35</f>
        <v>#REF!</v>
      </c>
      <c r="H79" s="882"/>
      <c r="I79" s="728"/>
      <c r="J79" s="710"/>
      <c r="K79" s="710"/>
      <c r="L79" s="710"/>
      <c r="M79" s="1"/>
      <c r="N79" s="1"/>
      <c r="O79" s="1"/>
      <c r="P79" s="1"/>
      <c r="Q79" s="710"/>
      <c r="R79" s="710"/>
      <c r="S79" s="710"/>
      <c r="T79" s="723"/>
      <c r="U79" s="723"/>
      <c r="V79" s="723"/>
      <c r="W79" s="723"/>
    </row>
    <row r="80" spans="1:23" hidden="1" x14ac:dyDescent="0.35">
      <c r="A80" s="1"/>
      <c r="B80" s="1"/>
      <c r="C80" s="710" t="s">
        <v>680</v>
      </c>
      <c r="D80" s="710"/>
      <c r="E80" s="725" t="str">
        <f>'G-2 Habitat groups'!AU36</f>
        <v>Heathland and shrub - Dunes with sea buckthorn (H2160)</v>
      </c>
      <c r="F80" s="726" t="str">
        <f>'G-2 Habitat groups'!AV36</f>
        <v>Heathland and shrub</v>
      </c>
      <c r="G80" s="727" t="e">
        <f>'G-2 Habitat groups'!$BE$36</f>
        <v>#REF!</v>
      </c>
      <c r="H80" s="882"/>
      <c r="I80" s="728"/>
      <c r="J80" s="710"/>
      <c r="K80" s="710"/>
      <c r="L80" s="710"/>
      <c r="M80" s="1"/>
      <c r="N80" s="1"/>
      <c r="O80" s="1"/>
      <c r="P80" s="1"/>
      <c r="Q80" s="710"/>
      <c r="R80" s="710"/>
      <c r="S80" s="710"/>
      <c r="T80" s="723"/>
      <c r="U80" s="723"/>
      <c r="V80" s="723"/>
      <c r="W80" s="723"/>
    </row>
    <row r="81" spans="1:23" hidden="1" x14ac:dyDescent="0.35">
      <c r="A81" s="1"/>
      <c r="B81" s="1"/>
      <c r="C81" s="710" t="s">
        <v>680</v>
      </c>
      <c r="D81" s="710"/>
      <c r="E81" s="725" t="str">
        <f>'G-2 Habitat groups'!AU37</f>
        <v>Heathland and shrub - Upland heathland</v>
      </c>
      <c r="F81" s="726" t="str">
        <f>'G-2 Habitat groups'!AV37</f>
        <v>Heathland and shrub</v>
      </c>
      <c r="G81" s="727" t="e">
        <f>'G-2 Habitat groups'!$BE$37</f>
        <v>#REF!</v>
      </c>
      <c r="H81" s="882"/>
      <c r="I81" s="728"/>
      <c r="J81" s="710"/>
      <c r="K81" s="710"/>
      <c r="L81" s="710"/>
      <c r="M81" s="1"/>
      <c r="N81" s="1"/>
      <c r="O81" s="1"/>
      <c r="P81" s="1"/>
      <c r="Q81" s="710"/>
      <c r="R81" s="710"/>
      <c r="S81" s="710"/>
      <c r="T81" s="723"/>
      <c r="U81" s="723"/>
      <c r="V81" s="723"/>
      <c r="W81" s="723"/>
    </row>
    <row r="82" spans="1:23" hidden="1" x14ac:dyDescent="0.35">
      <c r="A82" s="1"/>
      <c r="B82" s="1"/>
      <c r="C82" s="710" t="s">
        <v>1553</v>
      </c>
      <c r="D82" s="710"/>
      <c r="E82" s="725" t="str">
        <f>'G-2 Habitat groups'!AU39</f>
        <v>Lakes - High alkalinity lakes</v>
      </c>
      <c r="F82" s="726" t="str">
        <f>'G-2 Habitat groups'!AV39</f>
        <v>Lakes</v>
      </c>
      <c r="G82" s="727" t="e">
        <f>'G-2 Habitat groups'!$BE$39</f>
        <v>#REF!</v>
      </c>
      <c r="H82" s="882"/>
      <c r="I82" s="728"/>
      <c r="J82" s="710"/>
      <c r="K82" s="710"/>
      <c r="L82" s="710"/>
      <c r="M82" s="1"/>
      <c r="N82" s="1"/>
      <c r="O82" s="1"/>
      <c r="P82" s="1"/>
      <c r="Q82" s="710"/>
      <c r="R82" s="710"/>
      <c r="S82" s="710"/>
      <c r="T82" s="723"/>
      <c r="U82" s="723"/>
      <c r="V82" s="723"/>
      <c r="W82" s="723"/>
    </row>
    <row r="83" spans="1:23" hidden="1" x14ac:dyDescent="0.35">
      <c r="A83" s="1"/>
      <c r="B83" s="1"/>
      <c r="C83" s="710" t="s">
        <v>1553</v>
      </c>
      <c r="D83" s="710"/>
      <c r="E83" s="725" t="str">
        <f>'G-2 Habitat groups'!AU40</f>
        <v>Lakes - Low alkalinity lakes</v>
      </c>
      <c r="F83" s="726" t="str">
        <f>'G-2 Habitat groups'!AV40</f>
        <v>Lakes</v>
      </c>
      <c r="G83" s="727" t="e">
        <f>'G-2 Habitat groups'!$BE$40</f>
        <v>#REF!</v>
      </c>
      <c r="H83" s="882"/>
      <c r="I83" s="728"/>
      <c r="J83" s="1"/>
      <c r="K83" s="1"/>
      <c r="L83" s="1"/>
      <c r="M83" s="1"/>
      <c r="N83" s="1"/>
      <c r="O83" s="1"/>
      <c r="P83" s="1"/>
      <c r="Q83" s="1"/>
      <c r="R83" s="1"/>
      <c r="S83" s="1"/>
    </row>
    <row r="84" spans="1:23" hidden="1" x14ac:dyDescent="0.35">
      <c r="A84" s="1"/>
      <c r="B84" s="1"/>
      <c r="C84" s="710" t="s">
        <v>1553</v>
      </c>
      <c r="D84" s="710"/>
      <c r="E84" s="725" t="str">
        <f>'G-2 Habitat groups'!AU41</f>
        <v>Lakes - Marl lakes</v>
      </c>
      <c r="F84" s="726" t="str">
        <f>'G-2 Habitat groups'!AV41</f>
        <v>Lakes</v>
      </c>
      <c r="G84" s="727" t="e">
        <f>'G-2 Habitat groups'!$BE$41</f>
        <v>#REF!</v>
      </c>
      <c r="H84" s="882"/>
      <c r="I84" s="728"/>
      <c r="J84" s="1"/>
      <c r="K84" s="1"/>
      <c r="L84" s="1"/>
      <c r="M84" s="1"/>
      <c r="N84" s="1"/>
      <c r="O84" s="1"/>
      <c r="P84" s="1"/>
      <c r="Q84" s="1"/>
      <c r="R84" s="1"/>
      <c r="S84" s="1"/>
    </row>
    <row r="85" spans="1:23" hidden="1" x14ac:dyDescent="0.35">
      <c r="A85" s="1"/>
      <c r="B85" s="1"/>
      <c r="C85" s="710" t="s">
        <v>1553</v>
      </c>
      <c r="D85" s="710"/>
      <c r="E85" s="725" t="str">
        <f>'G-2 Habitat groups'!AU42</f>
        <v>Lakes - Moderate alkalinity lakes</v>
      </c>
      <c r="F85" s="726" t="str">
        <f>'G-2 Habitat groups'!AV42</f>
        <v>Lakes</v>
      </c>
      <c r="G85" s="727" t="e">
        <f>'G-2 Habitat groups'!$BE$42</f>
        <v>#REF!</v>
      </c>
      <c r="H85" s="882"/>
      <c r="I85" s="728"/>
      <c r="J85" s="1"/>
      <c r="K85" s="1"/>
      <c r="L85" s="1"/>
      <c r="M85" s="1"/>
      <c r="N85" s="1"/>
      <c r="O85" s="1"/>
      <c r="P85" s="1"/>
      <c r="Q85" s="1"/>
      <c r="R85" s="1"/>
      <c r="S85" s="1"/>
    </row>
    <row r="86" spans="1:23" hidden="1" x14ac:dyDescent="0.35">
      <c r="A86" s="1"/>
      <c r="B86" s="1"/>
      <c r="C86" s="710" t="s">
        <v>1553</v>
      </c>
      <c r="D86" s="710"/>
      <c r="E86" s="725" t="str">
        <f>'G-2 Habitat groups'!AU43</f>
        <v>Lakes - Peat lakes</v>
      </c>
      <c r="F86" s="726" t="str">
        <f>'G-2 Habitat groups'!AV43</f>
        <v>Lakes</v>
      </c>
      <c r="G86" s="727" t="e">
        <f>'G-2 Habitat groups'!$BE$43</f>
        <v>#REF!</v>
      </c>
      <c r="H86" s="882"/>
      <c r="I86" s="728"/>
      <c r="J86" s="1"/>
      <c r="K86" s="1"/>
      <c r="L86" s="1"/>
      <c r="M86" s="1"/>
      <c r="N86" s="1"/>
      <c r="O86" s="1"/>
      <c r="P86" s="1"/>
      <c r="Q86" s="1"/>
      <c r="R86" s="1"/>
      <c r="S86" s="1"/>
    </row>
    <row r="87" spans="1:23" hidden="1" x14ac:dyDescent="0.35">
      <c r="A87" s="1"/>
      <c r="B87" s="1"/>
      <c r="C87" s="710" t="s">
        <v>1552</v>
      </c>
      <c r="D87" s="710"/>
      <c r="E87" s="725" t="str">
        <f>'G-2 Habitat groups'!AU44</f>
        <v>Lakes - Ponds (priority habitat)</v>
      </c>
      <c r="F87" s="726" t="str">
        <f>'G-2 Habitat groups'!AV44</f>
        <v>Lakes</v>
      </c>
      <c r="G87" s="727" t="e">
        <f>'G-2 Habitat groups'!$BE$44</f>
        <v>#REF!</v>
      </c>
      <c r="H87" s="882"/>
      <c r="I87" s="728"/>
      <c r="J87" s="1"/>
      <c r="K87" s="1"/>
      <c r="L87" s="1"/>
      <c r="M87" s="1"/>
      <c r="N87" s="1"/>
      <c r="O87" s="1"/>
      <c r="P87" s="1"/>
      <c r="Q87" s="1"/>
      <c r="R87" s="1"/>
      <c r="S87" s="1"/>
    </row>
    <row r="88" spans="1:23" hidden="1" x14ac:dyDescent="0.35">
      <c r="A88" s="1"/>
      <c r="B88" s="1"/>
      <c r="C88" s="710" t="s">
        <v>1552</v>
      </c>
      <c r="D88" s="710"/>
      <c r="E88" s="725" t="str">
        <f>'G-2 Habitat groups'!AU45</f>
        <v>Lakes - Temporary lakes ponds and pools (H3170)</v>
      </c>
      <c r="F88" s="726" t="str">
        <f>'G-2 Habitat groups'!AV45</f>
        <v>Lakes</v>
      </c>
      <c r="G88" s="727" t="e">
        <f>'G-2 Habitat groups'!$BE$45</f>
        <v>#REF!</v>
      </c>
      <c r="H88" s="882"/>
      <c r="I88" s="728"/>
      <c r="J88" s="1"/>
      <c r="K88" s="1"/>
      <c r="L88" s="1"/>
      <c r="M88" s="1"/>
      <c r="N88" s="1"/>
      <c r="O88" s="1"/>
      <c r="P88" s="1"/>
      <c r="Q88" s="1"/>
      <c r="R88" s="1"/>
      <c r="S88" s="1"/>
    </row>
    <row r="89" spans="1:23" hidden="1" x14ac:dyDescent="0.35">
      <c r="A89" s="1"/>
      <c r="B89" s="1"/>
      <c r="C89" s="710" t="s">
        <v>1552</v>
      </c>
      <c r="D89" s="710"/>
      <c r="E89" s="725" t="str">
        <f>'G-2 Habitat groups'!AU46</f>
        <v>Sparsely vegetated land - Coastal sand dunes</v>
      </c>
      <c r="F89" s="726" t="str">
        <f>'G-2 Habitat groups'!AV46</f>
        <v>Sparsely vegetated land</v>
      </c>
      <c r="G89" s="727" t="e">
        <f>'G-2 Habitat groups'!$BE$46</f>
        <v>#REF!</v>
      </c>
      <c r="H89" s="882"/>
      <c r="I89" s="728"/>
      <c r="J89" s="1"/>
      <c r="K89" s="1"/>
      <c r="L89" s="1"/>
      <c r="M89" s="1"/>
      <c r="N89" s="1"/>
      <c r="O89" s="1"/>
      <c r="P89" s="1"/>
      <c r="Q89" s="1"/>
      <c r="R89" s="1"/>
      <c r="S89" s="1"/>
    </row>
    <row r="90" spans="1:23" hidden="1" x14ac:dyDescent="0.35">
      <c r="A90" s="1"/>
      <c r="B90" s="1"/>
      <c r="C90" s="710" t="s">
        <v>1552</v>
      </c>
      <c r="D90" s="710"/>
      <c r="E90" s="725" t="str">
        <f>'G-2 Habitat groups'!AU47</f>
        <v>Sparsely vegetated land - Coastal vegetated shingle</v>
      </c>
      <c r="F90" s="726" t="str">
        <f>'G-2 Habitat groups'!AV47</f>
        <v>Sparsely vegetated land</v>
      </c>
      <c r="G90" s="727" t="e">
        <f>'G-2 Habitat groups'!$BE$47</f>
        <v>#REF!</v>
      </c>
      <c r="H90" s="882"/>
      <c r="I90" s="728"/>
      <c r="J90" s="1"/>
      <c r="K90" s="1"/>
      <c r="L90" s="1"/>
      <c r="M90" s="1"/>
      <c r="N90" s="1"/>
      <c r="O90" s="1"/>
      <c r="P90" s="1"/>
      <c r="Q90" s="1"/>
      <c r="R90" s="1"/>
      <c r="S90" s="1"/>
    </row>
    <row r="91" spans="1:23" hidden="1" x14ac:dyDescent="0.35">
      <c r="A91" s="1"/>
      <c r="B91" s="1"/>
      <c r="C91" s="710" t="s">
        <v>1552</v>
      </c>
      <c r="D91" s="710"/>
      <c r="E91" s="725" t="str">
        <f>'G-2 Habitat groups'!AU48</f>
        <v>Sparsely vegetated land - Inland rock outcrop and scree habitats</v>
      </c>
      <c r="F91" s="726" t="str">
        <f>'G-2 Habitat groups'!AV48</f>
        <v>Sparsely vegetated land</v>
      </c>
      <c r="G91" s="727" t="e">
        <f>'G-2 Habitat groups'!$BE$48</f>
        <v>#REF!</v>
      </c>
      <c r="H91" s="882"/>
      <c r="I91" s="728"/>
      <c r="J91" s="1"/>
      <c r="K91" s="1"/>
      <c r="L91" s="1"/>
      <c r="M91" s="1"/>
      <c r="N91" s="1"/>
      <c r="O91" s="1"/>
      <c r="P91" s="1"/>
      <c r="Q91" s="1"/>
      <c r="R91" s="1"/>
      <c r="S91" s="1"/>
    </row>
    <row r="92" spans="1:23" hidden="1" x14ac:dyDescent="0.35">
      <c r="A92" s="1"/>
      <c r="B92" s="1"/>
      <c r="C92" s="710" t="s">
        <v>1552</v>
      </c>
      <c r="D92" s="710"/>
      <c r="E92" s="725" t="str">
        <f>'G-2 Habitat groups'!AU49</f>
        <v>Sparsely vegetated land - Maritime cliff and slopes</v>
      </c>
      <c r="F92" s="726" t="str">
        <f>'G-2 Habitat groups'!AV49</f>
        <v>Sparsely vegetated land</v>
      </c>
      <c r="G92" s="727" t="e">
        <f>'G-2 Habitat groups'!$BE$49</f>
        <v>#REF!</v>
      </c>
      <c r="H92" s="882"/>
      <c r="I92" s="728"/>
      <c r="J92" s="1"/>
      <c r="K92" s="1"/>
      <c r="L92" s="1"/>
      <c r="M92" s="1"/>
      <c r="N92" s="1"/>
      <c r="O92" s="1"/>
      <c r="P92" s="1"/>
      <c r="Q92" s="1"/>
      <c r="R92" s="1"/>
      <c r="S92" s="1"/>
    </row>
    <row r="93" spans="1:23" hidden="1" x14ac:dyDescent="0.35">
      <c r="A93" s="1"/>
      <c r="B93" s="1"/>
      <c r="C93" s="710" t="s">
        <v>680</v>
      </c>
      <c r="D93" s="710"/>
      <c r="E93" s="725" t="str">
        <f>'G-2 Habitat groups'!AU50</f>
        <v>Urban - Open mosaic habitats on previously developed land</v>
      </c>
      <c r="F93" s="726" t="str">
        <f>'G-2 Habitat groups'!AV50</f>
        <v>Urban</v>
      </c>
      <c r="G93" s="727" t="e">
        <f>'G-2 Habitat groups'!$BE$50</f>
        <v>#REF!</v>
      </c>
      <c r="H93" s="728"/>
      <c r="I93" s="728"/>
      <c r="J93" s="1"/>
      <c r="K93" s="1"/>
      <c r="L93" s="1"/>
      <c r="M93" s="1"/>
      <c r="N93" s="1"/>
      <c r="O93" s="1"/>
      <c r="P93" s="1"/>
      <c r="Q93" s="1"/>
      <c r="R93" s="1"/>
      <c r="S93" s="1"/>
    </row>
    <row r="94" spans="1:23" hidden="1" x14ac:dyDescent="0.35">
      <c r="A94" s="1"/>
      <c r="B94" s="1"/>
      <c r="C94" s="710" t="s">
        <v>651</v>
      </c>
      <c r="D94" s="710"/>
      <c r="E94" s="725" t="str">
        <f>'G-2 Habitat groups'!AU51</f>
        <v>Wetland - Reedbeds</v>
      </c>
      <c r="F94" s="726" t="str">
        <f>'G-2 Habitat groups'!AV51</f>
        <v>Wetland</v>
      </c>
      <c r="G94" s="727" t="e">
        <f>'G-2 Habitat groups'!$BE$51</f>
        <v>#REF!</v>
      </c>
      <c r="H94" s="728"/>
      <c r="I94" s="728"/>
      <c r="J94" s="1"/>
      <c r="K94" s="1"/>
      <c r="L94" s="1"/>
      <c r="M94" s="1"/>
      <c r="N94" s="1"/>
      <c r="O94" s="1"/>
      <c r="P94" s="1"/>
      <c r="Q94" s="1"/>
      <c r="R94" s="1"/>
      <c r="S94" s="1"/>
    </row>
    <row r="95" spans="1:23" hidden="1" x14ac:dyDescent="0.35">
      <c r="A95" s="1"/>
      <c r="B95" s="1"/>
      <c r="C95" s="710" t="s">
        <v>1551</v>
      </c>
      <c r="D95" s="710"/>
      <c r="E95" s="725" t="s">
        <v>1520</v>
      </c>
      <c r="F95" s="726" t="str">
        <f>'G-2 Habitat groups'!AV52</f>
        <v>Woodland and forest</v>
      </c>
      <c r="G95" s="727" t="e">
        <f>'G-2 Habitat groups'!$BE$52</f>
        <v>#REF!</v>
      </c>
      <c r="H95" s="882"/>
      <c r="I95" s="728"/>
      <c r="J95" s="1"/>
      <c r="K95" s="1"/>
      <c r="L95" s="1"/>
      <c r="M95" s="1"/>
      <c r="N95" s="1"/>
      <c r="O95" s="1"/>
      <c r="P95" s="1"/>
      <c r="Q95" s="1"/>
      <c r="R95" s="1"/>
      <c r="S95" s="1"/>
    </row>
    <row r="96" spans="1:23" hidden="1" x14ac:dyDescent="0.35">
      <c r="A96" s="1"/>
      <c r="B96" s="1"/>
      <c r="C96" s="710" t="s">
        <v>1551</v>
      </c>
      <c r="D96" s="710"/>
      <c r="E96" s="725" t="str">
        <f>'G-2 Habitat groups'!AU53</f>
        <v>Woodland and forest - Lowland beech and yew woodland</v>
      </c>
      <c r="F96" s="726" t="str">
        <f>'G-2 Habitat groups'!AV53</f>
        <v>Woodland and forest</v>
      </c>
      <c r="G96" s="727" t="e">
        <f>'G-2 Habitat groups'!$BE$53</f>
        <v>#REF!</v>
      </c>
      <c r="H96" s="882"/>
      <c r="I96" s="728"/>
      <c r="J96" s="1"/>
      <c r="K96" s="1"/>
      <c r="L96" s="1"/>
      <c r="M96" s="1"/>
      <c r="N96" s="1"/>
      <c r="O96" s="1"/>
      <c r="P96" s="1"/>
      <c r="Q96" s="1"/>
      <c r="R96" s="1"/>
      <c r="S96" s="1"/>
    </row>
    <row r="97" spans="1:19" hidden="1" x14ac:dyDescent="0.35">
      <c r="A97" s="1"/>
      <c r="B97" s="1"/>
      <c r="C97" s="710" t="s">
        <v>1552</v>
      </c>
      <c r="D97" s="710"/>
      <c r="E97" s="725" t="str">
        <f>'G-2 Habitat groups'!AU54</f>
        <v>Woodland and forest - Lowland mixed deciduous woodland</v>
      </c>
      <c r="F97" s="726" t="str">
        <f>'G-2 Habitat groups'!AV54</f>
        <v>Woodland and forest</v>
      </c>
      <c r="G97" s="727" t="e">
        <f>'G-2 Habitat groups'!$BE$54</f>
        <v>#REF!</v>
      </c>
      <c r="H97" s="882"/>
      <c r="I97" s="728"/>
      <c r="J97" s="1"/>
      <c r="K97" s="1"/>
      <c r="L97" s="1"/>
      <c r="M97" s="1"/>
      <c r="N97" s="1"/>
      <c r="O97" s="1"/>
      <c r="P97" s="1"/>
      <c r="Q97" s="1"/>
      <c r="R97" s="1"/>
      <c r="S97" s="1"/>
    </row>
    <row r="98" spans="1:19" hidden="1" x14ac:dyDescent="0.35">
      <c r="A98" s="1"/>
      <c r="B98" s="1"/>
      <c r="C98" s="710" t="s">
        <v>1552</v>
      </c>
      <c r="D98" s="710"/>
      <c r="E98" s="725" t="str">
        <f>'G-2 Habitat groups'!AU56</f>
        <v>Woodland and forest - Native pine woodlands</v>
      </c>
      <c r="F98" s="726" t="str">
        <f>'G-2 Habitat groups'!AV56</f>
        <v>Woodland and forest</v>
      </c>
      <c r="G98" s="727" t="e">
        <f>'G-2 Habitat groups'!$BE$56</f>
        <v>#REF!</v>
      </c>
      <c r="H98" s="882"/>
      <c r="I98" s="728"/>
      <c r="J98" s="1"/>
      <c r="K98" s="1"/>
      <c r="L98" s="1"/>
      <c r="M98" s="1"/>
      <c r="N98" s="1"/>
      <c r="O98" s="1"/>
      <c r="P98" s="1"/>
      <c r="Q98" s="1"/>
      <c r="R98" s="1"/>
      <c r="S98" s="1"/>
    </row>
    <row r="99" spans="1:19" hidden="1" x14ac:dyDescent="0.35">
      <c r="A99" s="1"/>
      <c r="B99" s="1"/>
      <c r="C99" s="710" t="s">
        <v>1551</v>
      </c>
      <c r="D99" s="710"/>
      <c r="E99" s="725" t="str">
        <f>'G-2 Habitat groups'!AU57</f>
        <v>Woodland and forest - Upland birchwoods</v>
      </c>
      <c r="F99" s="726" t="str">
        <f>'G-2 Habitat groups'!AV57</f>
        <v>Woodland and forest</v>
      </c>
      <c r="G99" s="727" t="e">
        <f>'G-2 Habitat groups'!$BE$57</f>
        <v>#REF!</v>
      </c>
      <c r="H99" s="882"/>
      <c r="I99" s="728"/>
      <c r="J99" s="1"/>
      <c r="K99" s="1"/>
      <c r="L99" s="1"/>
      <c r="M99" s="1"/>
      <c r="N99" s="1"/>
      <c r="O99" s="1"/>
      <c r="P99" s="1"/>
      <c r="Q99" s="1"/>
      <c r="R99" s="1"/>
      <c r="S99" s="1"/>
    </row>
    <row r="100" spans="1:19" hidden="1" x14ac:dyDescent="0.35">
      <c r="A100" s="1"/>
      <c r="B100" s="1"/>
      <c r="C100" s="710" t="s">
        <v>1552</v>
      </c>
      <c r="D100" s="710"/>
      <c r="E100" s="725" t="str">
        <f>'G-2 Habitat groups'!AU58</f>
        <v>Woodland and forest - Upland mixed ashwoods</v>
      </c>
      <c r="F100" s="726" t="str">
        <f>'G-2 Habitat groups'!AV58</f>
        <v>Woodland and forest</v>
      </c>
      <c r="G100" s="727" t="e">
        <f>'G-2 Habitat groups'!$BE$58</f>
        <v>#REF!</v>
      </c>
      <c r="H100" s="882"/>
      <c r="I100" s="728"/>
      <c r="J100" s="1"/>
      <c r="K100" s="1"/>
      <c r="L100" s="1"/>
      <c r="M100" s="1"/>
      <c r="N100" s="1"/>
      <c r="O100" s="1"/>
      <c r="P100" s="1"/>
      <c r="Q100" s="1"/>
      <c r="R100" s="1"/>
      <c r="S100" s="1"/>
    </row>
    <row r="101" spans="1:19" hidden="1" x14ac:dyDescent="0.35">
      <c r="A101" s="1"/>
      <c r="B101" s="1"/>
      <c r="C101" s="710" t="s">
        <v>1552</v>
      </c>
      <c r="D101" s="710"/>
      <c r="E101" s="725" t="str">
        <f>'G-2 Habitat groups'!AU59</f>
        <v>Woodland and forest - Upland oakwood</v>
      </c>
      <c r="F101" s="726" t="str">
        <f>'G-2 Habitat groups'!AV59</f>
        <v>Woodland and forest</v>
      </c>
      <c r="G101" s="727" t="e">
        <f>'G-2 Habitat groups'!$BE$59</f>
        <v>#REF!</v>
      </c>
      <c r="H101" s="882"/>
      <c r="I101" s="728"/>
      <c r="J101" s="1"/>
      <c r="K101" s="1"/>
      <c r="L101" s="1"/>
      <c r="M101" s="1"/>
      <c r="N101" s="1"/>
      <c r="O101" s="1"/>
      <c r="P101" s="1"/>
      <c r="Q101" s="1"/>
      <c r="R101" s="1"/>
      <c r="S101" s="1"/>
    </row>
    <row r="102" spans="1:19" hidden="1" x14ac:dyDescent="0.35">
      <c r="A102" s="1"/>
      <c r="B102" s="1"/>
      <c r="C102" s="710" t="s">
        <v>1551</v>
      </c>
      <c r="D102" s="710"/>
      <c r="E102" s="725" t="str">
        <f>'G-2 Habitat groups'!AU60</f>
        <v>Woodland and forest - Wet woodland</v>
      </c>
      <c r="F102" s="726" t="str">
        <f>'G-2 Habitat groups'!AV60</f>
        <v>Woodland and forest</v>
      </c>
      <c r="G102" s="727" t="e">
        <f>'G-2 Habitat groups'!$BE$60</f>
        <v>#REF!</v>
      </c>
      <c r="H102" s="882"/>
      <c r="I102" s="728"/>
      <c r="J102" s="1"/>
      <c r="K102" s="1"/>
      <c r="L102" s="1"/>
      <c r="M102" s="1"/>
      <c r="N102" s="1"/>
      <c r="O102" s="1"/>
      <c r="P102" s="1"/>
      <c r="Q102" s="1"/>
      <c r="R102" s="1"/>
      <c r="S102" s="1"/>
    </row>
    <row r="103" spans="1:19" hidden="1" x14ac:dyDescent="0.35">
      <c r="A103" s="1"/>
      <c r="B103" s="1"/>
      <c r="C103" s="710" t="s">
        <v>1552</v>
      </c>
      <c r="D103" s="710"/>
      <c r="E103" s="725" t="str">
        <f>'G-2 Habitat groups'!AU61</f>
        <v>Coastal lagoons - Coastal lagoons</v>
      </c>
      <c r="F103" s="726" t="str">
        <f>'G-2 Habitat groups'!AV61</f>
        <v>Coastal lagoons</v>
      </c>
      <c r="G103" s="727" t="e">
        <f>'G-2 Habitat groups'!$BE$61</f>
        <v>#REF!</v>
      </c>
      <c r="H103" s="882"/>
      <c r="I103" s="728"/>
      <c r="J103" s="1"/>
      <c r="K103" s="1"/>
      <c r="L103" s="1"/>
      <c r="M103" s="1"/>
      <c r="N103" s="1"/>
      <c r="O103" s="1"/>
      <c r="P103" s="1"/>
      <c r="Q103" s="1"/>
      <c r="R103" s="1"/>
      <c r="S103" s="1"/>
    </row>
    <row r="104" spans="1:19" hidden="1" x14ac:dyDescent="0.35">
      <c r="A104" s="1"/>
      <c r="B104" s="1"/>
      <c r="C104" s="710" t="s">
        <v>1552</v>
      </c>
      <c r="D104" s="710"/>
      <c r="E104" s="725" t="str">
        <f>'G-2 Habitat groups'!AU62</f>
        <v>Rocky shore - High energy littoral rock</v>
      </c>
      <c r="F104" s="726" t="str">
        <f>'G-2 Habitat groups'!AV62</f>
        <v>Rocky shore</v>
      </c>
      <c r="G104" s="727" t="e">
        <f>'G-2 Habitat groups'!$BE$62</f>
        <v>#REF!</v>
      </c>
      <c r="H104" s="882"/>
      <c r="I104" s="728"/>
      <c r="J104" s="1"/>
      <c r="K104" s="1"/>
      <c r="L104" s="1"/>
      <c r="M104" s="1"/>
      <c r="N104" s="1"/>
      <c r="O104" s="1"/>
      <c r="P104" s="1"/>
      <c r="Q104" s="1"/>
      <c r="R104" s="1"/>
      <c r="S104" s="1"/>
    </row>
    <row r="105" spans="1:19" hidden="1" x14ac:dyDescent="0.35">
      <c r="A105" s="1"/>
      <c r="B105" s="1"/>
      <c r="C105" s="710" t="s">
        <v>1552</v>
      </c>
      <c r="D105" s="710"/>
      <c r="E105" s="725" t="str">
        <f>'G-2 Habitat groups'!AU63</f>
        <v>Rocky shore - Moderate energy littoral rock</v>
      </c>
      <c r="F105" s="726" t="str">
        <f>'G-2 Habitat groups'!AV63</f>
        <v>Rocky shore</v>
      </c>
      <c r="G105" s="727" t="e">
        <f>'G-2 Habitat groups'!$BE$63</f>
        <v>#REF!</v>
      </c>
      <c r="H105" s="882"/>
      <c r="I105" s="728"/>
      <c r="J105" s="1"/>
      <c r="K105" s="1"/>
      <c r="L105" s="1"/>
      <c r="M105" s="1"/>
      <c r="N105" s="1"/>
      <c r="O105" s="1"/>
      <c r="P105" s="1"/>
      <c r="Q105" s="1"/>
      <c r="R105" s="1"/>
      <c r="S105" s="1"/>
    </row>
    <row r="106" spans="1:19" hidden="1" x14ac:dyDescent="0.35">
      <c r="A106" s="1"/>
      <c r="B106" s="1"/>
      <c r="C106" s="710" t="s">
        <v>1552</v>
      </c>
      <c r="D106" s="710"/>
      <c r="E106" s="725" t="str">
        <f>'G-2 Habitat groups'!AU64</f>
        <v>Rocky shore - Low energy littoral rock</v>
      </c>
      <c r="F106" s="726" t="str">
        <f>'G-2 Habitat groups'!AV64</f>
        <v>Rocky shore</v>
      </c>
      <c r="G106" s="727" t="e">
        <f>'G-2 Habitat groups'!$BE$64</f>
        <v>#REF!</v>
      </c>
      <c r="H106" s="882"/>
      <c r="I106" s="728"/>
      <c r="J106" s="1"/>
      <c r="K106" s="1"/>
      <c r="L106" s="1"/>
      <c r="M106" s="1"/>
      <c r="N106" s="1"/>
      <c r="O106" s="1"/>
      <c r="P106" s="1"/>
      <c r="Q106" s="1"/>
      <c r="R106" s="1"/>
      <c r="S106" s="1"/>
    </row>
    <row r="107" spans="1:19" hidden="1" x14ac:dyDescent="0.35">
      <c r="A107" s="1"/>
      <c r="B107" s="1"/>
      <c r="C107" s="710" t="s">
        <v>1552</v>
      </c>
      <c r="D107" s="710"/>
      <c r="E107" s="725" t="str">
        <f>'G-2 Habitat groups'!AU65</f>
        <v>Rocky shore - Features of littoral rock</v>
      </c>
      <c r="F107" s="726" t="str">
        <f>'G-2 Habitat groups'!AV65</f>
        <v>Rocky shore</v>
      </c>
      <c r="G107" s="727" t="e">
        <f>'G-2 Habitat groups'!$BE$65</f>
        <v>#REF!</v>
      </c>
      <c r="H107" s="882"/>
      <c r="I107" s="728"/>
      <c r="J107" s="1"/>
      <c r="K107" s="1"/>
      <c r="L107" s="1"/>
      <c r="M107" s="1"/>
      <c r="N107" s="1"/>
      <c r="O107" s="1"/>
      <c r="P107" s="1"/>
      <c r="Q107" s="1"/>
      <c r="R107" s="1"/>
      <c r="S107" s="1"/>
    </row>
    <row r="108" spans="1:19" hidden="1" x14ac:dyDescent="0.35">
      <c r="A108" s="1"/>
      <c r="B108" s="1"/>
      <c r="C108" s="710" t="s">
        <v>1551</v>
      </c>
      <c r="D108" s="710"/>
      <c r="E108" s="725" t="str">
        <f>'G-2 Habitat groups'!AU66</f>
        <v>Intertidal sediment - Littoral mud</v>
      </c>
      <c r="F108" s="726" t="str">
        <f>'G-2 Habitat groups'!AV66</f>
        <v>Intertidal sediment</v>
      </c>
      <c r="G108" s="727" t="e">
        <f>'G-2 Habitat groups'!$BE$66</f>
        <v>#REF!</v>
      </c>
      <c r="H108" s="882"/>
      <c r="I108" s="728"/>
      <c r="J108" s="1"/>
      <c r="K108" s="1"/>
      <c r="L108" s="1"/>
      <c r="M108" s="1"/>
      <c r="N108" s="1"/>
      <c r="O108" s="1"/>
      <c r="P108" s="1"/>
      <c r="Q108" s="1"/>
      <c r="R108" s="1"/>
      <c r="S108" s="1"/>
    </row>
    <row r="109" spans="1:19" hidden="1" x14ac:dyDescent="0.35">
      <c r="A109" s="1"/>
      <c r="B109" s="1"/>
      <c r="C109" s="710" t="s">
        <v>1551</v>
      </c>
      <c r="D109" s="710"/>
      <c r="E109" s="725" t="str">
        <f>'G-2 Habitat groups'!AU67</f>
        <v>Intertidal sediment - Littoral mixed sediments</v>
      </c>
      <c r="F109" s="726" t="str">
        <f>'G-2 Habitat groups'!AV67</f>
        <v>Intertidal sediment</v>
      </c>
      <c r="G109" s="727" t="e">
        <f>'G-2 Habitat groups'!$BE$67</f>
        <v>#REF!</v>
      </c>
      <c r="H109" s="882"/>
      <c r="I109" s="728"/>
      <c r="J109" s="1"/>
      <c r="K109" s="1"/>
      <c r="L109" s="1"/>
      <c r="M109" s="1"/>
      <c r="N109" s="1"/>
      <c r="O109" s="1"/>
      <c r="P109" s="1"/>
      <c r="Q109" s="1"/>
      <c r="R109" s="1"/>
      <c r="S109" s="1"/>
    </row>
    <row r="110" spans="1:19" hidden="1" x14ac:dyDescent="0.35">
      <c r="A110" s="1"/>
      <c r="B110" s="1"/>
      <c r="C110" s="710" t="s">
        <v>1552</v>
      </c>
      <c r="D110" s="710"/>
      <c r="E110" s="725" t="str">
        <f>'G-2 Habitat groups'!AU68</f>
        <v>Coastal saltmarsh - Saltmarshes and saline reedbeds</v>
      </c>
      <c r="F110" s="726" t="str">
        <f>'G-2 Habitat groups'!AV68</f>
        <v>Coastal saltmarsh</v>
      </c>
      <c r="G110" s="727" t="e">
        <f>'G-2 Habitat groups'!$BE$68</f>
        <v>#REF!</v>
      </c>
      <c r="H110" s="882"/>
      <c r="I110" s="728"/>
      <c r="J110" s="1"/>
      <c r="K110" s="1"/>
      <c r="L110" s="1"/>
      <c r="M110" s="1"/>
      <c r="N110" s="1"/>
      <c r="O110" s="1"/>
      <c r="P110" s="1"/>
      <c r="Q110" s="1"/>
      <c r="R110" s="1"/>
      <c r="S110" s="1"/>
    </row>
    <row r="111" spans="1:19" hidden="1" x14ac:dyDescent="0.35">
      <c r="A111" s="1"/>
      <c r="B111" s="1"/>
      <c r="C111" s="710" t="s">
        <v>1551</v>
      </c>
      <c r="D111" s="710"/>
      <c r="E111" s="725" t="str">
        <f>'G-2 Habitat groups'!AU69</f>
        <v>Intertidal sediment - Littoral biogenic reefs - Mussels</v>
      </c>
      <c r="F111" s="726" t="str">
        <f>'G-2 Habitat groups'!AV69</f>
        <v>Intertidal sediment</v>
      </c>
      <c r="G111" s="727" t="e">
        <f>'G-2 Habitat groups'!$BE$69</f>
        <v>#REF!</v>
      </c>
      <c r="H111" s="882"/>
      <c r="I111" s="728"/>
      <c r="J111" s="1"/>
      <c r="K111" s="1"/>
      <c r="L111" s="1"/>
      <c r="M111" s="1"/>
      <c r="N111" s="1"/>
      <c r="O111" s="1"/>
      <c r="P111" s="1"/>
      <c r="Q111" s="1"/>
      <c r="R111" s="1"/>
      <c r="S111" s="1"/>
    </row>
    <row r="112" spans="1:19" hidden="1" x14ac:dyDescent="0.35">
      <c r="A112" s="1"/>
      <c r="B112" s="1"/>
      <c r="C112" s="710" t="s">
        <v>1551</v>
      </c>
      <c r="D112" s="710"/>
      <c r="E112" s="725" t="str">
        <f>'G-2 Habitat groups'!AU70</f>
        <v>Intertidal sediment - Littoral biogenic reefs - Sabellaria</v>
      </c>
      <c r="F112" s="726" t="str">
        <f>'G-2 Habitat groups'!AV70</f>
        <v>Intertidal sediment</v>
      </c>
      <c r="G112" s="727" t="e">
        <f>'G-2 Habitat groups'!$BE$70</f>
        <v>#REF!</v>
      </c>
      <c r="H112" s="882"/>
      <c r="I112" s="728"/>
      <c r="J112" s="1"/>
      <c r="K112" s="1"/>
      <c r="L112" s="1"/>
      <c r="M112" s="1"/>
      <c r="N112" s="1"/>
      <c r="O112" s="1"/>
      <c r="P112" s="1"/>
      <c r="Q112" s="1"/>
      <c r="R112" s="1"/>
      <c r="S112" s="1"/>
    </row>
    <row r="113" spans="1:19" hidden="1" x14ac:dyDescent="0.35">
      <c r="A113" s="1"/>
      <c r="B113" s="1"/>
      <c r="C113" s="710" t="s">
        <v>1551</v>
      </c>
      <c r="D113" s="710"/>
      <c r="E113" s="725" t="str">
        <f>'G-2 Habitat groups'!AU71</f>
        <v>Intertidal sediment - Features of littoral sediment</v>
      </c>
      <c r="F113" s="726" t="str">
        <f>'G-2 Habitat groups'!AV71</f>
        <v>Intertidal sediment</v>
      </c>
      <c r="G113" s="727" t="e">
        <f>'G-2 Habitat groups'!$BE$71</f>
        <v>#REF!</v>
      </c>
      <c r="H113" s="882"/>
      <c r="I113" s="728"/>
      <c r="J113" s="1"/>
      <c r="K113" s="1"/>
      <c r="L113" s="1"/>
      <c r="M113" s="1"/>
      <c r="N113" s="1"/>
      <c r="O113" s="1"/>
      <c r="P113" s="1"/>
      <c r="Q113" s="1"/>
      <c r="R113" s="1"/>
      <c r="S113" s="1"/>
    </row>
    <row r="114" spans="1:19" hidden="1" x14ac:dyDescent="0.35">
      <c r="A114" s="1"/>
      <c r="B114" s="1"/>
      <c r="C114" s="710" t="s">
        <v>1551</v>
      </c>
      <c r="D114" s="710"/>
      <c r="E114" s="725" t="str">
        <f>'G-2 Habitat groups'!AU72</f>
        <v>Intertidal sediment - Littoral muddy sand</v>
      </c>
      <c r="F114" s="726" t="str">
        <f>'G-2 Habitat groups'!AV72</f>
        <v>Intertidal sediment</v>
      </c>
      <c r="G114" s="727" t="e">
        <f>'G-2 Habitat groups'!$BE$72</f>
        <v>#REF!</v>
      </c>
      <c r="H114" s="882"/>
      <c r="I114" s="728"/>
      <c r="J114" s="1"/>
      <c r="K114" s="1"/>
      <c r="L114" s="1"/>
      <c r="M114" s="1"/>
      <c r="N114" s="1"/>
      <c r="O114" s="1"/>
      <c r="P114" s="1"/>
      <c r="Q114" s="1"/>
      <c r="R114" s="1"/>
      <c r="S114" s="1"/>
    </row>
    <row r="115" spans="1:19" ht="15" hidden="1" thickBot="1" x14ac:dyDescent="0.4">
      <c r="A115" s="1"/>
      <c r="B115" s="1"/>
      <c r="C115" s="710" t="s">
        <v>1551</v>
      </c>
      <c r="D115" s="710"/>
      <c r="E115" s="729" t="s">
        <v>103</v>
      </c>
      <c r="F115" s="726" t="str">
        <f>'G-2 Habitat groups'!AV73</f>
        <v>Intertidal sediment</v>
      </c>
      <c r="G115" s="730" t="e">
        <f>'G-2 Habitat groups'!$BE$73</f>
        <v>#REF!</v>
      </c>
      <c r="H115" s="882"/>
      <c r="I115" s="728"/>
      <c r="J115" s="1"/>
      <c r="K115" s="1"/>
      <c r="L115" s="1"/>
      <c r="M115" s="1"/>
      <c r="N115" s="1"/>
      <c r="O115" s="1"/>
      <c r="P115" s="1"/>
      <c r="Q115" s="1"/>
      <c r="R115" s="1"/>
      <c r="S115" s="1"/>
    </row>
    <row r="116" spans="1:19" x14ac:dyDescent="0.35">
      <c r="A116" s="1"/>
      <c r="B116" s="1"/>
      <c r="C116" s="1"/>
      <c r="D116" s="1"/>
      <c r="E116" s="1"/>
      <c r="F116" s="1"/>
      <c r="G116" s="1"/>
      <c r="H116" s="1"/>
      <c r="I116" s="1"/>
      <c r="J116" s="1"/>
      <c r="K116" s="1"/>
      <c r="L116" s="1"/>
      <c r="M116" s="1"/>
      <c r="N116" s="1"/>
      <c r="O116" s="1"/>
      <c r="P116" s="1"/>
      <c r="Q116" s="1"/>
      <c r="R116" s="1"/>
      <c r="S116" s="1"/>
    </row>
    <row r="117" spans="1:19" ht="15" thickBot="1" x14ac:dyDescent="0.4">
      <c r="A117" s="1"/>
      <c r="B117" s="1"/>
      <c r="C117" s="1"/>
      <c r="D117" s="1"/>
      <c r="E117" s="1"/>
      <c r="F117" s="1"/>
      <c r="G117" s="1"/>
      <c r="H117" s="1"/>
      <c r="I117" s="1"/>
      <c r="J117" s="1"/>
      <c r="K117" s="1"/>
      <c r="L117" s="1"/>
      <c r="M117" s="1"/>
      <c r="N117" s="1"/>
      <c r="O117" s="1"/>
      <c r="P117" s="1"/>
      <c r="Q117" s="1"/>
      <c r="R117" s="1"/>
      <c r="S117" s="1"/>
    </row>
    <row r="118" spans="1:19" ht="15" customHeight="1" thickBot="1" x14ac:dyDescent="0.4">
      <c r="A118" s="1"/>
      <c r="B118" s="1"/>
      <c r="C118" s="1"/>
      <c r="D118" s="896" t="s">
        <v>1571</v>
      </c>
      <c r="E118" s="897"/>
      <c r="F118" s="898" t="s">
        <v>1572</v>
      </c>
      <c r="G118" s="899"/>
      <c r="H118" s="706" t="s">
        <v>1560</v>
      </c>
      <c r="I118" s="731" t="s">
        <v>1562</v>
      </c>
      <c r="J118" s="731" t="s">
        <v>1564</v>
      </c>
      <c r="K118" s="731" t="s">
        <v>1566</v>
      </c>
      <c r="L118" s="731"/>
      <c r="M118" s="732" t="s">
        <v>1573</v>
      </c>
      <c r="N118" s="1"/>
      <c r="O118" s="1"/>
      <c r="P118" s="1"/>
      <c r="Q118" s="1"/>
      <c r="R118" s="1"/>
      <c r="S118" s="1"/>
    </row>
    <row r="119" spans="1:19" ht="15" thickBot="1" x14ac:dyDescent="0.4">
      <c r="A119" s="1"/>
      <c r="B119" s="733"/>
      <c r="C119" s="1"/>
      <c r="D119" s="722" t="s">
        <v>789</v>
      </c>
      <c r="E119" s="731" t="s">
        <v>1574</v>
      </c>
      <c r="F119" s="731" t="s">
        <v>789</v>
      </c>
      <c r="G119" s="734" t="s">
        <v>1575</v>
      </c>
      <c r="H119" s="712" t="s">
        <v>1576</v>
      </c>
      <c r="I119" s="735" t="s">
        <v>1577</v>
      </c>
      <c r="J119" s="735" t="s">
        <v>1578</v>
      </c>
      <c r="K119" s="735" t="s">
        <v>1579</v>
      </c>
      <c r="L119" s="735"/>
      <c r="M119" s="736"/>
      <c r="N119" s="1"/>
      <c r="O119" s="1"/>
      <c r="P119" s="1"/>
      <c r="Q119" s="1"/>
      <c r="R119" s="1"/>
      <c r="S119" s="1"/>
    </row>
    <row r="120" spans="1:19" ht="23.15" customHeight="1" thickBot="1" x14ac:dyDescent="0.4">
      <c r="A120" s="1"/>
      <c r="B120" s="873" t="s">
        <v>1580</v>
      </c>
      <c r="C120" s="900" t="s">
        <v>651</v>
      </c>
      <c r="D120" s="737" t="s">
        <v>46</v>
      </c>
      <c r="E120" s="738">
        <v>0</v>
      </c>
      <c r="F120" s="739" t="s">
        <v>46</v>
      </c>
      <c r="G120" s="740" t="e">
        <f>IF(#REF!&lt;0,#REF!, 0)</f>
        <v>#REF!</v>
      </c>
      <c r="H120" s="741" t="e">
        <f>E120+G120</f>
        <v>#REF!</v>
      </c>
      <c r="I120" s="915">
        <f>SUMIF(H120:H124, "&lt;0")</f>
        <v>0</v>
      </c>
      <c r="J120" s="906">
        <f>SUMIF(I120, "&lt;0")</f>
        <v>0</v>
      </c>
      <c r="K120" s="906">
        <f>J120+J131</f>
        <v>0</v>
      </c>
      <c r="L120" s="908" t="s">
        <v>651</v>
      </c>
      <c r="M120" s="910">
        <f>SUMIF(K120, "&lt;0")</f>
        <v>0</v>
      </c>
      <c r="N120" s="1"/>
      <c r="O120" s="1"/>
      <c r="P120" s="1"/>
      <c r="Q120" s="1"/>
      <c r="R120" s="1"/>
      <c r="S120" s="1"/>
    </row>
    <row r="121" spans="1:19" ht="23.15" customHeight="1" thickBot="1" x14ac:dyDescent="0.4">
      <c r="A121" s="1"/>
      <c r="B121" s="874"/>
      <c r="C121" s="901"/>
      <c r="D121" s="742" t="s">
        <v>47</v>
      </c>
      <c r="E121" s="743" t="e">
        <f>SUMIF(G74:G78, "&gt;0")+SUMIF(#REF!, "&gt;0")</f>
        <v>#REF!</v>
      </c>
      <c r="F121" s="744" t="s">
        <v>47</v>
      </c>
      <c r="G121" s="745" t="e">
        <f>IF(#REF!&lt;0,#REF!, 0)</f>
        <v>#REF!</v>
      </c>
      <c r="H121" s="746" t="e">
        <f t="shared" ref="H121:H129" si="1">E121+G121</f>
        <v>#REF!</v>
      </c>
      <c r="I121" s="914"/>
      <c r="J121" s="907"/>
      <c r="K121" s="907"/>
      <c r="L121" s="909"/>
      <c r="M121" s="911"/>
      <c r="N121" s="1"/>
      <c r="O121" s="1"/>
      <c r="P121" s="1"/>
      <c r="Q121" s="1"/>
      <c r="R121" s="1"/>
      <c r="S121" s="1"/>
    </row>
    <row r="122" spans="1:19" ht="23.15" customHeight="1" thickBot="1" x14ac:dyDescent="0.4">
      <c r="A122" s="1"/>
      <c r="B122" s="874"/>
      <c r="C122" s="901"/>
      <c r="D122" s="742" t="s">
        <v>48</v>
      </c>
      <c r="E122" s="743" t="e">
        <f>SUMIF(G79:G81, "&gt;0")+SUMIF(#REF!, "&gt;0")</f>
        <v>#REF!</v>
      </c>
      <c r="F122" s="744" t="s">
        <v>48</v>
      </c>
      <c r="G122" s="745" t="e">
        <f>IF(#REF!&lt;0,#REF!, 0)</f>
        <v>#REF!</v>
      </c>
      <c r="H122" s="746" t="e">
        <f t="shared" si="1"/>
        <v>#REF!</v>
      </c>
      <c r="I122" s="914"/>
      <c r="J122" s="907"/>
      <c r="K122" s="907"/>
      <c r="L122" s="909"/>
      <c r="M122" s="911"/>
      <c r="N122" s="1"/>
      <c r="O122" s="1"/>
      <c r="P122" s="1"/>
      <c r="Q122" s="1"/>
      <c r="R122" s="1"/>
      <c r="S122" s="1"/>
    </row>
    <row r="123" spans="1:19" ht="23.15" customHeight="1" thickBot="1" x14ac:dyDescent="0.4">
      <c r="A123" s="1"/>
      <c r="B123" s="874"/>
      <c r="C123" s="901"/>
      <c r="D123" s="742" t="s">
        <v>51</v>
      </c>
      <c r="E123" s="743">
        <f>SUMIF(G93, "&gt;0")</f>
        <v>0</v>
      </c>
      <c r="F123" s="744" t="s">
        <v>51</v>
      </c>
      <c r="G123" s="745" t="e">
        <f>IF(#REF!&lt;0,#REF!, 0)</f>
        <v>#REF!</v>
      </c>
      <c r="H123" s="746" t="e">
        <f t="shared" si="1"/>
        <v>#REF!</v>
      </c>
      <c r="I123" s="914"/>
      <c r="J123" s="907"/>
      <c r="K123" s="907"/>
      <c r="L123" s="909"/>
      <c r="M123" s="911"/>
      <c r="N123" s="1"/>
      <c r="O123" s="1"/>
      <c r="P123" s="1"/>
      <c r="Q123" s="1"/>
      <c r="R123" s="1"/>
      <c r="S123" s="1"/>
    </row>
    <row r="124" spans="1:19" ht="23.15" customHeight="1" thickBot="1" x14ac:dyDescent="0.4">
      <c r="A124" s="1"/>
      <c r="B124" s="874"/>
      <c r="C124" s="902"/>
      <c r="D124" s="742" t="s">
        <v>60</v>
      </c>
      <c r="E124" s="743">
        <v>0</v>
      </c>
      <c r="F124" s="744" t="s">
        <v>60</v>
      </c>
      <c r="G124" s="745" t="e">
        <f>IF(#REF!&lt;0,#REF!, 0)</f>
        <v>#REF!</v>
      </c>
      <c r="H124" s="746" t="e">
        <f t="shared" si="1"/>
        <v>#REF!</v>
      </c>
      <c r="I124" s="914"/>
      <c r="J124" s="907"/>
      <c r="K124" s="907"/>
      <c r="L124" s="909"/>
      <c r="M124" s="911"/>
      <c r="N124" s="1"/>
      <c r="O124" s="1"/>
      <c r="P124" s="1"/>
      <c r="Q124" s="1"/>
      <c r="R124" s="1"/>
      <c r="S124" s="1"/>
    </row>
    <row r="125" spans="1:19" ht="23.15" customHeight="1" thickBot="1" x14ac:dyDescent="0.4">
      <c r="A125" s="1"/>
      <c r="B125" s="874"/>
      <c r="C125" s="912" t="s">
        <v>680</v>
      </c>
      <c r="D125" s="737" t="s">
        <v>53</v>
      </c>
      <c r="E125" s="738" t="e">
        <f>SUMIF(G95:G102, "&gt;0")+SUMIF(#REF!, "&gt;0")</f>
        <v>#REF!</v>
      </c>
      <c r="F125" s="739" t="s">
        <v>53</v>
      </c>
      <c r="G125" s="745" t="e">
        <f>IF(#REF!&lt;0,#REF!, 0)</f>
        <v>#REF!</v>
      </c>
      <c r="H125" s="746" t="e">
        <f t="shared" si="1"/>
        <v>#REF!</v>
      </c>
      <c r="I125" s="914">
        <f>SUMIF(H125:H126, "&lt;0")</f>
        <v>0</v>
      </c>
      <c r="J125" s="907">
        <f>I125+I131</f>
        <v>0</v>
      </c>
      <c r="K125" s="907">
        <f>SUMIF(J125, "&lt;0")</f>
        <v>0</v>
      </c>
      <c r="L125" s="909" t="s">
        <v>680</v>
      </c>
      <c r="M125" s="911">
        <f>SUMIF(K125, "&lt;0")</f>
        <v>0</v>
      </c>
      <c r="N125" s="1"/>
      <c r="O125" s="1"/>
      <c r="P125" s="1"/>
      <c r="Q125" s="1"/>
      <c r="R125" s="1"/>
      <c r="S125" s="1"/>
    </row>
    <row r="126" spans="1:19" ht="23.15" customHeight="1" thickBot="1" x14ac:dyDescent="0.4">
      <c r="A126" s="1"/>
      <c r="B126" s="874"/>
      <c r="C126" s="913"/>
      <c r="D126" s="742" t="s">
        <v>54</v>
      </c>
      <c r="E126" s="743" t="e">
        <f>SUMIF(G103:G115, "&gt;0")+SUMIF(#REF!, "&gt;0")</f>
        <v>#REF!</v>
      </c>
      <c r="F126" s="744" t="s">
        <v>54</v>
      </c>
      <c r="G126" s="745" t="e">
        <f>IF(#REF!&lt;0,#REF!, 0)</f>
        <v>#REF!</v>
      </c>
      <c r="H126" s="746" t="e">
        <f t="shared" si="1"/>
        <v>#REF!</v>
      </c>
      <c r="I126" s="914"/>
      <c r="J126" s="907"/>
      <c r="K126" s="907"/>
      <c r="L126" s="909"/>
      <c r="M126" s="911"/>
      <c r="N126" s="1"/>
      <c r="O126" s="1"/>
      <c r="P126" s="1"/>
      <c r="Q126" s="1"/>
      <c r="R126" s="1"/>
      <c r="S126" s="1"/>
    </row>
    <row r="127" spans="1:19" ht="23.15" customHeight="1" thickBot="1" x14ac:dyDescent="0.4">
      <c r="A127" s="1"/>
      <c r="B127" s="874"/>
      <c r="C127" s="903" t="s">
        <v>1552</v>
      </c>
      <c r="D127" s="742" t="s">
        <v>49</v>
      </c>
      <c r="E127" s="743" t="e">
        <f>SUMIF(G82:G88, "&gt;0")+SUMIF(#REF!, "&gt;0")</f>
        <v>#REF!</v>
      </c>
      <c r="F127" s="744" t="s">
        <v>49</v>
      </c>
      <c r="G127" s="745" t="e">
        <f>IF(#REF!&lt;0,#REF!, 0)</f>
        <v>#REF!</v>
      </c>
      <c r="H127" s="746" t="e">
        <f t="shared" si="1"/>
        <v>#REF!</v>
      </c>
      <c r="I127" s="914">
        <f>(SUMIF(H127:H129, "&lt;0"))+H131</f>
        <v>0</v>
      </c>
      <c r="J127" s="907">
        <f>SUMIF(I127, "&lt;0")</f>
        <v>0</v>
      </c>
      <c r="K127" s="907">
        <f>SUMIF(J127, "&lt;0")</f>
        <v>0</v>
      </c>
      <c r="L127" s="909" t="s">
        <v>1552</v>
      </c>
      <c r="M127" s="911">
        <f>SUMIF(K127, "&lt;0")</f>
        <v>0</v>
      </c>
      <c r="N127" s="1"/>
      <c r="O127" s="1"/>
      <c r="P127" s="1"/>
      <c r="Q127" s="1"/>
      <c r="R127" s="1"/>
      <c r="S127" s="1"/>
    </row>
    <row r="128" spans="1:19" ht="23.15" customHeight="1" thickBot="1" x14ac:dyDescent="0.4">
      <c r="A128" s="1"/>
      <c r="B128" s="874"/>
      <c r="C128" s="904"/>
      <c r="D128" s="742" t="s">
        <v>50</v>
      </c>
      <c r="E128" s="743" t="e">
        <f>SUMIF(G89:G92, "&gt;0")+SUMIF(#REF!, "&gt;0")</f>
        <v>#REF!</v>
      </c>
      <c r="F128" s="744" t="s">
        <v>50</v>
      </c>
      <c r="G128" s="745" t="e">
        <f>IF(#REF!&lt;0,#REF!, 0)</f>
        <v>#REF!</v>
      </c>
      <c r="H128" s="746" t="e">
        <f t="shared" si="1"/>
        <v>#REF!</v>
      </c>
      <c r="I128" s="914"/>
      <c r="J128" s="907"/>
      <c r="K128" s="907"/>
      <c r="L128" s="909"/>
      <c r="M128" s="911"/>
      <c r="N128" s="1"/>
      <c r="O128" s="1"/>
      <c r="P128" s="1"/>
      <c r="Q128" s="1"/>
      <c r="R128" s="1"/>
      <c r="S128" s="1"/>
    </row>
    <row r="129" spans="1:19" ht="23.15" customHeight="1" thickBot="1" x14ac:dyDescent="0.4">
      <c r="A129" s="1"/>
      <c r="B129" s="875"/>
      <c r="C129" s="905"/>
      <c r="D129" s="747" t="s">
        <v>52</v>
      </c>
      <c r="E129" s="743" t="e">
        <f>SUMIF(G94, "&gt;0")+SUMIF(#REF!, "&gt;0")</f>
        <v>#REF!</v>
      </c>
      <c r="F129" s="748" t="s">
        <v>52</v>
      </c>
      <c r="G129" s="749">
        <v>0</v>
      </c>
      <c r="H129" s="750" t="e">
        <f t="shared" si="1"/>
        <v>#REF!</v>
      </c>
      <c r="I129" s="919"/>
      <c r="J129" s="916"/>
      <c r="K129" s="916"/>
      <c r="L129" s="917"/>
      <c r="M129" s="918"/>
      <c r="N129" s="1"/>
      <c r="O129" s="1"/>
      <c r="P129" s="1"/>
      <c r="Q129" s="1"/>
      <c r="R129" s="1"/>
      <c r="S129" s="1"/>
    </row>
    <row r="130" spans="1:19" ht="15" thickBot="1" x14ac:dyDescent="0.4">
      <c r="A130" s="1"/>
      <c r="B130" s="1"/>
      <c r="C130" s="1"/>
      <c r="D130" s="1"/>
      <c r="E130" s="1"/>
      <c r="F130" s="1"/>
      <c r="G130" s="1"/>
      <c r="H130" s="1"/>
      <c r="I130" s="1"/>
      <c r="J130" s="1"/>
      <c r="K130" s="1"/>
      <c r="L130" s="1"/>
      <c r="M130" s="1"/>
      <c r="N130" s="1"/>
      <c r="O130" s="1"/>
      <c r="P130" s="1"/>
      <c r="Q130" s="1"/>
      <c r="R130" s="1"/>
      <c r="S130" s="1"/>
    </row>
    <row r="131" spans="1:19" ht="15" thickBot="1" x14ac:dyDescent="0.4">
      <c r="A131" s="1"/>
      <c r="B131" s="1"/>
      <c r="C131" s="1"/>
      <c r="D131" s="1"/>
      <c r="E131" s="1"/>
      <c r="F131" s="1"/>
      <c r="G131" s="233" t="s">
        <v>1581</v>
      </c>
      <c r="H131" s="286">
        <f>SUMIF(H120:H129, "&gt;0")</f>
        <v>0</v>
      </c>
      <c r="I131" s="286">
        <f>SUMIF(I120:I129, "&gt;0")</f>
        <v>0</v>
      </c>
      <c r="J131" s="286">
        <f>SUMIF(J120:J129, "&gt;0")</f>
        <v>0</v>
      </c>
      <c r="K131" s="287">
        <f>SUMIF(K120:K129, "&gt;0")</f>
        <v>0</v>
      </c>
      <c r="L131" s="1"/>
      <c r="M131" s="1"/>
      <c r="N131" s="1"/>
      <c r="O131" s="1"/>
      <c r="P131" s="1"/>
      <c r="Q131" s="1"/>
      <c r="R131" s="1"/>
      <c r="S131" s="1"/>
    </row>
    <row r="132" spans="1:19" x14ac:dyDescent="0.35">
      <c r="A132" s="1"/>
      <c r="B132" s="1"/>
      <c r="C132" s="1"/>
      <c r="D132" s="1"/>
      <c r="E132" s="1"/>
      <c r="F132" s="1"/>
      <c r="G132" s="1"/>
      <c r="H132" s="1"/>
      <c r="I132" s="1"/>
      <c r="J132" s="1"/>
      <c r="K132" s="1"/>
      <c r="L132" s="1"/>
      <c r="M132" s="1"/>
      <c r="N132" s="1"/>
      <c r="O132" s="1"/>
      <c r="P132" s="1"/>
      <c r="Q132" s="1"/>
      <c r="R132" s="1"/>
      <c r="S132" s="1"/>
    </row>
    <row r="133" spans="1:19" x14ac:dyDescent="0.35">
      <c r="A133" s="1"/>
      <c r="B133" s="1"/>
      <c r="C133" s="1"/>
      <c r="D133" s="1"/>
      <c r="E133" s="1"/>
      <c r="F133" s="1"/>
      <c r="G133" s="1"/>
      <c r="H133" s="1"/>
      <c r="I133" s="1"/>
      <c r="J133" s="1"/>
      <c r="K133" s="1"/>
      <c r="L133" s="1"/>
      <c r="M133" s="1"/>
      <c r="N133" s="1"/>
      <c r="O133" s="1"/>
      <c r="P133" s="1"/>
      <c r="Q133" s="1"/>
      <c r="R133" s="1"/>
      <c r="S133" s="1"/>
    </row>
    <row r="134" spans="1:19" ht="15" thickBot="1" x14ac:dyDescent="0.4">
      <c r="A134" s="1"/>
      <c r="B134" s="1"/>
      <c r="C134" s="1"/>
      <c r="D134" s="1"/>
      <c r="E134" s="1"/>
      <c r="F134" s="1"/>
      <c r="G134" s="1"/>
      <c r="H134" s="1"/>
      <c r="I134" s="1"/>
      <c r="J134" s="1"/>
      <c r="K134" s="1"/>
      <c r="L134" s="1"/>
      <c r="M134" s="1"/>
      <c r="N134" s="1"/>
      <c r="O134" s="1"/>
      <c r="P134" s="1"/>
      <c r="Q134" s="1"/>
      <c r="R134" s="1"/>
      <c r="S134" s="1"/>
    </row>
    <row r="135" spans="1:19" ht="42.5" thickBot="1" x14ac:dyDescent="0.4">
      <c r="A135" s="1"/>
      <c r="B135" s="1"/>
      <c r="C135" s="1"/>
      <c r="D135" s="690" t="s">
        <v>1582</v>
      </c>
      <c r="E135" s="751" t="s">
        <v>1583</v>
      </c>
      <c r="F135" s="497" t="s">
        <v>1584</v>
      </c>
      <c r="G135" s="732" t="s">
        <v>1585</v>
      </c>
      <c r="H135" s="1"/>
      <c r="I135" s="1"/>
      <c r="J135" s="1"/>
      <c r="K135" s="1"/>
      <c r="L135" s="1"/>
      <c r="M135" s="1"/>
      <c r="N135" s="1"/>
      <c r="O135" s="1"/>
      <c r="P135" s="1"/>
      <c r="Q135" s="1"/>
      <c r="R135" s="1"/>
      <c r="S135" s="1"/>
    </row>
    <row r="136" spans="1:19" ht="51.65" customHeight="1" thickBot="1" x14ac:dyDescent="0.4">
      <c r="A136" s="1"/>
      <c r="B136" s="752" t="s">
        <v>1586</v>
      </c>
      <c r="C136" s="753" t="s">
        <v>651</v>
      </c>
      <c r="D136" s="754" t="e">
        <f>#REF!</f>
        <v>#REF!</v>
      </c>
      <c r="E136" s="755" t="e">
        <f>SUMIF(#REF!, "&lt;0")+#REF!</f>
        <v>#REF!</v>
      </c>
      <c r="F136" s="286" t="e">
        <f>E136+K131</f>
        <v>#REF!</v>
      </c>
      <c r="G136" s="287">
        <f>SUMIF(F136, "&lt;0")</f>
        <v>0</v>
      </c>
      <c r="H136" s="1"/>
      <c r="I136" s="1"/>
      <c r="J136" s="1"/>
      <c r="K136" s="1"/>
      <c r="L136" s="1"/>
      <c r="M136" s="1"/>
      <c r="N136" s="1"/>
      <c r="O136" s="1"/>
      <c r="P136" s="1"/>
      <c r="Q136" s="1"/>
      <c r="R136" s="1"/>
      <c r="S136" s="1"/>
    </row>
    <row r="137" spans="1:19" x14ac:dyDescent="0.35">
      <c r="A137" s="1"/>
      <c r="B137" s="1"/>
      <c r="C137" s="1"/>
      <c r="D137" s="1"/>
      <c r="E137" s="1"/>
      <c r="F137" s="1"/>
      <c r="G137" s="1"/>
      <c r="H137" s="1"/>
      <c r="I137" s="1"/>
      <c r="J137" s="1"/>
      <c r="K137" s="1"/>
      <c r="L137" s="1"/>
      <c r="M137" s="1"/>
      <c r="N137" s="1"/>
      <c r="O137" s="1"/>
      <c r="P137" s="1"/>
      <c r="Q137" s="1"/>
      <c r="R137" s="1"/>
      <c r="S137" s="1"/>
    </row>
    <row r="138" spans="1:19" x14ac:dyDescent="0.35">
      <c r="A138" s="1"/>
      <c r="B138" s="1"/>
      <c r="C138" s="1"/>
      <c r="D138" s="1"/>
      <c r="E138" s="1"/>
      <c r="F138" s="1"/>
      <c r="G138" s="1"/>
      <c r="H138" s="1"/>
      <c r="I138" s="1"/>
      <c r="J138" s="1"/>
      <c r="K138" s="1"/>
      <c r="L138" s="1"/>
      <c r="M138" s="1"/>
      <c r="N138" s="1"/>
      <c r="O138" s="1"/>
      <c r="P138" s="1"/>
      <c r="Q138" s="1"/>
      <c r="R138" s="1"/>
      <c r="S138" s="1"/>
    </row>
    <row r="139" spans="1:19" x14ac:dyDescent="0.35">
      <c r="A139" s="1"/>
      <c r="B139" s="1"/>
      <c r="C139" s="1"/>
      <c r="D139" s="1"/>
      <c r="E139" s="1"/>
      <c r="F139" s="1"/>
      <c r="G139" s="1"/>
      <c r="H139" s="1"/>
      <c r="I139" s="1"/>
      <c r="J139" s="1"/>
      <c r="K139" s="1"/>
      <c r="L139" s="1"/>
      <c r="M139" s="1"/>
      <c r="N139" s="1"/>
      <c r="O139" s="1"/>
      <c r="P139" s="1"/>
      <c r="Q139" s="1"/>
      <c r="R139" s="1"/>
      <c r="S139" s="1"/>
    </row>
    <row r="140" spans="1:19" x14ac:dyDescent="0.35">
      <c r="A140" s="1"/>
      <c r="B140" s="1"/>
      <c r="C140" s="1"/>
      <c r="D140" s="1"/>
      <c r="E140" s="1"/>
      <c r="F140" s="1"/>
      <c r="G140" s="1"/>
      <c r="H140" s="1"/>
      <c r="I140" s="1"/>
      <c r="J140" s="1"/>
      <c r="K140" s="1"/>
      <c r="L140" s="1"/>
      <c r="M140" s="1"/>
      <c r="N140" s="1"/>
      <c r="O140" s="1"/>
      <c r="P140" s="1"/>
      <c r="Q140" s="1"/>
      <c r="R140" s="1"/>
      <c r="S140" s="1"/>
    </row>
    <row r="141" spans="1:19" x14ac:dyDescent="0.35">
      <c r="A141" s="1"/>
      <c r="B141" s="1"/>
      <c r="C141" s="1"/>
      <c r="D141" s="1"/>
      <c r="E141" s="1"/>
      <c r="F141" s="1"/>
      <c r="G141" s="1"/>
      <c r="H141" s="1"/>
      <c r="I141" s="1"/>
      <c r="J141" s="1"/>
      <c r="K141" s="1"/>
      <c r="L141" s="1"/>
      <c r="M141" s="1"/>
      <c r="N141" s="1"/>
      <c r="O141" s="1"/>
      <c r="P141" s="1"/>
      <c r="Q141" s="1"/>
      <c r="R141" s="1"/>
      <c r="S141" s="1"/>
    </row>
    <row r="142" spans="1:19" x14ac:dyDescent="0.35">
      <c r="A142" s="1"/>
      <c r="B142" s="1"/>
      <c r="C142" s="1"/>
      <c r="D142" s="1"/>
      <c r="E142" s="1"/>
      <c r="F142" s="1"/>
      <c r="G142" s="1"/>
      <c r="H142" s="1"/>
      <c r="I142" s="1"/>
      <c r="J142" s="1"/>
      <c r="K142" s="1"/>
      <c r="L142" s="1"/>
      <c r="M142" s="1"/>
      <c r="N142" s="1"/>
      <c r="O142" s="1"/>
      <c r="P142" s="1"/>
      <c r="Q142" s="1"/>
      <c r="R142" s="1"/>
      <c r="S142" s="1"/>
    </row>
    <row r="143" spans="1:19" ht="15" thickBot="1" x14ac:dyDescent="0.4">
      <c r="A143" s="1"/>
      <c r="B143" s="1"/>
      <c r="C143" s="1"/>
      <c r="D143" s="1"/>
      <c r="E143" s="1"/>
      <c r="F143" s="1"/>
      <c r="G143" s="1"/>
      <c r="H143" s="1"/>
      <c r="I143" s="1"/>
      <c r="J143" s="1"/>
      <c r="K143" s="1"/>
      <c r="L143" s="1"/>
      <c r="M143" s="1"/>
      <c r="N143" s="1"/>
      <c r="O143" s="1"/>
      <c r="P143" s="1"/>
      <c r="Q143" s="1"/>
      <c r="R143" s="1"/>
      <c r="S143" s="1"/>
    </row>
    <row r="144" spans="1:19" ht="15" thickBot="1" x14ac:dyDescent="0.4">
      <c r="A144" s="1"/>
      <c r="B144" s="1"/>
      <c r="C144" s="1"/>
      <c r="D144" s="929" t="s">
        <v>31</v>
      </c>
      <c r="E144" s="930"/>
      <c r="F144" s="775" t="s">
        <v>1596</v>
      </c>
      <c r="G144" s="775" t="s">
        <v>1585</v>
      </c>
      <c r="H144" s="1"/>
      <c r="I144" s="1"/>
      <c r="J144" s="1"/>
      <c r="K144" s="1"/>
      <c r="L144" s="1"/>
      <c r="M144" s="1"/>
      <c r="N144" s="1"/>
      <c r="O144" s="1"/>
      <c r="P144" s="1"/>
      <c r="Q144" s="1"/>
      <c r="R144" s="1"/>
      <c r="S144" s="1"/>
    </row>
    <row r="145" spans="1:19" ht="15" thickBot="1" x14ac:dyDescent="0.4">
      <c r="A145" s="1"/>
      <c r="B145" s="1"/>
      <c r="C145" s="1"/>
      <c r="D145" s="926" t="s">
        <v>1554</v>
      </c>
      <c r="E145" s="757" t="s">
        <v>1594</v>
      </c>
      <c r="F145" s="756">
        <f>'Trading Summary Hedgerows'!H14</f>
        <v>0</v>
      </c>
      <c r="G145" s="923">
        <f>SUMIF(F145:F149, "&lt;0")</f>
        <v>0</v>
      </c>
      <c r="H145" s="1" t="s">
        <v>1587</v>
      </c>
      <c r="I145" s="1" t="s">
        <v>1585</v>
      </c>
      <c r="J145" s="1"/>
      <c r="K145" s="1"/>
      <c r="L145" s="1"/>
      <c r="M145" s="1"/>
      <c r="N145" s="1"/>
      <c r="O145" s="1"/>
      <c r="P145" s="1"/>
      <c r="Q145" s="1"/>
      <c r="R145" s="1"/>
      <c r="S145" s="1"/>
    </row>
    <row r="146" spans="1:19" ht="15" thickBot="1" x14ac:dyDescent="0.4">
      <c r="A146" s="1"/>
      <c r="B146" s="1"/>
      <c r="C146" s="1"/>
      <c r="D146" s="927"/>
      <c r="E146" s="757" t="s">
        <v>1595</v>
      </c>
      <c r="F146" s="756">
        <f>'Trading Summary Hedgerows'!H23</f>
        <v>0</v>
      </c>
      <c r="G146" s="924"/>
      <c r="H146" s="1"/>
      <c r="I146" s="1"/>
      <c r="J146" s="1"/>
      <c r="K146" s="1"/>
      <c r="L146" s="1"/>
      <c r="M146" s="1"/>
      <c r="N146" s="1"/>
      <c r="O146" s="1"/>
      <c r="P146" s="1"/>
      <c r="Q146" s="1"/>
      <c r="R146" s="1"/>
      <c r="S146" s="1"/>
    </row>
    <row r="147" spans="1:19" ht="15" thickBot="1" x14ac:dyDescent="0.4">
      <c r="A147" s="1"/>
      <c r="B147" s="1"/>
      <c r="C147" s="1"/>
      <c r="D147" s="927"/>
      <c r="E147" s="757" t="s">
        <v>1597</v>
      </c>
      <c r="F147" s="756" t="e">
        <f>'Trading Summary Hedgerows'!H33</f>
        <v>#REF!</v>
      </c>
      <c r="G147" s="924"/>
      <c r="H147" s="1"/>
      <c r="I147" s="1"/>
      <c r="J147" s="1"/>
      <c r="K147" s="1"/>
      <c r="L147" s="1"/>
      <c r="M147" s="1"/>
      <c r="N147" s="1"/>
      <c r="O147" s="1"/>
      <c r="P147" s="1"/>
      <c r="Q147" s="1"/>
      <c r="R147" s="1"/>
      <c r="S147" s="1"/>
    </row>
    <row r="148" spans="1:19" ht="15" thickBot="1" x14ac:dyDescent="0.4">
      <c r="A148" s="1"/>
      <c r="B148" s="1"/>
      <c r="C148" s="1"/>
      <c r="D148" s="927"/>
      <c r="E148" s="757" t="s">
        <v>1598</v>
      </c>
      <c r="F148" s="756" t="e">
        <f>'Trading Summary Hedgerows'!H44</f>
        <v>#REF!</v>
      </c>
      <c r="G148" s="924"/>
      <c r="H148" s="1"/>
      <c r="I148" s="1"/>
      <c r="J148" s="1"/>
      <c r="K148" s="1"/>
      <c r="L148" s="1"/>
      <c r="M148" s="1"/>
      <c r="N148" s="1"/>
      <c r="O148" s="1"/>
      <c r="P148" s="1"/>
      <c r="Q148" s="1"/>
      <c r="R148" s="1"/>
      <c r="S148" s="1"/>
    </row>
    <row r="149" spans="1:19" ht="15" thickBot="1" x14ac:dyDescent="0.4">
      <c r="A149" s="1"/>
      <c r="B149" s="1"/>
      <c r="C149" s="1"/>
      <c r="D149" s="928"/>
      <c r="E149" s="757" t="s">
        <v>1599</v>
      </c>
      <c r="F149" s="756" t="e">
        <f>'Trading Summary Hedgerows'!H54</f>
        <v>#REF!</v>
      </c>
      <c r="G149" s="925"/>
      <c r="H149" s="1"/>
      <c r="I149" s="1"/>
      <c r="J149" s="1"/>
      <c r="K149" s="1"/>
      <c r="L149" s="1"/>
      <c r="M149" s="1"/>
      <c r="N149" s="1"/>
      <c r="O149" s="1"/>
      <c r="P149" s="1"/>
      <c r="Q149" s="1"/>
      <c r="R149" s="1"/>
      <c r="S149" s="1"/>
    </row>
    <row r="150" spans="1:19" x14ac:dyDescent="0.35">
      <c r="A150" s="1"/>
      <c r="B150" s="1"/>
      <c r="C150" s="1"/>
      <c r="D150" s="1"/>
      <c r="E150" s="1"/>
      <c r="F150" s="1"/>
      <c r="G150" s="1"/>
      <c r="H150" s="1"/>
      <c r="I150" s="1"/>
      <c r="J150" s="1"/>
      <c r="K150" s="1"/>
      <c r="L150" s="1"/>
      <c r="M150" s="1"/>
      <c r="N150" s="1"/>
      <c r="O150" s="1"/>
      <c r="P150" s="1"/>
      <c r="Q150" s="1"/>
      <c r="R150" s="1"/>
      <c r="S150" s="1"/>
    </row>
    <row r="151" spans="1:19" x14ac:dyDescent="0.35">
      <c r="A151" s="1"/>
      <c r="B151" s="1"/>
      <c r="C151" s="1"/>
      <c r="D151" s="1"/>
      <c r="E151" s="1"/>
      <c r="F151" s="1"/>
      <c r="G151" s="1"/>
      <c r="H151" s="1"/>
      <c r="I151" s="1"/>
      <c r="J151" s="1"/>
      <c r="K151" s="1"/>
      <c r="L151" s="1"/>
      <c r="M151" s="1"/>
      <c r="N151" s="1"/>
      <c r="O151" s="1"/>
      <c r="P151" s="1"/>
      <c r="Q151" s="1"/>
      <c r="R151" s="1"/>
      <c r="S151" s="1"/>
    </row>
    <row r="152" spans="1:19" x14ac:dyDescent="0.35">
      <c r="A152" s="1"/>
      <c r="B152" s="1"/>
      <c r="C152" s="1"/>
      <c r="D152" s="1"/>
      <c r="E152" s="1"/>
      <c r="F152" s="1"/>
      <c r="G152" s="1"/>
      <c r="H152" s="1"/>
      <c r="I152" s="1"/>
      <c r="J152" s="1"/>
      <c r="K152" s="1"/>
      <c r="L152" s="1"/>
      <c r="M152" s="1"/>
      <c r="N152" s="1"/>
      <c r="O152" s="1"/>
      <c r="P152" s="1"/>
      <c r="Q152" s="1"/>
      <c r="R152" s="1"/>
      <c r="S152" s="1"/>
    </row>
    <row r="153" spans="1:19" ht="15" thickBot="1" x14ac:dyDescent="0.4">
      <c r="A153" s="1"/>
      <c r="B153" s="1"/>
      <c r="C153" s="1"/>
      <c r="D153" s="1"/>
      <c r="E153" s="1"/>
      <c r="F153" s="1"/>
      <c r="G153" s="1"/>
      <c r="H153" s="1"/>
      <c r="I153" s="1"/>
      <c r="J153" s="1"/>
      <c r="K153" s="1"/>
      <c r="L153" s="1"/>
      <c r="M153" s="1"/>
      <c r="N153" s="1"/>
      <c r="O153" s="1"/>
      <c r="P153" s="1"/>
      <c r="Q153" s="1"/>
      <c r="R153" s="1"/>
      <c r="S153" s="1"/>
    </row>
    <row r="154" spans="1:19" ht="15" thickBot="1" x14ac:dyDescent="0.4">
      <c r="A154" s="1"/>
      <c r="B154" s="1"/>
      <c r="C154" s="1"/>
      <c r="D154" s="929" t="s">
        <v>33</v>
      </c>
      <c r="E154" s="931"/>
      <c r="F154" s="775" t="s">
        <v>1596</v>
      </c>
      <c r="G154" s="775" t="s">
        <v>1585</v>
      </c>
      <c r="H154" s="1"/>
      <c r="I154" s="1"/>
      <c r="J154" s="1"/>
      <c r="K154" s="1"/>
      <c r="L154" s="1"/>
      <c r="M154" s="1"/>
      <c r="N154" s="1"/>
      <c r="O154" s="1"/>
      <c r="P154" s="1"/>
      <c r="Q154" s="1"/>
      <c r="R154" s="1"/>
      <c r="S154" s="1"/>
    </row>
    <row r="155" spans="1:19" ht="15" thickBot="1" x14ac:dyDescent="0.4">
      <c r="A155" s="1"/>
      <c r="B155" s="1"/>
      <c r="C155" s="1"/>
      <c r="D155" s="920" t="s">
        <v>1555</v>
      </c>
      <c r="E155" s="757" t="s">
        <v>1595</v>
      </c>
      <c r="F155" s="756" t="e">
        <f>'Trading Summary WaterC''s'!H22</f>
        <v>#REF!</v>
      </c>
      <c r="G155" s="923">
        <f>SUMIF(F155:F157, "&lt;0")</f>
        <v>0</v>
      </c>
      <c r="H155" s="1"/>
      <c r="I155" s="1"/>
      <c r="J155" s="1"/>
      <c r="K155" s="1"/>
      <c r="L155" s="1"/>
      <c r="M155" s="1"/>
      <c r="N155" s="1"/>
      <c r="O155" s="1"/>
      <c r="P155" s="1"/>
      <c r="Q155" s="1"/>
      <c r="R155" s="1"/>
      <c r="S155" s="1"/>
    </row>
    <row r="156" spans="1:19" ht="15" thickBot="1" x14ac:dyDescent="0.4">
      <c r="A156" s="1"/>
      <c r="B156" s="1"/>
      <c r="C156" s="1"/>
      <c r="D156" s="921"/>
      <c r="E156" s="757" t="s">
        <v>1597</v>
      </c>
      <c r="F156" s="756">
        <f>'Trading Summary WaterC''s'!H30</f>
        <v>0</v>
      </c>
      <c r="G156" s="924"/>
      <c r="H156" s="1"/>
      <c r="I156" s="1"/>
      <c r="J156" s="1"/>
      <c r="K156" s="1"/>
      <c r="L156" s="1"/>
      <c r="M156" s="1"/>
      <c r="N156" s="1"/>
      <c r="O156" s="1"/>
      <c r="P156" s="1"/>
      <c r="Q156" s="1"/>
      <c r="R156" s="1"/>
      <c r="S156" s="1"/>
    </row>
    <row r="157" spans="1:19" ht="15" thickBot="1" x14ac:dyDescent="0.4">
      <c r="A157" s="1"/>
      <c r="B157" s="1"/>
      <c r="C157" s="1"/>
      <c r="D157" s="922"/>
      <c r="E157" s="774" t="s">
        <v>1598</v>
      </c>
      <c r="F157" s="756" t="e">
        <f>'Trading Summary WaterC''s'!H42</f>
        <v>#REF!</v>
      </c>
      <c r="G157" s="925"/>
      <c r="H157" s="1"/>
      <c r="I157" s="1"/>
      <c r="J157" s="1"/>
      <c r="K157" s="1"/>
      <c r="L157" s="1"/>
      <c r="M157" s="1"/>
      <c r="N157" s="1"/>
      <c r="O157" s="1"/>
      <c r="P157" s="1"/>
      <c r="Q157" s="1"/>
      <c r="R157" s="1"/>
      <c r="S157" s="1"/>
    </row>
    <row r="158" spans="1:19" x14ac:dyDescent="0.35">
      <c r="A158" s="1"/>
      <c r="B158" s="1"/>
      <c r="C158" s="1"/>
      <c r="D158" s="1"/>
      <c r="E158" s="1"/>
      <c r="F158" s="1"/>
      <c r="G158" s="1"/>
      <c r="H158" s="1"/>
      <c r="I158" s="1"/>
      <c r="J158" s="1"/>
      <c r="K158" s="1"/>
      <c r="L158" s="1"/>
      <c r="M158" s="1"/>
      <c r="N158" s="1"/>
      <c r="O158" s="1"/>
      <c r="P158" s="1"/>
      <c r="Q158" s="1"/>
      <c r="R158" s="1"/>
      <c r="S158" s="1"/>
    </row>
    <row r="159" spans="1:19" x14ac:dyDescent="0.35">
      <c r="A159" s="1"/>
      <c r="B159" s="1"/>
      <c r="C159" s="1"/>
      <c r="D159" s="1"/>
      <c r="E159" s="1"/>
      <c r="F159" s="1"/>
      <c r="G159" s="1"/>
      <c r="H159" s="1"/>
      <c r="I159" s="1"/>
      <c r="J159" s="1"/>
      <c r="K159" s="1"/>
      <c r="L159" s="1"/>
      <c r="M159" s="1"/>
      <c r="N159" s="1"/>
      <c r="O159" s="1"/>
      <c r="P159" s="1"/>
      <c r="Q159" s="1"/>
      <c r="R159" s="1"/>
      <c r="S159" s="1"/>
    </row>
    <row r="160" spans="1:19" x14ac:dyDescent="0.35">
      <c r="A160" s="1"/>
      <c r="B160" s="1"/>
      <c r="C160" s="1"/>
      <c r="D160" s="1"/>
      <c r="E160" s="1"/>
      <c r="F160" s="1"/>
      <c r="G160" s="1"/>
      <c r="H160" s="1"/>
      <c r="I160" s="1"/>
      <c r="J160" s="1"/>
      <c r="K160" s="1"/>
      <c r="L160" s="1"/>
      <c r="M160" s="1"/>
      <c r="N160" s="1"/>
      <c r="O160" s="1"/>
      <c r="P160" s="1"/>
      <c r="Q160" s="1"/>
      <c r="R160" s="1"/>
      <c r="S160" s="1"/>
    </row>
    <row r="161" spans="1:19" x14ac:dyDescent="0.35">
      <c r="A161" s="1"/>
      <c r="B161" s="1"/>
      <c r="C161" s="1"/>
      <c r="D161" s="1"/>
      <c r="E161" s="1"/>
      <c r="F161" s="1"/>
      <c r="G161" s="1"/>
      <c r="H161" s="1"/>
      <c r="I161" s="1"/>
      <c r="J161" s="1"/>
      <c r="K161" s="1"/>
      <c r="L161" s="1"/>
      <c r="M161" s="1"/>
      <c r="N161" s="1"/>
      <c r="O161" s="1"/>
      <c r="P161" s="1"/>
      <c r="Q161" s="1"/>
      <c r="R161" s="1"/>
      <c r="S161" s="1"/>
    </row>
    <row r="162" spans="1:19" x14ac:dyDescent="0.35">
      <c r="A162" s="1"/>
      <c r="B162" s="1"/>
      <c r="C162" s="1"/>
      <c r="D162" s="1"/>
      <c r="E162" s="1"/>
      <c r="F162" s="1"/>
      <c r="G162" s="1"/>
      <c r="H162" s="1"/>
      <c r="I162" s="1"/>
      <c r="J162" s="1"/>
      <c r="K162" s="1"/>
      <c r="L162" s="1"/>
      <c r="M162" s="1"/>
      <c r="N162" s="1"/>
      <c r="O162" s="1"/>
      <c r="P162" s="1"/>
      <c r="Q162" s="1"/>
      <c r="R162" s="1"/>
      <c r="S162" s="1"/>
    </row>
    <row r="163" spans="1:19" x14ac:dyDescent="0.35">
      <c r="A163" s="1"/>
      <c r="B163" s="1"/>
      <c r="C163" s="1"/>
      <c r="D163" s="1"/>
      <c r="E163" s="1"/>
      <c r="F163" s="1"/>
      <c r="G163" s="1"/>
      <c r="H163" s="1"/>
      <c r="I163" s="1"/>
      <c r="J163" s="1"/>
      <c r="K163" s="1"/>
      <c r="L163" s="1"/>
      <c r="M163" s="1"/>
      <c r="N163" s="1"/>
      <c r="O163" s="1"/>
      <c r="P163" s="1"/>
      <c r="Q163" s="1"/>
      <c r="R163" s="1"/>
      <c r="S163" s="1"/>
    </row>
    <row r="164" spans="1:19" x14ac:dyDescent="0.35">
      <c r="A164" s="1"/>
      <c r="B164" s="1"/>
      <c r="C164" s="1"/>
      <c r="D164" s="1"/>
      <c r="E164" s="1"/>
      <c r="F164" s="1"/>
      <c r="G164" s="1"/>
      <c r="H164" s="1"/>
      <c r="I164" s="1"/>
      <c r="J164" s="1"/>
      <c r="K164" s="1"/>
      <c r="L164" s="1"/>
      <c r="M164" s="1"/>
      <c r="N164" s="1"/>
      <c r="O164" s="1"/>
      <c r="P164" s="1"/>
      <c r="Q164" s="1"/>
      <c r="R164" s="1"/>
      <c r="S164" s="1"/>
    </row>
    <row r="165" spans="1:19" x14ac:dyDescent="0.35">
      <c r="A165" s="1"/>
      <c r="B165" s="1"/>
      <c r="C165" s="1"/>
      <c r="D165" s="1"/>
      <c r="E165" s="1"/>
      <c r="F165" s="1"/>
      <c r="G165" s="1"/>
      <c r="H165" s="1"/>
      <c r="I165" s="1"/>
      <c r="J165" s="1"/>
      <c r="K165" s="1"/>
      <c r="L165" s="1"/>
      <c r="M165" s="1"/>
      <c r="N165" s="1"/>
      <c r="O165" s="1"/>
      <c r="P165" s="1"/>
      <c r="Q165" s="1"/>
      <c r="R165" s="1"/>
      <c r="S165" s="1"/>
    </row>
    <row r="166" spans="1:19" x14ac:dyDescent="0.35">
      <c r="A166" s="1"/>
      <c r="B166" s="1"/>
      <c r="C166" s="1"/>
      <c r="D166" s="1"/>
      <c r="E166" s="1"/>
      <c r="F166" s="1"/>
      <c r="G166" s="1"/>
      <c r="H166" s="1"/>
      <c r="I166" s="1"/>
      <c r="J166" s="1"/>
      <c r="K166" s="1"/>
      <c r="L166" s="1"/>
      <c r="M166" s="1"/>
      <c r="N166" s="1"/>
      <c r="O166" s="1"/>
      <c r="P166" s="1"/>
      <c r="Q166" s="1"/>
      <c r="R166" s="1"/>
      <c r="S166" s="1"/>
    </row>
    <row r="167" spans="1:19" x14ac:dyDescent="0.35">
      <c r="A167" s="1"/>
      <c r="B167" s="1"/>
      <c r="C167" s="1"/>
      <c r="D167" s="1"/>
      <c r="E167" s="1"/>
      <c r="F167" s="1"/>
      <c r="G167" s="1"/>
      <c r="H167" s="1"/>
      <c r="I167" s="1"/>
      <c r="J167" s="1"/>
      <c r="K167" s="1"/>
      <c r="L167" s="1"/>
      <c r="M167" s="1"/>
      <c r="N167" s="1"/>
      <c r="O167" s="1"/>
      <c r="P167" s="1"/>
      <c r="Q167" s="1"/>
      <c r="R167" s="1"/>
      <c r="S167" s="1"/>
    </row>
    <row r="168" spans="1:19" x14ac:dyDescent="0.35">
      <c r="A168" s="1"/>
      <c r="B168" s="1"/>
      <c r="C168" s="1"/>
      <c r="D168" s="1"/>
      <c r="E168" s="1"/>
      <c r="F168" s="1"/>
      <c r="G168" s="1"/>
      <c r="H168" s="1"/>
      <c r="I168" s="1"/>
      <c r="J168" s="1"/>
      <c r="K168" s="1"/>
      <c r="L168" s="1"/>
      <c r="M168" s="1"/>
      <c r="N168" s="1"/>
      <c r="O168" s="1"/>
      <c r="P168" s="1"/>
      <c r="Q168" s="1"/>
      <c r="R168" s="1"/>
      <c r="S168" s="1"/>
    </row>
    <row r="169" spans="1:19" x14ac:dyDescent="0.35">
      <c r="A169" s="1"/>
      <c r="B169" s="1"/>
      <c r="C169" s="1"/>
      <c r="D169" s="1"/>
      <c r="E169" s="1"/>
      <c r="F169" s="1"/>
      <c r="G169" s="1"/>
      <c r="H169" s="1"/>
      <c r="I169" s="1"/>
      <c r="J169" s="1"/>
      <c r="K169" s="1"/>
      <c r="L169" s="1"/>
      <c r="M169" s="1"/>
      <c r="N169" s="1"/>
      <c r="O169" s="1"/>
      <c r="P169" s="1"/>
      <c r="Q169" s="1"/>
      <c r="R169" s="1"/>
      <c r="S169" s="1"/>
    </row>
    <row r="170" spans="1:19" x14ac:dyDescent="0.35">
      <c r="A170" s="1"/>
      <c r="B170" s="1"/>
      <c r="C170" s="1"/>
      <c r="D170" s="758"/>
      <c r="E170" s="759"/>
      <c r="F170" s="760"/>
      <c r="G170" s="761"/>
      <c r="H170" s="1"/>
      <c r="I170" s="1"/>
      <c r="J170" s="1"/>
      <c r="K170" s="1"/>
      <c r="L170" s="1"/>
      <c r="M170" s="1"/>
      <c r="N170" s="1"/>
      <c r="O170" s="1"/>
      <c r="P170" s="1"/>
      <c r="Q170" s="1"/>
      <c r="R170" s="1"/>
      <c r="S170" s="1"/>
    </row>
    <row r="171" spans="1:19" x14ac:dyDescent="0.35">
      <c r="A171" s="1"/>
      <c r="B171" s="1"/>
      <c r="C171" s="1"/>
      <c r="D171" s="758"/>
      <c r="E171" s="759"/>
      <c r="F171" s="760"/>
      <c r="G171" s="761"/>
      <c r="H171" s="1"/>
      <c r="I171" s="1"/>
      <c r="J171" s="1"/>
      <c r="K171" s="1"/>
      <c r="L171" s="1"/>
      <c r="M171" s="1"/>
      <c r="N171" s="1"/>
      <c r="O171" s="1"/>
      <c r="P171" s="1"/>
      <c r="Q171" s="1"/>
      <c r="R171" s="1"/>
      <c r="S171" s="1"/>
    </row>
    <row r="172" spans="1:19" x14ac:dyDescent="0.35">
      <c r="A172" s="1"/>
      <c r="B172" s="1"/>
      <c r="C172" s="1"/>
      <c r="D172" s="758"/>
      <c r="E172" s="759"/>
      <c r="F172" s="760"/>
      <c r="G172" s="761"/>
      <c r="H172" s="1"/>
      <c r="I172" s="1"/>
      <c r="J172" s="1"/>
      <c r="K172" s="1"/>
      <c r="L172" s="1"/>
      <c r="M172" s="1"/>
      <c r="N172" s="1"/>
      <c r="O172" s="1"/>
      <c r="P172" s="1"/>
      <c r="Q172" s="1"/>
      <c r="R172" s="1"/>
      <c r="S172" s="1"/>
    </row>
    <row r="173" spans="1:19" x14ac:dyDescent="0.35">
      <c r="A173" s="1"/>
      <c r="B173" s="1"/>
      <c r="C173" s="1"/>
      <c r="D173" s="758"/>
      <c r="E173" s="759"/>
      <c r="F173" s="760"/>
      <c r="G173" s="761"/>
      <c r="H173" s="1"/>
      <c r="I173" s="1"/>
      <c r="J173" s="1"/>
      <c r="K173" s="1"/>
      <c r="L173" s="1"/>
      <c r="M173" s="1"/>
      <c r="N173" s="1"/>
      <c r="O173" s="1"/>
      <c r="P173" s="1"/>
      <c r="Q173" s="1"/>
      <c r="R173" s="1"/>
      <c r="S173" s="1"/>
    </row>
    <row r="174" spans="1:19" x14ac:dyDescent="0.35">
      <c r="A174" s="1"/>
      <c r="B174" s="1"/>
      <c r="C174" s="1"/>
      <c r="D174" s="758"/>
      <c r="E174" s="759"/>
      <c r="F174" s="760"/>
      <c r="G174" s="761"/>
      <c r="H174" s="1"/>
      <c r="I174" s="1"/>
      <c r="J174" s="1"/>
      <c r="K174" s="1"/>
      <c r="L174" s="1"/>
      <c r="M174" s="1"/>
      <c r="N174" s="1"/>
      <c r="O174" s="1"/>
      <c r="P174" s="1"/>
      <c r="Q174" s="1"/>
      <c r="R174" s="1"/>
      <c r="S174" s="1"/>
    </row>
  </sheetData>
  <sheetProtection algorithmName="SHA-512" hashValue="CugsBNILGhtvv/AtJcOIAc81auR9mqah3SYFRRqjB+MmMjMv1/AooXjCvpIMF4zhFmnR7O4K06d84h6xGAWLMA==" saltValue="Xg+BhhLE/TALLsqiFjMARA==" spinCount="100000" sheet="1" objects="1" scenarios="1"/>
  <mergeCells count="50">
    <mergeCell ref="D155:D157"/>
    <mergeCell ref="G145:G149"/>
    <mergeCell ref="D145:D149"/>
    <mergeCell ref="D144:E144"/>
    <mergeCell ref="G155:G157"/>
    <mergeCell ref="D154:E154"/>
    <mergeCell ref="J127:J129"/>
    <mergeCell ref="K127:K129"/>
    <mergeCell ref="L127:L129"/>
    <mergeCell ref="M127:M129"/>
    <mergeCell ref="I127:I129"/>
    <mergeCell ref="J120:J124"/>
    <mergeCell ref="K120:K124"/>
    <mergeCell ref="L120:L124"/>
    <mergeCell ref="M120:M124"/>
    <mergeCell ref="C125:C126"/>
    <mergeCell ref="I125:I126"/>
    <mergeCell ref="J125:J126"/>
    <mergeCell ref="K125:K126"/>
    <mergeCell ref="L125:L126"/>
    <mergeCell ref="M125:M126"/>
    <mergeCell ref="I120:I124"/>
    <mergeCell ref="H103:H115"/>
    <mergeCell ref="D118:E118"/>
    <mergeCell ref="F118:G118"/>
    <mergeCell ref="B120:B129"/>
    <mergeCell ref="C120:C124"/>
    <mergeCell ref="C127:C129"/>
    <mergeCell ref="H95:H102"/>
    <mergeCell ref="H63:H64"/>
    <mergeCell ref="K66:M66"/>
    <mergeCell ref="K67:M67"/>
    <mergeCell ref="K68:M68"/>
    <mergeCell ref="K69:M69"/>
    <mergeCell ref="K70:M70"/>
    <mergeCell ref="J72:L72"/>
    <mergeCell ref="H74:H78"/>
    <mergeCell ref="H79:H81"/>
    <mergeCell ref="H82:H88"/>
    <mergeCell ref="H89:H92"/>
    <mergeCell ref="B19:B64"/>
    <mergeCell ref="D19:D23"/>
    <mergeCell ref="H19:H23"/>
    <mergeCell ref="D25:D41"/>
    <mergeCell ref="H25:H41"/>
    <mergeCell ref="D43:D53"/>
    <mergeCell ref="H43:H53"/>
    <mergeCell ref="D55:D61"/>
    <mergeCell ref="H55:H61"/>
    <mergeCell ref="D63:D64"/>
  </mergeCells>
  <conditionalFormatting sqref="A17:O134 A137:O142 A135:C136 E136:O136 F135:O135 D135 D145">
    <cfRule type="cellIs" dxfId="510" priority="56" operator="lessThan">
      <formula>0</formula>
    </cfRule>
  </conditionalFormatting>
  <conditionalFormatting sqref="G19:H23 E136:G136">
    <cfRule type="cellIs" dxfId="509" priority="55" operator="greaterThan">
      <formula>0</formula>
    </cfRule>
  </conditionalFormatting>
  <conditionalFormatting sqref="G25:H41">
    <cfRule type="cellIs" dxfId="508" priority="54" operator="greaterThan">
      <formula>0</formula>
    </cfRule>
  </conditionalFormatting>
  <conditionalFormatting sqref="G43:H64">
    <cfRule type="cellIs" dxfId="507" priority="53" operator="greaterThan">
      <formula>0</formula>
    </cfRule>
  </conditionalFormatting>
  <conditionalFormatting sqref="E120:E129">
    <cfRule type="cellIs" dxfId="506" priority="52" operator="greaterThan">
      <formula>0</formula>
    </cfRule>
  </conditionalFormatting>
  <conditionalFormatting sqref="G120:K129">
    <cfRule type="cellIs" dxfId="505" priority="51" operator="greaterThan">
      <formula>0</formula>
    </cfRule>
  </conditionalFormatting>
  <conditionalFormatting sqref="H131:K131">
    <cfRule type="cellIs" dxfId="504" priority="50" operator="greaterThan">
      <formula>0</formula>
    </cfRule>
  </conditionalFormatting>
  <conditionalFormatting sqref="H3:H5 F9:G15">
    <cfRule type="cellIs" dxfId="503" priority="48" operator="greaterThan">
      <formula>0</formula>
    </cfRule>
    <cfRule type="cellIs" dxfId="502" priority="49" operator="lessThan">
      <formula>0</formula>
    </cfRule>
  </conditionalFormatting>
  <conditionalFormatting sqref="D136">
    <cfRule type="cellIs" dxfId="501" priority="46" operator="greaterThan">
      <formula>0</formula>
    </cfRule>
    <cfRule type="cellIs" dxfId="500" priority="47" operator="lessThan">
      <formula>0</formula>
    </cfRule>
  </conditionalFormatting>
  <conditionalFormatting sqref="E170:E173 F170:F172">
    <cfRule type="cellIs" dxfId="499" priority="42" operator="lessThan">
      <formula>0</formula>
    </cfRule>
  </conditionalFormatting>
  <conditionalFormatting sqref="F170:F172">
    <cfRule type="cellIs" dxfId="498" priority="41" operator="greaterThan">
      <formula>0</formula>
    </cfRule>
  </conditionalFormatting>
  <conditionalFormatting sqref="E150:I153 H155:I157 H145:I149">
    <cfRule type="cellIs" dxfId="497" priority="27" operator="lessThan">
      <formula>0</formula>
    </cfRule>
  </conditionalFormatting>
  <conditionalFormatting sqref="D150:D153">
    <cfRule type="cellIs" dxfId="496" priority="26" operator="lessThan">
      <formula>0</formula>
    </cfRule>
  </conditionalFormatting>
  <conditionalFormatting sqref="E145">
    <cfRule type="cellIs" dxfId="495" priority="25" operator="lessThan">
      <formula>0</formula>
    </cfRule>
  </conditionalFormatting>
  <conditionalFormatting sqref="E146">
    <cfRule type="cellIs" dxfId="494" priority="24" operator="lessThan">
      <formula>0</formula>
    </cfRule>
  </conditionalFormatting>
  <conditionalFormatting sqref="F145:F147">
    <cfRule type="cellIs" dxfId="493" priority="23" operator="lessThan">
      <formula>0</formula>
    </cfRule>
  </conditionalFormatting>
  <conditionalFormatting sqref="F145:F147">
    <cfRule type="cellIs" dxfId="492" priority="22" operator="greaterThan">
      <formula>0</formula>
    </cfRule>
  </conditionalFormatting>
  <conditionalFormatting sqref="G145">
    <cfRule type="cellIs" dxfId="491" priority="21" operator="lessThan">
      <formula>0</formula>
    </cfRule>
  </conditionalFormatting>
  <conditionalFormatting sqref="G145">
    <cfRule type="cellIs" dxfId="490" priority="20" operator="greaterThan">
      <formula>0</formula>
    </cfRule>
  </conditionalFormatting>
  <conditionalFormatting sqref="H144:I144">
    <cfRule type="cellIs" dxfId="489" priority="19" operator="lessThan">
      <formula>0</formula>
    </cfRule>
  </conditionalFormatting>
  <conditionalFormatting sqref="D155">
    <cfRule type="cellIs" dxfId="488" priority="18" operator="lessThan">
      <formula>0</formula>
    </cfRule>
  </conditionalFormatting>
  <conditionalFormatting sqref="E155">
    <cfRule type="cellIs" dxfId="487" priority="16" operator="lessThan">
      <formula>0</formula>
    </cfRule>
  </conditionalFormatting>
  <conditionalFormatting sqref="F155:F156">
    <cfRule type="cellIs" dxfId="486" priority="15" operator="lessThan">
      <formula>0</formula>
    </cfRule>
  </conditionalFormatting>
  <conditionalFormatting sqref="F155:F156">
    <cfRule type="cellIs" dxfId="485" priority="14" operator="greaterThan">
      <formula>0</formula>
    </cfRule>
  </conditionalFormatting>
  <conditionalFormatting sqref="E157">
    <cfRule type="cellIs" dxfId="484" priority="13" operator="lessThan">
      <formula>0</formula>
    </cfRule>
  </conditionalFormatting>
  <conditionalFormatting sqref="E156">
    <cfRule type="cellIs" dxfId="483" priority="12" operator="lessThan">
      <formula>0</formula>
    </cfRule>
  </conditionalFormatting>
  <conditionalFormatting sqref="F157">
    <cfRule type="cellIs" dxfId="482" priority="11" operator="lessThan">
      <formula>0</formula>
    </cfRule>
  </conditionalFormatting>
  <conditionalFormatting sqref="F157">
    <cfRule type="cellIs" dxfId="481" priority="10" operator="greaterThan">
      <formula>0</formula>
    </cfRule>
  </conditionalFormatting>
  <conditionalFormatting sqref="G155">
    <cfRule type="cellIs" dxfId="480" priority="9" operator="lessThan">
      <formula>0</formula>
    </cfRule>
  </conditionalFormatting>
  <conditionalFormatting sqref="G155">
    <cfRule type="cellIs" dxfId="479" priority="8" operator="greaterThan">
      <formula>0</formula>
    </cfRule>
  </conditionalFormatting>
  <conditionalFormatting sqref="E147">
    <cfRule type="cellIs" dxfId="478" priority="7" operator="lessThan">
      <formula>0</formula>
    </cfRule>
  </conditionalFormatting>
  <conditionalFormatting sqref="E148">
    <cfRule type="cellIs" dxfId="477" priority="6" operator="lessThan">
      <formula>0</formula>
    </cfRule>
  </conditionalFormatting>
  <conditionalFormatting sqref="E149">
    <cfRule type="cellIs" dxfId="476" priority="5" operator="lessThan">
      <formula>0</formula>
    </cfRule>
  </conditionalFormatting>
  <conditionalFormatting sqref="F148">
    <cfRule type="cellIs" dxfId="475" priority="4" operator="lessThan">
      <formula>0</formula>
    </cfRule>
  </conditionalFormatting>
  <conditionalFormatting sqref="F148">
    <cfRule type="cellIs" dxfId="474" priority="3" operator="greaterThan">
      <formula>0</formula>
    </cfRule>
  </conditionalFormatting>
  <conditionalFormatting sqref="F149">
    <cfRule type="cellIs" dxfId="473" priority="2" operator="lessThan">
      <formula>0</formula>
    </cfRule>
  </conditionalFormatting>
  <conditionalFormatting sqref="F149">
    <cfRule type="cellIs" dxfId="472" priority="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96DF1-227C-4746-8765-798D7567E210}">
  <sheetPr codeName="Sheet40">
    <tabColor rgb="FFF4D4D4"/>
  </sheetPr>
  <dimension ref="A1:AC58"/>
  <sheetViews>
    <sheetView topLeftCell="B1" workbookViewId="0">
      <selection activeCell="I13" sqref="I13"/>
    </sheetView>
  </sheetViews>
  <sheetFormatPr defaultRowHeight="14.5" x14ac:dyDescent="0.35"/>
  <cols>
    <col min="3" max="3" width="32.1796875" customWidth="1"/>
    <col min="4" max="4" width="40.1796875" bestFit="1" customWidth="1"/>
  </cols>
  <sheetData>
    <row r="1" spans="1:29" ht="15" thickBot="1" x14ac:dyDescent="0.4">
      <c r="A1" s="1"/>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 thickBot="1" x14ac:dyDescent="0.4">
      <c r="A2" s="1"/>
      <c r="B2" s="1"/>
      <c r="C2" s="896" t="s">
        <v>1589</v>
      </c>
      <c r="D2" s="932"/>
      <c r="E2" s="1"/>
      <c r="F2" s="1"/>
      <c r="G2" s="1"/>
      <c r="H2" s="1"/>
      <c r="I2" s="1"/>
      <c r="J2" s="1"/>
      <c r="K2" s="1"/>
      <c r="L2" s="1"/>
      <c r="M2" s="1"/>
      <c r="N2" s="1"/>
      <c r="O2" s="1"/>
      <c r="P2" s="1"/>
      <c r="Q2" s="1"/>
      <c r="R2" s="1"/>
      <c r="S2" s="1"/>
      <c r="T2" s="1"/>
      <c r="U2" s="1"/>
      <c r="V2" s="1"/>
      <c r="W2" s="1"/>
      <c r="X2" s="1"/>
      <c r="Y2" s="1"/>
      <c r="Z2" s="1"/>
      <c r="AA2" s="1"/>
      <c r="AB2" s="1"/>
      <c r="AC2" s="1"/>
    </row>
    <row r="3" spans="1:29" ht="15" thickBot="1" x14ac:dyDescent="0.4">
      <c r="A3" s="1"/>
      <c r="B3" s="1"/>
      <c r="C3" s="1"/>
      <c r="D3" s="1"/>
      <c r="E3" s="1"/>
      <c r="F3" s="1"/>
      <c r="G3" s="1"/>
      <c r="H3" s="1"/>
      <c r="I3" s="1"/>
      <c r="J3" s="1"/>
      <c r="K3" s="1"/>
      <c r="L3" s="1"/>
      <c r="M3" s="1"/>
      <c r="N3" s="1"/>
      <c r="O3" s="1"/>
      <c r="P3" s="1"/>
      <c r="Q3" s="1"/>
      <c r="R3" s="1"/>
      <c r="S3" s="1"/>
      <c r="T3" s="1"/>
      <c r="U3" s="1"/>
      <c r="V3" s="1"/>
      <c r="W3" s="1"/>
      <c r="X3" s="1"/>
      <c r="Y3" s="1"/>
      <c r="Z3" s="1"/>
      <c r="AA3" s="1"/>
      <c r="AB3" s="1"/>
      <c r="AC3" s="1"/>
    </row>
    <row r="4" spans="1:29" ht="15" thickBot="1" x14ac:dyDescent="0.4">
      <c r="A4" s="1"/>
      <c r="B4" s="1"/>
      <c r="C4" s="712" t="s">
        <v>1548</v>
      </c>
      <c r="D4" s="712" t="s">
        <v>1588</v>
      </c>
      <c r="E4" s="1"/>
      <c r="F4" s="1"/>
      <c r="G4" s="1"/>
      <c r="H4" s="1"/>
      <c r="I4" s="1"/>
      <c r="J4" s="1"/>
      <c r="K4" s="1"/>
      <c r="L4" s="1"/>
      <c r="M4" s="1"/>
      <c r="N4" s="1"/>
      <c r="O4" s="1"/>
      <c r="P4" s="1"/>
      <c r="Q4" s="1"/>
      <c r="R4" s="1"/>
      <c r="S4" s="1"/>
      <c r="T4" s="1"/>
      <c r="U4" s="1"/>
      <c r="V4" s="1"/>
      <c r="W4" s="1"/>
      <c r="X4" s="1"/>
      <c r="Y4" s="1"/>
      <c r="Z4" s="1"/>
      <c r="AA4" s="1"/>
      <c r="AB4" s="1"/>
      <c r="AC4" s="1"/>
    </row>
    <row r="5" spans="1:29" ht="15" thickBot="1" x14ac:dyDescent="0.4">
      <c r="A5" s="1"/>
      <c r="B5" s="1"/>
      <c r="C5" s="762" t="s">
        <v>651</v>
      </c>
      <c r="D5" s="714" t="e">
        <f>'Unit shortfall calculations'!G9</f>
        <v>#REF!</v>
      </c>
      <c r="E5" s="1"/>
      <c r="F5" s="1"/>
      <c r="G5" s="1"/>
      <c r="H5" s="1"/>
      <c r="I5" s="1"/>
      <c r="J5" s="1"/>
      <c r="K5" s="1"/>
      <c r="L5" s="1"/>
      <c r="M5" s="1"/>
      <c r="N5" s="1"/>
      <c r="O5" s="1"/>
      <c r="P5" s="1"/>
      <c r="Q5" s="1"/>
      <c r="R5" s="1"/>
      <c r="S5" s="1"/>
      <c r="T5" s="1"/>
      <c r="U5" s="1"/>
      <c r="V5" s="1"/>
      <c r="W5" s="1"/>
      <c r="X5" s="1"/>
      <c r="Y5" s="1"/>
      <c r="Z5" s="1"/>
      <c r="AA5" s="1"/>
      <c r="AB5" s="1"/>
      <c r="AC5" s="1"/>
    </row>
    <row r="6" spans="1:29" ht="15" thickBot="1" x14ac:dyDescent="0.4">
      <c r="A6" s="1"/>
      <c r="B6" s="1"/>
      <c r="C6" s="763" t="s">
        <v>680</v>
      </c>
      <c r="D6" s="714">
        <f>'Unit shortfall calculations'!G10</f>
        <v>0</v>
      </c>
      <c r="E6" s="1"/>
      <c r="F6" s="1"/>
      <c r="G6" s="1"/>
      <c r="H6" s="1"/>
      <c r="I6" s="1"/>
      <c r="J6" s="1"/>
      <c r="K6" s="1"/>
      <c r="L6" s="1"/>
      <c r="M6" s="1"/>
      <c r="N6" s="1"/>
      <c r="O6" s="1"/>
      <c r="P6" s="1"/>
      <c r="Q6" s="1"/>
      <c r="R6" s="1"/>
      <c r="S6" s="1"/>
      <c r="T6" s="1"/>
      <c r="U6" s="1"/>
      <c r="V6" s="1"/>
      <c r="W6" s="1"/>
      <c r="X6" s="1"/>
      <c r="Y6" s="1"/>
      <c r="Z6" s="1"/>
      <c r="AA6" s="1"/>
      <c r="AB6" s="1"/>
      <c r="AC6" s="1"/>
    </row>
    <row r="7" spans="1:29" ht="15" thickBot="1" x14ac:dyDescent="0.4">
      <c r="A7" s="1"/>
      <c r="B7" s="1"/>
      <c r="C7" s="763" t="s">
        <v>1551</v>
      </c>
      <c r="D7" s="714">
        <f>'Unit shortfall calculations'!G11</f>
        <v>0</v>
      </c>
      <c r="E7" s="1"/>
      <c r="F7" s="1"/>
      <c r="G7" s="1"/>
      <c r="H7" s="1"/>
      <c r="I7" s="1"/>
      <c r="J7" s="1"/>
      <c r="K7" s="1"/>
      <c r="L7" s="1"/>
      <c r="M7" s="1"/>
      <c r="N7" s="1"/>
      <c r="O7" s="1"/>
      <c r="P7" s="1"/>
      <c r="Q7" s="1"/>
      <c r="R7" s="1"/>
      <c r="S7" s="1"/>
      <c r="T7" s="1"/>
      <c r="U7" s="1"/>
      <c r="V7" s="1"/>
      <c r="W7" s="1"/>
      <c r="X7" s="1"/>
      <c r="Y7" s="1"/>
      <c r="Z7" s="1"/>
      <c r="AA7" s="1"/>
      <c r="AB7" s="1"/>
      <c r="AC7" s="1"/>
    </row>
    <row r="8" spans="1:29" ht="15" thickBot="1" x14ac:dyDescent="0.4">
      <c r="A8" s="1"/>
      <c r="B8" s="1"/>
      <c r="C8" s="763" t="s">
        <v>1552</v>
      </c>
      <c r="D8" s="714">
        <f>'Unit shortfall calculations'!G12</f>
        <v>0</v>
      </c>
      <c r="E8" s="1"/>
      <c r="F8" s="1"/>
      <c r="G8" s="1"/>
      <c r="H8" s="1"/>
      <c r="I8" s="1"/>
      <c r="J8" s="1"/>
      <c r="K8" s="1"/>
      <c r="L8" s="1"/>
      <c r="M8" s="1"/>
      <c r="N8" s="1"/>
      <c r="O8" s="1"/>
      <c r="P8" s="1"/>
      <c r="Q8" s="1"/>
      <c r="R8" s="1"/>
      <c r="S8" s="1"/>
      <c r="T8" s="1"/>
      <c r="U8" s="1"/>
      <c r="V8" s="1"/>
      <c r="W8" s="1"/>
      <c r="X8" s="1"/>
      <c r="Y8" s="1"/>
      <c r="Z8" s="1"/>
      <c r="AA8" s="1"/>
      <c r="AB8" s="1"/>
      <c r="AC8" s="1"/>
    </row>
    <row r="9" spans="1:29" ht="15" thickBot="1" x14ac:dyDescent="0.4">
      <c r="A9" s="1"/>
      <c r="B9" s="1"/>
      <c r="C9" s="764" t="s">
        <v>1553</v>
      </c>
      <c r="D9" s="714">
        <f>'Unit shortfall calculations'!G13</f>
        <v>0</v>
      </c>
      <c r="E9" s="1"/>
      <c r="F9" s="1"/>
      <c r="G9" s="1"/>
      <c r="H9" s="1"/>
      <c r="I9" s="1"/>
      <c r="J9" s="1"/>
      <c r="K9" s="1"/>
      <c r="L9" s="1"/>
      <c r="M9" s="1"/>
      <c r="N9" s="1"/>
      <c r="O9" s="1"/>
      <c r="P9" s="1"/>
      <c r="Q9" s="1"/>
      <c r="R9" s="1"/>
      <c r="S9" s="1"/>
      <c r="T9" s="1"/>
      <c r="U9" s="1"/>
      <c r="V9" s="1"/>
      <c r="W9" s="1"/>
      <c r="X9" s="1"/>
      <c r="Y9" s="1"/>
      <c r="Z9" s="1"/>
      <c r="AA9" s="1"/>
      <c r="AB9" s="1"/>
      <c r="AC9" s="1"/>
    </row>
    <row r="10" spans="1:29" ht="15" thickBot="1" x14ac:dyDescent="0.4">
      <c r="A10" s="1"/>
      <c r="B10" s="1"/>
      <c r="C10" s="765" t="s">
        <v>1554</v>
      </c>
      <c r="D10" s="714" t="e">
        <f>'Unit shortfall calculations'!G14</f>
        <v>#REF!</v>
      </c>
      <c r="E10" s="1"/>
      <c r="F10" s="1"/>
      <c r="G10" s="1"/>
      <c r="H10" s="1"/>
      <c r="I10" s="1"/>
      <c r="J10" s="1"/>
      <c r="K10" s="1"/>
      <c r="L10" s="1"/>
      <c r="M10" s="1"/>
      <c r="N10" s="1"/>
      <c r="O10" s="1"/>
      <c r="P10" s="1"/>
      <c r="Q10" s="1"/>
      <c r="R10" s="1"/>
      <c r="S10" s="1"/>
      <c r="T10" s="1"/>
      <c r="U10" s="1"/>
      <c r="V10" s="1"/>
      <c r="W10" s="1"/>
      <c r="X10" s="1"/>
      <c r="Y10" s="1"/>
      <c r="Z10" s="1"/>
      <c r="AA10" s="1"/>
      <c r="AB10" s="1"/>
      <c r="AC10" s="1"/>
    </row>
    <row r="11" spans="1:29" ht="15" thickBot="1" x14ac:dyDescent="0.4">
      <c r="A11" s="1"/>
      <c r="B11" s="1"/>
      <c r="C11" s="766" t="s">
        <v>1555</v>
      </c>
      <c r="D11" s="714" t="e">
        <f>'Unit shortfall calculations'!G15</f>
        <v>#REF!</v>
      </c>
      <c r="E11" s="1"/>
      <c r="F11" s="1"/>
      <c r="G11" s="1"/>
      <c r="H11" s="1"/>
      <c r="I11" s="1"/>
      <c r="J11" s="1"/>
      <c r="K11" s="1"/>
      <c r="L11" s="1"/>
      <c r="M11" s="1"/>
      <c r="N11" s="1"/>
      <c r="O11" s="1"/>
      <c r="P11" s="1"/>
      <c r="Q11" s="1"/>
      <c r="R11" s="1"/>
      <c r="S11" s="1"/>
      <c r="T11" s="1"/>
      <c r="U11" s="1"/>
      <c r="V11" s="1"/>
      <c r="W11" s="1"/>
      <c r="X11" s="1"/>
      <c r="Y11" s="1"/>
      <c r="Z11" s="1"/>
      <c r="AA11" s="1"/>
      <c r="AB11" s="1"/>
      <c r="AC11" s="1"/>
    </row>
    <row r="12" spans="1:29" x14ac:dyDescent="0.3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row>
    <row r="13" spans="1:29" x14ac:dyDescent="0.35">
      <c r="A13" s="1"/>
      <c r="B13" s="1"/>
      <c r="C13" s="1"/>
      <c r="D13" s="767" t="s">
        <v>1590</v>
      </c>
      <c r="E13" s="1"/>
      <c r="F13" s="1"/>
      <c r="G13" s="1"/>
      <c r="H13" s="1"/>
      <c r="I13" s="1"/>
      <c r="J13" s="1"/>
      <c r="K13" s="1"/>
      <c r="L13" s="1"/>
      <c r="M13" s="1"/>
      <c r="N13" s="1"/>
      <c r="O13" s="1"/>
      <c r="P13" s="1"/>
      <c r="Q13" s="1"/>
      <c r="R13" s="1"/>
      <c r="S13" s="1"/>
      <c r="T13" s="1"/>
      <c r="U13" s="1"/>
      <c r="V13" s="1"/>
      <c r="W13" s="1"/>
      <c r="X13" s="1"/>
      <c r="Y13" s="1"/>
      <c r="Z13" s="1"/>
      <c r="AA13" s="1"/>
      <c r="AB13" s="1"/>
      <c r="AC13" s="1"/>
    </row>
    <row r="14" spans="1:29" x14ac:dyDescent="0.3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row>
    <row r="15" spans="1:29" x14ac:dyDescent="0.3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row>
    <row r="16" spans="1:29" x14ac:dyDescent="0.3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row>
    <row r="17" spans="1:29" x14ac:dyDescent="0.3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row>
    <row r="18" spans="1:29" x14ac:dyDescent="0.3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row>
    <row r="19" spans="1:29" x14ac:dyDescent="0.3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row>
    <row r="20" spans="1:29" x14ac:dyDescent="0.3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row>
    <row r="21" spans="1:29" x14ac:dyDescent="0.3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row>
    <row r="22" spans="1:29" x14ac:dyDescent="0.3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row>
    <row r="23" spans="1:29" x14ac:dyDescent="0.3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row>
    <row r="24" spans="1:29" x14ac:dyDescent="0.3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x14ac:dyDescent="0.3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x14ac:dyDescent="0.3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x14ac:dyDescent="0.3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row>
    <row r="28" spans="1:29" x14ac:dyDescent="0.3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row>
    <row r="29" spans="1:29" x14ac:dyDescent="0.3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row>
    <row r="30" spans="1:29" x14ac:dyDescent="0.3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row>
    <row r="31" spans="1:29" x14ac:dyDescent="0.3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row>
    <row r="32" spans="1:29" x14ac:dyDescent="0.3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row>
    <row r="33" spans="1:29" x14ac:dyDescent="0.3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row>
    <row r="34" spans="1:29" x14ac:dyDescent="0.3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row>
    <row r="35" spans="1:29" x14ac:dyDescent="0.3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row>
    <row r="36" spans="1:29" x14ac:dyDescent="0.3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row>
    <row r="37" spans="1:29" x14ac:dyDescent="0.3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row>
    <row r="38" spans="1:29" x14ac:dyDescent="0.3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39" spans="1:29" x14ac:dyDescent="0.3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row>
    <row r="41" spans="1:29" x14ac:dyDescent="0.3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row>
    <row r="42" spans="1:29" x14ac:dyDescent="0.3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row>
    <row r="43" spans="1:29" x14ac:dyDescent="0.3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row>
    <row r="44" spans="1:29" x14ac:dyDescent="0.3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row>
    <row r="45" spans="1:29" x14ac:dyDescent="0.3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row>
    <row r="46" spans="1:29" x14ac:dyDescent="0.3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row>
    <row r="47" spans="1:29" x14ac:dyDescent="0.3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row>
    <row r="48" spans="1:29" x14ac:dyDescent="0.3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row>
    <row r="49" spans="1:29" x14ac:dyDescent="0.3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row>
    <row r="50" spans="1:29" x14ac:dyDescent="0.3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row>
    <row r="51" spans="1:29" x14ac:dyDescent="0.3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row>
    <row r="52" spans="1:29" x14ac:dyDescent="0.3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row>
    <row r="53" spans="1:29" x14ac:dyDescent="0.3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x14ac:dyDescent="0.3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row>
    <row r="55" spans="1:29" x14ac:dyDescent="0.3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x14ac:dyDescent="0.3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x14ac:dyDescent="0.3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x14ac:dyDescent="0.3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row>
  </sheetData>
  <sheetProtection algorithmName="SHA-512" hashValue="PDaD3t53lVjtaVcZi1dESlaXsDz8TRxKP2mLnjZGmUQOYUSc1YyFArNQTZLPuJr4quF3luUzKfsYAxzLgzLtaQ==" saltValue="5D7paQgWQuqEoL5badolAA==" spinCount="100000" sheet="1" objects="1" scenarios="1"/>
  <mergeCells count="1">
    <mergeCell ref="C2:D2"/>
  </mergeCells>
  <conditionalFormatting sqref="D5:D11">
    <cfRule type="cellIs" dxfId="471" priority="1" operator="greaterThan">
      <formula>0</formula>
    </cfRule>
    <cfRule type="cellIs" dxfId="470" priority="2" operator="less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02CFD-3DBF-461A-BAA5-6511AF78DE4C}">
  <sheetPr codeName="Sheet21">
    <tabColor rgb="FFF4D4D4"/>
  </sheetPr>
  <dimension ref="A1:V307"/>
  <sheetViews>
    <sheetView showGridLines="0" topLeftCell="A3" zoomScale="80" zoomScaleNormal="80" workbookViewId="0">
      <selection activeCell="F17" sqref="F17"/>
    </sheetView>
  </sheetViews>
  <sheetFormatPr defaultColWidth="0" defaultRowHeight="0" customHeight="1" zeroHeight="1" x14ac:dyDescent="0.3"/>
  <cols>
    <col min="1" max="1" width="18.453125" style="15" customWidth="1"/>
    <col min="2" max="2" width="104.81640625" style="15" bestFit="1" customWidth="1"/>
    <col min="3" max="3" width="24.453125" style="15" bestFit="1" customWidth="1"/>
    <col min="4" max="4" width="12.81640625" style="15" customWidth="1"/>
    <col min="5" max="5" width="12.453125" style="15" customWidth="1"/>
    <col min="6" max="6" width="18.1796875" style="15" customWidth="1"/>
    <col min="7" max="7" width="31" style="15" customWidth="1"/>
    <col min="8" max="8" width="27.81640625" style="15" customWidth="1"/>
    <col min="9" max="9" width="49.453125" style="15" customWidth="1"/>
    <col min="10" max="10" width="10.81640625" style="15" customWidth="1"/>
    <col min="11" max="11" width="2" style="15" customWidth="1"/>
    <col min="12" max="12" width="2.54296875" style="15" customWidth="1"/>
    <col min="13" max="13" width="4.1796875" style="15" customWidth="1"/>
    <col min="14" max="16" width="9.1796875" style="15" customWidth="1"/>
    <col min="17" max="17" width="10.54296875" style="15" customWidth="1"/>
    <col min="18" max="20" width="9.1796875" style="15" customWidth="1"/>
    <col min="21" max="22" width="0" style="15" hidden="1" customWidth="1"/>
    <col min="23" max="16384" width="9.1796875" style="15" hidden="1"/>
  </cols>
  <sheetData>
    <row r="1" spans="1:17" ht="15" thickBot="1" x14ac:dyDescent="0.35">
      <c r="A1" s="269"/>
      <c r="B1" s="17"/>
      <c r="C1" s="17"/>
      <c r="D1" s="17"/>
      <c r="E1" s="17"/>
      <c r="G1" s="17"/>
      <c r="H1" s="17"/>
      <c r="I1" s="17"/>
      <c r="J1" s="17"/>
      <c r="K1" s="17"/>
      <c r="L1" s="17"/>
      <c r="M1" s="17"/>
      <c r="N1" s="17"/>
      <c r="O1" s="17"/>
      <c r="P1" s="17"/>
      <c r="Q1" s="17"/>
    </row>
    <row r="2" spans="1:17" ht="25.5" thickBot="1" x14ac:dyDescent="0.35">
      <c r="A2" s="17"/>
      <c r="B2" s="954" t="s">
        <v>84</v>
      </c>
      <c r="C2" s="955"/>
      <c r="D2" s="955"/>
      <c r="E2" s="955"/>
      <c r="F2" s="955"/>
      <c r="G2" s="955"/>
      <c r="H2" s="956"/>
      <c r="I2" s="17"/>
      <c r="J2" s="17"/>
      <c r="K2" s="17"/>
      <c r="L2" s="17"/>
      <c r="M2" s="17"/>
      <c r="N2" s="17"/>
      <c r="O2" s="17"/>
      <c r="P2" s="17"/>
      <c r="Q2" s="17"/>
    </row>
    <row r="3" spans="1:17" ht="15" customHeight="1" x14ac:dyDescent="0.3">
      <c r="A3" s="17"/>
      <c r="B3" s="947" t="s">
        <v>85</v>
      </c>
      <c r="C3" s="949" t="s">
        <v>86</v>
      </c>
      <c r="D3" s="949"/>
      <c r="E3" s="949"/>
      <c r="F3" s="949"/>
      <c r="G3" s="949" t="s">
        <v>87</v>
      </c>
      <c r="H3" s="945"/>
      <c r="I3" s="177"/>
      <c r="J3" s="177"/>
      <c r="K3" s="177"/>
      <c r="L3" s="17"/>
      <c r="M3" s="17"/>
      <c r="N3" s="17"/>
      <c r="O3" s="17"/>
      <c r="P3" s="17"/>
      <c r="Q3" s="17"/>
    </row>
    <row r="4" spans="1:17" ht="14.25" customHeight="1" x14ac:dyDescent="0.3">
      <c r="A4" s="17"/>
      <c r="B4" s="948"/>
      <c r="C4" s="950"/>
      <c r="D4" s="950"/>
      <c r="E4" s="950"/>
      <c r="F4" s="950"/>
      <c r="G4" s="950"/>
      <c r="H4" s="946"/>
      <c r="I4" s="177"/>
      <c r="J4" s="177"/>
      <c r="K4" s="177"/>
      <c r="L4" s="17"/>
      <c r="M4" s="17"/>
      <c r="N4" s="17"/>
      <c r="O4" s="17"/>
      <c r="P4" s="17"/>
      <c r="Q4" s="17"/>
    </row>
    <row r="5" spans="1:17" ht="20" x14ac:dyDescent="0.3">
      <c r="A5" s="17"/>
      <c r="B5" s="83" t="s">
        <v>88</v>
      </c>
      <c r="C5" s="961" t="s">
        <v>110</v>
      </c>
      <c r="D5" s="961"/>
      <c r="E5" s="961"/>
      <c r="F5" s="961"/>
      <c r="G5" s="959" t="str">
        <f>IFERROR(IF(H14&lt;0,"No ▲","Yes ✓"),"")</f>
        <v>Yes ✓</v>
      </c>
      <c r="H5" s="960"/>
      <c r="I5" s="177"/>
      <c r="J5" s="177"/>
      <c r="K5" s="177"/>
      <c r="L5" s="17"/>
      <c r="M5" s="17"/>
      <c r="N5" s="17"/>
      <c r="O5" s="17"/>
      <c r="P5" s="17"/>
      <c r="Q5" s="17"/>
    </row>
    <row r="6" spans="1:17" ht="20" x14ac:dyDescent="0.3">
      <c r="A6" s="17"/>
      <c r="B6" s="83" t="s">
        <v>90</v>
      </c>
      <c r="C6" s="963" t="s">
        <v>111</v>
      </c>
      <c r="D6" s="963"/>
      <c r="E6" s="963"/>
      <c r="F6" s="963"/>
      <c r="G6" s="959" t="str">
        <f>IF(H22+H13&lt;0, "No ▲","Yes ✓")</f>
        <v>Yes ✓</v>
      </c>
      <c r="H6" s="960"/>
      <c r="I6" s="177"/>
      <c r="J6" s="177"/>
      <c r="K6" s="177"/>
      <c r="L6" s="17"/>
      <c r="M6" s="17"/>
      <c r="N6" s="17"/>
      <c r="O6" s="17"/>
      <c r="P6" s="17"/>
      <c r="Q6" s="17"/>
    </row>
    <row r="7" spans="1:17" ht="22.5" customHeight="1" x14ac:dyDescent="0.3">
      <c r="A7" s="17"/>
      <c r="B7" s="83" t="s">
        <v>38</v>
      </c>
      <c r="C7" s="962" t="s">
        <v>112</v>
      </c>
      <c r="D7" s="962"/>
      <c r="E7" s="962"/>
      <c r="F7" s="962"/>
      <c r="G7" s="959" t="e">
        <f>IF(H33&lt;0, "No ▲","Yes ✓")</f>
        <v>#REF!</v>
      </c>
      <c r="H7" s="960"/>
      <c r="I7" s="17"/>
      <c r="J7" s="17"/>
      <c r="K7" s="17"/>
      <c r="L7" s="17"/>
      <c r="M7" s="17"/>
      <c r="N7" s="17"/>
      <c r="O7" s="17"/>
      <c r="P7" s="17"/>
      <c r="Q7" s="17"/>
    </row>
    <row r="8" spans="1:17" ht="19.5" customHeight="1" x14ac:dyDescent="0.3">
      <c r="A8" s="17"/>
      <c r="B8" s="83" t="s">
        <v>92</v>
      </c>
      <c r="C8" s="962" t="s">
        <v>112</v>
      </c>
      <c r="D8" s="962"/>
      <c r="E8" s="962"/>
      <c r="F8" s="962"/>
      <c r="G8" s="959" t="e">
        <f>IF(H44&lt;0,"No ▲","Yes ✓")</f>
        <v>#REF!</v>
      </c>
      <c r="H8" s="960"/>
      <c r="I8" s="773"/>
      <c r="J8" s="17"/>
      <c r="K8" s="17"/>
      <c r="L8" s="17"/>
      <c r="M8" s="17"/>
      <c r="N8" s="17"/>
      <c r="O8" s="17"/>
      <c r="P8" s="17"/>
      <c r="Q8" s="17"/>
    </row>
    <row r="9" spans="1:17" ht="18.75" customHeight="1" thickBot="1" x14ac:dyDescent="0.35">
      <c r="A9" s="17"/>
      <c r="B9" s="58" t="s">
        <v>830</v>
      </c>
      <c r="C9" s="962" t="s">
        <v>112</v>
      </c>
      <c r="D9" s="962"/>
      <c r="E9" s="962"/>
      <c r="F9" s="962"/>
      <c r="G9" s="967" t="e">
        <f>IF(H54&lt;0,"No ▲","Yes ✓")</f>
        <v>#REF!</v>
      </c>
      <c r="H9" s="968"/>
      <c r="I9" s="17"/>
      <c r="J9" s="17"/>
      <c r="K9" s="17"/>
      <c r="L9" s="17"/>
      <c r="M9" s="17"/>
      <c r="N9" s="17"/>
      <c r="O9" s="17"/>
      <c r="P9" s="17"/>
      <c r="Q9" s="17"/>
    </row>
    <row r="10" spans="1:17" ht="14" x14ac:dyDescent="0.3">
      <c r="A10" s="17"/>
      <c r="B10" s="17"/>
      <c r="C10" s="17"/>
      <c r="D10" s="17"/>
      <c r="E10" s="17"/>
      <c r="F10" s="17"/>
      <c r="G10" s="17"/>
      <c r="H10" s="17"/>
      <c r="I10" s="17"/>
      <c r="J10" s="17"/>
      <c r="K10" s="17"/>
      <c r="L10" s="17"/>
      <c r="M10" s="17"/>
      <c r="N10" s="17"/>
      <c r="O10" s="17"/>
      <c r="P10" s="17"/>
      <c r="Q10" s="17"/>
    </row>
    <row r="11" spans="1:17" ht="14.5" thickBot="1" x14ac:dyDescent="0.35">
      <c r="A11" s="17"/>
      <c r="B11" s="17"/>
      <c r="C11" s="17"/>
      <c r="D11" s="17"/>
      <c r="E11" s="17"/>
      <c r="F11" s="17"/>
      <c r="G11" s="17"/>
      <c r="H11" s="17"/>
      <c r="I11" s="17"/>
      <c r="J11" s="17"/>
      <c r="K11" s="17"/>
      <c r="L11" s="17"/>
      <c r="M11" s="17"/>
      <c r="N11" s="17"/>
      <c r="O11" s="17"/>
      <c r="P11" s="17"/>
      <c r="Q11" s="17"/>
    </row>
    <row r="12" spans="1:17" s="18" customFormat="1" ht="52.5" customHeight="1" thickBot="1" x14ac:dyDescent="0.35">
      <c r="A12" s="17"/>
      <c r="B12" s="951" t="s">
        <v>94</v>
      </c>
      <c r="C12" s="952"/>
      <c r="D12" s="952"/>
      <c r="E12" s="953"/>
      <c r="F12" s="453"/>
      <c r="G12" s="943" t="s">
        <v>95</v>
      </c>
      <c r="H12" s="944"/>
      <c r="K12" s="17"/>
      <c r="L12" s="17"/>
      <c r="M12" s="17"/>
    </row>
    <row r="13" spans="1:17" ht="45" x14ac:dyDescent="0.3">
      <c r="A13" s="17"/>
      <c r="B13" s="54" t="s">
        <v>42</v>
      </c>
      <c r="C13" s="55" t="s">
        <v>97</v>
      </c>
      <c r="D13" s="55" t="s">
        <v>62</v>
      </c>
      <c r="E13" s="56" t="s">
        <v>98</v>
      </c>
      <c r="G13" s="57" t="s">
        <v>99</v>
      </c>
      <c r="H13" s="280">
        <f>SUMIF($E$14:$E$14,"&gt;0")</f>
        <v>0</v>
      </c>
      <c r="I13" s="605"/>
      <c r="K13" s="17"/>
      <c r="L13" s="17"/>
      <c r="M13" s="17"/>
      <c r="N13" s="17"/>
      <c r="O13" s="17"/>
    </row>
    <row r="14" spans="1:17" ht="28.5" thickBot="1" x14ac:dyDescent="0.35">
      <c r="A14" s="17"/>
      <c r="B14" s="229" t="str">
        <f>'G-2 Habitat groups'!A150</f>
        <v>Species-rich native hedgerow with trees - associated with bank or ditch</v>
      </c>
      <c r="C14" s="285">
        <f>'G-2 Habitat groups'!R150</f>
        <v>0</v>
      </c>
      <c r="D14" s="285" t="e">
        <f>'G-2 Habitat groups'!AD150</f>
        <v>#REF!</v>
      </c>
      <c r="E14" s="447" t="e">
        <f>'G-2 Habitat groups'!AF150</f>
        <v>#REF!</v>
      </c>
      <c r="G14" s="58" t="s">
        <v>1528</v>
      </c>
      <c r="H14" s="281">
        <f>SUMIF(E14, "&lt;0", E14)</f>
        <v>0</v>
      </c>
      <c r="K14" s="17"/>
      <c r="L14" s="17"/>
      <c r="M14" s="17"/>
      <c r="N14" s="17"/>
      <c r="O14" s="17"/>
    </row>
    <row r="15" spans="1:17" ht="14.5" thickBot="1" x14ac:dyDescent="0.35">
      <c r="A15" s="17"/>
      <c r="C15" s="455">
        <f>SUM(C14:C14)</f>
        <v>0</v>
      </c>
      <c r="D15" s="456" t="e">
        <f>SUM(D14:D14)</f>
        <v>#REF!</v>
      </c>
      <c r="E15" s="275" t="e">
        <f>SUM(E14:E14)</f>
        <v>#REF!</v>
      </c>
      <c r="G15" s="436"/>
      <c r="H15" s="17"/>
      <c r="I15" s="17"/>
      <c r="J15" s="17"/>
      <c r="K15" s="17"/>
      <c r="L15" s="17"/>
      <c r="M15" s="17"/>
      <c r="N15" s="17"/>
      <c r="O15" s="17"/>
      <c r="P15" s="17"/>
      <c r="Q15" s="17"/>
    </row>
    <row r="16" spans="1:17" ht="14" x14ac:dyDescent="0.3">
      <c r="A16" s="17"/>
      <c r="B16" s="17"/>
      <c r="C16" s="17"/>
      <c r="D16" s="17"/>
      <c r="E16" s="17"/>
      <c r="F16" s="17"/>
      <c r="G16" s="17"/>
      <c r="H16" s="17"/>
      <c r="I16" s="17"/>
      <c r="J16" s="17"/>
      <c r="K16" s="17"/>
      <c r="L16" s="17"/>
      <c r="M16" s="17"/>
      <c r="N16" s="17"/>
      <c r="O16" s="17"/>
      <c r="P16" s="17"/>
      <c r="Q16" s="17"/>
    </row>
    <row r="17" spans="1:17" ht="14" x14ac:dyDescent="0.3">
      <c r="A17" s="17"/>
      <c r="B17" s="17"/>
      <c r="C17" s="17"/>
      <c r="D17" s="17"/>
      <c r="E17" s="17"/>
      <c r="F17" s="17"/>
      <c r="G17" s="17"/>
      <c r="H17" s="17"/>
      <c r="I17" s="17"/>
      <c r="J17" s="17"/>
      <c r="K17" s="17"/>
      <c r="L17" s="17"/>
      <c r="M17" s="17"/>
      <c r="N17" s="17"/>
      <c r="O17" s="17"/>
      <c r="P17" s="17"/>
      <c r="Q17" s="17"/>
    </row>
    <row r="18" spans="1:17" ht="14" x14ac:dyDescent="0.3">
      <c r="A18" s="17"/>
      <c r="B18" s="17"/>
      <c r="C18" s="17"/>
      <c r="D18" s="17"/>
      <c r="E18" s="17"/>
      <c r="F18" s="17"/>
      <c r="G18" s="17"/>
      <c r="H18" s="17"/>
      <c r="I18" s="17"/>
      <c r="J18" s="17"/>
      <c r="K18" s="17"/>
      <c r="L18" s="17"/>
      <c r="M18" s="17"/>
      <c r="N18" s="17"/>
      <c r="O18" s="17"/>
      <c r="P18" s="17"/>
      <c r="Q18" s="17"/>
    </row>
    <row r="19" spans="1:17" ht="14.5" thickBot="1" x14ac:dyDescent="0.35">
      <c r="A19" s="17"/>
      <c r="B19" s="17"/>
      <c r="C19" s="17"/>
      <c r="D19" s="17"/>
      <c r="E19" s="17"/>
      <c r="F19" s="17"/>
      <c r="G19" s="17"/>
      <c r="H19" s="17"/>
      <c r="I19" s="17"/>
      <c r="J19" s="17"/>
      <c r="K19" s="17"/>
      <c r="L19" s="17"/>
      <c r="M19" s="17"/>
      <c r="N19" s="17"/>
      <c r="O19" s="17"/>
      <c r="P19" s="17"/>
      <c r="Q19" s="17"/>
    </row>
    <row r="20" spans="1:17" ht="68.150000000000006" customHeight="1" thickBot="1" x14ac:dyDescent="0.35">
      <c r="A20" s="17"/>
      <c r="B20" s="964" t="s">
        <v>100</v>
      </c>
      <c r="C20" s="965"/>
      <c r="D20" s="965"/>
      <c r="E20" s="966"/>
      <c r="F20" s="451"/>
      <c r="G20" s="957" t="s">
        <v>101</v>
      </c>
      <c r="H20" s="958"/>
      <c r="K20" s="17"/>
      <c r="L20" s="17"/>
      <c r="M20" s="17"/>
      <c r="N20" s="17"/>
      <c r="O20" s="17"/>
    </row>
    <row r="21" spans="1:17" ht="45" x14ac:dyDescent="0.3">
      <c r="A21" s="17"/>
      <c r="B21" s="54" t="s">
        <v>42</v>
      </c>
      <c r="C21" s="55" t="s">
        <v>44</v>
      </c>
      <c r="D21" s="55" t="s">
        <v>62</v>
      </c>
      <c r="E21" s="56" t="s">
        <v>106</v>
      </c>
      <c r="G21" s="57" t="s">
        <v>102</v>
      </c>
      <c r="H21" s="280">
        <f>SUMIF(E22:E24,"&gt;0")</f>
        <v>0</v>
      </c>
      <c r="K21" s="17"/>
      <c r="L21" s="17"/>
    </row>
    <row r="22" spans="1:17" ht="28" x14ac:dyDescent="0.3">
      <c r="A22" s="17"/>
      <c r="B22" s="227" t="str">
        <f>'G-2 Habitat groups'!A151</f>
        <v>Species-rich native hedgerow with trees</v>
      </c>
      <c r="C22" s="277">
        <f>'G-2 Habitat groups'!R151</f>
        <v>0</v>
      </c>
      <c r="D22" s="277" t="e">
        <f>'G-2 Habitat groups'!AD151</f>
        <v>#REF!</v>
      </c>
      <c r="E22" s="278" t="e">
        <f>'G-2 Habitat groups'!AF151</f>
        <v>#REF!</v>
      </c>
      <c r="G22" s="83" t="s">
        <v>1533</v>
      </c>
      <c r="H22" s="283">
        <f>SUMIF(E22:E24, "&lt;0")</f>
        <v>0</v>
      </c>
      <c r="I22" s="606"/>
      <c r="K22" s="17"/>
      <c r="L22" s="17"/>
    </row>
    <row r="23" spans="1:17" ht="42.5" thickBot="1" x14ac:dyDescent="0.35">
      <c r="A23" s="17"/>
      <c r="B23" s="227" t="str">
        <f>'G-2 Habitat groups'!A152</f>
        <v>Species-rich native hedgerow - associated with bank or ditch</v>
      </c>
      <c r="C23" s="277">
        <f>'G-2 Habitat groups'!R152</f>
        <v>0</v>
      </c>
      <c r="D23" s="277" t="e">
        <f>'G-2 Habitat groups'!AD152</f>
        <v>#REF!</v>
      </c>
      <c r="E23" s="278" t="e">
        <f>'G-2 Habitat groups'!AF152</f>
        <v>#REF!</v>
      </c>
      <c r="G23" s="58" t="s">
        <v>1492</v>
      </c>
      <c r="H23" s="281">
        <f>H13+H22</f>
        <v>0</v>
      </c>
    </row>
    <row r="24" spans="1:17" ht="15" customHeight="1" thickBot="1" x14ac:dyDescent="0.35">
      <c r="A24" s="17"/>
      <c r="B24" s="229" t="str">
        <f>'G-2 Habitat groups'!A153</f>
        <v>Native hedgerow with trees - associated with bank or ditch</v>
      </c>
      <c r="C24" s="285">
        <f>'G-2 Habitat groups'!R153</f>
        <v>0</v>
      </c>
      <c r="D24" s="285" t="e">
        <f>'G-2 Habitat groups'!AD153</f>
        <v>#REF!</v>
      </c>
      <c r="E24" s="447" t="e">
        <f>'G-2 Habitat groups'!AF153</f>
        <v>#REF!</v>
      </c>
      <c r="G24" s="454"/>
      <c r="H24" s="17"/>
      <c r="K24" s="17"/>
      <c r="L24" s="17"/>
    </row>
    <row r="25" spans="1:17" ht="14" hidden="1" x14ac:dyDescent="0.3">
      <c r="A25" s="17"/>
      <c r="B25" s="226" t="str">
        <f>'G-2 Habitat groups'!A158</f>
        <v>Ecologically valuable line of trees - associated with bank or ditch</v>
      </c>
      <c r="C25" s="279">
        <f>'G-2 Habitat groups'!BB87</f>
        <v>0</v>
      </c>
      <c r="D25" s="279" t="e">
        <f>'G-2 Habitat groups'!BD87</f>
        <v>#REF!</v>
      </c>
      <c r="E25" s="279" t="e">
        <f>'G-2 Habitat groups'!BE87</f>
        <v>#REF!</v>
      </c>
      <c r="G25" s="446" t="e">
        <f>SUM(E25:E25)</f>
        <v>#REF!</v>
      </c>
      <c r="H25" s="17"/>
      <c r="K25" s="17"/>
      <c r="L25" s="17"/>
      <c r="M25" s="17"/>
    </row>
    <row r="26" spans="1:17" ht="14.5" customHeight="1" thickBot="1" x14ac:dyDescent="0.35">
      <c r="A26" s="17"/>
      <c r="B26" s="17"/>
      <c r="C26" s="509">
        <f>SUM(C22:C25)</f>
        <v>0</v>
      </c>
      <c r="D26" s="274" t="e">
        <f>SUM(D22:D25)</f>
        <v>#REF!</v>
      </c>
      <c r="E26" s="275" t="e">
        <f>SUM(E22:E25)</f>
        <v>#REF!</v>
      </c>
      <c r="H26" s="17"/>
      <c r="K26" s="17"/>
      <c r="L26" s="17"/>
      <c r="M26" s="17"/>
      <c r="N26" s="17"/>
      <c r="O26" s="17"/>
    </row>
    <row r="27" spans="1:17" ht="14" x14ac:dyDescent="0.3">
      <c r="A27" s="17"/>
      <c r="B27" s="17"/>
      <c r="C27" s="17"/>
      <c r="D27" s="17"/>
      <c r="E27" s="17"/>
      <c r="F27" s="17"/>
      <c r="G27" s="17"/>
      <c r="H27" s="17"/>
      <c r="I27" s="17"/>
      <c r="J27" s="17"/>
      <c r="K27" s="17"/>
      <c r="L27" s="17"/>
      <c r="M27" s="17"/>
      <c r="N27" s="17"/>
      <c r="O27" s="17"/>
      <c r="P27" s="17"/>
      <c r="Q27" s="17"/>
    </row>
    <row r="28" spans="1:17" ht="14" x14ac:dyDescent="0.3">
      <c r="A28" s="17"/>
      <c r="B28" s="17"/>
      <c r="C28" s="17"/>
      <c r="D28" s="17"/>
      <c r="E28" s="17"/>
      <c r="F28" s="17"/>
      <c r="G28" s="17"/>
      <c r="H28" s="17"/>
      <c r="I28" s="17"/>
      <c r="J28" s="17"/>
      <c r="K28" s="17"/>
      <c r="L28" s="17"/>
      <c r="M28" s="17"/>
      <c r="N28" s="17"/>
      <c r="O28" s="17"/>
      <c r="P28" s="17"/>
      <c r="Q28" s="17"/>
    </row>
    <row r="29" spans="1:17" ht="14.5" thickBot="1" x14ac:dyDescent="0.35">
      <c r="A29" s="17"/>
      <c r="B29" s="17"/>
      <c r="C29" s="17"/>
      <c r="D29" s="17"/>
      <c r="E29" s="17"/>
      <c r="F29" s="17"/>
      <c r="G29" s="17"/>
      <c r="H29" s="17"/>
      <c r="I29" s="17"/>
      <c r="J29" s="17"/>
      <c r="K29" s="17"/>
      <c r="L29" s="17"/>
      <c r="M29" s="17"/>
      <c r="N29" s="17"/>
      <c r="O29" s="17"/>
      <c r="P29" s="17"/>
      <c r="Q29" s="17"/>
    </row>
    <row r="30" spans="1:17" ht="28" thickBot="1" x14ac:dyDescent="0.5">
      <c r="A30" s="17"/>
      <c r="B30" s="964" t="s">
        <v>104</v>
      </c>
      <c r="C30" s="965"/>
      <c r="D30" s="965"/>
      <c r="E30" s="966"/>
      <c r="F30" s="451"/>
      <c r="G30" s="969" t="s">
        <v>105</v>
      </c>
      <c r="H30" s="970"/>
      <c r="K30" s="17"/>
      <c r="L30" s="17"/>
      <c r="M30" s="17"/>
      <c r="N30" s="17"/>
      <c r="O30" s="17"/>
      <c r="P30" s="17"/>
      <c r="Q30" s="17"/>
    </row>
    <row r="31" spans="1:17" ht="45" x14ac:dyDescent="0.3">
      <c r="A31" s="17"/>
      <c r="B31" s="54" t="s">
        <v>42</v>
      </c>
      <c r="C31" s="55" t="s">
        <v>44</v>
      </c>
      <c r="D31" s="55" t="s">
        <v>62</v>
      </c>
      <c r="E31" s="56" t="s">
        <v>106</v>
      </c>
      <c r="G31" s="489" t="s">
        <v>113</v>
      </c>
      <c r="H31" s="282">
        <f>IF(H23&gt;0, H23, 0)+H21</f>
        <v>0</v>
      </c>
      <c r="K31" s="17"/>
      <c r="L31" s="17"/>
      <c r="M31" s="17"/>
      <c r="N31" s="17"/>
      <c r="O31" s="17"/>
      <c r="P31" s="17"/>
      <c r="Q31" s="17"/>
    </row>
    <row r="32" spans="1:17" ht="28" x14ac:dyDescent="0.3">
      <c r="A32" s="17"/>
      <c r="B32" s="227" t="str">
        <f>'G-2 Habitat groups'!A154</f>
        <v>Species-rich native hedgerow</v>
      </c>
      <c r="C32" s="277">
        <f>'G-2 Habitat groups'!R154</f>
        <v>0</v>
      </c>
      <c r="D32" s="277" t="e">
        <f>'G-2 Habitat groups'!AD154</f>
        <v>#REF!</v>
      </c>
      <c r="E32" s="278" t="e">
        <f>'G-2 Habitat groups'!AF154</f>
        <v>#REF!</v>
      </c>
      <c r="G32" s="83" t="s">
        <v>114</v>
      </c>
      <c r="H32" s="278" t="e">
        <f>E38</f>
        <v>#REF!</v>
      </c>
      <c r="K32" s="17"/>
      <c r="L32" s="17"/>
      <c r="M32" s="17"/>
      <c r="N32" s="17"/>
      <c r="O32" s="17"/>
      <c r="P32" s="17"/>
      <c r="Q32" s="17"/>
    </row>
    <row r="33" spans="1:17" ht="14.5" thickBot="1" x14ac:dyDescent="0.35">
      <c r="A33" s="17"/>
      <c r="B33" s="227" t="str">
        <f>'G-2 Habitat groups'!A155</f>
        <v>Native hedgerow - associated with bank or ditch</v>
      </c>
      <c r="C33" s="277">
        <f>'G-2 Habitat groups'!R155</f>
        <v>0</v>
      </c>
      <c r="D33" s="277" t="e">
        <f>'G-2 Habitat groups'!AD155</f>
        <v>#REF!</v>
      </c>
      <c r="E33" s="278" t="e">
        <f>'G-2 Habitat groups'!AF155</f>
        <v>#REF!</v>
      </c>
      <c r="G33" s="58" t="s">
        <v>1489</v>
      </c>
      <c r="H33" s="281" t="e">
        <f>H32+H31</f>
        <v>#REF!</v>
      </c>
      <c r="K33" s="17"/>
      <c r="L33" s="17"/>
      <c r="M33" s="17"/>
      <c r="N33" s="17"/>
      <c r="O33" s="17"/>
    </row>
    <row r="34" spans="1:17" ht="14" x14ac:dyDescent="0.3">
      <c r="A34" s="17"/>
      <c r="B34" s="227" t="str">
        <f>'G-2 Habitat groups'!A156</f>
        <v>Native hedgerow with trees</v>
      </c>
      <c r="C34" s="277">
        <f>'G-2 Habitat groups'!R156</f>
        <v>0</v>
      </c>
      <c r="D34" s="277" t="e">
        <f>'G-2 Habitat groups'!AD156</f>
        <v>#REF!</v>
      </c>
      <c r="E34" s="278" t="e">
        <f>'G-2 Habitat groups'!AF156</f>
        <v>#REF!</v>
      </c>
      <c r="K34" s="17"/>
      <c r="L34" s="17"/>
      <c r="M34" s="17"/>
      <c r="N34" s="17"/>
    </row>
    <row r="35" spans="1:17" ht="14" x14ac:dyDescent="0.3">
      <c r="A35" s="17"/>
      <c r="B35" s="227" t="str">
        <f>'G-2 Habitat groups'!A157</f>
        <v>Ecologically valuable line of trees</v>
      </c>
      <c r="C35" s="277">
        <f>'G-2 Habitat groups'!R157</f>
        <v>0</v>
      </c>
      <c r="D35" s="277" t="e">
        <f>'G-2 Habitat groups'!AD157</f>
        <v>#REF!</v>
      </c>
      <c r="E35" s="278" t="e">
        <f>'G-2 Habitat groups'!AF157</f>
        <v>#REF!</v>
      </c>
      <c r="G35" s="23"/>
      <c r="H35" s="464"/>
      <c r="K35" s="17"/>
      <c r="L35" s="17"/>
      <c r="M35" s="17"/>
      <c r="N35" s="17"/>
    </row>
    <row r="36" spans="1:17" ht="14.5" thickBot="1" x14ac:dyDescent="0.35">
      <c r="A36" s="17"/>
      <c r="B36" s="229" t="str">
        <f>'G-2 Habitat groups'!A158</f>
        <v>Ecologically valuable line of trees - associated with bank or ditch</v>
      </c>
      <c r="C36" s="285">
        <f>'G-2 Habitat groups'!R158</f>
        <v>0</v>
      </c>
      <c r="D36" s="285" t="e">
        <f>'G-2 Habitat groups'!AD158</f>
        <v>#REF!</v>
      </c>
      <c r="E36" s="447" t="e">
        <f>'G-2 Habitat groups'!AF158</f>
        <v>#REF!</v>
      </c>
      <c r="G36" s="454"/>
      <c r="H36" s="17"/>
      <c r="K36" s="17"/>
      <c r="L36" s="17"/>
      <c r="M36" s="17"/>
      <c r="N36" s="17"/>
    </row>
    <row r="37" spans="1:17" ht="14" hidden="1" x14ac:dyDescent="0.3">
      <c r="A37" s="17"/>
      <c r="B37" s="226" t="str">
        <f>'G-2 Habitat groups'!A158</f>
        <v>Ecologically valuable line of trees - associated with bank or ditch</v>
      </c>
      <c r="C37" s="279">
        <f>'G-2 Habitat groups'!BB30</f>
        <v>0</v>
      </c>
      <c r="D37" s="279" t="e">
        <f>'G-2 Habitat groups'!BD30</f>
        <v>#REF!</v>
      </c>
      <c r="E37" s="279" t="e">
        <f>'G-2 Habitat groups'!BE30</f>
        <v>#REF!</v>
      </c>
      <c r="G37" s="446" t="e">
        <f>SUM(E37:E37)</f>
        <v>#REF!</v>
      </c>
      <c r="H37" s="17"/>
      <c r="K37" s="17"/>
      <c r="L37" s="17"/>
      <c r="M37" s="17"/>
      <c r="N37" s="17"/>
    </row>
    <row r="38" spans="1:17" ht="14.5" customHeight="1" thickBot="1" x14ac:dyDescent="0.35">
      <c r="A38" s="17"/>
      <c r="B38" s="17"/>
      <c r="C38" s="455">
        <f>SUM(C32:C37)</f>
        <v>0</v>
      </c>
      <c r="D38" s="274" t="e">
        <f>SUM(D32:D37)</f>
        <v>#REF!</v>
      </c>
      <c r="E38" s="275" t="e">
        <f>SUM(E32:E37)</f>
        <v>#REF!</v>
      </c>
      <c r="H38" s="17"/>
      <c r="I38" s="17"/>
      <c r="J38" s="17"/>
      <c r="K38" s="17"/>
      <c r="L38" s="17"/>
      <c r="M38" s="17"/>
      <c r="N38" s="17"/>
      <c r="O38" s="17"/>
      <c r="P38" s="17"/>
      <c r="Q38" s="17"/>
    </row>
    <row r="39" spans="1:17" ht="14" x14ac:dyDescent="0.3">
      <c r="A39" s="17"/>
      <c r="B39" s="17"/>
      <c r="C39" s="17"/>
      <c r="D39" s="17"/>
      <c r="E39" s="17"/>
      <c r="F39" s="17"/>
      <c r="G39" s="17"/>
      <c r="H39" s="17"/>
      <c r="I39" s="17"/>
      <c r="J39" s="17"/>
      <c r="K39" s="17"/>
      <c r="L39" s="17"/>
      <c r="M39" s="17"/>
      <c r="N39" s="17"/>
      <c r="O39" s="17"/>
      <c r="P39" s="17"/>
      <c r="Q39" s="17"/>
    </row>
    <row r="40" spans="1:17" ht="14" x14ac:dyDescent="0.3">
      <c r="A40" s="17"/>
      <c r="B40" s="17"/>
      <c r="C40" s="17"/>
      <c r="D40" s="17"/>
      <c r="E40" s="17"/>
      <c r="F40" s="17"/>
      <c r="G40" s="17"/>
      <c r="H40" s="17"/>
      <c r="I40" s="17"/>
      <c r="J40" s="17"/>
      <c r="K40" s="17"/>
      <c r="L40" s="17"/>
      <c r="M40" s="17"/>
      <c r="N40" s="17"/>
      <c r="O40" s="17"/>
      <c r="P40" s="17"/>
      <c r="Q40" s="17"/>
    </row>
    <row r="41" spans="1:17" ht="14.5" thickBot="1" x14ac:dyDescent="0.35">
      <c r="A41" s="17"/>
      <c r="B41" s="17"/>
      <c r="C41" s="17"/>
      <c r="D41" s="17"/>
      <c r="E41" s="17"/>
      <c r="F41" s="17"/>
      <c r="G41" s="17"/>
      <c r="H41" s="17"/>
      <c r="I41" s="17"/>
      <c r="J41" s="17"/>
      <c r="K41" s="17"/>
      <c r="L41" s="17"/>
      <c r="M41" s="17"/>
      <c r="N41" s="17"/>
      <c r="O41" s="17"/>
      <c r="P41" s="17"/>
      <c r="Q41" s="17"/>
    </row>
    <row r="42" spans="1:17" ht="56.5" customHeight="1" thickBot="1" x14ac:dyDescent="0.35">
      <c r="A42" s="17"/>
      <c r="B42" s="940" t="s">
        <v>107</v>
      </c>
      <c r="C42" s="941"/>
      <c r="D42" s="941"/>
      <c r="E42" s="942"/>
      <c r="F42" s="17"/>
      <c r="G42" s="943" t="s">
        <v>108</v>
      </c>
      <c r="H42" s="944"/>
      <c r="I42" s="17"/>
      <c r="J42" s="17"/>
      <c r="K42" s="17"/>
      <c r="L42" s="17"/>
      <c r="M42" s="17"/>
      <c r="N42" s="17"/>
      <c r="O42" s="17"/>
      <c r="P42" s="17"/>
      <c r="Q42" s="17"/>
    </row>
    <row r="43" spans="1:17" ht="45" x14ac:dyDescent="0.3">
      <c r="A43" s="17"/>
      <c r="B43" s="54" t="s">
        <v>42</v>
      </c>
      <c r="C43" s="55" t="s">
        <v>44</v>
      </c>
      <c r="D43" s="55" t="s">
        <v>62</v>
      </c>
      <c r="E43" s="56" t="s">
        <v>106</v>
      </c>
      <c r="F43" s="17"/>
      <c r="G43" s="57" t="s">
        <v>109</v>
      </c>
      <c r="H43" s="282" t="e">
        <f>E47</f>
        <v>#REF!</v>
      </c>
      <c r="I43" s="17"/>
      <c r="J43" s="17"/>
      <c r="K43" s="17"/>
      <c r="L43" s="17"/>
      <c r="M43" s="17"/>
      <c r="N43" s="17"/>
      <c r="O43" s="17"/>
      <c r="P43" s="17"/>
      <c r="Q43" s="17"/>
    </row>
    <row r="44" spans="1:17" ht="14.5" thickBot="1" x14ac:dyDescent="0.35">
      <c r="A44" s="17"/>
      <c r="B44" s="175" t="str">
        <f>'G-2 Habitat groups'!A159</f>
        <v>Native hedgerow</v>
      </c>
      <c r="C44" s="768">
        <f>'G-2 Habitat groups'!R159</f>
        <v>0</v>
      </c>
      <c r="D44" s="768" t="e">
        <f>'G-2 Habitat groups'!AD159</f>
        <v>#REF!</v>
      </c>
      <c r="E44" s="770" t="e">
        <f>'G-2 Habitat groups'!AF159</f>
        <v>#REF!</v>
      </c>
      <c r="F44" s="17"/>
      <c r="G44" s="58" t="s">
        <v>1489</v>
      </c>
      <c r="H44" s="281" t="e">
        <f>IF(H33&gt;0,H43+H33,H43)</f>
        <v>#REF!</v>
      </c>
      <c r="I44" s="17"/>
      <c r="J44" s="17"/>
      <c r="K44" s="17"/>
      <c r="L44" s="17"/>
      <c r="M44" s="17"/>
      <c r="N44" s="17"/>
      <c r="O44" s="17"/>
      <c r="P44" s="17"/>
      <c r="Q44" s="17"/>
    </row>
    <row r="45" spans="1:17" ht="14" x14ac:dyDescent="0.3">
      <c r="A45" s="17"/>
      <c r="B45" s="175" t="str">
        <f>'G-2 Habitat groups'!A160</f>
        <v>Line of trees</v>
      </c>
      <c r="C45" s="768">
        <f>'G-2 Habitat groups'!R160</f>
        <v>0</v>
      </c>
      <c r="D45" s="768" t="e">
        <f>'G-2 Habitat groups'!AD160</f>
        <v>#REF!</v>
      </c>
      <c r="E45" s="770" t="e">
        <f>'G-2 Habitat groups'!AF160</f>
        <v>#REF!</v>
      </c>
      <c r="F45" s="17"/>
      <c r="G45" s="17"/>
      <c r="H45" s="17"/>
      <c r="I45" s="17"/>
      <c r="J45" s="17"/>
      <c r="K45" s="17"/>
      <c r="L45" s="17"/>
      <c r="M45" s="17"/>
      <c r="N45" s="17"/>
      <c r="O45" s="17"/>
      <c r="P45" s="17"/>
      <c r="Q45" s="17"/>
    </row>
    <row r="46" spans="1:17" ht="25.5" thickBot="1" x14ac:dyDescent="0.35">
      <c r="A46" s="17"/>
      <c r="B46" s="171" t="str">
        <f>'G-2 Habitat groups'!A161</f>
        <v>Line of trees - associated with bank or ditch</v>
      </c>
      <c r="C46" s="769">
        <f>'G-2 Habitat groups'!R161</f>
        <v>0</v>
      </c>
      <c r="D46" s="769" t="e">
        <f>'G-2 Habitat groups'!AD161</f>
        <v>#REF!</v>
      </c>
      <c r="E46" s="771" t="e">
        <f>'G-2 Habitat groups'!AF161</f>
        <v>#REF!</v>
      </c>
      <c r="F46" s="453"/>
      <c r="K46" s="17"/>
      <c r="L46" s="17"/>
      <c r="M46" s="17"/>
      <c r="N46" s="17"/>
      <c r="O46" s="17"/>
      <c r="P46" s="17"/>
      <c r="Q46" s="17"/>
    </row>
    <row r="47" spans="1:17" ht="14.5" thickBot="1" x14ac:dyDescent="0.35">
      <c r="A47" s="17"/>
      <c r="B47" s="17"/>
      <c r="C47" s="551">
        <f>SUM(C44:C46)</f>
        <v>0</v>
      </c>
      <c r="D47" s="274" t="e">
        <f>SUM(D44:D46)</f>
        <v>#REF!</v>
      </c>
      <c r="E47" s="330" t="e">
        <f>SUM(E44:E46)</f>
        <v>#REF!</v>
      </c>
      <c r="K47" s="17"/>
      <c r="L47" s="17"/>
      <c r="M47" s="17"/>
      <c r="N47" s="17"/>
      <c r="O47" s="17"/>
      <c r="P47" s="17"/>
      <c r="Q47" s="17"/>
    </row>
    <row r="48" spans="1:17" ht="14" x14ac:dyDescent="0.3">
      <c r="A48" s="17"/>
      <c r="G48" s="17"/>
      <c r="H48" s="17"/>
      <c r="I48" s="17"/>
      <c r="J48" s="17"/>
      <c r="K48" s="17"/>
      <c r="L48" s="17"/>
      <c r="M48" s="17"/>
      <c r="N48" s="17"/>
      <c r="O48" s="17"/>
      <c r="P48" s="17"/>
      <c r="Q48" s="17"/>
    </row>
    <row r="49" spans="1:17" ht="14" x14ac:dyDescent="0.3">
      <c r="A49" s="17"/>
      <c r="G49" s="17"/>
      <c r="H49" s="17"/>
      <c r="I49" s="17"/>
      <c r="J49" s="17"/>
      <c r="K49" s="17"/>
      <c r="L49" s="17"/>
      <c r="M49" s="17"/>
      <c r="N49" s="17"/>
      <c r="O49" s="17"/>
      <c r="P49" s="17"/>
      <c r="Q49" s="17"/>
    </row>
    <row r="50" spans="1:17" ht="14" x14ac:dyDescent="0.3">
      <c r="A50" s="17"/>
      <c r="G50" s="17"/>
      <c r="H50" s="17"/>
      <c r="I50" s="17"/>
      <c r="J50" s="17"/>
      <c r="K50" s="17"/>
      <c r="L50" s="17"/>
      <c r="M50" s="17"/>
      <c r="N50" s="17"/>
      <c r="O50" s="17"/>
      <c r="P50" s="17"/>
      <c r="Q50" s="17"/>
    </row>
    <row r="51" spans="1:17" ht="14.5" thickBot="1" x14ac:dyDescent="0.35">
      <c r="A51" s="17"/>
      <c r="G51" s="17"/>
      <c r="H51" s="17"/>
      <c r="I51" s="17"/>
      <c r="J51" s="17"/>
      <c r="K51" s="17"/>
      <c r="L51" s="17"/>
      <c r="M51" s="17"/>
      <c r="N51" s="17"/>
      <c r="O51" s="17"/>
      <c r="P51" s="17"/>
      <c r="Q51" s="17"/>
    </row>
    <row r="52" spans="1:17" ht="35.15" customHeight="1" thickBot="1" x14ac:dyDescent="0.35">
      <c r="A52" s="17"/>
      <c r="B52" s="940" t="s">
        <v>1591</v>
      </c>
      <c r="C52" s="941"/>
      <c r="D52" s="941"/>
      <c r="E52" s="942"/>
      <c r="F52" s="17"/>
      <c r="G52" s="943" t="s">
        <v>1592</v>
      </c>
      <c r="H52" s="944"/>
      <c r="I52" s="17"/>
      <c r="J52" s="17"/>
      <c r="K52" s="17"/>
      <c r="L52" s="17"/>
      <c r="M52" s="17"/>
      <c r="N52" s="17"/>
      <c r="O52" s="17"/>
      <c r="P52" s="17"/>
      <c r="Q52" s="17"/>
    </row>
    <row r="53" spans="1:17" ht="45" x14ac:dyDescent="0.3">
      <c r="A53" s="17"/>
      <c r="B53" s="54" t="s">
        <v>42</v>
      </c>
      <c r="C53" s="55" t="s">
        <v>44</v>
      </c>
      <c r="D53" s="55" t="s">
        <v>62</v>
      </c>
      <c r="E53" s="56" t="s">
        <v>106</v>
      </c>
      <c r="F53" s="17"/>
      <c r="G53" s="57" t="s">
        <v>1593</v>
      </c>
      <c r="H53" s="772" t="e">
        <f>E55</f>
        <v>#REF!</v>
      </c>
      <c r="I53" s="17"/>
      <c r="J53" s="17"/>
      <c r="K53" s="17"/>
      <c r="L53" s="17"/>
      <c r="M53" s="17"/>
      <c r="N53" s="17"/>
      <c r="O53" s="17"/>
      <c r="P53" s="17"/>
      <c r="Q53" s="17"/>
    </row>
    <row r="54" spans="1:17" ht="14.5" thickBot="1" x14ac:dyDescent="0.35">
      <c r="A54" s="17"/>
      <c r="B54" s="171" t="s">
        <v>77</v>
      </c>
      <c r="C54" s="289">
        <f>'G-2 Habitat groups'!R162</f>
        <v>0</v>
      </c>
      <c r="D54" s="289" t="e">
        <f>'G-2 Habitat groups'!AD162</f>
        <v>#REF!</v>
      </c>
      <c r="E54" s="600" t="e">
        <f>'G-2 Habitat groups'!AF162</f>
        <v>#REF!</v>
      </c>
      <c r="F54" s="17"/>
      <c r="G54" s="58" t="s">
        <v>1489</v>
      </c>
      <c r="H54" s="281" t="e">
        <f>IF(H44&gt;0,H53+H44,H53)</f>
        <v>#REF!</v>
      </c>
      <c r="I54" s="17"/>
      <c r="J54" s="17"/>
      <c r="K54" s="17"/>
      <c r="L54" s="17"/>
      <c r="M54" s="17"/>
      <c r="N54" s="17"/>
      <c r="O54" s="17"/>
      <c r="P54" s="17"/>
      <c r="Q54" s="17"/>
    </row>
    <row r="55" spans="1:17" ht="14.5" thickBot="1" x14ac:dyDescent="0.35">
      <c r="A55" s="17"/>
      <c r="B55" s="17"/>
      <c r="C55" s="499">
        <f>SUM(C54)</f>
        <v>0</v>
      </c>
      <c r="D55" s="500" t="e">
        <f>SUM(D54)</f>
        <v>#REF!</v>
      </c>
      <c r="E55" s="309" t="e">
        <f>SUM(E54)</f>
        <v>#REF!</v>
      </c>
      <c r="F55" s="17"/>
      <c r="G55" s="17"/>
      <c r="H55" s="17"/>
      <c r="I55" s="17"/>
      <c r="J55" s="17"/>
      <c r="K55" s="17"/>
      <c r="L55" s="17"/>
      <c r="M55" s="17"/>
      <c r="N55" s="17"/>
      <c r="O55" s="17"/>
      <c r="P55" s="17"/>
      <c r="Q55" s="17"/>
    </row>
    <row r="56" spans="1:17" ht="14" x14ac:dyDescent="0.3">
      <c r="A56" s="17"/>
      <c r="B56" s="17"/>
      <c r="C56" s="17"/>
      <c r="D56" s="17"/>
      <c r="E56" s="17"/>
      <c r="F56" s="17"/>
      <c r="G56" s="17"/>
      <c r="H56" s="17"/>
      <c r="I56" s="17"/>
      <c r="J56" s="17"/>
      <c r="K56" s="17"/>
      <c r="L56" s="17"/>
      <c r="M56" s="17"/>
      <c r="N56" s="17"/>
      <c r="O56" s="17"/>
      <c r="P56" s="17"/>
      <c r="Q56" s="17"/>
    </row>
    <row r="57" spans="1:17" ht="14" x14ac:dyDescent="0.3">
      <c r="A57" s="17"/>
      <c r="B57" s="17"/>
      <c r="C57" s="17"/>
      <c r="D57" s="17"/>
      <c r="E57" s="17"/>
      <c r="F57" s="17"/>
      <c r="G57" s="17"/>
      <c r="H57" s="17"/>
      <c r="I57" s="17"/>
      <c r="J57" s="17"/>
      <c r="K57" s="17"/>
      <c r="L57" s="17"/>
      <c r="M57" s="17"/>
      <c r="N57" s="17"/>
      <c r="O57" s="17"/>
      <c r="P57" s="17"/>
      <c r="Q57" s="17"/>
    </row>
    <row r="58" spans="1:17" ht="14" x14ac:dyDescent="0.3">
      <c r="A58" s="17"/>
      <c r="B58" s="17"/>
      <c r="C58" s="17"/>
      <c r="D58" s="17"/>
      <c r="E58" s="17"/>
      <c r="F58" s="17"/>
      <c r="G58" s="17"/>
      <c r="H58" s="17"/>
      <c r="I58" s="17"/>
      <c r="J58" s="17"/>
      <c r="K58" s="17"/>
      <c r="L58" s="17"/>
      <c r="M58" s="17"/>
      <c r="N58" s="17"/>
      <c r="O58" s="17"/>
      <c r="P58" s="17"/>
      <c r="Q58" s="17"/>
    </row>
    <row r="59" spans="1:17" ht="14" x14ac:dyDescent="0.3">
      <c r="A59" s="17"/>
      <c r="B59" s="17"/>
      <c r="C59" s="17"/>
      <c r="D59" s="17"/>
      <c r="E59" s="17"/>
      <c r="F59" s="17"/>
      <c r="G59" s="17"/>
      <c r="H59" s="17"/>
      <c r="I59" s="17"/>
      <c r="J59" s="17"/>
      <c r="K59" s="17"/>
      <c r="L59" s="17"/>
      <c r="M59" s="17"/>
      <c r="N59" s="17"/>
      <c r="O59" s="17"/>
      <c r="P59" s="17"/>
      <c r="Q59" s="17"/>
    </row>
    <row r="60" spans="1:17" ht="14" x14ac:dyDescent="0.3">
      <c r="A60" s="17"/>
      <c r="B60" s="17"/>
      <c r="C60" s="17"/>
      <c r="D60" s="17"/>
      <c r="E60" s="17"/>
      <c r="F60" s="17"/>
      <c r="G60" s="17"/>
      <c r="H60" s="17"/>
      <c r="I60" s="17"/>
      <c r="J60" s="17"/>
      <c r="K60" s="17"/>
      <c r="L60" s="17"/>
      <c r="M60" s="17"/>
      <c r="N60" s="17"/>
      <c r="O60" s="17"/>
      <c r="P60" s="17"/>
      <c r="Q60" s="17"/>
    </row>
    <row r="61" spans="1:17" ht="14" x14ac:dyDescent="0.3">
      <c r="A61" s="17"/>
      <c r="B61" s="17"/>
      <c r="C61" s="17"/>
      <c r="D61" s="17"/>
      <c r="E61" s="17"/>
      <c r="F61" s="17"/>
      <c r="G61" s="17"/>
      <c r="H61" s="17"/>
      <c r="I61" s="17"/>
      <c r="J61" s="17"/>
      <c r="K61" s="17"/>
      <c r="L61" s="17"/>
      <c r="M61" s="17"/>
      <c r="N61" s="17"/>
      <c r="O61" s="17"/>
      <c r="P61" s="17"/>
      <c r="Q61" s="17"/>
    </row>
    <row r="62" spans="1:17" ht="14" x14ac:dyDescent="0.3">
      <c r="A62" s="17"/>
      <c r="B62" s="17"/>
      <c r="C62" s="17"/>
      <c r="D62" s="17"/>
      <c r="E62" s="17"/>
      <c r="F62" s="17"/>
      <c r="G62" s="17"/>
      <c r="H62" s="17"/>
      <c r="I62" s="17"/>
      <c r="J62" s="17"/>
      <c r="K62" s="17"/>
      <c r="L62" s="17"/>
      <c r="M62" s="17"/>
      <c r="N62" s="17"/>
      <c r="O62" s="17"/>
      <c r="P62" s="17"/>
      <c r="Q62" s="17"/>
    </row>
    <row r="63" spans="1:17" ht="14" x14ac:dyDescent="0.3">
      <c r="A63" s="17"/>
      <c r="B63" s="17"/>
      <c r="C63" s="17"/>
      <c r="D63" s="17"/>
      <c r="E63" s="17"/>
      <c r="F63" s="17"/>
      <c r="G63" s="17"/>
      <c r="H63" s="17"/>
      <c r="I63" s="17"/>
      <c r="J63" s="17"/>
      <c r="K63" s="17"/>
      <c r="L63" s="17"/>
      <c r="M63" s="17"/>
      <c r="N63" s="17"/>
      <c r="O63" s="17"/>
      <c r="P63" s="17"/>
      <c r="Q63" s="17"/>
    </row>
    <row r="64" spans="1:17" ht="14" x14ac:dyDescent="0.3">
      <c r="A64" s="17"/>
      <c r="B64" s="17"/>
      <c r="C64" s="17"/>
      <c r="D64" s="17"/>
      <c r="E64" s="17"/>
      <c r="F64" s="17"/>
      <c r="G64" s="17"/>
      <c r="H64" s="17"/>
      <c r="I64" s="17"/>
      <c r="J64" s="17"/>
      <c r="K64" s="17"/>
      <c r="L64" s="17"/>
      <c r="M64" s="17"/>
      <c r="N64" s="17"/>
      <c r="O64" s="17"/>
      <c r="P64" s="17"/>
      <c r="Q64" s="17"/>
    </row>
    <row r="65" spans="1:17" ht="14" x14ac:dyDescent="0.3">
      <c r="A65" s="17"/>
      <c r="B65" s="17"/>
      <c r="C65" s="17"/>
      <c r="D65" s="17"/>
      <c r="E65" s="17"/>
      <c r="F65" s="17"/>
      <c r="G65" s="17"/>
      <c r="H65" s="17"/>
      <c r="I65" s="17"/>
      <c r="J65" s="17"/>
      <c r="K65" s="17"/>
      <c r="L65" s="17"/>
      <c r="M65" s="17"/>
      <c r="N65" s="17"/>
      <c r="O65" s="17"/>
      <c r="P65" s="17"/>
      <c r="Q65" s="17"/>
    </row>
    <row r="66" spans="1:17" ht="14" x14ac:dyDescent="0.3">
      <c r="A66" s="17"/>
      <c r="B66" s="17"/>
      <c r="C66" s="17"/>
      <c r="D66" s="17"/>
      <c r="E66" s="17"/>
      <c r="F66" s="17"/>
      <c r="G66" s="17"/>
      <c r="H66" s="17"/>
      <c r="I66" s="17"/>
      <c r="J66" s="17"/>
      <c r="K66" s="17"/>
      <c r="L66" s="17"/>
      <c r="M66" s="17"/>
      <c r="N66" s="17"/>
      <c r="O66" s="17"/>
      <c r="P66" s="17"/>
      <c r="Q66" s="17"/>
    </row>
    <row r="67" spans="1:17" ht="14" x14ac:dyDescent="0.3">
      <c r="A67" s="17"/>
      <c r="B67" s="17"/>
      <c r="C67" s="17"/>
      <c r="D67" s="17"/>
      <c r="E67" s="17"/>
      <c r="F67" s="17"/>
      <c r="G67" s="17"/>
      <c r="H67" s="17"/>
      <c r="I67" s="17"/>
      <c r="J67" s="17"/>
      <c r="K67" s="17"/>
      <c r="L67" s="17"/>
      <c r="M67" s="17"/>
      <c r="N67" s="17"/>
      <c r="O67" s="17"/>
      <c r="P67" s="17"/>
      <c r="Q67" s="17"/>
    </row>
    <row r="68" spans="1:17" ht="14" x14ac:dyDescent="0.3">
      <c r="A68" s="17"/>
      <c r="B68" s="17"/>
      <c r="C68" s="17"/>
      <c r="D68" s="17"/>
      <c r="E68" s="17"/>
      <c r="F68" s="17"/>
      <c r="G68" s="17"/>
      <c r="H68" s="17"/>
      <c r="I68" s="17"/>
      <c r="J68" s="17"/>
      <c r="K68" s="17"/>
      <c r="L68" s="17"/>
      <c r="M68" s="17"/>
      <c r="N68" s="17"/>
      <c r="O68" s="17"/>
      <c r="P68" s="17"/>
      <c r="Q68" s="17"/>
    </row>
    <row r="69" spans="1:17" ht="14" x14ac:dyDescent="0.3">
      <c r="A69" s="17"/>
      <c r="B69" s="17"/>
      <c r="C69" s="17"/>
      <c r="D69" s="17"/>
      <c r="E69" s="17"/>
      <c r="F69" s="17"/>
      <c r="G69" s="17"/>
      <c r="H69" s="17"/>
      <c r="I69" s="17"/>
      <c r="J69" s="17"/>
      <c r="K69" s="17"/>
      <c r="L69" s="17"/>
      <c r="M69" s="17"/>
      <c r="N69" s="17"/>
      <c r="O69" s="17"/>
      <c r="P69" s="17"/>
      <c r="Q69" s="17"/>
    </row>
    <row r="70" spans="1:17" ht="14" x14ac:dyDescent="0.3">
      <c r="A70" s="17"/>
      <c r="B70" s="17"/>
      <c r="C70" s="17"/>
      <c r="D70" s="17"/>
      <c r="E70" s="17"/>
      <c r="F70" s="17"/>
      <c r="G70" s="17"/>
      <c r="H70" s="17"/>
      <c r="I70" s="17"/>
      <c r="J70" s="17"/>
      <c r="K70" s="17"/>
      <c r="L70" s="17"/>
      <c r="M70" s="17"/>
      <c r="N70" s="17"/>
      <c r="O70" s="17"/>
      <c r="P70" s="17"/>
      <c r="Q70" s="17"/>
    </row>
    <row r="71" spans="1:17" ht="14" x14ac:dyDescent="0.3">
      <c r="A71" s="17"/>
      <c r="B71" s="17"/>
      <c r="C71" s="17"/>
      <c r="D71" s="17"/>
      <c r="E71" s="17"/>
      <c r="F71" s="17"/>
      <c r="G71" s="17"/>
      <c r="H71" s="17"/>
      <c r="I71" s="17"/>
      <c r="J71" s="17"/>
      <c r="K71" s="17"/>
      <c r="L71" s="17"/>
      <c r="M71" s="17"/>
      <c r="N71" s="17"/>
      <c r="O71" s="17"/>
      <c r="P71" s="17"/>
      <c r="Q71" s="17"/>
    </row>
    <row r="72" spans="1:17" ht="14" x14ac:dyDescent="0.3">
      <c r="A72" s="17"/>
      <c r="B72" s="17"/>
      <c r="C72" s="17"/>
      <c r="D72" s="17"/>
      <c r="E72" s="17"/>
      <c r="F72" s="17"/>
      <c r="G72" s="17"/>
      <c r="H72" s="17"/>
      <c r="I72" s="17"/>
      <c r="J72" s="17"/>
      <c r="K72" s="17"/>
      <c r="L72" s="17"/>
      <c r="M72" s="17"/>
      <c r="N72" s="17"/>
      <c r="O72" s="17"/>
      <c r="P72" s="17"/>
      <c r="Q72" s="17"/>
    </row>
    <row r="73" spans="1:17" ht="14" x14ac:dyDescent="0.3">
      <c r="A73" s="17"/>
      <c r="B73" s="17"/>
      <c r="C73" s="17"/>
      <c r="D73" s="17"/>
      <c r="E73" s="17"/>
      <c r="F73" s="17"/>
      <c r="G73" s="17"/>
      <c r="H73" s="17"/>
      <c r="I73" s="17"/>
      <c r="J73" s="17"/>
      <c r="K73" s="17"/>
      <c r="L73" s="17"/>
      <c r="M73" s="17"/>
      <c r="N73" s="17"/>
      <c r="O73" s="17"/>
      <c r="P73" s="17"/>
      <c r="Q73" s="17"/>
    </row>
    <row r="74" spans="1:17" ht="14" x14ac:dyDescent="0.3">
      <c r="A74" s="17"/>
      <c r="B74" s="17"/>
      <c r="C74" s="17"/>
      <c r="D74" s="17"/>
      <c r="E74" s="17"/>
      <c r="F74" s="17"/>
      <c r="G74" s="17"/>
      <c r="H74" s="17"/>
      <c r="I74" s="17"/>
      <c r="J74" s="17"/>
      <c r="K74" s="17"/>
      <c r="L74" s="17"/>
      <c r="M74" s="17"/>
      <c r="N74" s="17"/>
      <c r="O74" s="17"/>
      <c r="P74" s="17"/>
      <c r="Q74" s="17"/>
    </row>
    <row r="75" spans="1:17" ht="14" x14ac:dyDescent="0.3">
      <c r="A75" s="17"/>
      <c r="B75" s="17"/>
      <c r="C75" s="17"/>
      <c r="D75" s="17"/>
      <c r="E75" s="17"/>
      <c r="F75" s="17"/>
      <c r="G75" s="17"/>
      <c r="H75" s="17"/>
      <c r="I75" s="17"/>
      <c r="J75" s="17"/>
      <c r="K75" s="17"/>
      <c r="L75" s="17"/>
      <c r="M75" s="17"/>
      <c r="N75" s="17"/>
      <c r="O75" s="17"/>
      <c r="P75" s="17"/>
      <c r="Q75" s="17"/>
    </row>
    <row r="76" spans="1:17" ht="14" x14ac:dyDescent="0.3">
      <c r="A76" s="17"/>
      <c r="B76" s="17"/>
      <c r="C76" s="17"/>
      <c r="D76" s="17"/>
      <c r="E76" s="17"/>
      <c r="F76" s="17"/>
      <c r="G76" s="17"/>
      <c r="H76" s="17"/>
      <c r="I76" s="17"/>
      <c r="J76" s="17"/>
      <c r="K76" s="17"/>
      <c r="L76" s="17"/>
      <c r="M76" s="17"/>
      <c r="N76" s="17"/>
      <c r="O76" s="17"/>
      <c r="P76" s="17"/>
      <c r="Q76" s="17"/>
    </row>
    <row r="77" spans="1:17" ht="14" x14ac:dyDescent="0.3">
      <c r="A77" s="17"/>
      <c r="B77" s="17"/>
      <c r="C77" s="17"/>
      <c r="D77" s="17"/>
      <c r="E77" s="17"/>
      <c r="F77" s="17"/>
      <c r="G77" s="17"/>
      <c r="H77" s="17"/>
      <c r="I77" s="17"/>
      <c r="J77" s="17"/>
      <c r="K77" s="17"/>
      <c r="L77" s="17"/>
      <c r="M77" s="17"/>
      <c r="N77" s="17"/>
      <c r="O77" s="17"/>
      <c r="P77" s="17"/>
      <c r="Q77" s="17"/>
    </row>
    <row r="78" spans="1:17" ht="14" x14ac:dyDescent="0.3">
      <c r="A78" s="17"/>
      <c r="B78" s="17"/>
      <c r="C78" s="17"/>
      <c r="D78" s="17"/>
      <c r="E78" s="17"/>
      <c r="F78" s="17"/>
      <c r="G78" s="17"/>
      <c r="H78" s="17"/>
      <c r="I78" s="17"/>
      <c r="J78" s="17"/>
      <c r="K78" s="17"/>
      <c r="L78" s="17"/>
      <c r="M78" s="17"/>
      <c r="N78" s="17"/>
      <c r="O78" s="17"/>
      <c r="P78" s="17"/>
      <c r="Q78" s="17"/>
    </row>
    <row r="79" spans="1:17" ht="14" x14ac:dyDescent="0.3">
      <c r="A79" s="17"/>
      <c r="B79" s="17"/>
      <c r="C79" s="17"/>
      <c r="D79" s="17"/>
      <c r="E79" s="17"/>
      <c r="F79" s="17"/>
      <c r="G79" s="17"/>
      <c r="H79" s="17"/>
      <c r="I79" s="17"/>
      <c r="J79" s="17"/>
      <c r="K79" s="17"/>
      <c r="L79" s="17"/>
      <c r="M79" s="17"/>
      <c r="N79" s="17"/>
      <c r="O79" s="17"/>
      <c r="P79" s="17"/>
      <c r="Q79" s="17"/>
    </row>
    <row r="80" spans="1:17" ht="14" x14ac:dyDescent="0.3">
      <c r="A80" s="17"/>
      <c r="B80" s="17"/>
      <c r="C80" s="17"/>
      <c r="D80" s="17"/>
      <c r="E80" s="17"/>
      <c r="F80" s="17"/>
      <c r="G80" s="17"/>
      <c r="H80" s="17"/>
      <c r="I80" s="17"/>
      <c r="J80" s="17"/>
      <c r="K80" s="17"/>
      <c r="L80" s="17"/>
      <c r="M80" s="17"/>
      <c r="N80" s="17"/>
      <c r="O80" s="17"/>
      <c r="P80" s="17"/>
      <c r="Q80" s="17"/>
    </row>
    <row r="81" spans="1:17" ht="14" x14ac:dyDescent="0.3">
      <c r="A81" s="17"/>
      <c r="B81" s="17"/>
      <c r="C81" s="17"/>
      <c r="D81" s="17"/>
      <c r="E81" s="17"/>
      <c r="F81" s="17"/>
      <c r="G81" s="17"/>
      <c r="H81" s="17"/>
      <c r="I81" s="17"/>
      <c r="J81" s="17"/>
      <c r="K81" s="17"/>
      <c r="L81" s="17"/>
      <c r="M81" s="17"/>
      <c r="N81" s="17"/>
      <c r="O81" s="17"/>
      <c r="P81" s="17"/>
      <c r="Q81" s="17"/>
    </row>
    <row r="82" spans="1:17" ht="14" x14ac:dyDescent="0.3">
      <c r="A82" s="17"/>
      <c r="B82" s="17"/>
      <c r="C82" s="17"/>
      <c r="D82" s="17"/>
      <c r="E82" s="17"/>
      <c r="F82" s="17"/>
      <c r="G82" s="17"/>
      <c r="H82" s="17"/>
      <c r="I82" s="17"/>
      <c r="J82" s="17"/>
      <c r="K82" s="17"/>
      <c r="L82" s="17"/>
      <c r="M82" s="17"/>
      <c r="N82" s="17"/>
      <c r="O82" s="17"/>
      <c r="P82" s="17"/>
      <c r="Q82" s="17"/>
    </row>
    <row r="83" spans="1:17" ht="14" x14ac:dyDescent="0.3">
      <c r="A83" s="17"/>
      <c r="B83" s="17"/>
      <c r="C83" s="17"/>
      <c r="D83" s="17"/>
      <c r="E83" s="17"/>
      <c r="F83" s="17"/>
      <c r="G83" s="17"/>
      <c r="H83" s="17"/>
      <c r="I83" s="17"/>
      <c r="J83" s="17"/>
      <c r="K83" s="17"/>
      <c r="L83" s="17"/>
      <c r="M83" s="17"/>
      <c r="N83" s="17"/>
      <c r="O83" s="17"/>
      <c r="P83" s="17"/>
      <c r="Q83" s="17"/>
    </row>
    <row r="84" spans="1:17" ht="14" x14ac:dyDescent="0.3">
      <c r="A84" s="17"/>
      <c r="B84" s="17"/>
      <c r="C84" s="17"/>
      <c r="D84" s="17"/>
      <c r="E84" s="17"/>
      <c r="F84" s="17"/>
      <c r="G84" s="17"/>
      <c r="H84" s="17"/>
      <c r="I84" s="17"/>
      <c r="J84" s="17"/>
      <c r="K84" s="17"/>
      <c r="L84" s="17"/>
      <c r="M84" s="17"/>
      <c r="N84" s="17"/>
      <c r="O84" s="17"/>
      <c r="P84" s="17"/>
      <c r="Q84" s="17"/>
    </row>
    <row r="85" spans="1:17" ht="14" x14ac:dyDescent="0.3">
      <c r="A85" s="17"/>
      <c r="B85" s="17"/>
      <c r="C85" s="17"/>
      <c r="D85" s="17"/>
      <c r="E85" s="17"/>
      <c r="F85" s="17"/>
      <c r="G85" s="17"/>
      <c r="H85" s="17"/>
      <c r="I85" s="17"/>
      <c r="J85" s="17"/>
      <c r="K85" s="17"/>
      <c r="L85" s="17"/>
      <c r="M85" s="17"/>
      <c r="N85" s="17"/>
      <c r="O85" s="17"/>
      <c r="P85" s="17"/>
      <c r="Q85" s="17"/>
    </row>
    <row r="86" spans="1:17" ht="14" x14ac:dyDescent="0.3">
      <c r="A86" s="17"/>
      <c r="B86" s="17"/>
      <c r="C86" s="17"/>
      <c r="D86" s="17"/>
      <c r="E86" s="17"/>
      <c r="F86" s="17"/>
      <c r="G86" s="17"/>
      <c r="H86" s="17"/>
      <c r="I86" s="17"/>
      <c r="J86" s="17"/>
      <c r="K86" s="17"/>
      <c r="L86" s="17"/>
      <c r="M86" s="17"/>
      <c r="N86" s="17"/>
      <c r="O86" s="17"/>
      <c r="P86" s="17"/>
      <c r="Q86" s="17"/>
    </row>
    <row r="87" spans="1:17" ht="14" x14ac:dyDescent="0.3">
      <c r="A87" s="17"/>
      <c r="B87" s="17"/>
      <c r="C87" s="17"/>
      <c r="D87" s="17"/>
      <c r="E87" s="17"/>
      <c r="F87" s="17"/>
      <c r="G87" s="17"/>
      <c r="H87" s="17"/>
      <c r="I87" s="17"/>
      <c r="J87" s="17"/>
      <c r="K87" s="17"/>
      <c r="L87" s="17"/>
      <c r="M87" s="17"/>
      <c r="N87" s="17"/>
      <c r="O87" s="17"/>
      <c r="P87" s="17"/>
      <c r="Q87" s="17"/>
    </row>
    <row r="88" spans="1:17" ht="14" x14ac:dyDescent="0.3">
      <c r="A88" s="17"/>
      <c r="B88" s="17"/>
      <c r="C88" s="17"/>
      <c r="D88" s="17"/>
      <c r="E88" s="17"/>
      <c r="F88" s="17"/>
      <c r="G88" s="17"/>
      <c r="H88" s="17"/>
      <c r="I88" s="17"/>
      <c r="J88" s="17"/>
      <c r="K88" s="17"/>
      <c r="L88" s="17"/>
      <c r="M88" s="17"/>
      <c r="N88" s="17"/>
      <c r="O88" s="17"/>
      <c r="P88" s="17"/>
      <c r="Q88" s="17"/>
    </row>
    <row r="89" spans="1:17" ht="14" x14ac:dyDescent="0.3">
      <c r="A89" s="17"/>
      <c r="B89" s="17"/>
      <c r="C89" s="17"/>
      <c r="D89" s="17"/>
      <c r="E89" s="17"/>
      <c r="F89" s="17"/>
      <c r="G89" s="17"/>
      <c r="H89" s="17"/>
      <c r="I89" s="17"/>
      <c r="J89" s="17"/>
      <c r="K89" s="17"/>
      <c r="L89" s="17"/>
      <c r="M89" s="17"/>
      <c r="N89" s="17"/>
      <c r="O89" s="17"/>
      <c r="P89" s="17"/>
      <c r="Q89" s="17"/>
    </row>
    <row r="90" spans="1:17" ht="14" x14ac:dyDescent="0.3">
      <c r="A90" s="17"/>
      <c r="B90" s="17"/>
      <c r="C90" s="17"/>
      <c r="D90" s="17"/>
      <c r="E90" s="17"/>
      <c r="F90" s="17"/>
      <c r="G90" s="17"/>
      <c r="H90" s="17"/>
      <c r="I90" s="17"/>
      <c r="J90" s="17"/>
      <c r="K90" s="17"/>
      <c r="L90" s="17"/>
      <c r="M90" s="17"/>
      <c r="N90" s="17"/>
      <c r="O90" s="17"/>
      <c r="P90" s="17"/>
      <c r="Q90" s="17"/>
    </row>
    <row r="91" spans="1:17" ht="14" x14ac:dyDescent="0.3">
      <c r="A91" s="17"/>
      <c r="B91" s="17"/>
      <c r="C91" s="17"/>
      <c r="D91" s="17"/>
      <c r="E91" s="17"/>
      <c r="F91" s="17"/>
      <c r="G91" s="17"/>
      <c r="H91" s="17"/>
      <c r="I91" s="17"/>
      <c r="J91" s="17"/>
      <c r="K91" s="17"/>
      <c r="L91" s="17"/>
      <c r="M91" s="17"/>
      <c r="N91" s="17"/>
      <c r="O91" s="17"/>
      <c r="P91" s="17"/>
      <c r="Q91" s="17"/>
    </row>
    <row r="92" spans="1:17" ht="14" x14ac:dyDescent="0.3">
      <c r="A92" s="17"/>
      <c r="B92" s="17"/>
      <c r="C92" s="17"/>
      <c r="D92" s="17"/>
      <c r="E92" s="17"/>
      <c r="F92" s="17"/>
      <c r="G92" s="17"/>
      <c r="H92" s="17"/>
      <c r="I92" s="17"/>
      <c r="J92" s="17"/>
      <c r="K92" s="17"/>
      <c r="L92" s="17"/>
      <c r="M92" s="17"/>
      <c r="N92" s="17"/>
      <c r="O92" s="17"/>
      <c r="P92" s="17"/>
      <c r="Q92" s="17"/>
    </row>
    <row r="93" spans="1:17" ht="14" x14ac:dyDescent="0.3">
      <c r="A93" s="17"/>
      <c r="B93" s="17"/>
      <c r="C93" s="17"/>
      <c r="D93" s="17"/>
      <c r="E93" s="17"/>
      <c r="F93" s="17"/>
      <c r="G93" s="17"/>
      <c r="H93" s="17"/>
      <c r="I93" s="17"/>
      <c r="J93" s="17"/>
      <c r="K93" s="17"/>
      <c r="L93" s="17"/>
      <c r="M93" s="17"/>
      <c r="N93" s="17"/>
      <c r="O93" s="17"/>
      <c r="P93" s="17"/>
      <c r="Q93" s="17"/>
    </row>
    <row r="94" spans="1:17" ht="14" x14ac:dyDescent="0.3">
      <c r="A94" s="17"/>
      <c r="B94" s="17"/>
      <c r="C94" s="17"/>
      <c r="D94" s="17"/>
      <c r="E94" s="17"/>
      <c r="F94" s="17"/>
      <c r="G94" s="17"/>
      <c r="H94" s="17"/>
      <c r="I94" s="17"/>
      <c r="J94" s="17"/>
      <c r="K94" s="17"/>
      <c r="L94" s="17"/>
      <c r="M94" s="17"/>
      <c r="N94" s="17"/>
      <c r="O94" s="17"/>
      <c r="P94" s="17"/>
      <c r="Q94" s="17"/>
    </row>
    <row r="95" spans="1:17" ht="14" x14ac:dyDescent="0.3">
      <c r="A95" s="17"/>
      <c r="B95" s="17"/>
      <c r="C95" s="17"/>
      <c r="D95" s="17"/>
      <c r="E95" s="17"/>
      <c r="F95" s="17"/>
      <c r="G95" s="17"/>
      <c r="H95" s="17"/>
      <c r="I95" s="17"/>
      <c r="J95" s="17"/>
      <c r="K95" s="17"/>
      <c r="L95" s="17"/>
      <c r="M95" s="17"/>
      <c r="N95" s="17"/>
      <c r="O95" s="17"/>
      <c r="P95" s="17"/>
      <c r="Q95" s="17"/>
    </row>
    <row r="96" spans="1:17" ht="14" x14ac:dyDescent="0.3">
      <c r="A96" s="17"/>
      <c r="B96" s="17"/>
      <c r="C96" s="17"/>
      <c r="D96" s="17"/>
      <c r="E96" s="17"/>
      <c r="F96" s="17"/>
      <c r="G96" s="17"/>
      <c r="H96" s="17"/>
      <c r="I96" s="17"/>
      <c r="J96" s="17"/>
      <c r="K96" s="17"/>
      <c r="L96" s="17"/>
      <c r="M96" s="17"/>
      <c r="N96" s="17"/>
      <c r="O96" s="17"/>
      <c r="P96" s="17"/>
      <c r="Q96" s="17"/>
    </row>
    <row r="97" spans="1:17" ht="14" x14ac:dyDescent="0.3">
      <c r="A97" s="17"/>
      <c r="B97" s="17"/>
      <c r="C97" s="17"/>
      <c r="D97" s="17"/>
      <c r="E97" s="17"/>
      <c r="F97" s="17"/>
      <c r="G97" s="17"/>
      <c r="H97" s="17"/>
      <c r="I97" s="17"/>
      <c r="J97" s="17"/>
      <c r="K97" s="17"/>
      <c r="L97" s="17"/>
      <c r="M97" s="17"/>
      <c r="N97" s="17"/>
      <c r="O97" s="17"/>
      <c r="P97" s="17"/>
      <c r="Q97" s="17"/>
    </row>
    <row r="98" spans="1:17" ht="14" x14ac:dyDescent="0.3">
      <c r="A98" s="17"/>
      <c r="B98" s="17"/>
      <c r="C98" s="17"/>
      <c r="D98" s="17"/>
      <c r="E98" s="17"/>
      <c r="F98" s="17"/>
      <c r="G98" s="17"/>
      <c r="H98" s="17"/>
      <c r="I98" s="17"/>
      <c r="J98" s="17"/>
      <c r="K98" s="17"/>
      <c r="L98" s="17"/>
      <c r="M98" s="17"/>
      <c r="N98" s="17"/>
      <c r="O98" s="17"/>
      <c r="P98" s="17"/>
      <c r="Q98" s="17"/>
    </row>
    <row r="99" spans="1:17" ht="14" x14ac:dyDescent="0.3">
      <c r="A99" s="17"/>
      <c r="B99" s="17"/>
      <c r="C99" s="17"/>
      <c r="D99" s="17"/>
      <c r="E99" s="17"/>
      <c r="F99" s="17"/>
      <c r="G99" s="17"/>
      <c r="H99" s="17"/>
      <c r="I99" s="17"/>
      <c r="J99" s="17"/>
      <c r="K99" s="17"/>
      <c r="L99" s="17"/>
      <c r="M99" s="17"/>
      <c r="N99" s="17"/>
      <c r="O99" s="17"/>
      <c r="P99" s="17"/>
      <c r="Q99" s="17"/>
    </row>
    <row r="100" spans="1:17" ht="14" x14ac:dyDescent="0.3">
      <c r="A100" s="17"/>
      <c r="B100" s="17"/>
      <c r="C100" s="17"/>
      <c r="D100" s="17"/>
      <c r="E100" s="17"/>
      <c r="F100" s="17"/>
      <c r="G100" s="17"/>
      <c r="H100" s="17"/>
      <c r="I100" s="17"/>
      <c r="J100" s="17"/>
      <c r="K100" s="17"/>
      <c r="L100" s="17"/>
      <c r="M100" s="17"/>
      <c r="N100" s="17"/>
      <c r="O100" s="17"/>
      <c r="P100" s="17"/>
      <c r="Q100" s="17"/>
    </row>
    <row r="101" spans="1:17" ht="14" x14ac:dyDescent="0.3">
      <c r="A101" s="17"/>
      <c r="B101" s="17"/>
      <c r="C101" s="17"/>
      <c r="D101" s="17"/>
      <c r="E101" s="17"/>
      <c r="F101" s="17"/>
      <c r="G101" s="17"/>
      <c r="H101" s="17"/>
      <c r="I101" s="17"/>
      <c r="J101" s="17"/>
      <c r="K101" s="17"/>
      <c r="L101" s="17"/>
      <c r="M101" s="17"/>
      <c r="N101" s="17"/>
      <c r="O101" s="17"/>
      <c r="P101" s="17"/>
      <c r="Q101" s="17"/>
    </row>
    <row r="102" spans="1:17" ht="14" x14ac:dyDescent="0.3">
      <c r="A102" s="17"/>
      <c r="B102" s="17"/>
      <c r="C102" s="17"/>
      <c r="D102" s="17"/>
      <c r="E102" s="17"/>
      <c r="F102" s="17"/>
      <c r="G102" s="17"/>
      <c r="H102" s="17"/>
      <c r="I102" s="17"/>
      <c r="J102" s="17"/>
      <c r="K102" s="17"/>
      <c r="L102" s="17"/>
      <c r="M102" s="17"/>
      <c r="N102" s="17"/>
      <c r="O102" s="17"/>
      <c r="P102" s="17"/>
      <c r="Q102" s="17"/>
    </row>
    <row r="103" spans="1:17" ht="14" x14ac:dyDescent="0.3">
      <c r="A103" s="17"/>
      <c r="B103" s="17"/>
      <c r="C103" s="17"/>
      <c r="D103" s="17"/>
      <c r="E103" s="17"/>
      <c r="F103" s="17"/>
      <c r="G103" s="17"/>
      <c r="H103" s="17"/>
      <c r="I103" s="17"/>
      <c r="J103" s="17"/>
      <c r="K103" s="17"/>
      <c r="L103" s="17"/>
      <c r="M103" s="17"/>
      <c r="N103" s="17"/>
      <c r="O103" s="17"/>
      <c r="P103" s="17"/>
      <c r="Q103" s="17"/>
    </row>
    <row r="104" spans="1:17" ht="14" x14ac:dyDescent="0.3">
      <c r="A104" s="17"/>
      <c r="B104" s="17"/>
      <c r="C104" s="17"/>
      <c r="D104" s="17"/>
      <c r="E104" s="17"/>
      <c r="F104" s="17"/>
      <c r="G104" s="17"/>
      <c r="H104" s="17"/>
      <c r="K104" s="17"/>
      <c r="L104" s="17"/>
      <c r="M104" s="17"/>
      <c r="N104" s="17"/>
      <c r="O104" s="17"/>
      <c r="P104" s="17"/>
      <c r="Q104" s="17"/>
    </row>
    <row r="105" spans="1:17" ht="14" x14ac:dyDescent="0.3">
      <c r="A105" s="17"/>
      <c r="B105" s="17"/>
      <c r="C105" s="17"/>
      <c r="D105" s="17"/>
      <c r="E105" s="17"/>
      <c r="F105" s="17"/>
      <c r="G105" s="17"/>
      <c r="H105" s="17"/>
      <c r="K105" s="17"/>
      <c r="L105" s="17"/>
      <c r="M105" s="17"/>
      <c r="N105" s="17"/>
      <c r="O105" s="17"/>
      <c r="P105" s="17"/>
      <c r="Q105" s="17"/>
    </row>
    <row r="106" spans="1:17" ht="14" x14ac:dyDescent="0.3">
      <c r="A106" s="17"/>
      <c r="B106" s="17"/>
      <c r="C106" s="17"/>
      <c r="D106" s="17"/>
      <c r="E106" s="17"/>
      <c r="F106" s="17"/>
      <c r="G106" s="17"/>
      <c r="H106" s="17"/>
      <c r="K106" s="17"/>
      <c r="L106" s="17"/>
      <c r="M106" s="17"/>
      <c r="N106" s="17"/>
      <c r="O106" s="17"/>
      <c r="P106" s="17"/>
      <c r="Q106" s="17"/>
    </row>
    <row r="107" spans="1:17" ht="14" x14ac:dyDescent="0.3">
      <c r="A107" s="17"/>
      <c r="B107" s="17"/>
      <c r="C107" s="17"/>
      <c r="D107" s="17"/>
      <c r="E107" s="17"/>
      <c r="F107" s="17"/>
      <c r="G107" s="17"/>
      <c r="H107" s="17"/>
      <c r="K107" s="17"/>
      <c r="L107" s="17"/>
      <c r="M107" s="17"/>
      <c r="N107" s="17"/>
      <c r="O107" s="17"/>
      <c r="P107" s="17"/>
      <c r="Q107" s="17"/>
    </row>
    <row r="108" spans="1:17" ht="14" x14ac:dyDescent="0.3">
      <c r="A108" s="17"/>
      <c r="B108" s="17"/>
      <c r="C108" s="17"/>
      <c r="D108" s="17"/>
      <c r="E108" s="17"/>
      <c r="F108" s="17"/>
      <c r="G108" s="17"/>
      <c r="H108" s="17"/>
      <c r="K108" s="17"/>
      <c r="L108" s="17"/>
      <c r="M108" s="17"/>
      <c r="N108" s="17"/>
      <c r="O108" s="17"/>
      <c r="P108" s="17"/>
      <c r="Q108" s="17"/>
    </row>
    <row r="109" spans="1:17" ht="14" x14ac:dyDescent="0.3">
      <c r="A109" s="17"/>
      <c r="B109" s="17"/>
      <c r="C109" s="17"/>
      <c r="D109" s="17"/>
      <c r="E109" s="17"/>
      <c r="F109" s="17"/>
      <c r="G109" s="17"/>
      <c r="H109" s="17"/>
      <c r="K109" s="17"/>
      <c r="L109" s="17"/>
      <c r="M109" s="17"/>
      <c r="N109" s="17"/>
      <c r="O109" s="17"/>
      <c r="P109" s="17"/>
      <c r="Q109" s="17"/>
    </row>
    <row r="110" spans="1:17" ht="14" x14ac:dyDescent="0.3">
      <c r="A110" s="17"/>
      <c r="B110" s="17"/>
      <c r="C110" s="17"/>
      <c r="D110" s="17"/>
      <c r="E110" s="17"/>
      <c r="F110" s="17"/>
      <c r="G110" s="17"/>
      <c r="H110" s="17"/>
      <c r="K110" s="17"/>
      <c r="L110" s="17"/>
      <c r="M110" s="17"/>
      <c r="N110" s="17"/>
      <c r="O110" s="17"/>
      <c r="P110" s="17"/>
      <c r="Q110" s="17"/>
    </row>
    <row r="111" spans="1:17" ht="14" x14ac:dyDescent="0.3">
      <c r="A111" s="17"/>
      <c r="B111" s="17"/>
      <c r="C111" s="17"/>
      <c r="D111" s="17"/>
      <c r="E111" s="17"/>
      <c r="F111" s="17"/>
      <c r="G111" s="17"/>
      <c r="H111" s="17"/>
      <c r="K111" s="17"/>
      <c r="L111" s="17"/>
      <c r="M111" s="17"/>
      <c r="N111" s="17"/>
      <c r="O111" s="17"/>
      <c r="P111" s="17"/>
      <c r="Q111" s="17"/>
    </row>
    <row r="112" spans="1:17" ht="14" x14ac:dyDescent="0.3">
      <c r="A112" s="17"/>
      <c r="B112" s="17"/>
      <c r="C112" s="17"/>
      <c r="D112" s="17"/>
      <c r="E112" s="17"/>
      <c r="F112" s="17"/>
      <c r="G112" s="17"/>
      <c r="H112" s="17"/>
      <c r="K112" s="17"/>
      <c r="L112" s="17"/>
      <c r="M112" s="17"/>
      <c r="N112" s="17"/>
      <c r="O112" s="17"/>
      <c r="P112" s="17"/>
      <c r="Q112" s="17"/>
    </row>
    <row r="113" spans="1:17" ht="14" x14ac:dyDescent="0.3">
      <c r="A113" s="17"/>
      <c r="B113" s="17"/>
      <c r="C113" s="17"/>
      <c r="D113" s="17"/>
      <c r="E113" s="17"/>
      <c r="F113" s="17"/>
      <c r="G113" s="17"/>
      <c r="H113" s="17"/>
      <c r="K113" s="17"/>
      <c r="L113" s="17"/>
      <c r="M113" s="17"/>
      <c r="N113" s="17"/>
      <c r="O113" s="17"/>
      <c r="P113" s="17"/>
      <c r="Q113" s="17"/>
    </row>
    <row r="114" spans="1:17" ht="14" x14ac:dyDescent="0.3">
      <c r="A114" s="17"/>
      <c r="B114" s="17"/>
      <c r="C114" s="17"/>
      <c r="D114" s="17"/>
      <c r="E114" s="17"/>
      <c r="F114" s="17"/>
      <c r="G114" s="17"/>
      <c r="H114" s="17"/>
      <c r="K114" s="17"/>
      <c r="L114" s="17"/>
      <c r="M114" s="17"/>
      <c r="N114" s="17"/>
      <c r="O114" s="17"/>
      <c r="P114" s="17"/>
      <c r="Q114" s="17"/>
    </row>
    <row r="115" spans="1:17" ht="14" x14ac:dyDescent="0.3">
      <c r="A115" s="17"/>
      <c r="B115" s="17"/>
      <c r="C115" s="17"/>
      <c r="D115" s="17"/>
      <c r="E115" s="17"/>
      <c r="F115" s="17"/>
      <c r="G115" s="17"/>
      <c r="H115" s="17"/>
      <c r="K115" s="17"/>
      <c r="L115" s="17"/>
      <c r="M115" s="17"/>
      <c r="N115" s="17"/>
      <c r="O115" s="17"/>
      <c r="P115" s="17"/>
      <c r="Q115" s="17"/>
    </row>
    <row r="116" spans="1:17" ht="14" x14ac:dyDescent="0.3">
      <c r="A116" s="17"/>
      <c r="B116" s="17"/>
      <c r="C116" s="17"/>
      <c r="D116" s="17"/>
      <c r="E116" s="17"/>
      <c r="F116" s="17"/>
      <c r="G116" s="17"/>
      <c r="H116" s="17"/>
      <c r="K116" s="17"/>
      <c r="L116" s="17"/>
      <c r="M116" s="17"/>
      <c r="N116" s="17"/>
      <c r="O116" s="17"/>
      <c r="P116" s="17"/>
      <c r="Q116" s="17"/>
    </row>
    <row r="117" spans="1:17" ht="14" x14ac:dyDescent="0.3">
      <c r="A117" s="17"/>
      <c r="B117" s="17"/>
      <c r="C117" s="17"/>
      <c r="D117" s="17"/>
      <c r="E117" s="17"/>
      <c r="F117" s="17"/>
      <c r="G117" s="17"/>
    </row>
    <row r="118" spans="1:17" ht="14" x14ac:dyDescent="0.3">
      <c r="A118" s="17"/>
      <c r="B118" s="17"/>
      <c r="C118" s="17"/>
      <c r="D118" s="17"/>
      <c r="E118" s="17"/>
      <c r="F118" s="17"/>
      <c r="G118" s="17"/>
    </row>
    <row r="119" spans="1:17" ht="14" x14ac:dyDescent="0.3">
      <c r="A119" s="17"/>
      <c r="B119" s="17"/>
      <c r="C119" s="17"/>
      <c r="D119" s="17"/>
      <c r="E119" s="17"/>
      <c r="F119" s="17"/>
      <c r="G119" s="17"/>
    </row>
    <row r="120" spans="1:17" ht="14" x14ac:dyDescent="0.3">
      <c r="A120" s="17"/>
      <c r="B120" s="17"/>
      <c r="C120" s="17"/>
      <c r="D120" s="17"/>
      <c r="E120" s="17"/>
      <c r="F120" s="17"/>
      <c r="G120" s="17"/>
    </row>
    <row r="121" spans="1:17" ht="14" x14ac:dyDescent="0.3">
      <c r="A121" s="17"/>
      <c r="B121" s="17"/>
      <c r="C121" s="17"/>
      <c r="D121" s="17"/>
      <c r="E121" s="17"/>
      <c r="F121" s="17"/>
      <c r="G121" s="17"/>
    </row>
    <row r="122" spans="1:17" ht="14" x14ac:dyDescent="0.3">
      <c r="A122" s="17"/>
      <c r="B122" s="17"/>
      <c r="C122" s="17"/>
      <c r="D122" s="17"/>
      <c r="E122" s="17"/>
      <c r="F122" s="17"/>
      <c r="G122" s="17"/>
    </row>
    <row r="123" spans="1:17" ht="14" x14ac:dyDescent="0.3">
      <c r="A123" s="17"/>
      <c r="B123" s="17"/>
      <c r="C123" s="17"/>
      <c r="D123" s="17"/>
      <c r="E123" s="17"/>
      <c r="F123" s="17"/>
      <c r="G123" s="17"/>
    </row>
    <row r="124" spans="1:17" ht="14" x14ac:dyDescent="0.3">
      <c r="A124" s="17"/>
      <c r="B124" s="17"/>
      <c r="C124" s="17"/>
      <c r="D124" s="17"/>
      <c r="E124" s="17"/>
      <c r="F124" s="17"/>
      <c r="G124" s="17"/>
    </row>
    <row r="125" spans="1:17" ht="14" x14ac:dyDescent="0.3">
      <c r="A125" s="17"/>
      <c r="B125" s="17"/>
      <c r="C125" s="17"/>
      <c r="D125" s="17"/>
      <c r="E125" s="17"/>
      <c r="F125" s="17"/>
      <c r="G125" s="17"/>
    </row>
    <row r="126" spans="1:17" ht="14" x14ac:dyDescent="0.3">
      <c r="A126" s="17"/>
      <c r="B126" s="17"/>
      <c r="C126" s="17"/>
      <c r="D126" s="17"/>
      <c r="E126" s="17"/>
      <c r="F126" s="17"/>
      <c r="G126" s="17"/>
    </row>
    <row r="127" spans="1:17" ht="14" x14ac:dyDescent="0.3">
      <c r="A127" s="17"/>
      <c r="B127" s="17"/>
      <c r="C127" s="17"/>
      <c r="D127" s="17"/>
      <c r="E127" s="17"/>
      <c r="F127" s="17"/>
      <c r="G127" s="17"/>
    </row>
    <row r="128" spans="1:17" ht="14" x14ac:dyDescent="0.3">
      <c r="A128" s="17"/>
      <c r="B128" s="17"/>
      <c r="C128" s="17"/>
      <c r="D128" s="17"/>
      <c r="E128" s="17"/>
      <c r="F128" s="17"/>
      <c r="G128" s="17"/>
    </row>
    <row r="129" spans="1:7" ht="14" x14ac:dyDescent="0.3">
      <c r="A129" s="17"/>
      <c r="B129" s="17"/>
      <c r="C129" s="17"/>
      <c r="D129" s="17"/>
      <c r="E129" s="17"/>
      <c r="F129" s="17"/>
      <c r="G129" s="17"/>
    </row>
    <row r="130" spans="1:7" ht="14" x14ac:dyDescent="0.3">
      <c r="A130" s="17"/>
      <c r="B130" s="17"/>
      <c r="C130" s="17"/>
      <c r="D130" s="17"/>
      <c r="E130" s="17"/>
      <c r="F130" s="17"/>
      <c r="G130" s="17"/>
    </row>
    <row r="131" spans="1:7" ht="14" x14ac:dyDescent="0.3">
      <c r="A131" s="17"/>
      <c r="B131" s="17"/>
      <c r="C131" s="17"/>
      <c r="D131" s="17"/>
      <c r="E131" s="17"/>
      <c r="F131" s="17"/>
      <c r="G131" s="17"/>
    </row>
    <row r="132" spans="1:7" ht="14" x14ac:dyDescent="0.3">
      <c r="A132" s="17"/>
      <c r="B132" s="17"/>
      <c r="C132" s="17"/>
      <c r="D132" s="17"/>
      <c r="E132" s="17"/>
      <c r="F132" s="17"/>
      <c r="G132" s="17"/>
    </row>
    <row r="133" spans="1:7" ht="14" x14ac:dyDescent="0.3">
      <c r="A133" s="17"/>
      <c r="B133" s="17"/>
      <c r="C133" s="17"/>
      <c r="D133" s="17"/>
      <c r="E133" s="17"/>
      <c r="F133" s="17"/>
      <c r="G133" s="17"/>
    </row>
    <row r="134" spans="1:7" ht="14" x14ac:dyDescent="0.3">
      <c r="A134" s="17"/>
      <c r="B134" s="17"/>
      <c r="C134" s="17"/>
      <c r="D134" s="17"/>
      <c r="E134" s="17"/>
      <c r="F134" s="17"/>
      <c r="G134" s="17"/>
    </row>
    <row r="135" spans="1:7" ht="14" x14ac:dyDescent="0.3">
      <c r="A135" s="17"/>
      <c r="B135" s="17"/>
      <c r="C135" s="17"/>
      <c r="D135" s="17"/>
      <c r="E135" s="17"/>
      <c r="F135" s="17"/>
      <c r="G135" s="17"/>
    </row>
    <row r="136" spans="1:7" ht="14" x14ac:dyDescent="0.3">
      <c r="A136" s="17"/>
      <c r="B136" s="17"/>
      <c r="C136" s="17"/>
      <c r="D136" s="17"/>
      <c r="E136" s="17"/>
      <c r="F136" s="17"/>
      <c r="G136" s="17"/>
    </row>
    <row r="137" spans="1:7" ht="14" x14ac:dyDescent="0.3">
      <c r="A137" s="17"/>
      <c r="B137" s="17"/>
      <c r="C137" s="17"/>
      <c r="D137" s="17"/>
      <c r="E137" s="17"/>
      <c r="F137" s="17"/>
      <c r="G137" s="17"/>
    </row>
    <row r="138" spans="1:7" ht="14" x14ac:dyDescent="0.3">
      <c r="A138" s="17"/>
      <c r="B138" s="17"/>
      <c r="C138" s="17"/>
      <c r="D138" s="17"/>
      <c r="E138" s="17"/>
      <c r="F138" s="17"/>
      <c r="G138" s="17"/>
    </row>
    <row r="139" spans="1:7" ht="14" x14ac:dyDescent="0.3">
      <c r="A139" s="17"/>
      <c r="B139" s="17"/>
      <c r="C139" s="17"/>
      <c r="D139" s="17"/>
      <c r="E139" s="17"/>
      <c r="F139" s="17"/>
      <c r="G139" s="17"/>
    </row>
    <row r="140" spans="1:7" ht="14" x14ac:dyDescent="0.3">
      <c r="A140" s="17"/>
      <c r="B140" s="17"/>
      <c r="C140" s="17"/>
      <c r="D140" s="17"/>
      <c r="E140" s="17"/>
      <c r="F140" s="17"/>
      <c r="G140" s="17"/>
    </row>
    <row r="141" spans="1:7" ht="14" x14ac:dyDescent="0.3">
      <c r="A141" s="17"/>
      <c r="B141" s="17"/>
      <c r="C141" s="17"/>
      <c r="D141" s="17"/>
      <c r="E141" s="17"/>
      <c r="F141" s="17"/>
      <c r="G141" s="17"/>
    </row>
    <row r="142" spans="1:7" ht="14" x14ac:dyDescent="0.3">
      <c r="A142" s="17"/>
      <c r="B142" s="17"/>
      <c r="C142" s="17"/>
      <c r="D142" s="17"/>
      <c r="E142" s="17"/>
      <c r="F142" s="17"/>
      <c r="G142" s="17"/>
    </row>
    <row r="143" spans="1:7" ht="14" x14ac:dyDescent="0.3">
      <c r="A143" s="17"/>
      <c r="B143" s="17"/>
      <c r="C143" s="17"/>
      <c r="D143" s="17"/>
      <c r="E143" s="17"/>
      <c r="F143" s="17"/>
      <c r="G143" s="17"/>
    </row>
    <row r="144" spans="1:7" ht="14" x14ac:dyDescent="0.3">
      <c r="A144" s="17"/>
      <c r="B144" s="17"/>
      <c r="C144" s="17"/>
      <c r="D144" s="17"/>
      <c r="E144" s="17"/>
      <c r="F144" s="17"/>
      <c r="G144" s="17"/>
    </row>
    <row r="145" spans="1:7" ht="14" x14ac:dyDescent="0.3">
      <c r="A145" s="17"/>
      <c r="B145" s="17"/>
      <c r="C145" s="17"/>
      <c r="D145" s="17"/>
      <c r="E145" s="17"/>
      <c r="F145" s="17"/>
      <c r="G145" s="17"/>
    </row>
    <row r="146" spans="1:7" ht="14" x14ac:dyDescent="0.3">
      <c r="A146" s="17"/>
      <c r="B146" s="17"/>
      <c r="C146" s="17"/>
      <c r="D146" s="17"/>
      <c r="E146" s="17"/>
      <c r="F146" s="17"/>
      <c r="G146" s="17"/>
    </row>
    <row r="147" spans="1:7" ht="14" x14ac:dyDescent="0.3">
      <c r="A147" s="17"/>
      <c r="B147" s="17"/>
      <c r="C147" s="17"/>
      <c r="D147" s="17"/>
      <c r="E147" s="17"/>
      <c r="F147" s="17"/>
      <c r="G147" s="17"/>
    </row>
    <row r="148" spans="1:7" ht="14" x14ac:dyDescent="0.3">
      <c r="A148" s="17"/>
      <c r="B148" s="17"/>
      <c r="C148" s="17"/>
      <c r="D148" s="17"/>
      <c r="E148" s="17"/>
      <c r="F148" s="17"/>
      <c r="G148" s="17"/>
    </row>
    <row r="149" spans="1:7" ht="14" x14ac:dyDescent="0.3">
      <c r="A149" s="17"/>
      <c r="B149" s="17"/>
      <c r="C149" s="17"/>
      <c r="D149" s="17"/>
      <c r="E149" s="17"/>
      <c r="F149" s="17"/>
      <c r="G149" s="17"/>
    </row>
    <row r="150" spans="1:7" ht="14" x14ac:dyDescent="0.3">
      <c r="A150" s="17"/>
      <c r="B150" s="17"/>
      <c r="C150" s="17"/>
      <c r="D150" s="17"/>
      <c r="E150" s="17"/>
      <c r="F150" s="17"/>
      <c r="G150" s="17"/>
    </row>
    <row r="151" spans="1:7" ht="14" x14ac:dyDescent="0.3">
      <c r="A151" s="17"/>
      <c r="B151" s="17"/>
      <c r="C151" s="17"/>
      <c r="D151" s="17"/>
      <c r="E151" s="17"/>
      <c r="F151" s="17"/>
      <c r="G151" s="17"/>
    </row>
    <row r="152" spans="1:7" ht="14" x14ac:dyDescent="0.3">
      <c r="A152" s="17"/>
      <c r="B152" s="17"/>
      <c r="C152" s="17"/>
      <c r="D152" s="17"/>
      <c r="E152" s="17"/>
      <c r="F152" s="17"/>
      <c r="G152" s="17"/>
    </row>
    <row r="153" spans="1:7" ht="14" x14ac:dyDescent="0.3">
      <c r="A153" s="17"/>
      <c r="B153" s="17"/>
      <c r="C153" s="17"/>
      <c r="D153" s="17"/>
      <c r="E153" s="17"/>
      <c r="F153" s="17"/>
      <c r="G153" s="17"/>
    </row>
    <row r="154" spans="1:7" ht="14" x14ac:dyDescent="0.3">
      <c r="A154" s="17"/>
      <c r="B154" s="17"/>
      <c r="C154" s="17"/>
      <c r="D154" s="17"/>
      <c r="E154" s="17"/>
      <c r="F154" s="17"/>
      <c r="G154" s="17"/>
    </row>
    <row r="155" spans="1:7" ht="14" x14ac:dyDescent="0.3">
      <c r="A155" s="17"/>
      <c r="B155" s="17"/>
      <c r="C155" s="17"/>
      <c r="D155" s="17"/>
      <c r="E155" s="17"/>
      <c r="F155" s="17"/>
      <c r="G155" s="17"/>
    </row>
    <row r="156" spans="1:7" ht="14" x14ac:dyDescent="0.3">
      <c r="A156" s="17"/>
      <c r="B156" s="17"/>
      <c r="C156" s="17"/>
      <c r="D156" s="17"/>
      <c r="E156" s="17"/>
      <c r="F156" s="17"/>
      <c r="G156" s="17"/>
    </row>
    <row r="157" spans="1:7" ht="14" x14ac:dyDescent="0.3">
      <c r="B157" s="17"/>
      <c r="C157" s="17"/>
      <c r="D157" s="17"/>
      <c r="E157" s="17"/>
      <c r="F157" s="17"/>
      <c r="G157" s="17"/>
    </row>
    <row r="158" spans="1:7" ht="14" x14ac:dyDescent="0.3">
      <c r="B158" s="17"/>
      <c r="C158" s="17"/>
      <c r="D158" s="17"/>
      <c r="E158" s="17"/>
      <c r="F158" s="17"/>
      <c r="G158" s="17"/>
    </row>
    <row r="159" spans="1:7" ht="14" x14ac:dyDescent="0.3">
      <c r="B159" s="17"/>
      <c r="C159" s="17"/>
      <c r="D159" s="17"/>
      <c r="E159" s="17"/>
      <c r="F159" s="17"/>
      <c r="G159" s="17"/>
    </row>
    <row r="160" spans="1:7" ht="14" x14ac:dyDescent="0.3">
      <c r="B160" s="17"/>
      <c r="C160" s="17"/>
      <c r="D160" s="17"/>
      <c r="E160" s="17"/>
      <c r="F160" s="17"/>
      <c r="G160" s="17"/>
    </row>
    <row r="161" spans="2:7" ht="14" x14ac:dyDescent="0.3">
      <c r="B161" s="17"/>
      <c r="C161" s="17"/>
      <c r="D161" s="17"/>
      <c r="E161" s="17"/>
      <c r="F161" s="17"/>
      <c r="G161" s="17"/>
    </row>
    <row r="162" spans="2:7" ht="14" x14ac:dyDescent="0.3">
      <c r="B162" s="17"/>
      <c r="C162" s="17"/>
      <c r="D162" s="17"/>
      <c r="E162" s="17"/>
      <c r="F162" s="17"/>
      <c r="G162" s="17"/>
    </row>
    <row r="163" spans="2:7" ht="14" x14ac:dyDescent="0.3">
      <c r="B163" s="17"/>
      <c r="C163" s="17"/>
      <c r="D163" s="17"/>
      <c r="E163" s="17"/>
      <c r="F163" s="17"/>
      <c r="G163" s="17"/>
    </row>
    <row r="164" spans="2:7" ht="14" x14ac:dyDescent="0.3"/>
    <row r="165" spans="2:7" ht="14.15" customHeight="1" x14ac:dyDescent="0.3"/>
    <row r="166" spans="2:7" ht="14.15" customHeight="1" x14ac:dyDescent="0.3"/>
    <row r="167" spans="2:7" ht="14.15" customHeight="1" x14ac:dyDescent="0.3"/>
    <row r="168" spans="2:7" ht="14.15" customHeight="1" x14ac:dyDescent="0.3"/>
    <row r="169" spans="2:7" ht="14.15" customHeight="1" x14ac:dyDescent="0.3"/>
    <row r="170" spans="2:7" ht="14.15" customHeight="1" x14ac:dyDescent="0.3"/>
    <row r="171" spans="2:7" ht="14.15" customHeight="1" x14ac:dyDescent="0.3"/>
    <row r="172" spans="2:7" ht="14.15" customHeight="1" x14ac:dyDescent="0.3"/>
    <row r="173" spans="2:7" ht="14.15" customHeight="1" x14ac:dyDescent="0.3"/>
    <row r="174" spans="2:7" ht="14.15" customHeight="1" x14ac:dyDescent="0.3"/>
    <row r="175" spans="2:7" ht="14.15" customHeight="1" x14ac:dyDescent="0.3"/>
    <row r="176" spans="2:7" ht="14.15" customHeight="1" x14ac:dyDescent="0.3"/>
    <row r="177" ht="14.15" customHeight="1" x14ac:dyDescent="0.3"/>
    <row r="178" ht="14.15" customHeight="1" x14ac:dyDescent="0.3"/>
    <row r="179" ht="14.15" customHeight="1" x14ac:dyDescent="0.3"/>
    <row r="180" ht="14.15" customHeight="1" x14ac:dyDescent="0.3"/>
    <row r="181" ht="14.15" customHeight="1" x14ac:dyDescent="0.3"/>
    <row r="182" ht="14.15" customHeight="1" x14ac:dyDescent="0.3"/>
    <row r="183" ht="14.15" customHeight="1" x14ac:dyDescent="0.3"/>
    <row r="184" ht="14.15" customHeight="1" x14ac:dyDescent="0.3"/>
    <row r="185" ht="14.15" customHeight="1" x14ac:dyDescent="0.3"/>
    <row r="186" ht="14.15" customHeight="1" x14ac:dyDescent="0.3"/>
    <row r="187" ht="14.15" customHeight="1" x14ac:dyDescent="0.3"/>
    <row r="188" ht="14.15" customHeight="1" x14ac:dyDescent="0.3"/>
    <row r="189" ht="14.15" customHeight="1" x14ac:dyDescent="0.3"/>
    <row r="190" ht="14.15" customHeight="1" x14ac:dyDescent="0.3"/>
    <row r="191" ht="14.15" customHeight="1" x14ac:dyDescent="0.3"/>
    <row r="192" ht="14.15" customHeight="1" x14ac:dyDescent="0.3"/>
    <row r="193" ht="14.15" customHeight="1" x14ac:dyDescent="0.3"/>
    <row r="194" ht="14.15" customHeight="1" x14ac:dyDescent="0.3"/>
    <row r="195" ht="14.15" customHeight="1" x14ac:dyDescent="0.3"/>
    <row r="196" ht="14.15" customHeight="1" x14ac:dyDescent="0.3"/>
    <row r="197" ht="14.15" customHeight="1" x14ac:dyDescent="0.3"/>
    <row r="198" ht="14.15" customHeight="1" x14ac:dyDescent="0.3"/>
    <row r="199" ht="14.15" customHeight="1" x14ac:dyDescent="0.3"/>
    <row r="200" ht="14.15" customHeight="1" x14ac:dyDescent="0.3"/>
    <row r="201" ht="14.15" customHeight="1" x14ac:dyDescent="0.3"/>
    <row r="202" ht="14.15" customHeight="1" x14ac:dyDescent="0.3"/>
    <row r="203" ht="14.15" customHeight="1" x14ac:dyDescent="0.3"/>
    <row r="204" ht="14.15" customHeight="1" x14ac:dyDescent="0.3"/>
    <row r="205" ht="14.15" customHeight="1" x14ac:dyDescent="0.3"/>
    <row r="206" ht="14.15" customHeight="1" x14ac:dyDescent="0.3"/>
    <row r="207" ht="14.15" customHeight="1" x14ac:dyDescent="0.3"/>
    <row r="208" ht="14.15" customHeight="1" x14ac:dyDescent="0.3"/>
    <row r="209" ht="14.15" customHeight="1" x14ac:dyDescent="0.3"/>
    <row r="210" ht="14.15" customHeight="1" x14ac:dyDescent="0.3"/>
    <row r="211" ht="14.15" customHeight="1" x14ac:dyDescent="0.3"/>
    <row r="212" ht="14.15" customHeight="1" x14ac:dyDescent="0.3"/>
    <row r="213" ht="14.15" customHeight="1" x14ac:dyDescent="0.3"/>
    <row r="214" ht="14.15" customHeight="1" x14ac:dyDescent="0.3"/>
    <row r="215" ht="14.15" customHeight="1" x14ac:dyDescent="0.3"/>
    <row r="216" ht="14.15" customHeight="1" x14ac:dyDescent="0.3"/>
    <row r="217" ht="14.15" customHeight="1" x14ac:dyDescent="0.3"/>
    <row r="218" ht="14.15" customHeight="1" x14ac:dyDescent="0.3"/>
    <row r="219" ht="14.15" customHeight="1" x14ac:dyDescent="0.3"/>
    <row r="220" ht="14.15" customHeight="1" x14ac:dyDescent="0.3"/>
    <row r="221" ht="14.15" customHeight="1" x14ac:dyDescent="0.3"/>
    <row r="222" ht="14.15" customHeight="1" x14ac:dyDescent="0.3"/>
    <row r="223" ht="14.15" customHeight="1" x14ac:dyDescent="0.3"/>
    <row r="224" ht="14.15" customHeight="1" x14ac:dyDescent="0.3"/>
    <row r="225" ht="14.15" customHeight="1" x14ac:dyDescent="0.3"/>
    <row r="226" ht="14.15" customHeight="1" x14ac:dyDescent="0.3"/>
    <row r="227" ht="14.15" customHeight="1" x14ac:dyDescent="0.3"/>
    <row r="228" ht="14.15" customHeight="1" x14ac:dyDescent="0.3"/>
    <row r="229" ht="14.15" customHeight="1" x14ac:dyDescent="0.3"/>
    <row r="230" ht="14.15" customHeight="1" x14ac:dyDescent="0.3"/>
    <row r="231" ht="14.15" customHeight="1" x14ac:dyDescent="0.3"/>
    <row r="232" ht="14.15" customHeight="1" x14ac:dyDescent="0.3"/>
    <row r="233" ht="14.15" customHeight="1" x14ac:dyDescent="0.3"/>
    <row r="234" ht="14.15" customHeight="1" x14ac:dyDescent="0.3"/>
    <row r="235" ht="14.15" customHeight="1" x14ac:dyDescent="0.3"/>
    <row r="236" ht="14.15" customHeight="1" x14ac:dyDescent="0.3"/>
    <row r="237" ht="14.15" customHeight="1" x14ac:dyDescent="0.3"/>
    <row r="238" ht="14.15" customHeight="1" x14ac:dyDescent="0.3"/>
    <row r="239" ht="14.15" customHeight="1" x14ac:dyDescent="0.3"/>
    <row r="240" ht="14.15" customHeight="1" x14ac:dyDescent="0.3"/>
    <row r="241" ht="14.15" customHeight="1" x14ac:dyDescent="0.3"/>
    <row r="242" ht="14.15" customHeight="1" x14ac:dyDescent="0.3"/>
    <row r="243" ht="14.15" customHeight="1" x14ac:dyDescent="0.3"/>
    <row r="244" ht="14.15" customHeight="1" x14ac:dyDescent="0.3"/>
    <row r="245" ht="14.15" customHeight="1" x14ac:dyDescent="0.3"/>
    <row r="246" ht="14.15" customHeight="1" x14ac:dyDescent="0.3"/>
    <row r="247" ht="14.15" customHeight="1" x14ac:dyDescent="0.3"/>
    <row r="248" ht="14.15" customHeight="1" x14ac:dyDescent="0.3"/>
    <row r="249" ht="14.15" customHeight="1" x14ac:dyDescent="0.3"/>
    <row r="250" ht="14.15" customHeight="1" x14ac:dyDescent="0.3"/>
    <row r="251" ht="14.15" customHeight="1" x14ac:dyDescent="0.3"/>
    <row r="252" ht="14.15" customHeight="1" x14ac:dyDescent="0.3"/>
    <row r="253" ht="14.15" customHeight="1" x14ac:dyDescent="0.3"/>
    <row r="254" ht="14.15" customHeight="1" x14ac:dyDescent="0.3"/>
    <row r="255" ht="14.15" customHeight="1" x14ac:dyDescent="0.3"/>
    <row r="256" ht="14.15" customHeight="1" x14ac:dyDescent="0.3"/>
    <row r="257" ht="14.15" customHeight="1" x14ac:dyDescent="0.3"/>
    <row r="258" ht="14.15" customHeight="1" x14ac:dyDescent="0.3"/>
    <row r="259" ht="14.15" customHeight="1" x14ac:dyDescent="0.3"/>
    <row r="260" ht="14.15" customHeight="1" x14ac:dyDescent="0.3"/>
    <row r="261" ht="14.15" customHeight="1" x14ac:dyDescent="0.3"/>
    <row r="262" ht="14.15" customHeight="1" x14ac:dyDescent="0.3"/>
    <row r="263" ht="14.15" customHeight="1" x14ac:dyDescent="0.3"/>
    <row r="264" ht="14.15" customHeight="1" x14ac:dyDescent="0.3"/>
    <row r="265" ht="14.15" customHeight="1" x14ac:dyDescent="0.3"/>
    <row r="266" ht="14.15" customHeight="1" x14ac:dyDescent="0.3"/>
    <row r="267" ht="14.15" customHeight="1" x14ac:dyDescent="0.3"/>
    <row r="268" ht="14.15" customHeight="1" x14ac:dyDescent="0.3"/>
    <row r="269" ht="14.15" customHeight="1" x14ac:dyDescent="0.3"/>
    <row r="270" ht="14.15" customHeight="1" x14ac:dyDescent="0.3"/>
    <row r="271" ht="14.15" customHeight="1" x14ac:dyDescent="0.3"/>
    <row r="272" ht="14.15" customHeight="1" x14ac:dyDescent="0.3"/>
    <row r="273" ht="14.15" customHeight="1" x14ac:dyDescent="0.3"/>
    <row r="274" ht="14.15" customHeight="1" x14ac:dyDescent="0.3"/>
    <row r="275" ht="14.15" customHeight="1" x14ac:dyDescent="0.3"/>
    <row r="276" ht="14.15" customHeight="1" x14ac:dyDescent="0.3"/>
    <row r="277" ht="14.15" customHeight="1" x14ac:dyDescent="0.3"/>
    <row r="278" ht="14.15" customHeight="1" x14ac:dyDescent="0.3"/>
    <row r="279" ht="14.15" customHeight="1" x14ac:dyDescent="0.3"/>
    <row r="280" ht="14.15" customHeight="1" x14ac:dyDescent="0.3"/>
    <row r="281" ht="14.15" customHeight="1" x14ac:dyDescent="0.3"/>
    <row r="282" ht="14.15" customHeight="1" x14ac:dyDescent="0.3"/>
    <row r="283" ht="14.15" customHeight="1" x14ac:dyDescent="0.3"/>
    <row r="284" ht="14.15" customHeight="1" x14ac:dyDescent="0.3"/>
    <row r="285" ht="14.15" customHeight="1" x14ac:dyDescent="0.3"/>
    <row r="286" ht="14.15" customHeight="1" x14ac:dyDescent="0.3"/>
    <row r="287" ht="14.15" customHeight="1" x14ac:dyDescent="0.3"/>
    <row r="288" ht="14.15" customHeight="1" x14ac:dyDescent="0.3"/>
    <row r="289" ht="14.15" customHeight="1" x14ac:dyDescent="0.3"/>
    <row r="290" ht="14.15" customHeight="1" x14ac:dyDescent="0.3"/>
    <row r="291" ht="14.15" customHeight="1" x14ac:dyDescent="0.3"/>
    <row r="292" ht="14.15" customHeight="1" x14ac:dyDescent="0.3"/>
    <row r="293" ht="14.15" customHeight="1" x14ac:dyDescent="0.3"/>
    <row r="294" ht="14.15" customHeight="1" x14ac:dyDescent="0.3"/>
    <row r="295" ht="14.15" customHeight="1" x14ac:dyDescent="0.3"/>
    <row r="296" ht="14.15" customHeight="1" x14ac:dyDescent="0.3"/>
    <row r="297" ht="14.15" customHeight="1" x14ac:dyDescent="0.3"/>
    <row r="298" ht="14.15" customHeight="1" x14ac:dyDescent="0.3"/>
    <row r="299" ht="14.15" customHeight="1" x14ac:dyDescent="0.3"/>
    <row r="300" ht="14.15" customHeight="1" x14ac:dyDescent="0.3"/>
    <row r="301" ht="14.15" customHeight="1" x14ac:dyDescent="0.3"/>
    <row r="302" ht="14.15" customHeight="1" x14ac:dyDescent="0.3"/>
    <row r="303" ht="14.15" customHeight="1" x14ac:dyDescent="0.3"/>
    <row r="304" ht="14.15" customHeight="1" x14ac:dyDescent="0.3"/>
    <row r="305" ht="14.15" customHeight="1" x14ac:dyDescent="0.3"/>
    <row r="306" ht="14.15" customHeight="1" x14ac:dyDescent="0.3"/>
    <row r="307" ht="14.15" customHeight="1" x14ac:dyDescent="0.3"/>
  </sheetData>
  <sheetProtection algorithmName="SHA-512" hashValue="RpMAtWgpkgU48l32MQv0nYVQWEDwksWZerEuy3VZaOQ4Rrty+iRYfMmhJNMSznEuSNuDeBNkbLkG5nHD9WhEfg==" saltValue="CBjzTMBAuIMbz9nPcgdU1w==" spinCount="100000" sheet="1" objects="1" scenarios="1"/>
  <mergeCells count="24">
    <mergeCell ref="B52:E52"/>
    <mergeCell ref="G52:H52"/>
    <mergeCell ref="C9:F9"/>
    <mergeCell ref="G9:H9"/>
    <mergeCell ref="G42:H42"/>
    <mergeCell ref="B42:E42"/>
    <mergeCell ref="G30:H30"/>
    <mergeCell ref="B30:E30"/>
    <mergeCell ref="B2:H2"/>
    <mergeCell ref="G20:H20"/>
    <mergeCell ref="G3:H4"/>
    <mergeCell ref="G5:H5"/>
    <mergeCell ref="G6:H6"/>
    <mergeCell ref="G7:H7"/>
    <mergeCell ref="G8:H8"/>
    <mergeCell ref="B3:B4"/>
    <mergeCell ref="C3:F4"/>
    <mergeCell ref="C5:F5"/>
    <mergeCell ref="C7:F7"/>
    <mergeCell ref="C8:F8"/>
    <mergeCell ref="G12:H12"/>
    <mergeCell ref="C6:F6"/>
    <mergeCell ref="B12:E12"/>
    <mergeCell ref="B20:E20"/>
  </mergeCells>
  <conditionalFormatting sqref="H14">
    <cfRule type="cellIs" dxfId="469" priority="49" operator="lessThan">
      <formula>0</formula>
    </cfRule>
    <cfRule type="cellIs" dxfId="468" priority="52" operator="greaterThan">
      <formula>0</formula>
    </cfRule>
  </conditionalFormatting>
  <conditionalFormatting sqref="H13">
    <cfRule type="cellIs" dxfId="467" priority="50" operator="greaterThan">
      <formula>0</formula>
    </cfRule>
    <cfRule type="cellIs" dxfId="466" priority="51" operator="lessThan">
      <formula>0</formula>
    </cfRule>
  </conditionalFormatting>
  <conditionalFormatting sqref="H32 H43:H44 H35">
    <cfRule type="cellIs" dxfId="465" priority="47" operator="lessThan">
      <formula>0</formula>
    </cfRule>
    <cfRule type="cellIs" dxfId="464" priority="48" operator="greaterThan">
      <formula>0</formula>
    </cfRule>
  </conditionalFormatting>
  <conditionalFormatting sqref="G5:G8">
    <cfRule type="containsText" dxfId="463" priority="53" operator="containsText" text="Yes">
      <formula>NOT(ISERROR(SEARCH("Yes",G5)))</formula>
    </cfRule>
    <cfRule type="containsText" dxfId="462" priority="54" operator="containsText" text="No">
      <formula>NOT(ISERROR(SEARCH("No",G5)))</formula>
    </cfRule>
  </conditionalFormatting>
  <conditionalFormatting sqref="H33">
    <cfRule type="cellIs" dxfId="461" priority="13" operator="greaterThan">
      <formula>0</formula>
    </cfRule>
    <cfRule type="cellIs" dxfId="460" priority="46" operator="lessThan">
      <formula>0</formula>
    </cfRule>
  </conditionalFormatting>
  <conditionalFormatting sqref="G25 G36:G37">
    <cfRule type="expression" dxfId="459" priority="42">
      <formula>$G25&gt;0</formula>
    </cfRule>
    <cfRule type="expression" dxfId="458" priority="43">
      <formula>$G25&lt;0</formula>
    </cfRule>
  </conditionalFormatting>
  <conditionalFormatting sqref="H22">
    <cfRule type="cellIs" dxfId="457" priority="22" operator="greaterThan">
      <formula>0</formula>
    </cfRule>
    <cfRule type="cellIs" dxfId="456" priority="25" operator="lessThan">
      <formula>0</formula>
    </cfRule>
  </conditionalFormatting>
  <conditionalFormatting sqref="H21">
    <cfRule type="cellIs" dxfId="455" priority="23" operator="greaterThan">
      <formula>0</formula>
    </cfRule>
    <cfRule type="cellIs" dxfId="454" priority="24" operator="lessThan">
      <formula>0</formula>
    </cfRule>
  </conditionalFormatting>
  <conditionalFormatting sqref="B14 B22:E25 B37:E37 B32:E35 C36:E36 B44:E46">
    <cfRule type="expression" dxfId="453" priority="374">
      <formula>$E14&gt;0</formula>
    </cfRule>
    <cfRule type="expression" dxfId="452" priority="375">
      <formula>$E14&lt;0</formula>
    </cfRule>
  </conditionalFormatting>
  <conditionalFormatting sqref="C14:E14">
    <cfRule type="expression" dxfId="451" priority="376">
      <formula>$E14&gt;0</formula>
    </cfRule>
    <cfRule type="expression" dxfId="450" priority="377">
      <formula>$E14&lt;0</formula>
    </cfRule>
  </conditionalFormatting>
  <conditionalFormatting sqref="B36">
    <cfRule type="expression" dxfId="449" priority="14">
      <formula>$E36&gt;0</formula>
    </cfRule>
    <cfRule type="expression" dxfId="448" priority="15">
      <formula>$E36&lt;0</formula>
    </cfRule>
  </conditionalFormatting>
  <conditionalFormatting sqref="H31">
    <cfRule type="cellIs" dxfId="447" priority="11" operator="lessThan">
      <formula>0</formula>
    </cfRule>
    <cfRule type="cellIs" dxfId="446" priority="12" operator="greaterThan">
      <formula>0</formula>
    </cfRule>
  </conditionalFormatting>
  <conditionalFormatting sqref="H23">
    <cfRule type="cellIs" dxfId="445" priority="8" operator="lessThan">
      <formula>0</formula>
    </cfRule>
    <cfRule type="cellIs" dxfId="444" priority="9" operator="greaterThan">
      <formula>0</formula>
    </cfRule>
  </conditionalFormatting>
  <conditionalFormatting sqref="I22">
    <cfRule type="cellIs" dxfId="443" priority="7" operator="equal">
      <formula>"Trading Rules Not Satisfied"</formula>
    </cfRule>
  </conditionalFormatting>
  <conditionalFormatting sqref="B54:E54">
    <cfRule type="expression" dxfId="442" priority="5">
      <formula>$E54&gt;0</formula>
    </cfRule>
    <cfRule type="expression" dxfId="441" priority="6">
      <formula>$E54&lt;0</formula>
    </cfRule>
  </conditionalFormatting>
  <conditionalFormatting sqref="H53:H54">
    <cfRule type="cellIs" dxfId="440" priority="3" operator="lessThan">
      <formula>0</formula>
    </cfRule>
    <cfRule type="cellIs" dxfId="439" priority="4" operator="greaterThan">
      <formula>0</formula>
    </cfRule>
  </conditionalFormatting>
  <conditionalFormatting sqref="G9">
    <cfRule type="containsText" dxfId="438" priority="1" operator="containsText" text="Yes">
      <formula>NOT(ISERROR(SEARCH("Yes",G9)))</formula>
    </cfRule>
    <cfRule type="containsText" dxfId="437" priority="2" operator="containsText" text="No">
      <formula>NOT(ISERROR(SEARCH("No",G9)))</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176F3-0C63-411C-828C-132F2A45A8F5}">
  <sheetPr codeName="Sheet24">
    <tabColor rgb="FFF4D4D4"/>
  </sheetPr>
  <dimension ref="A1:V306"/>
  <sheetViews>
    <sheetView showGridLines="0" showRowColHeaders="0" zoomScale="80" zoomScaleNormal="80" workbookViewId="0">
      <selection activeCell="I21" sqref="I21"/>
    </sheetView>
  </sheetViews>
  <sheetFormatPr defaultColWidth="0" defaultRowHeight="14.15" customHeight="1" zeroHeight="1" x14ac:dyDescent="0.3"/>
  <cols>
    <col min="1" max="1" width="17" style="15" customWidth="1"/>
    <col min="2" max="2" width="104.81640625" style="15" bestFit="1" customWidth="1"/>
    <col min="3" max="3" width="24.453125" style="15" bestFit="1" customWidth="1"/>
    <col min="4" max="4" width="10.54296875" style="15" bestFit="1" customWidth="1"/>
    <col min="5" max="5" width="10.26953125" style="15" bestFit="1" customWidth="1"/>
    <col min="6" max="6" width="18.1796875" style="15" customWidth="1"/>
    <col min="7" max="7" width="31" style="15" customWidth="1"/>
    <col min="8" max="8" width="15" style="15" customWidth="1"/>
    <col min="9" max="9" width="49.453125" style="15" customWidth="1"/>
    <col min="10" max="10" width="10.81640625" style="15" customWidth="1"/>
    <col min="11" max="11" width="2" style="15" customWidth="1"/>
    <col min="12" max="12" width="2.54296875" style="15" customWidth="1"/>
    <col min="13" max="13" width="4.1796875" style="15" customWidth="1"/>
    <col min="14" max="16" width="9.1796875" style="15" customWidth="1"/>
    <col min="17" max="17" width="10.54296875" style="15" customWidth="1"/>
    <col min="18" max="20" width="9.1796875" style="15" customWidth="1"/>
    <col min="21" max="22" width="0" style="15" hidden="1" customWidth="1"/>
    <col min="23" max="16384" width="9.1796875" style="15" hidden="1"/>
  </cols>
  <sheetData>
    <row r="1" spans="1:17" ht="15" thickBot="1" x14ac:dyDescent="0.35">
      <c r="A1" s="269"/>
      <c r="B1" s="17"/>
      <c r="C1" s="17"/>
      <c r="D1" s="17"/>
      <c r="E1" s="17"/>
      <c r="G1" s="17"/>
      <c r="H1" s="17"/>
      <c r="I1" s="17"/>
      <c r="J1" s="17"/>
      <c r="K1" s="17"/>
      <c r="L1" s="17"/>
      <c r="M1" s="17"/>
      <c r="N1" s="17"/>
      <c r="O1" s="17"/>
      <c r="P1" s="17"/>
      <c r="Q1" s="17"/>
    </row>
    <row r="2" spans="1:17" ht="25.5" thickBot="1" x14ac:dyDescent="0.35">
      <c r="A2" s="17"/>
      <c r="B2" s="951" t="s">
        <v>84</v>
      </c>
      <c r="C2" s="952"/>
      <c r="D2" s="952"/>
      <c r="E2" s="952"/>
      <c r="F2" s="952"/>
      <c r="G2" s="952"/>
      <c r="H2" s="953"/>
      <c r="I2" s="17"/>
      <c r="J2" s="17"/>
      <c r="K2" s="17"/>
      <c r="L2" s="17"/>
      <c r="M2" s="17"/>
      <c r="N2" s="17"/>
      <c r="O2" s="17"/>
      <c r="P2" s="17"/>
      <c r="Q2" s="17"/>
    </row>
    <row r="3" spans="1:17" ht="15" customHeight="1" x14ac:dyDescent="0.3">
      <c r="A3" s="17"/>
      <c r="B3" s="947" t="s">
        <v>85</v>
      </c>
      <c r="C3" s="949" t="s">
        <v>86</v>
      </c>
      <c r="D3" s="949"/>
      <c r="E3" s="949"/>
      <c r="F3" s="949"/>
      <c r="G3" s="949" t="s">
        <v>87</v>
      </c>
      <c r="H3" s="945"/>
      <c r="I3" s="177"/>
      <c r="J3" s="177"/>
      <c r="K3" s="177"/>
      <c r="L3" s="17"/>
      <c r="M3" s="17"/>
      <c r="N3" s="17"/>
      <c r="O3" s="17"/>
      <c r="P3" s="17"/>
      <c r="Q3" s="17"/>
    </row>
    <row r="4" spans="1:17" ht="14.25" customHeight="1" x14ac:dyDescent="0.3">
      <c r="A4" s="17"/>
      <c r="B4" s="948"/>
      <c r="C4" s="950"/>
      <c r="D4" s="950"/>
      <c r="E4" s="950"/>
      <c r="F4" s="950"/>
      <c r="G4" s="950"/>
      <c r="H4" s="946"/>
      <c r="I4" s="177"/>
      <c r="J4" s="177"/>
      <c r="K4" s="177"/>
      <c r="L4" s="17"/>
      <c r="M4" s="17"/>
      <c r="N4" s="17"/>
      <c r="O4" s="17"/>
      <c r="P4" s="17"/>
      <c r="Q4" s="17"/>
    </row>
    <row r="5" spans="1:17" ht="20" x14ac:dyDescent="0.3">
      <c r="A5" s="17"/>
      <c r="B5" s="83" t="s">
        <v>88</v>
      </c>
      <c r="C5" s="973" t="s">
        <v>89</v>
      </c>
      <c r="D5" s="973"/>
      <c r="E5" s="973"/>
      <c r="F5" s="973"/>
      <c r="G5" s="971" t="str" cm="1">
        <f t="array" ref="G5">IFERROR(IF(E14&lt;0,"No ▲", IF(OR('Irreplaceable Habitats'!BK10:BK64="Irreplaceable habitat lost, bespoke compensation must be agreed with concenting body ▲",'C-1 On-Site WaterC'' Baseline'!AE258&gt;0,#REF!&gt;0),"No ▲", "Yes ✓")),"")</f>
        <v/>
      </c>
      <c r="H5" s="972"/>
      <c r="I5" s="177"/>
      <c r="J5" s="177"/>
      <c r="K5" s="177"/>
      <c r="L5" s="17"/>
      <c r="M5" s="17"/>
      <c r="N5" s="17"/>
      <c r="O5" s="17"/>
      <c r="P5" s="17"/>
      <c r="Q5" s="17"/>
    </row>
    <row r="6" spans="1:17" ht="22.5" customHeight="1" x14ac:dyDescent="0.3">
      <c r="A6" s="17"/>
      <c r="B6" s="83" t="s">
        <v>90</v>
      </c>
      <c r="C6" s="974" t="s">
        <v>110</v>
      </c>
      <c r="D6" s="974"/>
      <c r="E6" s="974"/>
      <c r="F6" s="974"/>
      <c r="G6" s="971" t="e">
        <f>IF(H22&lt;0, "No ▲","Yes ✓")</f>
        <v>#REF!</v>
      </c>
      <c r="H6" s="972"/>
      <c r="I6" s="17"/>
      <c r="J6" s="17"/>
      <c r="K6" s="17"/>
      <c r="L6" s="17"/>
      <c r="M6" s="17"/>
      <c r="N6" s="17"/>
      <c r="O6" s="17"/>
      <c r="P6" s="17"/>
      <c r="Q6" s="17"/>
    </row>
    <row r="7" spans="1:17" ht="19.5" customHeight="1" x14ac:dyDescent="0.3">
      <c r="A7" s="17"/>
      <c r="B7" s="83" t="s">
        <v>38</v>
      </c>
      <c r="C7" s="974" t="s">
        <v>110</v>
      </c>
      <c r="D7" s="974"/>
      <c r="E7" s="974"/>
      <c r="F7" s="974"/>
      <c r="G7" s="959" t="str">
        <f>IF(H30&lt;0, "No ▲","Yes ✓")</f>
        <v>Yes ✓</v>
      </c>
      <c r="H7" s="960"/>
      <c r="I7" s="17"/>
      <c r="J7" s="17"/>
      <c r="K7" s="17"/>
      <c r="L7" s="17"/>
      <c r="M7" s="17"/>
      <c r="N7" s="17"/>
      <c r="O7" s="17"/>
      <c r="P7" s="17"/>
      <c r="Q7" s="17"/>
    </row>
    <row r="8" spans="1:17" ht="18.75" customHeight="1" thickBot="1" x14ac:dyDescent="0.35">
      <c r="A8" s="17"/>
      <c r="B8" s="58" t="s">
        <v>92</v>
      </c>
      <c r="C8" s="975" t="s">
        <v>115</v>
      </c>
      <c r="D8" s="975"/>
      <c r="E8" s="975"/>
      <c r="F8" s="975"/>
      <c r="G8" s="967" t="e">
        <f>IF(H42&lt;0,"No ▲","Yes ✓")</f>
        <v>#REF!</v>
      </c>
      <c r="H8" s="968"/>
      <c r="I8" s="17"/>
      <c r="J8" s="17"/>
      <c r="K8" s="17"/>
      <c r="L8" s="17"/>
      <c r="M8" s="17"/>
      <c r="N8" s="17"/>
      <c r="O8" s="17"/>
      <c r="P8" s="17"/>
      <c r="Q8" s="17"/>
    </row>
    <row r="9" spans="1:17" ht="14.25" customHeight="1" x14ac:dyDescent="0.3">
      <c r="A9" s="17"/>
      <c r="B9" s="17"/>
      <c r="C9" s="17"/>
      <c r="D9" s="17"/>
      <c r="E9" s="17"/>
      <c r="F9" s="17"/>
      <c r="G9" s="17"/>
      <c r="H9" s="17"/>
      <c r="I9" s="17"/>
      <c r="J9" s="17"/>
      <c r="K9" s="17"/>
      <c r="L9" s="17"/>
      <c r="M9" s="17"/>
      <c r="N9" s="17"/>
      <c r="O9" s="17"/>
      <c r="P9" s="17"/>
      <c r="Q9" s="17"/>
    </row>
    <row r="10" spans="1:17" ht="14.5" thickBot="1" x14ac:dyDescent="0.35">
      <c r="A10" s="17"/>
      <c r="B10" s="17"/>
      <c r="C10" s="17"/>
      <c r="D10" s="17"/>
      <c r="E10" s="17"/>
      <c r="F10" s="17"/>
      <c r="G10" s="17"/>
      <c r="H10" s="17"/>
      <c r="I10" s="17"/>
      <c r="J10" s="17"/>
      <c r="K10" s="17"/>
      <c r="L10" s="17"/>
      <c r="M10" s="17"/>
      <c r="N10" s="17"/>
      <c r="O10" s="17"/>
      <c r="P10" s="17"/>
      <c r="Q10" s="17"/>
    </row>
    <row r="11" spans="1:17" ht="48.65" customHeight="1" thickBot="1" x14ac:dyDescent="0.35">
      <c r="A11" s="17"/>
      <c r="B11" s="951" t="s">
        <v>94</v>
      </c>
      <c r="C11" s="952"/>
      <c r="D11" s="952"/>
      <c r="E11" s="953"/>
      <c r="F11" s="453"/>
      <c r="G11" s="957" t="s">
        <v>95</v>
      </c>
      <c r="H11" s="958"/>
      <c r="K11" s="17"/>
      <c r="L11" s="17"/>
      <c r="M11" s="17"/>
      <c r="N11" s="17"/>
      <c r="O11" s="17"/>
      <c r="P11" s="17"/>
      <c r="Q11" s="17"/>
    </row>
    <row r="12" spans="1:17" s="18" customFormat="1" ht="60.5" thickBot="1" x14ac:dyDescent="0.35">
      <c r="A12" s="17"/>
      <c r="B12" s="54" t="s">
        <v>42</v>
      </c>
      <c r="C12" s="55" t="s">
        <v>97</v>
      </c>
      <c r="D12" s="55" t="s">
        <v>62</v>
      </c>
      <c r="E12" s="56" t="s">
        <v>98</v>
      </c>
      <c r="F12" s="450"/>
      <c r="G12" s="490" t="s">
        <v>99</v>
      </c>
      <c r="H12" s="491">
        <f>SUMIF($E$13:$E$13,"&gt;0")</f>
        <v>0</v>
      </c>
      <c r="K12" s="17"/>
      <c r="L12" s="17"/>
      <c r="M12" s="17"/>
      <c r="N12" s="17"/>
      <c r="O12" s="17"/>
      <c r="P12" s="17"/>
      <c r="Q12" s="17"/>
    </row>
    <row r="13" spans="1:17" ht="27.65" customHeight="1" thickBot="1" x14ac:dyDescent="0.35">
      <c r="A13" s="17"/>
      <c r="B13" s="229" t="str">
        <f>'G-2 Habitat groups'!A172</f>
        <v>Priority habitat</v>
      </c>
      <c r="C13" s="285">
        <f>'G-2 Habitat groups'!R172</f>
        <v>0</v>
      </c>
      <c r="D13" s="285" t="e">
        <f>'G-2 Habitat groups'!AD172</f>
        <v>#REF!</v>
      </c>
      <c r="E13" s="447" t="e">
        <f>'G-2 Habitat groups'!AF172</f>
        <v>#REF!</v>
      </c>
      <c r="F13" s="452"/>
      <c r="H13" s="17"/>
      <c r="I13" s="976"/>
      <c r="J13" s="976"/>
      <c r="K13" s="17"/>
      <c r="L13" s="17"/>
      <c r="M13" s="17"/>
      <c r="N13" s="17"/>
      <c r="O13" s="17"/>
      <c r="P13" s="17"/>
      <c r="Q13" s="17"/>
    </row>
    <row r="14" spans="1:17" ht="14.5" thickBot="1" x14ac:dyDescent="0.35">
      <c r="A14" s="17"/>
      <c r="B14" s="17"/>
      <c r="C14" s="455">
        <f>SUM(C13:C13)</f>
        <v>0</v>
      </c>
      <c r="D14" s="456" t="e">
        <f>SUM(D13:D13)</f>
        <v>#REF!</v>
      </c>
      <c r="E14" s="275" t="e">
        <f>SUM(E13:E13)</f>
        <v>#REF!</v>
      </c>
      <c r="F14" s="436"/>
      <c r="H14" s="17"/>
      <c r="I14" s="17"/>
      <c r="J14" s="17"/>
      <c r="K14" s="17"/>
      <c r="L14" s="17"/>
      <c r="M14" s="17"/>
      <c r="N14" s="17"/>
      <c r="O14" s="17"/>
      <c r="P14" s="17"/>
      <c r="Q14" s="17"/>
    </row>
    <row r="15" spans="1:17" ht="14" x14ac:dyDescent="0.3">
      <c r="A15" s="17"/>
      <c r="B15" s="17"/>
      <c r="C15" s="17"/>
      <c r="D15" s="17"/>
      <c r="E15" s="17"/>
      <c r="F15" s="17"/>
      <c r="G15" s="17"/>
      <c r="H15" s="17"/>
      <c r="I15" s="17"/>
      <c r="J15" s="17"/>
      <c r="K15" s="17"/>
      <c r="L15" s="17"/>
      <c r="M15" s="17"/>
      <c r="N15" s="17"/>
      <c r="O15" s="17"/>
      <c r="P15" s="17"/>
      <c r="Q15" s="17"/>
    </row>
    <row r="16" spans="1:17" ht="14" x14ac:dyDescent="0.3">
      <c r="A16" s="17"/>
      <c r="B16" s="17"/>
      <c r="C16" s="17"/>
      <c r="D16" s="17"/>
      <c r="E16" s="17"/>
      <c r="F16" s="17"/>
      <c r="G16" s="17"/>
      <c r="H16" s="17"/>
      <c r="I16" s="17"/>
      <c r="J16" s="17"/>
      <c r="K16" s="17"/>
      <c r="L16" s="17"/>
      <c r="M16" s="17"/>
      <c r="N16" s="17"/>
      <c r="O16" s="17"/>
      <c r="P16" s="17"/>
      <c r="Q16" s="17"/>
    </row>
    <row r="17" spans="1:17" ht="14" x14ac:dyDescent="0.3">
      <c r="A17" s="17"/>
      <c r="B17" s="17"/>
      <c r="C17" s="17"/>
      <c r="D17" s="17"/>
      <c r="E17" s="17"/>
      <c r="F17" s="17"/>
      <c r="G17" s="17"/>
      <c r="H17" s="17"/>
      <c r="I17" s="17"/>
      <c r="J17" s="17"/>
      <c r="K17" s="17"/>
      <c r="L17" s="17"/>
      <c r="M17" s="17"/>
      <c r="N17" s="17"/>
      <c r="O17" s="17"/>
      <c r="P17" s="17"/>
      <c r="Q17" s="17"/>
    </row>
    <row r="18" spans="1:17" ht="14" x14ac:dyDescent="0.3">
      <c r="A18" s="17"/>
      <c r="B18" s="17"/>
      <c r="C18" s="17"/>
      <c r="D18" s="17"/>
      <c r="E18" s="17"/>
      <c r="F18" s="17"/>
      <c r="G18" s="17"/>
      <c r="H18" s="17"/>
      <c r="I18" s="17"/>
      <c r="J18" s="17"/>
      <c r="K18" s="17"/>
      <c r="L18" s="17"/>
      <c r="M18" s="17"/>
      <c r="N18" s="17"/>
      <c r="O18" s="17"/>
      <c r="P18" s="17"/>
      <c r="Q18" s="17"/>
    </row>
    <row r="19" spans="1:17" ht="14.5" thickBot="1" x14ac:dyDescent="0.35">
      <c r="A19" s="17"/>
      <c r="B19" s="17"/>
      <c r="C19" s="17"/>
      <c r="D19" s="17"/>
      <c r="E19" s="17"/>
      <c r="F19" s="17"/>
      <c r="G19" s="17"/>
      <c r="H19" s="17"/>
      <c r="I19" s="17"/>
      <c r="J19" s="17"/>
      <c r="K19" s="17"/>
      <c r="L19" s="17"/>
      <c r="M19" s="17"/>
      <c r="N19" s="17"/>
      <c r="O19" s="17"/>
      <c r="P19" s="17"/>
      <c r="Q19" s="17"/>
    </row>
    <row r="20" spans="1:17" ht="45.65" customHeight="1" thickBot="1" x14ac:dyDescent="0.35">
      <c r="A20" s="17"/>
      <c r="B20" s="951" t="s">
        <v>100</v>
      </c>
      <c r="C20" s="952"/>
      <c r="D20" s="952"/>
      <c r="E20" s="953"/>
      <c r="F20" s="453"/>
      <c r="G20" s="943" t="s">
        <v>101</v>
      </c>
      <c r="H20" s="944"/>
      <c r="K20" s="17"/>
      <c r="L20" s="17"/>
      <c r="M20" s="17"/>
    </row>
    <row r="21" spans="1:17" ht="60" x14ac:dyDescent="0.3">
      <c r="A21" s="17"/>
      <c r="B21" s="54" t="s">
        <v>42</v>
      </c>
      <c r="C21" s="55" t="s">
        <v>97</v>
      </c>
      <c r="D21" s="55" t="s">
        <v>62</v>
      </c>
      <c r="E21" s="56" t="s">
        <v>98</v>
      </c>
      <c r="G21" s="57" t="s">
        <v>102</v>
      </c>
      <c r="H21" s="280" t="e">
        <f>IF(E23&gt;0, E23, 0)</f>
        <v>#REF!</v>
      </c>
      <c r="K21" s="17"/>
      <c r="L21" s="17"/>
      <c r="M21" s="17"/>
      <c r="N21" s="17"/>
      <c r="O21" s="17"/>
    </row>
    <row r="22" spans="1:17" ht="28.5" thickBot="1" x14ac:dyDescent="0.35">
      <c r="A22" s="17"/>
      <c r="B22" s="229" t="str">
        <f>'G-2 Habitat groups'!A173</f>
        <v>Other rivers and streams</v>
      </c>
      <c r="C22" s="285">
        <f>'G-2 Habitat groups'!R173</f>
        <v>0</v>
      </c>
      <c r="D22" s="285" t="e">
        <f>'G-2 Habitat groups'!AD173</f>
        <v>#REF!</v>
      </c>
      <c r="E22" s="447" t="e">
        <f>'G-2 Habitat groups'!AF173</f>
        <v>#REF!</v>
      </c>
      <c r="G22" s="58" t="s">
        <v>1528</v>
      </c>
      <c r="H22" s="281" t="e">
        <f>IF(E23&lt;0, E23, 0)</f>
        <v>#REF!</v>
      </c>
      <c r="K22" s="17"/>
      <c r="L22" s="17"/>
      <c r="M22" s="17"/>
      <c r="N22" s="17"/>
      <c r="O22" s="17"/>
    </row>
    <row r="23" spans="1:17" ht="14.5" thickBot="1" x14ac:dyDescent="0.35">
      <c r="A23" s="17"/>
      <c r="C23" s="455">
        <f>SUM(C22:C22)</f>
        <v>0</v>
      </c>
      <c r="D23" s="456" t="e">
        <f>SUM(D22:D22)</f>
        <v>#REF!</v>
      </c>
      <c r="E23" s="275" t="e">
        <f>SUM(E22:E22)</f>
        <v>#REF!</v>
      </c>
      <c r="G23" s="436"/>
      <c r="H23" s="17"/>
      <c r="I23" s="17"/>
      <c r="J23" s="17"/>
      <c r="K23" s="17"/>
      <c r="L23" s="17"/>
      <c r="M23" s="17"/>
      <c r="N23" s="17"/>
      <c r="O23" s="17"/>
      <c r="P23" s="17"/>
      <c r="Q23" s="17"/>
    </row>
    <row r="24" spans="1:17" ht="14" x14ac:dyDescent="0.3">
      <c r="A24" s="17"/>
      <c r="B24" s="17"/>
      <c r="C24" s="17"/>
      <c r="D24" s="17"/>
      <c r="E24" s="17"/>
      <c r="F24" s="17"/>
      <c r="G24" s="17"/>
      <c r="H24" s="17"/>
      <c r="I24" s="17"/>
      <c r="J24" s="17"/>
      <c r="K24" s="17"/>
      <c r="L24" s="17"/>
      <c r="M24" s="17"/>
      <c r="N24" s="17"/>
      <c r="O24" s="17"/>
      <c r="P24" s="17"/>
      <c r="Q24" s="17"/>
    </row>
    <row r="25" spans="1:17" ht="14" x14ac:dyDescent="0.3">
      <c r="A25" s="17"/>
      <c r="B25" s="17"/>
      <c r="C25" s="17"/>
      <c r="D25" s="17"/>
      <c r="E25" s="17"/>
      <c r="F25" s="17"/>
      <c r="G25" s="17"/>
      <c r="H25" s="17"/>
      <c r="I25" s="17"/>
      <c r="J25" s="17"/>
      <c r="K25" s="17"/>
      <c r="L25" s="17"/>
      <c r="M25" s="17"/>
      <c r="N25" s="17"/>
      <c r="O25" s="17"/>
      <c r="P25" s="17"/>
      <c r="Q25" s="17"/>
    </row>
    <row r="26" spans="1:17" ht="14" x14ac:dyDescent="0.3">
      <c r="A26" s="17"/>
      <c r="B26" s="17"/>
      <c r="C26" s="17"/>
      <c r="D26" s="17"/>
      <c r="E26" s="17"/>
      <c r="F26" s="17"/>
      <c r="G26" s="17"/>
      <c r="H26" s="17"/>
      <c r="I26" s="17"/>
      <c r="J26" s="17"/>
      <c r="K26" s="17"/>
      <c r="L26" s="17"/>
      <c r="M26" s="17"/>
      <c r="N26" s="17"/>
      <c r="O26" s="17"/>
      <c r="P26" s="17"/>
      <c r="Q26" s="17"/>
    </row>
    <row r="27" spans="1:17" ht="14.5" thickBot="1" x14ac:dyDescent="0.35">
      <c r="A27" s="17"/>
      <c r="B27" s="17"/>
      <c r="C27" s="17"/>
      <c r="D27" s="17"/>
      <c r="E27" s="17"/>
      <c r="F27" s="17"/>
      <c r="G27" s="17"/>
      <c r="H27" s="17"/>
      <c r="I27" s="17"/>
      <c r="J27" s="17"/>
      <c r="K27" s="17"/>
      <c r="L27" s="17"/>
      <c r="M27" s="17"/>
      <c r="N27" s="17"/>
      <c r="O27" s="17"/>
      <c r="P27" s="17"/>
      <c r="Q27" s="17"/>
    </row>
    <row r="28" spans="1:17" ht="46" customHeight="1" thickBot="1" x14ac:dyDescent="0.5">
      <c r="A28" s="17"/>
      <c r="B28" s="964" t="s">
        <v>104</v>
      </c>
      <c r="C28" s="965"/>
      <c r="D28" s="965"/>
      <c r="E28" s="966"/>
      <c r="F28" s="451"/>
      <c r="G28" s="977" t="s">
        <v>105</v>
      </c>
      <c r="H28" s="978"/>
      <c r="K28" s="17"/>
      <c r="L28" s="17"/>
      <c r="M28" s="17"/>
      <c r="N28" s="17"/>
      <c r="O28" s="17"/>
    </row>
    <row r="29" spans="1:17" ht="60" x14ac:dyDescent="0.3">
      <c r="A29" s="17"/>
      <c r="B29" s="54" t="s">
        <v>42</v>
      </c>
      <c r="C29" s="55" t="s">
        <v>44</v>
      </c>
      <c r="D29" s="55" t="s">
        <v>62</v>
      </c>
      <c r="E29" s="56" t="s">
        <v>106</v>
      </c>
      <c r="F29" s="20"/>
      <c r="G29" s="57" t="s">
        <v>116</v>
      </c>
      <c r="H29" s="282">
        <f>SUMIF(E30:E31, "&gt;0")</f>
        <v>0</v>
      </c>
      <c r="K29" s="17"/>
      <c r="L29" s="17"/>
    </row>
    <row r="30" spans="1:17" ht="28" x14ac:dyDescent="0.3">
      <c r="A30" s="17"/>
      <c r="B30" s="227" t="str">
        <f>'G-2 Habitat groups'!A174</f>
        <v>Ditches</v>
      </c>
      <c r="C30" s="277">
        <f>'G-2 Habitat groups'!R174</f>
        <v>0</v>
      </c>
      <c r="D30" s="277" t="e">
        <f>'G-2 Habitat groups'!AD174</f>
        <v>#REF!</v>
      </c>
      <c r="E30" s="278" t="e">
        <f>'G-2 Habitat groups'!AF174</f>
        <v>#REF!</v>
      </c>
      <c r="F30" s="20"/>
      <c r="G30" s="83" t="s">
        <v>1528</v>
      </c>
      <c r="H30" s="283">
        <f>SUMIF(E30:E31, "&lt;0", E30:E31)</f>
        <v>0</v>
      </c>
      <c r="K30" s="17"/>
      <c r="L30" s="17"/>
    </row>
    <row r="31" spans="1:17" ht="14.5" thickBot="1" x14ac:dyDescent="0.35">
      <c r="A31" s="17"/>
      <c r="B31" s="229" t="str">
        <f>'G-2 Habitat groups'!A175</f>
        <v>Canals</v>
      </c>
      <c r="C31" s="285">
        <f>'G-2 Habitat groups'!R175</f>
        <v>0</v>
      </c>
      <c r="D31" s="285" t="e">
        <f>'G-2 Habitat groups'!AD175</f>
        <v>#REF!</v>
      </c>
      <c r="E31" s="447" t="e">
        <f>'G-2 Habitat groups'!AF175</f>
        <v>#REF!</v>
      </c>
      <c r="F31" s="20"/>
      <c r="H31" s="17"/>
    </row>
    <row r="32" spans="1:17" ht="14.5" thickBot="1" x14ac:dyDescent="0.35">
      <c r="A32" s="17"/>
      <c r="B32" s="21"/>
      <c r="C32" s="334">
        <f>SUM(C30:C31)</f>
        <v>0</v>
      </c>
      <c r="D32" s="457" t="e">
        <f>SUM(D30:D31)</f>
        <v>#REF!</v>
      </c>
      <c r="E32" s="305" t="e">
        <f>SUM(E30:E31)</f>
        <v>#REF!</v>
      </c>
      <c r="F32" s="20"/>
      <c r="H32" s="17"/>
      <c r="K32" s="17"/>
      <c r="L32" s="17"/>
    </row>
    <row r="33" spans="1:17" ht="14.5" customHeight="1" x14ac:dyDescent="0.3">
      <c r="A33" s="17"/>
      <c r="B33" s="17"/>
      <c r="C33" s="17"/>
      <c r="H33" s="17"/>
      <c r="I33" s="17"/>
      <c r="J33" s="17"/>
      <c r="K33" s="17"/>
      <c r="L33" s="17"/>
      <c r="M33" s="17"/>
      <c r="N33" s="17"/>
      <c r="O33" s="17"/>
    </row>
    <row r="34" spans="1:17" ht="14" x14ac:dyDescent="0.3">
      <c r="A34" s="17"/>
      <c r="B34" s="17"/>
      <c r="C34" s="17"/>
      <c r="D34" s="17"/>
      <c r="E34" s="17"/>
      <c r="F34" s="17"/>
      <c r="G34" s="17"/>
      <c r="H34" s="17"/>
      <c r="I34" s="17"/>
      <c r="J34" s="17"/>
      <c r="K34" s="17"/>
      <c r="L34" s="17"/>
      <c r="M34" s="17"/>
      <c r="N34" s="17"/>
      <c r="O34" s="17"/>
      <c r="P34" s="17"/>
      <c r="Q34" s="17"/>
    </row>
    <row r="35" spans="1:17" ht="14" x14ac:dyDescent="0.3">
      <c r="A35" s="17"/>
      <c r="B35" s="17"/>
      <c r="C35" s="17"/>
      <c r="D35" s="17"/>
      <c r="E35" s="17"/>
      <c r="F35" s="17"/>
      <c r="G35" s="17"/>
      <c r="H35" s="17"/>
      <c r="I35" s="17"/>
      <c r="J35" s="17"/>
      <c r="K35" s="17"/>
      <c r="L35" s="17"/>
      <c r="M35" s="17"/>
      <c r="N35" s="17"/>
      <c r="O35" s="17"/>
      <c r="P35" s="17"/>
      <c r="Q35" s="17"/>
    </row>
    <row r="36" spans="1:17" ht="14" x14ac:dyDescent="0.3">
      <c r="A36" s="17"/>
      <c r="B36" s="17"/>
      <c r="C36" s="17"/>
      <c r="D36" s="17"/>
      <c r="E36" s="17"/>
      <c r="F36" s="17"/>
      <c r="G36" s="17"/>
      <c r="H36" s="17"/>
      <c r="I36" s="17"/>
      <c r="J36" s="17"/>
      <c r="K36" s="17"/>
      <c r="L36" s="17"/>
      <c r="M36" s="17"/>
      <c r="N36" s="17"/>
      <c r="O36" s="17"/>
      <c r="P36" s="17"/>
      <c r="Q36" s="17"/>
    </row>
    <row r="37" spans="1:17" ht="14" x14ac:dyDescent="0.3">
      <c r="A37" s="17"/>
      <c r="B37" s="17"/>
      <c r="C37" s="17"/>
      <c r="D37" s="17"/>
      <c r="E37" s="17"/>
      <c r="F37" s="17"/>
      <c r="G37" s="17"/>
      <c r="H37" s="17"/>
      <c r="I37" s="17"/>
      <c r="J37" s="17"/>
      <c r="K37" s="17"/>
      <c r="L37" s="17"/>
      <c r="M37" s="17"/>
      <c r="N37" s="17"/>
      <c r="O37" s="17"/>
      <c r="P37" s="17"/>
      <c r="Q37" s="17"/>
    </row>
    <row r="38" spans="1:17" ht="14" x14ac:dyDescent="0.3">
      <c r="A38" s="17"/>
      <c r="B38" s="17"/>
      <c r="C38" s="17"/>
      <c r="D38" s="17"/>
      <c r="E38" s="17"/>
      <c r="F38" s="17"/>
      <c r="G38" s="17"/>
      <c r="H38" s="17"/>
      <c r="I38" s="17"/>
      <c r="J38" s="17"/>
      <c r="K38" s="17"/>
      <c r="L38" s="17"/>
      <c r="M38" s="17"/>
      <c r="N38" s="17"/>
      <c r="O38" s="17"/>
      <c r="P38" s="17"/>
      <c r="Q38" s="17"/>
    </row>
    <row r="39" spans="1:17" ht="14.5" thickBot="1" x14ac:dyDescent="0.35">
      <c r="A39" s="17"/>
      <c r="B39" s="17"/>
      <c r="C39" s="17"/>
      <c r="D39" s="17"/>
      <c r="E39" s="17"/>
      <c r="F39" s="23"/>
      <c r="G39" s="17"/>
      <c r="H39" s="17"/>
      <c r="I39" s="17"/>
      <c r="J39" s="17"/>
      <c r="K39" s="17"/>
      <c r="L39" s="17"/>
      <c r="M39" s="17"/>
      <c r="N39" s="17"/>
      <c r="O39" s="17"/>
      <c r="P39" s="17"/>
      <c r="Q39" s="17"/>
    </row>
    <row r="40" spans="1:17" ht="45.65" customHeight="1" thickBot="1" x14ac:dyDescent="0.5">
      <c r="A40" s="17"/>
      <c r="B40" s="951" t="s">
        <v>107</v>
      </c>
      <c r="C40" s="952"/>
      <c r="D40" s="952"/>
      <c r="E40" s="953"/>
      <c r="F40" s="453"/>
      <c r="G40" s="977" t="s">
        <v>108</v>
      </c>
      <c r="H40" s="978"/>
      <c r="I40" s="17"/>
      <c r="J40" s="17"/>
      <c r="K40" s="17"/>
      <c r="L40" s="17"/>
      <c r="M40" s="17"/>
      <c r="N40" s="17"/>
      <c r="O40" s="17"/>
    </row>
    <row r="41" spans="1:17" ht="60" x14ac:dyDescent="0.3">
      <c r="A41" s="17"/>
      <c r="B41" s="54" t="s">
        <v>42</v>
      </c>
      <c r="C41" s="55" t="s">
        <v>97</v>
      </c>
      <c r="D41" s="55" t="s">
        <v>62</v>
      </c>
      <c r="E41" s="56" t="s">
        <v>106</v>
      </c>
      <c r="G41" s="57" t="s">
        <v>109</v>
      </c>
      <c r="H41" s="282" t="e">
        <f>E43</f>
        <v>#REF!</v>
      </c>
      <c r="K41" s="17"/>
      <c r="L41" s="17"/>
      <c r="M41" s="17"/>
      <c r="N41" s="17"/>
    </row>
    <row r="42" spans="1:17" ht="14.5" thickBot="1" x14ac:dyDescent="0.35">
      <c r="A42" s="17"/>
      <c r="B42" s="171" t="str">
        <f>'G-2 Habitat groups'!A176</f>
        <v>Culvert</v>
      </c>
      <c r="C42" s="285">
        <f>'G-2 Habitat groups'!R176</f>
        <v>0</v>
      </c>
      <c r="D42" s="285" t="e">
        <f>'G-2 Habitat groups'!AD176</f>
        <v>#REF!</v>
      </c>
      <c r="E42" s="447" t="e">
        <f>'G-2 Habitat groups'!AF176</f>
        <v>#REF!</v>
      </c>
      <c r="G42" s="58" t="s">
        <v>1489</v>
      </c>
      <c r="H42" s="281" t="e">
        <f>H41+(H29+H21+H12)</f>
        <v>#REF!</v>
      </c>
      <c r="K42" s="17"/>
      <c r="L42" s="17"/>
      <c r="M42" s="17"/>
      <c r="N42" s="17"/>
    </row>
    <row r="43" spans="1:17" ht="14.5" thickBot="1" x14ac:dyDescent="0.35">
      <c r="A43" s="17"/>
      <c r="B43" s="21"/>
      <c r="C43" s="338">
        <f>SUM(C42:C42)</f>
        <v>0</v>
      </c>
      <c r="D43" s="338" t="e">
        <f>D42</f>
        <v>#REF!</v>
      </c>
      <c r="E43" s="338" t="e">
        <f>SUM(E42:E42)</f>
        <v>#REF!</v>
      </c>
      <c r="G43" s="17"/>
      <c r="H43" s="17"/>
      <c r="K43" s="17"/>
      <c r="L43" s="17"/>
      <c r="M43" s="17"/>
      <c r="N43" s="17"/>
    </row>
    <row r="44" spans="1:17" ht="14" x14ac:dyDescent="0.3">
      <c r="A44" s="17"/>
      <c r="B44" s="17"/>
      <c r="C44" s="17"/>
      <c r="G44" s="17"/>
      <c r="H44" s="17"/>
      <c r="I44" s="17"/>
      <c r="J44" s="17"/>
      <c r="K44" s="17"/>
      <c r="L44" s="17"/>
      <c r="M44" s="17"/>
      <c r="N44" s="17"/>
      <c r="O44" s="17"/>
      <c r="P44" s="17"/>
      <c r="Q44" s="17"/>
    </row>
    <row r="45" spans="1:17" ht="14" x14ac:dyDescent="0.3">
      <c r="A45" s="17"/>
      <c r="G45" s="17"/>
      <c r="H45" s="17"/>
      <c r="I45" s="17"/>
      <c r="J45" s="17"/>
      <c r="K45" s="17"/>
      <c r="L45" s="17"/>
      <c r="M45" s="17"/>
      <c r="N45" s="17"/>
      <c r="O45" s="17"/>
      <c r="P45" s="17"/>
      <c r="Q45" s="17"/>
    </row>
    <row r="46" spans="1:17" ht="14" hidden="1" x14ac:dyDescent="0.3">
      <c r="A46" s="17"/>
      <c r="B46" s="17"/>
      <c r="C46" s="17"/>
      <c r="D46" s="17"/>
      <c r="E46" s="17"/>
      <c r="F46" s="17"/>
      <c r="G46" s="17"/>
      <c r="H46" s="17"/>
      <c r="I46" s="17"/>
      <c r="J46" s="17"/>
      <c r="K46" s="17"/>
      <c r="L46" s="17"/>
      <c r="M46" s="17"/>
      <c r="N46" s="17"/>
      <c r="O46" s="17"/>
      <c r="P46" s="17"/>
      <c r="Q46" s="17"/>
    </row>
    <row r="47" spans="1:17" ht="14" hidden="1" x14ac:dyDescent="0.3">
      <c r="A47" s="17"/>
      <c r="B47" s="17"/>
      <c r="C47" s="17"/>
      <c r="D47" s="17"/>
      <c r="E47" s="17"/>
      <c r="F47" s="17"/>
      <c r="G47" s="17"/>
      <c r="H47" s="17"/>
      <c r="I47" s="17"/>
      <c r="J47" s="17"/>
      <c r="K47" s="17"/>
      <c r="L47" s="17"/>
      <c r="M47" s="17"/>
      <c r="N47" s="17"/>
      <c r="O47" s="17"/>
      <c r="P47" s="17"/>
      <c r="Q47" s="17"/>
    </row>
    <row r="48" spans="1:17" ht="14" hidden="1" x14ac:dyDescent="0.3">
      <c r="A48" s="17"/>
      <c r="B48" s="17"/>
      <c r="C48" s="17"/>
      <c r="D48" s="17"/>
      <c r="E48" s="17"/>
      <c r="F48" s="17"/>
      <c r="G48" s="17"/>
      <c r="H48" s="17"/>
      <c r="I48" s="17"/>
      <c r="J48" s="17"/>
      <c r="K48" s="17"/>
      <c r="L48" s="17"/>
      <c r="M48" s="17"/>
      <c r="N48" s="17"/>
      <c r="O48" s="17"/>
      <c r="P48" s="17"/>
      <c r="Q48" s="17"/>
    </row>
    <row r="49" spans="1:17" ht="14" hidden="1" x14ac:dyDescent="0.3">
      <c r="A49" s="17"/>
      <c r="B49" s="17"/>
      <c r="C49" s="17"/>
      <c r="D49" s="17"/>
      <c r="E49" s="17"/>
      <c r="F49" s="17"/>
      <c r="G49" s="17"/>
      <c r="H49" s="17"/>
      <c r="I49" s="17"/>
      <c r="J49" s="17"/>
      <c r="K49" s="17"/>
      <c r="L49" s="17"/>
      <c r="M49" s="17"/>
      <c r="N49" s="17"/>
      <c r="O49" s="17"/>
      <c r="P49" s="17"/>
      <c r="Q49" s="17"/>
    </row>
    <row r="50" spans="1:17" ht="14" hidden="1" x14ac:dyDescent="0.3">
      <c r="A50" s="17"/>
      <c r="B50" s="17"/>
      <c r="C50" s="17"/>
      <c r="D50" s="17"/>
      <c r="E50" s="17"/>
      <c r="F50" s="17"/>
      <c r="G50" s="17"/>
      <c r="H50" s="17"/>
      <c r="I50" s="17"/>
      <c r="J50" s="17"/>
      <c r="K50" s="17"/>
      <c r="L50" s="17"/>
      <c r="M50" s="17"/>
      <c r="N50" s="17"/>
      <c r="O50" s="17"/>
      <c r="P50" s="17"/>
      <c r="Q50" s="17"/>
    </row>
    <row r="51" spans="1:17" ht="14" hidden="1" x14ac:dyDescent="0.3">
      <c r="A51" s="17"/>
      <c r="B51" s="17"/>
      <c r="C51" s="17"/>
      <c r="D51" s="17"/>
      <c r="E51" s="17"/>
      <c r="F51" s="17"/>
      <c r="G51" s="17"/>
      <c r="H51" s="17"/>
      <c r="I51" s="17"/>
      <c r="J51" s="17"/>
      <c r="K51" s="17"/>
      <c r="L51" s="17"/>
      <c r="M51" s="17"/>
      <c r="N51" s="17"/>
      <c r="O51" s="17"/>
      <c r="P51" s="17"/>
      <c r="Q51" s="17"/>
    </row>
    <row r="52" spans="1:17" ht="14" hidden="1" x14ac:dyDescent="0.3">
      <c r="A52" s="17"/>
      <c r="B52" s="17"/>
      <c r="C52" s="17"/>
      <c r="D52" s="17"/>
      <c r="E52" s="17"/>
      <c r="F52" s="17"/>
      <c r="G52" s="17"/>
      <c r="H52" s="17"/>
      <c r="I52" s="17"/>
      <c r="J52" s="17"/>
      <c r="K52" s="17"/>
      <c r="L52" s="17"/>
      <c r="M52" s="17"/>
      <c r="N52" s="17"/>
      <c r="O52" s="17"/>
      <c r="P52" s="17"/>
      <c r="Q52" s="17"/>
    </row>
    <row r="53" spans="1:17" ht="14" hidden="1" x14ac:dyDescent="0.3">
      <c r="A53" s="17"/>
      <c r="B53" s="17"/>
      <c r="C53" s="17"/>
      <c r="D53" s="17"/>
      <c r="E53" s="17"/>
      <c r="F53" s="17"/>
      <c r="G53" s="17"/>
      <c r="H53" s="17"/>
      <c r="I53" s="17"/>
      <c r="J53" s="17"/>
      <c r="K53" s="17"/>
      <c r="L53" s="17"/>
      <c r="M53" s="17"/>
      <c r="N53" s="17"/>
      <c r="O53" s="17"/>
      <c r="P53" s="17"/>
      <c r="Q53" s="17"/>
    </row>
    <row r="54" spans="1:17" ht="14" hidden="1" x14ac:dyDescent="0.3">
      <c r="A54" s="17"/>
      <c r="B54" s="17"/>
      <c r="C54" s="17"/>
      <c r="D54" s="17"/>
      <c r="E54" s="17"/>
      <c r="F54" s="17"/>
      <c r="G54" s="17"/>
      <c r="H54" s="17"/>
      <c r="I54" s="17"/>
      <c r="J54" s="17"/>
      <c r="K54" s="17"/>
      <c r="L54" s="17"/>
      <c r="M54" s="17"/>
      <c r="N54" s="17"/>
      <c r="O54" s="17"/>
      <c r="P54" s="17"/>
      <c r="Q54" s="17"/>
    </row>
    <row r="55" spans="1:17" ht="14" hidden="1" x14ac:dyDescent="0.3">
      <c r="A55" s="17"/>
      <c r="B55" s="17"/>
      <c r="C55" s="17"/>
      <c r="D55" s="17"/>
      <c r="E55" s="17"/>
      <c r="F55" s="17"/>
      <c r="G55" s="17"/>
      <c r="H55" s="17"/>
      <c r="I55" s="17"/>
      <c r="J55" s="17"/>
      <c r="K55" s="17"/>
      <c r="L55" s="17"/>
      <c r="M55" s="17"/>
      <c r="N55" s="17"/>
      <c r="O55" s="17"/>
      <c r="P55" s="17"/>
      <c r="Q55" s="17"/>
    </row>
    <row r="56" spans="1:17" ht="14" hidden="1" x14ac:dyDescent="0.3">
      <c r="A56" s="17"/>
      <c r="B56" s="17"/>
      <c r="C56" s="17"/>
      <c r="D56" s="17"/>
      <c r="E56" s="17"/>
      <c r="F56" s="17"/>
      <c r="G56" s="17"/>
      <c r="H56" s="17"/>
      <c r="I56" s="17"/>
      <c r="J56" s="17"/>
      <c r="K56" s="17"/>
      <c r="L56" s="17"/>
      <c r="M56" s="17"/>
      <c r="N56" s="17"/>
      <c r="O56" s="17"/>
      <c r="P56" s="17"/>
      <c r="Q56" s="17"/>
    </row>
    <row r="57" spans="1:17" ht="14" hidden="1" x14ac:dyDescent="0.3">
      <c r="A57" s="17"/>
      <c r="B57" s="17"/>
      <c r="C57" s="17"/>
      <c r="D57" s="17"/>
      <c r="E57" s="17"/>
      <c r="F57" s="17"/>
      <c r="G57" s="17"/>
      <c r="H57" s="17"/>
      <c r="I57" s="17"/>
      <c r="J57" s="17"/>
      <c r="K57" s="17"/>
      <c r="L57" s="17"/>
      <c r="M57" s="17"/>
      <c r="N57" s="17"/>
      <c r="O57" s="17"/>
      <c r="P57" s="17"/>
      <c r="Q57" s="17"/>
    </row>
    <row r="58" spans="1:17" ht="14" hidden="1" x14ac:dyDescent="0.3">
      <c r="A58" s="17"/>
      <c r="B58" s="17"/>
      <c r="C58" s="17"/>
      <c r="D58" s="17"/>
      <c r="E58" s="17"/>
      <c r="F58" s="17"/>
      <c r="G58" s="17"/>
      <c r="H58" s="17"/>
      <c r="I58" s="17"/>
      <c r="J58" s="17"/>
      <c r="K58" s="17"/>
      <c r="L58" s="17"/>
      <c r="M58" s="17"/>
      <c r="N58" s="17"/>
      <c r="O58" s="17"/>
      <c r="P58" s="17"/>
      <c r="Q58" s="17"/>
    </row>
    <row r="59" spans="1:17" ht="14" hidden="1" x14ac:dyDescent="0.3">
      <c r="A59" s="17"/>
      <c r="B59" s="17"/>
      <c r="C59" s="17"/>
      <c r="D59" s="17"/>
      <c r="E59" s="17"/>
      <c r="F59" s="17"/>
      <c r="G59" s="17"/>
      <c r="H59" s="17"/>
      <c r="I59" s="17"/>
      <c r="J59" s="17"/>
      <c r="K59" s="17"/>
      <c r="L59" s="17"/>
      <c r="M59" s="17"/>
      <c r="N59" s="17"/>
      <c r="O59" s="17"/>
      <c r="P59" s="17"/>
      <c r="Q59" s="17"/>
    </row>
    <row r="60" spans="1:17" ht="14" hidden="1" x14ac:dyDescent="0.3">
      <c r="A60" s="17"/>
      <c r="B60" s="17"/>
      <c r="C60" s="17"/>
      <c r="D60" s="17"/>
      <c r="E60" s="17"/>
      <c r="F60" s="17"/>
      <c r="G60" s="17"/>
      <c r="H60" s="17"/>
      <c r="I60" s="17"/>
      <c r="J60" s="17"/>
      <c r="K60" s="17"/>
      <c r="L60" s="17"/>
      <c r="M60" s="17"/>
      <c r="N60" s="17"/>
      <c r="O60" s="17"/>
      <c r="P60" s="17"/>
      <c r="Q60" s="17"/>
    </row>
    <row r="61" spans="1:17" ht="14" hidden="1" x14ac:dyDescent="0.3">
      <c r="A61" s="17"/>
      <c r="B61" s="17"/>
      <c r="C61" s="17"/>
      <c r="D61" s="17"/>
      <c r="E61" s="17"/>
      <c r="F61" s="17"/>
      <c r="G61" s="17"/>
      <c r="H61" s="17"/>
      <c r="I61" s="17"/>
      <c r="J61" s="17"/>
      <c r="K61" s="17"/>
      <c r="L61" s="17"/>
      <c r="M61" s="17"/>
      <c r="N61" s="17"/>
      <c r="O61" s="17"/>
      <c r="P61" s="17"/>
      <c r="Q61" s="17"/>
    </row>
    <row r="62" spans="1:17" ht="14" hidden="1" x14ac:dyDescent="0.3">
      <c r="A62" s="17"/>
      <c r="B62" s="17"/>
      <c r="C62" s="17"/>
      <c r="D62" s="17"/>
      <c r="E62" s="17"/>
      <c r="F62" s="17"/>
      <c r="G62" s="17"/>
      <c r="H62" s="17"/>
      <c r="I62" s="17"/>
      <c r="J62" s="17"/>
      <c r="K62" s="17"/>
      <c r="L62" s="17"/>
      <c r="M62" s="17"/>
      <c r="N62" s="17"/>
      <c r="O62" s="17"/>
      <c r="P62" s="17"/>
      <c r="Q62" s="17"/>
    </row>
    <row r="63" spans="1:17" ht="14" hidden="1" x14ac:dyDescent="0.3">
      <c r="A63" s="17"/>
      <c r="B63" s="17"/>
      <c r="C63" s="17"/>
      <c r="D63" s="17"/>
      <c r="E63" s="17"/>
      <c r="F63" s="17"/>
      <c r="G63" s="17"/>
      <c r="H63" s="17"/>
      <c r="I63" s="17"/>
      <c r="J63" s="17"/>
      <c r="K63" s="17"/>
      <c r="L63" s="17"/>
      <c r="M63" s="17"/>
      <c r="N63" s="17"/>
      <c r="O63" s="17"/>
      <c r="P63" s="17"/>
      <c r="Q63" s="17"/>
    </row>
    <row r="64" spans="1:17" ht="14" hidden="1" x14ac:dyDescent="0.3">
      <c r="A64" s="17"/>
      <c r="B64" s="17"/>
      <c r="C64" s="17"/>
      <c r="D64" s="17"/>
      <c r="E64" s="17"/>
      <c r="F64" s="17"/>
      <c r="G64" s="17"/>
      <c r="H64" s="17"/>
      <c r="I64" s="17"/>
      <c r="J64" s="17"/>
      <c r="K64" s="17"/>
      <c r="L64" s="17"/>
      <c r="M64" s="17"/>
      <c r="N64" s="17"/>
      <c r="O64" s="17"/>
      <c r="P64" s="17"/>
      <c r="Q64" s="17"/>
    </row>
    <row r="65" spans="1:17" ht="14" hidden="1" x14ac:dyDescent="0.3">
      <c r="A65" s="17"/>
      <c r="B65" s="17"/>
      <c r="C65" s="17"/>
      <c r="D65" s="17"/>
      <c r="E65" s="17"/>
      <c r="F65" s="17"/>
      <c r="G65" s="17"/>
      <c r="H65" s="17"/>
      <c r="I65" s="17"/>
      <c r="J65" s="17"/>
      <c r="K65" s="17"/>
      <c r="L65" s="17"/>
      <c r="M65" s="17"/>
      <c r="N65" s="17"/>
      <c r="O65" s="17"/>
      <c r="P65" s="17"/>
      <c r="Q65" s="17"/>
    </row>
    <row r="66" spans="1:17" ht="14" hidden="1" x14ac:dyDescent="0.3">
      <c r="A66" s="17"/>
      <c r="B66" s="17"/>
      <c r="C66" s="17"/>
      <c r="D66" s="17"/>
      <c r="E66" s="17"/>
      <c r="F66" s="17"/>
      <c r="G66" s="17"/>
      <c r="H66" s="17"/>
      <c r="I66" s="17"/>
      <c r="J66" s="17"/>
      <c r="K66" s="17"/>
      <c r="L66" s="17"/>
      <c r="M66" s="17"/>
      <c r="N66" s="17"/>
      <c r="O66" s="17"/>
      <c r="P66" s="17"/>
      <c r="Q66" s="17"/>
    </row>
    <row r="67" spans="1:17" ht="14" hidden="1" x14ac:dyDescent="0.3">
      <c r="A67" s="17"/>
      <c r="B67" s="17"/>
      <c r="C67" s="17"/>
      <c r="D67" s="17"/>
      <c r="E67" s="17"/>
      <c r="F67" s="17"/>
      <c r="G67" s="17"/>
      <c r="H67" s="17"/>
      <c r="I67" s="17"/>
      <c r="J67" s="17"/>
      <c r="K67" s="17"/>
      <c r="L67" s="17"/>
      <c r="M67" s="17"/>
      <c r="N67" s="17"/>
      <c r="O67" s="17"/>
      <c r="P67" s="17"/>
      <c r="Q67" s="17"/>
    </row>
    <row r="68" spans="1:17" ht="14" hidden="1" x14ac:dyDescent="0.3">
      <c r="A68" s="17"/>
      <c r="B68" s="17"/>
      <c r="C68" s="17"/>
      <c r="D68" s="17"/>
      <c r="E68" s="17"/>
      <c r="F68" s="17"/>
      <c r="G68" s="17"/>
      <c r="H68" s="17"/>
      <c r="I68" s="17"/>
      <c r="J68" s="17"/>
      <c r="K68" s="17"/>
      <c r="L68" s="17"/>
      <c r="M68" s="17"/>
      <c r="N68" s="17"/>
      <c r="O68" s="17"/>
      <c r="P68" s="17"/>
      <c r="Q68" s="17"/>
    </row>
    <row r="69" spans="1:17" ht="14" hidden="1" x14ac:dyDescent="0.3">
      <c r="A69" s="17"/>
      <c r="B69" s="17"/>
      <c r="C69" s="17"/>
      <c r="D69" s="17"/>
      <c r="E69" s="17"/>
      <c r="F69" s="17"/>
      <c r="G69" s="17"/>
      <c r="H69" s="17"/>
      <c r="I69" s="17"/>
      <c r="J69" s="17"/>
      <c r="K69" s="17"/>
      <c r="L69" s="17"/>
      <c r="M69" s="17"/>
      <c r="N69" s="17"/>
      <c r="O69" s="17"/>
      <c r="P69" s="17"/>
      <c r="Q69" s="17"/>
    </row>
    <row r="70" spans="1:17" ht="14" hidden="1" x14ac:dyDescent="0.3">
      <c r="A70" s="17"/>
      <c r="B70" s="17"/>
      <c r="C70" s="17"/>
      <c r="D70" s="17"/>
      <c r="E70" s="17"/>
      <c r="F70" s="17"/>
      <c r="G70" s="17"/>
      <c r="H70" s="17"/>
      <c r="I70" s="17"/>
      <c r="J70" s="17"/>
      <c r="K70" s="17"/>
      <c r="L70" s="17"/>
      <c r="M70" s="17"/>
      <c r="N70" s="17"/>
      <c r="O70" s="17"/>
      <c r="P70" s="17"/>
      <c r="Q70" s="17"/>
    </row>
    <row r="71" spans="1:17" ht="14" hidden="1" x14ac:dyDescent="0.3">
      <c r="A71" s="17"/>
      <c r="B71" s="17"/>
      <c r="C71" s="17"/>
      <c r="D71" s="17"/>
      <c r="E71" s="17"/>
      <c r="F71" s="17"/>
      <c r="G71" s="17"/>
      <c r="H71" s="17"/>
      <c r="I71" s="17"/>
      <c r="J71" s="17"/>
      <c r="K71" s="17"/>
      <c r="L71" s="17"/>
      <c r="M71" s="17"/>
      <c r="N71" s="17"/>
      <c r="O71" s="17"/>
      <c r="P71" s="17"/>
      <c r="Q71" s="17"/>
    </row>
    <row r="72" spans="1:17" ht="14" hidden="1" x14ac:dyDescent="0.3">
      <c r="A72" s="17"/>
      <c r="B72" s="17"/>
      <c r="C72" s="17"/>
      <c r="D72" s="17"/>
      <c r="E72" s="17"/>
      <c r="F72" s="17"/>
      <c r="G72" s="17"/>
      <c r="H72" s="17"/>
      <c r="I72" s="17"/>
      <c r="J72" s="17"/>
      <c r="K72" s="17"/>
      <c r="L72" s="17"/>
      <c r="M72" s="17"/>
      <c r="N72" s="17"/>
      <c r="O72" s="17"/>
      <c r="P72" s="17"/>
      <c r="Q72" s="17"/>
    </row>
    <row r="73" spans="1:17" ht="14" hidden="1" x14ac:dyDescent="0.3">
      <c r="A73" s="17"/>
      <c r="B73" s="17"/>
      <c r="C73" s="17"/>
      <c r="D73" s="17"/>
      <c r="E73" s="17"/>
      <c r="F73" s="17"/>
      <c r="G73" s="17"/>
      <c r="H73" s="17"/>
      <c r="I73" s="17"/>
      <c r="J73" s="17"/>
      <c r="K73" s="17"/>
      <c r="L73" s="17"/>
      <c r="M73" s="17"/>
      <c r="N73" s="17"/>
      <c r="O73" s="17"/>
      <c r="P73" s="17"/>
      <c r="Q73" s="17"/>
    </row>
    <row r="74" spans="1:17" ht="14" hidden="1" x14ac:dyDescent="0.3">
      <c r="A74" s="17"/>
      <c r="B74" s="17"/>
      <c r="C74" s="17"/>
      <c r="D74" s="17"/>
      <c r="E74" s="17"/>
      <c r="F74" s="17"/>
      <c r="G74" s="17"/>
      <c r="H74" s="17"/>
      <c r="I74" s="17"/>
      <c r="J74" s="17"/>
      <c r="K74" s="17"/>
      <c r="L74" s="17"/>
      <c r="M74" s="17"/>
      <c r="N74" s="17"/>
      <c r="O74" s="17"/>
      <c r="P74" s="17"/>
      <c r="Q74" s="17"/>
    </row>
    <row r="75" spans="1:17" ht="14" hidden="1" x14ac:dyDescent="0.3">
      <c r="A75" s="17"/>
      <c r="B75" s="17"/>
      <c r="C75" s="17"/>
      <c r="D75" s="17"/>
      <c r="E75" s="17"/>
      <c r="F75" s="17"/>
      <c r="G75" s="17"/>
      <c r="H75" s="17"/>
      <c r="I75" s="17"/>
      <c r="J75" s="17"/>
      <c r="K75" s="17"/>
      <c r="L75" s="17"/>
      <c r="M75" s="17"/>
      <c r="N75" s="17"/>
      <c r="O75" s="17"/>
      <c r="P75" s="17"/>
      <c r="Q75" s="17"/>
    </row>
    <row r="76" spans="1:17" ht="14" hidden="1" x14ac:dyDescent="0.3">
      <c r="A76" s="17"/>
      <c r="B76" s="17"/>
      <c r="C76" s="17"/>
      <c r="D76" s="17"/>
      <c r="E76" s="17"/>
      <c r="F76" s="17"/>
      <c r="G76" s="17"/>
      <c r="H76" s="17"/>
      <c r="I76" s="17"/>
      <c r="J76" s="17"/>
      <c r="K76" s="17"/>
      <c r="L76" s="17"/>
      <c r="M76" s="17"/>
      <c r="N76" s="17"/>
      <c r="O76" s="17"/>
      <c r="P76" s="17"/>
      <c r="Q76" s="17"/>
    </row>
    <row r="77" spans="1:17" ht="14" hidden="1" x14ac:dyDescent="0.3">
      <c r="A77" s="17"/>
      <c r="B77" s="17"/>
      <c r="C77" s="17"/>
      <c r="D77" s="17"/>
      <c r="E77" s="17"/>
      <c r="F77" s="17"/>
      <c r="G77" s="17"/>
      <c r="H77" s="17"/>
      <c r="I77" s="17"/>
      <c r="J77" s="17"/>
      <c r="K77" s="17"/>
      <c r="L77" s="17"/>
      <c r="M77" s="17"/>
      <c r="N77" s="17"/>
      <c r="O77" s="17"/>
      <c r="P77" s="17"/>
      <c r="Q77" s="17"/>
    </row>
    <row r="78" spans="1:17" ht="14" hidden="1" x14ac:dyDescent="0.3">
      <c r="A78" s="17"/>
      <c r="B78" s="17"/>
      <c r="C78" s="17"/>
      <c r="D78" s="17"/>
      <c r="E78" s="17"/>
      <c r="F78" s="17"/>
      <c r="G78" s="17"/>
      <c r="H78" s="17"/>
      <c r="I78" s="17"/>
      <c r="J78" s="17"/>
      <c r="K78" s="17"/>
      <c r="L78" s="17"/>
      <c r="M78" s="17"/>
      <c r="N78" s="17"/>
      <c r="O78" s="17"/>
      <c r="P78" s="17"/>
      <c r="Q78" s="17"/>
    </row>
    <row r="79" spans="1:17" ht="14" hidden="1" x14ac:dyDescent="0.3">
      <c r="A79" s="17"/>
      <c r="B79" s="17"/>
      <c r="C79" s="17"/>
      <c r="D79" s="17"/>
      <c r="E79" s="17"/>
      <c r="F79" s="17"/>
      <c r="G79" s="17"/>
      <c r="H79" s="17"/>
      <c r="I79" s="17"/>
      <c r="J79" s="17"/>
      <c r="K79" s="17"/>
      <c r="L79" s="17"/>
      <c r="M79" s="17"/>
      <c r="N79" s="17"/>
      <c r="O79" s="17"/>
      <c r="P79" s="17"/>
      <c r="Q79" s="17"/>
    </row>
    <row r="80" spans="1:17" ht="14" hidden="1" x14ac:dyDescent="0.3">
      <c r="A80" s="17"/>
      <c r="B80" s="17"/>
      <c r="C80" s="17"/>
      <c r="D80" s="17"/>
      <c r="E80" s="17"/>
      <c r="F80" s="17"/>
      <c r="G80" s="17"/>
      <c r="H80" s="17"/>
      <c r="I80" s="17"/>
      <c r="J80" s="17"/>
      <c r="K80" s="17"/>
      <c r="L80" s="17"/>
      <c r="M80" s="17"/>
      <c r="N80" s="17"/>
      <c r="O80" s="17"/>
      <c r="P80" s="17"/>
      <c r="Q80" s="17"/>
    </row>
    <row r="81" spans="1:17" ht="14" hidden="1" x14ac:dyDescent="0.3">
      <c r="A81" s="17"/>
      <c r="B81" s="17"/>
      <c r="C81" s="17"/>
      <c r="D81" s="17"/>
      <c r="E81" s="17"/>
      <c r="F81" s="17"/>
      <c r="G81" s="17"/>
      <c r="H81" s="17"/>
      <c r="I81" s="17"/>
      <c r="J81" s="17"/>
      <c r="K81" s="17"/>
      <c r="L81" s="17"/>
      <c r="M81" s="17"/>
      <c r="N81" s="17"/>
      <c r="O81" s="17"/>
      <c r="P81" s="17"/>
      <c r="Q81" s="17"/>
    </row>
    <row r="82" spans="1:17" ht="14" hidden="1" x14ac:dyDescent="0.3">
      <c r="A82" s="17"/>
      <c r="B82" s="17"/>
      <c r="C82" s="17"/>
      <c r="D82" s="17"/>
      <c r="E82" s="17"/>
      <c r="F82" s="17"/>
      <c r="G82" s="17"/>
      <c r="H82" s="17"/>
      <c r="I82" s="17"/>
      <c r="J82" s="17"/>
      <c r="K82" s="17"/>
      <c r="L82" s="17"/>
      <c r="M82" s="17"/>
      <c r="N82" s="17"/>
      <c r="O82" s="17"/>
      <c r="P82" s="17"/>
      <c r="Q82" s="17"/>
    </row>
    <row r="83" spans="1:17" ht="14" hidden="1" x14ac:dyDescent="0.3">
      <c r="A83" s="17"/>
      <c r="B83" s="17"/>
      <c r="C83" s="17"/>
      <c r="D83" s="17"/>
      <c r="E83" s="17"/>
      <c r="F83" s="17"/>
      <c r="G83" s="17"/>
      <c r="H83" s="17"/>
      <c r="I83" s="17"/>
      <c r="J83" s="17"/>
      <c r="K83" s="17"/>
      <c r="L83" s="17"/>
      <c r="M83" s="17"/>
      <c r="N83" s="17"/>
      <c r="O83" s="17"/>
      <c r="P83" s="17"/>
      <c r="Q83" s="17"/>
    </row>
    <row r="84" spans="1:17" ht="14" hidden="1" x14ac:dyDescent="0.3">
      <c r="A84" s="17"/>
      <c r="B84" s="17"/>
      <c r="C84" s="17"/>
      <c r="D84" s="17"/>
      <c r="E84" s="17"/>
      <c r="F84" s="17"/>
      <c r="G84" s="17"/>
      <c r="H84" s="17"/>
      <c r="I84" s="17"/>
      <c r="J84" s="17"/>
      <c r="K84" s="17"/>
      <c r="L84" s="17"/>
      <c r="M84" s="17"/>
      <c r="N84" s="17"/>
      <c r="O84" s="17"/>
      <c r="P84" s="17"/>
      <c r="Q84" s="17"/>
    </row>
    <row r="85" spans="1:17" ht="14" hidden="1" x14ac:dyDescent="0.3">
      <c r="A85" s="17"/>
      <c r="B85" s="17"/>
      <c r="C85" s="17"/>
      <c r="D85" s="17"/>
      <c r="E85" s="17"/>
      <c r="F85" s="17"/>
      <c r="G85" s="17"/>
      <c r="H85" s="17"/>
      <c r="I85" s="17"/>
      <c r="J85" s="17"/>
      <c r="K85" s="17"/>
      <c r="L85" s="17"/>
      <c r="M85" s="17"/>
      <c r="N85" s="17"/>
      <c r="O85" s="17"/>
      <c r="P85" s="17"/>
      <c r="Q85" s="17"/>
    </row>
    <row r="86" spans="1:17" ht="14" hidden="1" x14ac:dyDescent="0.3">
      <c r="A86" s="17"/>
      <c r="B86" s="17"/>
      <c r="C86" s="17"/>
      <c r="D86" s="17"/>
      <c r="E86" s="17"/>
      <c r="F86" s="17"/>
      <c r="G86" s="17"/>
      <c r="H86" s="17"/>
      <c r="I86" s="17"/>
      <c r="J86" s="17"/>
      <c r="K86" s="17"/>
      <c r="L86" s="17"/>
      <c r="M86" s="17"/>
      <c r="N86" s="17"/>
      <c r="O86" s="17"/>
      <c r="P86" s="17"/>
      <c r="Q86" s="17"/>
    </row>
    <row r="87" spans="1:17" ht="14" hidden="1" x14ac:dyDescent="0.3">
      <c r="A87" s="17"/>
      <c r="B87" s="17"/>
      <c r="C87" s="17"/>
      <c r="D87" s="17"/>
      <c r="E87" s="17"/>
      <c r="F87" s="17"/>
      <c r="G87" s="17"/>
      <c r="H87" s="17"/>
      <c r="I87" s="17"/>
      <c r="J87" s="17"/>
      <c r="K87" s="17"/>
      <c r="L87" s="17"/>
      <c r="M87" s="17"/>
      <c r="N87" s="17"/>
      <c r="O87" s="17"/>
      <c r="P87" s="17"/>
      <c r="Q87" s="17"/>
    </row>
    <row r="88" spans="1:17" ht="14" hidden="1" x14ac:dyDescent="0.3">
      <c r="A88" s="17"/>
      <c r="B88" s="17"/>
      <c r="C88" s="17"/>
      <c r="D88" s="17"/>
      <c r="E88" s="17"/>
      <c r="F88" s="17"/>
      <c r="G88" s="17"/>
      <c r="H88" s="17"/>
      <c r="I88" s="17"/>
      <c r="J88" s="17"/>
      <c r="K88" s="17"/>
      <c r="L88" s="17"/>
      <c r="M88" s="17"/>
      <c r="N88" s="17"/>
      <c r="O88" s="17"/>
      <c r="P88" s="17"/>
      <c r="Q88" s="17"/>
    </row>
    <row r="89" spans="1:17" ht="14" hidden="1" x14ac:dyDescent="0.3">
      <c r="A89" s="17"/>
      <c r="B89" s="17"/>
      <c r="C89" s="17"/>
      <c r="D89" s="17"/>
      <c r="E89" s="17"/>
      <c r="F89" s="17"/>
      <c r="G89" s="17"/>
      <c r="H89" s="17"/>
      <c r="I89" s="17"/>
      <c r="J89" s="17"/>
      <c r="K89" s="17"/>
      <c r="L89" s="17"/>
      <c r="M89" s="17"/>
      <c r="N89" s="17"/>
      <c r="O89" s="17"/>
      <c r="P89" s="17"/>
      <c r="Q89" s="17"/>
    </row>
    <row r="90" spans="1:17" ht="14" hidden="1" x14ac:dyDescent="0.3">
      <c r="A90" s="17"/>
      <c r="B90" s="17"/>
      <c r="C90" s="17"/>
      <c r="D90" s="17"/>
      <c r="E90" s="17"/>
      <c r="F90" s="17"/>
      <c r="G90" s="17"/>
      <c r="H90" s="17"/>
      <c r="I90" s="17"/>
      <c r="J90" s="17"/>
      <c r="K90" s="17"/>
      <c r="L90" s="17"/>
      <c r="M90" s="17"/>
      <c r="N90" s="17"/>
      <c r="O90" s="17"/>
      <c r="P90" s="17"/>
      <c r="Q90" s="17"/>
    </row>
    <row r="91" spans="1:17" ht="14" hidden="1" x14ac:dyDescent="0.3">
      <c r="A91" s="17"/>
      <c r="B91" s="17"/>
      <c r="C91" s="17"/>
      <c r="D91" s="17"/>
      <c r="E91" s="17"/>
      <c r="F91" s="17"/>
      <c r="G91" s="17"/>
      <c r="H91" s="17"/>
      <c r="I91" s="17"/>
      <c r="J91" s="17"/>
      <c r="K91" s="17"/>
      <c r="L91" s="17"/>
      <c r="M91" s="17"/>
      <c r="N91" s="17"/>
      <c r="O91" s="17"/>
      <c r="P91" s="17"/>
      <c r="Q91" s="17"/>
    </row>
    <row r="92" spans="1:17" ht="14" hidden="1" x14ac:dyDescent="0.3">
      <c r="A92" s="17"/>
      <c r="B92" s="17"/>
      <c r="C92" s="17"/>
      <c r="D92" s="17"/>
      <c r="E92" s="17"/>
      <c r="F92" s="17"/>
      <c r="G92" s="17"/>
      <c r="H92" s="17"/>
      <c r="I92" s="17"/>
      <c r="J92" s="17"/>
      <c r="K92" s="17"/>
      <c r="L92" s="17"/>
      <c r="M92" s="17"/>
      <c r="N92" s="17"/>
      <c r="O92" s="17"/>
      <c r="P92" s="17"/>
      <c r="Q92" s="17"/>
    </row>
    <row r="93" spans="1:17" ht="14" hidden="1" x14ac:dyDescent="0.3">
      <c r="A93" s="17"/>
      <c r="B93" s="17"/>
      <c r="C93" s="17"/>
      <c r="D93" s="17"/>
      <c r="E93" s="17"/>
      <c r="F93" s="17"/>
      <c r="G93" s="17"/>
      <c r="H93" s="17"/>
      <c r="I93" s="17"/>
      <c r="J93" s="17"/>
      <c r="K93" s="17"/>
      <c r="L93" s="17"/>
      <c r="M93" s="17"/>
      <c r="N93" s="17"/>
      <c r="O93" s="17"/>
      <c r="P93" s="17"/>
      <c r="Q93" s="17"/>
    </row>
    <row r="94" spans="1:17" ht="14" hidden="1" x14ac:dyDescent="0.3">
      <c r="A94" s="17"/>
      <c r="B94" s="17"/>
      <c r="C94" s="17"/>
      <c r="D94" s="17"/>
      <c r="E94" s="17"/>
      <c r="F94" s="17"/>
      <c r="G94" s="17"/>
      <c r="H94" s="17"/>
      <c r="I94" s="17"/>
      <c r="J94" s="17"/>
      <c r="K94" s="17"/>
      <c r="L94" s="17"/>
      <c r="M94" s="17"/>
      <c r="N94" s="17"/>
      <c r="O94" s="17"/>
      <c r="P94" s="17"/>
      <c r="Q94" s="17"/>
    </row>
    <row r="95" spans="1:17" ht="14" hidden="1" x14ac:dyDescent="0.3">
      <c r="A95" s="17"/>
      <c r="B95" s="17"/>
      <c r="C95" s="17"/>
      <c r="D95" s="17"/>
      <c r="E95" s="17"/>
      <c r="F95" s="17"/>
      <c r="G95" s="17"/>
      <c r="H95" s="17"/>
      <c r="I95" s="17"/>
      <c r="J95" s="17"/>
      <c r="K95" s="17"/>
      <c r="L95" s="17"/>
      <c r="M95" s="17"/>
      <c r="N95" s="17"/>
      <c r="O95" s="17"/>
      <c r="P95" s="17"/>
      <c r="Q95" s="17"/>
    </row>
    <row r="96" spans="1:17" ht="14" hidden="1" x14ac:dyDescent="0.3">
      <c r="A96" s="17"/>
      <c r="B96" s="17"/>
      <c r="C96" s="17"/>
      <c r="D96" s="17"/>
      <c r="E96" s="17"/>
      <c r="F96" s="17"/>
      <c r="G96" s="17"/>
      <c r="H96" s="17"/>
      <c r="I96" s="17"/>
      <c r="J96" s="17"/>
      <c r="K96" s="17"/>
      <c r="L96" s="17"/>
      <c r="M96" s="17"/>
      <c r="N96" s="17"/>
      <c r="O96" s="17"/>
      <c r="P96" s="17"/>
      <c r="Q96" s="17"/>
    </row>
    <row r="97" spans="1:17" ht="14" hidden="1" x14ac:dyDescent="0.3">
      <c r="A97" s="17"/>
      <c r="B97" s="17"/>
      <c r="C97" s="17"/>
      <c r="D97" s="17"/>
      <c r="E97" s="17"/>
      <c r="F97" s="17"/>
      <c r="G97" s="17"/>
      <c r="H97" s="17"/>
      <c r="I97" s="17"/>
      <c r="J97" s="17"/>
      <c r="K97" s="17"/>
      <c r="L97" s="17"/>
      <c r="M97" s="17"/>
      <c r="N97" s="17"/>
      <c r="O97" s="17"/>
      <c r="P97" s="17"/>
      <c r="Q97" s="17"/>
    </row>
    <row r="98" spans="1:17" ht="14" hidden="1" x14ac:dyDescent="0.3">
      <c r="A98" s="17"/>
      <c r="B98" s="17"/>
      <c r="C98" s="17"/>
      <c r="D98" s="17"/>
      <c r="E98" s="17"/>
      <c r="F98" s="17"/>
      <c r="G98" s="17"/>
      <c r="H98" s="17"/>
      <c r="I98" s="17"/>
      <c r="J98" s="17"/>
      <c r="K98" s="17"/>
      <c r="L98" s="17"/>
      <c r="M98" s="17"/>
      <c r="N98" s="17"/>
      <c r="O98" s="17"/>
      <c r="P98" s="17"/>
      <c r="Q98" s="17"/>
    </row>
    <row r="99" spans="1:17" ht="14" hidden="1" x14ac:dyDescent="0.3">
      <c r="A99" s="17"/>
      <c r="B99" s="17"/>
      <c r="C99" s="17"/>
      <c r="D99" s="17"/>
      <c r="E99" s="17"/>
      <c r="F99" s="17"/>
      <c r="G99" s="17"/>
      <c r="H99" s="17"/>
      <c r="I99" s="17"/>
      <c r="J99" s="17"/>
      <c r="K99" s="17"/>
      <c r="L99" s="17"/>
      <c r="M99" s="17"/>
      <c r="N99" s="17"/>
      <c r="O99" s="17"/>
      <c r="P99" s="17"/>
      <c r="Q99" s="17"/>
    </row>
    <row r="100" spans="1:17" ht="14" hidden="1" x14ac:dyDescent="0.3">
      <c r="A100" s="17"/>
      <c r="B100" s="17"/>
      <c r="C100" s="17"/>
      <c r="D100" s="17"/>
      <c r="E100" s="17"/>
      <c r="F100" s="17"/>
      <c r="G100" s="17"/>
      <c r="H100" s="17"/>
      <c r="I100" s="17"/>
      <c r="J100" s="17"/>
      <c r="K100" s="17"/>
      <c r="L100" s="17"/>
      <c r="M100" s="17"/>
      <c r="N100" s="17"/>
      <c r="O100" s="17"/>
      <c r="P100" s="17"/>
      <c r="Q100" s="17"/>
    </row>
    <row r="101" spans="1:17" ht="14" hidden="1" x14ac:dyDescent="0.3">
      <c r="A101" s="17"/>
      <c r="B101" s="17"/>
      <c r="C101" s="17"/>
      <c r="D101" s="17"/>
      <c r="E101" s="17"/>
      <c r="F101" s="17"/>
      <c r="G101" s="17"/>
      <c r="H101" s="17"/>
      <c r="I101" s="17"/>
      <c r="J101" s="17"/>
      <c r="K101" s="17"/>
      <c r="L101" s="17"/>
      <c r="M101" s="17"/>
      <c r="N101" s="17"/>
      <c r="O101" s="17"/>
      <c r="P101" s="17"/>
      <c r="Q101" s="17"/>
    </row>
    <row r="102" spans="1:17" ht="14" hidden="1" x14ac:dyDescent="0.3">
      <c r="A102" s="17"/>
      <c r="B102" s="17"/>
      <c r="C102" s="17"/>
      <c r="D102" s="17"/>
      <c r="E102" s="17"/>
      <c r="F102" s="17"/>
      <c r="G102" s="17"/>
      <c r="H102" s="17"/>
      <c r="I102" s="17"/>
      <c r="J102" s="17"/>
      <c r="K102" s="17"/>
      <c r="L102" s="17"/>
      <c r="M102" s="17"/>
      <c r="N102" s="17"/>
      <c r="O102" s="17"/>
      <c r="P102" s="17"/>
      <c r="Q102" s="17"/>
    </row>
    <row r="103" spans="1:17" ht="14" hidden="1" x14ac:dyDescent="0.3">
      <c r="A103" s="17"/>
      <c r="B103" s="17"/>
      <c r="C103" s="17"/>
      <c r="D103" s="17"/>
      <c r="E103" s="17"/>
      <c r="F103" s="17"/>
      <c r="G103" s="17"/>
      <c r="H103" s="17"/>
      <c r="I103" s="17"/>
      <c r="J103" s="17"/>
      <c r="K103" s="17"/>
      <c r="L103" s="17"/>
      <c r="M103" s="17"/>
      <c r="N103" s="17"/>
      <c r="O103" s="17"/>
      <c r="P103" s="17"/>
      <c r="Q103" s="17"/>
    </row>
    <row r="104" spans="1:17" ht="14" hidden="1" x14ac:dyDescent="0.3">
      <c r="A104" s="17"/>
      <c r="B104" s="17"/>
      <c r="C104" s="17"/>
      <c r="D104" s="17"/>
      <c r="E104" s="17"/>
      <c r="F104" s="17"/>
      <c r="G104" s="17"/>
      <c r="H104" s="17"/>
      <c r="I104" s="17"/>
      <c r="J104" s="17"/>
      <c r="K104" s="17"/>
      <c r="L104" s="17"/>
      <c r="M104" s="17"/>
      <c r="N104" s="17"/>
      <c r="O104" s="17"/>
      <c r="P104" s="17"/>
      <c r="Q104" s="17"/>
    </row>
    <row r="105" spans="1:17" ht="14" hidden="1" x14ac:dyDescent="0.3">
      <c r="A105" s="17"/>
      <c r="B105" s="17"/>
      <c r="C105" s="17"/>
      <c r="D105" s="17"/>
      <c r="E105" s="17"/>
      <c r="F105" s="17"/>
      <c r="G105" s="17"/>
      <c r="H105" s="17"/>
      <c r="I105" s="17"/>
      <c r="J105" s="17"/>
      <c r="K105" s="17"/>
      <c r="L105" s="17"/>
      <c r="M105" s="17"/>
      <c r="N105" s="17"/>
      <c r="O105" s="17"/>
      <c r="P105" s="17"/>
      <c r="Q105" s="17"/>
    </row>
    <row r="106" spans="1:17" ht="14" hidden="1" x14ac:dyDescent="0.3">
      <c r="A106" s="17"/>
      <c r="B106" s="17"/>
      <c r="C106" s="17"/>
      <c r="D106" s="17"/>
      <c r="E106" s="17"/>
      <c r="F106" s="17"/>
      <c r="G106" s="17"/>
      <c r="H106" s="17"/>
      <c r="I106" s="17"/>
      <c r="J106" s="17"/>
      <c r="K106" s="17"/>
      <c r="L106" s="17"/>
      <c r="M106" s="17"/>
      <c r="N106" s="17"/>
      <c r="O106" s="17"/>
      <c r="P106" s="17"/>
      <c r="Q106" s="17"/>
    </row>
    <row r="107" spans="1:17" ht="14" hidden="1" x14ac:dyDescent="0.3">
      <c r="A107" s="17"/>
      <c r="B107" s="17"/>
      <c r="C107" s="17"/>
      <c r="D107" s="17"/>
      <c r="E107" s="17"/>
      <c r="F107" s="17"/>
      <c r="H107" s="17"/>
      <c r="I107" s="17"/>
      <c r="J107" s="17"/>
      <c r="K107" s="17"/>
      <c r="L107" s="17"/>
      <c r="M107" s="17"/>
      <c r="N107" s="17"/>
      <c r="O107" s="17"/>
      <c r="P107" s="17"/>
      <c r="Q107" s="17"/>
    </row>
    <row r="108" spans="1:17" ht="14" hidden="1" x14ac:dyDescent="0.3">
      <c r="A108" s="17"/>
      <c r="B108" s="17"/>
      <c r="C108" s="17"/>
      <c r="D108" s="17"/>
      <c r="E108" s="17"/>
      <c r="F108" s="17"/>
      <c r="H108" s="17"/>
      <c r="I108" s="17"/>
      <c r="J108" s="17"/>
      <c r="K108" s="17"/>
      <c r="L108" s="17"/>
      <c r="M108" s="17"/>
      <c r="N108" s="17"/>
      <c r="O108" s="17"/>
      <c r="P108" s="17"/>
      <c r="Q108" s="17"/>
    </row>
    <row r="109" spans="1:17" ht="14" hidden="1" x14ac:dyDescent="0.3">
      <c r="A109" s="17"/>
      <c r="B109" s="17"/>
      <c r="C109" s="17"/>
      <c r="D109" s="17"/>
      <c r="E109" s="17"/>
      <c r="F109" s="17"/>
      <c r="H109" s="17"/>
      <c r="I109" s="17"/>
      <c r="J109" s="17"/>
      <c r="K109" s="17"/>
      <c r="L109" s="17"/>
      <c r="M109" s="17"/>
      <c r="N109" s="17"/>
      <c r="O109" s="17"/>
      <c r="P109" s="17"/>
      <c r="Q109" s="17"/>
    </row>
    <row r="110" spans="1:17" ht="14" hidden="1" x14ac:dyDescent="0.3">
      <c r="A110" s="17"/>
      <c r="B110" s="17"/>
      <c r="C110" s="17"/>
      <c r="D110" s="17"/>
      <c r="E110" s="17"/>
      <c r="F110" s="17"/>
      <c r="H110" s="17"/>
      <c r="I110" s="17"/>
      <c r="J110" s="17"/>
      <c r="K110" s="17"/>
      <c r="L110" s="17"/>
      <c r="M110" s="17"/>
      <c r="N110" s="17"/>
      <c r="O110" s="17"/>
      <c r="P110" s="17"/>
      <c r="Q110" s="17"/>
    </row>
    <row r="111" spans="1:17" ht="14" hidden="1" x14ac:dyDescent="0.3">
      <c r="A111" s="17"/>
      <c r="B111" s="17"/>
      <c r="C111" s="17"/>
      <c r="D111" s="17"/>
      <c r="E111" s="17"/>
      <c r="F111" s="17"/>
      <c r="H111" s="17"/>
      <c r="I111" s="17"/>
      <c r="J111" s="17"/>
      <c r="K111" s="17"/>
      <c r="L111" s="17"/>
      <c r="M111" s="17"/>
      <c r="N111" s="17"/>
      <c r="O111" s="17"/>
      <c r="P111" s="17"/>
      <c r="Q111" s="17"/>
    </row>
    <row r="112" spans="1:17" ht="14" hidden="1" x14ac:dyDescent="0.3">
      <c r="A112" s="17"/>
      <c r="B112" s="17"/>
      <c r="C112" s="17"/>
      <c r="D112" s="17"/>
      <c r="E112" s="17"/>
      <c r="F112" s="17"/>
      <c r="H112" s="17"/>
      <c r="I112" s="17"/>
      <c r="J112" s="17"/>
      <c r="K112" s="17"/>
      <c r="L112" s="17"/>
      <c r="M112" s="17"/>
      <c r="N112" s="17"/>
      <c r="O112" s="17"/>
      <c r="P112" s="17"/>
      <c r="Q112" s="17"/>
    </row>
    <row r="113" spans="1:17" ht="14" hidden="1" x14ac:dyDescent="0.3">
      <c r="A113" s="17"/>
      <c r="B113" s="17"/>
      <c r="C113" s="17"/>
      <c r="D113" s="17"/>
      <c r="E113" s="17"/>
      <c r="F113" s="17"/>
      <c r="H113" s="17"/>
      <c r="I113" s="17"/>
      <c r="J113" s="17"/>
      <c r="K113" s="17"/>
      <c r="L113" s="17"/>
      <c r="M113" s="17"/>
      <c r="N113" s="17"/>
      <c r="O113" s="17"/>
      <c r="P113" s="17"/>
      <c r="Q113" s="17"/>
    </row>
    <row r="114" spans="1:17" ht="14" hidden="1" x14ac:dyDescent="0.3">
      <c r="A114" s="17"/>
      <c r="B114" s="17"/>
      <c r="C114" s="17"/>
      <c r="D114" s="17"/>
      <c r="E114" s="17"/>
      <c r="F114" s="17"/>
      <c r="H114" s="17"/>
      <c r="I114" s="17"/>
      <c r="J114" s="17"/>
      <c r="K114" s="17"/>
      <c r="L114" s="17"/>
      <c r="M114" s="17"/>
      <c r="N114" s="17"/>
      <c r="O114" s="17"/>
      <c r="P114" s="17"/>
      <c r="Q114" s="17"/>
    </row>
    <row r="115" spans="1:17" ht="14" hidden="1" x14ac:dyDescent="0.3">
      <c r="A115" s="17"/>
      <c r="B115" s="17"/>
      <c r="C115" s="17"/>
      <c r="D115" s="17"/>
      <c r="E115" s="17"/>
      <c r="F115" s="17"/>
      <c r="H115" s="17"/>
      <c r="I115" s="17"/>
      <c r="J115" s="17"/>
      <c r="K115" s="17"/>
      <c r="L115" s="17"/>
      <c r="M115" s="17"/>
      <c r="N115" s="17"/>
      <c r="O115" s="17"/>
      <c r="P115" s="17"/>
      <c r="Q115" s="17"/>
    </row>
    <row r="116" spans="1:17" ht="14" hidden="1" x14ac:dyDescent="0.3">
      <c r="A116" s="17"/>
      <c r="B116" s="17"/>
      <c r="C116" s="17"/>
      <c r="D116" s="17"/>
      <c r="E116" s="17"/>
      <c r="F116" s="17"/>
      <c r="H116" s="17"/>
      <c r="I116" s="17"/>
      <c r="J116" s="17"/>
      <c r="K116" s="17"/>
      <c r="L116" s="17"/>
      <c r="M116" s="17"/>
      <c r="N116" s="17"/>
      <c r="O116" s="17"/>
      <c r="P116" s="17"/>
      <c r="Q116" s="17"/>
    </row>
    <row r="117" spans="1:17" ht="14" hidden="1" x14ac:dyDescent="0.3">
      <c r="A117" s="17"/>
      <c r="B117" s="17"/>
      <c r="C117" s="17"/>
      <c r="D117" s="17"/>
      <c r="E117" s="17"/>
      <c r="F117" s="17"/>
      <c r="H117" s="17"/>
      <c r="I117" s="17"/>
      <c r="J117" s="17"/>
      <c r="K117" s="17"/>
      <c r="L117" s="17"/>
      <c r="M117" s="17"/>
      <c r="N117" s="17"/>
      <c r="O117" s="17"/>
      <c r="P117" s="17"/>
      <c r="Q117" s="17"/>
    </row>
    <row r="118" spans="1:17" ht="14" hidden="1" x14ac:dyDescent="0.3">
      <c r="A118" s="17"/>
      <c r="B118" s="17"/>
      <c r="C118" s="17"/>
      <c r="D118" s="17"/>
      <c r="E118" s="17"/>
      <c r="F118" s="17"/>
      <c r="H118" s="17"/>
      <c r="I118" s="17"/>
      <c r="J118" s="17"/>
      <c r="K118" s="17"/>
      <c r="L118" s="17"/>
      <c r="M118" s="17"/>
      <c r="N118" s="17"/>
      <c r="O118" s="17"/>
      <c r="P118" s="17"/>
      <c r="Q118" s="17"/>
    </row>
    <row r="119" spans="1:17" ht="14" hidden="1" x14ac:dyDescent="0.3">
      <c r="A119" s="17"/>
      <c r="B119" s="17"/>
      <c r="C119" s="17"/>
      <c r="D119" s="17"/>
      <c r="E119" s="17"/>
      <c r="F119" s="17"/>
      <c r="H119" s="17"/>
      <c r="I119" s="17"/>
      <c r="J119" s="17"/>
      <c r="K119" s="17"/>
      <c r="L119" s="17"/>
      <c r="M119" s="17"/>
      <c r="N119" s="17"/>
      <c r="O119" s="17"/>
      <c r="P119" s="17"/>
      <c r="Q119" s="17"/>
    </row>
    <row r="120" spans="1:17" ht="14" hidden="1" x14ac:dyDescent="0.3">
      <c r="A120" s="17"/>
      <c r="B120" s="17"/>
      <c r="C120" s="17"/>
      <c r="D120" s="17"/>
      <c r="E120" s="17"/>
      <c r="F120" s="17"/>
      <c r="H120" s="17"/>
      <c r="I120" s="17"/>
      <c r="J120" s="17"/>
      <c r="K120" s="17"/>
      <c r="L120" s="17"/>
      <c r="M120" s="17"/>
      <c r="N120" s="17"/>
      <c r="O120" s="17"/>
      <c r="P120" s="17"/>
      <c r="Q120" s="17"/>
    </row>
    <row r="121" spans="1:17" ht="14" hidden="1" x14ac:dyDescent="0.3">
      <c r="A121" s="17"/>
      <c r="B121" s="17"/>
      <c r="C121" s="17"/>
      <c r="D121" s="17"/>
      <c r="E121" s="17"/>
      <c r="F121" s="17"/>
      <c r="H121" s="17"/>
      <c r="I121" s="17"/>
      <c r="J121" s="17"/>
      <c r="K121" s="17"/>
      <c r="L121" s="17"/>
      <c r="M121" s="17"/>
      <c r="N121" s="17"/>
      <c r="O121" s="17"/>
      <c r="P121" s="17"/>
      <c r="Q121" s="17"/>
    </row>
    <row r="122" spans="1:17" ht="14" hidden="1" x14ac:dyDescent="0.3">
      <c r="A122" s="17"/>
      <c r="B122" s="17"/>
      <c r="C122" s="17"/>
      <c r="D122" s="17"/>
      <c r="E122" s="17"/>
      <c r="F122" s="17"/>
      <c r="H122" s="17"/>
      <c r="I122" s="17"/>
      <c r="J122" s="17"/>
      <c r="K122" s="17"/>
      <c r="L122" s="17"/>
      <c r="M122" s="17"/>
      <c r="N122" s="17"/>
      <c r="O122" s="17"/>
      <c r="P122" s="17"/>
      <c r="Q122" s="17"/>
    </row>
    <row r="123" spans="1:17" ht="14" hidden="1" x14ac:dyDescent="0.3">
      <c r="A123" s="17"/>
      <c r="B123" s="17"/>
      <c r="C123" s="17"/>
      <c r="D123" s="17"/>
      <c r="E123" s="17"/>
      <c r="F123" s="17"/>
      <c r="H123" s="17"/>
      <c r="I123" s="17"/>
      <c r="J123" s="17"/>
      <c r="K123" s="17"/>
      <c r="L123" s="17"/>
      <c r="M123" s="17"/>
      <c r="N123" s="17"/>
      <c r="O123" s="17"/>
      <c r="P123" s="17"/>
      <c r="Q123" s="17"/>
    </row>
    <row r="124" spans="1:17" ht="14" hidden="1" x14ac:dyDescent="0.3">
      <c r="A124" s="17"/>
      <c r="B124" s="17"/>
      <c r="C124" s="17"/>
      <c r="D124" s="17"/>
      <c r="E124" s="17"/>
      <c r="F124" s="17"/>
      <c r="H124" s="17"/>
      <c r="I124" s="17"/>
      <c r="J124" s="17"/>
      <c r="K124" s="17"/>
      <c r="L124" s="17"/>
      <c r="M124" s="17"/>
      <c r="N124" s="17"/>
      <c r="O124" s="17"/>
      <c r="P124" s="17"/>
      <c r="Q124" s="17"/>
    </row>
    <row r="125" spans="1:17" ht="14" hidden="1" x14ac:dyDescent="0.3">
      <c r="A125" s="17"/>
      <c r="B125" s="17"/>
      <c r="C125" s="17"/>
      <c r="D125" s="17"/>
      <c r="E125" s="17"/>
      <c r="F125" s="17"/>
      <c r="H125" s="17"/>
      <c r="I125" s="17"/>
      <c r="J125" s="17"/>
      <c r="K125" s="17"/>
      <c r="L125" s="17"/>
      <c r="M125" s="17"/>
      <c r="N125" s="17"/>
      <c r="O125" s="17"/>
      <c r="P125" s="17"/>
      <c r="Q125" s="17"/>
    </row>
    <row r="126" spans="1:17" ht="14" hidden="1" x14ac:dyDescent="0.3">
      <c r="A126" s="17"/>
      <c r="B126" s="17"/>
      <c r="C126" s="17"/>
      <c r="D126" s="17"/>
      <c r="E126" s="17"/>
      <c r="F126" s="17"/>
      <c r="H126" s="17"/>
      <c r="I126" s="17"/>
      <c r="J126" s="17"/>
      <c r="K126" s="17"/>
      <c r="L126" s="17"/>
      <c r="M126" s="17"/>
      <c r="N126" s="17"/>
      <c r="O126" s="17"/>
      <c r="P126" s="17"/>
      <c r="Q126" s="17"/>
    </row>
    <row r="127" spans="1:17" ht="14" hidden="1" x14ac:dyDescent="0.3">
      <c r="A127" s="17"/>
      <c r="B127" s="17"/>
      <c r="C127" s="17"/>
      <c r="D127" s="17"/>
      <c r="E127" s="17"/>
      <c r="F127" s="17"/>
      <c r="H127" s="17"/>
      <c r="I127" s="17"/>
      <c r="J127" s="17"/>
      <c r="K127" s="17"/>
      <c r="L127" s="17"/>
      <c r="M127" s="17"/>
      <c r="N127" s="17"/>
      <c r="O127" s="17"/>
      <c r="P127" s="17"/>
      <c r="Q127" s="17"/>
    </row>
    <row r="128" spans="1:17" ht="14" hidden="1" x14ac:dyDescent="0.3">
      <c r="A128" s="17"/>
      <c r="B128" s="17"/>
      <c r="C128" s="17"/>
      <c r="D128" s="17"/>
      <c r="E128" s="17"/>
      <c r="F128" s="17"/>
      <c r="H128" s="17"/>
      <c r="I128" s="17"/>
      <c r="J128" s="17"/>
      <c r="K128" s="17"/>
      <c r="L128" s="17"/>
      <c r="M128" s="17"/>
      <c r="N128" s="17"/>
      <c r="O128" s="17"/>
      <c r="P128" s="17"/>
      <c r="Q128" s="17"/>
    </row>
    <row r="129" spans="1:17" ht="14" hidden="1" x14ac:dyDescent="0.3">
      <c r="A129" s="17"/>
      <c r="B129" s="17"/>
      <c r="C129" s="17"/>
      <c r="D129" s="17"/>
      <c r="E129" s="17"/>
      <c r="F129" s="17"/>
      <c r="H129" s="17"/>
      <c r="I129" s="17"/>
      <c r="J129" s="17"/>
      <c r="K129" s="17"/>
      <c r="L129" s="17"/>
      <c r="M129" s="17"/>
      <c r="N129" s="17"/>
      <c r="O129" s="17"/>
      <c r="P129" s="17"/>
      <c r="Q129" s="17"/>
    </row>
    <row r="130" spans="1:17" ht="14" hidden="1" x14ac:dyDescent="0.3">
      <c r="A130" s="17"/>
      <c r="B130" s="17"/>
      <c r="C130" s="17"/>
      <c r="D130" s="17"/>
      <c r="E130" s="17"/>
      <c r="F130" s="17"/>
      <c r="H130" s="17"/>
      <c r="I130" s="17"/>
      <c r="J130" s="17"/>
      <c r="K130" s="17"/>
      <c r="L130" s="17"/>
      <c r="M130" s="17"/>
      <c r="N130" s="17"/>
      <c r="O130" s="17"/>
      <c r="P130" s="17"/>
      <c r="Q130" s="17"/>
    </row>
    <row r="131" spans="1:17" ht="14" hidden="1" x14ac:dyDescent="0.3">
      <c r="A131" s="17"/>
      <c r="B131" s="17"/>
      <c r="C131" s="17"/>
      <c r="D131" s="17"/>
      <c r="E131" s="17"/>
      <c r="F131" s="17"/>
      <c r="H131" s="17"/>
      <c r="K131" s="17"/>
      <c r="L131" s="17"/>
      <c r="M131" s="17"/>
      <c r="N131" s="17"/>
      <c r="O131" s="17"/>
      <c r="P131" s="17"/>
      <c r="Q131" s="17"/>
    </row>
    <row r="132" spans="1:17" ht="14" hidden="1" x14ac:dyDescent="0.3">
      <c r="A132" s="17"/>
      <c r="B132" s="17"/>
      <c r="C132" s="17"/>
      <c r="D132" s="17"/>
      <c r="E132" s="17"/>
      <c r="F132" s="17"/>
      <c r="H132" s="17"/>
      <c r="K132" s="17"/>
      <c r="L132" s="17"/>
      <c r="M132" s="17"/>
      <c r="N132" s="17"/>
      <c r="O132" s="17"/>
      <c r="P132" s="17"/>
      <c r="Q132" s="17"/>
    </row>
    <row r="133" spans="1:17" ht="14" hidden="1" x14ac:dyDescent="0.3">
      <c r="A133" s="17"/>
      <c r="B133" s="17"/>
      <c r="C133" s="17"/>
      <c r="D133" s="17"/>
      <c r="E133" s="17"/>
      <c r="F133" s="17"/>
      <c r="H133" s="17"/>
      <c r="K133" s="17"/>
      <c r="L133" s="17"/>
      <c r="M133" s="17"/>
      <c r="N133" s="17"/>
      <c r="O133" s="17"/>
      <c r="P133" s="17"/>
      <c r="Q133" s="17"/>
    </row>
    <row r="134" spans="1:17" ht="14" hidden="1" x14ac:dyDescent="0.3">
      <c r="A134" s="17"/>
      <c r="B134" s="17"/>
      <c r="C134" s="17"/>
      <c r="D134" s="17"/>
      <c r="E134" s="17"/>
      <c r="F134" s="17"/>
      <c r="H134" s="17"/>
      <c r="K134" s="17"/>
      <c r="L134" s="17"/>
      <c r="M134" s="17"/>
      <c r="N134" s="17"/>
      <c r="O134" s="17"/>
      <c r="P134" s="17"/>
      <c r="Q134" s="17"/>
    </row>
    <row r="135" spans="1:17" ht="14" hidden="1" x14ac:dyDescent="0.3">
      <c r="A135" s="17"/>
      <c r="B135" s="17"/>
      <c r="C135" s="17"/>
      <c r="D135" s="17"/>
      <c r="E135" s="17"/>
      <c r="F135" s="17"/>
      <c r="H135" s="17"/>
      <c r="K135" s="17"/>
      <c r="L135" s="17"/>
      <c r="M135" s="17"/>
      <c r="N135" s="17"/>
      <c r="O135" s="17"/>
      <c r="P135" s="17"/>
      <c r="Q135" s="17"/>
    </row>
    <row r="136" spans="1:17" ht="14" hidden="1" x14ac:dyDescent="0.3">
      <c r="A136" s="17"/>
      <c r="B136" s="17"/>
      <c r="C136" s="17"/>
      <c r="D136" s="17"/>
      <c r="E136" s="17"/>
      <c r="F136" s="17"/>
      <c r="H136" s="17"/>
      <c r="K136" s="17"/>
      <c r="L136" s="17"/>
      <c r="M136" s="17"/>
      <c r="N136" s="17"/>
      <c r="O136" s="17"/>
      <c r="P136" s="17"/>
      <c r="Q136" s="17"/>
    </row>
    <row r="137" spans="1:17" ht="14" hidden="1" x14ac:dyDescent="0.3">
      <c r="A137" s="17"/>
      <c r="B137" s="17"/>
      <c r="C137" s="17"/>
      <c r="D137" s="17"/>
      <c r="E137" s="17"/>
      <c r="F137" s="17"/>
      <c r="H137" s="17"/>
      <c r="K137" s="17"/>
      <c r="L137" s="17"/>
      <c r="M137" s="17"/>
      <c r="N137" s="17"/>
      <c r="O137" s="17"/>
      <c r="P137" s="17"/>
      <c r="Q137" s="17"/>
    </row>
    <row r="138" spans="1:17" ht="14" hidden="1" x14ac:dyDescent="0.3">
      <c r="A138" s="17"/>
      <c r="B138" s="17"/>
      <c r="C138" s="17"/>
      <c r="D138" s="17"/>
      <c r="E138" s="17"/>
      <c r="F138" s="17"/>
      <c r="H138" s="17"/>
      <c r="K138" s="17"/>
      <c r="L138" s="17"/>
      <c r="M138" s="17"/>
      <c r="N138" s="17"/>
      <c r="O138" s="17"/>
      <c r="P138" s="17"/>
      <c r="Q138" s="17"/>
    </row>
    <row r="139" spans="1:17" ht="14" hidden="1" x14ac:dyDescent="0.3">
      <c r="A139" s="17"/>
      <c r="B139" s="17"/>
      <c r="C139" s="17"/>
      <c r="D139" s="17"/>
      <c r="E139" s="17"/>
      <c r="F139" s="17"/>
      <c r="H139" s="17"/>
      <c r="K139" s="17"/>
      <c r="L139" s="17"/>
      <c r="M139" s="17"/>
      <c r="N139" s="17"/>
      <c r="O139" s="17"/>
      <c r="P139" s="17"/>
      <c r="Q139" s="17"/>
    </row>
    <row r="140" spans="1:17" ht="14" hidden="1" x14ac:dyDescent="0.3">
      <c r="A140" s="17"/>
      <c r="B140" s="17"/>
      <c r="C140" s="17"/>
      <c r="D140" s="17"/>
      <c r="E140" s="17"/>
      <c r="F140" s="17"/>
      <c r="H140" s="17"/>
      <c r="K140" s="17"/>
      <c r="L140" s="17"/>
      <c r="M140" s="17"/>
      <c r="N140" s="17"/>
      <c r="O140" s="17"/>
      <c r="P140" s="17"/>
      <c r="Q140" s="17"/>
    </row>
    <row r="141" spans="1:17" ht="14" hidden="1" x14ac:dyDescent="0.3">
      <c r="A141" s="17"/>
      <c r="B141" s="17"/>
      <c r="C141" s="17"/>
      <c r="D141" s="17"/>
      <c r="E141" s="17"/>
      <c r="F141" s="17"/>
      <c r="H141" s="17"/>
      <c r="K141" s="17"/>
      <c r="L141" s="17"/>
      <c r="M141" s="17"/>
      <c r="N141" s="17"/>
      <c r="O141" s="17"/>
      <c r="P141" s="17"/>
      <c r="Q141" s="17"/>
    </row>
    <row r="142" spans="1:17" ht="14" hidden="1" x14ac:dyDescent="0.3">
      <c r="A142" s="17"/>
      <c r="B142" s="17"/>
      <c r="C142" s="17"/>
      <c r="D142" s="17"/>
      <c r="E142" s="17"/>
      <c r="F142" s="17"/>
      <c r="H142" s="17"/>
      <c r="K142" s="17"/>
      <c r="L142" s="17"/>
      <c r="M142" s="17"/>
      <c r="N142" s="17"/>
      <c r="O142" s="17"/>
      <c r="P142" s="17"/>
      <c r="Q142" s="17"/>
    </row>
    <row r="143" spans="1:17" ht="14" hidden="1" x14ac:dyDescent="0.3">
      <c r="A143" s="17"/>
      <c r="B143" s="17"/>
      <c r="C143" s="17"/>
      <c r="D143" s="17"/>
      <c r="E143" s="17"/>
      <c r="F143" s="17"/>
      <c r="H143" s="17"/>
      <c r="K143" s="17"/>
      <c r="L143" s="17"/>
      <c r="M143" s="17"/>
      <c r="N143" s="17"/>
      <c r="O143" s="17"/>
      <c r="P143" s="17"/>
      <c r="Q143" s="17"/>
    </row>
    <row r="144" spans="1:17" ht="14" hidden="1" x14ac:dyDescent="0.3">
      <c r="A144" s="17"/>
    </row>
    <row r="145" spans="1:1" ht="14" hidden="1" x14ac:dyDescent="0.3">
      <c r="A145" s="17"/>
    </row>
    <row r="146" spans="1:1" ht="14" hidden="1" x14ac:dyDescent="0.3">
      <c r="A146" s="17"/>
    </row>
    <row r="147" spans="1:1" ht="14" hidden="1" x14ac:dyDescent="0.3">
      <c r="A147" s="17"/>
    </row>
    <row r="148" spans="1:1" ht="14" hidden="1" x14ac:dyDescent="0.3">
      <c r="A148" s="17"/>
    </row>
    <row r="149" spans="1:1" ht="14" hidden="1" x14ac:dyDescent="0.3">
      <c r="A149" s="17"/>
    </row>
    <row r="150" spans="1:1" ht="14" hidden="1" x14ac:dyDescent="0.3">
      <c r="A150" s="17"/>
    </row>
    <row r="151" spans="1:1" ht="14" hidden="1" x14ac:dyDescent="0.3">
      <c r="A151" s="17"/>
    </row>
    <row r="152" spans="1:1" ht="14" hidden="1" x14ac:dyDescent="0.3">
      <c r="A152" s="17"/>
    </row>
    <row r="153" spans="1:1" ht="14" hidden="1" x14ac:dyDescent="0.3">
      <c r="A153" s="17"/>
    </row>
    <row r="154" spans="1:1" ht="14" hidden="1" x14ac:dyDescent="0.3">
      <c r="A154" s="17"/>
    </row>
    <row r="155" spans="1:1" ht="14" hidden="1" x14ac:dyDescent="0.3">
      <c r="A155" s="17"/>
    </row>
    <row r="156" spans="1:1" ht="14" hidden="1" x14ac:dyDescent="0.3">
      <c r="A156" s="17"/>
    </row>
    <row r="157" spans="1:1" ht="14" hidden="1" x14ac:dyDescent="0.3">
      <c r="A157" s="17"/>
    </row>
    <row r="158" spans="1:1" ht="14" hidden="1" x14ac:dyDescent="0.3">
      <c r="A158" s="17"/>
    </row>
    <row r="159" spans="1:1" ht="14" hidden="1" x14ac:dyDescent="0.3">
      <c r="A159" s="17"/>
    </row>
    <row r="160" spans="1:1" ht="14" hidden="1" x14ac:dyDescent="0.3">
      <c r="A160" s="17"/>
    </row>
    <row r="161" spans="1:1" ht="14" hidden="1" x14ac:dyDescent="0.3">
      <c r="A161" s="17"/>
    </row>
    <row r="162" spans="1:1" ht="14" hidden="1" x14ac:dyDescent="0.3">
      <c r="A162" s="17"/>
    </row>
    <row r="163" spans="1:1" ht="14" hidden="1" x14ac:dyDescent="0.3">
      <c r="A163" s="17"/>
    </row>
    <row r="164" spans="1:1" ht="14" hidden="1" x14ac:dyDescent="0.3">
      <c r="A164" s="17"/>
    </row>
    <row r="165" spans="1:1" ht="14" hidden="1" x14ac:dyDescent="0.3">
      <c r="A165" s="17"/>
    </row>
    <row r="166" spans="1:1" ht="14" hidden="1" x14ac:dyDescent="0.3">
      <c r="A166" s="17"/>
    </row>
    <row r="167" spans="1:1" ht="14" hidden="1" x14ac:dyDescent="0.3">
      <c r="A167" s="17"/>
    </row>
    <row r="168" spans="1:1" ht="14" hidden="1" x14ac:dyDescent="0.3">
      <c r="A168" s="17"/>
    </row>
    <row r="169" spans="1:1" ht="14" hidden="1" x14ac:dyDescent="0.3">
      <c r="A169" s="17"/>
    </row>
    <row r="170" spans="1:1" ht="14" hidden="1" x14ac:dyDescent="0.3">
      <c r="A170" s="17"/>
    </row>
    <row r="171" spans="1:1" ht="14" hidden="1" x14ac:dyDescent="0.3">
      <c r="A171" s="17"/>
    </row>
    <row r="172" spans="1:1" ht="14" hidden="1" x14ac:dyDescent="0.3">
      <c r="A172" s="17"/>
    </row>
    <row r="173" spans="1:1" ht="14" hidden="1" x14ac:dyDescent="0.3">
      <c r="A173" s="17"/>
    </row>
    <row r="174" spans="1:1" ht="14" hidden="1" x14ac:dyDescent="0.3">
      <c r="A174" s="17"/>
    </row>
    <row r="175" spans="1:1" ht="14" hidden="1" x14ac:dyDescent="0.3">
      <c r="A175" s="17"/>
    </row>
    <row r="176" spans="1:1" ht="14" hidden="1" x14ac:dyDescent="0.3">
      <c r="A176" s="17"/>
    </row>
    <row r="177" spans="1:1" ht="14" hidden="1" x14ac:dyDescent="0.3">
      <c r="A177" s="17"/>
    </row>
    <row r="178" spans="1:1" ht="14" hidden="1" x14ac:dyDescent="0.3">
      <c r="A178" s="17"/>
    </row>
    <row r="179" spans="1:1" ht="14" hidden="1" x14ac:dyDescent="0.3">
      <c r="A179" s="17"/>
    </row>
    <row r="180" spans="1:1" ht="14" hidden="1" x14ac:dyDescent="0.3">
      <c r="A180" s="17"/>
    </row>
    <row r="181" spans="1:1" ht="14" hidden="1" x14ac:dyDescent="0.3">
      <c r="A181" s="17"/>
    </row>
    <row r="182" spans="1:1" ht="14" hidden="1" x14ac:dyDescent="0.3">
      <c r="A182" s="17"/>
    </row>
    <row r="183" spans="1:1" ht="14" hidden="1" x14ac:dyDescent="0.3">
      <c r="A183" s="17"/>
    </row>
    <row r="184" spans="1:1" ht="14" x14ac:dyDescent="0.3"/>
    <row r="185" spans="1:1" ht="14" x14ac:dyDescent="0.3"/>
    <row r="186" spans="1:1" ht="14" x14ac:dyDescent="0.3"/>
    <row r="187" spans="1:1" ht="14" x14ac:dyDescent="0.3"/>
    <row r="188" spans="1:1" ht="14" x14ac:dyDescent="0.3"/>
    <row r="189" spans="1:1" ht="14" x14ac:dyDescent="0.3"/>
    <row r="190" spans="1:1" ht="14" x14ac:dyDescent="0.3"/>
    <row r="191" spans="1:1" ht="14" x14ac:dyDescent="0.3"/>
    <row r="192" spans="1:1" ht="14.15" customHeight="1" x14ac:dyDescent="0.3"/>
    <row r="193" ht="14.15" customHeight="1" x14ac:dyDescent="0.3"/>
    <row r="194" ht="14.15" customHeight="1" x14ac:dyDescent="0.3"/>
    <row r="195" ht="14.15" customHeight="1" x14ac:dyDescent="0.3"/>
    <row r="196" ht="14.15" customHeight="1" x14ac:dyDescent="0.3"/>
    <row r="197" ht="14.15" customHeight="1" x14ac:dyDescent="0.3"/>
    <row r="198" ht="14.15" customHeight="1" x14ac:dyDescent="0.3"/>
    <row r="199" ht="14.15" customHeight="1" x14ac:dyDescent="0.3"/>
    <row r="200" ht="14.15" customHeight="1" x14ac:dyDescent="0.3"/>
    <row r="201" ht="14.15" customHeight="1" x14ac:dyDescent="0.3"/>
    <row r="202" ht="14.15" customHeight="1" x14ac:dyDescent="0.3"/>
    <row r="203" ht="14.15" customHeight="1" x14ac:dyDescent="0.3"/>
    <row r="204" ht="14.15" customHeight="1" x14ac:dyDescent="0.3"/>
    <row r="205" ht="14.15" customHeight="1" x14ac:dyDescent="0.3"/>
    <row r="206" ht="14.15" customHeight="1" x14ac:dyDescent="0.3"/>
    <row r="207" ht="14.15" customHeight="1" x14ac:dyDescent="0.3"/>
    <row r="208" ht="14.15" customHeight="1" x14ac:dyDescent="0.3"/>
    <row r="209" ht="14.15" customHeight="1" x14ac:dyDescent="0.3"/>
    <row r="210" ht="14.15" customHeight="1" x14ac:dyDescent="0.3"/>
    <row r="211" ht="14.15" customHeight="1" x14ac:dyDescent="0.3"/>
    <row r="212" ht="14.15" customHeight="1" x14ac:dyDescent="0.3"/>
    <row r="213" ht="14.15" customHeight="1" x14ac:dyDescent="0.3"/>
    <row r="214" ht="14.15" customHeight="1" x14ac:dyDescent="0.3"/>
    <row r="215" ht="14.15" customHeight="1" x14ac:dyDescent="0.3"/>
    <row r="216" ht="14.15" customHeight="1" x14ac:dyDescent="0.3"/>
    <row r="217" ht="14.15" customHeight="1" x14ac:dyDescent="0.3"/>
    <row r="218" ht="14.15" customHeight="1" x14ac:dyDescent="0.3"/>
    <row r="219" ht="14.15" customHeight="1" x14ac:dyDescent="0.3"/>
    <row r="220" ht="14.15" customHeight="1" x14ac:dyDescent="0.3"/>
    <row r="221" ht="14.15" customHeight="1" x14ac:dyDescent="0.3"/>
    <row r="222" ht="14.15" customHeight="1" x14ac:dyDescent="0.3"/>
    <row r="223" ht="14.15" customHeight="1" x14ac:dyDescent="0.3"/>
    <row r="224" ht="14.15" customHeight="1" x14ac:dyDescent="0.3"/>
    <row r="225" ht="14.15" customHeight="1" x14ac:dyDescent="0.3"/>
    <row r="226" ht="14.15" customHeight="1" x14ac:dyDescent="0.3"/>
    <row r="227" ht="14.15" customHeight="1" x14ac:dyDescent="0.3"/>
    <row r="228" ht="14.15" customHeight="1" x14ac:dyDescent="0.3"/>
    <row r="229" ht="14.15" customHeight="1" x14ac:dyDescent="0.3"/>
    <row r="230" ht="14.15" customHeight="1" x14ac:dyDescent="0.3"/>
    <row r="231" ht="14.15" customHeight="1" x14ac:dyDescent="0.3"/>
    <row r="232" ht="14.15" customHeight="1" x14ac:dyDescent="0.3"/>
    <row r="233" ht="14.15" customHeight="1" x14ac:dyDescent="0.3"/>
    <row r="234" ht="14.15" customHeight="1" x14ac:dyDescent="0.3"/>
    <row r="235" ht="14.15" customHeight="1" x14ac:dyDescent="0.3"/>
    <row r="236" ht="14.15" customHeight="1" x14ac:dyDescent="0.3"/>
    <row r="237" ht="14.15" customHeight="1" x14ac:dyDescent="0.3"/>
    <row r="238" ht="14.15" customHeight="1" x14ac:dyDescent="0.3"/>
    <row r="239" ht="14.15" customHeight="1" x14ac:dyDescent="0.3"/>
    <row r="240" ht="14.15" customHeight="1" x14ac:dyDescent="0.3"/>
    <row r="241" ht="14.15" customHeight="1" x14ac:dyDescent="0.3"/>
    <row r="242" ht="14.15" customHeight="1" x14ac:dyDescent="0.3"/>
    <row r="243" ht="14.15" customHeight="1" x14ac:dyDescent="0.3"/>
    <row r="244" ht="14.15" customHeight="1" x14ac:dyDescent="0.3"/>
    <row r="245" ht="14.15" customHeight="1" x14ac:dyDescent="0.3"/>
    <row r="246" ht="14.15" customHeight="1" x14ac:dyDescent="0.3"/>
    <row r="247" ht="14.15" customHeight="1" x14ac:dyDescent="0.3"/>
    <row r="248" ht="14.15" customHeight="1" x14ac:dyDescent="0.3"/>
    <row r="249" ht="14.15" customHeight="1" x14ac:dyDescent="0.3"/>
    <row r="250" ht="14.15" customHeight="1" x14ac:dyDescent="0.3"/>
    <row r="251" ht="14.15" customHeight="1" x14ac:dyDescent="0.3"/>
    <row r="252" ht="14.15" customHeight="1" x14ac:dyDescent="0.3"/>
    <row r="253" ht="14.15" customHeight="1" x14ac:dyDescent="0.3"/>
    <row r="254" ht="14.15" customHeight="1" x14ac:dyDescent="0.3"/>
    <row r="255" ht="14.15" customHeight="1" x14ac:dyDescent="0.3"/>
    <row r="256" ht="14.15" customHeight="1" x14ac:dyDescent="0.3"/>
    <row r="257" ht="14.15" customHeight="1" x14ac:dyDescent="0.3"/>
    <row r="258" ht="14.15" customHeight="1" x14ac:dyDescent="0.3"/>
    <row r="259" ht="14.15" customHeight="1" x14ac:dyDescent="0.3"/>
    <row r="260" ht="14.15" customHeight="1" x14ac:dyDescent="0.3"/>
    <row r="261" ht="14.15" customHeight="1" x14ac:dyDescent="0.3"/>
    <row r="262" ht="14.15" customHeight="1" x14ac:dyDescent="0.3"/>
    <row r="263" ht="14.15" customHeight="1" x14ac:dyDescent="0.3"/>
    <row r="264" ht="14.15" customHeight="1" x14ac:dyDescent="0.3"/>
    <row r="265" ht="14.15" customHeight="1" x14ac:dyDescent="0.3"/>
    <row r="266" ht="14.15" customHeight="1" x14ac:dyDescent="0.3"/>
    <row r="267" ht="14.15" customHeight="1" x14ac:dyDescent="0.3"/>
    <row r="268" ht="14.15" customHeight="1" x14ac:dyDescent="0.3"/>
    <row r="269" ht="14.15" customHeight="1" x14ac:dyDescent="0.3"/>
    <row r="270" ht="14.15" customHeight="1" x14ac:dyDescent="0.3"/>
    <row r="271" ht="14.15" customHeight="1" x14ac:dyDescent="0.3"/>
    <row r="272" ht="14.15" customHeight="1" x14ac:dyDescent="0.3"/>
    <row r="273" ht="14.15" customHeight="1" x14ac:dyDescent="0.3"/>
    <row r="274" ht="14.15" customHeight="1" x14ac:dyDescent="0.3"/>
    <row r="275" ht="14.15" customHeight="1" x14ac:dyDescent="0.3"/>
    <row r="276" ht="14.15" customHeight="1" x14ac:dyDescent="0.3"/>
    <row r="277" ht="14.15" customHeight="1" x14ac:dyDescent="0.3"/>
    <row r="278" ht="14.15" customHeight="1" x14ac:dyDescent="0.3"/>
    <row r="279" ht="14.15" customHeight="1" x14ac:dyDescent="0.3"/>
    <row r="280" ht="14.15" customHeight="1" x14ac:dyDescent="0.3"/>
    <row r="281" ht="14.15" customHeight="1" x14ac:dyDescent="0.3"/>
    <row r="282" ht="14.15" customHeight="1" x14ac:dyDescent="0.3"/>
    <row r="283" ht="14.15" customHeight="1" x14ac:dyDescent="0.3"/>
    <row r="284" ht="14.15" customHeight="1" x14ac:dyDescent="0.3"/>
    <row r="285" ht="14.15" customHeight="1" x14ac:dyDescent="0.3"/>
    <row r="286" ht="14.15" customHeight="1" x14ac:dyDescent="0.3"/>
    <row r="287" ht="14.15" customHeight="1" x14ac:dyDescent="0.3"/>
    <row r="288" ht="14.15" customHeight="1" x14ac:dyDescent="0.3"/>
    <row r="289" ht="14.15" customHeight="1" x14ac:dyDescent="0.3"/>
    <row r="290" ht="14.15" customHeight="1" x14ac:dyDescent="0.3"/>
    <row r="291" ht="14.15" customHeight="1" x14ac:dyDescent="0.3"/>
    <row r="292" ht="14.15" customHeight="1" x14ac:dyDescent="0.3"/>
    <row r="293" ht="14.15" customHeight="1" x14ac:dyDescent="0.3"/>
    <row r="294" ht="14.15" customHeight="1" x14ac:dyDescent="0.3"/>
    <row r="295" ht="14.15" customHeight="1" x14ac:dyDescent="0.3"/>
    <row r="296" ht="14.15" customHeight="1" x14ac:dyDescent="0.3"/>
    <row r="297" ht="14.15" customHeight="1" x14ac:dyDescent="0.3"/>
    <row r="298" ht="14.15" customHeight="1" x14ac:dyDescent="0.3"/>
    <row r="299" ht="14.15" customHeight="1" x14ac:dyDescent="0.3"/>
    <row r="300" ht="14.15" customHeight="1" x14ac:dyDescent="0.3"/>
    <row r="301" ht="14.15" customHeight="1" x14ac:dyDescent="0.3"/>
    <row r="302" ht="14.15" customHeight="1" x14ac:dyDescent="0.3"/>
    <row r="303" ht="14.15" customHeight="1" x14ac:dyDescent="0.3"/>
    <row r="304" ht="14.15" customHeight="1" x14ac:dyDescent="0.3"/>
    <row r="305" ht="14.15" customHeight="1" x14ac:dyDescent="0.3"/>
    <row r="306" ht="14.15" customHeight="1" x14ac:dyDescent="0.3"/>
  </sheetData>
  <sheetProtection algorithmName="SHA-512" hashValue="Huy0vLHCRCJLcjjNp9YcAWh8S9wDzm2lKEtdHQmDYQC93gjpinOn6ZN4H+nvICu50kTLad7xIsHLEaXZuOBizw==" saltValue="dkQq6+Nt1mBf0P7Jb8x9Rw==" spinCount="100000" sheet="1" objects="1" scenarios="1"/>
  <mergeCells count="21">
    <mergeCell ref="G11:H11"/>
    <mergeCell ref="I13:J13"/>
    <mergeCell ref="B11:E11"/>
    <mergeCell ref="B20:E20"/>
    <mergeCell ref="G40:H40"/>
    <mergeCell ref="G28:H28"/>
    <mergeCell ref="B28:E28"/>
    <mergeCell ref="B40:E40"/>
    <mergeCell ref="G20:H20"/>
    <mergeCell ref="G8:H8"/>
    <mergeCell ref="B2:H2"/>
    <mergeCell ref="G3:H4"/>
    <mergeCell ref="G5:H5"/>
    <mergeCell ref="G6:H6"/>
    <mergeCell ref="G7:H7"/>
    <mergeCell ref="B3:B4"/>
    <mergeCell ref="C3:F4"/>
    <mergeCell ref="C5:F5"/>
    <mergeCell ref="C6:F6"/>
    <mergeCell ref="C7:F7"/>
    <mergeCell ref="C8:F8"/>
  </mergeCells>
  <conditionalFormatting sqref="H12">
    <cfRule type="cellIs" dxfId="436" priority="24" operator="greaterThan">
      <formula>0</formula>
    </cfRule>
    <cfRule type="cellIs" dxfId="435" priority="25" operator="lessThan">
      <formula>0</formula>
    </cfRule>
  </conditionalFormatting>
  <conditionalFormatting sqref="H22">
    <cfRule type="cellIs" dxfId="434" priority="18" operator="greaterThan">
      <formula>0</formula>
    </cfRule>
    <cfRule type="cellIs" dxfId="433" priority="21" operator="lessThan">
      <formula>0</formula>
    </cfRule>
  </conditionalFormatting>
  <conditionalFormatting sqref="H21">
    <cfRule type="cellIs" dxfId="432" priority="19" operator="greaterThan">
      <formula>0</formula>
    </cfRule>
    <cfRule type="cellIs" dxfId="431" priority="20" operator="lessThan">
      <formula>0</formula>
    </cfRule>
  </conditionalFormatting>
  <conditionalFormatting sqref="H29 H41:H42">
    <cfRule type="cellIs" dxfId="430" priority="16" operator="lessThan">
      <formula>0</formula>
    </cfRule>
    <cfRule type="cellIs" dxfId="429" priority="17" operator="greaterThan">
      <formula>0</formula>
    </cfRule>
  </conditionalFormatting>
  <conditionalFormatting sqref="G5:G8">
    <cfRule type="containsText" dxfId="428" priority="22" operator="containsText" text="Yes">
      <formula>NOT(ISERROR(SEARCH("Yes",G5)))</formula>
    </cfRule>
    <cfRule type="containsText" dxfId="427" priority="23" operator="containsText" text="No">
      <formula>NOT(ISERROR(SEARCH("No",G5)))</formula>
    </cfRule>
  </conditionalFormatting>
  <conditionalFormatting sqref="H30">
    <cfRule type="cellIs" dxfId="426" priority="15" operator="lessThan">
      <formula>0</formula>
    </cfRule>
  </conditionalFormatting>
  <conditionalFormatting sqref="I13:J13">
    <cfRule type="containsText" dxfId="425" priority="8" operator="containsText" text="Very high distinctiveness unit defecit - CHECK DATA">
      <formula>NOT(ISERROR(SEARCH("Very high distinctiveness unit defecit - CHECK DATA",I13)))</formula>
    </cfRule>
  </conditionalFormatting>
  <conditionalFormatting sqref="B32 B43">
    <cfRule type="expression" dxfId="424" priority="359">
      <formula>#REF!&gt;0</formula>
    </cfRule>
    <cfRule type="expression" dxfId="423" priority="360">
      <formula>#REF!&lt;0</formula>
    </cfRule>
  </conditionalFormatting>
  <conditionalFormatting sqref="B22:E22 B30:E31 B42:E42">
    <cfRule type="expression" dxfId="422" priority="367">
      <formula>$E22&gt;0</formula>
    </cfRule>
    <cfRule type="expression" dxfId="421" priority="368">
      <formula>$E22&lt;0</formula>
    </cfRule>
  </conditionalFormatting>
  <conditionalFormatting sqref="B13:E13">
    <cfRule type="expression" dxfId="420" priority="365">
      <formula>$E13&gt;0</formula>
    </cfRule>
    <cfRule type="expression" dxfId="419" priority="366">
      <formula>$E13&lt;0</formula>
    </cfRule>
  </conditionalFormatting>
  <pageMargins left="0.7" right="0.7" top="0.75" bottom="0.75" header="0.3" footer="0.3"/>
  <pageSetup paperSize="9" orientation="portrait" r:id="rId1"/>
  <ignoredErrors>
    <ignoredError sqref="D43"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0695-3FEA-4B47-B255-91F5C4F76C25}">
  <sheetPr codeName="Sheet38">
    <tabColor rgb="FFF4D4D4"/>
  </sheetPr>
  <dimension ref="A1:AF749"/>
  <sheetViews>
    <sheetView zoomScale="80" zoomScaleNormal="80" workbookViewId="0"/>
  </sheetViews>
  <sheetFormatPr defaultColWidth="8.7265625" defaultRowHeight="14.5" x14ac:dyDescent="0.35"/>
  <cols>
    <col min="1" max="1" width="8.7265625" style="510"/>
    <col min="2" max="2" width="10" style="1" customWidth="1"/>
    <col min="3" max="3" width="14.26953125" style="1" customWidth="1"/>
    <col min="4" max="9" width="8.7265625" style="1"/>
    <col min="10" max="10" width="23.26953125" style="1" customWidth="1"/>
    <col min="11" max="11" width="12.1796875" style="1" customWidth="1"/>
    <col min="12" max="12" width="23.54296875" style="1" customWidth="1"/>
    <col min="13" max="13" width="8.7265625" style="510"/>
    <col min="14" max="14" width="11.453125" style="1" customWidth="1"/>
    <col min="15" max="15" width="13.54296875" style="1" customWidth="1"/>
    <col min="16" max="16" width="14.54296875" style="1" customWidth="1"/>
    <col min="17" max="17" width="19.1796875" style="1" customWidth="1"/>
    <col min="18" max="18" width="15.1796875" style="1" customWidth="1"/>
    <col min="19" max="19" width="23.81640625" style="1" customWidth="1"/>
    <col min="20" max="20" width="12.26953125" style="1" customWidth="1"/>
    <col min="21" max="21" width="24.453125" style="1" customWidth="1"/>
    <col min="22" max="22" width="8.7265625" style="1"/>
    <col min="23" max="23" width="13.81640625" style="1" customWidth="1"/>
    <col min="24" max="24" width="13.1796875" style="1" customWidth="1"/>
    <col min="25" max="27" width="12.453125" style="1" customWidth="1"/>
    <col min="28" max="28" width="26.453125" style="1" customWidth="1"/>
    <col min="29" max="29" width="8.7265625" style="1"/>
    <col min="30" max="30" width="20.81640625" style="1" customWidth="1"/>
    <col min="31" max="31" width="8.7265625" style="1"/>
    <col min="32" max="32" width="11.26953125" style="1" customWidth="1"/>
    <col min="33" max="16384" width="8.7265625" style="1"/>
  </cols>
  <sheetData>
    <row r="1" spans="1:32" ht="19.5" customHeight="1" x14ac:dyDescent="0.35"/>
    <row r="2" spans="1:32" ht="15" thickBot="1" x14ac:dyDescent="0.4"/>
    <row r="3" spans="1:32" ht="35.5" customHeight="1" x14ac:dyDescent="0.35">
      <c r="B3" s="1006" t="s">
        <v>117</v>
      </c>
      <c r="C3" s="1007"/>
      <c r="D3" s="1007"/>
      <c r="E3" s="1007"/>
      <c r="F3" s="1007"/>
      <c r="G3" s="1007"/>
      <c r="H3" s="1007"/>
      <c r="I3" s="1007"/>
      <c r="J3" s="1007"/>
      <c r="K3" s="1007"/>
      <c r="L3" s="1008"/>
      <c r="N3" s="998" t="s">
        <v>118</v>
      </c>
      <c r="O3" s="999"/>
      <c r="P3" s="999"/>
      <c r="Q3" s="999"/>
      <c r="R3" s="999"/>
      <c r="S3" s="999"/>
      <c r="T3" s="999"/>
      <c r="U3" s="1000"/>
      <c r="W3" s="1016" t="s">
        <v>119</v>
      </c>
      <c r="X3" s="1017"/>
      <c r="Y3" s="1017"/>
      <c r="Z3" s="1017"/>
      <c r="AA3" s="1017"/>
      <c r="AB3" s="1017"/>
      <c r="AC3" s="1017"/>
      <c r="AD3" s="1018"/>
      <c r="AE3" s="472"/>
      <c r="AF3" s="472"/>
    </row>
    <row r="4" spans="1:32" ht="15" customHeight="1" thickBot="1" x14ac:dyDescent="0.4">
      <c r="B4" s="1009"/>
      <c r="C4" s="1010"/>
      <c r="D4" s="1010"/>
      <c r="E4" s="1010"/>
      <c r="F4" s="1010"/>
      <c r="G4" s="1010"/>
      <c r="H4" s="1010"/>
      <c r="I4" s="1010"/>
      <c r="J4" s="1010"/>
      <c r="K4" s="1010"/>
      <c r="L4" s="1011"/>
      <c r="N4" s="1001"/>
      <c r="O4" s="1002"/>
      <c r="P4" s="1002"/>
      <c r="Q4" s="1002"/>
      <c r="R4" s="1002"/>
      <c r="S4" s="1002"/>
      <c r="T4" s="1002"/>
      <c r="U4" s="1003"/>
      <c r="W4" s="1019"/>
      <c r="X4" s="1020"/>
      <c r="Y4" s="1020"/>
      <c r="Z4" s="1020"/>
      <c r="AA4" s="1020"/>
      <c r="AB4" s="1020"/>
      <c r="AC4" s="1020"/>
      <c r="AD4" s="1021"/>
      <c r="AE4" s="472"/>
      <c r="AF4" s="472"/>
    </row>
    <row r="5" spans="1:32" ht="14.5" customHeight="1" x14ac:dyDescent="0.35">
      <c r="B5" s="988" t="s">
        <v>120</v>
      </c>
      <c r="C5" s="988" t="s">
        <v>121</v>
      </c>
      <c r="D5" s="994" t="s">
        <v>122</v>
      </c>
      <c r="E5" s="1013"/>
      <c r="F5" s="994" t="s">
        <v>123</v>
      </c>
      <c r="G5" s="1013"/>
      <c r="H5" s="994" t="s">
        <v>124</v>
      </c>
      <c r="I5" s="1013"/>
      <c r="J5" s="994" t="s">
        <v>125</v>
      </c>
      <c r="K5" s="992" t="s">
        <v>126</v>
      </c>
      <c r="L5" s="982" t="s">
        <v>127</v>
      </c>
      <c r="N5" s="990" t="s">
        <v>120</v>
      </c>
      <c r="O5" s="988" t="s">
        <v>121</v>
      </c>
      <c r="P5" s="992" t="s">
        <v>122</v>
      </c>
      <c r="Q5" s="992" t="s">
        <v>123</v>
      </c>
      <c r="R5" s="994" t="s">
        <v>124</v>
      </c>
      <c r="S5" s="984" t="s">
        <v>125</v>
      </c>
      <c r="T5" s="996" t="s">
        <v>128</v>
      </c>
      <c r="U5" s="982" t="s">
        <v>127</v>
      </c>
      <c r="W5" s="1024" t="s">
        <v>120</v>
      </c>
      <c r="X5" s="984" t="s">
        <v>121</v>
      </c>
      <c r="Y5" s="984" t="s">
        <v>122</v>
      </c>
      <c r="Z5" s="984" t="s">
        <v>123</v>
      </c>
      <c r="AA5" s="984" t="s">
        <v>129</v>
      </c>
      <c r="AB5" s="984" t="s">
        <v>125</v>
      </c>
      <c r="AC5" s="984" t="s">
        <v>128</v>
      </c>
      <c r="AD5" s="986" t="s">
        <v>127</v>
      </c>
      <c r="AF5" s="473"/>
    </row>
    <row r="6" spans="1:32" ht="15" thickBot="1" x14ac:dyDescent="0.4">
      <c r="B6" s="1012"/>
      <c r="C6" s="1012"/>
      <c r="D6" s="1014"/>
      <c r="E6" s="1015"/>
      <c r="F6" s="1014"/>
      <c r="G6" s="1015"/>
      <c r="H6" s="1014"/>
      <c r="I6" s="1015"/>
      <c r="J6" s="995"/>
      <c r="K6" s="993"/>
      <c r="L6" s="983"/>
      <c r="N6" s="991"/>
      <c r="O6" s="989"/>
      <c r="P6" s="993"/>
      <c r="Q6" s="993"/>
      <c r="R6" s="995"/>
      <c r="S6" s="985"/>
      <c r="T6" s="997"/>
      <c r="U6" s="983"/>
      <c r="W6" s="1025"/>
      <c r="X6" s="985"/>
      <c r="Y6" s="985"/>
      <c r="Z6" s="985"/>
      <c r="AA6" s="985"/>
      <c r="AB6" s="985"/>
      <c r="AC6" s="985"/>
      <c r="AD6" s="987"/>
      <c r="AF6" s="473"/>
    </row>
    <row r="7" spans="1:32" x14ac:dyDescent="0.35">
      <c r="A7" s="510" t="e">
        <f>#REF!</f>
        <v>#REF!</v>
      </c>
      <c r="B7" s="512" t="str" cm="1">
        <f t="array" ref="B7">IFERROR(_xlfn.UNIQUE(_xlfn._xlws.FILTER(A7:A747,A7:A747&lt;&gt;0)),"")</f>
        <v/>
      </c>
      <c r="C7" s="513" t="str">
        <f>IF(B7="","",SUMIF(#REF!,B7,#REF!))</f>
        <v/>
      </c>
      <c r="D7" s="1004" t="str">
        <f>IF(B7="","", SUMIF(#REF!,'Off-site gain site summary'!$B7,#REF!))</f>
        <v/>
      </c>
      <c r="E7" s="1005"/>
      <c r="F7" s="1004" t="str">
        <f>IF(B7="","",SUMIF(#REF!,'Off-site gain site summary'!B7,#REF!))</f>
        <v/>
      </c>
      <c r="G7" s="1005"/>
      <c r="H7" s="1004" t="str">
        <f>IF(B7="","",SUMIF(#REF!,'Off-site gain site summary'!B7,#REF!))</f>
        <v/>
      </c>
      <c r="I7" s="1005"/>
      <c r="J7" s="514" t="str">
        <f>IF(B7="","",(H7+F7+D7)-(C7))</f>
        <v/>
      </c>
      <c r="K7" s="515" t="str">
        <f>IF(ISBLANK(B7),"",IFERROR(_xlfn.XLOOKUP(B7,#REF!,#REF!),IFERROR(_xlfn.XLOOKUP(B7,#REF!,#REF!)," ")))</f>
        <v xml:space="preserve"> </v>
      </c>
      <c r="L7" s="516" t="str">
        <f>IF(B7="","",IF(J7&gt;0,IFERROR(J7*K7,"0"),J7))</f>
        <v/>
      </c>
      <c r="M7" s="510" t="e">
        <f>#REF!</f>
        <v>#REF!</v>
      </c>
      <c r="N7" s="512" t="str" cm="1">
        <f t="array" ref="N7">IFERROR(_xlfn.UNIQUE(_xlfn._xlws.FILTER(M7:M745,M7:M745&lt;&gt;0)),"")</f>
        <v/>
      </c>
      <c r="O7" s="531" t="str">
        <f>IF(N7="","",SUMIF(#REF!,'Off-site gain site summary'!N7,#REF!))</f>
        <v/>
      </c>
      <c r="P7" s="531" t="str">
        <f>IF(N7="","",SUMIF(#REF!,'Off-site gain site summary'!$N7,#REF!))</f>
        <v/>
      </c>
      <c r="Q7" s="531" t="str">
        <f>IF(N7="","",SUMIF(#REF!,'Off-site gain site summary'!$N7,#REF!))</f>
        <v/>
      </c>
      <c r="R7" s="531" t="str">
        <f>IF(N7="","",SUMIF(#REF!,'Off-site gain site summary'!$N7,#REF!))</f>
        <v/>
      </c>
      <c r="S7" s="531" t="str">
        <f>IF(N7="","",(R7+Q7+P7)-O7)</f>
        <v/>
      </c>
      <c r="T7" s="531" t="str">
        <f>IF(ISBLANK(N7),"", IFERROR(_xlfn.XLOOKUP(N7,#REF!,#REF!), IFERROR(_xlfn.XLOOKUP(N7,#REF!,#REF!), " ")))</f>
        <v xml:space="preserve"> </v>
      </c>
      <c r="U7" s="532" t="str">
        <f>IF(N7="","",IF(S7&gt;0,IFERROR(S7*T7,"0"),S7))</f>
        <v/>
      </c>
      <c r="V7" s="1" t="e">
        <f>#REF!</f>
        <v>#REF!</v>
      </c>
      <c r="W7" s="512" t="str" cm="1">
        <f t="array" ref="W7">IFERROR(_xlfn.UNIQUE(_xlfn._xlws.FILTER(V7:V748, V7:V748&lt;&gt;0)),"")</f>
        <v/>
      </c>
      <c r="X7" s="531" t="str">
        <f>IF(W7="","",SUMIF(#REF!,'Off-site gain site summary'!$W7,#REF!))</f>
        <v/>
      </c>
      <c r="Y7" s="531" t="str">
        <f>IF(W7="","",SUMIF(#REF!,'Off-site gain site summary'!$W7,#REF!))</f>
        <v/>
      </c>
      <c r="Z7" s="531" t="str">
        <f>IF(W7="","",SUMIF(#REF!,'Off-site gain site summary'!$W7,#REF!))</f>
        <v/>
      </c>
      <c r="AA7" s="531" t="str">
        <f>IF(W7="","",SUMIF(#REF!,'Off-site gain site summary'!$W7,#REF!))</f>
        <v/>
      </c>
      <c r="AB7" s="531" t="str">
        <f>IF(W7="","",(Z7+AA7+Y7)-X7)</f>
        <v/>
      </c>
      <c r="AC7" s="531" t="str">
        <f>IF(ISBLANK(W7),"", IFERROR(_xlfn.XLOOKUP(W7,#REF!,#REF!), IFERROR(_xlfn.XLOOKUP(W7,#REF!,#REF!)," ")))</f>
        <v xml:space="preserve"> </v>
      </c>
      <c r="AD7" s="532" t="str">
        <f>IF(W7="","",IF(AB7&gt;0,IFERROR(AB7*AC7,"0"),AB7))</f>
        <v/>
      </c>
      <c r="AE7" s="474"/>
      <c r="AF7" s="474"/>
    </row>
    <row r="8" spans="1:32" x14ac:dyDescent="0.35">
      <c r="A8" s="510" t="e">
        <f>#REF!</f>
        <v>#REF!</v>
      </c>
      <c r="B8" s="517"/>
      <c r="C8" s="515" t="str">
        <f>IF(B8="","",SUMIF(#REF!,B8,#REF!))</f>
        <v/>
      </c>
      <c r="D8" s="979" t="str">
        <f>IF(B8="","", SUMIF(#REF!,'Off-site gain site summary'!$B8,#REF!))</f>
        <v/>
      </c>
      <c r="E8" s="980"/>
      <c r="F8" s="979" t="str">
        <f>IF(B8="","",SUMIF(#REF!,'Off-site gain site summary'!B8,#REF!))</f>
        <v/>
      </c>
      <c r="G8" s="980"/>
      <c r="H8" s="979" t="str">
        <f>IF(B8="","",SUMIF(#REF!,'Off-site gain site summary'!B8,#REF!))</f>
        <v/>
      </c>
      <c r="I8" s="980"/>
      <c r="J8" s="518" t="str">
        <f t="shared" ref="J8:J71" si="0">IF(B8="","",(H8+F8+D8)-(C8))</f>
        <v/>
      </c>
      <c r="K8" s="515" t="str">
        <f>IF(ISBLANK(B8),"",IFERROR(_xlfn.XLOOKUP(B8,#REF!,#REF!),IFERROR(_xlfn.XLOOKUP(B8,#REF!,#REF!)," ")))</f>
        <v/>
      </c>
      <c r="L8" s="519" t="str">
        <f t="shared" ref="L8:L71" si="1">IF(B8="","",IF(J8&gt;0,IFERROR(J8*K8,"0"),J8))</f>
        <v/>
      </c>
      <c r="M8" s="510" t="e">
        <f>#REF!</f>
        <v>#REF!</v>
      </c>
      <c r="N8" s="525"/>
      <c r="O8" s="526" t="str">
        <f>IF(N8="","",SUMIF(#REF!,'Off-site gain site summary'!N8,#REF!))</f>
        <v/>
      </c>
      <c r="P8" s="526" t="str">
        <f>IF(N8="","",SUMIF(#REF!,'Off-site gain site summary'!$N8,#REF!))</f>
        <v/>
      </c>
      <c r="Q8" s="526" t="str">
        <f>IF(N8="","",SUMIF(#REF!,'Off-site gain site summary'!$N8,#REF!))</f>
        <v/>
      </c>
      <c r="R8" s="526" t="str">
        <f>IF(N8="","",SUMIF(#REF!,'Off-site gain site summary'!$N8,#REF!))</f>
        <v/>
      </c>
      <c r="S8" s="524" t="str">
        <f t="shared" ref="S8:S71" si="2">IF(N8="","",(R8+Q8+P8)-O8)</f>
        <v/>
      </c>
      <c r="T8" s="524" t="str">
        <f>IF(ISBLANK(N8),"", IFERROR(_xlfn.XLOOKUP(N8,#REF!,#REF!), IFERROR(_xlfn.XLOOKUP(N8,#REF!,#REF!), " ")))</f>
        <v/>
      </c>
      <c r="U8" s="527" t="str">
        <f t="shared" ref="U8:U71" si="3">IF(N8="","",IF(S8&gt;0,IFERROR(S8*T8,"0"),S8))</f>
        <v/>
      </c>
      <c r="V8" s="1" t="e">
        <f>#REF!</f>
        <v>#REF!</v>
      </c>
      <c r="W8" s="525"/>
      <c r="X8" s="526" t="str">
        <f>IF(W8="","",SUMIF(#REF!,'Off-site gain site summary'!$W8,#REF!))</f>
        <v/>
      </c>
      <c r="Y8" s="526" t="str">
        <f>IF(W8="","",SUMIF(#REF!,'Off-site gain site summary'!$W8,#REF!))</f>
        <v/>
      </c>
      <c r="Z8" s="526" t="str">
        <f>IF(W8="","",SUMIF(#REF!,'Off-site gain site summary'!$W8,#REF!))</f>
        <v/>
      </c>
      <c r="AA8" s="526" t="str">
        <f>IF(W8="","",SUMIF(#REF!,'Off-site gain site summary'!$W8,#REF!))</f>
        <v/>
      </c>
      <c r="AB8" s="526" t="str">
        <f t="shared" ref="AB8:AB71" si="4">IF(W8="","",(Z8+AA8+Y8)-X8)</f>
        <v/>
      </c>
      <c r="AC8" s="526" t="str">
        <f>IF(ISBLANK(W8),"", IFERROR(_xlfn.XLOOKUP(W8,#REF!,#REF!), IFERROR(_xlfn.XLOOKUP(W8,#REF!,#REF!)," ")))</f>
        <v/>
      </c>
      <c r="AD8" s="527" t="str">
        <f t="shared" ref="AD8:AD71" si="5">IF(W8="","",IF(AB8&gt;0,IFERROR(AB8*AC8,"0"),AB8))</f>
        <v/>
      </c>
      <c r="AE8" s="981"/>
      <c r="AF8" s="981"/>
    </row>
    <row r="9" spans="1:32" x14ac:dyDescent="0.35">
      <c r="A9" s="510" t="e">
        <f>#REF!</f>
        <v>#REF!</v>
      </c>
      <c r="B9" s="517"/>
      <c r="C9" s="515" t="str">
        <f>IF(B9="","",SUMIF(#REF!,B9,#REF!))</f>
        <v/>
      </c>
      <c r="D9" s="979" t="str">
        <f>IF(B9="","", SUMIF(#REF!,'Off-site gain site summary'!$B9,#REF!))</f>
        <v/>
      </c>
      <c r="E9" s="980"/>
      <c r="F9" s="979" t="str">
        <f>IF(B9="","",SUMIF(#REF!,'Off-site gain site summary'!B9,#REF!))</f>
        <v/>
      </c>
      <c r="G9" s="980"/>
      <c r="H9" s="979" t="str">
        <f>IF(B9="","",SUMIF(#REF!,'Off-site gain site summary'!B9,#REF!))</f>
        <v/>
      </c>
      <c r="I9" s="980"/>
      <c r="J9" s="518" t="str">
        <f t="shared" si="0"/>
        <v/>
      </c>
      <c r="K9" s="515" t="str">
        <f>IF(ISBLANK(B9),"",IFERROR(_xlfn.XLOOKUP(B9,#REF!,#REF!),IFERROR(_xlfn.XLOOKUP(B9,#REF!,#REF!)," ")))</f>
        <v/>
      </c>
      <c r="L9" s="519" t="str">
        <f t="shared" si="1"/>
        <v/>
      </c>
      <c r="M9" s="510" t="e">
        <f>#REF!</f>
        <v>#REF!</v>
      </c>
      <c r="N9" s="525"/>
      <c r="O9" s="526" t="str">
        <f>IF(N9="","",SUMIF(#REF!,'Off-site gain site summary'!N9,#REF!))</f>
        <v/>
      </c>
      <c r="P9" s="526" t="str">
        <f>IF(N9="","",SUMIF(#REF!,'Off-site gain site summary'!$N9,#REF!))</f>
        <v/>
      </c>
      <c r="Q9" s="526" t="str">
        <f>IF(N9="","",SUMIF(#REF!,'Off-site gain site summary'!$N9,#REF!))</f>
        <v/>
      </c>
      <c r="R9" s="526" t="str">
        <f>IF(N9="","",SUMIF(#REF!,'Off-site gain site summary'!$N9,#REF!))</f>
        <v/>
      </c>
      <c r="S9" s="524" t="str">
        <f t="shared" si="2"/>
        <v/>
      </c>
      <c r="T9" s="524" t="str">
        <f>IF(ISBLANK(N9),"", IFERROR(_xlfn.XLOOKUP(N9,#REF!,#REF!), IFERROR(_xlfn.XLOOKUP(N9,#REF!,#REF!), " ")))</f>
        <v/>
      </c>
      <c r="U9" s="527" t="str">
        <f t="shared" si="3"/>
        <v/>
      </c>
      <c r="V9" s="1" t="e">
        <f>#REF!</f>
        <v>#REF!</v>
      </c>
      <c r="W9" s="525"/>
      <c r="X9" s="526" t="str">
        <f>IF(W9="","",SUMIF(#REF!,'Off-site gain site summary'!$W9,#REF!))</f>
        <v/>
      </c>
      <c r="Y9" s="526" t="str">
        <f>IF(W9="","",SUMIF(#REF!,'Off-site gain site summary'!$W9,#REF!))</f>
        <v/>
      </c>
      <c r="Z9" s="526" t="str">
        <f>IF(W9="","",SUMIF(#REF!,'Off-site gain site summary'!$W9,#REF!))</f>
        <v/>
      </c>
      <c r="AA9" s="526" t="str">
        <f>IF(W9="","",SUMIF(#REF!,'Off-site gain site summary'!$W9,#REF!))</f>
        <v/>
      </c>
      <c r="AB9" s="526" t="str">
        <f t="shared" si="4"/>
        <v/>
      </c>
      <c r="AC9" s="526" t="str">
        <f>IF(ISBLANK(W9),"", IFERROR(_xlfn.XLOOKUP(W9,#REF!,#REF!), IFERROR(_xlfn.XLOOKUP(W9,#REF!,#REF!)," ")))</f>
        <v/>
      </c>
      <c r="AD9" s="527" t="str">
        <f t="shared" si="5"/>
        <v/>
      </c>
      <c r="AE9" s="981"/>
      <c r="AF9" s="981"/>
    </row>
    <row r="10" spans="1:32" x14ac:dyDescent="0.35">
      <c r="A10" s="510" t="e">
        <f>#REF!</f>
        <v>#REF!</v>
      </c>
      <c r="B10" s="517"/>
      <c r="C10" s="515" t="str">
        <f>IF(B10="","",SUMIF(#REF!,B10,#REF!))</f>
        <v/>
      </c>
      <c r="D10" s="979" t="str">
        <f>IF(B10="","", SUMIF(#REF!,'Off-site gain site summary'!$B10,#REF!))</f>
        <v/>
      </c>
      <c r="E10" s="980"/>
      <c r="F10" s="979" t="str">
        <f>IF(B10="","",SUMIF(#REF!,'Off-site gain site summary'!B10,#REF!))</f>
        <v/>
      </c>
      <c r="G10" s="980"/>
      <c r="H10" s="979" t="str">
        <f>IF(B10="","",SUMIF(#REF!,'Off-site gain site summary'!B10,#REF!))</f>
        <v/>
      </c>
      <c r="I10" s="980"/>
      <c r="J10" s="518" t="str">
        <f t="shared" si="0"/>
        <v/>
      </c>
      <c r="K10" s="515" t="str">
        <f>IF(ISBLANK(B10),"",IFERROR(_xlfn.XLOOKUP(B10,#REF!,#REF!),IFERROR(_xlfn.XLOOKUP(B10,#REF!,#REF!)," ")))</f>
        <v/>
      </c>
      <c r="L10" s="519" t="str">
        <f t="shared" si="1"/>
        <v/>
      </c>
      <c r="M10" s="510" t="e">
        <f>#REF!</f>
        <v>#REF!</v>
      </c>
      <c r="N10" s="525"/>
      <c r="O10" s="526" t="str">
        <f>IF(N10="","",SUMIF(#REF!,'Off-site gain site summary'!N10,#REF!))</f>
        <v/>
      </c>
      <c r="P10" s="526" t="str">
        <f>IF(N10="","",SUMIF(#REF!,'Off-site gain site summary'!$N10,#REF!))</f>
        <v/>
      </c>
      <c r="Q10" s="526" t="str">
        <f>IF(N10="","",SUMIF(#REF!,'Off-site gain site summary'!$N10,#REF!))</f>
        <v/>
      </c>
      <c r="R10" s="526" t="str">
        <f>IF(N10="","",SUMIF(#REF!,'Off-site gain site summary'!$N10,#REF!))</f>
        <v/>
      </c>
      <c r="S10" s="524" t="str">
        <f t="shared" si="2"/>
        <v/>
      </c>
      <c r="T10" s="524" t="str">
        <f>IF(ISBLANK(N10),"", IFERROR(_xlfn.XLOOKUP(N10,#REF!,#REF!), IFERROR(_xlfn.XLOOKUP(N10,#REF!,#REF!), " ")))</f>
        <v/>
      </c>
      <c r="U10" s="527" t="str">
        <f t="shared" si="3"/>
        <v/>
      </c>
      <c r="V10" s="1" t="e">
        <f>#REF!</f>
        <v>#REF!</v>
      </c>
      <c r="W10" s="525"/>
      <c r="X10" s="526" t="str">
        <f>IF(W10="","",SUMIF(#REF!,'Off-site gain site summary'!$W10,#REF!))</f>
        <v/>
      </c>
      <c r="Y10" s="526" t="str">
        <f>IF(W10="","",SUMIF(#REF!,'Off-site gain site summary'!$W10,#REF!))</f>
        <v/>
      </c>
      <c r="Z10" s="526" t="str">
        <f>IF(W10="","",SUMIF(#REF!,'Off-site gain site summary'!$W10,#REF!))</f>
        <v/>
      </c>
      <c r="AA10" s="526" t="str">
        <f>IF(W10="","",SUMIF(#REF!,'Off-site gain site summary'!$W10,#REF!))</f>
        <v/>
      </c>
      <c r="AB10" s="526" t="str">
        <f t="shared" si="4"/>
        <v/>
      </c>
      <c r="AC10" s="526" t="str">
        <f>IF(ISBLANK(W10),"", IFERROR(_xlfn.XLOOKUP(W10,#REF!,#REF!), IFERROR(_xlfn.XLOOKUP(W10,#REF!,#REF!)," ")))</f>
        <v/>
      </c>
      <c r="AD10" s="527" t="str">
        <f t="shared" si="5"/>
        <v/>
      </c>
      <c r="AE10" s="981"/>
      <c r="AF10" s="981"/>
    </row>
    <row r="11" spans="1:32" x14ac:dyDescent="0.35">
      <c r="A11" s="510" t="e">
        <f>#REF!</f>
        <v>#REF!</v>
      </c>
      <c r="B11" s="517"/>
      <c r="C11" s="515" t="str">
        <f>IF(B11="","",SUMIF(#REF!,B11,#REF!))</f>
        <v/>
      </c>
      <c r="D11" s="979" t="str">
        <f>IF(B11="","", SUMIF(#REF!,'Off-site gain site summary'!$B11,#REF!))</f>
        <v/>
      </c>
      <c r="E11" s="980"/>
      <c r="F11" s="979" t="str">
        <f>IF(B11="","",SUMIF(#REF!,'Off-site gain site summary'!B11,#REF!))</f>
        <v/>
      </c>
      <c r="G11" s="980"/>
      <c r="H11" s="979" t="str">
        <f>IF(B11="","",SUMIF(#REF!,'Off-site gain site summary'!B11,#REF!))</f>
        <v/>
      </c>
      <c r="I11" s="980"/>
      <c r="J11" s="518" t="str">
        <f t="shared" si="0"/>
        <v/>
      </c>
      <c r="K11" s="515" t="str">
        <f>IF(ISBLANK(B11),"",IFERROR(_xlfn.XLOOKUP(B11,#REF!,#REF!),IFERROR(_xlfn.XLOOKUP(B11,#REF!,#REF!)," ")))</f>
        <v/>
      </c>
      <c r="L11" s="519" t="str">
        <f t="shared" si="1"/>
        <v/>
      </c>
      <c r="M11" s="510" t="e">
        <f>#REF!</f>
        <v>#REF!</v>
      </c>
      <c r="N11" s="525"/>
      <c r="O11" s="526" t="str">
        <f>IF(N11="","",SUMIF(#REF!,'Off-site gain site summary'!N11,#REF!))</f>
        <v/>
      </c>
      <c r="P11" s="526" t="str">
        <f>IF(N11="","",SUMIF(#REF!,'Off-site gain site summary'!$N11,#REF!))</f>
        <v/>
      </c>
      <c r="Q11" s="526" t="str">
        <f>IF(N11="","",SUMIF(#REF!,'Off-site gain site summary'!$N11,#REF!))</f>
        <v/>
      </c>
      <c r="R11" s="526" t="str">
        <f>IF(N11="","",SUMIF(#REF!,'Off-site gain site summary'!$N11,#REF!))</f>
        <v/>
      </c>
      <c r="S11" s="524" t="str">
        <f t="shared" si="2"/>
        <v/>
      </c>
      <c r="T11" s="524" t="str">
        <f>IF(ISBLANK(N11),"", IFERROR(_xlfn.XLOOKUP(N11,#REF!,#REF!), IFERROR(_xlfn.XLOOKUP(N11,#REF!,#REF!), " ")))</f>
        <v/>
      </c>
      <c r="U11" s="527" t="str">
        <f t="shared" si="3"/>
        <v/>
      </c>
      <c r="V11" s="1" t="e">
        <f>#REF!</f>
        <v>#REF!</v>
      </c>
      <c r="W11" s="525"/>
      <c r="X11" s="526" t="str">
        <f>IF(W11="","",SUMIF(#REF!,'Off-site gain site summary'!$W11,#REF!))</f>
        <v/>
      </c>
      <c r="Y11" s="526" t="str">
        <f>IF(W11="","",SUMIF(#REF!,'Off-site gain site summary'!$W11,#REF!))</f>
        <v/>
      </c>
      <c r="Z11" s="526" t="str">
        <f>IF(W11="","",SUMIF(#REF!,'Off-site gain site summary'!$W11,#REF!))</f>
        <v/>
      </c>
      <c r="AA11" s="526" t="str">
        <f>IF(W11="","",SUMIF(#REF!,'Off-site gain site summary'!$W11,#REF!))</f>
        <v/>
      </c>
      <c r="AB11" s="526" t="str">
        <f t="shared" si="4"/>
        <v/>
      </c>
      <c r="AC11" s="526" t="str">
        <f>IF(ISBLANK(W11),"", IFERROR(_xlfn.XLOOKUP(W11,#REF!,#REF!), IFERROR(_xlfn.XLOOKUP(W11,#REF!,#REF!)," ")))</f>
        <v/>
      </c>
      <c r="AD11" s="527" t="str">
        <f t="shared" si="5"/>
        <v/>
      </c>
      <c r="AE11" s="981"/>
      <c r="AF11" s="981"/>
    </row>
    <row r="12" spans="1:32" x14ac:dyDescent="0.35">
      <c r="A12" s="510" t="e">
        <f>#REF!</f>
        <v>#REF!</v>
      </c>
      <c r="B12" s="517"/>
      <c r="C12" s="515" t="str">
        <f>IF(B12="","",SUMIF(#REF!,B12,#REF!))</f>
        <v/>
      </c>
      <c r="D12" s="979" t="str">
        <f>IF(B12="","", SUMIF(#REF!,'Off-site gain site summary'!$B12,#REF!))</f>
        <v/>
      </c>
      <c r="E12" s="980"/>
      <c r="F12" s="979" t="str">
        <f>IF(B12="","",SUMIF(#REF!,'Off-site gain site summary'!B12,#REF!))</f>
        <v/>
      </c>
      <c r="G12" s="980"/>
      <c r="H12" s="979" t="str">
        <f>IF(B12="","",SUMIF(#REF!,'Off-site gain site summary'!B12,#REF!))</f>
        <v/>
      </c>
      <c r="I12" s="980"/>
      <c r="J12" s="518" t="str">
        <f t="shared" si="0"/>
        <v/>
      </c>
      <c r="K12" s="515" t="str">
        <f>IF(ISBLANK(B12),"",IFERROR(_xlfn.XLOOKUP(B12,#REF!,#REF!),IFERROR(_xlfn.XLOOKUP(B12,#REF!,#REF!)," ")))</f>
        <v/>
      </c>
      <c r="L12" s="519" t="str">
        <f t="shared" si="1"/>
        <v/>
      </c>
      <c r="M12" s="510" t="e">
        <f>#REF!</f>
        <v>#REF!</v>
      </c>
      <c r="N12" s="525"/>
      <c r="O12" s="526" t="str">
        <f>IF(N12="","",SUMIF(#REF!,'Off-site gain site summary'!N12,#REF!))</f>
        <v/>
      </c>
      <c r="P12" s="526" t="str">
        <f>IF(N12="","",SUMIF(#REF!,'Off-site gain site summary'!$N12,#REF!))</f>
        <v/>
      </c>
      <c r="Q12" s="526" t="str">
        <f>IF(N12="","",SUMIF(#REF!,'Off-site gain site summary'!$N12,#REF!))</f>
        <v/>
      </c>
      <c r="R12" s="526" t="str">
        <f>IF(N12="","",SUMIF(#REF!,'Off-site gain site summary'!$N12,#REF!))</f>
        <v/>
      </c>
      <c r="S12" s="524" t="str">
        <f t="shared" si="2"/>
        <v/>
      </c>
      <c r="T12" s="524" t="str">
        <f>IF(ISBLANK(N12),"", IFERROR(_xlfn.XLOOKUP(N12,#REF!,#REF!), IFERROR(_xlfn.XLOOKUP(N12,#REF!,#REF!), " ")))</f>
        <v/>
      </c>
      <c r="U12" s="527" t="str">
        <f t="shared" si="3"/>
        <v/>
      </c>
      <c r="V12" s="1" t="e">
        <f>#REF!</f>
        <v>#REF!</v>
      </c>
      <c r="W12" s="525"/>
      <c r="X12" s="526" t="str">
        <f>IF(W12="","",SUMIF(#REF!,'Off-site gain site summary'!$W12,#REF!))</f>
        <v/>
      </c>
      <c r="Y12" s="526" t="str">
        <f>IF(W12="","",SUMIF(#REF!,'Off-site gain site summary'!$W12,#REF!))</f>
        <v/>
      </c>
      <c r="Z12" s="526" t="str">
        <f>IF(W12="","",SUMIF(#REF!,'Off-site gain site summary'!$W12,#REF!))</f>
        <v/>
      </c>
      <c r="AA12" s="526" t="str">
        <f>IF(W12="","",SUMIF(#REF!,'Off-site gain site summary'!$W12,#REF!))</f>
        <v/>
      </c>
      <c r="AB12" s="526" t="str">
        <f t="shared" si="4"/>
        <v/>
      </c>
      <c r="AC12" s="526" t="str">
        <f>IF(ISBLANK(W12),"", IFERROR(_xlfn.XLOOKUP(W12,#REF!,#REF!), IFERROR(_xlfn.XLOOKUP(W12,#REF!,#REF!)," ")))</f>
        <v/>
      </c>
      <c r="AD12" s="527" t="str">
        <f t="shared" si="5"/>
        <v/>
      </c>
      <c r="AE12" s="981"/>
      <c r="AF12" s="981"/>
    </row>
    <row r="13" spans="1:32" x14ac:dyDescent="0.35">
      <c r="A13" s="510" t="e">
        <f>#REF!</f>
        <v>#REF!</v>
      </c>
      <c r="B13" s="517"/>
      <c r="C13" s="515" t="str">
        <f>IF(B13="","",SUMIF(#REF!,B13,#REF!))</f>
        <v/>
      </c>
      <c r="D13" s="979" t="str">
        <f>IF(B13="","", SUMIF(#REF!,'Off-site gain site summary'!$B13,#REF!))</f>
        <v/>
      </c>
      <c r="E13" s="980"/>
      <c r="F13" s="979" t="str">
        <f>IF(B13="","",SUMIF(#REF!,'Off-site gain site summary'!B13,#REF!))</f>
        <v/>
      </c>
      <c r="G13" s="980"/>
      <c r="H13" s="979" t="str">
        <f>IF(B13="","",SUMIF(#REF!,'Off-site gain site summary'!B13,#REF!))</f>
        <v/>
      </c>
      <c r="I13" s="980"/>
      <c r="J13" s="518" t="str">
        <f t="shared" si="0"/>
        <v/>
      </c>
      <c r="K13" s="515" t="str">
        <f>IF(ISBLANK(B13),"",IFERROR(_xlfn.XLOOKUP(B13,#REF!,#REF!),IFERROR(_xlfn.XLOOKUP(B13,#REF!,#REF!)," ")))</f>
        <v/>
      </c>
      <c r="L13" s="519" t="str">
        <f t="shared" si="1"/>
        <v/>
      </c>
      <c r="M13" s="510" t="e">
        <f>#REF!</f>
        <v>#REF!</v>
      </c>
      <c r="N13" s="525"/>
      <c r="O13" s="526" t="str">
        <f>IF(N13="","",SUMIF(#REF!,'Off-site gain site summary'!N13,#REF!))</f>
        <v/>
      </c>
      <c r="P13" s="526" t="str">
        <f>IF(N13="","",SUMIF(#REF!,'Off-site gain site summary'!$N13,#REF!))</f>
        <v/>
      </c>
      <c r="Q13" s="526" t="str">
        <f>IF(N13="","",SUMIF(#REF!,'Off-site gain site summary'!$N13,#REF!))</f>
        <v/>
      </c>
      <c r="R13" s="526" t="str">
        <f>IF(N13="","",SUMIF(#REF!,'Off-site gain site summary'!$N13,#REF!))</f>
        <v/>
      </c>
      <c r="S13" s="524" t="str">
        <f t="shared" si="2"/>
        <v/>
      </c>
      <c r="T13" s="524" t="str">
        <f>IF(ISBLANK(N13),"", IFERROR(_xlfn.XLOOKUP(N13,#REF!,#REF!), IFERROR(_xlfn.XLOOKUP(N13,#REF!,#REF!), " ")))</f>
        <v/>
      </c>
      <c r="U13" s="527" t="str">
        <f t="shared" si="3"/>
        <v/>
      </c>
      <c r="V13" s="1" t="e">
        <f>#REF!</f>
        <v>#REF!</v>
      </c>
      <c r="W13" s="525"/>
      <c r="X13" s="526" t="str">
        <f>IF(W13="","",SUMIF(#REF!,'Off-site gain site summary'!$W13,#REF!))</f>
        <v/>
      </c>
      <c r="Y13" s="526" t="str">
        <f>IF(W13="","",SUMIF(#REF!,'Off-site gain site summary'!$W13,#REF!))</f>
        <v/>
      </c>
      <c r="Z13" s="526" t="str">
        <f>IF(W13="","",SUMIF(#REF!,'Off-site gain site summary'!$W13,#REF!))</f>
        <v/>
      </c>
      <c r="AA13" s="526" t="str">
        <f>IF(W13="","",SUMIF(#REF!,'Off-site gain site summary'!$W13,#REF!))</f>
        <v/>
      </c>
      <c r="AB13" s="526" t="str">
        <f t="shared" si="4"/>
        <v/>
      </c>
      <c r="AC13" s="526" t="str">
        <f>IF(ISBLANK(W13),"", IFERROR(_xlfn.XLOOKUP(W13,#REF!,#REF!), IFERROR(_xlfn.XLOOKUP(W13,#REF!,#REF!)," ")))</f>
        <v/>
      </c>
      <c r="AD13" s="527" t="str">
        <f t="shared" si="5"/>
        <v/>
      </c>
      <c r="AE13" s="981"/>
      <c r="AF13" s="981"/>
    </row>
    <row r="14" spans="1:32" x14ac:dyDescent="0.35">
      <c r="A14" s="510" t="e">
        <f>#REF!</f>
        <v>#REF!</v>
      </c>
      <c r="B14" s="517"/>
      <c r="C14" s="515" t="str">
        <f>IF(B14="","",SUMIF(#REF!,B14,#REF!))</f>
        <v/>
      </c>
      <c r="D14" s="979" t="str">
        <f>IF(B14="","", SUMIF(#REF!,'Off-site gain site summary'!$B14,#REF!))</f>
        <v/>
      </c>
      <c r="E14" s="980"/>
      <c r="F14" s="979" t="str">
        <f>IF(B14="","",SUMIF(#REF!,'Off-site gain site summary'!B14,#REF!))</f>
        <v/>
      </c>
      <c r="G14" s="980"/>
      <c r="H14" s="979" t="str">
        <f>IF(B14="","",SUMIF(#REF!,'Off-site gain site summary'!B14,#REF!))</f>
        <v/>
      </c>
      <c r="I14" s="980"/>
      <c r="J14" s="518" t="str">
        <f t="shared" si="0"/>
        <v/>
      </c>
      <c r="K14" s="515" t="str">
        <f>IF(ISBLANK(B14),"",IFERROR(_xlfn.XLOOKUP(B14,#REF!,#REF!),IFERROR(_xlfn.XLOOKUP(B14,#REF!,#REF!)," ")))</f>
        <v/>
      </c>
      <c r="L14" s="519" t="str">
        <f t="shared" si="1"/>
        <v/>
      </c>
      <c r="M14" s="510" t="e">
        <f>#REF!</f>
        <v>#REF!</v>
      </c>
      <c r="N14" s="525"/>
      <c r="O14" s="526" t="str">
        <f>IF(N14="","",SUMIF(#REF!,'Off-site gain site summary'!N14,#REF!))</f>
        <v/>
      </c>
      <c r="P14" s="526" t="str">
        <f>IF(N14="","",SUMIF(#REF!,'Off-site gain site summary'!$N14,#REF!))</f>
        <v/>
      </c>
      <c r="Q14" s="526" t="str">
        <f>IF(N14="","",SUMIF(#REF!,'Off-site gain site summary'!$N14,#REF!))</f>
        <v/>
      </c>
      <c r="R14" s="526" t="str">
        <f>IF(N14="","",SUMIF(#REF!,'Off-site gain site summary'!$N14,#REF!))</f>
        <v/>
      </c>
      <c r="S14" s="524" t="str">
        <f t="shared" si="2"/>
        <v/>
      </c>
      <c r="T14" s="524" t="str">
        <f>IF(ISBLANK(N14),"", IFERROR(_xlfn.XLOOKUP(N14,#REF!,#REF!), IFERROR(_xlfn.XLOOKUP(N14,#REF!,#REF!), " ")))</f>
        <v/>
      </c>
      <c r="U14" s="527" t="str">
        <f t="shared" si="3"/>
        <v/>
      </c>
      <c r="V14" s="1" t="e">
        <f>#REF!</f>
        <v>#REF!</v>
      </c>
      <c r="W14" s="525"/>
      <c r="X14" s="526" t="str">
        <f>IF(W14="","",SUMIF(#REF!,'Off-site gain site summary'!$W14,#REF!))</f>
        <v/>
      </c>
      <c r="Y14" s="526" t="str">
        <f>IF(W14="","",SUMIF(#REF!,'Off-site gain site summary'!$W14,#REF!))</f>
        <v/>
      </c>
      <c r="Z14" s="526" t="str">
        <f>IF(W14="","",SUMIF(#REF!,'Off-site gain site summary'!$W14,#REF!))</f>
        <v/>
      </c>
      <c r="AA14" s="526" t="str">
        <f>IF(W14="","",SUMIF(#REF!,'Off-site gain site summary'!$W14,#REF!))</f>
        <v/>
      </c>
      <c r="AB14" s="526" t="str">
        <f t="shared" si="4"/>
        <v/>
      </c>
      <c r="AC14" s="526" t="str">
        <f>IF(ISBLANK(W14),"", IFERROR(_xlfn.XLOOKUP(W14,#REF!,#REF!), IFERROR(_xlfn.XLOOKUP(W14,#REF!,#REF!)," ")))</f>
        <v/>
      </c>
      <c r="AD14" s="527" t="str">
        <f t="shared" si="5"/>
        <v/>
      </c>
      <c r="AE14" s="981"/>
      <c r="AF14" s="981"/>
    </row>
    <row r="15" spans="1:32" x14ac:dyDescent="0.35">
      <c r="A15" s="510" t="e">
        <f>#REF!</f>
        <v>#REF!</v>
      </c>
      <c r="B15" s="517"/>
      <c r="C15" s="515" t="str">
        <f>IF(B15="","",SUMIF(#REF!,B15,#REF!))</f>
        <v/>
      </c>
      <c r="D15" s="979" t="str">
        <f>IF(B15="","", SUMIF(#REF!,'Off-site gain site summary'!$B15,#REF!))</f>
        <v/>
      </c>
      <c r="E15" s="980"/>
      <c r="F15" s="979" t="str">
        <f>IF(B15="","",SUMIF(#REF!,'Off-site gain site summary'!B15,#REF!))</f>
        <v/>
      </c>
      <c r="G15" s="980"/>
      <c r="H15" s="979" t="str">
        <f>IF(B15="","",SUMIF(#REF!,'Off-site gain site summary'!B15,#REF!))</f>
        <v/>
      </c>
      <c r="I15" s="980"/>
      <c r="J15" s="518" t="str">
        <f t="shared" si="0"/>
        <v/>
      </c>
      <c r="K15" s="515" t="str">
        <f>IF(ISBLANK(B15),"",IFERROR(_xlfn.XLOOKUP(B15,#REF!,#REF!),IFERROR(_xlfn.XLOOKUP(B15,#REF!,#REF!)," ")))</f>
        <v/>
      </c>
      <c r="L15" s="519" t="str">
        <f t="shared" si="1"/>
        <v/>
      </c>
      <c r="M15" s="510" t="e">
        <f>#REF!</f>
        <v>#REF!</v>
      </c>
      <c r="N15" s="525"/>
      <c r="O15" s="526" t="str">
        <f>IF(N15="","",SUMIF(#REF!,'Off-site gain site summary'!N15,#REF!))</f>
        <v/>
      </c>
      <c r="P15" s="526" t="str">
        <f>IF(N15="","",SUMIF(#REF!,'Off-site gain site summary'!$N15,#REF!))</f>
        <v/>
      </c>
      <c r="Q15" s="526" t="str">
        <f>IF(N15="","",SUMIF(#REF!,'Off-site gain site summary'!$N15,#REF!))</f>
        <v/>
      </c>
      <c r="R15" s="526" t="str">
        <f>IF(N15="","",SUMIF(#REF!,'Off-site gain site summary'!$N15,#REF!))</f>
        <v/>
      </c>
      <c r="S15" s="524" t="str">
        <f t="shared" si="2"/>
        <v/>
      </c>
      <c r="T15" s="524" t="str">
        <f>IF(ISBLANK(N15),"", IFERROR(_xlfn.XLOOKUP(N15,#REF!,#REF!), IFERROR(_xlfn.XLOOKUP(N15,#REF!,#REF!), " ")))</f>
        <v/>
      </c>
      <c r="U15" s="527" t="str">
        <f t="shared" si="3"/>
        <v/>
      </c>
      <c r="V15" s="1" t="e">
        <f>#REF!</f>
        <v>#REF!</v>
      </c>
      <c r="W15" s="525"/>
      <c r="X15" s="526" t="str">
        <f>IF(W15="","",SUMIF(#REF!,'Off-site gain site summary'!$W15,#REF!))</f>
        <v/>
      </c>
      <c r="Y15" s="526" t="str">
        <f>IF(W15="","",SUMIF(#REF!,'Off-site gain site summary'!$W15,#REF!))</f>
        <v/>
      </c>
      <c r="Z15" s="526" t="str">
        <f>IF(W15="","",SUMIF(#REF!,'Off-site gain site summary'!$W15,#REF!))</f>
        <v/>
      </c>
      <c r="AA15" s="526" t="str">
        <f>IF(W15="","",SUMIF(#REF!,'Off-site gain site summary'!$W15,#REF!))</f>
        <v/>
      </c>
      <c r="AB15" s="526" t="str">
        <f t="shared" si="4"/>
        <v/>
      </c>
      <c r="AC15" s="526" t="str">
        <f>IF(ISBLANK(W15),"", IFERROR(_xlfn.XLOOKUP(W15,#REF!,#REF!), IFERROR(_xlfn.XLOOKUP(W15,#REF!,#REF!)," ")))</f>
        <v/>
      </c>
      <c r="AD15" s="527" t="str">
        <f t="shared" si="5"/>
        <v/>
      </c>
      <c r="AE15" s="981"/>
      <c r="AF15" s="981"/>
    </row>
    <row r="16" spans="1:32" x14ac:dyDescent="0.35">
      <c r="A16" s="510" t="e">
        <f>#REF!</f>
        <v>#REF!</v>
      </c>
      <c r="B16" s="517"/>
      <c r="C16" s="515" t="str">
        <f>IF(B16="","",SUMIF(#REF!,B16,#REF!))</f>
        <v/>
      </c>
      <c r="D16" s="979" t="str">
        <f>IF(B16="","", SUMIF(#REF!,'Off-site gain site summary'!$B16,#REF!))</f>
        <v/>
      </c>
      <c r="E16" s="980"/>
      <c r="F16" s="979" t="str">
        <f>IF(B16="","",SUMIF(#REF!,'Off-site gain site summary'!B16,#REF!))</f>
        <v/>
      </c>
      <c r="G16" s="980"/>
      <c r="H16" s="979" t="str">
        <f>IF(B16="","",SUMIF(#REF!,'Off-site gain site summary'!B16,#REF!))</f>
        <v/>
      </c>
      <c r="I16" s="980"/>
      <c r="J16" s="518" t="str">
        <f t="shared" si="0"/>
        <v/>
      </c>
      <c r="K16" s="515" t="str">
        <f>IF(ISBLANK(B16),"",IFERROR(_xlfn.XLOOKUP(B16,#REF!,#REF!),IFERROR(_xlfn.XLOOKUP(B16,#REF!,#REF!)," ")))</f>
        <v/>
      </c>
      <c r="L16" s="519" t="str">
        <f t="shared" si="1"/>
        <v/>
      </c>
      <c r="M16" s="510" t="e">
        <f>#REF!</f>
        <v>#REF!</v>
      </c>
      <c r="N16" s="525"/>
      <c r="O16" s="526" t="str">
        <f>IF(N16="","",SUMIF(#REF!,'Off-site gain site summary'!N16,#REF!))</f>
        <v/>
      </c>
      <c r="P16" s="526" t="str">
        <f>IF(N16="","",SUMIF(#REF!,'Off-site gain site summary'!$N16,#REF!))</f>
        <v/>
      </c>
      <c r="Q16" s="526" t="str">
        <f>IF(N16="","",SUMIF(#REF!,'Off-site gain site summary'!$N16,#REF!))</f>
        <v/>
      </c>
      <c r="R16" s="526" t="str">
        <f>IF(N16="","",SUMIF(#REF!,'Off-site gain site summary'!$N16,#REF!))</f>
        <v/>
      </c>
      <c r="S16" s="524" t="str">
        <f t="shared" si="2"/>
        <v/>
      </c>
      <c r="T16" s="524" t="str">
        <f>IF(ISBLANK(N16),"", IFERROR(_xlfn.XLOOKUP(N16,#REF!,#REF!), IFERROR(_xlfn.XLOOKUP(N16,#REF!,#REF!), " ")))</f>
        <v/>
      </c>
      <c r="U16" s="527" t="str">
        <f t="shared" si="3"/>
        <v/>
      </c>
      <c r="V16" s="1" t="e">
        <f>#REF!</f>
        <v>#REF!</v>
      </c>
      <c r="W16" s="525"/>
      <c r="X16" s="526" t="str">
        <f>IF(W16="","",SUMIF(#REF!,'Off-site gain site summary'!$W16,#REF!))</f>
        <v/>
      </c>
      <c r="Y16" s="526" t="str">
        <f>IF(W16="","",SUMIF(#REF!,'Off-site gain site summary'!$W16,#REF!))</f>
        <v/>
      </c>
      <c r="Z16" s="526" t="str">
        <f>IF(W16="","",SUMIF(#REF!,'Off-site gain site summary'!$W16,#REF!))</f>
        <v/>
      </c>
      <c r="AA16" s="526" t="str">
        <f>IF(W16="","",SUMIF(#REF!,'Off-site gain site summary'!$W16,#REF!))</f>
        <v/>
      </c>
      <c r="AB16" s="526" t="str">
        <f t="shared" si="4"/>
        <v/>
      </c>
      <c r="AC16" s="526" t="str">
        <f>IF(ISBLANK(W16),"", IFERROR(_xlfn.XLOOKUP(W16,#REF!,#REF!), IFERROR(_xlfn.XLOOKUP(W16,#REF!,#REF!)," ")))</f>
        <v/>
      </c>
      <c r="AD16" s="527" t="str">
        <f t="shared" si="5"/>
        <v/>
      </c>
      <c r="AE16" s="981"/>
      <c r="AF16" s="981"/>
    </row>
    <row r="17" spans="1:32" x14ac:dyDescent="0.35">
      <c r="A17" s="510" t="e">
        <f>#REF!</f>
        <v>#REF!</v>
      </c>
      <c r="B17" s="517"/>
      <c r="C17" s="515" t="str">
        <f>IF(B17="","",SUMIF(#REF!,B17,#REF!))</f>
        <v/>
      </c>
      <c r="D17" s="979" t="str">
        <f>IF(B17="","", SUMIF(#REF!,'Off-site gain site summary'!$B17,#REF!))</f>
        <v/>
      </c>
      <c r="E17" s="980"/>
      <c r="F17" s="979" t="str">
        <f>IF(B17="","",SUMIF(#REF!,'Off-site gain site summary'!B17,#REF!))</f>
        <v/>
      </c>
      <c r="G17" s="980"/>
      <c r="H17" s="979" t="str">
        <f>IF(B17="","",SUMIF(#REF!,'Off-site gain site summary'!B17,#REF!))</f>
        <v/>
      </c>
      <c r="I17" s="980"/>
      <c r="J17" s="518" t="str">
        <f t="shared" si="0"/>
        <v/>
      </c>
      <c r="K17" s="515" t="str">
        <f>IF(ISBLANK(B17),"",IFERROR(_xlfn.XLOOKUP(B17,#REF!,#REF!),IFERROR(_xlfn.XLOOKUP(B17,#REF!,#REF!)," ")))</f>
        <v/>
      </c>
      <c r="L17" s="519" t="str">
        <f t="shared" si="1"/>
        <v/>
      </c>
      <c r="M17" s="510" t="e">
        <f>#REF!</f>
        <v>#REF!</v>
      </c>
      <c r="N17" s="525"/>
      <c r="O17" s="526" t="str">
        <f>IF(N17="","",SUMIF(#REF!,'Off-site gain site summary'!N17,#REF!))</f>
        <v/>
      </c>
      <c r="P17" s="526" t="str">
        <f>IF(N17="","",SUMIF(#REF!,'Off-site gain site summary'!$N17,#REF!))</f>
        <v/>
      </c>
      <c r="Q17" s="526" t="str">
        <f>IF(N17="","",SUMIF(#REF!,'Off-site gain site summary'!$N17,#REF!))</f>
        <v/>
      </c>
      <c r="R17" s="526" t="str">
        <f>IF(N17="","",SUMIF(#REF!,'Off-site gain site summary'!$N17,#REF!))</f>
        <v/>
      </c>
      <c r="S17" s="524" t="str">
        <f t="shared" si="2"/>
        <v/>
      </c>
      <c r="T17" s="524" t="str">
        <f>IF(ISBLANK(N17),"", IFERROR(_xlfn.XLOOKUP(N17,#REF!,#REF!), IFERROR(_xlfn.XLOOKUP(N17,#REF!,#REF!), " ")))</f>
        <v/>
      </c>
      <c r="U17" s="527" t="str">
        <f t="shared" si="3"/>
        <v/>
      </c>
      <c r="V17" s="1" t="e">
        <f>#REF!</f>
        <v>#REF!</v>
      </c>
      <c r="W17" s="525"/>
      <c r="X17" s="526" t="str">
        <f>IF(W17="","",SUMIF(#REF!,'Off-site gain site summary'!$W17,#REF!))</f>
        <v/>
      </c>
      <c r="Y17" s="526" t="str">
        <f>IF(W17="","",SUMIF(#REF!,'Off-site gain site summary'!$W17,#REF!))</f>
        <v/>
      </c>
      <c r="Z17" s="526" t="str">
        <f>IF(W17="","",SUMIF(#REF!,'Off-site gain site summary'!$W17,#REF!))</f>
        <v/>
      </c>
      <c r="AA17" s="526" t="str">
        <f>IF(W17="","",SUMIF(#REF!,'Off-site gain site summary'!$W17,#REF!))</f>
        <v/>
      </c>
      <c r="AB17" s="526" t="str">
        <f t="shared" si="4"/>
        <v/>
      </c>
      <c r="AC17" s="526" t="str">
        <f>IF(ISBLANK(W17),"", IFERROR(_xlfn.XLOOKUP(W17,#REF!,#REF!), IFERROR(_xlfn.XLOOKUP(W17,#REF!,#REF!)," ")))</f>
        <v/>
      </c>
      <c r="AD17" s="527" t="str">
        <f t="shared" si="5"/>
        <v/>
      </c>
      <c r="AE17" s="981"/>
      <c r="AF17" s="981"/>
    </row>
    <row r="18" spans="1:32" x14ac:dyDescent="0.35">
      <c r="A18" s="510" t="e">
        <f>#REF!</f>
        <v>#REF!</v>
      </c>
      <c r="B18" s="517"/>
      <c r="C18" s="515" t="str">
        <f>IF(B18="","",SUMIF(#REF!,B18,#REF!))</f>
        <v/>
      </c>
      <c r="D18" s="979" t="str">
        <f>IF(B18="","", SUMIF(#REF!,'Off-site gain site summary'!$B18,#REF!))</f>
        <v/>
      </c>
      <c r="E18" s="980"/>
      <c r="F18" s="979" t="str">
        <f>IF(B18="","",SUMIF(#REF!,'Off-site gain site summary'!B18,#REF!))</f>
        <v/>
      </c>
      <c r="G18" s="980"/>
      <c r="H18" s="979" t="str">
        <f>IF(B18="","",SUMIF(#REF!,'Off-site gain site summary'!B18,#REF!))</f>
        <v/>
      </c>
      <c r="I18" s="980"/>
      <c r="J18" s="518" t="str">
        <f t="shared" si="0"/>
        <v/>
      </c>
      <c r="K18" s="515" t="str">
        <f>IF(ISBLANK(B18),"",IFERROR(_xlfn.XLOOKUP(B18,#REF!,#REF!),IFERROR(_xlfn.XLOOKUP(B18,#REF!,#REF!)," ")))</f>
        <v/>
      </c>
      <c r="L18" s="519" t="str">
        <f t="shared" si="1"/>
        <v/>
      </c>
      <c r="M18" s="510" t="e">
        <f>#REF!</f>
        <v>#REF!</v>
      </c>
      <c r="N18" s="525"/>
      <c r="O18" s="526" t="str">
        <f>IF(N18="","",SUMIF(#REF!,'Off-site gain site summary'!N18,#REF!))</f>
        <v/>
      </c>
      <c r="P18" s="526" t="str">
        <f>IF(N18="","",SUMIF(#REF!,'Off-site gain site summary'!$N18,#REF!))</f>
        <v/>
      </c>
      <c r="Q18" s="526" t="str">
        <f>IF(N18="","",SUMIF(#REF!,'Off-site gain site summary'!$N18,#REF!))</f>
        <v/>
      </c>
      <c r="R18" s="526" t="str">
        <f>IF(N18="","",SUMIF(#REF!,'Off-site gain site summary'!$N18,#REF!))</f>
        <v/>
      </c>
      <c r="S18" s="524" t="str">
        <f t="shared" si="2"/>
        <v/>
      </c>
      <c r="T18" s="524" t="str">
        <f>IF(ISBLANK(N18),"", IFERROR(_xlfn.XLOOKUP(N18,#REF!,#REF!), IFERROR(_xlfn.XLOOKUP(N18,#REF!,#REF!), " ")))</f>
        <v/>
      </c>
      <c r="U18" s="527" t="str">
        <f t="shared" si="3"/>
        <v/>
      </c>
      <c r="V18" s="1" t="e">
        <f>#REF!</f>
        <v>#REF!</v>
      </c>
      <c r="W18" s="525"/>
      <c r="X18" s="526" t="str">
        <f>IF(W18="","",SUMIF(#REF!,'Off-site gain site summary'!$W18,#REF!))</f>
        <v/>
      </c>
      <c r="Y18" s="526" t="str">
        <f>IF(W18="","",SUMIF(#REF!,'Off-site gain site summary'!$W18,#REF!))</f>
        <v/>
      </c>
      <c r="Z18" s="526" t="str">
        <f>IF(W18="","",SUMIF(#REF!,'Off-site gain site summary'!$W18,#REF!))</f>
        <v/>
      </c>
      <c r="AA18" s="526" t="str">
        <f>IF(W18="","",SUMIF(#REF!,'Off-site gain site summary'!$W18,#REF!))</f>
        <v/>
      </c>
      <c r="AB18" s="526" t="str">
        <f t="shared" si="4"/>
        <v/>
      </c>
      <c r="AC18" s="526" t="str">
        <f>IF(ISBLANK(W18),"", IFERROR(_xlfn.XLOOKUP(W18,#REF!,#REF!), IFERROR(_xlfn.XLOOKUP(W18,#REF!,#REF!)," ")))</f>
        <v/>
      </c>
      <c r="AD18" s="527" t="str">
        <f t="shared" si="5"/>
        <v/>
      </c>
      <c r="AE18" s="981"/>
      <c r="AF18" s="981"/>
    </row>
    <row r="19" spans="1:32" x14ac:dyDescent="0.35">
      <c r="A19" s="510" t="e">
        <f>#REF!</f>
        <v>#REF!</v>
      </c>
      <c r="B19" s="517"/>
      <c r="C19" s="515" t="str">
        <f>IF(B19="","",SUMIF(#REF!,B19,#REF!))</f>
        <v/>
      </c>
      <c r="D19" s="979" t="str">
        <f>IF(B19="","", SUMIF(#REF!,'Off-site gain site summary'!$B19,#REF!))</f>
        <v/>
      </c>
      <c r="E19" s="980"/>
      <c r="F19" s="979" t="str">
        <f>IF(B19="","",SUMIF(#REF!,'Off-site gain site summary'!B19,#REF!))</f>
        <v/>
      </c>
      <c r="G19" s="980"/>
      <c r="H19" s="979" t="str">
        <f>IF(B19="","",SUMIF(#REF!,'Off-site gain site summary'!B19,#REF!))</f>
        <v/>
      </c>
      <c r="I19" s="980"/>
      <c r="J19" s="518" t="str">
        <f t="shared" si="0"/>
        <v/>
      </c>
      <c r="K19" s="515" t="str">
        <f>IF(ISBLANK(B19),"",IFERROR(_xlfn.XLOOKUP(B19,#REF!,#REF!),IFERROR(_xlfn.XLOOKUP(B19,#REF!,#REF!)," ")))</f>
        <v/>
      </c>
      <c r="L19" s="519" t="str">
        <f t="shared" si="1"/>
        <v/>
      </c>
      <c r="M19" s="510" t="e">
        <f>#REF!</f>
        <v>#REF!</v>
      </c>
      <c r="N19" s="525"/>
      <c r="O19" s="526" t="str">
        <f>IF(N19="","",SUMIF(#REF!,'Off-site gain site summary'!N19,#REF!))</f>
        <v/>
      </c>
      <c r="P19" s="526" t="str">
        <f>IF(N19="","",SUMIF(#REF!,'Off-site gain site summary'!$N19,#REF!))</f>
        <v/>
      </c>
      <c r="Q19" s="526" t="str">
        <f>IF(N19="","",SUMIF(#REF!,'Off-site gain site summary'!$N19,#REF!))</f>
        <v/>
      </c>
      <c r="R19" s="526" t="str">
        <f>IF(N19="","",SUMIF(#REF!,'Off-site gain site summary'!$N19,#REF!))</f>
        <v/>
      </c>
      <c r="S19" s="524" t="str">
        <f t="shared" si="2"/>
        <v/>
      </c>
      <c r="T19" s="524" t="str">
        <f>IF(ISBLANK(N19),"", IFERROR(_xlfn.XLOOKUP(N19,#REF!,#REF!), IFERROR(_xlfn.XLOOKUP(N19,#REF!,#REF!), " ")))</f>
        <v/>
      </c>
      <c r="U19" s="527" t="str">
        <f t="shared" si="3"/>
        <v/>
      </c>
      <c r="V19" s="1" t="e">
        <f>#REF!</f>
        <v>#REF!</v>
      </c>
      <c r="W19" s="525"/>
      <c r="X19" s="526" t="str">
        <f>IF(W19="","",SUMIF(#REF!,'Off-site gain site summary'!$W19,#REF!))</f>
        <v/>
      </c>
      <c r="Y19" s="526" t="str">
        <f>IF(W19="","",SUMIF(#REF!,'Off-site gain site summary'!$W19,#REF!))</f>
        <v/>
      </c>
      <c r="Z19" s="526" t="str">
        <f>IF(W19="","",SUMIF(#REF!,'Off-site gain site summary'!$W19,#REF!))</f>
        <v/>
      </c>
      <c r="AA19" s="526" t="str">
        <f>IF(W19="","",SUMIF(#REF!,'Off-site gain site summary'!$W19,#REF!))</f>
        <v/>
      </c>
      <c r="AB19" s="526" t="str">
        <f t="shared" si="4"/>
        <v/>
      </c>
      <c r="AC19" s="526" t="str">
        <f>IF(ISBLANK(W19),"", IFERROR(_xlfn.XLOOKUP(W19,#REF!,#REF!), IFERROR(_xlfn.XLOOKUP(W19,#REF!,#REF!)," ")))</f>
        <v/>
      </c>
      <c r="AD19" s="527" t="str">
        <f t="shared" si="5"/>
        <v/>
      </c>
      <c r="AE19" s="981"/>
      <c r="AF19" s="981"/>
    </row>
    <row r="20" spans="1:32" x14ac:dyDescent="0.35">
      <c r="A20" s="510" t="e">
        <f>#REF!</f>
        <v>#REF!</v>
      </c>
      <c r="B20" s="517"/>
      <c r="C20" s="515" t="str">
        <f>IF(B20="","",SUMIF(#REF!,B20,#REF!))</f>
        <v/>
      </c>
      <c r="D20" s="979" t="str">
        <f>IF(B20="","", SUMIF(#REF!,'Off-site gain site summary'!$B20,#REF!))</f>
        <v/>
      </c>
      <c r="E20" s="980"/>
      <c r="F20" s="979" t="str">
        <f>IF(B20="","",SUMIF(#REF!,'Off-site gain site summary'!B20,#REF!))</f>
        <v/>
      </c>
      <c r="G20" s="980"/>
      <c r="H20" s="979" t="str">
        <f>IF(B20="","",SUMIF(#REF!,'Off-site gain site summary'!B20,#REF!))</f>
        <v/>
      </c>
      <c r="I20" s="980"/>
      <c r="J20" s="518" t="str">
        <f t="shared" si="0"/>
        <v/>
      </c>
      <c r="K20" s="515" t="str">
        <f>IF(ISBLANK(B20),"",IFERROR(_xlfn.XLOOKUP(B20,#REF!,#REF!),IFERROR(_xlfn.XLOOKUP(B20,#REF!,#REF!)," ")))</f>
        <v/>
      </c>
      <c r="L20" s="519" t="str">
        <f t="shared" si="1"/>
        <v/>
      </c>
      <c r="M20" s="510" t="e">
        <f>#REF!</f>
        <v>#REF!</v>
      </c>
      <c r="N20" s="525"/>
      <c r="O20" s="526" t="str">
        <f>IF(N20="","",SUMIF(#REF!,'Off-site gain site summary'!N20,#REF!))</f>
        <v/>
      </c>
      <c r="P20" s="526" t="str">
        <f>IF(N20="","",SUMIF(#REF!,'Off-site gain site summary'!$N20,#REF!))</f>
        <v/>
      </c>
      <c r="Q20" s="526" t="str">
        <f>IF(N20="","",SUMIF(#REF!,'Off-site gain site summary'!$N20,#REF!))</f>
        <v/>
      </c>
      <c r="R20" s="526" t="str">
        <f>IF(N20="","",SUMIF(#REF!,'Off-site gain site summary'!$N20,#REF!))</f>
        <v/>
      </c>
      <c r="S20" s="524" t="str">
        <f t="shared" si="2"/>
        <v/>
      </c>
      <c r="T20" s="524" t="str">
        <f>IF(ISBLANK(N20),"", IFERROR(_xlfn.XLOOKUP(N20,#REF!,#REF!), IFERROR(_xlfn.XLOOKUP(N20,#REF!,#REF!), " ")))</f>
        <v/>
      </c>
      <c r="U20" s="527" t="str">
        <f t="shared" si="3"/>
        <v/>
      </c>
      <c r="V20" s="1" t="e">
        <f>#REF!</f>
        <v>#REF!</v>
      </c>
      <c r="W20" s="525"/>
      <c r="X20" s="526" t="str">
        <f>IF(W20="","",SUMIF(#REF!,'Off-site gain site summary'!$W20,#REF!))</f>
        <v/>
      </c>
      <c r="Y20" s="526" t="str">
        <f>IF(W20="","",SUMIF(#REF!,'Off-site gain site summary'!$W20,#REF!))</f>
        <v/>
      </c>
      <c r="Z20" s="526" t="str">
        <f>IF(W20="","",SUMIF(#REF!,'Off-site gain site summary'!$W20,#REF!))</f>
        <v/>
      </c>
      <c r="AA20" s="526" t="str">
        <f>IF(W20="","",SUMIF(#REF!,'Off-site gain site summary'!$W20,#REF!))</f>
        <v/>
      </c>
      <c r="AB20" s="526" t="str">
        <f t="shared" si="4"/>
        <v/>
      </c>
      <c r="AC20" s="526" t="str">
        <f>IF(ISBLANK(W20),"", IFERROR(_xlfn.XLOOKUP(W20,#REF!,#REF!), IFERROR(_xlfn.XLOOKUP(W20,#REF!,#REF!)," ")))</f>
        <v/>
      </c>
      <c r="AD20" s="527" t="str">
        <f t="shared" si="5"/>
        <v/>
      </c>
      <c r="AE20" s="981"/>
      <c r="AF20" s="981"/>
    </row>
    <row r="21" spans="1:32" x14ac:dyDescent="0.35">
      <c r="A21" s="510" t="e">
        <f>#REF!</f>
        <v>#REF!</v>
      </c>
      <c r="B21" s="517"/>
      <c r="C21" s="515" t="str">
        <f>IF(B21="","",SUMIF(#REF!,B21,#REF!))</f>
        <v/>
      </c>
      <c r="D21" s="979" t="str">
        <f>IF(B21="","", SUMIF(#REF!,'Off-site gain site summary'!$B21,#REF!))</f>
        <v/>
      </c>
      <c r="E21" s="980"/>
      <c r="F21" s="979" t="str">
        <f>IF(B21="","",SUMIF(#REF!,'Off-site gain site summary'!B21,#REF!))</f>
        <v/>
      </c>
      <c r="G21" s="980"/>
      <c r="H21" s="979" t="str">
        <f>IF(B21="","",SUMIF(#REF!,'Off-site gain site summary'!B21,#REF!))</f>
        <v/>
      </c>
      <c r="I21" s="980"/>
      <c r="J21" s="518" t="str">
        <f t="shared" si="0"/>
        <v/>
      </c>
      <c r="K21" s="515" t="str">
        <f>IF(ISBLANK(B21),"",IFERROR(_xlfn.XLOOKUP(B21,#REF!,#REF!),IFERROR(_xlfn.XLOOKUP(B21,#REF!,#REF!)," ")))</f>
        <v/>
      </c>
      <c r="L21" s="519" t="str">
        <f t="shared" si="1"/>
        <v/>
      </c>
      <c r="M21" s="510" t="e">
        <f>#REF!</f>
        <v>#REF!</v>
      </c>
      <c r="N21" s="525"/>
      <c r="O21" s="526" t="str">
        <f>IF(N21="","",SUMIF(#REF!,'Off-site gain site summary'!N21,#REF!))</f>
        <v/>
      </c>
      <c r="P21" s="526" t="str">
        <f>IF(N21="","",SUMIF(#REF!,'Off-site gain site summary'!$N21,#REF!))</f>
        <v/>
      </c>
      <c r="Q21" s="526" t="str">
        <f>IF(N21="","",SUMIF(#REF!,'Off-site gain site summary'!$N21,#REF!))</f>
        <v/>
      </c>
      <c r="R21" s="526" t="str">
        <f>IF(N21="","",SUMIF(#REF!,'Off-site gain site summary'!$N21,#REF!))</f>
        <v/>
      </c>
      <c r="S21" s="524" t="str">
        <f t="shared" si="2"/>
        <v/>
      </c>
      <c r="T21" s="524" t="str">
        <f>IF(ISBLANK(N21),"", IFERROR(_xlfn.XLOOKUP(N21,#REF!,#REF!), IFERROR(_xlfn.XLOOKUP(N21,#REF!,#REF!), " ")))</f>
        <v/>
      </c>
      <c r="U21" s="527" t="str">
        <f t="shared" si="3"/>
        <v/>
      </c>
      <c r="V21" s="1" t="e">
        <f>#REF!</f>
        <v>#REF!</v>
      </c>
      <c r="W21" s="525"/>
      <c r="X21" s="526" t="str">
        <f>IF(W21="","",SUMIF(#REF!,'Off-site gain site summary'!$W21,#REF!))</f>
        <v/>
      </c>
      <c r="Y21" s="526" t="str">
        <f>IF(W21="","",SUMIF(#REF!,'Off-site gain site summary'!$W21,#REF!))</f>
        <v/>
      </c>
      <c r="Z21" s="526" t="str">
        <f>IF(W21="","",SUMIF(#REF!,'Off-site gain site summary'!$W21,#REF!))</f>
        <v/>
      </c>
      <c r="AA21" s="526" t="str">
        <f>IF(W21="","",SUMIF(#REF!,'Off-site gain site summary'!$W21,#REF!))</f>
        <v/>
      </c>
      <c r="AB21" s="526" t="str">
        <f t="shared" si="4"/>
        <v/>
      </c>
      <c r="AC21" s="526" t="str">
        <f>IF(ISBLANK(W21),"", IFERROR(_xlfn.XLOOKUP(W21,#REF!,#REF!), IFERROR(_xlfn.XLOOKUP(W21,#REF!,#REF!)," ")))</f>
        <v/>
      </c>
      <c r="AD21" s="527" t="str">
        <f t="shared" si="5"/>
        <v/>
      </c>
      <c r="AE21" s="981"/>
      <c r="AF21" s="981"/>
    </row>
    <row r="22" spans="1:32" x14ac:dyDescent="0.35">
      <c r="A22" s="510" t="e">
        <f>#REF!</f>
        <v>#REF!</v>
      </c>
      <c r="B22" s="517"/>
      <c r="C22" s="515" t="str">
        <f>IF(B22="","",SUMIF(#REF!,B22,#REF!))</f>
        <v/>
      </c>
      <c r="D22" s="979" t="str">
        <f>IF(B22="","", SUMIF(#REF!,'Off-site gain site summary'!$B22,#REF!))</f>
        <v/>
      </c>
      <c r="E22" s="980"/>
      <c r="F22" s="979" t="str">
        <f>IF(B22="","",SUMIF(#REF!,'Off-site gain site summary'!B22,#REF!))</f>
        <v/>
      </c>
      <c r="G22" s="980"/>
      <c r="H22" s="979" t="str">
        <f>IF(B22="","",SUMIF(#REF!,'Off-site gain site summary'!B22,#REF!))</f>
        <v/>
      </c>
      <c r="I22" s="980"/>
      <c r="J22" s="518" t="str">
        <f t="shared" si="0"/>
        <v/>
      </c>
      <c r="K22" s="515" t="str">
        <f>IF(ISBLANK(B22),"",IFERROR(_xlfn.XLOOKUP(B22,#REF!,#REF!),IFERROR(_xlfn.XLOOKUP(B22,#REF!,#REF!)," ")))</f>
        <v/>
      </c>
      <c r="L22" s="519" t="str">
        <f t="shared" si="1"/>
        <v/>
      </c>
      <c r="M22" s="510" t="e">
        <f>#REF!</f>
        <v>#REF!</v>
      </c>
      <c r="N22" s="525"/>
      <c r="O22" s="526" t="str">
        <f>IF(N22="","",SUMIF(#REF!,'Off-site gain site summary'!N22,#REF!))</f>
        <v/>
      </c>
      <c r="P22" s="526" t="str">
        <f>IF(N22="","",SUMIF(#REF!,'Off-site gain site summary'!$N22,#REF!))</f>
        <v/>
      </c>
      <c r="Q22" s="526" t="str">
        <f>IF(N22="","",SUMIF(#REF!,'Off-site gain site summary'!$N22,#REF!))</f>
        <v/>
      </c>
      <c r="R22" s="526" t="str">
        <f>IF(N22="","",SUMIF(#REF!,'Off-site gain site summary'!$N22,#REF!))</f>
        <v/>
      </c>
      <c r="S22" s="524" t="str">
        <f t="shared" si="2"/>
        <v/>
      </c>
      <c r="T22" s="524" t="str">
        <f>IF(ISBLANK(N22),"", IFERROR(_xlfn.XLOOKUP(N22,#REF!,#REF!), IFERROR(_xlfn.XLOOKUP(N22,#REF!,#REF!), " ")))</f>
        <v/>
      </c>
      <c r="U22" s="527" t="str">
        <f t="shared" si="3"/>
        <v/>
      </c>
      <c r="V22" s="1" t="e">
        <f>#REF!</f>
        <v>#REF!</v>
      </c>
      <c r="W22" s="525"/>
      <c r="X22" s="526" t="str">
        <f>IF(W22="","",SUMIF(#REF!,'Off-site gain site summary'!$W22,#REF!))</f>
        <v/>
      </c>
      <c r="Y22" s="526" t="str">
        <f>IF(W22="","",SUMIF(#REF!,'Off-site gain site summary'!$W22,#REF!))</f>
        <v/>
      </c>
      <c r="Z22" s="526" t="str">
        <f>IF(W22="","",SUMIF(#REF!,'Off-site gain site summary'!$W22,#REF!))</f>
        <v/>
      </c>
      <c r="AA22" s="526" t="str">
        <f>IF(W22="","",SUMIF(#REF!,'Off-site gain site summary'!$W22,#REF!))</f>
        <v/>
      </c>
      <c r="AB22" s="526" t="str">
        <f t="shared" si="4"/>
        <v/>
      </c>
      <c r="AC22" s="526" t="str">
        <f>IF(ISBLANK(W22),"", IFERROR(_xlfn.XLOOKUP(W22,#REF!,#REF!), IFERROR(_xlfn.XLOOKUP(W22,#REF!,#REF!)," ")))</f>
        <v/>
      </c>
      <c r="AD22" s="527" t="str">
        <f t="shared" si="5"/>
        <v/>
      </c>
      <c r="AE22" s="981"/>
      <c r="AF22" s="981"/>
    </row>
    <row r="23" spans="1:32" x14ac:dyDescent="0.35">
      <c r="A23" s="510" t="e">
        <f>#REF!</f>
        <v>#REF!</v>
      </c>
      <c r="B23" s="517"/>
      <c r="C23" s="515" t="str">
        <f>IF(B23="","",SUMIF(#REF!,B23,#REF!))</f>
        <v/>
      </c>
      <c r="D23" s="979" t="str">
        <f>IF(B23="","", SUMIF(#REF!,'Off-site gain site summary'!$B23,#REF!))</f>
        <v/>
      </c>
      <c r="E23" s="980"/>
      <c r="F23" s="979" t="str">
        <f>IF(B23="","",SUMIF(#REF!,'Off-site gain site summary'!B23,#REF!))</f>
        <v/>
      </c>
      <c r="G23" s="980"/>
      <c r="H23" s="979" t="str">
        <f>IF(B23="","",SUMIF(#REF!,'Off-site gain site summary'!B23,#REF!))</f>
        <v/>
      </c>
      <c r="I23" s="980"/>
      <c r="J23" s="518" t="str">
        <f t="shared" si="0"/>
        <v/>
      </c>
      <c r="K23" s="515" t="str">
        <f>IF(ISBLANK(B23),"",IFERROR(_xlfn.XLOOKUP(B23,#REF!,#REF!),IFERROR(_xlfn.XLOOKUP(B23,#REF!,#REF!)," ")))</f>
        <v/>
      </c>
      <c r="L23" s="519" t="str">
        <f t="shared" si="1"/>
        <v/>
      </c>
      <c r="M23" s="510" t="e">
        <f>#REF!</f>
        <v>#REF!</v>
      </c>
      <c r="N23" s="525"/>
      <c r="O23" s="526" t="str">
        <f>IF(N23="","",SUMIF(#REF!,'Off-site gain site summary'!N23,#REF!))</f>
        <v/>
      </c>
      <c r="P23" s="526" t="str">
        <f>IF(N23="","",SUMIF(#REF!,'Off-site gain site summary'!$N23,#REF!))</f>
        <v/>
      </c>
      <c r="Q23" s="526" t="str">
        <f>IF(N23="","",SUMIF(#REF!,'Off-site gain site summary'!$N23,#REF!))</f>
        <v/>
      </c>
      <c r="R23" s="526" t="str">
        <f>IF(N23="","",SUMIF(#REF!,'Off-site gain site summary'!$N23,#REF!))</f>
        <v/>
      </c>
      <c r="S23" s="524" t="str">
        <f t="shared" si="2"/>
        <v/>
      </c>
      <c r="T23" s="524" t="str">
        <f>IF(ISBLANK(N23),"", IFERROR(_xlfn.XLOOKUP(N23,#REF!,#REF!), IFERROR(_xlfn.XLOOKUP(N23,#REF!,#REF!), " ")))</f>
        <v/>
      </c>
      <c r="U23" s="527" t="str">
        <f t="shared" si="3"/>
        <v/>
      </c>
      <c r="V23" s="1" t="e">
        <f>#REF!</f>
        <v>#REF!</v>
      </c>
      <c r="W23" s="525"/>
      <c r="X23" s="526" t="str">
        <f>IF(W23="","",SUMIF(#REF!,'Off-site gain site summary'!$W23,#REF!))</f>
        <v/>
      </c>
      <c r="Y23" s="526" t="str">
        <f>IF(W23="","",SUMIF(#REF!,'Off-site gain site summary'!$W23,#REF!))</f>
        <v/>
      </c>
      <c r="Z23" s="526" t="str">
        <f>IF(W23="","",SUMIF(#REF!,'Off-site gain site summary'!$W23,#REF!))</f>
        <v/>
      </c>
      <c r="AA23" s="526" t="str">
        <f>IF(W23="","",SUMIF(#REF!,'Off-site gain site summary'!$W23,#REF!))</f>
        <v/>
      </c>
      <c r="AB23" s="526" t="str">
        <f t="shared" si="4"/>
        <v/>
      </c>
      <c r="AC23" s="526" t="str">
        <f>IF(ISBLANK(W23),"", IFERROR(_xlfn.XLOOKUP(W23,#REF!,#REF!), IFERROR(_xlfn.XLOOKUP(W23,#REF!,#REF!)," ")))</f>
        <v/>
      </c>
      <c r="AD23" s="527" t="str">
        <f t="shared" si="5"/>
        <v/>
      </c>
      <c r="AE23" s="981"/>
      <c r="AF23" s="981"/>
    </row>
    <row r="24" spans="1:32" x14ac:dyDescent="0.35">
      <c r="A24" s="510" t="e">
        <f>#REF!</f>
        <v>#REF!</v>
      </c>
      <c r="B24" s="517"/>
      <c r="C24" s="515" t="str">
        <f>IF(B24="","",SUMIF(#REF!,B24,#REF!))</f>
        <v/>
      </c>
      <c r="D24" s="979" t="str">
        <f>IF(B24="","", SUMIF(#REF!,'Off-site gain site summary'!$B24,#REF!))</f>
        <v/>
      </c>
      <c r="E24" s="980"/>
      <c r="F24" s="979" t="str">
        <f>IF(B24="","",SUMIF(#REF!,'Off-site gain site summary'!B24,#REF!))</f>
        <v/>
      </c>
      <c r="G24" s="980"/>
      <c r="H24" s="979" t="str">
        <f>IF(B24="","",SUMIF(#REF!,'Off-site gain site summary'!B24,#REF!))</f>
        <v/>
      </c>
      <c r="I24" s="980"/>
      <c r="J24" s="518" t="str">
        <f t="shared" si="0"/>
        <v/>
      </c>
      <c r="K24" s="515" t="str">
        <f>IF(ISBLANK(B24),"",IFERROR(_xlfn.XLOOKUP(B24,#REF!,#REF!),IFERROR(_xlfn.XLOOKUP(B24,#REF!,#REF!)," ")))</f>
        <v/>
      </c>
      <c r="L24" s="519" t="str">
        <f t="shared" si="1"/>
        <v/>
      </c>
      <c r="M24" s="510" t="e">
        <f>#REF!</f>
        <v>#REF!</v>
      </c>
      <c r="N24" s="525"/>
      <c r="O24" s="526" t="str">
        <f>IF(N24="","",SUMIF(#REF!,'Off-site gain site summary'!N24,#REF!))</f>
        <v/>
      </c>
      <c r="P24" s="526" t="str">
        <f>IF(N24="","",SUMIF(#REF!,'Off-site gain site summary'!$N24,#REF!))</f>
        <v/>
      </c>
      <c r="Q24" s="526" t="str">
        <f>IF(N24="","",SUMIF(#REF!,'Off-site gain site summary'!$N24,#REF!))</f>
        <v/>
      </c>
      <c r="R24" s="526" t="str">
        <f>IF(N24="","",SUMIF(#REF!,'Off-site gain site summary'!$N24,#REF!))</f>
        <v/>
      </c>
      <c r="S24" s="524" t="str">
        <f t="shared" si="2"/>
        <v/>
      </c>
      <c r="T24" s="524" t="str">
        <f>IF(ISBLANK(N24),"", IFERROR(_xlfn.XLOOKUP(N24,#REF!,#REF!), IFERROR(_xlfn.XLOOKUP(N24,#REF!,#REF!), " ")))</f>
        <v/>
      </c>
      <c r="U24" s="527" t="str">
        <f t="shared" si="3"/>
        <v/>
      </c>
      <c r="V24" s="1" t="e">
        <f>#REF!</f>
        <v>#REF!</v>
      </c>
      <c r="W24" s="525"/>
      <c r="X24" s="526" t="str">
        <f>IF(W24="","",SUMIF(#REF!,'Off-site gain site summary'!$W24,#REF!))</f>
        <v/>
      </c>
      <c r="Y24" s="526" t="str">
        <f>IF(W24="","",SUMIF(#REF!,'Off-site gain site summary'!$W24,#REF!))</f>
        <v/>
      </c>
      <c r="Z24" s="526" t="str">
        <f>IF(W24="","",SUMIF(#REF!,'Off-site gain site summary'!$W24,#REF!))</f>
        <v/>
      </c>
      <c r="AA24" s="526" t="str">
        <f>IF(W24="","",SUMIF(#REF!,'Off-site gain site summary'!$W24,#REF!))</f>
        <v/>
      </c>
      <c r="AB24" s="526" t="str">
        <f t="shared" si="4"/>
        <v/>
      </c>
      <c r="AC24" s="526" t="str">
        <f>IF(ISBLANK(W24),"", IFERROR(_xlfn.XLOOKUP(W24,#REF!,#REF!), IFERROR(_xlfn.XLOOKUP(W24,#REF!,#REF!)," ")))</f>
        <v/>
      </c>
      <c r="AD24" s="527" t="str">
        <f t="shared" si="5"/>
        <v/>
      </c>
      <c r="AE24" s="981"/>
      <c r="AF24" s="981"/>
    </row>
    <row r="25" spans="1:32" x14ac:dyDescent="0.35">
      <c r="A25" s="510" t="e">
        <f>#REF!</f>
        <v>#REF!</v>
      </c>
      <c r="B25" s="517"/>
      <c r="C25" s="515" t="str">
        <f>IF(B25="","",SUMIF(#REF!,B25,#REF!))</f>
        <v/>
      </c>
      <c r="D25" s="979" t="str">
        <f>IF(B25="","", SUMIF(#REF!,'Off-site gain site summary'!$B25,#REF!))</f>
        <v/>
      </c>
      <c r="E25" s="980"/>
      <c r="F25" s="979" t="str">
        <f>IF(B25="","",SUMIF(#REF!,'Off-site gain site summary'!B25,#REF!))</f>
        <v/>
      </c>
      <c r="G25" s="980"/>
      <c r="H25" s="979" t="str">
        <f>IF(B25="","",SUMIF(#REF!,'Off-site gain site summary'!B25,#REF!))</f>
        <v/>
      </c>
      <c r="I25" s="980"/>
      <c r="J25" s="518" t="str">
        <f t="shared" si="0"/>
        <v/>
      </c>
      <c r="K25" s="515" t="str">
        <f>IF(ISBLANK(B25),"",IFERROR(_xlfn.XLOOKUP(B25,#REF!,#REF!),IFERROR(_xlfn.XLOOKUP(B25,#REF!,#REF!)," ")))</f>
        <v/>
      </c>
      <c r="L25" s="519" t="str">
        <f t="shared" si="1"/>
        <v/>
      </c>
      <c r="M25" s="510" t="e">
        <f>#REF!</f>
        <v>#REF!</v>
      </c>
      <c r="N25" s="525"/>
      <c r="O25" s="526" t="str">
        <f>IF(N25="","",SUMIF(#REF!,'Off-site gain site summary'!N25,#REF!))</f>
        <v/>
      </c>
      <c r="P25" s="526" t="str">
        <f>IF(N25="","",SUMIF(#REF!,'Off-site gain site summary'!$N25,#REF!))</f>
        <v/>
      </c>
      <c r="Q25" s="526" t="str">
        <f>IF(N25="","",SUMIF(#REF!,'Off-site gain site summary'!$N25,#REF!))</f>
        <v/>
      </c>
      <c r="R25" s="526" t="str">
        <f>IF(N25="","",SUMIF(#REF!,'Off-site gain site summary'!$N25,#REF!))</f>
        <v/>
      </c>
      <c r="S25" s="524" t="str">
        <f t="shared" si="2"/>
        <v/>
      </c>
      <c r="T25" s="524" t="str">
        <f>IF(ISBLANK(N25),"", IFERROR(_xlfn.XLOOKUP(N25,#REF!,#REF!), IFERROR(_xlfn.XLOOKUP(N25,#REF!,#REF!), " ")))</f>
        <v/>
      </c>
      <c r="U25" s="527" t="str">
        <f t="shared" si="3"/>
        <v/>
      </c>
      <c r="V25" s="1" t="e">
        <f>#REF!</f>
        <v>#REF!</v>
      </c>
      <c r="W25" s="525"/>
      <c r="X25" s="526" t="str">
        <f>IF(W25="","",SUMIF(#REF!,'Off-site gain site summary'!$W25,#REF!))</f>
        <v/>
      </c>
      <c r="Y25" s="526" t="str">
        <f>IF(W25="","",SUMIF(#REF!,'Off-site gain site summary'!$W25,#REF!))</f>
        <v/>
      </c>
      <c r="Z25" s="526" t="str">
        <f>IF(W25="","",SUMIF(#REF!,'Off-site gain site summary'!$W25,#REF!))</f>
        <v/>
      </c>
      <c r="AA25" s="526" t="str">
        <f>IF(W25="","",SUMIF(#REF!,'Off-site gain site summary'!$W25,#REF!))</f>
        <v/>
      </c>
      <c r="AB25" s="526" t="str">
        <f t="shared" si="4"/>
        <v/>
      </c>
      <c r="AC25" s="526" t="str">
        <f>IF(ISBLANK(W25),"", IFERROR(_xlfn.XLOOKUP(W25,#REF!,#REF!), IFERROR(_xlfn.XLOOKUP(W25,#REF!,#REF!)," ")))</f>
        <v/>
      </c>
      <c r="AD25" s="527" t="str">
        <f t="shared" si="5"/>
        <v/>
      </c>
      <c r="AE25" s="981"/>
      <c r="AF25" s="981"/>
    </row>
    <row r="26" spans="1:32" x14ac:dyDescent="0.35">
      <c r="A26" s="510" t="e">
        <f>#REF!</f>
        <v>#REF!</v>
      </c>
      <c r="B26" s="517"/>
      <c r="C26" s="515" t="str">
        <f>IF(B26="","",SUMIF(#REF!,B26,#REF!))</f>
        <v/>
      </c>
      <c r="D26" s="979" t="str">
        <f>IF(B26="","", SUMIF(#REF!,'Off-site gain site summary'!$B26,#REF!))</f>
        <v/>
      </c>
      <c r="E26" s="980"/>
      <c r="F26" s="979" t="str">
        <f>IF(B26="","",SUMIF(#REF!,'Off-site gain site summary'!B26,#REF!))</f>
        <v/>
      </c>
      <c r="G26" s="980"/>
      <c r="H26" s="979" t="str">
        <f>IF(B26="","",SUMIF(#REF!,'Off-site gain site summary'!B26,#REF!))</f>
        <v/>
      </c>
      <c r="I26" s="980"/>
      <c r="J26" s="518" t="str">
        <f t="shared" si="0"/>
        <v/>
      </c>
      <c r="K26" s="515" t="str">
        <f>IF(ISBLANK(B26),"",IFERROR(_xlfn.XLOOKUP(B26,#REF!,#REF!),IFERROR(_xlfn.XLOOKUP(B26,#REF!,#REF!)," ")))</f>
        <v/>
      </c>
      <c r="L26" s="519" t="str">
        <f t="shared" si="1"/>
        <v/>
      </c>
      <c r="M26" s="510" t="e">
        <f>#REF!</f>
        <v>#REF!</v>
      </c>
      <c r="N26" s="525"/>
      <c r="O26" s="526" t="str">
        <f>IF(N26="","",SUMIF(#REF!,'Off-site gain site summary'!N26,#REF!))</f>
        <v/>
      </c>
      <c r="P26" s="526" t="str">
        <f>IF(N26="","",SUMIF(#REF!,'Off-site gain site summary'!$N26,#REF!))</f>
        <v/>
      </c>
      <c r="Q26" s="526" t="str">
        <f>IF(N26="","",SUMIF(#REF!,'Off-site gain site summary'!$N26,#REF!))</f>
        <v/>
      </c>
      <c r="R26" s="526" t="str">
        <f>IF(N26="","",SUMIF(#REF!,'Off-site gain site summary'!$N26,#REF!))</f>
        <v/>
      </c>
      <c r="S26" s="524" t="str">
        <f t="shared" si="2"/>
        <v/>
      </c>
      <c r="T26" s="524" t="str">
        <f>IF(ISBLANK(N26),"", IFERROR(_xlfn.XLOOKUP(N26,#REF!,#REF!), IFERROR(_xlfn.XLOOKUP(N26,#REF!,#REF!), " ")))</f>
        <v/>
      </c>
      <c r="U26" s="527" t="str">
        <f t="shared" si="3"/>
        <v/>
      </c>
      <c r="V26" s="1" t="e">
        <f>#REF!</f>
        <v>#REF!</v>
      </c>
      <c r="W26" s="525"/>
      <c r="X26" s="526" t="str">
        <f>IF(W26="","",SUMIF(#REF!,'Off-site gain site summary'!$W26,#REF!))</f>
        <v/>
      </c>
      <c r="Y26" s="526" t="str">
        <f>IF(W26="","",SUMIF(#REF!,'Off-site gain site summary'!$W26,#REF!))</f>
        <v/>
      </c>
      <c r="Z26" s="526" t="str">
        <f>IF(W26="","",SUMIF(#REF!,'Off-site gain site summary'!$W26,#REF!))</f>
        <v/>
      </c>
      <c r="AA26" s="526" t="str">
        <f>IF(W26="","",SUMIF(#REF!,'Off-site gain site summary'!$W26,#REF!))</f>
        <v/>
      </c>
      <c r="AB26" s="526" t="str">
        <f t="shared" si="4"/>
        <v/>
      </c>
      <c r="AC26" s="526" t="str">
        <f>IF(ISBLANK(W26),"", IFERROR(_xlfn.XLOOKUP(W26,#REF!,#REF!), IFERROR(_xlfn.XLOOKUP(W26,#REF!,#REF!)," ")))</f>
        <v/>
      </c>
      <c r="AD26" s="527" t="str">
        <f t="shared" si="5"/>
        <v/>
      </c>
      <c r="AE26" s="981"/>
      <c r="AF26" s="981"/>
    </row>
    <row r="27" spans="1:32" x14ac:dyDescent="0.35">
      <c r="A27" s="510" t="e">
        <f>#REF!</f>
        <v>#REF!</v>
      </c>
      <c r="B27" s="517"/>
      <c r="C27" s="515" t="str">
        <f>IF(B27="","",SUMIF(#REF!,B27,#REF!))</f>
        <v/>
      </c>
      <c r="D27" s="979" t="str">
        <f>IF(B27="","", SUMIF(#REF!,'Off-site gain site summary'!$B27,#REF!))</f>
        <v/>
      </c>
      <c r="E27" s="980"/>
      <c r="F27" s="979" t="str">
        <f>IF(B27="","",SUMIF(#REF!,'Off-site gain site summary'!B27,#REF!))</f>
        <v/>
      </c>
      <c r="G27" s="980"/>
      <c r="H27" s="979" t="str">
        <f>IF(B27="","",SUMIF(#REF!,'Off-site gain site summary'!B27,#REF!))</f>
        <v/>
      </c>
      <c r="I27" s="980"/>
      <c r="J27" s="518" t="str">
        <f t="shared" si="0"/>
        <v/>
      </c>
      <c r="K27" s="515" t="str">
        <f>IF(ISBLANK(B27),"",IFERROR(_xlfn.XLOOKUP(B27,#REF!,#REF!),IFERROR(_xlfn.XLOOKUP(B27,#REF!,#REF!)," ")))</f>
        <v/>
      </c>
      <c r="L27" s="519" t="str">
        <f t="shared" si="1"/>
        <v/>
      </c>
      <c r="M27" s="510" t="e">
        <f>#REF!</f>
        <v>#REF!</v>
      </c>
      <c r="N27" s="525"/>
      <c r="O27" s="526" t="str">
        <f>IF(N27="","",SUMIF(#REF!,'Off-site gain site summary'!N27,#REF!))</f>
        <v/>
      </c>
      <c r="P27" s="526" t="str">
        <f>IF(N27="","",SUMIF(#REF!,'Off-site gain site summary'!$N27,#REF!))</f>
        <v/>
      </c>
      <c r="Q27" s="526" t="str">
        <f>IF(N27="","",SUMIF(#REF!,'Off-site gain site summary'!$N27,#REF!))</f>
        <v/>
      </c>
      <c r="R27" s="526" t="str">
        <f>IF(N27="","",SUMIF(#REF!,'Off-site gain site summary'!$N27,#REF!))</f>
        <v/>
      </c>
      <c r="S27" s="524" t="str">
        <f t="shared" si="2"/>
        <v/>
      </c>
      <c r="T27" s="524" t="str">
        <f>IF(ISBLANK(N27),"", IFERROR(_xlfn.XLOOKUP(N27,#REF!,#REF!), IFERROR(_xlfn.XLOOKUP(N27,#REF!,#REF!), " ")))</f>
        <v/>
      </c>
      <c r="U27" s="527" t="str">
        <f t="shared" si="3"/>
        <v/>
      </c>
      <c r="V27" s="1" t="e">
        <f>#REF!</f>
        <v>#REF!</v>
      </c>
      <c r="W27" s="525"/>
      <c r="X27" s="526" t="str">
        <f>IF(W27="","",SUMIF(#REF!,'Off-site gain site summary'!$W27,#REF!))</f>
        <v/>
      </c>
      <c r="Y27" s="526" t="str">
        <f>IF(W27="","",SUMIF(#REF!,'Off-site gain site summary'!$W27,#REF!))</f>
        <v/>
      </c>
      <c r="Z27" s="526" t="str">
        <f>IF(W27="","",SUMIF(#REF!,'Off-site gain site summary'!$W27,#REF!))</f>
        <v/>
      </c>
      <c r="AA27" s="526" t="str">
        <f>IF(W27="","",SUMIF(#REF!,'Off-site gain site summary'!$W27,#REF!))</f>
        <v/>
      </c>
      <c r="AB27" s="526" t="str">
        <f t="shared" si="4"/>
        <v/>
      </c>
      <c r="AC27" s="526" t="str">
        <f>IF(ISBLANK(W27),"", IFERROR(_xlfn.XLOOKUP(W27,#REF!,#REF!), IFERROR(_xlfn.XLOOKUP(W27,#REF!,#REF!)," ")))</f>
        <v/>
      </c>
      <c r="AD27" s="527" t="str">
        <f t="shared" si="5"/>
        <v/>
      </c>
      <c r="AE27" s="981"/>
      <c r="AF27" s="981"/>
    </row>
    <row r="28" spans="1:32" x14ac:dyDescent="0.35">
      <c r="A28" s="510" t="e">
        <f>#REF!</f>
        <v>#REF!</v>
      </c>
      <c r="B28" s="517"/>
      <c r="C28" s="515" t="str">
        <f>IF(B28="","",SUMIF(#REF!,B28,#REF!))</f>
        <v/>
      </c>
      <c r="D28" s="979" t="str">
        <f>IF(B28="","", SUMIF(#REF!,'Off-site gain site summary'!$B28,#REF!))</f>
        <v/>
      </c>
      <c r="E28" s="980"/>
      <c r="F28" s="979" t="str">
        <f>IF(B28="","",SUMIF(#REF!,'Off-site gain site summary'!B28,#REF!))</f>
        <v/>
      </c>
      <c r="G28" s="980"/>
      <c r="H28" s="979" t="str">
        <f>IF(B28="","",SUMIF(#REF!,'Off-site gain site summary'!B28,#REF!))</f>
        <v/>
      </c>
      <c r="I28" s="980"/>
      <c r="J28" s="518" t="str">
        <f t="shared" si="0"/>
        <v/>
      </c>
      <c r="K28" s="515" t="str">
        <f>IF(ISBLANK(B28),"",IFERROR(_xlfn.XLOOKUP(B28,#REF!,#REF!),IFERROR(_xlfn.XLOOKUP(B28,#REF!,#REF!)," ")))</f>
        <v/>
      </c>
      <c r="L28" s="519" t="str">
        <f t="shared" si="1"/>
        <v/>
      </c>
      <c r="M28" s="510" t="e">
        <f>#REF!</f>
        <v>#REF!</v>
      </c>
      <c r="N28" s="525"/>
      <c r="O28" s="526" t="str">
        <f>IF(N28="","",SUMIF(#REF!,'Off-site gain site summary'!N28,#REF!))</f>
        <v/>
      </c>
      <c r="P28" s="526" t="str">
        <f>IF(N28="","",SUMIF(#REF!,'Off-site gain site summary'!$N28,#REF!))</f>
        <v/>
      </c>
      <c r="Q28" s="526" t="str">
        <f>IF(N28="","",SUMIF(#REF!,'Off-site gain site summary'!$N28,#REF!))</f>
        <v/>
      </c>
      <c r="R28" s="526" t="str">
        <f>IF(N28="","",SUMIF(#REF!,'Off-site gain site summary'!$N28,#REF!))</f>
        <v/>
      </c>
      <c r="S28" s="524" t="str">
        <f t="shared" si="2"/>
        <v/>
      </c>
      <c r="T28" s="524" t="str">
        <f>IF(ISBLANK(N28),"", IFERROR(_xlfn.XLOOKUP(N28,#REF!,#REF!), IFERROR(_xlfn.XLOOKUP(N28,#REF!,#REF!), " ")))</f>
        <v/>
      </c>
      <c r="U28" s="527" t="str">
        <f t="shared" si="3"/>
        <v/>
      </c>
      <c r="V28" s="1" t="e">
        <f>#REF!</f>
        <v>#REF!</v>
      </c>
      <c r="W28" s="525"/>
      <c r="X28" s="526" t="str">
        <f>IF(W28="","",SUMIF(#REF!,'Off-site gain site summary'!$W28,#REF!))</f>
        <v/>
      </c>
      <c r="Y28" s="526" t="str">
        <f>IF(W28="","",SUMIF(#REF!,'Off-site gain site summary'!$W28,#REF!))</f>
        <v/>
      </c>
      <c r="Z28" s="526" t="str">
        <f>IF(W28="","",SUMIF(#REF!,'Off-site gain site summary'!$W28,#REF!))</f>
        <v/>
      </c>
      <c r="AA28" s="526" t="str">
        <f>IF(W28="","",SUMIF(#REF!,'Off-site gain site summary'!$W28,#REF!))</f>
        <v/>
      </c>
      <c r="AB28" s="526" t="str">
        <f t="shared" si="4"/>
        <v/>
      </c>
      <c r="AC28" s="526" t="str">
        <f>IF(ISBLANK(W28),"", IFERROR(_xlfn.XLOOKUP(W28,#REF!,#REF!), IFERROR(_xlfn.XLOOKUP(W28,#REF!,#REF!)," ")))</f>
        <v/>
      </c>
      <c r="AD28" s="527" t="str">
        <f t="shared" si="5"/>
        <v/>
      </c>
      <c r="AE28" s="981"/>
      <c r="AF28" s="981"/>
    </row>
    <row r="29" spans="1:32" x14ac:dyDescent="0.35">
      <c r="A29" s="510" t="e">
        <f>#REF!</f>
        <v>#REF!</v>
      </c>
      <c r="B29" s="517"/>
      <c r="C29" s="515" t="str">
        <f>IF(B29="","",SUMIF(#REF!,B29,#REF!))</f>
        <v/>
      </c>
      <c r="D29" s="979" t="str">
        <f>IF(B29="","", SUMIF(#REF!,'Off-site gain site summary'!$B29,#REF!))</f>
        <v/>
      </c>
      <c r="E29" s="980"/>
      <c r="F29" s="979" t="str">
        <f>IF(B29="","",SUMIF(#REF!,'Off-site gain site summary'!B29,#REF!))</f>
        <v/>
      </c>
      <c r="G29" s="980"/>
      <c r="H29" s="979" t="str">
        <f>IF(B29="","",SUMIF(#REF!,'Off-site gain site summary'!B29,#REF!))</f>
        <v/>
      </c>
      <c r="I29" s="980"/>
      <c r="J29" s="518" t="str">
        <f t="shared" si="0"/>
        <v/>
      </c>
      <c r="K29" s="515" t="str">
        <f>IF(ISBLANK(B29),"",IFERROR(_xlfn.XLOOKUP(B29,#REF!,#REF!),IFERROR(_xlfn.XLOOKUP(B29,#REF!,#REF!)," ")))</f>
        <v/>
      </c>
      <c r="L29" s="519" t="str">
        <f t="shared" si="1"/>
        <v/>
      </c>
      <c r="M29" s="510" t="e">
        <f>#REF!</f>
        <v>#REF!</v>
      </c>
      <c r="N29" s="525"/>
      <c r="O29" s="526" t="str">
        <f>IF(N29="","",SUMIF(#REF!,'Off-site gain site summary'!N29,#REF!))</f>
        <v/>
      </c>
      <c r="P29" s="526" t="str">
        <f>IF(N29="","",SUMIF(#REF!,'Off-site gain site summary'!$N29,#REF!))</f>
        <v/>
      </c>
      <c r="Q29" s="526" t="str">
        <f>IF(N29="","",SUMIF(#REF!,'Off-site gain site summary'!$N29,#REF!))</f>
        <v/>
      </c>
      <c r="R29" s="526" t="str">
        <f>IF(N29="","",SUMIF(#REF!,'Off-site gain site summary'!$N29,#REF!))</f>
        <v/>
      </c>
      <c r="S29" s="524" t="str">
        <f t="shared" si="2"/>
        <v/>
      </c>
      <c r="T29" s="524" t="str">
        <f>IF(ISBLANK(N29),"", IFERROR(_xlfn.XLOOKUP(N29,#REF!,#REF!), IFERROR(_xlfn.XLOOKUP(N29,#REF!,#REF!), " ")))</f>
        <v/>
      </c>
      <c r="U29" s="527" t="str">
        <f t="shared" si="3"/>
        <v/>
      </c>
      <c r="V29" s="1" t="e">
        <f>#REF!</f>
        <v>#REF!</v>
      </c>
      <c r="W29" s="525"/>
      <c r="X29" s="526" t="str">
        <f>IF(W29="","",SUMIF(#REF!,'Off-site gain site summary'!$W29,#REF!))</f>
        <v/>
      </c>
      <c r="Y29" s="526" t="str">
        <f>IF(W29="","",SUMIF(#REF!,'Off-site gain site summary'!$W29,#REF!))</f>
        <v/>
      </c>
      <c r="Z29" s="526" t="str">
        <f>IF(W29="","",SUMIF(#REF!,'Off-site gain site summary'!$W29,#REF!))</f>
        <v/>
      </c>
      <c r="AA29" s="526" t="str">
        <f>IF(W29="","",SUMIF(#REF!,'Off-site gain site summary'!$W29,#REF!))</f>
        <v/>
      </c>
      <c r="AB29" s="526" t="str">
        <f t="shared" si="4"/>
        <v/>
      </c>
      <c r="AC29" s="526" t="str">
        <f>IF(ISBLANK(W29),"", IFERROR(_xlfn.XLOOKUP(W29,#REF!,#REF!), IFERROR(_xlfn.XLOOKUP(W29,#REF!,#REF!)," ")))</f>
        <v/>
      </c>
      <c r="AD29" s="527" t="str">
        <f t="shared" si="5"/>
        <v/>
      </c>
      <c r="AE29" s="981"/>
      <c r="AF29" s="981"/>
    </row>
    <row r="30" spans="1:32" x14ac:dyDescent="0.35">
      <c r="A30" s="510" t="e">
        <f>#REF!</f>
        <v>#REF!</v>
      </c>
      <c r="B30" s="517"/>
      <c r="C30" s="515" t="str">
        <f>IF(B30="","",SUMIF(#REF!,B30,#REF!))</f>
        <v/>
      </c>
      <c r="D30" s="979" t="str">
        <f>IF(B30="","", SUMIF(#REF!,'Off-site gain site summary'!$B30,#REF!))</f>
        <v/>
      </c>
      <c r="E30" s="980"/>
      <c r="F30" s="979" t="str">
        <f>IF(B30="","",SUMIF(#REF!,'Off-site gain site summary'!B30,#REF!))</f>
        <v/>
      </c>
      <c r="G30" s="980"/>
      <c r="H30" s="979" t="str">
        <f>IF(B30="","",SUMIF(#REF!,'Off-site gain site summary'!B30,#REF!))</f>
        <v/>
      </c>
      <c r="I30" s="980"/>
      <c r="J30" s="518" t="str">
        <f t="shared" si="0"/>
        <v/>
      </c>
      <c r="K30" s="515" t="str">
        <f>IF(ISBLANK(B30),"",IFERROR(_xlfn.XLOOKUP(B30,#REF!,#REF!),IFERROR(_xlfn.XLOOKUP(B30,#REF!,#REF!)," ")))</f>
        <v/>
      </c>
      <c r="L30" s="519" t="str">
        <f t="shared" si="1"/>
        <v/>
      </c>
      <c r="M30" s="510" t="e">
        <f>#REF!</f>
        <v>#REF!</v>
      </c>
      <c r="N30" s="525"/>
      <c r="O30" s="526" t="str">
        <f>IF(N30="","",SUMIF(#REF!,'Off-site gain site summary'!N30,#REF!))</f>
        <v/>
      </c>
      <c r="P30" s="526" t="str">
        <f>IF(N30="","",SUMIF(#REF!,'Off-site gain site summary'!$N30,#REF!))</f>
        <v/>
      </c>
      <c r="Q30" s="526" t="str">
        <f>IF(N30="","",SUMIF(#REF!,'Off-site gain site summary'!$N30,#REF!))</f>
        <v/>
      </c>
      <c r="R30" s="526" t="str">
        <f>IF(N30="","",SUMIF(#REF!,'Off-site gain site summary'!$N30,#REF!))</f>
        <v/>
      </c>
      <c r="S30" s="524" t="str">
        <f t="shared" si="2"/>
        <v/>
      </c>
      <c r="T30" s="524" t="str">
        <f>IF(ISBLANK(N30),"", IFERROR(_xlfn.XLOOKUP(N30,#REF!,#REF!), IFERROR(_xlfn.XLOOKUP(N30,#REF!,#REF!), " ")))</f>
        <v/>
      </c>
      <c r="U30" s="527" t="str">
        <f t="shared" si="3"/>
        <v/>
      </c>
      <c r="V30" s="1" t="e">
        <f>#REF!</f>
        <v>#REF!</v>
      </c>
      <c r="W30" s="525"/>
      <c r="X30" s="526" t="str">
        <f>IF(W30="","",SUMIF(#REF!,'Off-site gain site summary'!$W30,#REF!))</f>
        <v/>
      </c>
      <c r="Y30" s="526" t="str">
        <f>IF(W30="","",SUMIF(#REF!,'Off-site gain site summary'!$W30,#REF!))</f>
        <v/>
      </c>
      <c r="Z30" s="526" t="str">
        <f>IF(W30="","",SUMIF(#REF!,'Off-site gain site summary'!$W30,#REF!))</f>
        <v/>
      </c>
      <c r="AA30" s="526" t="str">
        <f>IF(W30="","",SUMIF(#REF!,'Off-site gain site summary'!$W30,#REF!))</f>
        <v/>
      </c>
      <c r="AB30" s="526" t="str">
        <f t="shared" si="4"/>
        <v/>
      </c>
      <c r="AC30" s="526" t="str">
        <f>IF(ISBLANK(W30),"", IFERROR(_xlfn.XLOOKUP(W30,#REF!,#REF!), IFERROR(_xlfn.XLOOKUP(W30,#REF!,#REF!)," ")))</f>
        <v/>
      </c>
      <c r="AD30" s="527" t="str">
        <f t="shared" si="5"/>
        <v/>
      </c>
      <c r="AE30" s="981"/>
      <c r="AF30" s="981"/>
    </row>
    <row r="31" spans="1:32" x14ac:dyDescent="0.35">
      <c r="A31" s="510" t="e">
        <f>#REF!</f>
        <v>#REF!</v>
      </c>
      <c r="B31" s="517"/>
      <c r="C31" s="515" t="str">
        <f>IF(B31="","",SUMIF(#REF!,B31,#REF!))</f>
        <v/>
      </c>
      <c r="D31" s="979" t="str">
        <f>IF(B31="","", SUMIF(#REF!,'Off-site gain site summary'!$B31,#REF!))</f>
        <v/>
      </c>
      <c r="E31" s="980"/>
      <c r="F31" s="979" t="str">
        <f>IF(B31="","",SUMIF(#REF!,'Off-site gain site summary'!B31,#REF!))</f>
        <v/>
      </c>
      <c r="G31" s="980"/>
      <c r="H31" s="979" t="str">
        <f>IF(B31="","",SUMIF(#REF!,'Off-site gain site summary'!B31,#REF!))</f>
        <v/>
      </c>
      <c r="I31" s="980"/>
      <c r="J31" s="518" t="str">
        <f t="shared" si="0"/>
        <v/>
      </c>
      <c r="K31" s="515" t="str">
        <f>IF(ISBLANK(B31),"",IFERROR(_xlfn.XLOOKUP(B31,#REF!,#REF!),IFERROR(_xlfn.XLOOKUP(B31,#REF!,#REF!)," ")))</f>
        <v/>
      </c>
      <c r="L31" s="519" t="str">
        <f t="shared" si="1"/>
        <v/>
      </c>
      <c r="M31" s="510" t="e">
        <f>#REF!</f>
        <v>#REF!</v>
      </c>
      <c r="N31" s="525"/>
      <c r="O31" s="526" t="str">
        <f>IF(N31="","",SUMIF(#REF!,'Off-site gain site summary'!N31,#REF!))</f>
        <v/>
      </c>
      <c r="P31" s="526" t="str">
        <f>IF(N31="","",SUMIF(#REF!,'Off-site gain site summary'!$N31,#REF!))</f>
        <v/>
      </c>
      <c r="Q31" s="526" t="str">
        <f>IF(N31="","",SUMIF(#REF!,'Off-site gain site summary'!$N31,#REF!))</f>
        <v/>
      </c>
      <c r="R31" s="526" t="str">
        <f>IF(N31="","",SUMIF(#REF!,'Off-site gain site summary'!$N31,#REF!))</f>
        <v/>
      </c>
      <c r="S31" s="524" t="str">
        <f t="shared" si="2"/>
        <v/>
      </c>
      <c r="T31" s="524" t="str">
        <f>IF(ISBLANK(N31),"", IFERROR(_xlfn.XLOOKUP(N31,#REF!,#REF!), IFERROR(_xlfn.XLOOKUP(N31,#REF!,#REF!), " ")))</f>
        <v/>
      </c>
      <c r="U31" s="527" t="str">
        <f t="shared" si="3"/>
        <v/>
      </c>
      <c r="V31" s="1" t="e">
        <f>#REF!</f>
        <v>#REF!</v>
      </c>
      <c r="W31" s="525"/>
      <c r="X31" s="526" t="str">
        <f>IF(W31="","",SUMIF(#REF!,'Off-site gain site summary'!$W31,#REF!))</f>
        <v/>
      </c>
      <c r="Y31" s="526" t="str">
        <f>IF(W31="","",SUMIF(#REF!,'Off-site gain site summary'!$W31,#REF!))</f>
        <v/>
      </c>
      <c r="Z31" s="526" t="str">
        <f>IF(W31="","",SUMIF(#REF!,'Off-site gain site summary'!$W31,#REF!))</f>
        <v/>
      </c>
      <c r="AA31" s="526" t="str">
        <f>IF(W31="","",SUMIF(#REF!,'Off-site gain site summary'!$W31,#REF!))</f>
        <v/>
      </c>
      <c r="AB31" s="526" t="str">
        <f t="shared" si="4"/>
        <v/>
      </c>
      <c r="AC31" s="526" t="str">
        <f>IF(ISBLANK(W31),"", IFERROR(_xlfn.XLOOKUP(W31,#REF!,#REF!), IFERROR(_xlfn.XLOOKUP(W31,#REF!,#REF!)," ")))</f>
        <v/>
      </c>
      <c r="AD31" s="527" t="str">
        <f t="shared" si="5"/>
        <v/>
      </c>
      <c r="AE31" s="981"/>
      <c r="AF31" s="981"/>
    </row>
    <row r="32" spans="1:32" x14ac:dyDescent="0.35">
      <c r="A32" s="510" t="e">
        <f>#REF!</f>
        <v>#REF!</v>
      </c>
      <c r="B32" s="517"/>
      <c r="C32" s="515" t="str">
        <f>IF(B32="","",SUMIF(#REF!,B32,#REF!))</f>
        <v/>
      </c>
      <c r="D32" s="979" t="str">
        <f>IF(B32="","", SUMIF(#REF!,'Off-site gain site summary'!$B32,#REF!))</f>
        <v/>
      </c>
      <c r="E32" s="980"/>
      <c r="F32" s="979" t="str">
        <f>IF(B32="","",SUMIF(#REF!,'Off-site gain site summary'!B32,#REF!))</f>
        <v/>
      </c>
      <c r="G32" s="980"/>
      <c r="H32" s="979" t="str">
        <f>IF(B32="","",SUMIF(#REF!,'Off-site gain site summary'!B32,#REF!))</f>
        <v/>
      </c>
      <c r="I32" s="980"/>
      <c r="J32" s="518" t="str">
        <f t="shared" si="0"/>
        <v/>
      </c>
      <c r="K32" s="515" t="str">
        <f>IF(ISBLANK(B32),"",IFERROR(_xlfn.XLOOKUP(B32,#REF!,#REF!),IFERROR(_xlfn.XLOOKUP(B32,#REF!,#REF!)," ")))</f>
        <v/>
      </c>
      <c r="L32" s="519" t="str">
        <f t="shared" si="1"/>
        <v/>
      </c>
      <c r="M32" s="510" t="e">
        <f>#REF!</f>
        <v>#REF!</v>
      </c>
      <c r="N32" s="525"/>
      <c r="O32" s="526" t="str">
        <f>IF(N32="","",SUMIF(#REF!,'Off-site gain site summary'!N32,#REF!))</f>
        <v/>
      </c>
      <c r="P32" s="526" t="str">
        <f>IF(N32="","",SUMIF(#REF!,'Off-site gain site summary'!$N32,#REF!))</f>
        <v/>
      </c>
      <c r="Q32" s="526" t="str">
        <f>IF(N32="","",SUMIF(#REF!,'Off-site gain site summary'!$N32,#REF!))</f>
        <v/>
      </c>
      <c r="R32" s="526" t="str">
        <f>IF(N32="","",SUMIF(#REF!,'Off-site gain site summary'!$N32,#REF!))</f>
        <v/>
      </c>
      <c r="S32" s="524" t="str">
        <f t="shared" si="2"/>
        <v/>
      </c>
      <c r="T32" s="524" t="str">
        <f>IF(ISBLANK(N32),"", IFERROR(_xlfn.XLOOKUP(N32,#REF!,#REF!), IFERROR(_xlfn.XLOOKUP(N32,#REF!,#REF!), " ")))</f>
        <v/>
      </c>
      <c r="U32" s="527" t="str">
        <f t="shared" si="3"/>
        <v/>
      </c>
      <c r="V32" s="1" t="e">
        <f>#REF!</f>
        <v>#REF!</v>
      </c>
      <c r="W32" s="525"/>
      <c r="X32" s="526" t="str">
        <f>IF(W32="","",SUMIF(#REF!,'Off-site gain site summary'!$W32,#REF!))</f>
        <v/>
      </c>
      <c r="Y32" s="526" t="str">
        <f>IF(W32="","",SUMIF(#REF!,'Off-site gain site summary'!$W32,#REF!))</f>
        <v/>
      </c>
      <c r="Z32" s="526" t="str">
        <f>IF(W32="","",SUMIF(#REF!,'Off-site gain site summary'!$W32,#REF!))</f>
        <v/>
      </c>
      <c r="AA32" s="526" t="str">
        <f>IF(W32="","",SUMIF(#REF!,'Off-site gain site summary'!$W32,#REF!))</f>
        <v/>
      </c>
      <c r="AB32" s="526" t="str">
        <f t="shared" si="4"/>
        <v/>
      </c>
      <c r="AC32" s="526" t="str">
        <f>IF(ISBLANK(W32),"", IFERROR(_xlfn.XLOOKUP(W32,#REF!,#REF!), IFERROR(_xlfn.XLOOKUP(W32,#REF!,#REF!)," ")))</f>
        <v/>
      </c>
      <c r="AD32" s="527" t="str">
        <f t="shared" si="5"/>
        <v/>
      </c>
      <c r="AE32" s="981"/>
      <c r="AF32" s="981"/>
    </row>
    <row r="33" spans="1:32" x14ac:dyDescent="0.35">
      <c r="A33" s="510" t="e">
        <f>#REF!</f>
        <v>#REF!</v>
      </c>
      <c r="B33" s="517"/>
      <c r="C33" s="515" t="str">
        <f>IF(B33="","",SUMIF(#REF!,B33,#REF!))</f>
        <v/>
      </c>
      <c r="D33" s="979" t="str">
        <f>IF(B33="","", SUMIF(#REF!,'Off-site gain site summary'!$B33,#REF!))</f>
        <v/>
      </c>
      <c r="E33" s="980"/>
      <c r="F33" s="979" t="str">
        <f>IF(B33="","",SUMIF(#REF!,'Off-site gain site summary'!B33,#REF!))</f>
        <v/>
      </c>
      <c r="G33" s="980"/>
      <c r="H33" s="979" t="str">
        <f>IF(B33="","",SUMIF(#REF!,'Off-site gain site summary'!B33,#REF!))</f>
        <v/>
      </c>
      <c r="I33" s="980"/>
      <c r="J33" s="518" t="str">
        <f t="shared" si="0"/>
        <v/>
      </c>
      <c r="K33" s="515" t="str">
        <f>IF(ISBLANK(B33),"",IFERROR(_xlfn.XLOOKUP(B33,#REF!,#REF!),IFERROR(_xlfn.XLOOKUP(B33,#REF!,#REF!)," ")))</f>
        <v/>
      </c>
      <c r="L33" s="519" t="str">
        <f t="shared" si="1"/>
        <v/>
      </c>
      <c r="M33" s="510" t="e">
        <f>#REF!</f>
        <v>#REF!</v>
      </c>
      <c r="N33" s="525"/>
      <c r="O33" s="526" t="str">
        <f>IF(N33="","",SUMIF(#REF!,'Off-site gain site summary'!N33,#REF!))</f>
        <v/>
      </c>
      <c r="P33" s="526" t="str">
        <f>IF(N33="","",SUMIF(#REF!,'Off-site gain site summary'!$N33,#REF!))</f>
        <v/>
      </c>
      <c r="Q33" s="526" t="str">
        <f>IF(N33="","",SUMIF(#REF!,'Off-site gain site summary'!$N33,#REF!))</f>
        <v/>
      </c>
      <c r="R33" s="526" t="str">
        <f>IF(N33="","",SUMIF(#REF!,'Off-site gain site summary'!$N33,#REF!))</f>
        <v/>
      </c>
      <c r="S33" s="524" t="str">
        <f t="shared" si="2"/>
        <v/>
      </c>
      <c r="T33" s="524" t="str">
        <f>IF(ISBLANK(N33),"", IFERROR(_xlfn.XLOOKUP(N33,#REF!,#REF!), IFERROR(_xlfn.XLOOKUP(N33,#REF!,#REF!), " ")))</f>
        <v/>
      </c>
      <c r="U33" s="527" t="str">
        <f t="shared" si="3"/>
        <v/>
      </c>
      <c r="V33" s="1" t="e">
        <f>#REF!</f>
        <v>#REF!</v>
      </c>
      <c r="W33" s="525"/>
      <c r="X33" s="526" t="str">
        <f>IF(W33="","",SUMIF(#REF!,'Off-site gain site summary'!$W33,#REF!))</f>
        <v/>
      </c>
      <c r="Y33" s="526" t="str">
        <f>IF(W33="","",SUMIF(#REF!,'Off-site gain site summary'!$W33,#REF!))</f>
        <v/>
      </c>
      <c r="Z33" s="526" t="str">
        <f>IF(W33="","",SUMIF(#REF!,'Off-site gain site summary'!$W33,#REF!))</f>
        <v/>
      </c>
      <c r="AA33" s="526" t="str">
        <f>IF(W33="","",SUMIF(#REF!,'Off-site gain site summary'!$W33,#REF!))</f>
        <v/>
      </c>
      <c r="AB33" s="526" t="str">
        <f t="shared" si="4"/>
        <v/>
      </c>
      <c r="AC33" s="526" t="str">
        <f>IF(ISBLANK(W33),"", IFERROR(_xlfn.XLOOKUP(W33,#REF!,#REF!), IFERROR(_xlfn.XLOOKUP(W33,#REF!,#REF!)," ")))</f>
        <v/>
      </c>
      <c r="AD33" s="527" t="str">
        <f t="shared" si="5"/>
        <v/>
      </c>
      <c r="AE33" s="981"/>
      <c r="AF33" s="981"/>
    </row>
    <row r="34" spans="1:32" x14ac:dyDescent="0.35">
      <c r="A34" s="510" t="e">
        <f>#REF!</f>
        <v>#REF!</v>
      </c>
      <c r="B34" s="517"/>
      <c r="C34" s="515" t="str">
        <f>IF(B34="","",SUMIF(#REF!,B34,#REF!))</f>
        <v/>
      </c>
      <c r="D34" s="979" t="str">
        <f>IF(B34="","", SUMIF(#REF!,'Off-site gain site summary'!$B34,#REF!))</f>
        <v/>
      </c>
      <c r="E34" s="980"/>
      <c r="F34" s="979" t="str">
        <f>IF(B34="","",SUMIF(#REF!,'Off-site gain site summary'!B34,#REF!))</f>
        <v/>
      </c>
      <c r="G34" s="980"/>
      <c r="H34" s="979" t="str">
        <f>IF(B34="","",SUMIF(#REF!,'Off-site gain site summary'!B34,#REF!))</f>
        <v/>
      </c>
      <c r="I34" s="980"/>
      <c r="J34" s="518" t="str">
        <f t="shared" si="0"/>
        <v/>
      </c>
      <c r="K34" s="515" t="str">
        <f>IF(ISBLANK(B34),"",IFERROR(_xlfn.XLOOKUP(B34,#REF!,#REF!),IFERROR(_xlfn.XLOOKUP(B34,#REF!,#REF!)," ")))</f>
        <v/>
      </c>
      <c r="L34" s="519" t="str">
        <f t="shared" si="1"/>
        <v/>
      </c>
      <c r="M34" s="510" t="e">
        <f>#REF!</f>
        <v>#REF!</v>
      </c>
      <c r="N34" s="525"/>
      <c r="O34" s="526" t="str">
        <f>IF(N34="","",SUMIF(#REF!,'Off-site gain site summary'!N34,#REF!))</f>
        <v/>
      </c>
      <c r="P34" s="526" t="str">
        <f>IF(N34="","",SUMIF(#REF!,'Off-site gain site summary'!$N34,#REF!))</f>
        <v/>
      </c>
      <c r="Q34" s="526" t="str">
        <f>IF(N34="","",SUMIF(#REF!,'Off-site gain site summary'!$N34,#REF!))</f>
        <v/>
      </c>
      <c r="R34" s="526" t="str">
        <f>IF(N34="","",SUMIF(#REF!,'Off-site gain site summary'!$N34,#REF!))</f>
        <v/>
      </c>
      <c r="S34" s="524" t="str">
        <f t="shared" si="2"/>
        <v/>
      </c>
      <c r="T34" s="524" t="str">
        <f>IF(ISBLANK(N34),"", IFERROR(_xlfn.XLOOKUP(N34,#REF!,#REF!), IFERROR(_xlfn.XLOOKUP(N34,#REF!,#REF!), " ")))</f>
        <v/>
      </c>
      <c r="U34" s="527" t="str">
        <f t="shared" si="3"/>
        <v/>
      </c>
      <c r="V34" s="1" t="e">
        <f>#REF!</f>
        <v>#REF!</v>
      </c>
      <c r="W34" s="525"/>
      <c r="X34" s="526" t="str">
        <f>IF(W34="","",SUMIF(#REF!,'Off-site gain site summary'!$W34,#REF!))</f>
        <v/>
      </c>
      <c r="Y34" s="526" t="str">
        <f>IF(W34="","",SUMIF(#REF!,'Off-site gain site summary'!$W34,#REF!))</f>
        <v/>
      </c>
      <c r="Z34" s="526" t="str">
        <f>IF(W34="","",SUMIF(#REF!,'Off-site gain site summary'!$W34,#REF!))</f>
        <v/>
      </c>
      <c r="AA34" s="526" t="str">
        <f>IF(W34="","",SUMIF(#REF!,'Off-site gain site summary'!$W34,#REF!))</f>
        <v/>
      </c>
      <c r="AB34" s="526" t="str">
        <f t="shared" si="4"/>
        <v/>
      </c>
      <c r="AC34" s="526" t="str">
        <f>IF(ISBLANK(W34),"", IFERROR(_xlfn.XLOOKUP(W34,#REF!,#REF!), IFERROR(_xlfn.XLOOKUP(W34,#REF!,#REF!)," ")))</f>
        <v/>
      </c>
      <c r="AD34" s="527" t="str">
        <f t="shared" si="5"/>
        <v/>
      </c>
      <c r="AE34" s="981"/>
      <c r="AF34" s="981"/>
    </row>
    <row r="35" spans="1:32" x14ac:dyDescent="0.35">
      <c r="A35" s="510" t="e">
        <f>#REF!</f>
        <v>#REF!</v>
      </c>
      <c r="B35" s="517"/>
      <c r="C35" s="515" t="str">
        <f>IF(B35="","",SUMIF(#REF!,B35,#REF!))</f>
        <v/>
      </c>
      <c r="D35" s="979" t="str">
        <f>IF(B35="","", SUMIF(#REF!,'Off-site gain site summary'!$B35,#REF!))</f>
        <v/>
      </c>
      <c r="E35" s="980"/>
      <c r="F35" s="979" t="str">
        <f>IF(B35="","",SUMIF(#REF!,'Off-site gain site summary'!B35,#REF!))</f>
        <v/>
      </c>
      <c r="G35" s="980"/>
      <c r="H35" s="979" t="str">
        <f>IF(B35="","",SUMIF(#REF!,'Off-site gain site summary'!B35,#REF!))</f>
        <v/>
      </c>
      <c r="I35" s="980"/>
      <c r="J35" s="518" t="str">
        <f t="shared" si="0"/>
        <v/>
      </c>
      <c r="K35" s="515" t="str">
        <f>IF(ISBLANK(B35),"",IFERROR(_xlfn.XLOOKUP(B35,#REF!,#REF!),IFERROR(_xlfn.XLOOKUP(B35,#REF!,#REF!)," ")))</f>
        <v/>
      </c>
      <c r="L35" s="519" t="str">
        <f t="shared" si="1"/>
        <v/>
      </c>
      <c r="M35" s="510" t="e">
        <f>#REF!</f>
        <v>#REF!</v>
      </c>
      <c r="N35" s="525"/>
      <c r="O35" s="526" t="str">
        <f>IF(N35="","",SUMIF(#REF!,'Off-site gain site summary'!N35,#REF!))</f>
        <v/>
      </c>
      <c r="P35" s="526" t="str">
        <f>IF(N35="","",SUMIF(#REF!,'Off-site gain site summary'!$N35,#REF!))</f>
        <v/>
      </c>
      <c r="Q35" s="526" t="str">
        <f>IF(N35="","",SUMIF(#REF!,'Off-site gain site summary'!$N35,#REF!))</f>
        <v/>
      </c>
      <c r="R35" s="526" t="str">
        <f>IF(N35="","",SUMIF(#REF!,'Off-site gain site summary'!$N35,#REF!))</f>
        <v/>
      </c>
      <c r="S35" s="524" t="str">
        <f t="shared" si="2"/>
        <v/>
      </c>
      <c r="T35" s="524" t="str">
        <f>IF(ISBLANK(N35),"", IFERROR(_xlfn.XLOOKUP(N35,#REF!,#REF!), IFERROR(_xlfn.XLOOKUP(N35,#REF!,#REF!), " ")))</f>
        <v/>
      </c>
      <c r="U35" s="527" t="str">
        <f t="shared" si="3"/>
        <v/>
      </c>
      <c r="V35" s="1" t="e">
        <f>#REF!</f>
        <v>#REF!</v>
      </c>
      <c r="W35" s="525"/>
      <c r="X35" s="526" t="str">
        <f>IF(W35="","",SUMIF(#REF!,'Off-site gain site summary'!$W35,#REF!))</f>
        <v/>
      </c>
      <c r="Y35" s="526" t="str">
        <f>IF(W35="","",SUMIF(#REF!,'Off-site gain site summary'!$W35,#REF!))</f>
        <v/>
      </c>
      <c r="Z35" s="526" t="str">
        <f>IF(W35="","",SUMIF(#REF!,'Off-site gain site summary'!$W35,#REF!))</f>
        <v/>
      </c>
      <c r="AA35" s="526" t="str">
        <f>IF(W35="","",SUMIF(#REF!,'Off-site gain site summary'!$W35,#REF!))</f>
        <v/>
      </c>
      <c r="AB35" s="526" t="str">
        <f t="shared" si="4"/>
        <v/>
      </c>
      <c r="AC35" s="526" t="str">
        <f>IF(ISBLANK(W35),"", IFERROR(_xlfn.XLOOKUP(W35,#REF!,#REF!), IFERROR(_xlfn.XLOOKUP(W35,#REF!,#REF!)," ")))</f>
        <v/>
      </c>
      <c r="AD35" s="527" t="str">
        <f t="shared" si="5"/>
        <v/>
      </c>
      <c r="AE35" s="981"/>
      <c r="AF35" s="981"/>
    </row>
    <row r="36" spans="1:32" x14ac:dyDescent="0.35">
      <c r="A36" s="510" t="e">
        <f>#REF!</f>
        <v>#REF!</v>
      </c>
      <c r="B36" s="517"/>
      <c r="C36" s="515" t="str">
        <f>IF(B36="","",SUMIF(#REF!,B36,#REF!))</f>
        <v/>
      </c>
      <c r="D36" s="979" t="str">
        <f>IF(B36="","", SUMIF(#REF!,'Off-site gain site summary'!$B36,#REF!))</f>
        <v/>
      </c>
      <c r="E36" s="980"/>
      <c r="F36" s="979" t="str">
        <f>IF(B36="","",SUMIF(#REF!,'Off-site gain site summary'!B36,#REF!))</f>
        <v/>
      </c>
      <c r="G36" s="980"/>
      <c r="H36" s="979" t="str">
        <f>IF(B36="","",SUMIF(#REF!,'Off-site gain site summary'!B36,#REF!))</f>
        <v/>
      </c>
      <c r="I36" s="980"/>
      <c r="J36" s="518" t="str">
        <f t="shared" si="0"/>
        <v/>
      </c>
      <c r="K36" s="515" t="str">
        <f>IF(ISBLANK(B36),"",IFERROR(_xlfn.XLOOKUP(B36,#REF!,#REF!),IFERROR(_xlfn.XLOOKUP(B36,#REF!,#REF!)," ")))</f>
        <v/>
      </c>
      <c r="L36" s="519" t="str">
        <f t="shared" si="1"/>
        <v/>
      </c>
      <c r="M36" s="510" t="e">
        <f>#REF!</f>
        <v>#REF!</v>
      </c>
      <c r="N36" s="525"/>
      <c r="O36" s="526" t="str">
        <f>IF(N36="","",SUMIF(#REF!,'Off-site gain site summary'!N36,#REF!))</f>
        <v/>
      </c>
      <c r="P36" s="526" t="str">
        <f>IF(N36="","",SUMIF(#REF!,'Off-site gain site summary'!$N36,#REF!))</f>
        <v/>
      </c>
      <c r="Q36" s="526" t="str">
        <f>IF(N36="","",SUMIF(#REF!,'Off-site gain site summary'!$N36,#REF!))</f>
        <v/>
      </c>
      <c r="R36" s="526" t="str">
        <f>IF(N36="","",SUMIF(#REF!,'Off-site gain site summary'!$N36,#REF!))</f>
        <v/>
      </c>
      <c r="S36" s="524" t="str">
        <f t="shared" si="2"/>
        <v/>
      </c>
      <c r="T36" s="524" t="str">
        <f>IF(ISBLANK(N36),"", IFERROR(_xlfn.XLOOKUP(N36,#REF!,#REF!), IFERROR(_xlfn.XLOOKUP(N36,#REF!,#REF!), " ")))</f>
        <v/>
      </c>
      <c r="U36" s="527" t="str">
        <f t="shared" si="3"/>
        <v/>
      </c>
      <c r="V36" s="1" t="e">
        <f>#REF!</f>
        <v>#REF!</v>
      </c>
      <c r="W36" s="525"/>
      <c r="X36" s="526" t="str">
        <f>IF(W36="","",SUMIF(#REF!,'Off-site gain site summary'!$W36,#REF!))</f>
        <v/>
      </c>
      <c r="Y36" s="526" t="str">
        <f>IF(W36="","",SUMIF(#REF!,'Off-site gain site summary'!$W36,#REF!))</f>
        <v/>
      </c>
      <c r="Z36" s="526" t="str">
        <f>IF(W36="","",SUMIF(#REF!,'Off-site gain site summary'!$W36,#REF!))</f>
        <v/>
      </c>
      <c r="AA36" s="526" t="str">
        <f>IF(W36="","",SUMIF(#REF!,'Off-site gain site summary'!$W36,#REF!))</f>
        <v/>
      </c>
      <c r="AB36" s="526" t="str">
        <f t="shared" si="4"/>
        <v/>
      </c>
      <c r="AC36" s="526" t="str">
        <f>IF(ISBLANK(W36),"", IFERROR(_xlfn.XLOOKUP(W36,#REF!,#REF!), IFERROR(_xlfn.XLOOKUP(W36,#REF!,#REF!)," ")))</f>
        <v/>
      </c>
      <c r="AD36" s="527" t="str">
        <f t="shared" si="5"/>
        <v/>
      </c>
      <c r="AE36" s="981"/>
      <c r="AF36" s="981"/>
    </row>
    <row r="37" spans="1:32" x14ac:dyDescent="0.35">
      <c r="A37" s="510" t="e">
        <f>#REF!</f>
        <v>#REF!</v>
      </c>
      <c r="B37" s="517"/>
      <c r="C37" s="515" t="str">
        <f>IF(B37="","",SUMIF(#REF!,B37,#REF!))</f>
        <v/>
      </c>
      <c r="D37" s="979" t="str">
        <f>IF(B37="","", SUMIF(#REF!,'Off-site gain site summary'!$B37,#REF!))</f>
        <v/>
      </c>
      <c r="E37" s="980"/>
      <c r="F37" s="979" t="str">
        <f>IF(B37="","",SUMIF(#REF!,'Off-site gain site summary'!B37,#REF!))</f>
        <v/>
      </c>
      <c r="G37" s="980"/>
      <c r="H37" s="979" t="str">
        <f>IF(B37="","",SUMIF(#REF!,'Off-site gain site summary'!B37,#REF!))</f>
        <v/>
      </c>
      <c r="I37" s="980"/>
      <c r="J37" s="518" t="str">
        <f t="shared" si="0"/>
        <v/>
      </c>
      <c r="K37" s="515" t="str">
        <f>IF(ISBLANK(B37),"",IFERROR(_xlfn.XLOOKUP(B37,#REF!,#REF!),IFERROR(_xlfn.XLOOKUP(B37,#REF!,#REF!)," ")))</f>
        <v/>
      </c>
      <c r="L37" s="519" t="str">
        <f t="shared" si="1"/>
        <v/>
      </c>
      <c r="M37" s="510" t="e">
        <f>#REF!</f>
        <v>#REF!</v>
      </c>
      <c r="N37" s="525"/>
      <c r="O37" s="526" t="str">
        <f>IF(N37="","",SUMIF(#REF!,'Off-site gain site summary'!N37,#REF!))</f>
        <v/>
      </c>
      <c r="P37" s="526" t="str">
        <f>IF(N37="","",SUMIF(#REF!,'Off-site gain site summary'!$N37,#REF!))</f>
        <v/>
      </c>
      <c r="Q37" s="526" t="str">
        <f>IF(N37="","",SUMIF(#REF!,'Off-site gain site summary'!$N37,#REF!))</f>
        <v/>
      </c>
      <c r="R37" s="526" t="str">
        <f>IF(N37="","",SUMIF(#REF!,'Off-site gain site summary'!$N37,#REF!))</f>
        <v/>
      </c>
      <c r="S37" s="524" t="str">
        <f t="shared" si="2"/>
        <v/>
      </c>
      <c r="T37" s="524" t="str">
        <f>IF(ISBLANK(N37),"", IFERROR(_xlfn.XLOOKUP(N37,#REF!,#REF!), IFERROR(_xlfn.XLOOKUP(N37,#REF!,#REF!), " ")))</f>
        <v/>
      </c>
      <c r="U37" s="527" t="str">
        <f t="shared" si="3"/>
        <v/>
      </c>
      <c r="V37" s="1" t="e">
        <f>#REF!</f>
        <v>#REF!</v>
      </c>
      <c r="W37" s="525"/>
      <c r="X37" s="526" t="str">
        <f>IF(W37="","",SUMIF(#REF!,'Off-site gain site summary'!$W37,#REF!))</f>
        <v/>
      </c>
      <c r="Y37" s="526" t="str">
        <f>IF(W37="","",SUMIF(#REF!,'Off-site gain site summary'!$W37,#REF!))</f>
        <v/>
      </c>
      <c r="Z37" s="526" t="str">
        <f>IF(W37="","",SUMIF(#REF!,'Off-site gain site summary'!$W37,#REF!))</f>
        <v/>
      </c>
      <c r="AA37" s="526" t="str">
        <f>IF(W37="","",SUMIF(#REF!,'Off-site gain site summary'!$W37,#REF!))</f>
        <v/>
      </c>
      <c r="AB37" s="526" t="str">
        <f t="shared" si="4"/>
        <v/>
      </c>
      <c r="AC37" s="526" t="str">
        <f>IF(ISBLANK(W37),"", IFERROR(_xlfn.XLOOKUP(W37,#REF!,#REF!), IFERROR(_xlfn.XLOOKUP(W37,#REF!,#REF!)," ")))</f>
        <v/>
      </c>
      <c r="AD37" s="527" t="str">
        <f t="shared" si="5"/>
        <v/>
      </c>
      <c r="AE37" s="981"/>
      <c r="AF37" s="981"/>
    </row>
    <row r="38" spans="1:32" x14ac:dyDescent="0.35">
      <c r="A38" s="510" t="e">
        <f>#REF!</f>
        <v>#REF!</v>
      </c>
      <c r="B38" s="517"/>
      <c r="C38" s="515" t="str">
        <f>IF(B38="","",SUMIF(#REF!,B38,#REF!))</f>
        <v/>
      </c>
      <c r="D38" s="979" t="str">
        <f>IF(B38="","", SUMIF(#REF!,'Off-site gain site summary'!$B38,#REF!))</f>
        <v/>
      </c>
      <c r="E38" s="980"/>
      <c r="F38" s="979" t="str">
        <f>IF(B38="","",SUMIF(#REF!,'Off-site gain site summary'!B38,#REF!))</f>
        <v/>
      </c>
      <c r="G38" s="980"/>
      <c r="H38" s="979" t="str">
        <f>IF(B38="","",SUMIF(#REF!,'Off-site gain site summary'!B38,#REF!))</f>
        <v/>
      </c>
      <c r="I38" s="980"/>
      <c r="J38" s="518" t="str">
        <f t="shared" si="0"/>
        <v/>
      </c>
      <c r="K38" s="515" t="str">
        <f>IF(ISBLANK(B38),"",IFERROR(_xlfn.XLOOKUP(B38,#REF!,#REF!),IFERROR(_xlfn.XLOOKUP(B38,#REF!,#REF!)," ")))</f>
        <v/>
      </c>
      <c r="L38" s="519" t="str">
        <f t="shared" si="1"/>
        <v/>
      </c>
      <c r="M38" s="510" t="e">
        <f>#REF!</f>
        <v>#REF!</v>
      </c>
      <c r="N38" s="525"/>
      <c r="O38" s="526" t="str">
        <f>IF(N38="","",SUMIF(#REF!,'Off-site gain site summary'!N38,#REF!))</f>
        <v/>
      </c>
      <c r="P38" s="526" t="str">
        <f>IF(N38="","",SUMIF(#REF!,'Off-site gain site summary'!$N38,#REF!))</f>
        <v/>
      </c>
      <c r="Q38" s="526" t="str">
        <f>IF(N38="","",SUMIF(#REF!,'Off-site gain site summary'!$N38,#REF!))</f>
        <v/>
      </c>
      <c r="R38" s="526" t="str">
        <f>IF(N38="","",SUMIF(#REF!,'Off-site gain site summary'!$N38,#REF!))</f>
        <v/>
      </c>
      <c r="S38" s="524" t="str">
        <f t="shared" si="2"/>
        <v/>
      </c>
      <c r="T38" s="524" t="str">
        <f>IF(ISBLANK(N38),"", IFERROR(_xlfn.XLOOKUP(N38,#REF!,#REF!), IFERROR(_xlfn.XLOOKUP(N38,#REF!,#REF!), " ")))</f>
        <v/>
      </c>
      <c r="U38" s="527" t="str">
        <f t="shared" si="3"/>
        <v/>
      </c>
      <c r="V38" s="1" t="e">
        <f>#REF!</f>
        <v>#REF!</v>
      </c>
      <c r="W38" s="525"/>
      <c r="X38" s="526" t="str">
        <f>IF(W38="","",SUMIF(#REF!,'Off-site gain site summary'!$W38,#REF!))</f>
        <v/>
      </c>
      <c r="Y38" s="526" t="str">
        <f>IF(W38="","",SUMIF(#REF!,'Off-site gain site summary'!$W38,#REF!))</f>
        <v/>
      </c>
      <c r="Z38" s="526" t="str">
        <f>IF(W38="","",SUMIF(#REF!,'Off-site gain site summary'!$W38,#REF!))</f>
        <v/>
      </c>
      <c r="AA38" s="526" t="str">
        <f>IF(W38="","",SUMIF(#REF!,'Off-site gain site summary'!$W38,#REF!))</f>
        <v/>
      </c>
      <c r="AB38" s="526" t="str">
        <f t="shared" si="4"/>
        <v/>
      </c>
      <c r="AC38" s="526" t="str">
        <f>IF(ISBLANK(W38),"", IFERROR(_xlfn.XLOOKUP(W38,#REF!,#REF!), IFERROR(_xlfn.XLOOKUP(W38,#REF!,#REF!)," ")))</f>
        <v/>
      </c>
      <c r="AD38" s="527" t="str">
        <f t="shared" si="5"/>
        <v/>
      </c>
      <c r="AE38" s="981"/>
      <c r="AF38" s="981"/>
    </row>
    <row r="39" spans="1:32" x14ac:dyDescent="0.35">
      <c r="A39" s="510" t="e">
        <f>#REF!</f>
        <v>#REF!</v>
      </c>
      <c r="B39" s="517"/>
      <c r="C39" s="515" t="str">
        <f>IF(B39="","",SUMIF(#REF!,B39,#REF!))</f>
        <v/>
      </c>
      <c r="D39" s="979" t="str">
        <f>IF(B39="","", SUMIF(#REF!,'Off-site gain site summary'!$B39,#REF!))</f>
        <v/>
      </c>
      <c r="E39" s="980"/>
      <c r="F39" s="979" t="str">
        <f>IF(B39="","",SUMIF(#REF!,'Off-site gain site summary'!B39,#REF!))</f>
        <v/>
      </c>
      <c r="G39" s="980"/>
      <c r="H39" s="979" t="str">
        <f>IF(B39="","",SUMIF(#REF!,'Off-site gain site summary'!B39,#REF!))</f>
        <v/>
      </c>
      <c r="I39" s="980"/>
      <c r="J39" s="518" t="str">
        <f t="shared" si="0"/>
        <v/>
      </c>
      <c r="K39" s="515" t="str">
        <f>IF(ISBLANK(B39),"",IFERROR(_xlfn.XLOOKUP(B39,#REF!,#REF!),IFERROR(_xlfn.XLOOKUP(B39,#REF!,#REF!)," ")))</f>
        <v/>
      </c>
      <c r="L39" s="519" t="str">
        <f t="shared" si="1"/>
        <v/>
      </c>
      <c r="M39" s="510" t="e">
        <f>#REF!</f>
        <v>#REF!</v>
      </c>
      <c r="N39" s="525"/>
      <c r="O39" s="526" t="str">
        <f>IF(N39="","",SUMIF(#REF!,'Off-site gain site summary'!N39,#REF!))</f>
        <v/>
      </c>
      <c r="P39" s="526" t="str">
        <f>IF(N39="","",SUMIF(#REF!,'Off-site gain site summary'!$N39,#REF!))</f>
        <v/>
      </c>
      <c r="Q39" s="526" t="str">
        <f>IF(N39="","",SUMIF(#REF!,'Off-site gain site summary'!$N39,#REF!))</f>
        <v/>
      </c>
      <c r="R39" s="526" t="str">
        <f>IF(N39="","",SUMIF(#REF!,'Off-site gain site summary'!$N39,#REF!))</f>
        <v/>
      </c>
      <c r="S39" s="524" t="str">
        <f t="shared" si="2"/>
        <v/>
      </c>
      <c r="T39" s="524" t="str">
        <f>IF(ISBLANK(N39),"", IFERROR(_xlfn.XLOOKUP(N39,#REF!,#REF!), IFERROR(_xlfn.XLOOKUP(N39,#REF!,#REF!), " ")))</f>
        <v/>
      </c>
      <c r="U39" s="527" t="str">
        <f t="shared" si="3"/>
        <v/>
      </c>
      <c r="V39" s="1" t="e">
        <f>#REF!</f>
        <v>#REF!</v>
      </c>
      <c r="W39" s="525"/>
      <c r="X39" s="526" t="str">
        <f>IF(W39="","",SUMIF(#REF!,'Off-site gain site summary'!$W39,#REF!))</f>
        <v/>
      </c>
      <c r="Y39" s="526" t="str">
        <f>IF(W39="","",SUMIF(#REF!,'Off-site gain site summary'!$W39,#REF!))</f>
        <v/>
      </c>
      <c r="Z39" s="526" t="str">
        <f>IF(W39="","",SUMIF(#REF!,'Off-site gain site summary'!$W39,#REF!))</f>
        <v/>
      </c>
      <c r="AA39" s="526" t="str">
        <f>IF(W39="","",SUMIF(#REF!,'Off-site gain site summary'!$W39,#REF!))</f>
        <v/>
      </c>
      <c r="AB39" s="526" t="str">
        <f t="shared" si="4"/>
        <v/>
      </c>
      <c r="AC39" s="526" t="str">
        <f>IF(ISBLANK(W39),"", IFERROR(_xlfn.XLOOKUP(W39,#REF!,#REF!), IFERROR(_xlfn.XLOOKUP(W39,#REF!,#REF!)," ")))</f>
        <v/>
      </c>
      <c r="AD39" s="527" t="str">
        <f t="shared" si="5"/>
        <v/>
      </c>
      <c r="AE39" s="981"/>
      <c r="AF39" s="981"/>
    </row>
    <row r="40" spans="1:32" x14ac:dyDescent="0.35">
      <c r="A40" s="510" t="e">
        <f>#REF!</f>
        <v>#REF!</v>
      </c>
      <c r="B40" s="517"/>
      <c r="C40" s="515" t="str">
        <f>IF(B40="","",SUMIF(#REF!,B40,#REF!))</f>
        <v/>
      </c>
      <c r="D40" s="979" t="str">
        <f>IF(B40="","", SUMIF(#REF!,'Off-site gain site summary'!$B40,#REF!))</f>
        <v/>
      </c>
      <c r="E40" s="980"/>
      <c r="F40" s="979" t="str">
        <f>IF(B40="","",SUMIF(#REF!,'Off-site gain site summary'!B40,#REF!))</f>
        <v/>
      </c>
      <c r="G40" s="980"/>
      <c r="H40" s="979" t="str">
        <f>IF(B40="","",SUMIF(#REF!,'Off-site gain site summary'!B40,#REF!))</f>
        <v/>
      </c>
      <c r="I40" s="980"/>
      <c r="J40" s="518" t="str">
        <f t="shared" si="0"/>
        <v/>
      </c>
      <c r="K40" s="515" t="str">
        <f>IF(ISBLANK(B40),"",IFERROR(_xlfn.XLOOKUP(B40,#REF!,#REF!),IFERROR(_xlfn.XLOOKUP(B40,#REF!,#REF!)," ")))</f>
        <v/>
      </c>
      <c r="L40" s="519" t="str">
        <f t="shared" si="1"/>
        <v/>
      </c>
      <c r="M40" s="510" t="e">
        <f>#REF!</f>
        <v>#REF!</v>
      </c>
      <c r="N40" s="525"/>
      <c r="O40" s="526" t="str">
        <f>IF(N40="","",SUMIF(#REF!,'Off-site gain site summary'!N40,#REF!))</f>
        <v/>
      </c>
      <c r="P40" s="526" t="str">
        <f>IF(N40="","",SUMIF(#REF!,'Off-site gain site summary'!$N40,#REF!))</f>
        <v/>
      </c>
      <c r="Q40" s="526" t="str">
        <f>IF(N40="","",SUMIF(#REF!,'Off-site gain site summary'!$N40,#REF!))</f>
        <v/>
      </c>
      <c r="R40" s="526" t="str">
        <f>IF(N40="","",SUMIF(#REF!,'Off-site gain site summary'!$N40,#REF!))</f>
        <v/>
      </c>
      <c r="S40" s="524" t="str">
        <f t="shared" si="2"/>
        <v/>
      </c>
      <c r="T40" s="524" t="str">
        <f>IF(ISBLANK(N40),"", IFERROR(_xlfn.XLOOKUP(N40,#REF!,#REF!), IFERROR(_xlfn.XLOOKUP(N40,#REF!,#REF!), " ")))</f>
        <v/>
      </c>
      <c r="U40" s="527" t="str">
        <f t="shared" si="3"/>
        <v/>
      </c>
      <c r="V40" s="1" t="e">
        <f>#REF!</f>
        <v>#REF!</v>
      </c>
      <c r="W40" s="525"/>
      <c r="X40" s="526" t="str">
        <f>IF(W40="","",SUMIF(#REF!,'Off-site gain site summary'!$W40,#REF!))</f>
        <v/>
      </c>
      <c r="Y40" s="526" t="str">
        <f>IF(W40="","",SUMIF(#REF!,'Off-site gain site summary'!$W40,#REF!))</f>
        <v/>
      </c>
      <c r="Z40" s="526" t="str">
        <f>IF(W40="","",SUMIF(#REF!,'Off-site gain site summary'!$W40,#REF!))</f>
        <v/>
      </c>
      <c r="AA40" s="526" t="str">
        <f>IF(W40="","",SUMIF(#REF!,'Off-site gain site summary'!$W40,#REF!))</f>
        <v/>
      </c>
      <c r="AB40" s="526" t="str">
        <f t="shared" si="4"/>
        <v/>
      </c>
      <c r="AC40" s="526" t="str">
        <f>IF(ISBLANK(W40),"", IFERROR(_xlfn.XLOOKUP(W40,#REF!,#REF!), IFERROR(_xlfn.XLOOKUP(W40,#REF!,#REF!)," ")))</f>
        <v/>
      </c>
      <c r="AD40" s="527" t="str">
        <f t="shared" si="5"/>
        <v/>
      </c>
      <c r="AE40" s="981"/>
      <c r="AF40" s="981"/>
    </row>
    <row r="41" spans="1:32" x14ac:dyDescent="0.35">
      <c r="A41" s="510" t="e">
        <f>#REF!</f>
        <v>#REF!</v>
      </c>
      <c r="B41" s="517"/>
      <c r="C41" s="515" t="str">
        <f>IF(B41="","",SUMIF(#REF!,B41,#REF!))</f>
        <v/>
      </c>
      <c r="D41" s="979" t="str">
        <f>IF(B41="","", SUMIF(#REF!,'Off-site gain site summary'!$B41,#REF!))</f>
        <v/>
      </c>
      <c r="E41" s="980"/>
      <c r="F41" s="979" t="str">
        <f>IF(B41="","",SUMIF(#REF!,'Off-site gain site summary'!B41,#REF!))</f>
        <v/>
      </c>
      <c r="G41" s="980"/>
      <c r="H41" s="979" t="str">
        <f>IF(B41="","",SUMIF(#REF!,'Off-site gain site summary'!B41,#REF!))</f>
        <v/>
      </c>
      <c r="I41" s="980"/>
      <c r="J41" s="518" t="str">
        <f t="shared" si="0"/>
        <v/>
      </c>
      <c r="K41" s="515" t="str">
        <f>IF(ISBLANK(B41),"",IFERROR(_xlfn.XLOOKUP(B41,#REF!,#REF!),IFERROR(_xlfn.XLOOKUP(B41,#REF!,#REF!)," ")))</f>
        <v/>
      </c>
      <c r="L41" s="519" t="str">
        <f t="shared" si="1"/>
        <v/>
      </c>
      <c r="M41" s="510" t="e">
        <f>#REF!</f>
        <v>#REF!</v>
      </c>
      <c r="N41" s="525"/>
      <c r="O41" s="526" t="str">
        <f>IF(N41="","",SUMIF(#REF!,'Off-site gain site summary'!N41,#REF!))</f>
        <v/>
      </c>
      <c r="P41" s="526" t="str">
        <f>IF(N41="","",SUMIF(#REF!,'Off-site gain site summary'!$N41,#REF!))</f>
        <v/>
      </c>
      <c r="Q41" s="526" t="str">
        <f>IF(N41="","",SUMIF(#REF!,'Off-site gain site summary'!$N41,#REF!))</f>
        <v/>
      </c>
      <c r="R41" s="526" t="str">
        <f>IF(N41="","",SUMIF(#REF!,'Off-site gain site summary'!$N41,#REF!))</f>
        <v/>
      </c>
      <c r="S41" s="524" t="str">
        <f t="shared" si="2"/>
        <v/>
      </c>
      <c r="T41" s="524" t="str">
        <f>IF(ISBLANK(N41),"", IFERROR(_xlfn.XLOOKUP(N41,#REF!,#REF!), IFERROR(_xlfn.XLOOKUP(N41,#REF!,#REF!), " ")))</f>
        <v/>
      </c>
      <c r="U41" s="527" t="str">
        <f t="shared" si="3"/>
        <v/>
      </c>
      <c r="V41" s="1" t="e">
        <f>#REF!</f>
        <v>#REF!</v>
      </c>
      <c r="W41" s="525"/>
      <c r="X41" s="526" t="str">
        <f>IF(W41="","",SUMIF(#REF!,'Off-site gain site summary'!$W41,#REF!))</f>
        <v/>
      </c>
      <c r="Y41" s="526" t="str">
        <f>IF(W41="","",SUMIF(#REF!,'Off-site gain site summary'!$W41,#REF!))</f>
        <v/>
      </c>
      <c r="Z41" s="526" t="str">
        <f>IF(W41="","",SUMIF(#REF!,'Off-site gain site summary'!$W41,#REF!))</f>
        <v/>
      </c>
      <c r="AA41" s="526" t="str">
        <f>IF(W41="","",SUMIF(#REF!,'Off-site gain site summary'!$W41,#REF!))</f>
        <v/>
      </c>
      <c r="AB41" s="526" t="str">
        <f t="shared" si="4"/>
        <v/>
      </c>
      <c r="AC41" s="526" t="str">
        <f>IF(ISBLANK(W41),"", IFERROR(_xlfn.XLOOKUP(W41,#REF!,#REF!), IFERROR(_xlfn.XLOOKUP(W41,#REF!,#REF!)," ")))</f>
        <v/>
      </c>
      <c r="AD41" s="527" t="str">
        <f t="shared" si="5"/>
        <v/>
      </c>
      <c r="AE41" s="981"/>
      <c r="AF41" s="981"/>
    </row>
    <row r="42" spans="1:32" x14ac:dyDescent="0.35">
      <c r="A42" s="510" t="e">
        <f>#REF!</f>
        <v>#REF!</v>
      </c>
      <c r="B42" s="517"/>
      <c r="C42" s="515" t="str">
        <f>IF(B42="","",SUMIF(#REF!,B42,#REF!))</f>
        <v/>
      </c>
      <c r="D42" s="979" t="str">
        <f>IF(B42="","", SUMIF(#REF!,'Off-site gain site summary'!$B42,#REF!))</f>
        <v/>
      </c>
      <c r="E42" s="980"/>
      <c r="F42" s="979" t="str">
        <f>IF(B42="","",SUMIF(#REF!,'Off-site gain site summary'!B42,#REF!))</f>
        <v/>
      </c>
      <c r="G42" s="980"/>
      <c r="H42" s="979" t="str">
        <f>IF(B42="","",SUMIF(#REF!,'Off-site gain site summary'!B42,#REF!))</f>
        <v/>
      </c>
      <c r="I42" s="980"/>
      <c r="J42" s="518" t="str">
        <f t="shared" si="0"/>
        <v/>
      </c>
      <c r="K42" s="515" t="str">
        <f>IF(ISBLANK(B42),"",IFERROR(_xlfn.XLOOKUP(B42,#REF!,#REF!),IFERROR(_xlfn.XLOOKUP(B42,#REF!,#REF!)," ")))</f>
        <v/>
      </c>
      <c r="L42" s="519" t="str">
        <f t="shared" si="1"/>
        <v/>
      </c>
      <c r="M42" s="510" t="e">
        <f>#REF!</f>
        <v>#REF!</v>
      </c>
      <c r="N42" s="525"/>
      <c r="O42" s="526" t="str">
        <f>IF(N42="","",SUMIF(#REF!,'Off-site gain site summary'!N42,#REF!))</f>
        <v/>
      </c>
      <c r="P42" s="526" t="str">
        <f>IF(N42="","",SUMIF(#REF!,'Off-site gain site summary'!$N42,#REF!))</f>
        <v/>
      </c>
      <c r="Q42" s="526" t="str">
        <f>IF(N42="","",SUMIF(#REF!,'Off-site gain site summary'!$N42,#REF!))</f>
        <v/>
      </c>
      <c r="R42" s="526" t="str">
        <f>IF(N42="","",SUMIF(#REF!,'Off-site gain site summary'!$N42,#REF!))</f>
        <v/>
      </c>
      <c r="S42" s="524" t="str">
        <f t="shared" si="2"/>
        <v/>
      </c>
      <c r="T42" s="524" t="str">
        <f>IF(ISBLANK(N42),"", IFERROR(_xlfn.XLOOKUP(N42,#REF!,#REF!), IFERROR(_xlfn.XLOOKUP(N42,#REF!,#REF!), " ")))</f>
        <v/>
      </c>
      <c r="U42" s="527" t="str">
        <f t="shared" si="3"/>
        <v/>
      </c>
      <c r="V42" s="1" t="e">
        <f>#REF!</f>
        <v>#REF!</v>
      </c>
      <c r="W42" s="525"/>
      <c r="X42" s="526" t="str">
        <f>IF(W42="","",SUMIF(#REF!,'Off-site gain site summary'!$W42,#REF!))</f>
        <v/>
      </c>
      <c r="Y42" s="526" t="str">
        <f>IF(W42="","",SUMIF(#REF!,'Off-site gain site summary'!$W42,#REF!))</f>
        <v/>
      </c>
      <c r="Z42" s="526" t="str">
        <f>IF(W42="","",SUMIF(#REF!,'Off-site gain site summary'!$W42,#REF!))</f>
        <v/>
      </c>
      <c r="AA42" s="526" t="str">
        <f>IF(W42="","",SUMIF(#REF!,'Off-site gain site summary'!$W42,#REF!))</f>
        <v/>
      </c>
      <c r="AB42" s="526" t="str">
        <f t="shared" si="4"/>
        <v/>
      </c>
      <c r="AC42" s="526" t="str">
        <f>IF(ISBLANK(W42),"", IFERROR(_xlfn.XLOOKUP(W42,#REF!,#REF!), IFERROR(_xlfn.XLOOKUP(W42,#REF!,#REF!)," ")))</f>
        <v/>
      </c>
      <c r="AD42" s="527" t="str">
        <f t="shared" si="5"/>
        <v/>
      </c>
      <c r="AE42" s="981"/>
      <c r="AF42" s="981"/>
    </row>
    <row r="43" spans="1:32" x14ac:dyDescent="0.35">
      <c r="A43" s="510" t="e">
        <f>#REF!</f>
        <v>#REF!</v>
      </c>
      <c r="B43" s="517"/>
      <c r="C43" s="515" t="str">
        <f>IF(B43="","",SUMIF(#REF!,B43,#REF!))</f>
        <v/>
      </c>
      <c r="D43" s="979" t="str">
        <f>IF(B43="","", SUMIF(#REF!,'Off-site gain site summary'!$B43,#REF!))</f>
        <v/>
      </c>
      <c r="E43" s="980"/>
      <c r="F43" s="979" t="str">
        <f>IF(B43="","",SUMIF(#REF!,'Off-site gain site summary'!B43,#REF!))</f>
        <v/>
      </c>
      <c r="G43" s="980"/>
      <c r="H43" s="979" t="str">
        <f>IF(B43="","",SUMIF(#REF!,'Off-site gain site summary'!B43,#REF!))</f>
        <v/>
      </c>
      <c r="I43" s="980"/>
      <c r="J43" s="518" t="str">
        <f t="shared" si="0"/>
        <v/>
      </c>
      <c r="K43" s="515" t="str">
        <f>IF(ISBLANK(B43),"",IFERROR(_xlfn.XLOOKUP(B43,#REF!,#REF!),IFERROR(_xlfn.XLOOKUP(B43,#REF!,#REF!)," ")))</f>
        <v/>
      </c>
      <c r="L43" s="519" t="str">
        <f t="shared" si="1"/>
        <v/>
      </c>
      <c r="M43" s="510" t="e">
        <f>#REF!</f>
        <v>#REF!</v>
      </c>
      <c r="N43" s="525"/>
      <c r="O43" s="526" t="str">
        <f>IF(N43="","",SUMIF(#REF!,'Off-site gain site summary'!N43,#REF!))</f>
        <v/>
      </c>
      <c r="P43" s="526" t="str">
        <f>IF(N43="","",SUMIF(#REF!,'Off-site gain site summary'!$N43,#REF!))</f>
        <v/>
      </c>
      <c r="Q43" s="526" t="str">
        <f>IF(N43="","",SUMIF(#REF!,'Off-site gain site summary'!$N43,#REF!))</f>
        <v/>
      </c>
      <c r="R43" s="526" t="str">
        <f>IF(N43="","",SUMIF(#REF!,'Off-site gain site summary'!$N43,#REF!))</f>
        <v/>
      </c>
      <c r="S43" s="524" t="str">
        <f t="shared" si="2"/>
        <v/>
      </c>
      <c r="T43" s="524" t="str">
        <f>IF(ISBLANK(N43),"", IFERROR(_xlfn.XLOOKUP(N43,#REF!,#REF!), IFERROR(_xlfn.XLOOKUP(N43,#REF!,#REF!), " ")))</f>
        <v/>
      </c>
      <c r="U43" s="527" t="str">
        <f t="shared" si="3"/>
        <v/>
      </c>
      <c r="V43" s="1" t="e">
        <f>#REF!</f>
        <v>#REF!</v>
      </c>
      <c r="W43" s="525"/>
      <c r="X43" s="526" t="str">
        <f>IF(W43="","",SUMIF(#REF!,'Off-site gain site summary'!$W43,#REF!))</f>
        <v/>
      </c>
      <c r="Y43" s="526" t="str">
        <f>IF(W43="","",SUMIF(#REF!,'Off-site gain site summary'!$W43,#REF!))</f>
        <v/>
      </c>
      <c r="Z43" s="526" t="str">
        <f>IF(W43="","",SUMIF(#REF!,'Off-site gain site summary'!$W43,#REF!))</f>
        <v/>
      </c>
      <c r="AA43" s="526" t="str">
        <f>IF(W43="","",SUMIF(#REF!,'Off-site gain site summary'!$W43,#REF!))</f>
        <v/>
      </c>
      <c r="AB43" s="526" t="str">
        <f t="shared" si="4"/>
        <v/>
      </c>
      <c r="AC43" s="526" t="str">
        <f>IF(ISBLANK(W43),"", IFERROR(_xlfn.XLOOKUP(W43,#REF!,#REF!), IFERROR(_xlfn.XLOOKUP(W43,#REF!,#REF!)," ")))</f>
        <v/>
      </c>
      <c r="AD43" s="527" t="str">
        <f t="shared" si="5"/>
        <v/>
      </c>
      <c r="AE43" s="981"/>
      <c r="AF43" s="981"/>
    </row>
    <row r="44" spans="1:32" x14ac:dyDescent="0.35">
      <c r="A44" s="510" t="e">
        <f>#REF!</f>
        <v>#REF!</v>
      </c>
      <c r="B44" s="517"/>
      <c r="C44" s="515" t="str">
        <f>IF(B44="","",SUMIF(#REF!,B44,#REF!))</f>
        <v/>
      </c>
      <c r="D44" s="979" t="str">
        <f>IF(B44="","", SUMIF(#REF!,'Off-site gain site summary'!$B44,#REF!))</f>
        <v/>
      </c>
      <c r="E44" s="980"/>
      <c r="F44" s="979" t="str">
        <f>IF(B44="","",SUMIF(#REF!,'Off-site gain site summary'!B44,#REF!))</f>
        <v/>
      </c>
      <c r="G44" s="980"/>
      <c r="H44" s="979" t="str">
        <f>IF(B44="","",SUMIF(#REF!,'Off-site gain site summary'!B44,#REF!))</f>
        <v/>
      </c>
      <c r="I44" s="980"/>
      <c r="J44" s="518" t="str">
        <f t="shared" si="0"/>
        <v/>
      </c>
      <c r="K44" s="515" t="str">
        <f>IF(ISBLANK(B44),"",IFERROR(_xlfn.XLOOKUP(B44,#REF!,#REF!),IFERROR(_xlfn.XLOOKUP(B44,#REF!,#REF!)," ")))</f>
        <v/>
      </c>
      <c r="L44" s="519" t="str">
        <f t="shared" si="1"/>
        <v/>
      </c>
      <c r="M44" s="510" t="e">
        <f>#REF!</f>
        <v>#REF!</v>
      </c>
      <c r="N44" s="525"/>
      <c r="O44" s="526" t="str">
        <f>IF(N44="","",SUMIF(#REF!,'Off-site gain site summary'!N44,#REF!))</f>
        <v/>
      </c>
      <c r="P44" s="526" t="str">
        <f>IF(N44="","",SUMIF(#REF!,'Off-site gain site summary'!$N44,#REF!))</f>
        <v/>
      </c>
      <c r="Q44" s="526" t="str">
        <f>IF(N44="","",SUMIF(#REF!,'Off-site gain site summary'!$N44,#REF!))</f>
        <v/>
      </c>
      <c r="R44" s="526" t="str">
        <f>IF(N44="","",SUMIF(#REF!,'Off-site gain site summary'!$N44,#REF!))</f>
        <v/>
      </c>
      <c r="S44" s="524" t="str">
        <f t="shared" si="2"/>
        <v/>
      </c>
      <c r="T44" s="524" t="str">
        <f>IF(ISBLANK(N44),"", IFERROR(_xlfn.XLOOKUP(N44,#REF!,#REF!), IFERROR(_xlfn.XLOOKUP(N44,#REF!,#REF!), " ")))</f>
        <v/>
      </c>
      <c r="U44" s="527" t="str">
        <f t="shared" si="3"/>
        <v/>
      </c>
      <c r="V44" s="1" t="e">
        <f>#REF!</f>
        <v>#REF!</v>
      </c>
      <c r="W44" s="525"/>
      <c r="X44" s="526" t="str">
        <f>IF(W44="","",SUMIF(#REF!,'Off-site gain site summary'!$W44,#REF!))</f>
        <v/>
      </c>
      <c r="Y44" s="526" t="str">
        <f>IF(W44="","",SUMIF(#REF!,'Off-site gain site summary'!$W44,#REF!))</f>
        <v/>
      </c>
      <c r="Z44" s="526" t="str">
        <f>IF(W44="","",SUMIF(#REF!,'Off-site gain site summary'!$W44,#REF!))</f>
        <v/>
      </c>
      <c r="AA44" s="526" t="str">
        <f>IF(W44="","",SUMIF(#REF!,'Off-site gain site summary'!$W44,#REF!))</f>
        <v/>
      </c>
      <c r="AB44" s="526" t="str">
        <f t="shared" si="4"/>
        <v/>
      </c>
      <c r="AC44" s="526" t="str">
        <f>IF(ISBLANK(W44),"", IFERROR(_xlfn.XLOOKUP(W44,#REF!,#REF!), IFERROR(_xlfn.XLOOKUP(W44,#REF!,#REF!)," ")))</f>
        <v/>
      </c>
      <c r="AD44" s="527" t="str">
        <f t="shared" si="5"/>
        <v/>
      </c>
      <c r="AE44" s="981"/>
      <c r="AF44" s="981"/>
    </row>
    <row r="45" spans="1:32" x14ac:dyDescent="0.35">
      <c r="A45" s="510" t="e">
        <f>#REF!</f>
        <v>#REF!</v>
      </c>
      <c r="B45" s="517"/>
      <c r="C45" s="515" t="str">
        <f>IF(B45="","",SUMIF(#REF!,B45,#REF!))</f>
        <v/>
      </c>
      <c r="D45" s="979" t="str">
        <f>IF(B45="","", SUMIF(#REF!,'Off-site gain site summary'!$B45,#REF!))</f>
        <v/>
      </c>
      <c r="E45" s="980"/>
      <c r="F45" s="979" t="str">
        <f>IF(B45="","",SUMIF(#REF!,'Off-site gain site summary'!B45,#REF!))</f>
        <v/>
      </c>
      <c r="G45" s="980"/>
      <c r="H45" s="979" t="str">
        <f>IF(B45="","",SUMIF(#REF!,'Off-site gain site summary'!B45,#REF!))</f>
        <v/>
      </c>
      <c r="I45" s="980"/>
      <c r="J45" s="518" t="str">
        <f t="shared" si="0"/>
        <v/>
      </c>
      <c r="K45" s="515" t="str">
        <f>IF(ISBLANK(B45),"",IFERROR(_xlfn.XLOOKUP(B45,#REF!,#REF!),IFERROR(_xlfn.XLOOKUP(B45,#REF!,#REF!)," ")))</f>
        <v/>
      </c>
      <c r="L45" s="519" t="str">
        <f t="shared" si="1"/>
        <v/>
      </c>
      <c r="M45" s="510" t="e">
        <f>#REF!</f>
        <v>#REF!</v>
      </c>
      <c r="N45" s="525"/>
      <c r="O45" s="526" t="str">
        <f>IF(N45="","",SUMIF(#REF!,'Off-site gain site summary'!N45,#REF!))</f>
        <v/>
      </c>
      <c r="P45" s="526" t="str">
        <f>IF(N45="","",SUMIF(#REF!,'Off-site gain site summary'!$N45,#REF!))</f>
        <v/>
      </c>
      <c r="Q45" s="526" t="str">
        <f>IF(N45="","",SUMIF(#REF!,'Off-site gain site summary'!$N45,#REF!))</f>
        <v/>
      </c>
      <c r="R45" s="526" t="str">
        <f>IF(N45="","",SUMIF(#REF!,'Off-site gain site summary'!$N45,#REF!))</f>
        <v/>
      </c>
      <c r="S45" s="524" t="str">
        <f t="shared" si="2"/>
        <v/>
      </c>
      <c r="T45" s="524" t="str">
        <f>IF(ISBLANK(N45),"", IFERROR(_xlfn.XLOOKUP(N45,#REF!,#REF!), IFERROR(_xlfn.XLOOKUP(N45,#REF!,#REF!), " ")))</f>
        <v/>
      </c>
      <c r="U45" s="527" t="str">
        <f t="shared" si="3"/>
        <v/>
      </c>
      <c r="V45" s="1" t="e">
        <f>#REF!</f>
        <v>#REF!</v>
      </c>
      <c r="W45" s="525"/>
      <c r="X45" s="526" t="str">
        <f>IF(W45="","",SUMIF(#REF!,'Off-site gain site summary'!$W45,#REF!))</f>
        <v/>
      </c>
      <c r="Y45" s="526" t="str">
        <f>IF(W45="","",SUMIF(#REF!,'Off-site gain site summary'!$W45,#REF!))</f>
        <v/>
      </c>
      <c r="Z45" s="526" t="str">
        <f>IF(W45="","",SUMIF(#REF!,'Off-site gain site summary'!$W45,#REF!))</f>
        <v/>
      </c>
      <c r="AA45" s="526" t="str">
        <f>IF(W45="","",SUMIF(#REF!,'Off-site gain site summary'!$W45,#REF!))</f>
        <v/>
      </c>
      <c r="AB45" s="526" t="str">
        <f t="shared" si="4"/>
        <v/>
      </c>
      <c r="AC45" s="526" t="str">
        <f>IF(ISBLANK(W45),"", IFERROR(_xlfn.XLOOKUP(W45,#REF!,#REF!), IFERROR(_xlfn.XLOOKUP(W45,#REF!,#REF!)," ")))</f>
        <v/>
      </c>
      <c r="AD45" s="527" t="str">
        <f t="shared" si="5"/>
        <v/>
      </c>
      <c r="AE45" s="981"/>
      <c r="AF45" s="981"/>
    </row>
    <row r="46" spans="1:32" x14ac:dyDescent="0.35">
      <c r="A46" s="510" t="e">
        <f>#REF!</f>
        <v>#REF!</v>
      </c>
      <c r="B46" s="517"/>
      <c r="C46" s="515" t="str">
        <f>IF(B46="","",SUMIF(#REF!,B46,#REF!))</f>
        <v/>
      </c>
      <c r="D46" s="979" t="str">
        <f>IF(B46="","", SUMIF(#REF!,'Off-site gain site summary'!$B46,#REF!))</f>
        <v/>
      </c>
      <c r="E46" s="980"/>
      <c r="F46" s="979" t="str">
        <f>IF(B46="","",SUMIF(#REF!,'Off-site gain site summary'!B46,#REF!))</f>
        <v/>
      </c>
      <c r="G46" s="980"/>
      <c r="H46" s="979" t="str">
        <f>IF(B46="","",SUMIF(#REF!,'Off-site gain site summary'!B46,#REF!))</f>
        <v/>
      </c>
      <c r="I46" s="980"/>
      <c r="J46" s="518" t="str">
        <f t="shared" si="0"/>
        <v/>
      </c>
      <c r="K46" s="515" t="str">
        <f>IF(ISBLANK(B46),"",IFERROR(_xlfn.XLOOKUP(B46,#REF!,#REF!),IFERROR(_xlfn.XLOOKUP(B46,#REF!,#REF!)," ")))</f>
        <v/>
      </c>
      <c r="L46" s="519" t="str">
        <f t="shared" si="1"/>
        <v/>
      </c>
      <c r="M46" s="510" t="e">
        <f>#REF!</f>
        <v>#REF!</v>
      </c>
      <c r="N46" s="525"/>
      <c r="O46" s="526" t="str">
        <f>IF(N46="","",SUMIF(#REF!,'Off-site gain site summary'!N46,#REF!))</f>
        <v/>
      </c>
      <c r="P46" s="526" t="str">
        <f>IF(N46="","",SUMIF(#REF!,'Off-site gain site summary'!$N46,#REF!))</f>
        <v/>
      </c>
      <c r="Q46" s="526" t="str">
        <f>IF(N46="","",SUMIF(#REF!,'Off-site gain site summary'!$N46,#REF!))</f>
        <v/>
      </c>
      <c r="R46" s="526" t="str">
        <f>IF(N46="","",SUMIF(#REF!,'Off-site gain site summary'!$N46,#REF!))</f>
        <v/>
      </c>
      <c r="S46" s="524" t="str">
        <f t="shared" si="2"/>
        <v/>
      </c>
      <c r="T46" s="524" t="str">
        <f>IF(ISBLANK(N46),"", IFERROR(_xlfn.XLOOKUP(N46,#REF!,#REF!), IFERROR(_xlfn.XLOOKUP(N46,#REF!,#REF!), " ")))</f>
        <v/>
      </c>
      <c r="U46" s="527" t="str">
        <f t="shared" si="3"/>
        <v/>
      </c>
      <c r="V46" s="1" t="e">
        <f>#REF!</f>
        <v>#REF!</v>
      </c>
      <c r="W46" s="525"/>
      <c r="X46" s="526" t="str">
        <f>IF(W46="","",SUMIF(#REF!,'Off-site gain site summary'!$W46,#REF!))</f>
        <v/>
      </c>
      <c r="Y46" s="526" t="str">
        <f>IF(W46="","",SUMIF(#REF!,'Off-site gain site summary'!$W46,#REF!))</f>
        <v/>
      </c>
      <c r="Z46" s="526" t="str">
        <f>IF(W46="","",SUMIF(#REF!,'Off-site gain site summary'!$W46,#REF!))</f>
        <v/>
      </c>
      <c r="AA46" s="526" t="str">
        <f>IF(W46="","",SUMIF(#REF!,'Off-site gain site summary'!$W46,#REF!))</f>
        <v/>
      </c>
      <c r="AB46" s="526" t="str">
        <f t="shared" si="4"/>
        <v/>
      </c>
      <c r="AC46" s="526" t="str">
        <f>IF(ISBLANK(W46),"", IFERROR(_xlfn.XLOOKUP(W46,#REF!,#REF!), IFERROR(_xlfn.XLOOKUP(W46,#REF!,#REF!)," ")))</f>
        <v/>
      </c>
      <c r="AD46" s="527" t="str">
        <f t="shared" si="5"/>
        <v/>
      </c>
      <c r="AE46" s="981"/>
      <c r="AF46" s="981"/>
    </row>
    <row r="47" spans="1:32" x14ac:dyDescent="0.35">
      <c r="A47" s="510" t="e">
        <f>#REF!</f>
        <v>#REF!</v>
      </c>
      <c r="B47" s="517"/>
      <c r="C47" s="515" t="str">
        <f>IF(B47="","",SUMIF(#REF!,B47,#REF!))</f>
        <v/>
      </c>
      <c r="D47" s="979" t="str">
        <f>IF(B47="","", SUMIF(#REF!,'Off-site gain site summary'!$B47,#REF!))</f>
        <v/>
      </c>
      <c r="E47" s="980"/>
      <c r="F47" s="979" t="str">
        <f>IF(B47="","",SUMIF(#REF!,'Off-site gain site summary'!B47,#REF!))</f>
        <v/>
      </c>
      <c r="G47" s="980"/>
      <c r="H47" s="979" t="str">
        <f>IF(B47="","",SUMIF(#REF!,'Off-site gain site summary'!B47,#REF!))</f>
        <v/>
      </c>
      <c r="I47" s="980"/>
      <c r="J47" s="518" t="str">
        <f t="shared" si="0"/>
        <v/>
      </c>
      <c r="K47" s="515" t="str">
        <f>IF(ISBLANK(B47),"",IFERROR(_xlfn.XLOOKUP(B47,#REF!,#REF!),IFERROR(_xlfn.XLOOKUP(B47,#REF!,#REF!)," ")))</f>
        <v/>
      </c>
      <c r="L47" s="519" t="str">
        <f t="shared" si="1"/>
        <v/>
      </c>
      <c r="M47" s="510" t="e">
        <f>#REF!</f>
        <v>#REF!</v>
      </c>
      <c r="N47" s="525"/>
      <c r="O47" s="526" t="str">
        <f>IF(N47="","",SUMIF(#REF!,'Off-site gain site summary'!N47,#REF!))</f>
        <v/>
      </c>
      <c r="P47" s="526" t="str">
        <f>IF(N47="","",SUMIF(#REF!,'Off-site gain site summary'!$N47,#REF!))</f>
        <v/>
      </c>
      <c r="Q47" s="526" t="str">
        <f>IF(N47="","",SUMIF(#REF!,'Off-site gain site summary'!$N47,#REF!))</f>
        <v/>
      </c>
      <c r="R47" s="526" t="str">
        <f>IF(N47="","",SUMIF(#REF!,'Off-site gain site summary'!$N47,#REF!))</f>
        <v/>
      </c>
      <c r="S47" s="524" t="str">
        <f t="shared" si="2"/>
        <v/>
      </c>
      <c r="T47" s="524" t="str">
        <f>IF(ISBLANK(N47),"", IFERROR(_xlfn.XLOOKUP(N47,#REF!,#REF!), IFERROR(_xlfn.XLOOKUP(N47,#REF!,#REF!), " ")))</f>
        <v/>
      </c>
      <c r="U47" s="527" t="str">
        <f t="shared" si="3"/>
        <v/>
      </c>
      <c r="V47" s="1" t="e">
        <f>#REF!</f>
        <v>#REF!</v>
      </c>
      <c r="W47" s="525"/>
      <c r="X47" s="526" t="str">
        <f>IF(W47="","",SUMIF(#REF!,'Off-site gain site summary'!$W47,#REF!))</f>
        <v/>
      </c>
      <c r="Y47" s="526" t="str">
        <f>IF(W47="","",SUMIF(#REF!,'Off-site gain site summary'!$W47,#REF!))</f>
        <v/>
      </c>
      <c r="Z47" s="526" t="str">
        <f>IF(W47="","",SUMIF(#REF!,'Off-site gain site summary'!$W47,#REF!))</f>
        <v/>
      </c>
      <c r="AA47" s="526" t="str">
        <f>IF(W47="","",SUMIF(#REF!,'Off-site gain site summary'!$W47,#REF!))</f>
        <v/>
      </c>
      <c r="AB47" s="526" t="str">
        <f t="shared" si="4"/>
        <v/>
      </c>
      <c r="AC47" s="526" t="str">
        <f>IF(ISBLANK(W47),"", IFERROR(_xlfn.XLOOKUP(W47,#REF!,#REF!), IFERROR(_xlfn.XLOOKUP(W47,#REF!,#REF!)," ")))</f>
        <v/>
      </c>
      <c r="AD47" s="527" t="str">
        <f t="shared" si="5"/>
        <v/>
      </c>
      <c r="AE47" s="981"/>
      <c r="AF47" s="981"/>
    </row>
    <row r="48" spans="1:32" x14ac:dyDescent="0.35">
      <c r="A48" s="510" t="e">
        <f>#REF!</f>
        <v>#REF!</v>
      </c>
      <c r="B48" s="517"/>
      <c r="C48" s="515" t="str">
        <f>IF(B48="","",SUMIF(#REF!,B48,#REF!))</f>
        <v/>
      </c>
      <c r="D48" s="979" t="str">
        <f>IF(B48="","", SUMIF(#REF!,'Off-site gain site summary'!$B48,#REF!))</f>
        <v/>
      </c>
      <c r="E48" s="980"/>
      <c r="F48" s="979" t="str">
        <f>IF(B48="","",SUMIF(#REF!,'Off-site gain site summary'!B48,#REF!))</f>
        <v/>
      </c>
      <c r="G48" s="980"/>
      <c r="H48" s="979" t="str">
        <f>IF(B48="","",SUMIF(#REF!,'Off-site gain site summary'!B48,#REF!))</f>
        <v/>
      </c>
      <c r="I48" s="980"/>
      <c r="J48" s="518" t="str">
        <f t="shared" si="0"/>
        <v/>
      </c>
      <c r="K48" s="515" t="str">
        <f>IF(ISBLANK(B48),"",IFERROR(_xlfn.XLOOKUP(B48,#REF!,#REF!),IFERROR(_xlfn.XLOOKUP(B48,#REF!,#REF!)," ")))</f>
        <v/>
      </c>
      <c r="L48" s="519" t="str">
        <f t="shared" si="1"/>
        <v/>
      </c>
      <c r="M48" s="510" t="e">
        <f>#REF!</f>
        <v>#REF!</v>
      </c>
      <c r="N48" s="525"/>
      <c r="O48" s="526" t="str">
        <f>IF(N48="","",SUMIF(#REF!,'Off-site gain site summary'!N48,#REF!))</f>
        <v/>
      </c>
      <c r="P48" s="526" t="str">
        <f>IF(N48="","",SUMIF(#REF!,'Off-site gain site summary'!$N48,#REF!))</f>
        <v/>
      </c>
      <c r="Q48" s="526" t="str">
        <f>IF(N48="","",SUMIF(#REF!,'Off-site gain site summary'!$N48,#REF!))</f>
        <v/>
      </c>
      <c r="R48" s="526" t="str">
        <f>IF(N48="","",SUMIF(#REF!,'Off-site gain site summary'!$N48,#REF!))</f>
        <v/>
      </c>
      <c r="S48" s="524" t="str">
        <f t="shared" si="2"/>
        <v/>
      </c>
      <c r="T48" s="524" t="str">
        <f>IF(ISBLANK(N48),"", IFERROR(_xlfn.XLOOKUP(N48,#REF!,#REF!), IFERROR(_xlfn.XLOOKUP(N48,#REF!,#REF!), " ")))</f>
        <v/>
      </c>
      <c r="U48" s="527" t="str">
        <f t="shared" si="3"/>
        <v/>
      </c>
      <c r="V48" s="1" t="e">
        <f>#REF!</f>
        <v>#REF!</v>
      </c>
      <c r="W48" s="525"/>
      <c r="X48" s="526" t="str">
        <f>IF(W48="","",SUMIF(#REF!,'Off-site gain site summary'!$W48,#REF!))</f>
        <v/>
      </c>
      <c r="Y48" s="526" t="str">
        <f>IF(W48="","",SUMIF(#REF!,'Off-site gain site summary'!$W48,#REF!))</f>
        <v/>
      </c>
      <c r="Z48" s="526" t="str">
        <f>IF(W48="","",SUMIF(#REF!,'Off-site gain site summary'!$W48,#REF!))</f>
        <v/>
      </c>
      <c r="AA48" s="526" t="str">
        <f>IF(W48="","",SUMIF(#REF!,'Off-site gain site summary'!$W48,#REF!))</f>
        <v/>
      </c>
      <c r="AB48" s="526" t="str">
        <f t="shared" si="4"/>
        <v/>
      </c>
      <c r="AC48" s="526" t="str">
        <f>IF(ISBLANK(W48),"", IFERROR(_xlfn.XLOOKUP(W48,#REF!,#REF!), IFERROR(_xlfn.XLOOKUP(W48,#REF!,#REF!)," ")))</f>
        <v/>
      </c>
      <c r="AD48" s="527" t="str">
        <f t="shared" si="5"/>
        <v/>
      </c>
      <c r="AE48" s="981"/>
      <c r="AF48" s="981"/>
    </row>
    <row r="49" spans="1:32" x14ac:dyDescent="0.35">
      <c r="A49" s="510" t="e">
        <f>#REF!</f>
        <v>#REF!</v>
      </c>
      <c r="B49" s="517"/>
      <c r="C49" s="515" t="str">
        <f>IF(B49="","",SUMIF(#REF!,B49,#REF!))</f>
        <v/>
      </c>
      <c r="D49" s="979" t="str">
        <f>IF(B49="","", SUMIF(#REF!,'Off-site gain site summary'!$B49,#REF!))</f>
        <v/>
      </c>
      <c r="E49" s="980"/>
      <c r="F49" s="979" t="str">
        <f>IF(B49="","",SUMIF(#REF!,'Off-site gain site summary'!B49,#REF!))</f>
        <v/>
      </c>
      <c r="G49" s="980"/>
      <c r="H49" s="979" t="str">
        <f>IF(B49="","",SUMIF(#REF!,'Off-site gain site summary'!B49,#REF!))</f>
        <v/>
      </c>
      <c r="I49" s="980"/>
      <c r="J49" s="518" t="str">
        <f t="shared" si="0"/>
        <v/>
      </c>
      <c r="K49" s="515" t="str">
        <f>IF(ISBLANK(B49),"",IFERROR(_xlfn.XLOOKUP(B49,#REF!,#REF!),IFERROR(_xlfn.XLOOKUP(B49,#REF!,#REF!)," ")))</f>
        <v/>
      </c>
      <c r="L49" s="519" t="str">
        <f t="shared" si="1"/>
        <v/>
      </c>
      <c r="M49" s="510" t="e">
        <f>#REF!</f>
        <v>#REF!</v>
      </c>
      <c r="N49" s="525"/>
      <c r="O49" s="526" t="str">
        <f>IF(N49="","",SUMIF(#REF!,'Off-site gain site summary'!N49,#REF!))</f>
        <v/>
      </c>
      <c r="P49" s="526" t="str">
        <f>IF(N49="","",SUMIF(#REF!,'Off-site gain site summary'!$N49,#REF!))</f>
        <v/>
      </c>
      <c r="Q49" s="526" t="str">
        <f>IF(N49="","",SUMIF(#REF!,'Off-site gain site summary'!$N49,#REF!))</f>
        <v/>
      </c>
      <c r="R49" s="526" t="str">
        <f>IF(N49="","",SUMIF(#REF!,'Off-site gain site summary'!$N49,#REF!))</f>
        <v/>
      </c>
      <c r="S49" s="524" t="str">
        <f t="shared" si="2"/>
        <v/>
      </c>
      <c r="T49" s="524" t="str">
        <f>IF(ISBLANK(N49),"", IFERROR(_xlfn.XLOOKUP(N49,#REF!,#REF!), IFERROR(_xlfn.XLOOKUP(N49,#REF!,#REF!), " ")))</f>
        <v/>
      </c>
      <c r="U49" s="527" t="str">
        <f t="shared" si="3"/>
        <v/>
      </c>
      <c r="V49" s="1" t="e">
        <f>#REF!</f>
        <v>#REF!</v>
      </c>
      <c r="W49" s="525"/>
      <c r="X49" s="526" t="str">
        <f>IF(W49="","",SUMIF(#REF!,'Off-site gain site summary'!$W49,#REF!))</f>
        <v/>
      </c>
      <c r="Y49" s="526" t="str">
        <f>IF(W49="","",SUMIF(#REF!,'Off-site gain site summary'!$W49,#REF!))</f>
        <v/>
      </c>
      <c r="Z49" s="526" t="str">
        <f>IF(W49="","",SUMIF(#REF!,'Off-site gain site summary'!$W49,#REF!))</f>
        <v/>
      </c>
      <c r="AA49" s="526" t="str">
        <f>IF(W49="","",SUMIF(#REF!,'Off-site gain site summary'!$W49,#REF!))</f>
        <v/>
      </c>
      <c r="AB49" s="526" t="str">
        <f t="shared" si="4"/>
        <v/>
      </c>
      <c r="AC49" s="526" t="str">
        <f>IF(ISBLANK(W49),"", IFERROR(_xlfn.XLOOKUP(W49,#REF!,#REF!), IFERROR(_xlfn.XLOOKUP(W49,#REF!,#REF!)," ")))</f>
        <v/>
      </c>
      <c r="AD49" s="527" t="str">
        <f t="shared" si="5"/>
        <v/>
      </c>
      <c r="AE49" s="981"/>
      <c r="AF49" s="981"/>
    </row>
    <row r="50" spans="1:32" x14ac:dyDescent="0.35">
      <c r="A50" s="510" t="e">
        <f>#REF!</f>
        <v>#REF!</v>
      </c>
      <c r="B50" s="517"/>
      <c r="C50" s="515" t="str">
        <f>IF(B50="","",SUMIF(#REF!,B50,#REF!))</f>
        <v/>
      </c>
      <c r="D50" s="979" t="str">
        <f>IF(B50="","", SUMIF(#REF!,'Off-site gain site summary'!$B50,#REF!))</f>
        <v/>
      </c>
      <c r="E50" s="980"/>
      <c r="F50" s="979" t="str">
        <f>IF(B50="","",SUMIF(#REF!,'Off-site gain site summary'!B50,#REF!))</f>
        <v/>
      </c>
      <c r="G50" s="980"/>
      <c r="H50" s="979" t="str">
        <f>IF(B50="","",SUMIF(#REF!,'Off-site gain site summary'!B50,#REF!))</f>
        <v/>
      </c>
      <c r="I50" s="980"/>
      <c r="J50" s="518" t="str">
        <f t="shared" si="0"/>
        <v/>
      </c>
      <c r="K50" s="515" t="str">
        <f>IF(ISBLANK(B50),"",IFERROR(_xlfn.XLOOKUP(B50,#REF!,#REF!),IFERROR(_xlfn.XLOOKUP(B50,#REF!,#REF!)," ")))</f>
        <v/>
      </c>
      <c r="L50" s="519" t="str">
        <f t="shared" si="1"/>
        <v/>
      </c>
      <c r="M50" s="510" t="e">
        <f>#REF!</f>
        <v>#REF!</v>
      </c>
      <c r="N50" s="525"/>
      <c r="O50" s="526" t="str">
        <f>IF(N50="","",SUMIF(#REF!,'Off-site gain site summary'!N50,#REF!))</f>
        <v/>
      </c>
      <c r="P50" s="526" t="str">
        <f>IF(N50="","",SUMIF(#REF!,'Off-site gain site summary'!$N50,#REF!))</f>
        <v/>
      </c>
      <c r="Q50" s="526" t="str">
        <f>IF(N50="","",SUMIF(#REF!,'Off-site gain site summary'!$N50,#REF!))</f>
        <v/>
      </c>
      <c r="R50" s="526" t="str">
        <f>IF(N50="","",SUMIF(#REF!,'Off-site gain site summary'!$N50,#REF!))</f>
        <v/>
      </c>
      <c r="S50" s="524" t="str">
        <f t="shared" si="2"/>
        <v/>
      </c>
      <c r="T50" s="524" t="str">
        <f>IF(ISBLANK(N50),"", IFERROR(_xlfn.XLOOKUP(N50,#REF!,#REF!), IFERROR(_xlfn.XLOOKUP(N50,#REF!,#REF!), " ")))</f>
        <v/>
      </c>
      <c r="U50" s="527" t="str">
        <f t="shared" si="3"/>
        <v/>
      </c>
      <c r="V50" s="1" t="e">
        <f>#REF!</f>
        <v>#REF!</v>
      </c>
      <c r="W50" s="525"/>
      <c r="X50" s="526" t="str">
        <f>IF(W50="","",SUMIF(#REF!,'Off-site gain site summary'!$W50,#REF!))</f>
        <v/>
      </c>
      <c r="Y50" s="526" t="str">
        <f>IF(W50="","",SUMIF(#REF!,'Off-site gain site summary'!$W50,#REF!))</f>
        <v/>
      </c>
      <c r="Z50" s="526" t="str">
        <f>IF(W50="","",SUMIF(#REF!,'Off-site gain site summary'!$W50,#REF!))</f>
        <v/>
      </c>
      <c r="AA50" s="526" t="str">
        <f>IF(W50="","",SUMIF(#REF!,'Off-site gain site summary'!$W50,#REF!))</f>
        <v/>
      </c>
      <c r="AB50" s="526" t="str">
        <f t="shared" si="4"/>
        <v/>
      </c>
      <c r="AC50" s="526" t="str">
        <f>IF(ISBLANK(W50),"", IFERROR(_xlfn.XLOOKUP(W50,#REF!,#REF!), IFERROR(_xlfn.XLOOKUP(W50,#REF!,#REF!)," ")))</f>
        <v/>
      </c>
      <c r="AD50" s="527" t="str">
        <f t="shared" si="5"/>
        <v/>
      </c>
      <c r="AE50" s="981"/>
      <c r="AF50" s="981"/>
    </row>
    <row r="51" spans="1:32" x14ac:dyDescent="0.35">
      <c r="A51" s="510" t="e">
        <f>#REF!</f>
        <v>#REF!</v>
      </c>
      <c r="B51" s="517"/>
      <c r="C51" s="515" t="str">
        <f>IF(B51="","",SUMIF(#REF!,B51,#REF!))</f>
        <v/>
      </c>
      <c r="D51" s="979" t="str">
        <f>IF(B51="","", SUMIF(#REF!,'Off-site gain site summary'!$B51,#REF!))</f>
        <v/>
      </c>
      <c r="E51" s="980"/>
      <c r="F51" s="979" t="str">
        <f>IF(B51="","",SUMIF(#REF!,'Off-site gain site summary'!B51,#REF!))</f>
        <v/>
      </c>
      <c r="G51" s="980"/>
      <c r="H51" s="979" t="str">
        <f>IF(B51="","",SUMIF(#REF!,'Off-site gain site summary'!B51,#REF!))</f>
        <v/>
      </c>
      <c r="I51" s="980"/>
      <c r="J51" s="518" t="str">
        <f t="shared" si="0"/>
        <v/>
      </c>
      <c r="K51" s="515" t="str">
        <f>IF(ISBLANK(B51),"",IFERROR(_xlfn.XLOOKUP(B51,#REF!,#REF!),IFERROR(_xlfn.XLOOKUP(B51,#REF!,#REF!)," ")))</f>
        <v/>
      </c>
      <c r="L51" s="519" t="str">
        <f t="shared" si="1"/>
        <v/>
      </c>
      <c r="M51" s="510" t="e">
        <f>#REF!</f>
        <v>#REF!</v>
      </c>
      <c r="N51" s="525"/>
      <c r="O51" s="526" t="str">
        <f>IF(N51="","",SUMIF(#REF!,'Off-site gain site summary'!N51,#REF!))</f>
        <v/>
      </c>
      <c r="P51" s="526" t="str">
        <f>IF(N51="","",SUMIF(#REF!,'Off-site gain site summary'!$N51,#REF!))</f>
        <v/>
      </c>
      <c r="Q51" s="526" t="str">
        <f>IF(N51="","",SUMIF(#REF!,'Off-site gain site summary'!$N51,#REF!))</f>
        <v/>
      </c>
      <c r="R51" s="526" t="str">
        <f>IF(N51="","",SUMIF(#REF!,'Off-site gain site summary'!$N51,#REF!))</f>
        <v/>
      </c>
      <c r="S51" s="524" t="str">
        <f t="shared" si="2"/>
        <v/>
      </c>
      <c r="T51" s="524" t="str">
        <f>IF(ISBLANK(N51),"", IFERROR(_xlfn.XLOOKUP(N51,#REF!,#REF!), IFERROR(_xlfn.XLOOKUP(N51,#REF!,#REF!), " ")))</f>
        <v/>
      </c>
      <c r="U51" s="527" t="str">
        <f t="shared" si="3"/>
        <v/>
      </c>
      <c r="V51" s="1" t="e">
        <f>#REF!</f>
        <v>#REF!</v>
      </c>
      <c r="W51" s="525"/>
      <c r="X51" s="526" t="str">
        <f>IF(W51="","",SUMIF(#REF!,'Off-site gain site summary'!$W51,#REF!))</f>
        <v/>
      </c>
      <c r="Y51" s="526" t="str">
        <f>IF(W51="","",SUMIF(#REF!,'Off-site gain site summary'!$W51,#REF!))</f>
        <v/>
      </c>
      <c r="Z51" s="526" t="str">
        <f>IF(W51="","",SUMIF(#REF!,'Off-site gain site summary'!$W51,#REF!))</f>
        <v/>
      </c>
      <c r="AA51" s="526" t="str">
        <f>IF(W51="","",SUMIF(#REF!,'Off-site gain site summary'!$W51,#REF!))</f>
        <v/>
      </c>
      <c r="AB51" s="526" t="str">
        <f t="shared" si="4"/>
        <v/>
      </c>
      <c r="AC51" s="526" t="str">
        <f>IF(ISBLANK(W51),"", IFERROR(_xlfn.XLOOKUP(W51,#REF!,#REF!), IFERROR(_xlfn.XLOOKUP(W51,#REF!,#REF!)," ")))</f>
        <v/>
      </c>
      <c r="AD51" s="527" t="str">
        <f t="shared" si="5"/>
        <v/>
      </c>
      <c r="AE51" s="981"/>
      <c r="AF51" s="981"/>
    </row>
    <row r="52" spans="1:32" x14ac:dyDescent="0.35">
      <c r="A52" s="510" t="e">
        <f>#REF!</f>
        <v>#REF!</v>
      </c>
      <c r="B52" s="517"/>
      <c r="C52" s="515" t="str">
        <f>IF(B52="","",SUMIF(#REF!,B52,#REF!))</f>
        <v/>
      </c>
      <c r="D52" s="979" t="str">
        <f>IF(B52="","", SUMIF(#REF!,'Off-site gain site summary'!$B52,#REF!))</f>
        <v/>
      </c>
      <c r="E52" s="980"/>
      <c r="F52" s="979" t="str">
        <f>IF(B52="","",SUMIF(#REF!,'Off-site gain site summary'!B52,#REF!))</f>
        <v/>
      </c>
      <c r="G52" s="980"/>
      <c r="H52" s="979" t="str">
        <f>IF(B52="","",SUMIF(#REF!,'Off-site gain site summary'!B52,#REF!))</f>
        <v/>
      </c>
      <c r="I52" s="980"/>
      <c r="J52" s="518" t="str">
        <f t="shared" si="0"/>
        <v/>
      </c>
      <c r="K52" s="515" t="str">
        <f>IF(ISBLANK(B52),"",IFERROR(_xlfn.XLOOKUP(B52,#REF!,#REF!),IFERROR(_xlfn.XLOOKUP(B52,#REF!,#REF!)," ")))</f>
        <v/>
      </c>
      <c r="L52" s="519" t="str">
        <f t="shared" si="1"/>
        <v/>
      </c>
      <c r="M52" s="510" t="e">
        <f>#REF!</f>
        <v>#REF!</v>
      </c>
      <c r="N52" s="525"/>
      <c r="O52" s="526" t="str">
        <f>IF(N52="","",SUMIF(#REF!,'Off-site gain site summary'!N52,#REF!))</f>
        <v/>
      </c>
      <c r="P52" s="526" t="str">
        <f>IF(N52="","",SUMIF(#REF!,'Off-site gain site summary'!$N52,#REF!))</f>
        <v/>
      </c>
      <c r="Q52" s="526" t="str">
        <f>IF(N52="","",SUMIF(#REF!,'Off-site gain site summary'!$N52,#REF!))</f>
        <v/>
      </c>
      <c r="R52" s="526" t="str">
        <f>IF(N52="","",SUMIF(#REF!,'Off-site gain site summary'!$N52,#REF!))</f>
        <v/>
      </c>
      <c r="S52" s="524" t="str">
        <f t="shared" si="2"/>
        <v/>
      </c>
      <c r="T52" s="524" t="str">
        <f>IF(ISBLANK(N52),"", IFERROR(_xlfn.XLOOKUP(N52,#REF!,#REF!), IFERROR(_xlfn.XLOOKUP(N52,#REF!,#REF!), " ")))</f>
        <v/>
      </c>
      <c r="U52" s="527" t="str">
        <f t="shared" si="3"/>
        <v/>
      </c>
      <c r="V52" s="1" t="e">
        <f>#REF!</f>
        <v>#REF!</v>
      </c>
      <c r="W52" s="525"/>
      <c r="X52" s="526" t="str">
        <f>IF(W52="","",SUMIF(#REF!,'Off-site gain site summary'!$W52,#REF!))</f>
        <v/>
      </c>
      <c r="Y52" s="526" t="str">
        <f>IF(W52="","",SUMIF(#REF!,'Off-site gain site summary'!$W52,#REF!))</f>
        <v/>
      </c>
      <c r="Z52" s="526" t="str">
        <f>IF(W52="","",SUMIF(#REF!,'Off-site gain site summary'!$W52,#REF!))</f>
        <v/>
      </c>
      <c r="AA52" s="526" t="str">
        <f>IF(W52="","",SUMIF(#REF!,'Off-site gain site summary'!$W52,#REF!))</f>
        <v/>
      </c>
      <c r="AB52" s="526" t="str">
        <f t="shared" si="4"/>
        <v/>
      </c>
      <c r="AC52" s="526" t="str">
        <f>IF(ISBLANK(W52),"", IFERROR(_xlfn.XLOOKUP(W52,#REF!,#REF!), IFERROR(_xlfn.XLOOKUP(W52,#REF!,#REF!)," ")))</f>
        <v/>
      </c>
      <c r="AD52" s="527" t="str">
        <f t="shared" si="5"/>
        <v/>
      </c>
      <c r="AE52" s="981"/>
      <c r="AF52" s="981"/>
    </row>
    <row r="53" spans="1:32" x14ac:dyDescent="0.35">
      <c r="A53" s="510" t="e">
        <f>#REF!</f>
        <v>#REF!</v>
      </c>
      <c r="B53" s="517"/>
      <c r="C53" s="515" t="str">
        <f>IF(B53="","",SUMIF(#REF!,B53,#REF!))</f>
        <v/>
      </c>
      <c r="D53" s="979" t="str">
        <f>IF(B53="","", SUMIF(#REF!,'Off-site gain site summary'!$B53,#REF!))</f>
        <v/>
      </c>
      <c r="E53" s="980"/>
      <c r="F53" s="979" t="str">
        <f>IF(B53="","",SUMIF(#REF!,'Off-site gain site summary'!B53,#REF!))</f>
        <v/>
      </c>
      <c r="G53" s="980"/>
      <c r="H53" s="979" t="str">
        <f>IF(B53="","",SUMIF(#REF!,'Off-site gain site summary'!B53,#REF!))</f>
        <v/>
      </c>
      <c r="I53" s="980"/>
      <c r="J53" s="518" t="str">
        <f t="shared" si="0"/>
        <v/>
      </c>
      <c r="K53" s="515" t="str">
        <f>IF(ISBLANK(B53),"",IFERROR(_xlfn.XLOOKUP(B53,#REF!,#REF!),IFERROR(_xlfn.XLOOKUP(B53,#REF!,#REF!)," ")))</f>
        <v/>
      </c>
      <c r="L53" s="519" t="str">
        <f t="shared" si="1"/>
        <v/>
      </c>
      <c r="M53" s="510" t="e">
        <f>#REF!</f>
        <v>#REF!</v>
      </c>
      <c r="N53" s="525"/>
      <c r="O53" s="526" t="str">
        <f>IF(N53="","",SUMIF(#REF!,'Off-site gain site summary'!N53,#REF!))</f>
        <v/>
      </c>
      <c r="P53" s="526" t="str">
        <f>IF(N53="","",SUMIF(#REF!,'Off-site gain site summary'!$N53,#REF!))</f>
        <v/>
      </c>
      <c r="Q53" s="526" t="str">
        <f>IF(N53="","",SUMIF(#REF!,'Off-site gain site summary'!$N53,#REF!))</f>
        <v/>
      </c>
      <c r="R53" s="526" t="str">
        <f>IF(N53="","",SUMIF(#REF!,'Off-site gain site summary'!$N53,#REF!))</f>
        <v/>
      </c>
      <c r="S53" s="524" t="str">
        <f t="shared" si="2"/>
        <v/>
      </c>
      <c r="T53" s="524" t="str">
        <f>IF(ISBLANK(N53),"", IFERROR(_xlfn.XLOOKUP(N53,#REF!,#REF!), IFERROR(_xlfn.XLOOKUP(N53,#REF!,#REF!), " ")))</f>
        <v/>
      </c>
      <c r="U53" s="527" t="str">
        <f t="shared" si="3"/>
        <v/>
      </c>
      <c r="V53" s="1" t="e">
        <f>#REF!</f>
        <v>#REF!</v>
      </c>
      <c r="W53" s="525"/>
      <c r="X53" s="526" t="str">
        <f>IF(W53="","",SUMIF(#REF!,'Off-site gain site summary'!$W53,#REF!))</f>
        <v/>
      </c>
      <c r="Y53" s="526" t="str">
        <f>IF(W53="","",SUMIF(#REF!,'Off-site gain site summary'!$W53,#REF!))</f>
        <v/>
      </c>
      <c r="Z53" s="526" t="str">
        <f>IF(W53="","",SUMIF(#REF!,'Off-site gain site summary'!$W53,#REF!))</f>
        <v/>
      </c>
      <c r="AA53" s="526" t="str">
        <f>IF(W53="","",SUMIF(#REF!,'Off-site gain site summary'!$W53,#REF!))</f>
        <v/>
      </c>
      <c r="AB53" s="526" t="str">
        <f t="shared" si="4"/>
        <v/>
      </c>
      <c r="AC53" s="526" t="str">
        <f>IF(ISBLANK(W53),"", IFERROR(_xlfn.XLOOKUP(W53,#REF!,#REF!), IFERROR(_xlfn.XLOOKUP(W53,#REF!,#REF!)," ")))</f>
        <v/>
      </c>
      <c r="AD53" s="527" t="str">
        <f t="shared" si="5"/>
        <v/>
      </c>
      <c r="AE53" s="981"/>
      <c r="AF53" s="981"/>
    </row>
    <row r="54" spans="1:32" x14ac:dyDescent="0.35">
      <c r="A54" s="510" t="e">
        <f>#REF!</f>
        <v>#REF!</v>
      </c>
      <c r="B54" s="517"/>
      <c r="C54" s="515" t="str">
        <f>IF(B54="","",SUMIF(#REF!,B54,#REF!))</f>
        <v/>
      </c>
      <c r="D54" s="979" t="str">
        <f>IF(B54="","", SUMIF(#REF!,'Off-site gain site summary'!$B54,#REF!))</f>
        <v/>
      </c>
      <c r="E54" s="980"/>
      <c r="F54" s="979" t="str">
        <f>IF(B54="","",SUMIF(#REF!,'Off-site gain site summary'!B54,#REF!))</f>
        <v/>
      </c>
      <c r="G54" s="980"/>
      <c r="H54" s="979" t="str">
        <f>IF(B54="","",SUMIF(#REF!,'Off-site gain site summary'!B54,#REF!))</f>
        <v/>
      </c>
      <c r="I54" s="980"/>
      <c r="J54" s="518" t="str">
        <f t="shared" si="0"/>
        <v/>
      </c>
      <c r="K54" s="515" t="str">
        <f>IF(ISBLANK(B54),"",IFERROR(_xlfn.XLOOKUP(B54,#REF!,#REF!),IFERROR(_xlfn.XLOOKUP(B54,#REF!,#REF!)," ")))</f>
        <v/>
      </c>
      <c r="L54" s="519" t="str">
        <f t="shared" si="1"/>
        <v/>
      </c>
      <c r="M54" s="510" t="e">
        <f>#REF!</f>
        <v>#REF!</v>
      </c>
      <c r="N54" s="525"/>
      <c r="O54" s="526" t="str">
        <f>IF(N54="","",SUMIF(#REF!,'Off-site gain site summary'!N54,#REF!))</f>
        <v/>
      </c>
      <c r="P54" s="526" t="str">
        <f>IF(N54="","",SUMIF(#REF!,'Off-site gain site summary'!$N54,#REF!))</f>
        <v/>
      </c>
      <c r="Q54" s="526" t="str">
        <f>IF(N54="","",SUMIF(#REF!,'Off-site gain site summary'!$N54,#REF!))</f>
        <v/>
      </c>
      <c r="R54" s="526" t="str">
        <f>IF(N54="","",SUMIF(#REF!,'Off-site gain site summary'!$N54,#REF!))</f>
        <v/>
      </c>
      <c r="S54" s="524" t="str">
        <f t="shared" si="2"/>
        <v/>
      </c>
      <c r="T54" s="524" t="str">
        <f>IF(ISBLANK(N54),"", IFERROR(_xlfn.XLOOKUP(N54,#REF!,#REF!), IFERROR(_xlfn.XLOOKUP(N54,#REF!,#REF!), " ")))</f>
        <v/>
      </c>
      <c r="U54" s="527" t="str">
        <f t="shared" si="3"/>
        <v/>
      </c>
      <c r="V54" s="1" t="e">
        <f>#REF!</f>
        <v>#REF!</v>
      </c>
      <c r="W54" s="525"/>
      <c r="X54" s="526" t="str">
        <f>IF(W54="","",SUMIF(#REF!,'Off-site gain site summary'!$W54,#REF!))</f>
        <v/>
      </c>
      <c r="Y54" s="526" t="str">
        <f>IF(W54="","",SUMIF(#REF!,'Off-site gain site summary'!$W54,#REF!))</f>
        <v/>
      </c>
      <c r="Z54" s="526" t="str">
        <f>IF(W54="","",SUMIF(#REF!,'Off-site gain site summary'!$W54,#REF!))</f>
        <v/>
      </c>
      <c r="AA54" s="526" t="str">
        <f>IF(W54="","",SUMIF(#REF!,'Off-site gain site summary'!$W54,#REF!))</f>
        <v/>
      </c>
      <c r="AB54" s="526" t="str">
        <f t="shared" si="4"/>
        <v/>
      </c>
      <c r="AC54" s="526" t="str">
        <f>IF(ISBLANK(W54),"", IFERROR(_xlfn.XLOOKUP(W54,#REF!,#REF!), IFERROR(_xlfn.XLOOKUP(W54,#REF!,#REF!)," ")))</f>
        <v/>
      </c>
      <c r="AD54" s="527" t="str">
        <f t="shared" si="5"/>
        <v/>
      </c>
      <c r="AE54" s="981"/>
      <c r="AF54" s="981"/>
    </row>
    <row r="55" spans="1:32" x14ac:dyDescent="0.35">
      <c r="A55" s="510" t="e">
        <f>#REF!</f>
        <v>#REF!</v>
      </c>
      <c r="B55" s="517"/>
      <c r="C55" s="515" t="str">
        <f>IF(B55="","",SUMIF(#REF!,B55,#REF!))</f>
        <v/>
      </c>
      <c r="D55" s="979" t="str">
        <f>IF(B55="","", SUMIF(#REF!,'Off-site gain site summary'!$B55,#REF!))</f>
        <v/>
      </c>
      <c r="E55" s="980"/>
      <c r="F55" s="979" t="str">
        <f>IF(B55="","",SUMIF(#REF!,'Off-site gain site summary'!B55,#REF!))</f>
        <v/>
      </c>
      <c r="G55" s="980"/>
      <c r="H55" s="979" t="str">
        <f>IF(B55="","",SUMIF(#REF!,'Off-site gain site summary'!B55,#REF!))</f>
        <v/>
      </c>
      <c r="I55" s="980"/>
      <c r="J55" s="518" t="str">
        <f t="shared" si="0"/>
        <v/>
      </c>
      <c r="K55" s="515" t="str">
        <f>IF(ISBLANK(B55),"",IFERROR(_xlfn.XLOOKUP(B55,#REF!,#REF!),IFERROR(_xlfn.XLOOKUP(B55,#REF!,#REF!)," ")))</f>
        <v/>
      </c>
      <c r="L55" s="519" t="str">
        <f t="shared" si="1"/>
        <v/>
      </c>
      <c r="M55" s="510" t="e">
        <f>#REF!</f>
        <v>#REF!</v>
      </c>
      <c r="N55" s="525"/>
      <c r="O55" s="526" t="str">
        <f>IF(N55="","",SUMIF(#REF!,'Off-site gain site summary'!N55,#REF!))</f>
        <v/>
      </c>
      <c r="P55" s="526" t="str">
        <f>IF(N55="","",SUMIF(#REF!,'Off-site gain site summary'!$N55,#REF!))</f>
        <v/>
      </c>
      <c r="Q55" s="526" t="str">
        <f>IF(N55="","",SUMIF(#REF!,'Off-site gain site summary'!$N55,#REF!))</f>
        <v/>
      </c>
      <c r="R55" s="526" t="str">
        <f>IF(N55="","",SUMIF(#REF!,'Off-site gain site summary'!$N55,#REF!))</f>
        <v/>
      </c>
      <c r="S55" s="524" t="str">
        <f t="shared" si="2"/>
        <v/>
      </c>
      <c r="T55" s="524" t="str">
        <f>IF(ISBLANK(N55),"", IFERROR(_xlfn.XLOOKUP(N55,#REF!,#REF!), IFERROR(_xlfn.XLOOKUP(N55,#REF!,#REF!), " ")))</f>
        <v/>
      </c>
      <c r="U55" s="527" t="str">
        <f t="shared" si="3"/>
        <v/>
      </c>
      <c r="V55" s="1" t="e">
        <f>#REF!</f>
        <v>#REF!</v>
      </c>
      <c r="W55" s="525"/>
      <c r="X55" s="526" t="str">
        <f>IF(W55="","",SUMIF(#REF!,'Off-site gain site summary'!$W55,#REF!))</f>
        <v/>
      </c>
      <c r="Y55" s="526" t="str">
        <f>IF(W55="","",SUMIF(#REF!,'Off-site gain site summary'!$W55,#REF!))</f>
        <v/>
      </c>
      <c r="Z55" s="526" t="str">
        <f>IF(W55="","",SUMIF(#REF!,'Off-site gain site summary'!$W55,#REF!))</f>
        <v/>
      </c>
      <c r="AA55" s="526" t="str">
        <f>IF(W55="","",SUMIF(#REF!,'Off-site gain site summary'!$W55,#REF!))</f>
        <v/>
      </c>
      <c r="AB55" s="526" t="str">
        <f t="shared" si="4"/>
        <v/>
      </c>
      <c r="AC55" s="526" t="str">
        <f>IF(ISBLANK(W55),"", IFERROR(_xlfn.XLOOKUP(W55,#REF!,#REF!), IFERROR(_xlfn.XLOOKUP(W55,#REF!,#REF!)," ")))</f>
        <v/>
      </c>
      <c r="AD55" s="527" t="str">
        <f t="shared" si="5"/>
        <v/>
      </c>
      <c r="AE55" s="981"/>
      <c r="AF55" s="981"/>
    </row>
    <row r="56" spans="1:32" x14ac:dyDescent="0.35">
      <c r="A56" s="510" t="e">
        <f>#REF!</f>
        <v>#REF!</v>
      </c>
      <c r="B56" s="517"/>
      <c r="C56" s="515" t="str">
        <f>IF(B56="","",SUMIF(#REF!,B56,#REF!))</f>
        <v/>
      </c>
      <c r="D56" s="979" t="str">
        <f>IF(B56="","", SUMIF(#REF!,'Off-site gain site summary'!$B56,#REF!))</f>
        <v/>
      </c>
      <c r="E56" s="980"/>
      <c r="F56" s="979" t="str">
        <f>IF(B56="","",SUMIF(#REF!,'Off-site gain site summary'!B56,#REF!))</f>
        <v/>
      </c>
      <c r="G56" s="980"/>
      <c r="H56" s="979" t="str">
        <f>IF(B56="","",SUMIF(#REF!,'Off-site gain site summary'!B56,#REF!))</f>
        <v/>
      </c>
      <c r="I56" s="980"/>
      <c r="J56" s="518" t="str">
        <f t="shared" si="0"/>
        <v/>
      </c>
      <c r="K56" s="515" t="str">
        <f>IF(ISBLANK(B56),"",IFERROR(_xlfn.XLOOKUP(B56,#REF!,#REF!),IFERROR(_xlfn.XLOOKUP(B56,#REF!,#REF!)," ")))</f>
        <v/>
      </c>
      <c r="L56" s="519" t="str">
        <f t="shared" si="1"/>
        <v/>
      </c>
      <c r="M56" s="510" t="e">
        <f>#REF!</f>
        <v>#REF!</v>
      </c>
      <c r="N56" s="525"/>
      <c r="O56" s="526" t="str">
        <f>IF(N56="","",SUMIF(#REF!,'Off-site gain site summary'!N56,#REF!))</f>
        <v/>
      </c>
      <c r="P56" s="526" t="str">
        <f>IF(N56="","",SUMIF(#REF!,'Off-site gain site summary'!$N56,#REF!))</f>
        <v/>
      </c>
      <c r="Q56" s="526" t="str">
        <f>IF(N56="","",SUMIF(#REF!,'Off-site gain site summary'!$N56,#REF!))</f>
        <v/>
      </c>
      <c r="R56" s="526" t="str">
        <f>IF(N56="","",SUMIF(#REF!,'Off-site gain site summary'!$N56,#REF!))</f>
        <v/>
      </c>
      <c r="S56" s="524" t="str">
        <f t="shared" si="2"/>
        <v/>
      </c>
      <c r="T56" s="524" t="str">
        <f>IF(ISBLANK(N56),"", IFERROR(_xlfn.XLOOKUP(N56,#REF!,#REF!), IFERROR(_xlfn.XLOOKUP(N56,#REF!,#REF!), " ")))</f>
        <v/>
      </c>
      <c r="U56" s="527" t="str">
        <f t="shared" si="3"/>
        <v/>
      </c>
      <c r="V56" s="1" t="e">
        <f>#REF!</f>
        <v>#REF!</v>
      </c>
      <c r="W56" s="525"/>
      <c r="X56" s="526" t="str">
        <f>IF(W56="","",SUMIF(#REF!,'Off-site gain site summary'!$W56,#REF!))</f>
        <v/>
      </c>
      <c r="Y56" s="526" t="str">
        <f>IF(W56="","",SUMIF(#REF!,'Off-site gain site summary'!$W56,#REF!))</f>
        <v/>
      </c>
      <c r="Z56" s="526" t="str">
        <f>IF(W56="","",SUMIF(#REF!,'Off-site gain site summary'!$W56,#REF!))</f>
        <v/>
      </c>
      <c r="AA56" s="526" t="str">
        <f>IF(W56="","",SUMIF(#REF!,'Off-site gain site summary'!$W56,#REF!))</f>
        <v/>
      </c>
      <c r="AB56" s="526" t="str">
        <f t="shared" si="4"/>
        <v/>
      </c>
      <c r="AC56" s="526" t="str">
        <f>IF(ISBLANK(W56),"", IFERROR(_xlfn.XLOOKUP(W56,#REF!,#REF!), IFERROR(_xlfn.XLOOKUP(W56,#REF!,#REF!)," ")))</f>
        <v/>
      </c>
      <c r="AD56" s="527" t="str">
        <f t="shared" si="5"/>
        <v/>
      </c>
      <c r="AE56" s="981"/>
      <c r="AF56" s="981"/>
    </row>
    <row r="57" spans="1:32" x14ac:dyDescent="0.35">
      <c r="A57" s="510" t="e">
        <f>#REF!</f>
        <v>#REF!</v>
      </c>
      <c r="B57" s="517"/>
      <c r="C57" s="515" t="str">
        <f>IF(B57="","",SUMIF(#REF!,B57,#REF!))</f>
        <v/>
      </c>
      <c r="D57" s="979" t="str">
        <f>IF(B57="","", SUMIF(#REF!,'Off-site gain site summary'!$B57,#REF!))</f>
        <v/>
      </c>
      <c r="E57" s="980"/>
      <c r="F57" s="979" t="str">
        <f>IF(B57="","",SUMIF(#REF!,'Off-site gain site summary'!B57,#REF!))</f>
        <v/>
      </c>
      <c r="G57" s="980"/>
      <c r="H57" s="979" t="str">
        <f>IF(B57="","",SUMIF(#REF!,'Off-site gain site summary'!B57,#REF!))</f>
        <v/>
      </c>
      <c r="I57" s="980"/>
      <c r="J57" s="518" t="str">
        <f t="shared" si="0"/>
        <v/>
      </c>
      <c r="K57" s="515" t="str">
        <f>IF(ISBLANK(B57),"",IFERROR(_xlfn.XLOOKUP(B57,#REF!,#REF!),IFERROR(_xlfn.XLOOKUP(B57,#REF!,#REF!)," ")))</f>
        <v/>
      </c>
      <c r="L57" s="519" t="str">
        <f t="shared" si="1"/>
        <v/>
      </c>
      <c r="M57" s="510" t="e">
        <f>#REF!</f>
        <v>#REF!</v>
      </c>
      <c r="N57" s="525"/>
      <c r="O57" s="526" t="str">
        <f>IF(N57="","",SUMIF(#REF!,'Off-site gain site summary'!N57,#REF!))</f>
        <v/>
      </c>
      <c r="P57" s="526" t="str">
        <f>IF(N57="","",SUMIF(#REF!,'Off-site gain site summary'!$N57,#REF!))</f>
        <v/>
      </c>
      <c r="Q57" s="526" t="str">
        <f>IF(N57="","",SUMIF(#REF!,'Off-site gain site summary'!$N57,#REF!))</f>
        <v/>
      </c>
      <c r="R57" s="526" t="str">
        <f>IF(N57="","",SUMIF(#REF!,'Off-site gain site summary'!$N57,#REF!))</f>
        <v/>
      </c>
      <c r="S57" s="524" t="str">
        <f t="shared" si="2"/>
        <v/>
      </c>
      <c r="T57" s="524" t="str">
        <f>IF(ISBLANK(N57),"", IFERROR(_xlfn.XLOOKUP(N57,#REF!,#REF!), IFERROR(_xlfn.XLOOKUP(N57,#REF!,#REF!), " ")))</f>
        <v/>
      </c>
      <c r="U57" s="527" t="str">
        <f t="shared" si="3"/>
        <v/>
      </c>
      <c r="V57" s="1" t="e">
        <f>#REF!</f>
        <v>#REF!</v>
      </c>
      <c r="W57" s="525"/>
      <c r="X57" s="526" t="str">
        <f>IF(W57="","",SUMIF(#REF!,'Off-site gain site summary'!$W57,#REF!))</f>
        <v/>
      </c>
      <c r="Y57" s="526" t="str">
        <f>IF(W57="","",SUMIF(#REF!,'Off-site gain site summary'!$W57,#REF!))</f>
        <v/>
      </c>
      <c r="Z57" s="526" t="str">
        <f>IF(W57="","",SUMIF(#REF!,'Off-site gain site summary'!$W57,#REF!))</f>
        <v/>
      </c>
      <c r="AA57" s="526" t="str">
        <f>IF(W57="","",SUMIF(#REF!,'Off-site gain site summary'!$W57,#REF!))</f>
        <v/>
      </c>
      <c r="AB57" s="526" t="str">
        <f t="shared" si="4"/>
        <v/>
      </c>
      <c r="AC57" s="526" t="str">
        <f>IF(ISBLANK(W57),"", IFERROR(_xlfn.XLOOKUP(W57,#REF!,#REF!), IFERROR(_xlfn.XLOOKUP(W57,#REF!,#REF!)," ")))</f>
        <v/>
      </c>
      <c r="AD57" s="527" t="str">
        <f t="shared" si="5"/>
        <v/>
      </c>
      <c r="AE57" s="981"/>
      <c r="AF57" s="981"/>
    </row>
    <row r="58" spans="1:32" x14ac:dyDescent="0.35">
      <c r="A58" s="510" t="e">
        <f>#REF!</f>
        <v>#REF!</v>
      </c>
      <c r="B58" s="517"/>
      <c r="C58" s="515" t="str">
        <f>IF(B58="","",SUMIF(#REF!,B58,#REF!))</f>
        <v/>
      </c>
      <c r="D58" s="979" t="str">
        <f>IF(B58="","", SUMIF(#REF!,'Off-site gain site summary'!$B58,#REF!))</f>
        <v/>
      </c>
      <c r="E58" s="980"/>
      <c r="F58" s="979" t="str">
        <f>IF(B58="","",SUMIF(#REF!,'Off-site gain site summary'!B58,#REF!))</f>
        <v/>
      </c>
      <c r="G58" s="980"/>
      <c r="H58" s="979" t="str">
        <f>IF(B58="","",SUMIF(#REF!,'Off-site gain site summary'!B58,#REF!))</f>
        <v/>
      </c>
      <c r="I58" s="980"/>
      <c r="J58" s="518" t="str">
        <f t="shared" si="0"/>
        <v/>
      </c>
      <c r="K58" s="515" t="str">
        <f>IF(ISBLANK(B58),"",IFERROR(_xlfn.XLOOKUP(B58,#REF!,#REF!),IFERROR(_xlfn.XLOOKUP(B58,#REF!,#REF!)," ")))</f>
        <v/>
      </c>
      <c r="L58" s="519" t="str">
        <f t="shared" si="1"/>
        <v/>
      </c>
      <c r="M58" s="510" t="e">
        <f>#REF!</f>
        <v>#REF!</v>
      </c>
      <c r="N58" s="525"/>
      <c r="O58" s="526" t="str">
        <f>IF(N58="","",SUMIF(#REF!,'Off-site gain site summary'!N58,#REF!))</f>
        <v/>
      </c>
      <c r="P58" s="526" t="str">
        <f>IF(N58="","",SUMIF(#REF!,'Off-site gain site summary'!$N58,#REF!))</f>
        <v/>
      </c>
      <c r="Q58" s="526" t="str">
        <f>IF(N58="","",SUMIF(#REF!,'Off-site gain site summary'!$N58,#REF!))</f>
        <v/>
      </c>
      <c r="R58" s="526" t="str">
        <f>IF(N58="","",SUMIF(#REF!,'Off-site gain site summary'!$N58,#REF!))</f>
        <v/>
      </c>
      <c r="S58" s="524" t="str">
        <f t="shared" si="2"/>
        <v/>
      </c>
      <c r="T58" s="524" t="str">
        <f>IF(ISBLANK(N58),"", IFERROR(_xlfn.XLOOKUP(N58,#REF!,#REF!), IFERROR(_xlfn.XLOOKUP(N58,#REF!,#REF!), " ")))</f>
        <v/>
      </c>
      <c r="U58" s="527" t="str">
        <f t="shared" si="3"/>
        <v/>
      </c>
      <c r="V58" s="1" t="e">
        <f>#REF!</f>
        <v>#REF!</v>
      </c>
      <c r="W58" s="525"/>
      <c r="X58" s="526" t="str">
        <f>IF(W58="","",SUMIF(#REF!,'Off-site gain site summary'!$W58,#REF!))</f>
        <v/>
      </c>
      <c r="Y58" s="526" t="str">
        <f>IF(W58="","",SUMIF(#REF!,'Off-site gain site summary'!$W58,#REF!))</f>
        <v/>
      </c>
      <c r="Z58" s="526" t="str">
        <f>IF(W58="","",SUMIF(#REF!,'Off-site gain site summary'!$W58,#REF!))</f>
        <v/>
      </c>
      <c r="AA58" s="526" t="str">
        <f>IF(W58="","",SUMIF(#REF!,'Off-site gain site summary'!$W58,#REF!))</f>
        <v/>
      </c>
      <c r="AB58" s="526" t="str">
        <f t="shared" si="4"/>
        <v/>
      </c>
      <c r="AC58" s="526" t="str">
        <f>IF(ISBLANK(W58),"", IFERROR(_xlfn.XLOOKUP(W58,#REF!,#REF!), IFERROR(_xlfn.XLOOKUP(W58,#REF!,#REF!)," ")))</f>
        <v/>
      </c>
      <c r="AD58" s="527" t="str">
        <f t="shared" si="5"/>
        <v/>
      </c>
      <c r="AE58" s="981"/>
      <c r="AF58" s="981"/>
    </row>
    <row r="59" spans="1:32" x14ac:dyDescent="0.35">
      <c r="A59" s="510" t="e">
        <f>#REF!</f>
        <v>#REF!</v>
      </c>
      <c r="B59" s="517"/>
      <c r="C59" s="515" t="str">
        <f>IF(B59="","",SUMIF(#REF!,B59,#REF!))</f>
        <v/>
      </c>
      <c r="D59" s="979" t="str">
        <f>IF(B59="","", SUMIF(#REF!,'Off-site gain site summary'!$B59,#REF!))</f>
        <v/>
      </c>
      <c r="E59" s="980"/>
      <c r="F59" s="979" t="str">
        <f>IF(B59="","",SUMIF(#REF!,'Off-site gain site summary'!B59,#REF!))</f>
        <v/>
      </c>
      <c r="G59" s="980"/>
      <c r="H59" s="979" t="str">
        <f>IF(B59="","",SUMIF(#REF!,'Off-site gain site summary'!B59,#REF!))</f>
        <v/>
      </c>
      <c r="I59" s="980"/>
      <c r="J59" s="518" t="str">
        <f t="shared" si="0"/>
        <v/>
      </c>
      <c r="K59" s="515" t="str">
        <f>IF(ISBLANK(B59),"",IFERROR(_xlfn.XLOOKUP(B59,#REF!,#REF!),IFERROR(_xlfn.XLOOKUP(B59,#REF!,#REF!)," ")))</f>
        <v/>
      </c>
      <c r="L59" s="519" t="str">
        <f t="shared" si="1"/>
        <v/>
      </c>
      <c r="M59" s="510" t="e">
        <f>#REF!</f>
        <v>#REF!</v>
      </c>
      <c r="N59" s="525"/>
      <c r="O59" s="526" t="str">
        <f>IF(N59="","",SUMIF(#REF!,'Off-site gain site summary'!N59,#REF!))</f>
        <v/>
      </c>
      <c r="P59" s="526" t="str">
        <f>IF(N59="","",SUMIF(#REF!,'Off-site gain site summary'!$N59,#REF!))</f>
        <v/>
      </c>
      <c r="Q59" s="526" t="str">
        <f>IF(N59="","",SUMIF(#REF!,'Off-site gain site summary'!$N59,#REF!))</f>
        <v/>
      </c>
      <c r="R59" s="526" t="str">
        <f>IF(N59="","",SUMIF(#REF!,'Off-site gain site summary'!$N59,#REF!))</f>
        <v/>
      </c>
      <c r="S59" s="524" t="str">
        <f t="shared" si="2"/>
        <v/>
      </c>
      <c r="T59" s="524" t="str">
        <f>IF(ISBLANK(N59),"", IFERROR(_xlfn.XLOOKUP(N59,#REF!,#REF!), IFERROR(_xlfn.XLOOKUP(N59,#REF!,#REF!), " ")))</f>
        <v/>
      </c>
      <c r="U59" s="527" t="str">
        <f t="shared" si="3"/>
        <v/>
      </c>
      <c r="V59" s="1" t="e">
        <f>#REF!</f>
        <v>#REF!</v>
      </c>
      <c r="W59" s="525"/>
      <c r="X59" s="526" t="str">
        <f>IF(W59="","",SUMIF(#REF!,'Off-site gain site summary'!$W59,#REF!))</f>
        <v/>
      </c>
      <c r="Y59" s="526" t="str">
        <f>IF(W59="","",SUMIF(#REF!,'Off-site gain site summary'!$W59,#REF!))</f>
        <v/>
      </c>
      <c r="Z59" s="526" t="str">
        <f>IF(W59="","",SUMIF(#REF!,'Off-site gain site summary'!$W59,#REF!))</f>
        <v/>
      </c>
      <c r="AA59" s="526" t="str">
        <f>IF(W59="","",SUMIF(#REF!,'Off-site gain site summary'!$W59,#REF!))</f>
        <v/>
      </c>
      <c r="AB59" s="526" t="str">
        <f t="shared" si="4"/>
        <v/>
      </c>
      <c r="AC59" s="526" t="str">
        <f>IF(ISBLANK(W59),"", IFERROR(_xlfn.XLOOKUP(W59,#REF!,#REF!), IFERROR(_xlfn.XLOOKUP(W59,#REF!,#REF!)," ")))</f>
        <v/>
      </c>
      <c r="AD59" s="527" t="str">
        <f t="shared" si="5"/>
        <v/>
      </c>
      <c r="AE59" s="981"/>
      <c r="AF59" s="981"/>
    </row>
    <row r="60" spans="1:32" x14ac:dyDescent="0.35">
      <c r="A60" s="510" t="e">
        <f>#REF!</f>
        <v>#REF!</v>
      </c>
      <c r="B60" s="517"/>
      <c r="C60" s="515" t="str">
        <f>IF(B60="","",SUMIF(#REF!,B60,#REF!))</f>
        <v/>
      </c>
      <c r="D60" s="979" t="str">
        <f>IF(B60="","", SUMIF(#REF!,'Off-site gain site summary'!$B60,#REF!))</f>
        <v/>
      </c>
      <c r="E60" s="980"/>
      <c r="F60" s="979" t="str">
        <f>IF(B60="","",SUMIF(#REF!,'Off-site gain site summary'!B60,#REF!))</f>
        <v/>
      </c>
      <c r="G60" s="980"/>
      <c r="H60" s="979" t="str">
        <f>IF(B60="","",SUMIF(#REF!,'Off-site gain site summary'!B60,#REF!))</f>
        <v/>
      </c>
      <c r="I60" s="980"/>
      <c r="J60" s="518" t="str">
        <f t="shared" si="0"/>
        <v/>
      </c>
      <c r="K60" s="515" t="str">
        <f>IF(ISBLANK(B60),"",IFERROR(_xlfn.XLOOKUP(B60,#REF!,#REF!),IFERROR(_xlfn.XLOOKUP(B60,#REF!,#REF!)," ")))</f>
        <v/>
      </c>
      <c r="L60" s="519" t="str">
        <f t="shared" si="1"/>
        <v/>
      </c>
      <c r="M60" s="510" t="e">
        <f>#REF!</f>
        <v>#REF!</v>
      </c>
      <c r="N60" s="525"/>
      <c r="O60" s="526" t="str">
        <f>IF(N60="","",SUMIF(#REF!,'Off-site gain site summary'!N60,#REF!))</f>
        <v/>
      </c>
      <c r="P60" s="526" t="str">
        <f>IF(N60="","",SUMIF(#REF!,'Off-site gain site summary'!$N60,#REF!))</f>
        <v/>
      </c>
      <c r="Q60" s="526" t="str">
        <f>IF(N60="","",SUMIF(#REF!,'Off-site gain site summary'!$N60,#REF!))</f>
        <v/>
      </c>
      <c r="R60" s="526" t="str">
        <f>IF(N60="","",SUMIF(#REF!,'Off-site gain site summary'!$N60,#REF!))</f>
        <v/>
      </c>
      <c r="S60" s="524" t="str">
        <f t="shared" si="2"/>
        <v/>
      </c>
      <c r="T60" s="524" t="str">
        <f>IF(ISBLANK(N60),"", IFERROR(_xlfn.XLOOKUP(N60,#REF!,#REF!), IFERROR(_xlfn.XLOOKUP(N60,#REF!,#REF!), " ")))</f>
        <v/>
      </c>
      <c r="U60" s="527" t="str">
        <f t="shared" si="3"/>
        <v/>
      </c>
      <c r="V60" s="1" t="e">
        <f>#REF!</f>
        <v>#REF!</v>
      </c>
      <c r="W60" s="525"/>
      <c r="X60" s="526" t="str">
        <f>IF(W60="","",SUMIF(#REF!,'Off-site gain site summary'!$W60,#REF!))</f>
        <v/>
      </c>
      <c r="Y60" s="526" t="str">
        <f>IF(W60="","",SUMIF(#REF!,'Off-site gain site summary'!$W60,#REF!))</f>
        <v/>
      </c>
      <c r="Z60" s="526" t="str">
        <f>IF(W60="","",SUMIF(#REF!,'Off-site gain site summary'!$W60,#REF!))</f>
        <v/>
      </c>
      <c r="AA60" s="526" t="str">
        <f>IF(W60="","",SUMIF(#REF!,'Off-site gain site summary'!$W60,#REF!))</f>
        <v/>
      </c>
      <c r="AB60" s="526" t="str">
        <f t="shared" si="4"/>
        <v/>
      </c>
      <c r="AC60" s="526" t="str">
        <f>IF(ISBLANK(W60),"", IFERROR(_xlfn.XLOOKUP(W60,#REF!,#REF!), IFERROR(_xlfn.XLOOKUP(W60,#REF!,#REF!)," ")))</f>
        <v/>
      </c>
      <c r="AD60" s="527" t="str">
        <f t="shared" si="5"/>
        <v/>
      </c>
      <c r="AE60" s="981"/>
      <c r="AF60" s="981"/>
    </row>
    <row r="61" spans="1:32" x14ac:dyDescent="0.35">
      <c r="A61" s="510" t="e">
        <f>#REF!</f>
        <v>#REF!</v>
      </c>
      <c r="B61" s="517"/>
      <c r="C61" s="515" t="str">
        <f>IF(B61="","",SUMIF(#REF!,B61,#REF!))</f>
        <v/>
      </c>
      <c r="D61" s="979" t="str">
        <f>IF(B61="","", SUMIF(#REF!,'Off-site gain site summary'!$B61,#REF!))</f>
        <v/>
      </c>
      <c r="E61" s="980"/>
      <c r="F61" s="979" t="str">
        <f>IF(B61="","",SUMIF(#REF!,'Off-site gain site summary'!B61,#REF!))</f>
        <v/>
      </c>
      <c r="G61" s="980"/>
      <c r="H61" s="979" t="str">
        <f>IF(B61="","",SUMIF(#REF!,'Off-site gain site summary'!B61,#REF!))</f>
        <v/>
      </c>
      <c r="I61" s="980"/>
      <c r="J61" s="518" t="str">
        <f t="shared" si="0"/>
        <v/>
      </c>
      <c r="K61" s="515" t="str">
        <f>IF(ISBLANK(B61),"",IFERROR(_xlfn.XLOOKUP(B61,#REF!,#REF!),IFERROR(_xlfn.XLOOKUP(B61,#REF!,#REF!)," ")))</f>
        <v/>
      </c>
      <c r="L61" s="519" t="str">
        <f t="shared" si="1"/>
        <v/>
      </c>
      <c r="M61" s="510" t="e">
        <f>#REF!</f>
        <v>#REF!</v>
      </c>
      <c r="N61" s="525"/>
      <c r="O61" s="526" t="str">
        <f>IF(N61="","",SUMIF(#REF!,'Off-site gain site summary'!N61,#REF!))</f>
        <v/>
      </c>
      <c r="P61" s="526" t="str">
        <f>IF(N61="","",SUMIF(#REF!,'Off-site gain site summary'!$N61,#REF!))</f>
        <v/>
      </c>
      <c r="Q61" s="526" t="str">
        <f>IF(N61="","",SUMIF(#REF!,'Off-site gain site summary'!$N61,#REF!))</f>
        <v/>
      </c>
      <c r="R61" s="526" t="str">
        <f>IF(N61="","",SUMIF(#REF!,'Off-site gain site summary'!$N61,#REF!))</f>
        <v/>
      </c>
      <c r="S61" s="524" t="str">
        <f t="shared" si="2"/>
        <v/>
      </c>
      <c r="T61" s="524" t="str">
        <f>IF(ISBLANK(N61),"", IFERROR(_xlfn.XLOOKUP(N61,#REF!,#REF!), IFERROR(_xlfn.XLOOKUP(N61,#REF!,#REF!), " ")))</f>
        <v/>
      </c>
      <c r="U61" s="527" t="str">
        <f t="shared" si="3"/>
        <v/>
      </c>
      <c r="V61" s="1" t="e">
        <f>#REF!</f>
        <v>#REF!</v>
      </c>
      <c r="W61" s="525"/>
      <c r="X61" s="526" t="str">
        <f>IF(W61="","",SUMIF(#REF!,'Off-site gain site summary'!$W61,#REF!))</f>
        <v/>
      </c>
      <c r="Y61" s="526" t="str">
        <f>IF(W61="","",SUMIF(#REF!,'Off-site gain site summary'!$W61,#REF!))</f>
        <v/>
      </c>
      <c r="Z61" s="526" t="str">
        <f>IF(W61="","",SUMIF(#REF!,'Off-site gain site summary'!$W61,#REF!))</f>
        <v/>
      </c>
      <c r="AA61" s="526" t="str">
        <f>IF(W61="","",SUMIF(#REF!,'Off-site gain site summary'!$W61,#REF!))</f>
        <v/>
      </c>
      <c r="AB61" s="526" t="str">
        <f t="shared" si="4"/>
        <v/>
      </c>
      <c r="AC61" s="526" t="str">
        <f>IF(ISBLANK(W61),"", IFERROR(_xlfn.XLOOKUP(W61,#REF!,#REF!), IFERROR(_xlfn.XLOOKUP(W61,#REF!,#REF!)," ")))</f>
        <v/>
      </c>
      <c r="AD61" s="527" t="str">
        <f t="shared" si="5"/>
        <v/>
      </c>
      <c r="AE61" s="981"/>
      <c r="AF61" s="981"/>
    </row>
    <row r="62" spans="1:32" x14ac:dyDescent="0.35">
      <c r="A62" s="510" t="e">
        <f>#REF!</f>
        <v>#REF!</v>
      </c>
      <c r="B62" s="517"/>
      <c r="C62" s="515" t="str">
        <f>IF(B62="","",SUMIF(#REF!,B62,#REF!))</f>
        <v/>
      </c>
      <c r="D62" s="979" t="str">
        <f>IF(B62="","", SUMIF(#REF!,'Off-site gain site summary'!$B62,#REF!))</f>
        <v/>
      </c>
      <c r="E62" s="980"/>
      <c r="F62" s="979" t="str">
        <f>IF(B62="","",SUMIF(#REF!,'Off-site gain site summary'!B62,#REF!))</f>
        <v/>
      </c>
      <c r="G62" s="980"/>
      <c r="H62" s="979" t="str">
        <f>IF(B62="","",SUMIF(#REF!,'Off-site gain site summary'!B62,#REF!))</f>
        <v/>
      </c>
      <c r="I62" s="980"/>
      <c r="J62" s="518" t="str">
        <f t="shared" si="0"/>
        <v/>
      </c>
      <c r="K62" s="515" t="str">
        <f>IF(ISBLANK(B62),"",IFERROR(_xlfn.XLOOKUP(B62,#REF!,#REF!),IFERROR(_xlfn.XLOOKUP(B62,#REF!,#REF!)," ")))</f>
        <v/>
      </c>
      <c r="L62" s="519" t="str">
        <f t="shared" si="1"/>
        <v/>
      </c>
      <c r="M62" s="510" t="e">
        <f>#REF!</f>
        <v>#REF!</v>
      </c>
      <c r="N62" s="525"/>
      <c r="O62" s="526" t="str">
        <f>IF(N62="","",SUMIF(#REF!,'Off-site gain site summary'!N62,#REF!))</f>
        <v/>
      </c>
      <c r="P62" s="526" t="str">
        <f>IF(N62="","",SUMIF(#REF!,'Off-site gain site summary'!$N62,#REF!))</f>
        <v/>
      </c>
      <c r="Q62" s="526" t="str">
        <f>IF(N62="","",SUMIF(#REF!,'Off-site gain site summary'!$N62,#REF!))</f>
        <v/>
      </c>
      <c r="R62" s="526" t="str">
        <f>IF(N62="","",SUMIF(#REF!,'Off-site gain site summary'!$N62,#REF!))</f>
        <v/>
      </c>
      <c r="S62" s="524" t="str">
        <f t="shared" si="2"/>
        <v/>
      </c>
      <c r="T62" s="524" t="str">
        <f>IF(ISBLANK(N62),"", IFERROR(_xlfn.XLOOKUP(N62,#REF!,#REF!), IFERROR(_xlfn.XLOOKUP(N62,#REF!,#REF!), " ")))</f>
        <v/>
      </c>
      <c r="U62" s="527" t="str">
        <f t="shared" si="3"/>
        <v/>
      </c>
      <c r="V62" s="1" t="e">
        <f>#REF!</f>
        <v>#REF!</v>
      </c>
      <c r="W62" s="525"/>
      <c r="X62" s="526" t="str">
        <f>IF(W62="","",SUMIF(#REF!,'Off-site gain site summary'!$W62,#REF!))</f>
        <v/>
      </c>
      <c r="Y62" s="526" t="str">
        <f>IF(W62="","",SUMIF(#REF!,'Off-site gain site summary'!$W62,#REF!))</f>
        <v/>
      </c>
      <c r="Z62" s="526" t="str">
        <f>IF(W62="","",SUMIF(#REF!,'Off-site gain site summary'!$W62,#REF!))</f>
        <v/>
      </c>
      <c r="AA62" s="526" t="str">
        <f>IF(W62="","",SUMIF(#REF!,'Off-site gain site summary'!$W62,#REF!))</f>
        <v/>
      </c>
      <c r="AB62" s="526" t="str">
        <f t="shared" si="4"/>
        <v/>
      </c>
      <c r="AC62" s="526" t="str">
        <f>IF(ISBLANK(W62),"", IFERROR(_xlfn.XLOOKUP(W62,#REF!,#REF!), IFERROR(_xlfn.XLOOKUP(W62,#REF!,#REF!)," ")))</f>
        <v/>
      </c>
      <c r="AD62" s="527" t="str">
        <f t="shared" si="5"/>
        <v/>
      </c>
      <c r="AE62" s="981"/>
      <c r="AF62" s="981"/>
    </row>
    <row r="63" spans="1:32" x14ac:dyDescent="0.35">
      <c r="A63" s="510" t="e">
        <f>#REF!</f>
        <v>#REF!</v>
      </c>
      <c r="B63" s="517"/>
      <c r="C63" s="515" t="str">
        <f>IF(B63="","",SUMIF(#REF!,B63,#REF!))</f>
        <v/>
      </c>
      <c r="D63" s="979" t="str">
        <f>IF(B63="","", SUMIF(#REF!,'Off-site gain site summary'!$B63,#REF!))</f>
        <v/>
      </c>
      <c r="E63" s="980"/>
      <c r="F63" s="979" t="str">
        <f>IF(B63="","",SUMIF(#REF!,'Off-site gain site summary'!B63,#REF!))</f>
        <v/>
      </c>
      <c r="G63" s="980"/>
      <c r="H63" s="979" t="str">
        <f>IF(B63="","",SUMIF(#REF!,'Off-site gain site summary'!B63,#REF!))</f>
        <v/>
      </c>
      <c r="I63" s="980"/>
      <c r="J63" s="518" t="str">
        <f t="shared" si="0"/>
        <v/>
      </c>
      <c r="K63" s="515" t="str">
        <f>IF(ISBLANK(B63),"",IFERROR(_xlfn.XLOOKUP(B63,#REF!,#REF!),IFERROR(_xlfn.XLOOKUP(B63,#REF!,#REF!)," ")))</f>
        <v/>
      </c>
      <c r="L63" s="519" t="str">
        <f t="shared" si="1"/>
        <v/>
      </c>
      <c r="M63" s="510" t="e">
        <f>#REF!</f>
        <v>#REF!</v>
      </c>
      <c r="N63" s="525"/>
      <c r="O63" s="526" t="str">
        <f>IF(N63="","",SUMIF(#REF!,'Off-site gain site summary'!N63,#REF!))</f>
        <v/>
      </c>
      <c r="P63" s="526" t="str">
        <f>IF(N63="","",SUMIF(#REF!,'Off-site gain site summary'!$N63,#REF!))</f>
        <v/>
      </c>
      <c r="Q63" s="526" t="str">
        <f>IF(N63="","",SUMIF(#REF!,'Off-site gain site summary'!$N63,#REF!))</f>
        <v/>
      </c>
      <c r="R63" s="526" t="str">
        <f>IF(N63="","",SUMIF(#REF!,'Off-site gain site summary'!$N63,#REF!))</f>
        <v/>
      </c>
      <c r="S63" s="524" t="str">
        <f t="shared" si="2"/>
        <v/>
      </c>
      <c r="T63" s="524" t="str">
        <f>IF(ISBLANK(N63),"", IFERROR(_xlfn.XLOOKUP(N63,#REF!,#REF!), IFERROR(_xlfn.XLOOKUP(N63,#REF!,#REF!), " ")))</f>
        <v/>
      </c>
      <c r="U63" s="527" t="str">
        <f t="shared" si="3"/>
        <v/>
      </c>
      <c r="V63" s="1" t="e">
        <f>#REF!</f>
        <v>#REF!</v>
      </c>
      <c r="W63" s="525"/>
      <c r="X63" s="526" t="str">
        <f>IF(W63="","",SUMIF(#REF!,'Off-site gain site summary'!$W63,#REF!))</f>
        <v/>
      </c>
      <c r="Y63" s="526" t="str">
        <f>IF(W63="","",SUMIF(#REF!,'Off-site gain site summary'!$W63,#REF!))</f>
        <v/>
      </c>
      <c r="Z63" s="526" t="str">
        <f>IF(W63="","",SUMIF(#REF!,'Off-site gain site summary'!$W63,#REF!))</f>
        <v/>
      </c>
      <c r="AA63" s="526" t="str">
        <f>IF(W63="","",SUMIF(#REF!,'Off-site gain site summary'!$W63,#REF!))</f>
        <v/>
      </c>
      <c r="AB63" s="526" t="str">
        <f t="shared" si="4"/>
        <v/>
      </c>
      <c r="AC63" s="526" t="str">
        <f>IF(ISBLANK(W63),"", IFERROR(_xlfn.XLOOKUP(W63,#REF!,#REF!), IFERROR(_xlfn.XLOOKUP(W63,#REF!,#REF!)," ")))</f>
        <v/>
      </c>
      <c r="AD63" s="527" t="str">
        <f t="shared" si="5"/>
        <v/>
      </c>
      <c r="AE63" s="981"/>
      <c r="AF63" s="981"/>
    </row>
    <row r="64" spans="1:32" x14ac:dyDescent="0.35">
      <c r="A64" s="510" t="e">
        <f>#REF!</f>
        <v>#REF!</v>
      </c>
      <c r="B64" s="517"/>
      <c r="C64" s="515" t="str">
        <f>IF(B64="","",SUMIF(#REF!,B64,#REF!))</f>
        <v/>
      </c>
      <c r="D64" s="979" t="str">
        <f>IF(B64="","", SUMIF(#REF!,'Off-site gain site summary'!$B64,#REF!))</f>
        <v/>
      </c>
      <c r="E64" s="980"/>
      <c r="F64" s="979" t="str">
        <f>IF(B64="","",SUMIF(#REF!,'Off-site gain site summary'!B64,#REF!))</f>
        <v/>
      </c>
      <c r="G64" s="980"/>
      <c r="H64" s="979" t="str">
        <f>IF(B64="","",SUMIF(#REF!,'Off-site gain site summary'!B64,#REF!))</f>
        <v/>
      </c>
      <c r="I64" s="980"/>
      <c r="J64" s="518" t="str">
        <f t="shared" si="0"/>
        <v/>
      </c>
      <c r="K64" s="515" t="str">
        <f>IF(ISBLANK(B64),"",IFERROR(_xlfn.XLOOKUP(B64,#REF!,#REF!),IFERROR(_xlfn.XLOOKUP(B64,#REF!,#REF!)," ")))</f>
        <v/>
      </c>
      <c r="L64" s="519" t="str">
        <f t="shared" si="1"/>
        <v/>
      </c>
      <c r="M64" s="510" t="e">
        <f>#REF!</f>
        <v>#REF!</v>
      </c>
      <c r="N64" s="525"/>
      <c r="O64" s="526" t="str">
        <f>IF(N64="","",SUMIF(#REF!,'Off-site gain site summary'!N64,#REF!))</f>
        <v/>
      </c>
      <c r="P64" s="526" t="str">
        <f>IF(N64="","",SUMIF(#REF!,'Off-site gain site summary'!$N64,#REF!))</f>
        <v/>
      </c>
      <c r="Q64" s="526" t="str">
        <f>IF(N64="","",SUMIF(#REF!,'Off-site gain site summary'!$N64,#REF!))</f>
        <v/>
      </c>
      <c r="R64" s="526" t="str">
        <f>IF(N64="","",SUMIF(#REF!,'Off-site gain site summary'!$N64,#REF!))</f>
        <v/>
      </c>
      <c r="S64" s="524" t="str">
        <f t="shared" si="2"/>
        <v/>
      </c>
      <c r="T64" s="524" t="str">
        <f>IF(ISBLANK(N64),"", IFERROR(_xlfn.XLOOKUP(N64,#REF!,#REF!), IFERROR(_xlfn.XLOOKUP(N64,#REF!,#REF!), " ")))</f>
        <v/>
      </c>
      <c r="U64" s="527" t="str">
        <f t="shared" si="3"/>
        <v/>
      </c>
      <c r="V64" s="1" t="e">
        <f>#REF!</f>
        <v>#REF!</v>
      </c>
      <c r="W64" s="525"/>
      <c r="X64" s="526" t="str">
        <f>IF(W64="","",SUMIF(#REF!,'Off-site gain site summary'!$W64,#REF!))</f>
        <v/>
      </c>
      <c r="Y64" s="526" t="str">
        <f>IF(W64="","",SUMIF(#REF!,'Off-site gain site summary'!$W64,#REF!))</f>
        <v/>
      </c>
      <c r="Z64" s="526" t="str">
        <f>IF(W64="","",SUMIF(#REF!,'Off-site gain site summary'!$W64,#REF!))</f>
        <v/>
      </c>
      <c r="AA64" s="526" t="str">
        <f>IF(W64="","",SUMIF(#REF!,'Off-site gain site summary'!$W64,#REF!))</f>
        <v/>
      </c>
      <c r="AB64" s="526" t="str">
        <f t="shared" si="4"/>
        <v/>
      </c>
      <c r="AC64" s="526" t="str">
        <f>IF(ISBLANK(W64),"", IFERROR(_xlfn.XLOOKUP(W64,#REF!,#REF!), IFERROR(_xlfn.XLOOKUP(W64,#REF!,#REF!)," ")))</f>
        <v/>
      </c>
      <c r="AD64" s="527" t="str">
        <f t="shared" si="5"/>
        <v/>
      </c>
      <c r="AE64" s="981"/>
      <c r="AF64" s="981"/>
    </row>
    <row r="65" spans="1:32" x14ac:dyDescent="0.35">
      <c r="A65" s="510" t="e">
        <f>#REF!</f>
        <v>#REF!</v>
      </c>
      <c r="B65" s="517"/>
      <c r="C65" s="515" t="str">
        <f>IF(B65="","",SUMIF(#REF!,B65,#REF!))</f>
        <v/>
      </c>
      <c r="D65" s="979" t="str">
        <f>IF(B65="","", SUMIF(#REF!,'Off-site gain site summary'!$B65,#REF!))</f>
        <v/>
      </c>
      <c r="E65" s="980"/>
      <c r="F65" s="979" t="str">
        <f>IF(B65="","",SUMIF(#REF!,'Off-site gain site summary'!B65,#REF!))</f>
        <v/>
      </c>
      <c r="G65" s="980"/>
      <c r="H65" s="979" t="str">
        <f>IF(B65="","",SUMIF(#REF!,'Off-site gain site summary'!B65,#REF!))</f>
        <v/>
      </c>
      <c r="I65" s="980"/>
      <c r="J65" s="518" t="str">
        <f t="shared" si="0"/>
        <v/>
      </c>
      <c r="K65" s="515" t="str">
        <f>IF(ISBLANK(B65),"",IFERROR(_xlfn.XLOOKUP(B65,#REF!,#REF!),IFERROR(_xlfn.XLOOKUP(B65,#REF!,#REF!)," ")))</f>
        <v/>
      </c>
      <c r="L65" s="519" t="str">
        <f t="shared" si="1"/>
        <v/>
      </c>
      <c r="M65" s="510" t="e">
        <f>#REF!</f>
        <v>#REF!</v>
      </c>
      <c r="N65" s="525"/>
      <c r="O65" s="526" t="str">
        <f>IF(N65="","",SUMIF(#REF!,'Off-site gain site summary'!N65,#REF!))</f>
        <v/>
      </c>
      <c r="P65" s="526" t="str">
        <f>IF(N65="","",SUMIF(#REF!,'Off-site gain site summary'!$N65,#REF!))</f>
        <v/>
      </c>
      <c r="Q65" s="526" t="str">
        <f>IF(N65="","",SUMIF(#REF!,'Off-site gain site summary'!$N65,#REF!))</f>
        <v/>
      </c>
      <c r="R65" s="526" t="str">
        <f>IF(N65="","",SUMIF(#REF!,'Off-site gain site summary'!$N65,#REF!))</f>
        <v/>
      </c>
      <c r="S65" s="524" t="str">
        <f t="shared" si="2"/>
        <v/>
      </c>
      <c r="T65" s="524" t="str">
        <f>IF(ISBLANK(N65),"", IFERROR(_xlfn.XLOOKUP(N65,#REF!,#REF!), IFERROR(_xlfn.XLOOKUP(N65,#REF!,#REF!), " ")))</f>
        <v/>
      </c>
      <c r="U65" s="527" t="str">
        <f t="shared" si="3"/>
        <v/>
      </c>
      <c r="V65" s="1" t="e">
        <f>#REF!</f>
        <v>#REF!</v>
      </c>
      <c r="W65" s="525"/>
      <c r="X65" s="526" t="str">
        <f>IF(W65="","",SUMIF(#REF!,'Off-site gain site summary'!$W65,#REF!))</f>
        <v/>
      </c>
      <c r="Y65" s="526" t="str">
        <f>IF(W65="","",SUMIF(#REF!,'Off-site gain site summary'!$W65,#REF!))</f>
        <v/>
      </c>
      <c r="Z65" s="526" t="str">
        <f>IF(W65="","",SUMIF(#REF!,'Off-site gain site summary'!$W65,#REF!))</f>
        <v/>
      </c>
      <c r="AA65" s="526" t="str">
        <f>IF(W65="","",SUMIF(#REF!,'Off-site gain site summary'!$W65,#REF!))</f>
        <v/>
      </c>
      <c r="AB65" s="526" t="str">
        <f t="shared" si="4"/>
        <v/>
      </c>
      <c r="AC65" s="526" t="str">
        <f>IF(ISBLANK(W65),"", IFERROR(_xlfn.XLOOKUP(W65,#REF!,#REF!), IFERROR(_xlfn.XLOOKUP(W65,#REF!,#REF!)," ")))</f>
        <v/>
      </c>
      <c r="AD65" s="527" t="str">
        <f t="shared" si="5"/>
        <v/>
      </c>
      <c r="AE65" s="981"/>
      <c r="AF65" s="981"/>
    </row>
    <row r="66" spans="1:32" x14ac:dyDescent="0.35">
      <c r="A66" s="510" t="e">
        <f>#REF!</f>
        <v>#REF!</v>
      </c>
      <c r="B66" s="517"/>
      <c r="C66" s="515" t="str">
        <f>IF(B66="","",SUMIF(#REF!,B66,#REF!))</f>
        <v/>
      </c>
      <c r="D66" s="979" t="str">
        <f>IF(B66="","", SUMIF(#REF!,'Off-site gain site summary'!$B66,#REF!))</f>
        <v/>
      </c>
      <c r="E66" s="980"/>
      <c r="F66" s="979" t="str">
        <f>IF(B66="","",SUMIF(#REF!,'Off-site gain site summary'!B66,#REF!))</f>
        <v/>
      </c>
      <c r="G66" s="980"/>
      <c r="H66" s="979" t="str">
        <f>IF(B66="","",SUMIF(#REF!,'Off-site gain site summary'!B66,#REF!))</f>
        <v/>
      </c>
      <c r="I66" s="980"/>
      <c r="J66" s="518" t="str">
        <f t="shared" si="0"/>
        <v/>
      </c>
      <c r="K66" s="515" t="str">
        <f>IF(ISBLANK(B66),"",IFERROR(_xlfn.XLOOKUP(B66,#REF!,#REF!),IFERROR(_xlfn.XLOOKUP(B66,#REF!,#REF!)," ")))</f>
        <v/>
      </c>
      <c r="L66" s="519" t="str">
        <f t="shared" si="1"/>
        <v/>
      </c>
      <c r="M66" s="510" t="e">
        <f>#REF!</f>
        <v>#REF!</v>
      </c>
      <c r="N66" s="525"/>
      <c r="O66" s="526" t="str">
        <f>IF(N66="","",SUMIF(#REF!,'Off-site gain site summary'!N66,#REF!))</f>
        <v/>
      </c>
      <c r="P66" s="526" t="str">
        <f>IF(N66="","",SUMIF(#REF!,'Off-site gain site summary'!$N66,#REF!))</f>
        <v/>
      </c>
      <c r="Q66" s="526" t="str">
        <f>IF(N66="","",SUMIF(#REF!,'Off-site gain site summary'!$N66,#REF!))</f>
        <v/>
      </c>
      <c r="R66" s="526" t="str">
        <f>IF(N66="","",SUMIF(#REF!,'Off-site gain site summary'!$N66,#REF!))</f>
        <v/>
      </c>
      <c r="S66" s="524" t="str">
        <f t="shared" si="2"/>
        <v/>
      </c>
      <c r="T66" s="524" t="str">
        <f>IF(ISBLANK(N66),"", IFERROR(_xlfn.XLOOKUP(N66,#REF!,#REF!), IFERROR(_xlfn.XLOOKUP(N66,#REF!,#REF!), " ")))</f>
        <v/>
      </c>
      <c r="U66" s="527" t="str">
        <f t="shared" si="3"/>
        <v/>
      </c>
      <c r="V66" s="1" t="e">
        <f>#REF!</f>
        <v>#REF!</v>
      </c>
      <c r="W66" s="525"/>
      <c r="X66" s="526" t="str">
        <f>IF(W66="","",SUMIF(#REF!,'Off-site gain site summary'!$W66,#REF!))</f>
        <v/>
      </c>
      <c r="Y66" s="526" t="str">
        <f>IF(W66="","",SUMIF(#REF!,'Off-site gain site summary'!$W66,#REF!))</f>
        <v/>
      </c>
      <c r="Z66" s="526" t="str">
        <f>IF(W66="","",SUMIF(#REF!,'Off-site gain site summary'!$W66,#REF!))</f>
        <v/>
      </c>
      <c r="AA66" s="526" t="str">
        <f>IF(W66="","",SUMIF(#REF!,'Off-site gain site summary'!$W66,#REF!))</f>
        <v/>
      </c>
      <c r="AB66" s="526" t="str">
        <f t="shared" si="4"/>
        <v/>
      </c>
      <c r="AC66" s="526" t="str">
        <f>IF(ISBLANK(W66),"", IFERROR(_xlfn.XLOOKUP(W66,#REF!,#REF!), IFERROR(_xlfn.XLOOKUP(W66,#REF!,#REF!)," ")))</f>
        <v/>
      </c>
      <c r="AD66" s="527" t="str">
        <f t="shared" si="5"/>
        <v/>
      </c>
      <c r="AE66" s="981"/>
      <c r="AF66" s="981"/>
    </row>
    <row r="67" spans="1:32" x14ac:dyDescent="0.35">
      <c r="A67" s="510" t="e">
        <f>#REF!</f>
        <v>#REF!</v>
      </c>
      <c r="B67" s="517"/>
      <c r="C67" s="515" t="str">
        <f>IF(B67="","",SUMIF(#REF!,B67,#REF!))</f>
        <v/>
      </c>
      <c r="D67" s="979" t="str">
        <f>IF(B67="","", SUMIF(#REF!,'Off-site gain site summary'!$B67,#REF!))</f>
        <v/>
      </c>
      <c r="E67" s="980"/>
      <c r="F67" s="979" t="str">
        <f>IF(B67="","",SUMIF(#REF!,'Off-site gain site summary'!B67,#REF!))</f>
        <v/>
      </c>
      <c r="G67" s="980"/>
      <c r="H67" s="979" t="str">
        <f>IF(B67="","",SUMIF(#REF!,'Off-site gain site summary'!B67,#REF!))</f>
        <v/>
      </c>
      <c r="I67" s="980"/>
      <c r="J67" s="518" t="str">
        <f t="shared" si="0"/>
        <v/>
      </c>
      <c r="K67" s="515" t="str">
        <f>IF(ISBLANK(B67),"",IFERROR(_xlfn.XLOOKUP(B67,#REF!,#REF!),IFERROR(_xlfn.XLOOKUP(B67,#REF!,#REF!)," ")))</f>
        <v/>
      </c>
      <c r="L67" s="519" t="str">
        <f t="shared" si="1"/>
        <v/>
      </c>
      <c r="M67" s="510" t="e">
        <f>#REF!</f>
        <v>#REF!</v>
      </c>
      <c r="N67" s="525"/>
      <c r="O67" s="526" t="str">
        <f>IF(N67="","",SUMIF(#REF!,'Off-site gain site summary'!N67,#REF!))</f>
        <v/>
      </c>
      <c r="P67" s="526" t="str">
        <f>IF(N67="","",SUMIF(#REF!,'Off-site gain site summary'!$N67,#REF!))</f>
        <v/>
      </c>
      <c r="Q67" s="526" t="str">
        <f>IF(N67="","",SUMIF(#REF!,'Off-site gain site summary'!$N67,#REF!))</f>
        <v/>
      </c>
      <c r="R67" s="526" t="str">
        <f>IF(N67="","",SUMIF(#REF!,'Off-site gain site summary'!$N67,#REF!))</f>
        <v/>
      </c>
      <c r="S67" s="524" t="str">
        <f t="shared" si="2"/>
        <v/>
      </c>
      <c r="T67" s="524" t="str">
        <f>IF(ISBLANK(N67),"", IFERROR(_xlfn.XLOOKUP(N67,#REF!,#REF!), IFERROR(_xlfn.XLOOKUP(N67,#REF!,#REF!), " ")))</f>
        <v/>
      </c>
      <c r="U67" s="527" t="str">
        <f t="shared" si="3"/>
        <v/>
      </c>
      <c r="V67" s="1" t="e">
        <f>#REF!</f>
        <v>#REF!</v>
      </c>
      <c r="W67" s="525"/>
      <c r="X67" s="526" t="str">
        <f>IF(W67="","",SUMIF(#REF!,'Off-site gain site summary'!$W67,#REF!))</f>
        <v/>
      </c>
      <c r="Y67" s="526" t="str">
        <f>IF(W67="","",SUMIF(#REF!,'Off-site gain site summary'!$W67,#REF!))</f>
        <v/>
      </c>
      <c r="Z67" s="526" t="str">
        <f>IF(W67="","",SUMIF(#REF!,'Off-site gain site summary'!$W67,#REF!))</f>
        <v/>
      </c>
      <c r="AA67" s="526" t="str">
        <f>IF(W67="","",SUMIF(#REF!,'Off-site gain site summary'!$W67,#REF!))</f>
        <v/>
      </c>
      <c r="AB67" s="526" t="str">
        <f t="shared" si="4"/>
        <v/>
      </c>
      <c r="AC67" s="526" t="str">
        <f>IF(ISBLANK(W67),"", IFERROR(_xlfn.XLOOKUP(W67,#REF!,#REF!), IFERROR(_xlfn.XLOOKUP(W67,#REF!,#REF!)," ")))</f>
        <v/>
      </c>
      <c r="AD67" s="527" t="str">
        <f t="shared" si="5"/>
        <v/>
      </c>
      <c r="AE67" s="981"/>
      <c r="AF67" s="981"/>
    </row>
    <row r="68" spans="1:32" x14ac:dyDescent="0.35">
      <c r="A68" s="510" t="e">
        <f>#REF!</f>
        <v>#REF!</v>
      </c>
      <c r="B68" s="517"/>
      <c r="C68" s="515" t="str">
        <f>IF(B68="","",SUMIF(#REF!,B68,#REF!))</f>
        <v/>
      </c>
      <c r="D68" s="979" t="str">
        <f>IF(B68="","", SUMIF(#REF!,'Off-site gain site summary'!$B68,#REF!))</f>
        <v/>
      </c>
      <c r="E68" s="980"/>
      <c r="F68" s="979" t="str">
        <f>IF(B68="","",SUMIF(#REF!,'Off-site gain site summary'!B68,#REF!))</f>
        <v/>
      </c>
      <c r="G68" s="980"/>
      <c r="H68" s="979" t="str">
        <f>IF(B68="","",SUMIF(#REF!,'Off-site gain site summary'!B68,#REF!))</f>
        <v/>
      </c>
      <c r="I68" s="980"/>
      <c r="J68" s="518" t="str">
        <f t="shared" si="0"/>
        <v/>
      </c>
      <c r="K68" s="515" t="str">
        <f>IF(ISBLANK(B68),"",IFERROR(_xlfn.XLOOKUP(B68,#REF!,#REF!),IFERROR(_xlfn.XLOOKUP(B68,#REF!,#REF!)," ")))</f>
        <v/>
      </c>
      <c r="L68" s="519" t="str">
        <f t="shared" si="1"/>
        <v/>
      </c>
      <c r="M68" s="510" t="e">
        <f>#REF!</f>
        <v>#REF!</v>
      </c>
      <c r="N68" s="525"/>
      <c r="O68" s="526" t="str">
        <f>IF(N68="","",SUMIF(#REF!,'Off-site gain site summary'!N68,#REF!))</f>
        <v/>
      </c>
      <c r="P68" s="526" t="str">
        <f>IF(N68="","",SUMIF(#REF!,'Off-site gain site summary'!$N68,#REF!))</f>
        <v/>
      </c>
      <c r="Q68" s="526" t="str">
        <f>IF(N68="","",SUMIF(#REF!,'Off-site gain site summary'!$N68,#REF!))</f>
        <v/>
      </c>
      <c r="R68" s="526" t="str">
        <f>IF(N68="","",SUMIF(#REF!,'Off-site gain site summary'!$N68,#REF!))</f>
        <v/>
      </c>
      <c r="S68" s="524" t="str">
        <f t="shared" si="2"/>
        <v/>
      </c>
      <c r="T68" s="524" t="str">
        <f>IF(ISBLANK(N68),"", IFERROR(_xlfn.XLOOKUP(N68,#REF!,#REF!), IFERROR(_xlfn.XLOOKUP(N68,#REF!,#REF!), " ")))</f>
        <v/>
      </c>
      <c r="U68" s="527" t="str">
        <f t="shared" si="3"/>
        <v/>
      </c>
      <c r="V68" s="1" t="e">
        <f>#REF!</f>
        <v>#REF!</v>
      </c>
      <c r="W68" s="525"/>
      <c r="X68" s="526" t="str">
        <f>IF(W68="","",SUMIF(#REF!,'Off-site gain site summary'!$W68,#REF!))</f>
        <v/>
      </c>
      <c r="Y68" s="526" t="str">
        <f>IF(W68="","",SUMIF(#REF!,'Off-site gain site summary'!$W68,#REF!))</f>
        <v/>
      </c>
      <c r="Z68" s="526" t="str">
        <f>IF(W68="","",SUMIF(#REF!,'Off-site gain site summary'!$W68,#REF!))</f>
        <v/>
      </c>
      <c r="AA68" s="526" t="str">
        <f>IF(W68="","",SUMIF(#REF!,'Off-site gain site summary'!$W68,#REF!))</f>
        <v/>
      </c>
      <c r="AB68" s="526" t="str">
        <f t="shared" si="4"/>
        <v/>
      </c>
      <c r="AC68" s="526" t="str">
        <f>IF(ISBLANK(W68),"", IFERROR(_xlfn.XLOOKUP(W68,#REF!,#REF!), IFERROR(_xlfn.XLOOKUP(W68,#REF!,#REF!)," ")))</f>
        <v/>
      </c>
      <c r="AD68" s="527" t="str">
        <f t="shared" si="5"/>
        <v/>
      </c>
      <c r="AE68" s="981"/>
      <c r="AF68" s="981"/>
    </row>
    <row r="69" spans="1:32" x14ac:dyDescent="0.35">
      <c r="A69" s="510" t="e">
        <f>#REF!</f>
        <v>#REF!</v>
      </c>
      <c r="B69" s="517"/>
      <c r="C69" s="515" t="str">
        <f>IF(B69="","",SUMIF(#REF!,B69,#REF!))</f>
        <v/>
      </c>
      <c r="D69" s="979" t="str">
        <f>IF(B69="","", SUMIF(#REF!,'Off-site gain site summary'!$B69,#REF!))</f>
        <v/>
      </c>
      <c r="E69" s="980"/>
      <c r="F69" s="979" t="str">
        <f>IF(B69="","",SUMIF(#REF!,'Off-site gain site summary'!B69,#REF!))</f>
        <v/>
      </c>
      <c r="G69" s="980"/>
      <c r="H69" s="979" t="str">
        <f>IF(B69="","",SUMIF(#REF!,'Off-site gain site summary'!B69,#REF!))</f>
        <v/>
      </c>
      <c r="I69" s="980"/>
      <c r="J69" s="518" t="str">
        <f t="shared" si="0"/>
        <v/>
      </c>
      <c r="K69" s="515" t="str">
        <f>IF(ISBLANK(B69),"",IFERROR(_xlfn.XLOOKUP(B69,#REF!,#REF!),IFERROR(_xlfn.XLOOKUP(B69,#REF!,#REF!)," ")))</f>
        <v/>
      </c>
      <c r="L69" s="519" t="str">
        <f t="shared" si="1"/>
        <v/>
      </c>
      <c r="M69" s="510" t="e">
        <f>#REF!</f>
        <v>#REF!</v>
      </c>
      <c r="N69" s="525"/>
      <c r="O69" s="526" t="str">
        <f>IF(N69="","",SUMIF(#REF!,'Off-site gain site summary'!N69,#REF!))</f>
        <v/>
      </c>
      <c r="P69" s="526" t="str">
        <f>IF(N69="","",SUMIF(#REF!,'Off-site gain site summary'!$N69,#REF!))</f>
        <v/>
      </c>
      <c r="Q69" s="526" t="str">
        <f>IF(N69="","",SUMIF(#REF!,'Off-site gain site summary'!$N69,#REF!))</f>
        <v/>
      </c>
      <c r="R69" s="526" t="str">
        <f>IF(N69="","",SUMIF(#REF!,'Off-site gain site summary'!$N69,#REF!))</f>
        <v/>
      </c>
      <c r="S69" s="524" t="str">
        <f t="shared" si="2"/>
        <v/>
      </c>
      <c r="T69" s="524" t="str">
        <f>IF(ISBLANK(N69),"", IFERROR(_xlfn.XLOOKUP(N69,#REF!,#REF!), IFERROR(_xlfn.XLOOKUP(N69,#REF!,#REF!), " ")))</f>
        <v/>
      </c>
      <c r="U69" s="527" t="str">
        <f t="shared" si="3"/>
        <v/>
      </c>
      <c r="V69" s="1" t="e">
        <f>#REF!</f>
        <v>#REF!</v>
      </c>
      <c r="W69" s="525"/>
      <c r="X69" s="526" t="str">
        <f>IF(W69="","",SUMIF(#REF!,'Off-site gain site summary'!$W69,#REF!))</f>
        <v/>
      </c>
      <c r="Y69" s="526" t="str">
        <f>IF(W69="","",SUMIF(#REF!,'Off-site gain site summary'!$W69,#REF!))</f>
        <v/>
      </c>
      <c r="Z69" s="526" t="str">
        <f>IF(W69="","",SUMIF(#REF!,'Off-site gain site summary'!$W69,#REF!))</f>
        <v/>
      </c>
      <c r="AA69" s="526" t="str">
        <f>IF(W69="","",SUMIF(#REF!,'Off-site gain site summary'!$W69,#REF!))</f>
        <v/>
      </c>
      <c r="AB69" s="526" t="str">
        <f t="shared" si="4"/>
        <v/>
      </c>
      <c r="AC69" s="526" t="str">
        <f>IF(ISBLANK(W69),"", IFERROR(_xlfn.XLOOKUP(W69,#REF!,#REF!), IFERROR(_xlfn.XLOOKUP(W69,#REF!,#REF!)," ")))</f>
        <v/>
      </c>
      <c r="AD69" s="527" t="str">
        <f t="shared" si="5"/>
        <v/>
      </c>
      <c r="AE69" s="981"/>
      <c r="AF69" s="981"/>
    </row>
    <row r="70" spans="1:32" x14ac:dyDescent="0.35">
      <c r="A70" s="510" t="e">
        <f>#REF!</f>
        <v>#REF!</v>
      </c>
      <c r="B70" s="517"/>
      <c r="C70" s="515" t="str">
        <f>IF(B70="","",SUMIF(#REF!,B70,#REF!))</f>
        <v/>
      </c>
      <c r="D70" s="979" t="str">
        <f>IF(B70="","", SUMIF(#REF!,'Off-site gain site summary'!$B70,#REF!))</f>
        <v/>
      </c>
      <c r="E70" s="980"/>
      <c r="F70" s="979" t="str">
        <f>IF(B70="","",SUMIF(#REF!,'Off-site gain site summary'!B70,#REF!))</f>
        <v/>
      </c>
      <c r="G70" s="980"/>
      <c r="H70" s="979" t="str">
        <f>IF(B70="","",SUMIF(#REF!,'Off-site gain site summary'!B70,#REF!))</f>
        <v/>
      </c>
      <c r="I70" s="980"/>
      <c r="J70" s="518" t="str">
        <f t="shared" si="0"/>
        <v/>
      </c>
      <c r="K70" s="515" t="str">
        <f>IF(ISBLANK(B70),"",IFERROR(_xlfn.XLOOKUP(B70,#REF!,#REF!),IFERROR(_xlfn.XLOOKUP(B70,#REF!,#REF!)," ")))</f>
        <v/>
      </c>
      <c r="L70" s="519" t="str">
        <f t="shared" si="1"/>
        <v/>
      </c>
      <c r="M70" s="510" t="e">
        <f>#REF!</f>
        <v>#REF!</v>
      </c>
      <c r="N70" s="525"/>
      <c r="O70" s="526" t="str">
        <f>IF(N70="","",SUMIF(#REF!,'Off-site gain site summary'!N70,#REF!))</f>
        <v/>
      </c>
      <c r="P70" s="526" t="str">
        <f>IF(N70="","",SUMIF(#REF!,'Off-site gain site summary'!$N70,#REF!))</f>
        <v/>
      </c>
      <c r="Q70" s="526" t="str">
        <f>IF(N70="","",SUMIF(#REF!,'Off-site gain site summary'!$N70,#REF!))</f>
        <v/>
      </c>
      <c r="R70" s="526" t="str">
        <f>IF(N70="","",SUMIF(#REF!,'Off-site gain site summary'!$N70,#REF!))</f>
        <v/>
      </c>
      <c r="S70" s="524" t="str">
        <f t="shared" si="2"/>
        <v/>
      </c>
      <c r="T70" s="524" t="str">
        <f>IF(ISBLANK(N70),"", IFERROR(_xlfn.XLOOKUP(N70,#REF!,#REF!), IFERROR(_xlfn.XLOOKUP(N70,#REF!,#REF!), " ")))</f>
        <v/>
      </c>
      <c r="U70" s="527" t="str">
        <f t="shared" si="3"/>
        <v/>
      </c>
      <c r="V70" s="1" t="e">
        <f>#REF!</f>
        <v>#REF!</v>
      </c>
      <c r="W70" s="525"/>
      <c r="X70" s="526" t="str">
        <f>IF(W70="","",SUMIF(#REF!,'Off-site gain site summary'!$W70,#REF!))</f>
        <v/>
      </c>
      <c r="Y70" s="526" t="str">
        <f>IF(W70="","",SUMIF(#REF!,'Off-site gain site summary'!$W70,#REF!))</f>
        <v/>
      </c>
      <c r="Z70" s="526" t="str">
        <f>IF(W70="","",SUMIF(#REF!,'Off-site gain site summary'!$W70,#REF!))</f>
        <v/>
      </c>
      <c r="AA70" s="526" t="str">
        <f>IF(W70="","",SUMIF(#REF!,'Off-site gain site summary'!$W70,#REF!))</f>
        <v/>
      </c>
      <c r="AB70" s="526" t="str">
        <f t="shared" si="4"/>
        <v/>
      </c>
      <c r="AC70" s="526" t="str">
        <f>IF(ISBLANK(W70),"", IFERROR(_xlfn.XLOOKUP(W70,#REF!,#REF!), IFERROR(_xlfn.XLOOKUP(W70,#REF!,#REF!)," ")))</f>
        <v/>
      </c>
      <c r="AD70" s="527" t="str">
        <f t="shared" si="5"/>
        <v/>
      </c>
      <c r="AE70" s="981"/>
      <c r="AF70" s="981"/>
    </row>
    <row r="71" spans="1:32" x14ac:dyDescent="0.35">
      <c r="A71" s="510" t="e">
        <f>#REF!</f>
        <v>#REF!</v>
      </c>
      <c r="B71" s="517"/>
      <c r="C71" s="515" t="str">
        <f>IF(B71="","",SUMIF(#REF!,B71,#REF!))</f>
        <v/>
      </c>
      <c r="D71" s="979" t="str">
        <f>IF(B71="","", SUMIF(#REF!,'Off-site gain site summary'!$B71,#REF!))</f>
        <v/>
      </c>
      <c r="E71" s="980"/>
      <c r="F71" s="979" t="str">
        <f>IF(B71="","",SUMIF(#REF!,'Off-site gain site summary'!B71,#REF!))</f>
        <v/>
      </c>
      <c r="G71" s="980"/>
      <c r="H71" s="979" t="str">
        <f>IF(B71="","",SUMIF(#REF!,'Off-site gain site summary'!B71,#REF!))</f>
        <v/>
      </c>
      <c r="I71" s="980"/>
      <c r="J71" s="518" t="str">
        <f t="shared" si="0"/>
        <v/>
      </c>
      <c r="K71" s="515" t="str">
        <f>IF(ISBLANK(B71),"",IFERROR(_xlfn.XLOOKUP(B71,#REF!,#REF!),IFERROR(_xlfn.XLOOKUP(B71,#REF!,#REF!)," ")))</f>
        <v/>
      </c>
      <c r="L71" s="519" t="str">
        <f t="shared" si="1"/>
        <v/>
      </c>
      <c r="M71" s="510" t="e">
        <f>#REF!</f>
        <v>#REF!</v>
      </c>
      <c r="N71" s="525"/>
      <c r="O71" s="526" t="str">
        <f>IF(N71="","",SUMIF(#REF!,'Off-site gain site summary'!N71,#REF!))</f>
        <v/>
      </c>
      <c r="P71" s="526" t="str">
        <f>IF(N71="","",SUMIF(#REF!,'Off-site gain site summary'!$N71,#REF!))</f>
        <v/>
      </c>
      <c r="Q71" s="526" t="str">
        <f>IF(N71="","",SUMIF(#REF!,'Off-site gain site summary'!$N71,#REF!))</f>
        <v/>
      </c>
      <c r="R71" s="526" t="str">
        <f>IF(N71="","",SUMIF(#REF!,'Off-site gain site summary'!$N71,#REF!))</f>
        <v/>
      </c>
      <c r="S71" s="524" t="str">
        <f t="shared" si="2"/>
        <v/>
      </c>
      <c r="T71" s="524" t="str">
        <f>IF(ISBLANK(N71),"", IFERROR(_xlfn.XLOOKUP(N71,#REF!,#REF!), IFERROR(_xlfn.XLOOKUP(N71,#REF!,#REF!), " ")))</f>
        <v/>
      </c>
      <c r="U71" s="527" t="str">
        <f t="shared" si="3"/>
        <v/>
      </c>
      <c r="V71" s="1" t="e">
        <f>#REF!</f>
        <v>#REF!</v>
      </c>
      <c r="W71" s="525"/>
      <c r="X71" s="526" t="str">
        <f>IF(W71="","",SUMIF(#REF!,'Off-site gain site summary'!$W71,#REF!))</f>
        <v/>
      </c>
      <c r="Y71" s="526" t="str">
        <f>IF(W71="","",SUMIF(#REF!,'Off-site gain site summary'!$W71,#REF!))</f>
        <v/>
      </c>
      <c r="Z71" s="526" t="str">
        <f>IF(W71="","",SUMIF(#REF!,'Off-site gain site summary'!$W71,#REF!))</f>
        <v/>
      </c>
      <c r="AA71" s="526" t="str">
        <f>IF(W71="","",SUMIF(#REF!,'Off-site gain site summary'!$W71,#REF!))</f>
        <v/>
      </c>
      <c r="AB71" s="526" t="str">
        <f t="shared" si="4"/>
        <v/>
      </c>
      <c r="AC71" s="526" t="str">
        <f>IF(ISBLANK(W71),"", IFERROR(_xlfn.XLOOKUP(W71,#REF!,#REF!), IFERROR(_xlfn.XLOOKUP(W71,#REF!,#REF!)," ")))</f>
        <v/>
      </c>
      <c r="AD71" s="527" t="str">
        <f t="shared" si="5"/>
        <v/>
      </c>
      <c r="AE71" s="981"/>
      <c r="AF71" s="981"/>
    </row>
    <row r="72" spans="1:32" x14ac:dyDescent="0.35">
      <c r="A72" s="510" t="e">
        <f>#REF!</f>
        <v>#REF!</v>
      </c>
      <c r="B72" s="517"/>
      <c r="C72" s="515" t="str">
        <f>IF(B72="","",SUMIF(#REF!,B72,#REF!))</f>
        <v/>
      </c>
      <c r="D72" s="979" t="str">
        <f>IF(B72="","", SUMIF(#REF!,'Off-site gain site summary'!$B72,#REF!))</f>
        <v/>
      </c>
      <c r="E72" s="980"/>
      <c r="F72" s="979" t="str">
        <f>IF(B72="","",SUMIF(#REF!,'Off-site gain site summary'!B72,#REF!))</f>
        <v/>
      </c>
      <c r="G72" s="980"/>
      <c r="H72" s="979" t="str">
        <f>IF(B72="","",SUMIF(#REF!,'Off-site gain site summary'!B72,#REF!))</f>
        <v/>
      </c>
      <c r="I72" s="980"/>
      <c r="J72" s="518" t="str">
        <f t="shared" ref="J72:J107" si="6">IF(B72="","",(H72+F72+D72)-(C72))</f>
        <v/>
      </c>
      <c r="K72" s="515" t="str">
        <f>IF(ISBLANK(B72),"",IFERROR(_xlfn.XLOOKUP(B72,#REF!,#REF!),IFERROR(_xlfn.XLOOKUP(B72,#REF!,#REF!)," ")))</f>
        <v/>
      </c>
      <c r="L72" s="519" t="str">
        <f t="shared" ref="L72:L107" si="7">IF(B72="","",IF(J72&gt;0,IFERROR(J72*K72,"0"),J72))</f>
        <v/>
      </c>
      <c r="M72" s="510" t="e">
        <f>#REF!</f>
        <v>#REF!</v>
      </c>
      <c r="N72" s="525"/>
      <c r="O72" s="526" t="str">
        <f>IF(N72="","",SUMIF(#REF!,'Off-site gain site summary'!N72,#REF!))</f>
        <v/>
      </c>
      <c r="P72" s="526" t="str">
        <f>IF(N72="","",SUMIF(#REF!,'Off-site gain site summary'!$N72,#REF!))</f>
        <v/>
      </c>
      <c r="Q72" s="526" t="str">
        <f>IF(N72="","",SUMIF(#REF!,'Off-site gain site summary'!$N72,#REF!))</f>
        <v/>
      </c>
      <c r="R72" s="526" t="str">
        <f>IF(N72="","",SUMIF(#REF!,'Off-site gain site summary'!$N72,#REF!))</f>
        <v/>
      </c>
      <c r="S72" s="524" t="str">
        <f t="shared" ref="S72:S107" si="8">IF(N72="","",(R72+Q72+P72)-O72)</f>
        <v/>
      </c>
      <c r="T72" s="524" t="str">
        <f>IF(ISBLANK(N72),"", IFERROR(_xlfn.XLOOKUP(N72,#REF!,#REF!), IFERROR(_xlfn.XLOOKUP(N72,#REF!,#REF!), " ")))</f>
        <v/>
      </c>
      <c r="U72" s="527" t="str">
        <f t="shared" ref="U72:U107" si="9">IF(N72="","",IF(S72&gt;0,IFERROR(S72*T72,"0"),S72))</f>
        <v/>
      </c>
      <c r="V72" s="1" t="e">
        <f>#REF!</f>
        <v>#REF!</v>
      </c>
      <c r="W72" s="525"/>
      <c r="X72" s="526" t="str">
        <f>IF(W72="","",SUMIF(#REF!,'Off-site gain site summary'!$W72,#REF!))</f>
        <v/>
      </c>
      <c r="Y72" s="526" t="str">
        <f>IF(W72="","",SUMIF(#REF!,'Off-site gain site summary'!$W72,#REF!))</f>
        <v/>
      </c>
      <c r="Z72" s="526" t="str">
        <f>IF(W72="","",SUMIF(#REF!,'Off-site gain site summary'!$W72,#REF!))</f>
        <v/>
      </c>
      <c r="AA72" s="526" t="str">
        <f>IF(W72="","",SUMIF(#REF!,'Off-site gain site summary'!$W72,#REF!))</f>
        <v/>
      </c>
      <c r="AB72" s="526" t="str">
        <f t="shared" ref="AB72:AB107" si="10">IF(W72="","",(Z72+AA72+Y72)-X72)</f>
        <v/>
      </c>
      <c r="AC72" s="526" t="str">
        <f>IF(ISBLANK(W72),"", IFERROR(_xlfn.XLOOKUP(W72,#REF!,#REF!), IFERROR(_xlfn.XLOOKUP(W72,#REF!,#REF!)," ")))</f>
        <v/>
      </c>
      <c r="AD72" s="527" t="str">
        <f t="shared" ref="AD72:AD107" si="11">IF(W72="","",IF(AB72&gt;0,IFERROR(AB72*AC72,"0"),AB72))</f>
        <v/>
      </c>
      <c r="AE72" s="981"/>
      <c r="AF72" s="981"/>
    </row>
    <row r="73" spans="1:32" x14ac:dyDescent="0.35">
      <c r="A73" s="510" t="e">
        <f>#REF!</f>
        <v>#REF!</v>
      </c>
      <c r="B73" s="517"/>
      <c r="C73" s="515" t="str">
        <f>IF(B73="","",SUMIF(#REF!,B73,#REF!))</f>
        <v/>
      </c>
      <c r="D73" s="979" t="str">
        <f>IF(B73="","", SUMIF(#REF!,'Off-site gain site summary'!$B73,#REF!))</f>
        <v/>
      </c>
      <c r="E73" s="980"/>
      <c r="F73" s="979" t="str">
        <f>IF(B73="","",SUMIF(#REF!,'Off-site gain site summary'!B73,#REF!))</f>
        <v/>
      </c>
      <c r="G73" s="980"/>
      <c r="H73" s="979" t="str">
        <f>IF(B73="","",SUMIF(#REF!,'Off-site gain site summary'!B73,#REF!))</f>
        <v/>
      </c>
      <c r="I73" s="980"/>
      <c r="J73" s="518" t="str">
        <f t="shared" si="6"/>
        <v/>
      </c>
      <c r="K73" s="515" t="str">
        <f>IF(ISBLANK(B73),"",IFERROR(_xlfn.XLOOKUP(B73,#REF!,#REF!),IFERROR(_xlfn.XLOOKUP(B73,#REF!,#REF!)," ")))</f>
        <v/>
      </c>
      <c r="L73" s="519" t="str">
        <f t="shared" si="7"/>
        <v/>
      </c>
      <c r="M73" s="510" t="e">
        <f>#REF!</f>
        <v>#REF!</v>
      </c>
      <c r="N73" s="525"/>
      <c r="O73" s="526" t="str">
        <f>IF(N73="","",SUMIF(#REF!,'Off-site gain site summary'!N73,#REF!))</f>
        <v/>
      </c>
      <c r="P73" s="526" t="str">
        <f>IF(N73="","",SUMIF(#REF!,'Off-site gain site summary'!$N73,#REF!))</f>
        <v/>
      </c>
      <c r="Q73" s="526" t="str">
        <f>IF(N73="","",SUMIF(#REF!,'Off-site gain site summary'!$N73,#REF!))</f>
        <v/>
      </c>
      <c r="R73" s="526" t="str">
        <f>IF(N73="","",SUMIF(#REF!,'Off-site gain site summary'!$N73,#REF!))</f>
        <v/>
      </c>
      <c r="S73" s="524" t="str">
        <f t="shared" si="8"/>
        <v/>
      </c>
      <c r="T73" s="524" t="str">
        <f>IF(ISBLANK(N73),"", IFERROR(_xlfn.XLOOKUP(N73,#REF!,#REF!), IFERROR(_xlfn.XLOOKUP(N73,#REF!,#REF!), " ")))</f>
        <v/>
      </c>
      <c r="U73" s="527" t="str">
        <f t="shared" si="9"/>
        <v/>
      </c>
      <c r="V73" s="1" t="e">
        <f>#REF!</f>
        <v>#REF!</v>
      </c>
      <c r="W73" s="525"/>
      <c r="X73" s="526" t="str">
        <f>IF(W73="","",SUMIF(#REF!,'Off-site gain site summary'!$W73,#REF!))</f>
        <v/>
      </c>
      <c r="Y73" s="526" t="str">
        <f>IF(W73="","",SUMIF(#REF!,'Off-site gain site summary'!$W73,#REF!))</f>
        <v/>
      </c>
      <c r="Z73" s="526" t="str">
        <f>IF(W73="","",SUMIF(#REF!,'Off-site gain site summary'!$W73,#REF!))</f>
        <v/>
      </c>
      <c r="AA73" s="526" t="str">
        <f>IF(W73="","",SUMIF(#REF!,'Off-site gain site summary'!$W73,#REF!))</f>
        <v/>
      </c>
      <c r="AB73" s="526" t="str">
        <f t="shared" si="10"/>
        <v/>
      </c>
      <c r="AC73" s="526" t="str">
        <f>IF(ISBLANK(W73),"", IFERROR(_xlfn.XLOOKUP(W73,#REF!,#REF!), IFERROR(_xlfn.XLOOKUP(W73,#REF!,#REF!)," ")))</f>
        <v/>
      </c>
      <c r="AD73" s="527" t="str">
        <f t="shared" si="11"/>
        <v/>
      </c>
      <c r="AE73" s="981"/>
      <c r="AF73" s="981"/>
    </row>
    <row r="74" spans="1:32" x14ac:dyDescent="0.35">
      <c r="A74" s="510" t="e">
        <f>#REF!</f>
        <v>#REF!</v>
      </c>
      <c r="B74" s="517"/>
      <c r="C74" s="515" t="str">
        <f>IF(B74="","",SUMIF(#REF!,B74,#REF!))</f>
        <v/>
      </c>
      <c r="D74" s="979" t="str">
        <f>IF(B74="","", SUMIF(#REF!,'Off-site gain site summary'!$B74,#REF!))</f>
        <v/>
      </c>
      <c r="E74" s="980"/>
      <c r="F74" s="979" t="str">
        <f>IF(B74="","",SUMIF(#REF!,'Off-site gain site summary'!B74,#REF!))</f>
        <v/>
      </c>
      <c r="G74" s="980"/>
      <c r="H74" s="979" t="str">
        <f>IF(B74="","",SUMIF(#REF!,'Off-site gain site summary'!B74,#REF!))</f>
        <v/>
      </c>
      <c r="I74" s="980"/>
      <c r="J74" s="518" t="str">
        <f t="shared" si="6"/>
        <v/>
      </c>
      <c r="K74" s="515" t="str">
        <f>IF(ISBLANK(B74),"",IFERROR(_xlfn.XLOOKUP(B74,#REF!,#REF!),IFERROR(_xlfn.XLOOKUP(B74,#REF!,#REF!)," ")))</f>
        <v/>
      </c>
      <c r="L74" s="519" t="str">
        <f t="shared" si="7"/>
        <v/>
      </c>
      <c r="M74" s="510" t="e">
        <f>#REF!</f>
        <v>#REF!</v>
      </c>
      <c r="N74" s="525"/>
      <c r="O74" s="526" t="str">
        <f>IF(N74="","",SUMIF(#REF!,'Off-site gain site summary'!N74,#REF!))</f>
        <v/>
      </c>
      <c r="P74" s="526" t="str">
        <f>IF(N74="","",SUMIF(#REF!,'Off-site gain site summary'!$N74,#REF!))</f>
        <v/>
      </c>
      <c r="Q74" s="526" t="str">
        <f>IF(N74="","",SUMIF(#REF!,'Off-site gain site summary'!$N74,#REF!))</f>
        <v/>
      </c>
      <c r="R74" s="526" t="str">
        <f>IF(N74="","",SUMIF(#REF!,'Off-site gain site summary'!$N74,#REF!))</f>
        <v/>
      </c>
      <c r="S74" s="524" t="str">
        <f t="shared" si="8"/>
        <v/>
      </c>
      <c r="T74" s="524" t="str">
        <f>IF(ISBLANK(N74),"", IFERROR(_xlfn.XLOOKUP(N74,#REF!,#REF!), IFERROR(_xlfn.XLOOKUP(N74,#REF!,#REF!), " ")))</f>
        <v/>
      </c>
      <c r="U74" s="527" t="str">
        <f t="shared" si="9"/>
        <v/>
      </c>
      <c r="V74" s="1" t="e">
        <f>#REF!</f>
        <v>#REF!</v>
      </c>
      <c r="W74" s="525"/>
      <c r="X74" s="526" t="str">
        <f>IF(W74="","",SUMIF(#REF!,'Off-site gain site summary'!$W74,#REF!))</f>
        <v/>
      </c>
      <c r="Y74" s="526" t="str">
        <f>IF(W74="","",SUMIF(#REF!,'Off-site gain site summary'!$W74,#REF!))</f>
        <v/>
      </c>
      <c r="Z74" s="526" t="str">
        <f>IF(W74="","",SUMIF(#REF!,'Off-site gain site summary'!$W74,#REF!))</f>
        <v/>
      </c>
      <c r="AA74" s="526" t="str">
        <f>IF(W74="","",SUMIF(#REF!,'Off-site gain site summary'!$W74,#REF!))</f>
        <v/>
      </c>
      <c r="AB74" s="526" t="str">
        <f t="shared" si="10"/>
        <v/>
      </c>
      <c r="AC74" s="526" t="str">
        <f>IF(ISBLANK(W74),"", IFERROR(_xlfn.XLOOKUP(W74,#REF!,#REF!), IFERROR(_xlfn.XLOOKUP(W74,#REF!,#REF!)," ")))</f>
        <v/>
      </c>
      <c r="AD74" s="527" t="str">
        <f t="shared" si="11"/>
        <v/>
      </c>
      <c r="AE74" s="981"/>
      <c r="AF74" s="981"/>
    </row>
    <row r="75" spans="1:32" x14ac:dyDescent="0.35">
      <c r="A75" s="510" t="e">
        <f>#REF!</f>
        <v>#REF!</v>
      </c>
      <c r="B75" s="517"/>
      <c r="C75" s="515" t="str">
        <f>IF(B75="","",SUMIF(#REF!,B75,#REF!))</f>
        <v/>
      </c>
      <c r="D75" s="979" t="str">
        <f>IF(B75="","", SUMIF(#REF!,'Off-site gain site summary'!$B75,#REF!))</f>
        <v/>
      </c>
      <c r="E75" s="980"/>
      <c r="F75" s="979" t="str">
        <f>IF(B75="","",SUMIF(#REF!,'Off-site gain site summary'!B75,#REF!))</f>
        <v/>
      </c>
      <c r="G75" s="980"/>
      <c r="H75" s="979" t="str">
        <f>IF(B75="","",SUMIF(#REF!,'Off-site gain site summary'!B75,#REF!))</f>
        <v/>
      </c>
      <c r="I75" s="980"/>
      <c r="J75" s="518" t="str">
        <f t="shared" si="6"/>
        <v/>
      </c>
      <c r="K75" s="515" t="str">
        <f>IF(ISBLANK(B75),"",IFERROR(_xlfn.XLOOKUP(B75,#REF!,#REF!),IFERROR(_xlfn.XLOOKUP(B75,#REF!,#REF!)," ")))</f>
        <v/>
      </c>
      <c r="L75" s="519" t="str">
        <f t="shared" si="7"/>
        <v/>
      </c>
      <c r="M75" s="510" t="e">
        <f>#REF!</f>
        <v>#REF!</v>
      </c>
      <c r="N75" s="525"/>
      <c r="O75" s="526" t="str">
        <f>IF(N75="","",SUMIF(#REF!,'Off-site gain site summary'!N75,#REF!))</f>
        <v/>
      </c>
      <c r="P75" s="526" t="str">
        <f>IF(N75="","",SUMIF(#REF!,'Off-site gain site summary'!$N75,#REF!))</f>
        <v/>
      </c>
      <c r="Q75" s="526" t="str">
        <f>IF(N75="","",SUMIF(#REF!,'Off-site gain site summary'!$N75,#REF!))</f>
        <v/>
      </c>
      <c r="R75" s="526" t="str">
        <f>IF(N75="","",SUMIF(#REF!,'Off-site gain site summary'!$N75,#REF!))</f>
        <v/>
      </c>
      <c r="S75" s="524" t="str">
        <f t="shared" si="8"/>
        <v/>
      </c>
      <c r="T75" s="524" t="str">
        <f>IF(ISBLANK(N75),"", IFERROR(_xlfn.XLOOKUP(N75,#REF!,#REF!), IFERROR(_xlfn.XLOOKUP(N75,#REF!,#REF!), " ")))</f>
        <v/>
      </c>
      <c r="U75" s="527" t="str">
        <f t="shared" si="9"/>
        <v/>
      </c>
      <c r="V75" s="1" t="e">
        <f>#REF!</f>
        <v>#REF!</v>
      </c>
      <c r="W75" s="525"/>
      <c r="X75" s="526" t="str">
        <f>IF(W75="","",SUMIF(#REF!,'Off-site gain site summary'!$W75,#REF!))</f>
        <v/>
      </c>
      <c r="Y75" s="526" t="str">
        <f>IF(W75="","",SUMIF(#REF!,'Off-site gain site summary'!$W75,#REF!))</f>
        <v/>
      </c>
      <c r="Z75" s="526" t="str">
        <f>IF(W75="","",SUMIF(#REF!,'Off-site gain site summary'!$W75,#REF!))</f>
        <v/>
      </c>
      <c r="AA75" s="526" t="str">
        <f>IF(W75="","",SUMIF(#REF!,'Off-site gain site summary'!$W75,#REF!))</f>
        <v/>
      </c>
      <c r="AB75" s="526" t="str">
        <f t="shared" si="10"/>
        <v/>
      </c>
      <c r="AC75" s="526" t="str">
        <f>IF(ISBLANK(W75),"", IFERROR(_xlfn.XLOOKUP(W75,#REF!,#REF!), IFERROR(_xlfn.XLOOKUP(W75,#REF!,#REF!)," ")))</f>
        <v/>
      </c>
      <c r="AD75" s="527" t="str">
        <f t="shared" si="11"/>
        <v/>
      </c>
      <c r="AE75" s="981"/>
      <c r="AF75" s="981"/>
    </row>
    <row r="76" spans="1:32" x14ac:dyDescent="0.35">
      <c r="A76" s="510" t="e">
        <f>#REF!</f>
        <v>#REF!</v>
      </c>
      <c r="B76" s="517"/>
      <c r="C76" s="515" t="str">
        <f>IF(B76="","",SUMIF(#REF!,B76,#REF!))</f>
        <v/>
      </c>
      <c r="D76" s="979" t="str">
        <f>IF(B76="","", SUMIF(#REF!,'Off-site gain site summary'!$B76,#REF!))</f>
        <v/>
      </c>
      <c r="E76" s="980"/>
      <c r="F76" s="979" t="str">
        <f>IF(B76="","",SUMIF(#REF!,'Off-site gain site summary'!B76,#REF!))</f>
        <v/>
      </c>
      <c r="G76" s="980"/>
      <c r="H76" s="979" t="str">
        <f>IF(B76="","",SUMIF(#REF!,'Off-site gain site summary'!B76,#REF!))</f>
        <v/>
      </c>
      <c r="I76" s="980"/>
      <c r="J76" s="518" t="str">
        <f t="shared" si="6"/>
        <v/>
      </c>
      <c r="K76" s="515" t="str">
        <f>IF(ISBLANK(B76),"",IFERROR(_xlfn.XLOOKUP(B76,#REF!,#REF!),IFERROR(_xlfn.XLOOKUP(B76,#REF!,#REF!)," ")))</f>
        <v/>
      </c>
      <c r="L76" s="519" t="str">
        <f t="shared" si="7"/>
        <v/>
      </c>
      <c r="M76" s="510" t="e">
        <f>#REF!</f>
        <v>#REF!</v>
      </c>
      <c r="N76" s="525"/>
      <c r="O76" s="526" t="str">
        <f>IF(N76="","",SUMIF(#REF!,'Off-site gain site summary'!N76,#REF!))</f>
        <v/>
      </c>
      <c r="P76" s="526" t="str">
        <f>IF(N76="","",SUMIF(#REF!,'Off-site gain site summary'!$N76,#REF!))</f>
        <v/>
      </c>
      <c r="Q76" s="526" t="str">
        <f>IF(N76="","",SUMIF(#REF!,'Off-site gain site summary'!$N76,#REF!))</f>
        <v/>
      </c>
      <c r="R76" s="526" t="str">
        <f>IF(N76="","",SUMIF(#REF!,'Off-site gain site summary'!$N76,#REF!))</f>
        <v/>
      </c>
      <c r="S76" s="524" t="str">
        <f t="shared" si="8"/>
        <v/>
      </c>
      <c r="T76" s="524" t="str">
        <f>IF(ISBLANK(N76),"", IFERROR(_xlfn.XLOOKUP(N76,#REF!,#REF!), IFERROR(_xlfn.XLOOKUP(N76,#REF!,#REF!), " ")))</f>
        <v/>
      </c>
      <c r="U76" s="527" t="str">
        <f t="shared" si="9"/>
        <v/>
      </c>
      <c r="V76" s="1" t="e">
        <f>#REF!</f>
        <v>#REF!</v>
      </c>
      <c r="W76" s="525"/>
      <c r="X76" s="526" t="str">
        <f>IF(W76="","",SUMIF(#REF!,'Off-site gain site summary'!$W76,#REF!))</f>
        <v/>
      </c>
      <c r="Y76" s="526" t="str">
        <f>IF(W76="","",SUMIF(#REF!,'Off-site gain site summary'!$W76,#REF!))</f>
        <v/>
      </c>
      <c r="Z76" s="526" t="str">
        <f>IF(W76="","",SUMIF(#REF!,'Off-site gain site summary'!$W76,#REF!))</f>
        <v/>
      </c>
      <c r="AA76" s="526" t="str">
        <f>IF(W76="","",SUMIF(#REF!,'Off-site gain site summary'!$W76,#REF!))</f>
        <v/>
      </c>
      <c r="AB76" s="526" t="str">
        <f t="shared" si="10"/>
        <v/>
      </c>
      <c r="AC76" s="526" t="str">
        <f>IF(ISBLANK(W76),"", IFERROR(_xlfn.XLOOKUP(W76,#REF!,#REF!), IFERROR(_xlfn.XLOOKUP(W76,#REF!,#REF!)," ")))</f>
        <v/>
      </c>
      <c r="AD76" s="527" t="str">
        <f t="shared" si="11"/>
        <v/>
      </c>
      <c r="AE76" s="981"/>
      <c r="AF76" s="981"/>
    </row>
    <row r="77" spans="1:32" x14ac:dyDescent="0.35">
      <c r="A77" s="510" t="e">
        <f>#REF!</f>
        <v>#REF!</v>
      </c>
      <c r="B77" s="517"/>
      <c r="C77" s="515" t="str">
        <f>IF(B77="","",SUMIF(#REF!,B77,#REF!))</f>
        <v/>
      </c>
      <c r="D77" s="979" t="str">
        <f>IF(B77="","", SUMIF(#REF!,'Off-site gain site summary'!$B77,#REF!))</f>
        <v/>
      </c>
      <c r="E77" s="980"/>
      <c r="F77" s="979" t="str">
        <f>IF(B77="","",SUMIF(#REF!,'Off-site gain site summary'!B77,#REF!))</f>
        <v/>
      </c>
      <c r="G77" s="980"/>
      <c r="H77" s="979" t="str">
        <f>IF(B77="","",SUMIF(#REF!,'Off-site gain site summary'!B77,#REF!))</f>
        <v/>
      </c>
      <c r="I77" s="980"/>
      <c r="J77" s="518" t="str">
        <f t="shared" si="6"/>
        <v/>
      </c>
      <c r="K77" s="515" t="str">
        <f>IF(ISBLANK(B77),"",IFERROR(_xlfn.XLOOKUP(B77,#REF!,#REF!),IFERROR(_xlfn.XLOOKUP(B77,#REF!,#REF!)," ")))</f>
        <v/>
      </c>
      <c r="L77" s="519" t="str">
        <f t="shared" si="7"/>
        <v/>
      </c>
      <c r="M77" s="510" t="e">
        <f>#REF!</f>
        <v>#REF!</v>
      </c>
      <c r="N77" s="525"/>
      <c r="O77" s="526" t="str">
        <f>IF(N77="","",SUMIF(#REF!,'Off-site gain site summary'!N77,#REF!))</f>
        <v/>
      </c>
      <c r="P77" s="526" t="str">
        <f>IF(N77="","",SUMIF(#REF!,'Off-site gain site summary'!$N77,#REF!))</f>
        <v/>
      </c>
      <c r="Q77" s="526" t="str">
        <f>IF(N77="","",SUMIF(#REF!,'Off-site gain site summary'!$N77,#REF!))</f>
        <v/>
      </c>
      <c r="R77" s="526" t="str">
        <f>IF(N77="","",SUMIF(#REF!,'Off-site gain site summary'!$N77,#REF!))</f>
        <v/>
      </c>
      <c r="S77" s="524" t="str">
        <f t="shared" si="8"/>
        <v/>
      </c>
      <c r="T77" s="524" t="str">
        <f>IF(ISBLANK(N77),"", IFERROR(_xlfn.XLOOKUP(N77,#REF!,#REF!), IFERROR(_xlfn.XLOOKUP(N77,#REF!,#REF!), " ")))</f>
        <v/>
      </c>
      <c r="U77" s="527" t="str">
        <f t="shared" si="9"/>
        <v/>
      </c>
      <c r="V77" s="1" t="e">
        <f>#REF!</f>
        <v>#REF!</v>
      </c>
      <c r="W77" s="525"/>
      <c r="X77" s="526" t="str">
        <f>IF(W77="","",SUMIF(#REF!,'Off-site gain site summary'!$W77,#REF!))</f>
        <v/>
      </c>
      <c r="Y77" s="526" t="str">
        <f>IF(W77="","",SUMIF(#REF!,'Off-site gain site summary'!$W77,#REF!))</f>
        <v/>
      </c>
      <c r="Z77" s="526" t="str">
        <f>IF(W77="","",SUMIF(#REF!,'Off-site gain site summary'!$W77,#REF!))</f>
        <v/>
      </c>
      <c r="AA77" s="526" t="str">
        <f>IF(W77="","",SUMIF(#REF!,'Off-site gain site summary'!$W77,#REF!))</f>
        <v/>
      </c>
      <c r="AB77" s="526" t="str">
        <f t="shared" si="10"/>
        <v/>
      </c>
      <c r="AC77" s="526" t="str">
        <f>IF(ISBLANK(W77),"", IFERROR(_xlfn.XLOOKUP(W77,#REF!,#REF!), IFERROR(_xlfn.XLOOKUP(W77,#REF!,#REF!)," ")))</f>
        <v/>
      </c>
      <c r="AD77" s="527" t="str">
        <f t="shared" si="11"/>
        <v/>
      </c>
      <c r="AE77" s="981"/>
      <c r="AF77" s="981"/>
    </row>
    <row r="78" spans="1:32" x14ac:dyDescent="0.35">
      <c r="A78" s="510" t="e">
        <f>#REF!</f>
        <v>#REF!</v>
      </c>
      <c r="B78" s="517"/>
      <c r="C78" s="515" t="str">
        <f>IF(B78="","",SUMIF(#REF!,B78,#REF!))</f>
        <v/>
      </c>
      <c r="D78" s="979" t="str">
        <f>IF(B78="","", SUMIF(#REF!,'Off-site gain site summary'!$B78,#REF!))</f>
        <v/>
      </c>
      <c r="E78" s="980"/>
      <c r="F78" s="979" t="str">
        <f>IF(B78="","",SUMIF(#REF!,'Off-site gain site summary'!B78,#REF!))</f>
        <v/>
      </c>
      <c r="G78" s="980"/>
      <c r="H78" s="979" t="str">
        <f>IF(B78="","",SUMIF(#REF!,'Off-site gain site summary'!B78,#REF!))</f>
        <v/>
      </c>
      <c r="I78" s="980"/>
      <c r="J78" s="518" t="str">
        <f t="shared" si="6"/>
        <v/>
      </c>
      <c r="K78" s="515" t="str">
        <f>IF(ISBLANK(B78),"",IFERROR(_xlfn.XLOOKUP(B78,#REF!,#REF!),IFERROR(_xlfn.XLOOKUP(B78,#REF!,#REF!)," ")))</f>
        <v/>
      </c>
      <c r="L78" s="519" t="str">
        <f t="shared" si="7"/>
        <v/>
      </c>
      <c r="M78" s="510" t="e">
        <f>#REF!</f>
        <v>#REF!</v>
      </c>
      <c r="N78" s="525"/>
      <c r="O78" s="526" t="str">
        <f>IF(N78="","",SUMIF(#REF!,'Off-site gain site summary'!N78,#REF!))</f>
        <v/>
      </c>
      <c r="P78" s="526" t="str">
        <f>IF(N78="","",SUMIF(#REF!,'Off-site gain site summary'!$N78,#REF!))</f>
        <v/>
      </c>
      <c r="Q78" s="526" t="str">
        <f>IF(N78="","",SUMIF(#REF!,'Off-site gain site summary'!$N78,#REF!))</f>
        <v/>
      </c>
      <c r="R78" s="526" t="str">
        <f>IF(N78="","",SUMIF(#REF!,'Off-site gain site summary'!$N78,#REF!))</f>
        <v/>
      </c>
      <c r="S78" s="524" t="str">
        <f t="shared" si="8"/>
        <v/>
      </c>
      <c r="T78" s="524" t="str">
        <f>IF(ISBLANK(N78),"", IFERROR(_xlfn.XLOOKUP(N78,#REF!,#REF!), IFERROR(_xlfn.XLOOKUP(N78,#REF!,#REF!), " ")))</f>
        <v/>
      </c>
      <c r="U78" s="527" t="str">
        <f t="shared" si="9"/>
        <v/>
      </c>
      <c r="V78" s="1" t="e">
        <f>#REF!</f>
        <v>#REF!</v>
      </c>
      <c r="W78" s="525"/>
      <c r="X78" s="526" t="str">
        <f>IF(W78="","",SUMIF(#REF!,'Off-site gain site summary'!$W78,#REF!))</f>
        <v/>
      </c>
      <c r="Y78" s="526" t="str">
        <f>IF(W78="","",SUMIF(#REF!,'Off-site gain site summary'!$W78,#REF!))</f>
        <v/>
      </c>
      <c r="Z78" s="526" t="str">
        <f>IF(W78="","",SUMIF(#REF!,'Off-site gain site summary'!$W78,#REF!))</f>
        <v/>
      </c>
      <c r="AA78" s="526" t="str">
        <f>IF(W78="","",SUMIF(#REF!,'Off-site gain site summary'!$W78,#REF!))</f>
        <v/>
      </c>
      <c r="AB78" s="526" t="str">
        <f t="shared" si="10"/>
        <v/>
      </c>
      <c r="AC78" s="526" t="str">
        <f>IF(ISBLANK(W78),"", IFERROR(_xlfn.XLOOKUP(W78,#REF!,#REF!), IFERROR(_xlfn.XLOOKUP(W78,#REF!,#REF!)," ")))</f>
        <v/>
      </c>
      <c r="AD78" s="527" t="str">
        <f t="shared" si="11"/>
        <v/>
      </c>
      <c r="AE78" s="981"/>
      <c r="AF78" s="981"/>
    </row>
    <row r="79" spans="1:32" x14ac:dyDescent="0.35">
      <c r="A79" s="510" t="e">
        <f>#REF!</f>
        <v>#REF!</v>
      </c>
      <c r="B79" s="517"/>
      <c r="C79" s="515" t="str">
        <f>IF(B79="","",SUMIF(#REF!,B79,#REF!))</f>
        <v/>
      </c>
      <c r="D79" s="979" t="str">
        <f>IF(B79="","", SUMIF(#REF!,'Off-site gain site summary'!$B79,#REF!))</f>
        <v/>
      </c>
      <c r="E79" s="980"/>
      <c r="F79" s="979" t="str">
        <f>IF(B79="","",SUMIF(#REF!,'Off-site gain site summary'!B79,#REF!))</f>
        <v/>
      </c>
      <c r="G79" s="980"/>
      <c r="H79" s="979" t="str">
        <f>IF(B79="","",SUMIF(#REF!,'Off-site gain site summary'!B79,#REF!))</f>
        <v/>
      </c>
      <c r="I79" s="980"/>
      <c r="J79" s="518" t="str">
        <f t="shared" si="6"/>
        <v/>
      </c>
      <c r="K79" s="515" t="str">
        <f>IF(ISBLANK(B79),"",IFERROR(_xlfn.XLOOKUP(B79,#REF!,#REF!),IFERROR(_xlfn.XLOOKUP(B79,#REF!,#REF!)," ")))</f>
        <v/>
      </c>
      <c r="L79" s="519" t="str">
        <f t="shared" si="7"/>
        <v/>
      </c>
      <c r="M79" s="510" t="e">
        <f>#REF!</f>
        <v>#REF!</v>
      </c>
      <c r="N79" s="525"/>
      <c r="O79" s="526" t="str">
        <f>IF(N79="","",SUMIF(#REF!,'Off-site gain site summary'!N79,#REF!))</f>
        <v/>
      </c>
      <c r="P79" s="526" t="str">
        <f>IF(N79="","",SUMIF(#REF!,'Off-site gain site summary'!$N79,#REF!))</f>
        <v/>
      </c>
      <c r="Q79" s="526" t="str">
        <f>IF(N79="","",SUMIF(#REF!,'Off-site gain site summary'!$N79,#REF!))</f>
        <v/>
      </c>
      <c r="R79" s="526" t="str">
        <f>IF(N79="","",SUMIF(#REF!,'Off-site gain site summary'!$N79,#REF!))</f>
        <v/>
      </c>
      <c r="S79" s="524" t="str">
        <f t="shared" si="8"/>
        <v/>
      </c>
      <c r="T79" s="524" t="str">
        <f>IF(ISBLANK(N79),"", IFERROR(_xlfn.XLOOKUP(N79,#REF!,#REF!), IFERROR(_xlfn.XLOOKUP(N79,#REF!,#REF!), " ")))</f>
        <v/>
      </c>
      <c r="U79" s="527" t="str">
        <f t="shared" si="9"/>
        <v/>
      </c>
      <c r="V79" s="1" t="e">
        <f>#REF!</f>
        <v>#REF!</v>
      </c>
      <c r="W79" s="525"/>
      <c r="X79" s="526" t="str">
        <f>IF(W79="","",SUMIF(#REF!,'Off-site gain site summary'!$W79,#REF!))</f>
        <v/>
      </c>
      <c r="Y79" s="526" t="str">
        <f>IF(W79="","",SUMIF(#REF!,'Off-site gain site summary'!$W79,#REF!))</f>
        <v/>
      </c>
      <c r="Z79" s="526" t="str">
        <f>IF(W79="","",SUMIF(#REF!,'Off-site gain site summary'!$W79,#REF!))</f>
        <v/>
      </c>
      <c r="AA79" s="526" t="str">
        <f>IF(W79="","",SUMIF(#REF!,'Off-site gain site summary'!$W79,#REF!))</f>
        <v/>
      </c>
      <c r="AB79" s="526" t="str">
        <f t="shared" si="10"/>
        <v/>
      </c>
      <c r="AC79" s="526" t="str">
        <f>IF(ISBLANK(W79),"", IFERROR(_xlfn.XLOOKUP(W79,#REF!,#REF!), IFERROR(_xlfn.XLOOKUP(W79,#REF!,#REF!)," ")))</f>
        <v/>
      </c>
      <c r="AD79" s="527" t="str">
        <f t="shared" si="11"/>
        <v/>
      </c>
      <c r="AE79" s="981"/>
      <c r="AF79" s="981"/>
    </row>
    <row r="80" spans="1:32" x14ac:dyDescent="0.35">
      <c r="A80" s="510" t="e">
        <f>#REF!</f>
        <v>#REF!</v>
      </c>
      <c r="B80" s="517"/>
      <c r="C80" s="515" t="str">
        <f>IF(B80="","",SUMIF(#REF!,B80,#REF!))</f>
        <v/>
      </c>
      <c r="D80" s="979" t="str">
        <f>IF(B80="","", SUMIF(#REF!,'Off-site gain site summary'!$B80,#REF!))</f>
        <v/>
      </c>
      <c r="E80" s="980"/>
      <c r="F80" s="979" t="str">
        <f>IF(B80="","",SUMIF(#REF!,'Off-site gain site summary'!B80,#REF!))</f>
        <v/>
      </c>
      <c r="G80" s="980"/>
      <c r="H80" s="979" t="str">
        <f>IF(B80="","",SUMIF(#REF!,'Off-site gain site summary'!B80,#REF!))</f>
        <v/>
      </c>
      <c r="I80" s="980"/>
      <c r="J80" s="518" t="str">
        <f t="shared" si="6"/>
        <v/>
      </c>
      <c r="K80" s="515" t="str">
        <f>IF(ISBLANK(B80),"",IFERROR(_xlfn.XLOOKUP(B80,#REF!,#REF!),IFERROR(_xlfn.XLOOKUP(B80,#REF!,#REF!)," ")))</f>
        <v/>
      </c>
      <c r="L80" s="519" t="str">
        <f t="shared" si="7"/>
        <v/>
      </c>
      <c r="M80" s="510" t="e">
        <f>#REF!</f>
        <v>#REF!</v>
      </c>
      <c r="N80" s="525"/>
      <c r="O80" s="526" t="str">
        <f>IF(N80="","",SUMIF(#REF!,'Off-site gain site summary'!N80,#REF!))</f>
        <v/>
      </c>
      <c r="P80" s="526" t="str">
        <f>IF(N80="","",SUMIF(#REF!,'Off-site gain site summary'!$N80,#REF!))</f>
        <v/>
      </c>
      <c r="Q80" s="526" t="str">
        <f>IF(N80="","",SUMIF(#REF!,'Off-site gain site summary'!$N80,#REF!))</f>
        <v/>
      </c>
      <c r="R80" s="526" t="str">
        <f>IF(N80="","",SUMIF(#REF!,'Off-site gain site summary'!$N80,#REF!))</f>
        <v/>
      </c>
      <c r="S80" s="524" t="str">
        <f t="shared" si="8"/>
        <v/>
      </c>
      <c r="T80" s="524" t="str">
        <f>IF(ISBLANK(N80),"", IFERROR(_xlfn.XLOOKUP(N80,#REF!,#REF!), IFERROR(_xlfn.XLOOKUP(N80,#REF!,#REF!), " ")))</f>
        <v/>
      </c>
      <c r="U80" s="527" t="str">
        <f t="shared" si="9"/>
        <v/>
      </c>
      <c r="V80" s="1" t="e">
        <f>#REF!</f>
        <v>#REF!</v>
      </c>
      <c r="W80" s="525"/>
      <c r="X80" s="526" t="str">
        <f>IF(W80="","",SUMIF(#REF!,'Off-site gain site summary'!$W80,#REF!))</f>
        <v/>
      </c>
      <c r="Y80" s="526" t="str">
        <f>IF(W80="","",SUMIF(#REF!,'Off-site gain site summary'!$W80,#REF!))</f>
        <v/>
      </c>
      <c r="Z80" s="526" t="str">
        <f>IF(W80="","",SUMIF(#REF!,'Off-site gain site summary'!$W80,#REF!))</f>
        <v/>
      </c>
      <c r="AA80" s="526" t="str">
        <f>IF(W80="","",SUMIF(#REF!,'Off-site gain site summary'!$W80,#REF!))</f>
        <v/>
      </c>
      <c r="AB80" s="526" t="str">
        <f t="shared" si="10"/>
        <v/>
      </c>
      <c r="AC80" s="526" t="str">
        <f>IF(ISBLANK(W80),"", IFERROR(_xlfn.XLOOKUP(W80,#REF!,#REF!), IFERROR(_xlfn.XLOOKUP(W80,#REF!,#REF!)," ")))</f>
        <v/>
      </c>
      <c r="AD80" s="527" t="str">
        <f t="shared" si="11"/>
        <v/>
      </c>
      <c r="AE80" s="981"/>
      <c r="AF80" s="981"/>
    </row>
    <row r="81" spans="1:32" x14ac:dyDescent="0.35">
      <c r="A81" s="510" t="e">
        <f>#REF!</f>
        <v>#REF!</v>
      </c>
      <c r="B81" s="517"/>
      <c r="C81" s="515" t="str">
        <f>IF(B81="","",SUMIF(#REF!,B81,#REF!))</f>
        <v/>
      </c>
      <c r="D81" s="979" t="str">
        <f>IF(B81="","", SUMIF(#REF!,'Off-site gain site summary'!$B81,#REF!))</f>
        <v/>
      </c>
      <c r="E81" s="980"/>
      <c r="F81" s="979" t="str">
        <f>IF(B81="","",SUMIF(#REF!,'Off-site gain site summary'!B81,#REF!))</f>
        <v/>
      </c>
      <c r="G81" s="980"/>
      <c r="H81" s="979" t="str">
        <f>IF(B81="","",SUMIF(#REF!,'Off-site gain site summary'!B81,#REF!))</f>
        <v/>
      </c>
      <c r="I81" s="980"/>
      <c r="J81" s="518" t="str">
        <f t="shared" si="6"/>
        <v/>
      </c>
      <c r="K81" s="515" t="str">
        <f>IF(ISBLANK(B81),"",IFERROR(_xlfn.XLOOKUP(B81,#REF!,#REF!),IFERROR(_xlfn.XLOOKUP(B81,#REF!,#REF!)," ")))</f>
        <v/>
      </c>
      <c r="L81" s="519" t="str">
        <f t="shared" si="7"/>
        <v/>
      </c>
      <c r="M81" s="510" t="e">
        <f>#REF!</f>
        <v>#REF!</v>
      </c>
      <c r="N81" s="525"/>
      <c r="O81" s="526" t="str">
        <f>IF(N81="","",SUMIF(#REF!,'Off-site gain site summary'!N81,#REF!))</f>
        <v/>
      </c>
      <c r="P81" s="526" t="str">
        <f>IF(N81="","",SUMIF(#REF!,'Off-site gain site summary'!$N81,#REF!))</f>
        <v/>
      </c>
      <c r="Q81" s="526" t="str">
        <f>IF(N81="","",SUMIF(#REF!,'Off-site gain site summary'!$N81,#REF!))</f>
        <v/>
      </c>
      <c r="R81" s="526" t="str">
        <f>IF(N81="","",SUMIF(#REF!,'Off-site gain site summary'!$N81,#REF!))</f>
        <v/>
      </c>
      <c r="S81" s="524" t="str">
        <f t="shared" si="8"/>
        <v/>
      </c>
      <c r="T81" s="524" t="str">
        <f>IF(ISBLANK(N81),"", IFERROR(_xlfn.XLOOKUP(N81,#REF!,#REF!), IFERROR(_xlfn.XLOOKUP(N81,#REF!,#REF!), " ")))</f>
        <v/>
      </c>
      <c r="U81" s="527" t="str">
        <f t="shared" si="9"/>
        <v/>
      </c>
      <c r="V81" s="1" t="e">
        <f>#REF!</f>
        <v>#REF!</v>
      </c>
      <c r="W81" s="525"/>
      <c r="X81" s="526" t="str">
        <f>IF(W81="","",SUMIF(#REF!,'Off-site gain site summary'!$W81,#REF!))</f>
        <v/>
      </c>
      <c r="Y81" s="526" t="str">
        <f>IF(W81="","",SUMIF(#REF!,'Off-site gain site summary'!$W81,#REF!))</f>
        <v/>
      </c>
      <c r="Z81" s="526" t="str">
        <f>IF(W81="","",SUMIF(#REF!,'Off-site gain site summary'!$W81,#REF!))</f>
        <v/>
      </c>
      <c r="AA81" s="526" t="str">
        <f>IF(W81="","",SUMIF(#REF!,'Off-site gain site summary'!$W81,#REF!))</f>
        <v/>
      </c>
      <c r="AB81" s="526" t="str">
        <f t="shared" si="10"/>
        <v/>
      </c>
      <c r="AC81" s="526" t="str">
        <f>IF(ISBLANK(W81),"", IFERROR(_xlfn.XLOOKUP(W81,#REF!,#REF!), IFERROR(_xlfn.XLOOKUP(W81,#REF!,#REF!)," ")))</f>
        <v/>
      </c>
      <c r="AD81" s="527" t="str">
        <f t="shared" si="11"/>
        <v/>
      </c>
      <c r="AE81" s="981"/>
      <c r="AF81" s="981"/>
    </row>
    <row r="82" spans="1:32" x14ac:dyDescent="0.35">
      <c r="A82" s="510" t="e">
        <f>#REF!</f>
        <v>#REF!</v>
      </c>
      <c r="B82" s="517"/>
      <c r="C82" s="515" t="str">
        <f>IF(B82="","",SUMIF(#REF!,B82,#REF!))</f>
        <v/>
      </c>
      <c r="D82" s="979" t="str">
        <f>IF(B82="","", SUMIF(#REF!,'Off-site gain site summary'!$B82,#REF!))</f>
        <v/>
      </c>
      <c r="E82" s="980"/>
      <c r="F82" s="979" t="str">
        <f>IF(B82="","",SUMIF(#REF!,'Off-site gain site summary'!B82,#REF!))</f>
        <v/>
      </c>
      <c r="G82" s="980"/>
      <c r="H82" s="979" t="str">
        <f>IF(B82="","",SUMIF(#REF!,'Off-site gain site summary'!B82,#REF!))</f>
        <v/>
      </c>
      <c r="I82" s="980"/>
      <c r="J82" s="518" t="str">
        <f t="shared" si="6"/>
        <v/>
      </c>
      <c r="K82" s="515" t="str">
        <f>IF(ISBLANK(B82),"",IFERROR(_xlfn.XLOOKUP(B82,#REF!,#REF!),IFERROR(_xlfn.XLOOKUP(B82,#REF!,#REF!)," ")))</f>
        <v/>
      </c>
      <c r="L82" s="519" t="str">
        <f t="shared" si="7"/>
        <v/>
      </c>
      <c r="M82" s="510" t="e">
        <f>#REF!</f>
        <v>#REF!</v>
      </c>
      <c r="N82" s="525"/>
      <c r="O82" s="526" t="str">
        <f>IF(N82="","",SUMIF(#REF!,'Off-site gain site summary'!N82,#REF!))</f>
        <v/>
      </c>
      <c r="P82" s="526" t="str">
        <f>IF(N82="","",SUMIF(#REF!,'Off-site gain site summary'!$N82,#REF!))</f>
        <v/>
      </c>
      <c r="Q82" s="526" t="str">
        <f>IF(N82="","",SUMIF(#REF!,'Off-site gain site summary'!$N82,#REF!))</f>
        <v/>
      </c>
      <c r="R82" s="526" t="str">
        <f>IF(N82="","",SUMIF(#REF!,'Off-site gain site summary'!$N82,#REF!))</f>
        <v/>
      </c>
      <c r="S82" s="524" t="str">
        <f t="shared" si="8"/>
        <v/>
      </c>
      <c r="T82" s="524" t="str">
        <f>IF(ISBLANK(N82),"", IFERROR(_xlfn.XLOOKUP(N82,#REF!,#REF!), IFERROR(_xlfn.XLOOKUP(N82,#REF!,#REF!), " ")))</f>
        <v/>
      </c>
      <c r="U82" s="527" t="str">
        <f t="shared" si="9"/>
        <v/>
      </c>
      <c r="V82" s="1" t="e">
        <f>#REF!</f>
        <v>#REF!</v>
      </c>
      <c r="W82" s="525"/>
      <c r="X82" s="526" t="str">
        <f>IF(W82="","",SUMIF(#REF!,'Off-site gain site summary'!$W82,#REF!))</f>
        <v/>
      </c>
      <c r="Y82" s="526" t="str">
        <f>IF(W82="","",SUMIF(#REF!,'Off-site gain site summary'!$W82,#REF!))</f>
        <v/>
      </c>
      <c r="Z82" s="526" t="str">
        <f>IF(W82="","",SUMIF(#REF!,'Off-site gain site summary'!$W82,#REF!))</f>
        <v/>
      </c>
      <c r="AA82" s="526" t="str">
        <f>IF(W82="","",SUMIF(#REF!,'Off-site gain site summary'!$W82,#REF!))</f>
        <v/>
      </c>
      <c r="AB82" s="526" t="str">
        <f t="shared" si="10"/>
        <v/>
      </c>
      <c r="AC82" s="526" t="str">
        <f>IF(ISBLANK(W82),"", IFERROR(_xlfn.XLOOKUP(W82,#REF!,#REF!), IFERROR(_xlfn.XLOOKUP(W82,#REF!,#REF!)," ")))</f>
        <v/>
      </c>
      <c r="AD82" s="527" t="str">
        <f t="shared" si="11"/>
        <v/>
      </c>
      <c r="AE82" s="981"/>
      <c r="AF82" s="981"/>
    </row>
    <row r="83" spans="1:32" x14ac:dyDescent="0.35">
      <c r="A83" s="510" t="e">
        <f>#REF!</f>
        <v>#REF!</v>
      </c>
      <c r="B83" s="517"/>
      <c r="C83" s="515" t="str">
        <f>IF(B83="","",SUMIF(#REF!,B83,#REF!))</f>
        <v/>
      </c>
      <c r="D83" s="979" t="str">
        <f>IF(B83="","", SUMIF(#REF!,'Off-site gain site summary'!$B83,#REF!))</f>
        <v/>
      </c>
      <c r="E83" s="980"/>
      <c r="F83" s="979" t="str">
        <f>IF(B83="","",SUMIF(#REF!,'Off-site gain site summary'!B83,#REF!))</f>
        <v/>
      </c>
      <c r="G83" s="980"/>
      <c r="H83" s="979" t="str">
        <f>IF(B83="","",SUMIF(#REF!,'Off-site gain site summary'!B83,#REF!))</f>
        <v/>
      </c>
      <c r="I83" s="980"/>
      <c r="J83" s="518" t="str">
        <f t="shared" si="6"/>
        <v/>
      </c>
      <c r="K83" s="515" t="str">
        <f>IF(ISBLANK(B83),"",IFERROR(_xlfn.XLOOKUP(B83,#REF!,#REF!),IFERROR(_xlfn.XLOOKUP(B83,#REF!,#REF!)," ")))</f>
        <v/>
      </c>
      <c r="L83" s="519" t="str">
        <f t="shared" si="7"/>
        <v/>
      </c>
      <c r="M83" s="510" t="e">
        <f>#REF!</f>
        <v>#REF!</v>
      </c>
      <c r="N83" s="525"/>
      <c r="O83" s="526" t="str">
        <f>IF(N83="","",SUMIF(#REF!,'Off-site gain site summary'!N83,#REF!))</f>
        <v/>
      </c>
      <c r="P83" s="526" t="str">
        <f>IF(N83="","",SUMIF(#REF!,'Off-site gain site summary'!$N83,#REF!))</f>
        <v/>
      </c>
      <c r="Q83" s="526" t="str">
        <f>IF(N83="","",SUMIF(#REF!,'Off-site gain site summary'!$N83,#REF!))</f>
        <v/>
      </c>
      <c r="R83" s="526" t="str">
        <f>IF(N83="","",SUMIF(#REF!,'Off-site gain site summary'!$N83,#REF!))</f>
        <v/>
      </c>
      <c r="S83" s="524" t="str">
        <f t="shared" si="8"/>
        <v/>
      </c>
      <c r="T83" s="524" t="str">
        <f>IF(ISBLANK(N83),"", IFERROR(_xlfn.XLOOKUP(N83,#REF!,#REF!), IFERROR(_xlfn.XLOOKUP(N83,#REF!,#REF!), " ")))</f>
        <v/>
      </c>
      <c r="U83" s="527" t="str">
        <f t="shared" si="9"/>
        <v/>
      </c>
      <c r="V83" s="1" t="e">
        <f>#REF!</f>
        <v>#REF!</v>
      </c>
      <c r="W83" s="525"/>
      <c r="X83" s="526" t="str">
        <f>IF(W83="","",SUMIF(#REF!,'Off-site gain site summary'!$W83,#REF!))</f>
        <v/>
      </c>
      <c r="Y83" s="526" t="str">
        <f>IF(W83="","",SUMIF(#REF!,'Off-site gain site summary'!$W83,#REF!))</f>
        <v/>
      </c>
      <c r="Z83" s="526" t="str">
        <f>IF(W83="","",SUMIF(#REF!,'Off-site gain site summary'!$W83,#REF!))</f>
        <v/>
      </c>
      <c r="AA83" s="526" t="str">
        <f>IF(W83="","",SUMIF(#REF!,'Off-site gain site summary'!$W83,#REF!))</f>
        <v/>
      </c>
      <c r="AB83" s="526" t="str">
        <f t="shared" si="10"/>
        <v/>
      </c>
      <c r="AC83" s="526" t="str">
        <f>IF(ISBLANK(W83),"", IFERROR(_xlfn.XLOOKUP(W83,#REF!,#REF!), IFERROR(_xlfn.XLOOKUP(W83,#REF!,#REF!)," ")))</f>
        <v/>
      </c>
      <c r="AD83" s="527" t="str">
        <f t="shared" si="11"/>
        <v/>
      </c>
      <c r="AE83" s="981"/>
      <c r="AF83" s="981"/>
    </row>
    <row r="84" spans="1:32" x14ac:dyDescent="0.35">
      <c r="A84" s="510" t="e">
        <f>#REF!</f>
        <v>#REF!</v>
      </c>
      <c r="B84" s="517"/>
      <c r="C84" s="515" t="str">
        <f>IF(B84="","",SUMIF(#REF!,B84,#REF!))</f>
        <v/>
      </c>
      <c r="D84" s="979" t="str">
        <f>IF(B84="","", SUMIF(#REF!,'Off-site gain site summary'!$B84,#REF!))</f>
        <v/>
      </c>
      <c r="E84" s="980"/>
      <c r="F84" s="979" t="str">
        <f>IF(B84="","",SUMIF(#REF!,'Off-site gain site summary'!B84,#REF!))</f>
        <v/>
      </c>
      <c r="G84" s="980"/>
      <c r="H84" s="979" t="str">
        <f>IF(B84="","",SUMIF(#REF!,'Off-site gain site summary'!B84,#REF!))</f>
        <v/>
      </c>
      <c r="I84" s="980"/>
      <c r="J84" s="518" t="str">
        <f t="shared" si="6"/>
        <v/>
      </c>
      <c r="K84" s="515" t="str">
        <f>IF(ISBLANK(B84),"",IFERROR(_xlfn.XLOOKUP(B84,#REF!,#REF!),IFERROR(_xlfn.XLOOKUP(B84,#REF!,#REF!)," ")))</f>
        <v/>
      </c>
      <c r="L84" s="519" t="str">
        <f t="shared" si="7"/>
        <v/>
      </c>
      <c r="M84" s="510" t="e">
        <f>#REF!</f>
        <v>#REF!</v>
      </c>
      <c r="N84" s="525"/>
      <c r="O84" s="526" t="str">
        <f>IF(N84="","",SUMIF(#REF!,'Off-site gain site summary'!N84,#REF!))</f>
        <v/>
      </c>
      <c r="P84" s="526" t="str">
        <f>IF(N84="","",SUMIF(#REF!,'Off-site gain site summary'!$N84,#REF!))</f>
        <v/>
      </c>
      <c r="Q84" s="526" t="str">
        <f>IF(N84="","",SUMIF(#REF!,'Off-site gain site summary'!$N84,#REF!))</f>
        <v/>
      </c>
      <c r="R84" s="526" t="str">
        <f>IF(N84="","",SUMIF(#REF!,'Off-site gain site summary'!$N84,#REF!))</f>
        <v/>
      </c>
      <c r="S84" s="524" t="str">
        <f t="shared" si="8"/>
        <v/>
      </c>
      <c r="T84" s="524" t="str">
        <f>IF(ISBLANK(N84),"", IFERROR(_xlfn.XLOOKUP(N84,#REF!,#REF!), IFERROR(_xlfn.XLOOKUP(N84,#REF!,#REF!), " ")))</f>
        <v/>
      </c>
      <c r="U84" s="527" t="str">
        <f t="shared" si="9"/>
        <v/>
      </c>
      <c r="V84" s="1" t="e">
        <f>#REF!</f>
        <v>#REF!</v>
      </c>
      <c r="W84" s="525"/>
      <c r="X84" s="526" t="str">
        <f>IF(W84="","",SUMIF(#REF!,'Off-site gain site summary'!$W84,#REF!))</f>
        <v/>
      </c>
      <c r="Y84" s="526" t="str">
        <f>IF(W84="","",SUMIF(#REF!,'Off-site gain site summary'!$W84,#REF!))</f>
        <v/>
      </c>
      <c r="Z84" s="526" t="str">
        <f>IF(W84="","",SUMIF(#REF!,'Off-site gain site summary'!$W84,#REF!))</f>
        <v/>
      </c>
      <c r="AA84" s="526" t="str">
        <f>IF(W84="","",SUMIF(#REF!,'Off-site gain site summary'!$W84,#REF!))</f>
        <v/>
      </c>
      <c r="AB84" s="526" t="str">
        <f t="shared" si="10"/>
        <v/>
      </c>
      <c r="AC84" s="526" t="str">
        <f>IF(ISBLANK(W84),"", IFERROR(_xlfn.XLOOKUP(W84,#REF!,#REF!), IFERROR(_xlfn.XLOOKUP(W84,#REF!,#REF!)," ")))</f>
        <v/>
      </c>
      <c r="AD84" s="527" t="str">
        <f t="shared" si="11"/>
        <v/>
      </c>
      <c r="AE84" s="981"/>
      <c r="AF84" s="981"/>
    </row>
    <row r="85" spans="1:32" x14ac:dyDescent="0.35">
      <c r="A85" s="510" t="e">
        <f>#REF!</f>
        <v>#REF!</v>
      </c>
      <c r="B85" s="517"/>
      <c r="C85" s="515" t="str">
        <f>IF(B85="","",SUMIF(#REF!,B85,#REF!))</f>
        <v/>
      </c>
      <c r="D85" s="979" t="str">
        <f>IF(B85="","", SUMIF(#REF!,'Off-site gain site summary'!$B85,#REF!))</f>
        <v/>
      </c>
      <c r="E85" s="980"/>
      <c r="F85" s="979" t="str">
        <f>IF(B85="","",SUMIF(#REF!,'Off-site gain site summary'!B85,#REF!))</f>
        <v/>
      </c>
      <c r="G85" s="980"/>
      <c r="H85" s="979" t="str">
        <f>IF(B85="","",SUMIF(#REF!,'Off-site gain site summary'!B85,#REF!))</f>
        <v/>
      </c>
      <c r="I85" s="980"/>
      <c r="J85" s="518" t="str">
        <f t="shared" si="6"/>
        <v/>
      </c>
      <c r="K85" s="515" t="str">
        <f>IF(ISBLANK(B85),"",IFERROR(_xlfn.XLOOKUP(B85,#REF!,#REF!),IFERROR(_xlfn.XLOOKUP(B85,#REF!,#REF!)," ")))</f>
        <v/>
      </c>
      <c r="L85" s="519" t="str">
        <f t="shared" si="7"/>
        <v/>
      </c>
      <c r="M85" s="510" t="e">
        <f>#REF!</f>
        <v>#REF!</v>
      </c>
      <c r="N85" s="525"/>
      <c r="O85" s="526" t="str">
        <f>IF(N85="","",SUMIF(#REF!,'Off-site gain site summary'!N85,#REF!))</f>
        <v/>
      </c>
      <c r="P85" s="526" t="str">
        <f>IF(N85="","",SUMIF(#REF!,'Off-site gain site summary'!$N85,#REF!))</f>
        <v/>
      </c>
      <c r="Q85" s="526" t="str">
        <f>IF(N85="","",SUMIF(#REF!,'Off-site gain site summary'!$N85,#REF!))</f>
        <v/>
      </c>
      <c r="R85" s="526" t="str">
        <f>IF(N85="","",SUMIF(#REF!,'Off-site gain site summary'!$N85,#REF!))</f>
        <v/>
      </c>
      <c r="S85" s="524" t="str">
        <f t="shared" si="8"/>
        <v/>
      </c>
      <c r="T85" s="524" t="str">
        <f>IF(ISBLANK(N85),"", IFERROR(_xlfn.XLOOKUP(N85,#REF!,#REF!), IFERROR(_xlfn.XLOOKUP(N85,#REF!,#REF!), " ")))</f>
        <v/>
      </c>
      <c r="U85" s="527" t="str">
        <f t="shared" si="9"/>
        <v/>
      </c>
      <c r="V85" s="1" t="e">
        <f>#REF!</f>
        <v>#REF!</v>
      </c>
      <c r="W85" s="525"/>
      <c r="X85" s="526" t="str">
        <f>IF(W85="","",SUMIF(#REF!,'Off-site gain site summary'!$W85,#REF!))</f>
        <v/>
      </c>
      <c r="Y85" s="526" t="str">
        <f>IF(W85="","",SUMIF(#REF!,'Off-site gain site summary'!$W85,#REF!))</f>
        <v/>
      </c>
      <c r="Z85" s="526" t="str">
        <f>IF(W85="","",SUMIF(#REF!,'Off-site gain site summary'!$W85,#REF!))</f>
        <v/>
      </c>
      <c r="AA85" s="526" t="str">
        <f>IF(W85="","",SUMIF(#REF!,'Off-site gain site summary'!$W85,#REF!))</f>
        <v/>
      </c>
      <c r="AB85" s="526" t="str">
        <f t="shared" si="10"/>
        <v/>
      </c>
      <c r="AC85" s="526" t="str">
        <f>IF(ISBLANK(W85),"", IFERROR(_xlfn.XLOOKUP(W85,#REF!,#REF!), IFERROR(_xlfn.XLOOKUP(W85,#REF!,#REF!)," ")))</f>
        <v/>
      </c>
      <c r="AD85" s="527" t="str">
        <f t="shared" si="11"/>
        <v/>
      </c>
      <c r="AE85" s="981"/>
      <c r="AF85" s="981"/>
    </row>
    <row r="86" spans="1:32" x14ac:dyDescent="0.35">
      <c r="A86" s="510" t="e">
        <f>#REF!</f>
        <v>#REF!</v>
      </c>
      <c r="B86" s="517"/>
      <c r="C86" s="515" t="str">
        <f>IF(B86="","",SUMIF(#REF!,B86,#REF!))</f>
        <v/>
      </c>
      <c r="D86" s="979" t="str">
        <f>IF(B86="","", SUMIF(#REF!,'Off-site gain site summary'!$B86,#REF!))</f>
        <v/>
      </c>
      <c r="E86" s="980"/>
      <c r="F86" s="979" t="str">
        <f>IF(B86="","",SUMIF(#REF!,'Off-site gain site summary'!B86,#REF!))</f>
        <v/>
      </c>
      <c r="G86" s="980"/>
      <c r="H86" s="979" t="str">
        <f>IF(B86="","",SUMIF(#REF!,'Off-site gain site summary'!B86,#REF!))</f>
        <v/>
      </c>
      <c r="I86" s="980"/>
      <c r="J86" s="518" t="str">
        <f t="shared" si="6"/>
        <v/>
      </c>
      <c r="K86" s="515" t="str">
        <f>IF(ISBLANK(B86),"",IFERROR(_xlfn.XLOOKUP(B86,#REF!,#REF!),IFERROR(_xlfn.XLOOKUP(B86,#REF!,#REF!)," ")))</f>
        <v/>
      </c>
      <c r="L86" s="519" t="str">
        <f t="shared" si="7"/>
        <v/>
      </c>
      <c r="M86" s="510" t="e">
        <f>#REF!</f>
        <v>#REF!</v>
      </c>
      <c r="N86" s="525"/>
      <c r="O86" s="526" t="str">
        <f>IF(N86="","",SUMIF(#REF!,'Off-site gain site summary'!N86,#REF!))</f>
        <v/>
      </c>
      <c r="P86" s="526" t="str">
        <f>IF(N86="","",SUMIF(#REF!,'Off-site gain site summary'!$N86,#REF!))</f>
        <v/>
      </c>
      <c r="Q86" s="526" t="str">
        <f>IF(N86="","",SUMIF(#REF!,'Off-site gain site summary'!$N86,#REF!))</f>
        <v/>
      </c>
      <c r="R86" s="526" t="str">
        <f>IF(N86="","",SUMIF(#REF!,'Off-site gain site summary'!$N86,#REF!))</f>
        <v/>
      </c>
      <c r="S86" s="524" t="str">
        <f t="shared" si="8"/>
        <v/>
      </c>
      <c r="T86" s="524" t="str">
        <f>IF(ISBLANK(N86),"", IFERROR(_xlfn.XLOOKUP(N86,#REF!,#REF!), IFERROR(_xlfn.XLOOKUP(N86,#REF!,#REF!), " ")))</f>
        <v/>
      </c>
      <c r="U86" s="527" t="str">
        <f t="shared" si="9"/>
        <v/>
      </c>
      <c r="V86" s="1" t="e">
        <f>#REF!</f>
        <v>#REF!</v>
      </c>
      <c r="W86" s="525"/>
      <c r="X86" s="526" t="str">
        <f>IF(W86="","",SUMIF(#REF!,'Off-site gain site summary'!$W86,#REF!))</f>
        <v/>
      </c>
      <c r="Y86" s="526" t="str">
        <f>IF(W86="","",SUMIF(#REF!,'Off-site gain site summary'!$W86,#REF!))</f>
        <v/>
      </c>
      <c r="Z86" s="526" t="str">
        <f>IF(W86="","",SUMIF(#REF!,'Off-site gain site summary'!$W86,#REF!))</f>
        <v/>
      </c>
      <c r="AA86" s="526" t="str">
        <f>IF(W86="","",SUMIF(#REF!,'Off-site gain site summary'!$W86,#REF!))</f>
        <v/>
      </c>
      <c r="AB86" s="526" t="str">
        <f t="shared" si="10"/>
        <v/>
      </c>
      <c r="AC86" s="526" t="str">
        <f>IF(ISBLANK(W86),"", IFERROR(_xlfn.XLOOKUP(W86,#REF!,#REF!), IFERROR(_xlfn.XLOOKUP(W86,#REF!,#REF!)," ")))</f>
        <v/>
      </c>
      <c r="AD86" s="527" t="str">
        <f t="shared" si="11"/>
        <v/>
      </c>
      <c r="AE86" s="981"/>
      <c r="AF86" s="981"/>
    </row>
    <row r="87" spans="1:32" x14ac:dyDescent="0.35">
      <c r="A87" s="510" t="e">
        <f>#REF!</f>
        <v>#REF!</v>
      </c>
      <c r="B87" s="517"/>
      <c r="C87" s="515" t="str">
        <f>IF(B87="","",SUMIF(#REF!,B87,#REF!))</f>
        <v/>
      </c>
      <c r="D87" s="979" t="str">
        <f>IF(B87="","", SUMIF(#REF!,'Off-site gain site summary'!$B87,#REF!))</f>
        <v/>
      </c>
      <c r="E87" s="980"/>
      <c r="F87" s="979" t="str">
        <f>IF(B87="","",SUMIF(#REF!,'Off-site gain site summary'!B87,#REF!))</f>
        <v/>
      </c>
      <c r="G87" s="980"/>
      <c r="H87" s="979" t="str">
        <f>IF(B87="","",SUMIF(#REF!,'Off-site gain site summary'!B87,#REF!))</f>
        <v/>
      </c>
      <c r="I87" s="980"/>
      <c r="J87" s="518" t="str">
        <f t="shared" si="6"/>
        <v/>
      </c>
      <c r="K87" s="515" t="str">
        <f>IF(ISBLANK(B87),"",IFERROR(_xlfn.XLOOKUP(B87,#REF!,#REF!),IFERROR(_xlfn.XLOOKUP(B87,#REF!,#REF!)," ")))</f>
        <v/>
      </c>
      <c r="L87" s="519" t="str">
        <f t="shared" si="7"/>
        <v/>
      </c>
      <c r="M87" s="510" t="e">
        <f>#REF!</f>
        <v>#REF!</v>
      </c>
      <c r="N87" s="525"/>
      <c r="O87" s="526" t="str">
        <f>IF(N87="","",SUMIF(#REF!,'Off-site gain site summary'!N87,#REF!))</f>
        <v/>
      </c>
      <c r="P87" s="526" t="str">
        <f>IF(N87="","",SUMIF(#REF!,'Off-site gain site summary'!$N87,#REF!))</f>
        <v/>
      </c>
      <c r="Q87" s="526" t="str">
        <f>IF(N87="","",SUMIF(#REF!,'Off-site gain site summary'!$N87,#REF!))</f>
        <v/>
      </c>
      <c r="R87" s="526" t="str">
        <f>IF(N87="","",SUMIF(#REF!,'Off-site gain site summary'!$N87,#REF!))</f>
        <v/>
      </c>
      <c r="S87" s="524" t="str">
        <f t="shared" si="8"/>
        <v/>
      </c>
      <c r="T87" s="524" t="str">
        <f>IF(ISBLANK(N87),"", IFERROR(_xlfn.XLOOKUP(N87,#REF!,#REF!), IFERROR(_xlfn.XLOOKUP(N87,#REF!,#REF!), " ")))</f>
        <v/>
      </c>
      <c r="U87" s="527" t="str">
        <f t="shared" si="9"/>
        <v/>
      </c>
      <c r="V87" s="1" t="e">
        <f>#REF!</f>
        <v>#REF!</v>
      </c>
      <c r="W87" s="525"/>
      <c r="X87" s="526" t="str">
        <f>IF(W87="","",SUMIF(#REF!,'Off-site gain site summary'!$W87,#REF!))</f>
        <v/>
      </c>
      <c r="Y87" s="526" t="str">
        <f>IF(W87="","",SUMIF(#REF!,'Off-site gain site summary'!$W87,#REF!))</f>
        <v/>
      </c>
      <c r="Z87" s="526" t="str">
        <f>IF(W87="","",SUMIF(#REF!,'Off-site gain site summary'!$W87,#REF!))</f>
        <v/>
      </c>
      <c r="AA87" s="526" t="str">
        <f>IF(W87="","",SUMIF(#REF!,'Off-site gain site summary'!$W87,#REF!))</f>
        <v/>
      </c>
      <c r="AB87" s="526" t="str">
        <f t="shared" si="10"/>
        <v/>
      </c>
      <c r="AC87" s="526" t="str">
        <f>IF(ISBLANK(W87),"", IFERROR(_xlfn.XLOOKUP(W87,#REF!,#REF!), IFERROR(_xlfn.XLOOKUP(W87,#REF!,#REF!)," ")))</f>
        <v/>
      </c>
      <c r="AD87" s="527" t="str">
        <f t="shared" si="11"/>
        <v/>
      </c>
      <c r="AE87" s="981"/>
      <c r="AF87" s="981"/>
    </row>
    <row r="88" spans="1:32" x14ac:dyDescent="0.35">
      <c r="A88" s="510" t="e">
        <f>#REF!</f>
        <v>#REF!</v>
      </c>
      <c r="B88" s="517"/>
      <c r="C88" s="515" t="str">
        <f>IF(B88="","",SUMIF(#REF!,B88,#REF!))</f>
        <v/>
      </c>
      <c r="D88" s="979" t="str">
        <f>IF(B88="","", SUMIF(#REF!,'Off-site gain site summary'!$B88,#REF!))</f>
        <v/>
      </c>
      <c r="E88" s="980"/>
      <c r="F88" s="979" t="str">
        <f>IF(B88="","",SUMIF(#REF!,'Off-site gain site summary'!B88,#REF!))</f>
        <v/>
      </c>
      <c r="G88" s="980"/>
      <c r="H88" s="979" t="str">
        <f>IF(B88="","",SUMIF(#REF!,'Off-site gain site summary'!B88,#REF!))</f>
        <v/>
      </c>
      <c r="I88" s="980"/>
      <c r="J88" s="518" t="str">
        <f t="shared" si="6"/>
        <v/>
      </c>
      <c r="K88" s="515" t="str">
        <f>IF(ISBLANK(B88),"",IFERROR(_xlfn.XLOOKUP(B88,#REF!,#REF!),IFERROR(_xlfn.XLOOKUP(B88,#REF!,#REF!)," ")))</f>
        <v/>
      </c>
      <c r="L88" s="519" t="str">
        <f t="shared" si="7"/>
        <v/>
      </c>
      <c r="M88" s="510" t="e">
        <f>#REF!</f>
        <v>#REF!</v>
      </c>
      <c r="N88" s="525"/>
      <c r="O88" s="526" t="str">
        <f>IF(N88="","",SUMIF(#REF!,'Off-site gain site summary'!N88,#REF!))</f>
        <v/>
      </c>
      <c r="P88" s="526" t="str">
        <f>IF(N88="","",SUMIF(#REF!,'Off-site gain site summary'!$N88,#REF!))</f>
        <v/>
      </c>
      <c r="Q88" s="526" t="str">
        <f>IF(N88="","",SUMIF(#REF!,'Off-site gain site summary'!$N88,#REF!))</f>
        <v/>
      </c>
      <c r="R88" s="526" t="str">
        <f>IF(N88="","",SUMIF(#REF!,'Off-site gain site summary'!$N88,#REF!))</f>
        <v/>
      </c>
      <c r="S88" s="524" t="str">
        <f t="shared" si="8"/>
        <v/>
      </c>
      <c r="T88" s="524" t="str">
        <f>IF(ISBLANK(N88),"", IFERROR(_xlfn.XLOOKUP(N88,#REF!,#REF!), IFERROR(_xlfn.XLOOKUP(N88,#REF!,#REF!), " ")))</f>
        <v/>
      </c>
      <c r="U88" s="527" t="str">
        <f t="shared" si="9"/>
        <v/>
      </c>
      <c r="V88" s="1" t="e">
        <f>#REF!</f>
        <v>#REF!</v>
      </c>
      <c r="W88" s="525"/>
      <c r="X88" s="526" t="str">
        <f>IF(W88="","",SUMIF(#REF!,'Off-site gain site summary'!$W88,#REF!))</f>
        <v/>
      </c>
      <c r="Y88" s="526" t="str">
        <f>IF(W88="","",SUMIF(#REF!,'Off-site gain site summary'!$W88,#REF!))</f>
        <v/>
      </c>
      <c r="Z88" s="526" t="str">
        <f>IF(W88="","",SUMIF(#REF!,'Off-site gain site summary'!$W88,#REF!))</f>
        <v/>
      </c>
      <c r="AA88" s="526" t="str">
        <f>IF(W88="","",SUMIF(#REF!,'Off-site gain site summary'!$W88,#REF!))</f>
        <v/>
      </c>
      <c r="AB88" s="526" t="str">
        <f t="shared" si="10"/>
        <v/>
      </c>
      <c r="AC88" s="526" t="str">
        <f>IF(ISBLANK(W88),"", IFERROR(_xlfn.XLOOKUP(W88,#REF!,#REF!), IFERROR(_xlfn.XLOOKUP(W88,#REF!,#REF!)," ")))</f>
        <v/>
      </c>
      <c r="AD88" s="527" t="str">
        <f t="shared" si="11"/>
        <v/>
      </c>
      <c r="AE88" s="981"/>
      <c r="AF88" s="981"/>
    </row>
    <row r="89" spans="1:32" x14ac:dyDescent="0.35">
      <c r="A89" s="510" t="e">
        <f>#REF!</f>
        <v>#REF!</v>
      </c>
      <c r="B89" s="517"/>
      <c r="C89" s="515" t="str">
        <f>IF(B89="","",SUMIF(#REF!,B89,#REF!))</f>
        <v/>
      </c>
      <c r="D89" s="979" t="str">
        <f>IF(B89="","", SUMIF(#REF!,'Off-site gain site summary'!$B89,#REF!))</f>
        <v/>
      </c>
      <c r="E89" s="980"/>
      <c r="F89" s="979" t="str">
        <f>IF(B89="","",SUMIF(#REF!,'Off-site gain site summary'!B89,#REF!))</f>
        <v/>
      </c>
      <c r="G89" s="980"/>
      <c r="H89" s="979" t="str">
        <f>IF(B89="","",SUMIF(#REF!,'Off-site gain site summary'!B89,#REF!))</f>
        <v/>
      </c>
      <c r="I89" s="980"/>
      <c r="J89" s="518" t="str">
        <f t="shared" si="6"/>
        <v/>
      </c>
      <c r="K89" s="515" t="str">
        <f>IF(ISBLANK(B89),"",IFERROR(_xlfn.XLOOKUP(B89,#REF!,#REF!),IFERROR(_xlfn.XLOOKUP(B89,#REF!,#REF!)," ")))</f>
        <v/>
      </c>
      <c r="L89" s="519" t="str">
        <f t="shared" si="7"/>
        <v/>
      </c>
      <c r="M89" s="510" t="e">
        <f>#REF!</f>
        <v>#REF!</v>
      </c>
      <c r="N89" s="525"/>
      <c r="O89" s="526" t="str">
        <f>IF(N89="","",SUMIF(#REF!,'Off-site gain site summary'!N89,#REF!))</f>
        <v/>
      </c>
      <c r="P89" s="526" t="str">
        <f>IF(N89="","",SUMIF(#REF!,'Off-site gain site summary'!$N89,#REF!))</f>
        <v/>
      </c>
      <c r="Q89" s="526" t="str">
        <f>IF(N89="","",SUMIF(#REF!,'Off-site gain site summary'!$N89,#REF!))</f>
        <v/>
      </c>
      <c r="R89" s="526" t="str">
        <f>IF(N89="","",SUMIF(#REF!,'Off-site gain site summary'!$N89,#REF!))</f>
        <v/>
      </c>
      <c r="S89" s="524" t="str">
        <f t="shared" si="8"/>
        <v/>
      </c>
      <c r="T89" s="524" t="str">
        <f>IF(ISBLANK(N89),"", IFERROR(_xlfn.XLOOKUP(N89,#REF!,#REF!), IFERROR(_xlfn.XLOOKUP(N89,#REF!,#REF!), " ")))</f>
        <v/>
      </c>
      <c r="U89" s="527" t="str">
        <f t="shared" si="9"/>
        <v/>
      </c>
      <c r="V89" s="1" t="e">
        <f>#REF!</f>
        <v>#REF!</v>
      </c>
      <c r="W89" s="525"/>
      <c r="X89" s="526" t="str">
        <f>IF(W89="","",SUMIF(#REF!,'Off-site gain site summary'!$W89,#REF!))</f>
        <v/>
      </c>
      <c r="Y89" s="526" t="str">
        <f>IF(W89="","",SUMIF(#REF!,'Off-site gain site summary'!$W89,#REF!))</f>
        <v/>
      </c>
      <c r="Z89" s="526" t="str">
        <f>IF(W89="","",SUMIF(#REF!,'Off-site gain site summary'!$W89,#REF!))</f>
        <v/>
      </c>
      <c r="AA89" s="526" t="str">
        <f>IF(W89="","",SUMIF(#REF!,'Off-site gain site summary'!$W89,#REF!))</f>
        <v/>
      </c>
      <c r="AB89" s="526" t="str">
        <f t="shared" si="10"/>
        <v/>
      </c>
      <c r="AC89" s="526" t="str">
        <f>IF(ISBLANK(W89),"", IFERROR(_xlfn.XLOOKUP(W89,#REF!,#REF!), IFERROR(_xlfn.XLOOKUP(W89,#REF!,#REF!)," ")))</f>
        <v/>
      </c>
      <c r="AD89" s="527" t="str">
        <f t="shared" si="11"/>
        <v/>
      </c>
      <c r="AE89" s="981"/>
      <c r="AF89" s="981"/>
    </row>
    <row r="90" spans="1:32" x14ac:dyDescent="0.35">
      <c r="A90" s="510" t="e">
        <f>#REF!</f>
        <v>#REF!</v>
      </c>
      <c r="B90" s="517"/>
      <c r="C90" s="515" t="str">
        <f>IF(B90="","",SUMIF(#REF!,B90,#REF!))</f>
        <v/>
      </c>
      <c r="D90" s="979" t="str">
        <f>IF(B90="","", SUMIF(#REF!,'Off-site gain site summary'!$B90,#REF!))</f>
        <v/>
      </c>
      <c r="E90" s="980"/>
      <c r="F90" s="979" t="str">
        <f>IF(B90="","",SUMIF(#REF!,'Off-site gain site summary'!B90,#REF!))</f>
        <v/>
      </c>
      <c r="G90" s="980"/>
      <c r="H90" s="979" t="str">
        <f>IF(B90="","",SUMIF(#REF!,'Off-site gain site summary'!B90,#REF!))</f>
        <v/>
      </c>
      <c r="I90" s="980"/>
      <c r="J90" s="518" t="str">
        <f t="shared" si="6"/>
        <v/>
      </c>
      <c r="K90" s="515" t="str">
        <f>IF(ISBLANK(B90),"",IFERROR(_xlfn.XLOOKUP(B90,#REF!,#REF!),IFERROR(_xlfn.XLOOKUP(B90,#REF!,#REF!)," ")))</f>
        <v/>
      </c>
      <c r="L90" s="519" t="str">
        <f t="shared" si="7"/>
        <v/>
      </c>
      <c r="M90" s="510" t="e">
        <f>#REF!</f>
        <v>#REF!</v>
      </c>
      <c r="N90" s="525"/>
      <c r="O90" s="526" t="str">
        <f>IF(N90="","",SUMIF(#REF!,'Off-site gain site summary'!N90,#REF!))</f>
        <v/>
      </c>
      <c r="P90" s="526" t="str">
        <f>IF(N90="","",SUMIF(#REF!,'Off-site gain site summary'!$N90,#REF!))</f>
        <v/>
      </c>
      <c r="Q90" s="526" t="str">
        <f>IF(N90="","",SUMIF(#REF!,'Off-site gain site summary'!$N90,#REF!))</f>
        <v/>
      </c>
      <c r="R90" s="526" t="str">
        <f>IF(N90="","",SUMIF(#REF!,'Off-site gain site summary'!$N90,#REF!))</f>
        <v/>
      </c>
      <c r="S90" s="524" t="str">
        <f t="shared" si="8"/>
        <v/>
      </c>
      <c r="T90" s="524" t="str">
        <f>IF(ISBLANK(N90),"", IFERROR(_xlfn.XLOOKUP(N90,#REF!,#REF!), IFERROR(_xlfn.XLOOKUP(N90,#REF!,#REF!), " ")))</f>
        <v/>
      </c>
      <c r="U90" s="527" t="str">
        <f t="shared" si="9"/>
        <v/>
      </c>
      <c r="V90" s="1" t="e">
        <f>#REF!</f>
        <v>#REF!</v>
      </c>
      <c r="W90" s="525"/>
      <c r="X90" s="526" t="str">
        <f>IF(W90="","",SUMIF(#REF!,'Off-site gain site summary'!$W90,#REF!))</f>
        <v/>
      </c>
      <c r="Y90" s="526" t="str">
        <f>IF(W90="","",SUMIF(#REF!,'Off-site gain site summary'!$W90,#REF!))</f>
        <v/>
      </c>
      <c r="Z90" s="526" t="str">
        <f>IF(W90="","",SUMIF(#REF!,'Off-site gain site summary'!$W90,#REF!))</f>
        <v/>
      </c>
      <c r="AA90" s="526" t="str">
        <f>IF(W90="","",SUMIF(#REF!,'Off-site gain site summary'!$W90,#REF!))</f>
        <v/>
      </c>
      <c r="AB90" s="526" t="str">
        <f t="shared" si="10"/>
        <v/>
      </c>
      <c r="AC90" s="526" t="str">
        <f>IF(ISBLANK(W90),"", IFERROR(_xlfn.XLOOKUP(W90,#REF!,#REF!), IFERROR(_xlfn.XLOOKUP(W90,#REF!,#REF!)," ")))</f>
        <v/>
      </c>
      <c r="AD90" s="527" t="str">
        <f t="shared" si="11"/>
        <v/>
      </c>
      <c r="AE90" s="981"/>
      <c r="AF90" s="981"/>
    </row>
    <row r="91" spans="1:32" x14ac:dyDescent="0.35">
      <c r="A91" s="510" t="e">
        <f>#REF!</f>
        <v>#REF!</v>
      </c>
      <c r="B91" s="517"/>
      <c r="C91" s="515" t="str">
        <f>IF(B91="","",SUMIF(#REF!,B91,#REF!))</f>
        <v/>
      </c>
      <c r="D91" s="979" t="str">
        <f>IF(B91="","", SUMIF(#REF!,'Off-site gain site summary'!$B91,#REF!))</f>
        <v/>
      </c>
      <c r="E91" s="980"/>
      <c r="F91" s="979" t="str">
        <f>IF(B91="","",SUMIF(#REF!,'Off-site gain site summary'!B91,#REF!))</f>
        <v/>
      </c>
      <c r="G91" s="980"/>
      <c r="H91" s="979" t="str">
        <f>IF(B91="","",SUMIF(#REF!,'Off-site gain site summary'!B91,#REF!))</f>
        <v/>
      </c>
      <c r="I91" s="980"/>
      <c r="J91" s="518" t="str">
        <f t="shared" si="6"/>
        <v/>
      </c>
      <c r="K91" s="515" t="str">
        <f>IF(ISBLANK(B91),"",IFERROR(_xlfn.XLOOKUP(B91,#REF!,#REF!),IFERROR(_xlfn.XLOOKUP(B91,#REF!,#REF!)," ")))</f>
        <v/>
      </c>
      <c r="L91" s="519" t="str">
        <f t="shared" si="7"/>
        <v/>
      </c>
      <c r="M91" s="510" t="e">
        <f>#REF!</f>
        <v>#REF!</v>
      </c>
      <c r="N91" s="525"/>
      <c r="O91" s="526" t="str">
        <f>IF(N91="","",SUMIF(#REF!,'Off-site gain site summary'!N91,#REF!))</f>
        <v/>
      </c>
      <c r="P91" s="526" t="str">
        <f>IF(N91="","",SUMIF(#REF!,'Off-site gain site summary'!$N91,#REF!))</f>
        <v/>
      </c>
      <c r="Q91" s="526" t="str">
        <f>IF(N91="","",SUMIF(#REF!,'Off-site gain site summary'!$N91,#REF!))</f>
        <v/>
      </c>
      <c r="R91" s="526" t="str">
        <f>IF(N91="","",SUMIF(#REF!,'Off-site gain site summary'!$N91,#REF!))</f>
        <v/>
      </c>
      <c r="S91" s="524" t="str">
        <f t="shared" si="8"/>
        <v/>
      </c>
      <c r="T91" s="524" t="str">
        <f>IF(ISBLANK(N91),"", IFERROR(_xlfn.XLOOKUP(N91,#REF!,#REF!), IFERROR(_xlfn.XLOOKUP(N91,#REF!,#REF!), " ")))</f>
        <v/>
      </c>
      <c r="U91" s="527" t="str">
        <f t="shared" si="9"/>
        <v/>
      </c>
      <c r="V91" s="1" t="e">
        <f>#REF!</f>
        <v>#REF!</v>
      </c>
      <c r="W91" s="525"/>
      <c r="X91" s="526" t="str">
        <f>IF(W91="","",SUMIF(#REF!,'Off-site gain site summary'!$W91,#REF!))</f>
        <v/>
      </c>
      <c r="Y91" s="526" t="str">
        <f>IF(W91="","",SUMIF(#REF!,'Off-site gain site summary'!$W91,#REF!))</f>
        <v/>
      </c>
      <c r="Z91" s="526" t="str">
        <f>IF(W91="","",SUMIF(#REF!,'Off-site gain site summary'!$W91,#REF!))</f>
        <v/>
      </c>
      <c r="AA91" s="526" t="str">
        <f>IF(W91="","",SUMIF(#REF!,'Off-site gain site summary'!$W91,#REF!))</f>
        <v/>
      </c>
      <c r="AB91" s="526" t="str">
        <f t="shared" si="10"/>
        <v/>
      </c>
      <c r="AC91" s="526" t="str">
        <f>IF(ISBLANK(W91),"", IFERROR(_xlfn.XLOOKUP(W91,#REF!,#REF!), IFERROR(_xlfn.XLOOKUP(W91,#REF!,#REF!)," ")))</f>
        <v/>
      </c>
      <c r="AD91" s="527" t="str">
        <f t="shared" si="11"/>
        <v/>
      </c>
      <c r="AE91" s="981"/>
      <c r="AF91" s="981"/>
    </row>
    <row r="92" spans="1:32" x14ac:dyDescent="0.35">
      <c r="A92" s="510" t="e">
        <f>#REF!</f>
        <v>#REF!</v>
      </c>
      <c r="B92" s="517"/>
      <c r="C92" s="515" t="str">
        <f>IF(B92="","",SUMIF(#REF!,B92,#REF!))</f>
        <v/>
      </c>
      <c r="D92" s="979" t="str">
        <f>IF(B92="","", SUMIF(#REF!,'Off-site gain site summary'!$B92,#REF!))</f>
        <v/>
      </c>
      <c r="E92" s="980"/>
      <c r="F92" s="979" t="str">
        <f>IF(B92="","",SUMIF(#REF!,'Off-site gain site summary'!B92,#REF!))</f>
        <v/>
      </c>
      <c r="G92" s="980"/>
      <c r="H92" s="979" t="str">
        <f>IF(B92="","",SUMIF(#REF!,'Off-site gain site summary'!B92,#REF!))</f>
        <v/>
      </c>
      <c r="I92" s="980"/>
      <c r="J92" s="518" t="str">
        <f t="shared" si="6"/>
        <v/>
      </c>
      <c r="K92" s="515" t="str">
        <f>IF(ISBLANK(B92),"",IFERROR(_xlfn.XLOOKUP(B92,#REF!,#REF!),IFERROR(_xlfn.XLOOKUP(B92,#REF!,#REF!)," ")))</f>
        <v/>
      </c>
      <c r="L92" s="519" t="str">
        <f t="shared" si="7"/>
        <v/>
      </c>
      <c r="M92" s="510" t="e">
        <f>#REF!</f>
        <v>#REF!</v>
      </c>
      <c r="N92" s="525"/>
      <c r="O92" s="526" t="str">
        <f>IF(N92="","",SUMIF(#REF!,'Off-site gain site summary'!N92,#REF!))</f>
        <v/>
      </c>
      <c r="P92" s="526" t="str">
        <f>IF(N92="","",SUMIF(#REF!,'Off-site gain site summary'!$N92,#REF!))</f>
        <v/>
      </c>
      <c r="Q92" s="526" t="str">
        <f>IF(N92="","",SUMIF(#REF!,'Off-site gain site summary'!$N92,#REF!))</f>
        <v/>
      </c>
      <c r="R92" s="526" t="str">
        <f>IF(N92="","",SUMIF(#REF!,'Off-site gain site summary'!$N92,#REF!))</f>
        <v/>
      </c>
      <c r="S92" s="524" t="str">
        <f t="shared" si="8"/>
        <v/>
      </c>
      <c r="T92" s="524" t="str">
        <f>IF(ISBLANK(N92),"", IFERROR(_xlfn.XLOOKUP(N92,#REF!,#REF!), IFERROR(_xlfn.XLOOKUP(N92,#REF!,#REF!), " ")))</f>
        <v/>
      </c>
      <c r="U92" s="527" t="str">
        <f t="shared" si="9"/>
        <v/>
      </c>
      <c r="V92" s="1" t="e">
        <f>#REF!</f>
        <v>#REF!</v>
      </c>
      <c r="W92" s="525"/>
      <c r="X92" s="526" t="str">
        <f>IF(W92="","",SUMIF(#REF!,'Off-site gain site summary'!$W92,#REF!))</f>
        <v/>
      </c>
      <c r="Y92" s="526" t="str">
        <f>IF(W92="","",SUMIF(#REF!,'Off-site gain site summary'!$W92,#REF!))</f>
        <v/>
      </c>
      <c r="Z92" s="526" t="str">
        <f>IF(W92="","",SUMIF(#REF!,'Off-site gain site summary'!$W92,#REF!))</f>
        <v/>
      </c>
      <c r="AA92" s="526" t="str">
        <f>IF(W92="","",SUMIF(#REF!,'Off-site gain site summary'!$W92,#REF!))</f>
        <v/>
      </c>
      <c r="AB92" s="526" t="str">
        <f t="shared" si="10"/>
        <v/>
      </c>
      <c r="AC92" s="526" t="str">
        <f>IF(ISBLANK(W92),"", IFERROR(_xlfn.XLOOKUP(W92,#REF!,#REF!), IFERROR(_xlfn.XLOOKUP(W92,#REF!,#REF!)," ")))</f>
        <v/>
      </c>
      <c r="AD92" s="527" t="str">
        <f t="shared" si="11"/>
        <v/>
      </c>
      <c r="AE92" s="981"/>
      <c r="AF92" s="981"/>
    </row>
    <row r="93" spans="1:32" x14ac:dyDescent="0.35">
      <c r="A93" s="510" t="e">
        <f>#REF!</f>
        <v>#REF!</v>
      </c>
      <c r="B93" s="517"/>
      <c r="C93" s="515" t="str">
        <f>IF(B93="","",SUMIF(#REF!,B93,#REF!))</f>
        <v/>
      </c>
      <c r="D93" s="979" t="str">
        <f>IF(B93="","", SUMIF(#REF!,'Off-site gain site summary'!$B93,#REF!))</f>
        <v/>
      </c>
      <c r="E93" s="980"/>
      <c r="F93" s="979" t="str">
        <f>IF(B93="","",SUMIF(#REF!,'Off-site gain site summary'!B93,#REF!))</f>
        <v/>
      </c>
      <c r="G93" s="980"/>
      <c r="H93" s="979" t="str">
        <f>IF(B93="","",SUMIF(#REF!,'Off-site gain site summary'!B93,#REF!))</f>
        <v/>
      </c>
      <c r="I93" s="980"/>
      <c r="J93" s="518" t="str">
        <f t="shared" si="6"/>
        <v/>
      </c>
      <c r="K93" s="515" t="str">
        <f>IF(ISBLANK(B93),"",IFERROR(_xlfn.XLOOKUP(B93,#REF!,#REF!),IFERROR(_xlfn.XLOOKUP(B93,#REF!,#REF!)," ")))</f>
        <v/>
      </c>
      <c r="L93" s="519" t="str">
        <f t="shared" si="7"/>
        <v/>
      </c>
      <c r="M93" s="510" t="e">
        <f>#REF!</f>
        <v>#REF!</v>
      </c>
      <c r="N93" s="525"/>
      <c r="O93" s="526" t="str">
        <f>IF(N93="","",SUMIF(#REF!,'Off-site gain site summary'!N93,#REF!))</f>
        <v/>
      </c>
      <c r="P93" s="526" t="str">
        <f>IF(N93="","",SUMIF(#REF!,'Off-site gain site summary'!$N93,#REF!))</f>
        <v/>
      </c>
      <c r="Q93" s="526" t="str">
        <f>IF(N93="","",SUMIF(#REF!,'Off-site gain site summary'!$N93,#REF!))</f>
        <v/>
      </c>
      <c r="R93" s="526" t="str">
        <f>IF(N93="","",SUMIF(#REF!,'Off-site gain site summary'!$N93,#REF!))</f>
        <v/>
      </c>
      <c r="S93" s="524" t="str">
        <f t="shared" si="8"/>
        <v/>
      </c>
      <c r="T93" s="524" t="str">
        <f>IF(ISBLANK(N93),"", IFERROR(_xlfn.XLOOKUP(N93,#REF!,#REF!), IFERROR(_xlfn.XLOOKUP(N93,#REF!,#REF!), " ")))</f>
        <v/>
      </c>
      <c r="U93" s="527" t="str">
        <f t="shared" si="9"/>
        <v/>
      </c>
      <c r="V93" s="1" t="e">
        <f>#REF!</f>
        <v>#REF!</v>
      </c>
      <c r="W93" s="525"/>
      <c r="X93" s="526" t="str">
        <f>IF(W93="","",SUMIF(#REF!,'Off-site gain site summary'!$W93,#REF!))</f>
        <v/>
      </c>
      <c r="Y93" s="526" t="str">
        <f>IF(W93="","",SUMIF(#REF!,'Off-site gain site summary'!$W93,#REF!))</f>
        <v/>
      </c>
      <c r="Z93" s="526" t="str">
        <f>IF(W93="","",SUMIF(#REF!,'Off-site gain site summary'!$W93,#REF!))</f>
        <v/>
      </c>
      <c r="AA93" s="526" t="str">
        <f>IF(W93="","",SUMIF(#REF!,'Off-site gain site summary'!$W93,#REF!))</f>
        <v/>
      </c>
      <c r="AB93" s="526" t="str">
        <f t="shared" si="10"/>
        <v/>
      </c>
      <c r="AC93" s="526" t="str">
        <f>IF(ISBLANK(W93),"", IFERROR(_xlfn.XLOOKUP(W93,#REF!,#REF!), IFERROR(_xlfn.XLOOKUP(W93,#REF!,#REF!)," ")))</f>
        <v/>
      </c>
      <c r="AD93" s="527" t="str">
        <f t="shared" si="11"/>
        <v/>
      </c>
      <c r="AE93" s="981"/>
      <c r="AF93" s="981"/>
    </row>
    <row r="94" spans="1:32" x14ac:dyDescent="0.35">
      <c r="A94" s="510" t="e">
        <f>#REF!</f>
        <v>#REF!</v>
      </c>
      <c r="B94" s="517"/>
      <c r="C94" s="515" t="str">
        <f>IF(B94="","",SUMIF(#REF!,B94,#REF!))</f>
        <v/>
      </c>
      <c r="D94" s="979" t="str">
        <f>IF(B94="","", SUMIF(#REF!,'Off-site gain site summary'!$B94,#REF!))</f>
        <v/>
      </c>
      <c r="E94" s="980"/>
      <c r="F94" s="979" t="str">
        <f>IF(B94="","",SUMIF(#REF!,'Off-site gain site summary'!B94,#REF!))</f>
        <v/>
      </c>
      <c r="G94" s="980"/>
      <c r="H94" s="979" t="str">
        <f>IF(B94="","",SUMIF(#REF!,'Off-site gain site summary'!B94,#REF!))</f>
        <v/>
      </c>
      <c r="I94" s="980"/>
      <c r="J94" s="518" t="str">
        <f t="shared" si="6"/>
        <v/>
      </c>
      <c r="K94" s="515" t="str">
        <f>IF(ISBLANK(B94),"",IFERROR(_xlfn.XLOOKUP(B94,#REF!,#REF!),IFERROR(_xlfn.XLOOKUP(B94,#REF!,#REF!)," ")))</f>
        <v/>
      </c>
      <c r="L94" s="519" t="str">
        <f t="shared" si="7"/>
        <v/>
      </c>
      <c r="M94" s="510" t="e">
        <f>#REF!</f>
        <v>#REF!</v>
      </c>
      <c r="N94" s="525"/>
      <c r="O94" s="526" t="str">
        <f>IF(N94="","",SUMIF(#REF!,'Off-site gain site summary'!N94,#REF!))</f>
        <v/>
      </c>
      <c r="P94" s="526" t="str">
        <f>IF(N94="","",SUMIF(#REF!,'Off-site gain site summary'!$N94,#REF!))</f>
        <v/>
      </c>
      <c r="Q94" s="526" t="str">
        <f>IF(N94="","",SUMIF(#REF!,'Off-site gain site summary'!$N94,#REF!))</f>
        <v/>
      </c>
      <c r="R94" s="526" t="str">
        <f>IF(N94="","",SUMIF(#REF!,'Off-site gain site summary'!$N94,#REF!))</f>
        <v/>
      </c>
      <c r="S94" s="524" t="str">
        <f t="shared" si="8"/>
        <v/>
      </c>
      <c r="T94" s="524" t="str">
        <f>IF(ISBLANK(N94),"", IFERROR(_xlfn.XLOOKUP(N94,#REF!,#REF!), IFERROR(_xlfn.XLOOKUP(N94,#REF!,#REF!), " ")))</f>
        <v/>
      </c>
      <c r="U94" s="527" t="str">
        <f t="shared" si="9"/>
        <v/>
      </c>
      <c r="V94" s="1" t="e">
        <f>#REF!</f>
        <v>#REF!</v>
      </c>
      <c r="W94" s="525"/>
      <c r="X94" s="526" t="str">
        <f>IF(W94="","",SUMIF(#REF!,'Off-site gain site summary'!$W94,#REF!))</f>
        <v/>
      </c>
      <c r="Y94" s="526" t="str">
        <f>IF(W94="","",SUMIF(#REF!,'Off-site gain site summary'!$W94,#REF!))</f>
        <v/>
      </c>
      <c r="Z94" s="526" t="str">
        <f>IF(W94="","",SUMIF(#REF!,'Off-site gain site summary'!$W94,#REF!))</f>
        <v/>
      </c>
      <c r="AA94" s="526" t="str">
        <f>IF(W94="","",SUMIF(#REF!,'Off-site gain site summary'!$W94,#REF!))</f>
        <v/>
      </c>
      <c r="AB94" s="526" t="str">
        <f t="shared" si="10"/>
        <v/>
      </c>
      <c r="AC94" s="526" t="str">
        <f>IF(ISBLANK(W94),"", IFERROR(_xlfn.XLOOKUP(W94,#REF!,#REF!), IFERROR(_xlfn.XLOOKUP(W94,#REF!,#REF!)," ")))</f>
        <v/>
      </c>
      <c r="AD94" s="527" t="str">
        <f t="shared" si="11"/>
        <v/>
      </c>
      <c r="AE94" s="981"/>
      <c r="AF94" s="981"/>
    </row>
    <row r="95" spans="1:32" x14ac:dyDescent="0.35">
      <c r="A95" s="510" t="e">
        <f>#REF!</f>
        <v>#REF!</v>
      </c>
      <c r="B95" s="517"/>
      <c r="C95" s="515" t="str">
        <f>IF(B95="","",SUMIF(#REF!,B95,#REF!))</f>
        <v/>
      </c>
      <c r="D95" s="979" t="str">
        <f>IF(B95="","", SUMIF(#REF!,'Off-site gain site summary'!$B95,#REF!))</f>
        <v/>
      </c>
      <c r="E95" s="980"/>
      <c r="F95" s="979" t="str">
        <f>IF(B95="","",SUMIF(#REF!,'Off-site gain site summary'!B95,#REF!))</f>
        <v/>
      </c>
      <c r="G95" s="980"/>
      <c r="H95" s="979" t="str">
        <f>IF(B95="","",SUMIF(#REF!,'Off-site gain site summary'!B95,#REF!))</f>
        <v/>
      </c>
      <c r="I95" s="980"/>
      <c r="J95" s="518" t="str">
        <f t="shared" si="6"/>
        <v/>
      </c>
      <c r="K95" s="515" t="str">
        <f>IF(ISBLANK(B95),"",IFERROR(_xlfn.XLOOKUP(B95,#REF!,#REF!),IFERROR(_xlfn.XLOOKUP(B95,#REF!,#REF!)," ")))</f>
        <v/>
      </c>
      <c r="L95" s="519" t="str">
        <f t="shared" si="7"/>
        <v/>
      </c>
      <c r="M95" s="510" t="e">
        <f>#REF!</f>
        <v>#REF!</v>
      </c>
      <c r="N95" s="525"/>
      <c r="O95" s="526" t="str">
        <f>IF(N95="","",SUMIF(#REF!,'Off-site gain site summary'!N95,#REF!))</f>
        <v/>
      </c>
      <c r="P95" s="526" t="str">
        <f>IF(N95="","",SUMIF(#REF!,'Off-site gain site summary'!$N95,#REF!))</f>
        <v/>
      </c>
      <c r="Q95" s="526" t="str">
        <f>IF(N95="","",SUMIF(#REF!,'Off-site gain site summary'!$N95,#REF!))</f>
        <v/>
      </c>
      <c r="R95" s="526" t="str">
        <f>IF(N95="","",SUMIF(#REF!,'Off-site gain site summary'!$N95,#REF!))</f>
        <v/>
      </c>
      <c r="S95" s="524" t="str">
        <f t="shared" si="8"/>
        <v/>
      </c>
      <c r="T95" s="524" t="str">
        <f>IF(ISBLANK(N95),"", IFERROR(_xlfn.XLOOKUP(N95,#REF!,#REF!), IFERROR(_xlfn.XLOOKUP(N95,#REF!,#REF!), " ")))</f>
        <v/>
      </c>
      <c r="U95" s="527" t="str">
        <f t="shared" si="9"/>
        <v/>
      </c>
      <c r="V95" s="1" t="e">
        <f>#REF!</f>
        <v>#REF!</v>
      </c>
      <c r="W95" s="525"/>
      <c r="X95" s="526" t="str">
        <f>IF(W95="","",SUMIF(#REF!,'Off-site gain site summary'!$W95,#REF!))</f>
        <v/>
      </c>
      <c r="Y95" s="526" t="str">
        <f>IF(W95="","",SUMIF(#REF!,'Off-site gain site summary'!$W95,#REF!))</f>
        <v/>
      </c>
      <c r="Z95" s="526" t="str">
        <f>IF(W95="","",SUMIF(#REF!,'Off-site gain site summary'!$W95,#REF!))</f>
        <v/>
      </c>
      <c r="AA95" s="526" t="str">
        <f>IF(W95="","",SUMIF(#REF!,'Off-site gain site summary'!$W95,#REF!))</f>
        <v/>
      </c>
      <c r="AB95" s="526" t="str">
        <f t="shared" si="10"/>
        <v/>
      </c>
      <c r="AC95" s="526" t="str">
        <f>IF(ISBLANK(W95),"", IFERROR(_xlfn.XLOOKUP(W95,#REF!,#REF!), IFERROR(_xlfn.XLOOKUP(W95,#REF!,#REF!)," ")))</f>
        <v/>
      </c>
      <c r="AD95" s="527" t="str">
        <f t="shared" si="11"/>
        <v/>
      </c>
      <c r="AE95" s="981"/>
      <c r="AF95" s="981"/>
    </row>
    <row r="96" spans="1:32" x14ac:dyDescent="0.35">
      <c r="A96" s="510" t="e">
        <f>#REF!</f>
        <v>#REF!</v>
      </c>
      <c r="B96" s="517"/>
      <c r="C96" s="515" t="str">
        <f>IF(B96="","",SUMIF(#REF!,B96,#REF!))</f>
        <v/>
      </c>
      <c r="D96" s="979" t="str">
        <f>IF(B96="","", SUMIF(#REF!,'Off-site gain site summary'!$B96,#REF!))</f>
        <v/>
      </c>
      <c r="E96" s="980"/>
      <c r="F96" s="979" t="str">
        <f>IF(B96="","",SUMIF(#REF!,'Off-site gain site summary'!B96,#REF!))</f>
        <v/>
      </c>
      <c r="G96" s="980"/>
      <c r="H96" s="979" t="str">
        <f>IF(B96="","",SUMIF(#REF!,'Off-site gain site summary'!B96,#REF!))</f>
        <v/>
      </c>
      <c r="I96" s="980"/>
      <c r="J96" s="518" t="str">
        <f t="shared" si="6"/>
        <v/>
      </c>
      <c r="K96" s="515" t="str">
        <f>IF(ISBLANK(B96),"",IFERROR(_xlfn.XLOOKUP(B96,#REF!,#REF!),IFERROR(_xlfn.XLOOKUP(B96,#REF!,#REF!)," ")))</f>
        <v/>
      </c>
      <c r="L96" s="519" t="str">
        <f t="shared" si="7"/>
        <v/>
      </c>
      <c r="M96" s="510" t="e">
        <f>#REF!</f>
        <v>#REF!</v>
      </c>
      <c r="N96" s="525"/>
      <c r="O96" s="526" t="str">
        <f>IF(N96="","",SUMIF(#REF!,'Off-site gain site summary'!N96,#REF!))</f>
        <v/>
      </c>
      <c r="P96" s="526" t="str">
        <f>IF(N96="","",SUMIF(#REF!,'Off-site gain site summary'!$N96,#REF!))</f>
        <v/>
      </c>
      <c r="Q96" s="526" t="str">
        <f>IF(N96="","",SUMIF(#REF!,'Off-site gain site summary'!$N96,#REF!))</f>
        <v/>
      </c>
      <c r="R96" s="526" t="str">
        <f>IF(N96="","",SUMIF(#REF!,'Off-site gain site summary'!$N96,#REF!))</f>
        <v/>
      </c>
      <c r="S96" s="524" t="str">
        <f t="shared" si="8"/>
        <v/>
      </c>
      <c r="T96" s="524" t="str">
        <f>IF(ISBLANK(N96),"", IFERROR(_xlfn.XLOOKUP(N96,#REF!,#REF!), IFERROR(_xlfn.XLOOKUP(N96,#REF!,#REF!), " ")))</f>
        <v/>
      </c>
      <c r="U96" s="527" t="str">
        <f t="shared" si="9"/>
        <v/>
      </c>
      <c r="V96" s="1" t="e">
        <f>#REF!</f>
        <v>#REF!</v>
      </c>
      <c r="W96" s="525"/>
      <c r="X96" s="526" t="str">
        <f>IF(W96="","",SUMIF(#REF!,'Off-site gain site summary'!$W96,#REF!))</f>
        <v/>
      </c>
      <c r="Y96" s="526" t="str">
        <f>IF(W96="","",SUMIF(#REF!,'Off-site gain site summary'!$W96,#REF!))</f>
        <v/>
      </c>
      <c r="Z96" s="526" t="str">
        <f>IF(W96="","",SUMIF(#REF!,'Off-site gain site summary'!$W96,#REF!))</f>
        <v/>
      </c>
      <c r="AA96" s="526" t="str">
        <f>IF(W96="","",SUMIF(#REF!,'Off-site gain site summary'!$W96,#REF!))</f>
        <v/>
      </c>
      <c r="AB96" s="526" t="str">
        <f t="shared" si="10"/>
        <v/>
      </c>
      <c r="AC96" s="526" t="str">
        <f>IF(ISBLANK(W96),"", IFERROR(_xlfn.XLOOKUP(W96,#REF!,#REF!), IFERROR(_xlfn.XLOOKUP(W96,#REF!,#REF!)," ")))</f>
        <v/>
      </c>
      <c r="AD96" s="527" t="str">
        <f t="shared" si="11"/>
        <v/>
      </c>
      <c r="AE96" s="981"/>
      <c r="AF96" s="981"/>
    </row>
    <row r="97" spans="1:32" x14ac:dyDescent="0.35">
      <c r="A97" s="510" t="e">
        <f>#REF!</f>
        <v>#REF!</v>
      </c>
      <c r="B97" s="517"/>
      <c r="C97" s="515" t="str">
        <f>IF(B97="","",SUMIF(#REF!,B97,#REF!))</f>
        <v/>
      </c>
      <c r="D97" s="979" t="str">
        <f>IF(B97="","", SUMIF(#REF!,'Off-site gain site summary'!$B97,#REF!))</f>
        <v/>
      </c>
      <c r="E97" s="980"/>
      <c r="F97" s="979" t="str">
        <f>IF(B97="","",SUMIF(#REF!,'Off-site gain site summary'!B97,#REF!))</f>
        <v/>
      </c>
      <c r="G97" s="980"/>
      <c r="H97" s="979" t="str">
        <f>IF(B97="","",SUMIF(#REF!,'Off-site gain site summary'!B97,#REF!))</f>
        <v/>
      </c>
      <c r="I97" s="980"/>
      <c r="J97" s="518" t="str">
        <f t="shared" si="6"/>
        <v/>
      </c>
      <c r="K97" s="515" t="str">
        <f>IF(ISBLANK(B97),"",IFERROR(_xlfn.XLOOKUP(B97,#REF!,#REF!),IFERROR(_xlfn.XLOOKUP(B97,#REF!,#REF!)," ")))</f>
        <v/>
      </c>
      <c r="L97" s="519" t="str">
        <f t="shared" si="7"/>
        <v/>
      </c>
      <c r="M97" s="510" t="e">
        <f>#REF!</f>
        <v>#REF!</v>
      </c>
      <c r="N97" s="525"/>
      <c r="O97" s="526" t="str">
        <f>IF(N97="","",SUMIF(#REF!,'Off-site gain site summary'!N97,#REF!))</f>
        <v/>
      </c>
      <c r="P97" s="526" t="str">
        <f>IF(N97="","",SUMIF(#REF!,'Off-site gain site summary'!$N97,#REF!))</f>
        <v/>
      </c>
      <c r="Q97" s="526" t="str">
        <f>IF(N97="","",SUMIF(#REF!,'Off-site gain site summary'!$N97,#REF!))</f>
        <v/>
      </c>
      <c r="R97" s="526" t="str">
        <f>IF(N97="","",SUMIF(#REF!,'Off-site gain site summary'!$N97,#REF!))</f>
        <v/>
      </c>
      <c r="S97" s="524" t="str">
        <f t="shared" si="8"/>
        <v/>
      </c>
      <c r="T97" s="524" t="str">
        <f>IF(ISBLANK(N97),"", IFERROR(_xlfn.XLOOKUP(N97,#REF!,#REF!), IFERROR(_xlfn.XLOOKUP(N97,#REF!,#REF!), " ")))</f>
        <v/>
      </c>
      <c r="U97" s="527" t="str">
        <f t="shared" si="9"/>
        <v/>
      </c>
      <c r="V97" s="1" t="e">
        <f>#REF!</f>
        <v>#REF!</v>
      </c>
      <c r="W97" s="525"/>
      <c r="X97" s="526" t="str">
        <f>IF(W97="","",SUMIF(#REF!,'Off-site gain site summary'!$W97,#REF!))</f>
        <v/>
      </c>
      <c r="Y97" s="526" t="str">
        <f>IF(W97="","",SUMIF(#REF!,'Off-site gain site summary'!$W97,#REF!))</f>
        <v/>
      </c>
      <c r="Z97" s="526" t="str">
        <f>IF(W97="","",SUMIF(#REF!,'Off-site gain site summary'!$W97,#REF!))</f>
        <v/>
      </c>
      <c r="AA97" s="526" t="str">
        <f>IF(W97="","",SUMIF(#REF!,'Off-site gain site summary'!$W97,#REF!))</f>
        <v/>
      </c>
      <c r="AB97" s="526" t="str">
        <f t="shared" si="10"/>
        <v/>
      </c>
      <c r="AC97" s="526" t="str">
        <f>IF(ISBLANK(W97),"", IFERROR(_xlfn.XLOOKUP(W97,#REF!,#REF!), IFERROR(_xlfn.XLOOKUP(W97,#REF!,#REF!)," ")))</f>
        <v/>
      </c>
      <c r="AD97" s="527" t="str">
        <f t="shared" si="11"/>
        <v/>
      </c>
      <c r="AE97" s="981"/>
      <c r="AF97" s="981"/>
    </row>
    <row r="98" spans="1:32" x14ac:dyDescent="0.35">
      <c r="A98" s="510" t="e">
        <f>#REF!</f>
        <v>#REF!</v>
      </c>
      <c r="B98" s="517"/>
      <c r="C98" s="515" t="str">
        <f>IF(B98="","",SUMIF(#REF!,B98,#REF!))</f>
        <v/>
      </c>
      <c r="D98" s="979" t="str">
        <f>IF(B98="","", SUMIF(#REF!,'Off-site gain site summary'!$B98,#REF!))</f>
        <v/>
      </c>
      <c r="E98" s="980"/>
      <c r="F98" s="979" t="str">
        <f>IF(B98="","",SUMIF(#REF!,'Off-site gain site summary'!B98,#REF!))</f>
        <v/>
      </c>
      <c r="G98" s="980"/>
      <c r="H98" s="979" t="str">
        <f>IF(B98="","",SUMIF(#REF!,'Off-site gain site summary'!B98,#REF!))</f>
        <v/>
      </c>
      <c r="I98" s="980"/>
      <c r="J98" s="518" t="str">
        <f t="shared" si="6"/>
        <v/>
      </c>
      <c r="K98" s="515" t="str">
        <f>IF(ISBLANK(B98),"",IFERROR(_xlfn.XLOOKUP(B98,#REF!,#REF!),IFERROR(_xlfn.XLOOKUP(B98,#REF!,#REF!)," ")))</f>
        <v/>
      </c>
      <c r="L98" s="519" t="str">
        <f t="shared" si="7"/>
        <v/>
      </c>
      <c r="M98" s="510" t="e">
        <f>#REF!</f>
        <v>#REF!</v>
      </c>
      <c r="N98" s="525"/>
      <c r="O98" s="526" t="str">
        <f>IF(N98="","",SUMIF(#REF!,'Off-site gain site summary'!N98,#REF!))</f>
        <v/>
      </c>
      <c r="P98" s="526" t="str">
        <f>IF(N98="","",SUMIF(#REF!,'Off-site gain site summary'!$N98,#REF!))</f>
        <v/>
      </c>
      <c r="Q98" s="526" t="str">
        <f>IF(N98="","",SUMIF(#REF!,'Off-site gain site summary'!$N98,#REF!))</f>
        <v/>
      </c>
      <c r="R98" s="526" t="str">
        <f>IF(N98="","",SUMIF(#REF!,'Off-site gain site summary'!$N98,#REF!))</f>
        <v/>
      </c>
      <c r="S98" s="524" t="str">
        <f t="shared" si="8"/>
        <v/>
      </c>
      <c r="T98" s="524" t="str">
        <f>IF(ISBLANK(N98),"", IFERROR(_xlfn.XLOOKUP(N98,#REF!,#REF!), IFERROR(_xlfn.XLOOKUP(N98,#REF!,#REF!), " ")))</f>
        <v/>
      </c>
      <c r="U98" s="527" t="str">
        <f t="shared" si="9"/>
        <v/>
      </c>
      <c r="V98" s="1" t="e">
        <f>#REF!</f>
        <v>#REF!</v>
      </c>
      <c r="W98" s="525"/>
      <c r="X98" s="526" t="str">
        <f>IF(W98="","",SUMIF(#REF!,'Off-site gain site summary'!$W98,#REF!))</f>
        <v/>
      </c>
      <c r="Y98" s="526" t="str">
        <f>IF(W98="","",SUMIF(#REF!,'Off-site gain site summary'!$W98,#REF!))</f>
        <v/>
      </c>
      <c r="Z98" s="526" t="str">
        <f>IF(W98="","",SUMIF(#REF!,'Off-site gain site summary'!$W98,#REF!))</f>
        <v/>
      </c>
      <c r="AA98" s="526" t="str">
        <f>IF(W98="","",SUMIF(#REF!,'Off-site gain site summary'!$W98,#REF!))</f>
        <v/>
      </c>
      <c r="AB98" s="526" t="str">
        <f t="shared" si="10"/>
        <v/>
      </c>
      <c r="AC98" s="526" t="str">
        <f>IF(ISBLANK(W98),"", IFERROR(_xlfn.XLOOKUP(W98,#REF!,#REF!), IFERROR(_xlfn.XLOOKUP(W98,#REF!,#REF!)," ")))</f>
        <v/>
      </c>
      <c r="AD98" s="527" t="str">
        <f t="shared" si="11"/>
        <v/>
      </c>
      <c r="AE98" s="981"/>
      <c r="AF98" s="981"/>
    </row>
    <row r="99" spans="1:32" x14ac:dyDescent="0.35">
      <c r="A99" s="510" t="e">
        <f>#REF!</f>
        <v>#REF!</v>
      </c>
      <c r="B99" s="517"/>
      <c r="C99" s="515" t="str">
        <f>IF(B99="","",SUMIF(#REF!,B99,#REF!))</f>
        <v/>
      </c>
      <c r="D99" s="979" t="str">
        <f>IF(B99="","", SUMIF(#REF!,'Off-site gain site summary'!$B99,#REF!))</f>
        <v/>
      </c>
      <c r="E99" s="980"/>
      <c r="F99" s="979" t="str">
        <f>IF(B99="","",SUMIF(#REF!,'Off-site gain site summary'!B99,#REF!))</f>
        <v/>
      </c>
      <c r="G99" s="980"/>
      <c r="H99" s="979" t="str">
        <f>IF(B99="","",SUMIF(#REF!,'Off-site gain site summary'!B99,#REF!))</f>
        <v/>
      </c>
      <c r="I99" s="980"/>
      <c r="J99" s="518" t="str">
        <f t="shared" si="6"/>
        <v/>
      </c>
      <c r="K99" s="515" t="str">
        <f>IF(ISBLANK(B99),"",IFERROR(_xlfn.XLOOKUP(B99,#REF!,#REF!),IFERROR(_xlfn.XLOOKUP(B99,#REF!,#REF!)," ")))</f>
        <v/>
      </c>
      <c r="L99" s="519" t="str">
        <f t="shared" si="7"/>
        <v/>
      </c>
      <c r="M99" s="510" t="e">
        <f>#REF!</f>
        <v>#REF!</v>
      </c>
      <c r="N99" s="525"/>
      <c r="O99" s="526" t="str">
        <f>IF(N99="","",SUMIF(#REF!,'Off-site gain site summary'!N99,#REF!))</f>
        <v/>
      </c>
      <c r="P99" s="526" t="str">
        <f>IF(N99="","",SUMIF(#REF!,'Off-site gain site summary'!$N99,#REF!))</f>
        <v/>
      </c>
      <c r="Q99" s="526" t="str">
        <f>IF(N99="","",SUMIF(#REF!,'Off-site gain site summary'!$N99,#REF!))</f>
        <v/>
      </c>
      <c r="R99" s="526" t="str">
        <f>IF(N99="","",SUMIF(#REF!,'Off-site gain site summary'!$N99,#REF!))</f>
        <v/>
      </c>
      <c r="S99" s="524" t="str">
        <f t="shared" si="8"/>
        <v/>
      </c>
      <c r="T99" s="524" t="str">
        <f>IF(ISBLANK(N99),"", IFERROR(_xlfn.XLOOKUP(N99,#REF!,#REF!), IFERROR(_xlfn.XLOOKUP(N99,#REF!,#REF!), " ")))</f>
        <v/>
      </c>
      <c r="U99" s="527" t="str">
        <f t="shared" si="9"/>
        <v/>
      </c>
      <c r="V99" s="1" t="e">
        <f>#REF!</f>
        <v>#REF!</v>
      </c>
      <c r="W99" s="525"/>
      <c r="X99" s="526" t="str">
        <f>IF(W99="","",SUMIF(#REF!,'Off-site gain site summary'!$W99,#REF!))</f>
        <v/>
      </c>
      <c r="Y99" s="526" t="str">
        <f>IF(W99="","",SUMIF(#REF!,'Off-site gain site summary'!$W99,#REF!))</f>
        <v/>
      </c>
      <c r="Z99" s="526" t="str">
        <f>IF(W99="","",SUMIF(#REF!,'Off-site gain site summary'!$W99,#REF!))</f>
        <v/>
      </c>
      <c r="AA99" s="526" t="str">
        <f>IF(W99="","",SUMIF(#REF!,'Off-site gain site summary'!$W99,#REF!))</f>
        <v/>
      </c>
      <c r="AB99" s="526" t="str">
        <f t="shared" si="10"/>
        <v/>
      </c>
      <c r="AC99" s="526" t="str">
        <f>IF(ISBLANK(W99),"", IFERROR(_xlfn.XLOOKUP(W99,#REF!,#REF!), IFERROR(_xlfn.XLOOKUP(W99,#REF!,#REF!)," ")))</f>
        <v/>
      </c>
      <c r="AD99" s="527" t="str">
        <f t="shared" si="11"/>
        <v/>
      </c>
      <c r="AE99" s="981"/>
      <c r="AF99" s="981"/>
    </row>
    <row r="100" spans="1:32" x14ac:dyDescent="0.35">
      <c r="A100" s="510" t="e">
        <f>#REF!</f>
        <v>#REF!</v>
      </c>
      <c r="B100" s="517"/>
      <c r="C100" s="515" t="str">
        <f>IF(B100="","",SUMIF(#REF!,B100,#REF!))</f>
        <v/>
      </c>
      <c r="D100" s="979" t="str">
        <f>IF(B100="","", SUMIF(#REF!,'Off-site gain site summary'!$B100,#REF!))</f>
        <v/>
      </c>
      <c r="E100" s="980"/>
      <c r="F100" s="979" t="str">
        <f>IF(B100="","",SUMIF(#REF!,'Off-site gain site summary'!B100,#REF!))</f>
        <v/>
      </c>
      <c r="G100" s="980"/>
      <c r="H100" s="979" t="str">
        <f>IF(B100="","",SUMIF(#REF!,'Off-site gain site summary'!B100,#REF!))</f>
        <v/>
      </c>
      <c r="I100" s="980"/>
      <c r="J100" s="518" t="str">
        <f t="shared" si="6"/>
        <v/>
      </c>
      <c r="K100" s="515" t="str">
        <f>IF(ISBLANK(B100),"",IFERROR(_xlfn.XLOOKUP(B100,#REF!,#REF!),IFERROR(_xlfn.XLOOKUP(B100,#REF!,#REF!)," ")))</f>
        <v/>
      </c>
      <c r="L100" s="519" t="str">
        <f t="shared" si="7"/>
        <v/>
      </c>
      <c r="M100" s="510" t="e">
        <f>#REF!</f>
        <v>#REF!</v>
      </c>
      <c r="N100" s="525"/>
      <c r="O100" s="526" t="str">
        <f>IF(N100="","",SUMIF(#REF!,'Off-site gain site summary'!N100,#REF!))</f>
        <v/>
      </c>
      <c r="P100" s="526" t="str">
        <f>IF(N100="","",SUMIF(#REF!,'Off-site gain site summary'!$N100,#REF!))</f>
        <v/>
      </c>
      <c r="Q100" s="526" t="str">
        <f>IF(N100="","",SUMIF(#REF!,'Off-site gain site summary'!$N100,#REF!))</f>
        <v/>
      </c>
      <c r="R100" s="526" t="str">
        <f>IF(N100="","",SUMIF(#REF!,'Off-site gain site summary'!$N100,#REF!))</f>
        <v/>
      </c>
      <c r="S100" s="524" t="str">
        <f t="shared" si="8"/>
        <v/>
      </c>
      <c r="T100" s="524" t="str">
        <f>IF(ISBLANK(N100),"", IFERROR(_xlfn.XLOOKUP(N100,#REF!,#REF!), IFERROR(_xlfn.XLOOKUP(N100,#REF!,#REF!), " ")))</f>
        <v/>
      </c>
      <c r="U100" s="527" t="str">
        <f t="shared" si="9"/>
        <v/>
      </c>
      <c r="V100" s="1" t="e">
        <f>#REF!</f>
        <v>#REF!</v>
      </c>
      <c r="W100" s="525"/>
      <c r="X100" s="526" t="str">
        <f>IF(W100="","",SUMIF(#REF!,'Off-site gain site summary'!$W100,#REF!))</f>
        <v/>
      </c>
      <c r="Y100" s="526" t="str">
        <f>IF(W100="","",SUMIF(#REF!,'Off-site gain site summary'!$W100,#REF!))</f>
        <v/>
      </c>
      <c r="Z100" s="526" t="str">
        <f>IF(W100="","",SUMIF(#REF!,'Off-site gain site summary'!$W100,#REF!))</f>
        <v/>
      </c>
      <c r="AA100" s="526" t="str">
        <f>IF(W100="","",SUMIF(#REF!,'Off-site gain site summary'!$W100,#REF!))</f>
        <v/>
      </c>
      <c r="AB100" s="526" t="str">
        <f t="shared" si="10"/>
        <v/>
      </c>
      <c r="AC100" s="526" t="str">
        <f>IF(ISBLANK(W100),"", IFERROR(_xlfn.XLOOKUP(W100,#REF!,#REF!), IFERROR(_xlfn.XLOOKUP(W100,#REF!,#REF!)," ")))</f>
        <v/>
      </c>
      <c r="AD100" s="527" t="str">
        <f t="shared" si="11"/>
        <v/>
      </c>
      <c r="AE100" s="981"/>
      <c r="AF100" s="981"/>
    </row>
    <row r="101" spans="1:32" x14ac:dyDescent="0.35">
      <c r="A101" s="510" t="e">
        <f>#REF!</f>
        <v>#REF!</v>
      </c>
      <c r="B101" s="517"/>
      <c r="C101" s="515" t="str">
        <f>IF(B101="","",SUMIF(#REF!,B101,#REF!))</f>
        <v/>
      </c>
      <c r="D101" s="979" t="str">
        <f>IF(B101="","", SUMIF(#REF!,'Off-site gain site summary'!$B101,#REF!))</f>
        <v/>
      </c>
      <c r="E101" s="980"/>
      <c r="F101" s="979" t="str">
        <f>IF(B101="","",SUMIF(#REF!,'Off-site gain site summary'!B101,#REF!))</f>
        <v/>
      </c>
      <c r="G101" s="980"/>
      <c r="H101" s="979" t="str">
        <f>IF(B101="","",SUMIF(#REF!,'Off-site gain site summary'!B101,#REF!))</f>
        <v/>
      </c>
      <c r="I101" s="980"/>
      <c r="J101" s="518" t="str">
        <f t="shared" si="6"/>
        <v/>
      </c>
      <c r="K101" s="515" t="str">
        <f>IF(ISBLANK(B101),"",IFERROR(_xlfn.XLOOKUP(B101,#REF!,#REF!),IFERROR(_xlfn.XLOOKUP(B101,#REF!,#REF!)," ")))</f>
        <v/>
      </c>
      <c r="L101" s="519" t="str">
        <f t="shared" si="7"/>
        <v/>
      </c>
      <c r="M101" s="510" t="e">
        <f>#REF!</f>
        <v>#REF!</v>
      </c>
      <c r="N101" s="525"/>
      <c r="O101" s="526" t="str">
        <f>IF(N101="","",SUMIF(#REF!,'Off-site gain site summary'!N101,#REF!))</f>
        <v/>
      </c>
      <c r="P101" s="526" t="str">
        <f>IF(N101="","",SUMIF(#REF!,'Off-site gain site summary'!$N101,#REF!))</f>
        <v/>
      </c>
      <c r="Q101" s="526" t="str">
        <f>IF(N101="","",SUMIF(#REF!,'Off-site gain site summary'!$N101,#REF!))</f>
        <v/>
      </c>
      <c r="R101" s="526" t="str">
        <f>IF(N101="","",SUMIF(#REF!,'Off-site gain site summary'!$N101,#REF!))</f>
        <v/>
      </c>
      <c r="S101" s="524" t="str">
        <f t="shared" si="8"/>
        <v/>
      </c>
      <c r="T101" s="524" t="str">
        <f>IF(ISBLANK(N101),"", IFERROR(_xlfn.XLOOKUP(N101,#REF!,#REF!), IFERROR(_xlfn.XLOOKUP(N101,#REF!,#REF!), " ")))</f>
        <v/>
      </c>
      <c r="U101" s="527" t="str">
        <f t="shared" si="9"/>
        <v/>
      </c>
      <c r="V101" s="1" t="e">
        <f>#REF!</f>
        <v>#REF!</v>
      </c>
      <c r="W101" s="525"/>
      <c r="X101" s="526" t="str">
        <f>IF(W101="","",SUMIF(#REF!,'Off-site gain site summary'!$W101,#REF!))</f>
        <v/>
      </c>
      <c r="Y101" s="526" t="str">
        <f>IF(W101="","",SUMIF(#REF!,'Off-site gain site summary'!$W101,#REF!))</f>
        <v/>
      </c>
      <c r="Z101" s="526" t="str">
        <f>IF(W101="","",SUMIF(#REF!,'Off-site gain site summary'!$W101,#REF!))</f>
        <v/>
      </c>
      <c r="AA101" s="526" t="str">
        <f>IF(W101="","",SUMIF(#REF!,'Off-site gain site summary'!$W101,#REF!))</f>
        <v/>
      </c>
      <c r="AB101" s="526" t="str">
        <f t="shared" si="10"/>
        <v/>
      </c>
      <c r="AC101" s="526" t="str">
        <f>IF(ISBLANK(W101),"", IFERROR(_xlfn.XLOOKUP(W101,#REF!,#REF!), IFERROR(_xlfn.XLOOKUP(W101,#REF!,#REF!)," ")))</f>
        <v/>
      </c>
      <c r="AD101" s="527" t="str">
        <f t="shared" si="11"/>
        <v/>
      </c>
      <c r="AE101" s="981"/>
      <c r="AF101" s="981"/>
    </row>
    <row r="102" spans="1:32" x14ac:dyDescent="0.35">
      <c r="A102" s="510" t="e">
        <f>#REF!</f>
        <v>#REF!</v>
      </c>
      <c r="B102" s="517"/>
      <c r="C102" s="515" t="str">
        <f>IF(B102="","",SUMIF(#REF!,B102,#REF!))</f>
        <v/>
      </c>
      <c r="D102" s="979" t="str">
        <f>IF(B102="","", SUMIF(#REF!,'Off-site gain site summary'!$B102,#REF!))</f>
        <v/>
      </c>
      <c r="E102" s="980"/>
      <c r="F102" s="979" t="str">
        <f>IF(B102="","",SUMIF(#REF!,'Off-site gain site summary'!B102,#REF!))</f>
        <v/>
      </c>
      <c r="G102" s="980"/>
      <c r="H102" s="979" t="str">
        <f>IF(B102="","",SUMIF(#REF!,'Off-site gain site summary'!B102,#REF!))</f>
        <v/>
      </c>
      <c r="I102" s="980"/>
      <c r="J102" s="518" t="str">
        <f t="shared" si="6"/>
        <v/>
      </c>
      <c r="K102" s="515" t="str">
        <f>IF(ISBLANK(B102),"",IFERROR(_xlfn.XLOOKUP(B102,#REF!,#REF!),IFERROR(_xlfn.XLOOKUP(B102,#REF!,#REF!)," ")))</f>
        <v/>
      </c>
      <c r="L102" s="519" t="str">
        <f t="shared" si="7"/>
        <v/>
      </c>
      <c r="M102" s="510" t="e">
        <f>#REF!</f>
        <v>#REF!</v>
      </c>
      <c r="N102" s="525"/>
      <c r="O102" s="526" t="str">
        <f>IF(N102="","",SUMIF(#REF!,'Off-site gain site summary'!N102,#REF!))</f>
        <v/>
      </c>
      <c r="P102" s="526" t="str">
        <f>IF(N102="","",SUMIF(#REF!,'Off-site gain site summary'!$N102,#REF!))</f>
        <v/>
      </c>
      <c r="Q102" s="526" t="str">
        <f>IF(N102="","",SUMIF(#REF!,'Off-site gain site summary'!$N102,#REF!))</f>
        <v/>
      </c>
      <c r="R102" s="526" t="str">
        <f>IF(N102="","",SUMIF(#REF!,'Off-site gain site summary'!$N102,#REF!))</f>
        <v/>
      </c>
      <c r="S102" s="524" t="str">
        <f t="shared" si="8"/>
        <v/>
      </c>
      <c r="T102" s="524" t="str">
        <f>IF(ISBLANK(N102),"", IFERROR(_xlfn.XLOOKUP(N102,#REF!,#REF!), IFERROR(_xlfn.XLOOKUP(N102,#REF!,#REF!), " ")))</f>
        <v/>
      </c>
      <c r="U102" s="527" t="str">
        <f t="shared" si="9"/>
        <v/>
      </c>
      <c r="V102" s="1" t="e">
        <f>#REF!</f>
        <v>#REF!</v>
      </c>
      <c r="W102" s="525"/>
      <c r="X102" s="526" t="str">
        <f>IF(W102="","",SUMIF(#REF!,'Off-site gain site summary'!$W102,#REF!))</f>
        <v/>
      </c>
      <c r="Y102" s="526" t="str">
        <f>IF(W102="","",SUMIF(#REF!,'Off-site gain site summary'!$W102,#REF!))</f>
        <v/>
      </c>
      <c r="Z102" s="526" t="str">
        <f>IF(W102="","",SUMIF(#REF!,'Off-site gain site summary'!$W102,#REF!))</f>
        <v/>
      </c>
      <c r="AA102" s="526" t="str">
        <f>IF(W102="","",SUMIF(#REF!,'Off-site gain site summary'!$W102,#REF!))</f>
        <v/>
      </c>
      <c r="AB102" s="526" t="str">
        <f t="shared" si="10"/>
        <v/>
      </c>
      <c r="AC102" s="526" t="str">
        <f>IF(ISBLANK(W102),"", IFERROR(_xlfn.XLOOKUP(W102,#REF!,#REF!), IFERROR(_xlfn.XLOOKUP(W102,#REF!,#REF!)," ")))</f>
        <v/>
      </c>
      <c r="AD102" s="527" t="str">
        <f t="shared" si="11"/>
        <v/>
      </c>
      <c r="AE102" s="981"/>
      <c r="AF102" s="981"/>
    </row>
    <row r="103" spans="1:32" x14ac:dyDescent="0.35">
      <c r="A103" s="510" t="e">
        <f>#REF!</f>
        <v>#REF!</v>
      </c>
      <c r="B103" s="517"/>
      <c r="C103" s="515" t="str">
        <f>IF(B103="","",SUMIF(#REF!,B103,#REF!))</f>
        <v/>
      </c>
      <c r="D103" s="979" t="str">
        <f>IF(B103="","", SUMIF(#REF!,'Off-site gain site summary'!$B103,#REF!))</f>
        <v/>
      </c>
      <c r="E103" s="980"/>
      <c r="F103" s="979" t="str">
        <f>IF(B103="","",SUMIF(#REF!,'Off-site gain site summary'!B103,#REF!))</f>
        <v/>
      </c>
      <c r="G103" s="980"/>
      <c r="H103" s="979" t="str">
        <f>IF(B103="","",SUMIF(#REF!,'Off-site gain site summary'!B103,#REF!))</f>
        <v/>
      </c>
      <c r="I103" s="980"/>
      <c r="J103" s="518" t="str">
        <f t="shared" si="6"/>
        <v/>
      </c>
      <c r="K103" s="515" t="str">
        <f>IF(ISBLANK(B103),"",IFERROR(_xlfn.XLOOKUP(B103,#REF!,#REF!),IFERROR(_xlfn.XLOOKUP(B103,#REF!,#REF!)," ")))</f>
        <v/>
      </c>
      <c r="L103" s="519" t="str">
        <f t="shared" si="7"/>
        <v/>
      </c>
      <c r="M103" s="510" t="e">
        <f>#REF!</f>
        <v>#REF!</v>
      </c>
      <c r="N103" s="525"/>
      <c r="O103" s="526" t="str">
        <f>IF(N103="","",SUMIF(#REF!,'Off-site gain site summary'!N103,#REF!))</f>
        <v/>
      </c>
      <c r="P103" s="526" t="str">
        <f>IF(N103="","",SUMIF(#REF!,'Off-site gain site summary'!$N103,#REF!))</f>
        <v/>
      </c>
      <c r="Q103" s="526" t="str">
        <f>IF(N103="","",SUMIF(#REF!,'Off-site gain site summary'!$N103,#REF!))</f>
        <v/>
      </c>
      <c r="R103" s="526" t="str">
        <f>IF(N103="","",SUMIF(#REF!,'Off-site gain site summary'!$N103,#REF!))</f>
        <v/>
      </c>
      <c r="S103" s="524" t="str">
        <f t="shared" si="8"/>
        <v/>
      </c>
      <c r="T103" s="524" t="str">
        <f>IF(ISBLANK(N103),"", IFERROR(_xlfn.XLOOKUP(N103,#REF!,#REF!), IFERROR(_xlfn.XLOOKUP(N103,#REF!,#REF!), " ")))</f>
        <v/>
      </c>
      <c r="U103" s="527" t="str">
        <f t="shared" si="9"/>
        <v/>
      </c>
      <c r="V103" s="1" t="e">
        <f>#REF!</f>
        <v>#REF!</v>
      </c>
      <c r="W103" s="525"/>
      <c r="X103" s="526" t="str">
        <f>IF(W103="","",SUMIF(#REF!,'Off-site gain site summary'!$W103,#REF!))</f>
        <v/>
      </c>
      <c r="Y103" s="526" t="str">
        <f>IF(W103="","",SUMIF(#REF!,'Off-site gain site summary'!$W103,#REF!))</f>
        <v/>
      </c>
      <c r="Z103" s="526" t="str">
        <f>IF(W103="","",SUMIF(#REF!,'Off-site gain site summary'!$W103,#REF!))</f>
        <v/>
      </c>
      <c r="AA103" s="526" t="str">
        <f>IF(W103="","",SUMIF(#REF!,'Off-site gain site summary'!$W103,#REF!))</f>
        <v/>
      </c>
      <c r="AB103" s="526" t="str">
        <f t="shared" si="10"/>
        <v/>
      </c>
      <c r="AC103" s="526" t="str">
        <f>IF(ISBLANK(W103),"", IFERROR(_xlfn.XLOOKUP(W103,#REF!,#REF!), IFERROR(_xlfn.XLOOKUP(W103,#REF!,#REF!)," ")))</f>
        <v/>
      </c>
      <c r="AD103" s="527" t="str">
        <f t="shared" si="11"/>
        <v/>
      </c>
      <c r="AE103" s="981"/>
      <c r="AF103" s="981"/>
    </row>
    <row r="104" spans="1:32" x14ac:dyDescent="0.35">
      <c r="A104" s="510" t="e">
        <f>#REF!</f>
        <v>#REF!</v>
      </c>
      <c r="B104" s="517"/>
      <c r="C104" s="515" t="str">
        <f>IF(B104="","",SUMIF(#REF!,B104,#REF!))</f>
        <v/>
      </c>
      <c r="D104" s="979" t="str">
        <f>IF(B104="","", SUMIF(#REF!,'Off-site gain site summary'!$B104,#REF!))</f>
        <v/>
      </c>
      <c r="E104" s="980"/>
      <c r="F104" s="979" t="str">
        <f>IF(B104="","",SUMIF(#REF!,'Off-site gain site summary'!B104,#REF!))</f>
        <v/>
      </c>
      <c r="G104" s="980"/>
      <c r="H104" s="979" t="str">
        <f>IF(B104="","",SUMIF(#REF!,'Off-site gain site summary'!B104,#REF!))</f>
        <v/>
      </c>
      <c r="I104" s="980"/>
      <c r="J104" s="518" t="str">
        <f t="shared" si="6"/>
        <v/>
      </c>
      <c r="K104" s="515" t="str">
        <f>IF(ISBLANK(B104),"",IFERROR(_xlfn.XLOOKUP(B104,#REF!,#REF!),IFERROR(_xlfn.XLOOKUP(B104,#REF!,#REF!)," ")))</f>
        <v/>
      </c>
      <c r="L104" s="519" t="str">
        <f t="shared" si="7"/>
        <v/>
      </c>
      <c r="M104" s="510" t="e">
        <f>#REF!</f>
        <v>#REF!</v>
      </c>
      <c r="N104" s="525"/>
      <c r="O104" s="526" t="str">
        <f>IF(N104="","",SUMIF(#REF!,'Off-site gain site summary'!N104,#REF!))</f>
        <v/>
      </c>
      <c r="P104" s="526" t="str">
        <f>IF(N104="","",SUMIF(#REF!,'Off-site gain site summary'!$N104,#REF!))</f>
        <v/>
      </c>
      <c r="Q104" s="526" t="str">
        <f>IF(N104="","",SUMIF(#REF!,'Off-site gain site summary'!$N104,#REF!))</f>
        <v/>
      </c>
      <c r="R104" s="526" t="str">
        <f>IF(N104="","",SUMIF(#REF!,'Off-site gain site summary'!$N104,#REF!))</f>
        <v/>
      </c>
      <c r="S104" s="524" t="str">
        <f t="shared" si="8"/>
        <v/>
      </c>
      <c r="T104" s="524" t="str">
        <f>IF(ISBLANK(N104),"", IFERROR(_xlfn.XLOOKUP(N104,#REF!,#REF!), IFERROR(_xlfn.XLOOKUP(N104,#REF!,#REF!), " ")))</f>
        <v/>
      </c>
      <c r="U104" s="527" t="str">
        <f t="shared" si="9"/>
        <v/>
      </c>
      <c r="V104" s="1" t="e">
        <f>#REF!</f>
        <v>#REF!</v>
      </c>
      <c r="W104" s="525"/>
      <c r="X104" s="526" t="str">
        <f>IF(W104="","",SUMIF(#REF!,'Off-site gain site summary'!$W104,#REF!))</f>
        <v/>
      </c>
      <c r="Y104" s="526" t="str">
        <f>IF(W104="","",SUMIF(#REF!,'Off-site gain site summary'!$W104,#REF!))</f>
        <v/>
      </c>
      <c r="Z104" s="526" t="str">
        <f>IF(W104="","",SUMIF(#REF!,'Off-site gain site summary'!$W104,#REF!))</f>
        <v/>
      </c>
      <c r="AA104" s="526" t="str">
        <f>IF(W104="","",SUMIF(#REF!,'Off-site gain site summary'!$W104,#REF!))</f>
        <v/>
      </c>
      <c r="AB104" s="526" t="str">
        <f t="shared" si="10"/>
        <v/>
      </c>
      <c r="AC104" s="526" t="str">
        <f>IF(ISBLANK(W104),"", IFERROR(_xlfn.XLOOKUP(W104,#REF!,#REF!), IFERROR(_xlfn.XLOOKUP(W104,#REF!,#REF!)," ")))</f>
        <v/>
      </c>
      <c r="AD104" s="527" t="str">
        <f t="shared" si="11"/>
        <v/>
      </c>
      <c r="AE104" s="981"/>
      <c r="AF104" s="981"/>
    </row>
    <row r="105" spans="1:32" x14ac:dyDescent="0.35">
      <c r="A105" s="510" t="e">
        <f>#REF!</f>
        <v>#REF!</v>
      </c>
      <c r="B105" s="517"/>
      <c r="C105" s="515" t="str">
        <f>IF(B105="","",SUMIF(#REF!,B105,#REF!))</f>
        <v/>
      </c>
      <c r="D105" s="979" t="str">
        <f>IF(B105="","", SUMIF(#REF!,'Off-site gain site summary'!$B105,#REF!))</f>
        <v/>
      </c>
      <c r="E105" s="980"/>
      <c r="F105" s="979" t="str">
        <f>IF(B105="","",SUMIF(#REF!,'Off-site gain site summary'!B105,#REF!))</f>
        <v/>
      </c>
      <c r="G105" s="980"/>
      <c r="H105" s="979" t="str">
        <f>IF(B105="","",SUMIF(#REF!,'Off-site gain site summary'!B105,#REF!))</f>
        <v/>
      </c>
      <c r="I105" s="980"/>
      <c r="J105" s="518" t="str">
        <f t="shared" si="6"/>
        <v/>
      </c>
      <c r="K105" s="515" t="str">
        <f>IF(ISBLANK(B105),"",IFERROR(_xlfn.XLOOKUP(B105,#REF!,#REF!),IFERROR(_xlfn.XLOOKUP(B105,#REF!,#REF!)," ")))</f>
        <v/>
      </c>
      <c r="L105" s="519" t="str">
        <f t="shared" si="7"/>
        <v/>
      </c>
      <c r="M105" s="510" t="e">
        <f>#REF!</f>
        <v>#REF!</v>
      </c>
      <c r="N105" s="525"/>
      <c r="O105" s="526" t="str">
        <f>IF(N105="","",SUMIF(#REF!,'Off-site gain site summary'!N105,#REF!))</f>
        <v/>
      </c>
      <c r="P105" s="526" t="str">
        <f>IF(N105="","",SUMIF(#REF!,'Off-site gain site summary'!$N105,#REF!))</f>
        <v/>
      </c>
      <c r="Q105" s="526" t="str">
        <f>IF(N105="","",SUMIF(#REF!,'Off-site gain site summary'!$N105,#REF!))</f>
        <v/>
      </c>
      <c r="R105" s="526" t="str">
        <f>IF(N105="","",SUMIF(#REF!,'Off-site gain site summary'!$N105,#REF!))</f>
        <v/>
      </c>
      <c r="S105" s="524" t="str">
        <f t="shared" si="8"/>
        <v/>
      </c>
      <c r="T105" s="524" t="str">
        <f>IF(ISBLANK(N105),"", IFERROR(_xlfn.XLOOKUP(N105,#REF!,#REF!), IFERROR(_xlfn.XLOOKUP(N105,#REF!,#REF!), " ")))</f>
        <v/>
      </c>
      <c r="U105" s="527" t="str">
        <f t="shared" si="9"/>
        <v/>
      </c>
      <c r="V105" s="1" t="e">
        <f>#REF!</f>
        <v>#REF!</v>
      </c>
      <c r="W105" s="525"/>
      <c r="X105" s="526" t="str">
        <f>IF(W105="","",SUMIF(#REF!,'Off-site gain site summary'!$W105,#REF!))</f>
        <v/>
      </c>
      <c r="Y105" s="526" t="str">
        <f>IF(W105="","",SUMIF(#REF!,'Off-site gain site summary'!$W105,#REF!))</f>
        <v/>
      </c>
      <c r="Z105" s="526" t="str">
        <f>IF(W105="","",SUMIF(#REF!,'Off-site gain site summary'!$W105,#REF!))</f>
        <v/>
      </c>
      <c r="AA105" s="526" t="str">
        <f>IF(W105="","",SUMIF(#REF!,'Off-site gain site summary'!$W105,#REF!))</f>
        <v/>
      </c>
      <c r="AB105" s="526" t="str">
        <f t="shared" si="10"/>
        <v/>
      </c>
      <c r="AC105" s="526" t="str">
        <f>IF(ISBLANK(W105),"", IFERROR(_xlfn.XLOOKUP(W105,#REF!,#REF!), IFERROR(_xlfn.XLOOKUP(W105,#REF!,#REF!)," ")))</f>
        <v/>
      </c>
      <c r="AD105" s="527" t="str">
        <f t="shared" si="11"/>
        <v/>
      </c>
      <c r="AE105" s="981"/>
      <c r="AF105" s="981"/>
    </row>
    <row r="106" spans="1:32" x14ac:dyDescent="0.35">
      <c r="A106" s="510" t="e">
        <f>#REF!</f>
        <v>#REF!</v>
      </c>
      <c r="B106" s="517"/>
      <c r="C106" s="515" t="str">
        <f>IF(B106="","",SUMIF(#REF!,B106,#REF!))</f>
        <v/>
      </c>
      <c r="D106" s="979" t="str">
        <f>IF(B106="","", SUMIF(#REF!,'Off-site gain site summary'!$B106,#REF!))</f>
        <v/>
      </c>
      <c r="E106" s="980"/>
      <c r="F106" s="979" t="str">
        <f>IF(B106="","",SUMIF(#REF!,'Off-site gain site summary'!B106,#REF!))</f>
        <v/>
      </c>
      <c r="G106" s="980"/>
      <c r="H106" s="979" t="str">
        <f>IF(B106="","",SUMIF(#REF!,'Off-site gain site summary'!B106,#REF!))</f>
        <v/>
      </c>
      <c r="I106" s="980"/>
      <c r="J106" s="518" t="str">
        <f t="shared" si="6"/>
        <v/>
      </c>
      <c r="K106" s="515" t="str">
        <f>IF(ISBLANK(B106),"",IFERROR(_xlfn.XLOOKUP(B106,#REF!,#REF!),IFERROR(_xlfn.XLOOKUP(B106,#REF!,#REF!)," ")))</f>
        <v/>
      </c>
      <c r="L106" s="519" t="str">
        <f t="shared" si="7"/>
        <v/>
      </c>
      <c r="M106" s="510" t="e">
        <f>#REF!</f>
        <v>#REF!</v>
      </c>
      <c r="N106" s="525"/>
      <c r="O106" s="526" t="str">
        <f>IF(N106="","",SUMIF(#REF!,'Off-site gain site summary'!N106,#REF!))</f>
        <v/>
      </c>
      <c r="P106" s="526" t="str">
        <f>IF(N106="","",SUMIF(#REF!,'Off-site gain site summary'!$N106,#REF!))</f>
        <v/>
      </c>
      <c r="Q106" s="526" t="str">
        <f>IF(N106="","",SUMIF(#REF!,'Off-site gain site summary'!$N106,#REF!))</f>
        <v/>
      </c>
      <c r="R106" s="526" t="str">
        <f>IF(N106="","",SUMIF(#REF!,'Off-site gain site summary'!$N106,#REF!))</f>
        <v/>
      </c>
      <c r="S106" s="524" t="str">
        <f t="shared" si="8"/>
        <v/>
      </c>
      <c r="T106" s="524" t="str">
        <f>IF(ISBLANK(N106),"", IFERROR(_xlfn.XLOOKUP(N106,#REF!,#REF!), IFERROR(_xlfn.XLOOKUP(N106,#REF!,#REF!), " ")))</f>
        <v/>
      </c>
      <c r="U106" s="527" t="str">
        <f t="shared" si="9"/>
        <v/>
      </c>
      <c r="V106" s="1" t="e">
        <f>#REF!</f>
        <v>#REF!</v>
      </c>
      <c r="W106" s="525"/>
      <c r="X106" s="526" t="str">
        <f>IF(W106="","",SUMIF(#REF!,'Off-site gain site summary'!$W106,#REF!))</f>
        <v/>
      </c>
      <c r="Y106" s="526" t="str">
        <f>IF(W106="","",SUMIF(#REF!,'Off-site gain site summary'!$W106,#REF!))</f>
        <v/>
      </c>
      <c r="Z106" s="526" t="str">
        <f>IF(W106="","",SUMIF(#REF!,'Off-site gain site summary'!$W106,#REF!))</f>
        <v/>
      </c>
      <c r="AA106" s="526" t="str">
        <f>IF(W106="","",SUMIF(#REF!,'Off-site gain site summary'!$W106,#REF!))</f>
        <v/>
      </c>
      <c r="AB106" s="526" t="str">
        <f t="shared" si="10"/>
        <v/>
      </c>
      <c r="AC106" s="526" t="str">
        <f>IF(ISBLANK(W106),"", IFERROR(_xlfn.XLOOKUP(W106,#REF!,#REF!), IFERROR(_xlfn.XLOOKUP(W106,#REF!,#REF!)," ")))</f>
        <v/>
      </c>
      <c r="AD106" s="527" t="str">
        <f t="shared" si="11"/>
        <v/>
      </c>
      <c r="AE106" s="981"/>
      <c r="AF106" s="981"/>
    </row>
    <row r="107" spans="1:32" ht="15" thickBot="1" x14ac:dyDescent="0.4">
      <c r="A107" s="510" t="e">
        <f>#REF!</f>
        <v>#REF!</v>
      </c>
      <c r="B107" s="520"/>
      <c r="C107" s="521" t="str">
        <f>IF(B107="","",SUMIF(#REF!,B107,#REF!))</f>
        <v/>
      </c>
      <c r="D107" s="1026" t="str">
        <f>IF(B107="","", SUMIF(#REF!,'Off-site gain site summary'!$B107,#REF!))</f>
        <v/>
      </c>
      <c r="E107" s="1027"/>
      <c r="F107" s="1026" t="str">
        <f>IF(B107="","",SUMIF(#REF!,'Off-site gain site summary'!B107,#REF!))</f>
        <v/>
      </c>
      <c r="G107" s="1027"/>
      <c r="H107" s="1026" t="str">
        <f>IF(B107="","",SUMIF(#REF!,'Off-site gain site summary'!B107,#REF!))</f>
        <v/>
      </c>
      <c r="I107" s="1027"/>
      <c r="J107" s="522" t="str">
        <f t="shared" si="6"/>
        <v/>
      </c>
      <c r="K107" s="515" t="str">
        <f>IF(ISBLANK(B107),"",IFERROR(_xlfn.XLOOKUP(B107,#REF!,#REF!),IFERROR(_xlfn.XLOOKUP(B107,#REF!,#REF!)," ")))</f>
        <v/>
      </c>
      <c r="L107" s="523" t="str">
        <f t="shared" si="7"/>
        <v/>
      </c>
      <c r="M107" s="510" t="e">
        <f>#REF!</f>
        <v>#REF!</v>
      </c>
      <c r="N107" s="533"/>
      <c r="O107" s="534" t="str">
        <f>IF(N107="","",SUMIF(#REF!,'Off-site gain site summary'!N107,#REF!))</f>
        <v/>
      </c>
      <c r="P107" s="534" t="str">
        <f>IF(N107="","",SUMIF(#REF!,'Off-site gain site summary'!$N107,#REF!))</f>
        <v/>
      </c>
      <c r="Q107" s="534" t="str">
        <f>IF(N107="","",SUMIF(#REF!,'Off-site gain site summary'!$N107,#REF!))</f>
        <v/>
      </c>
      <c r="R107" s="534" t="str">
        <f>IF(N107="","",SUMIF(#REF!,'Off-site gain site summary'!$N107,#REF!))</f>
        <v/>
      </c>
      <c r="S107" s="535" t="str">
        <f t="shared" si="8"/>
        <v/>
      </c>
      <c r="T107" s="535" t="str">
        <f>IF(ISBLANK(N107),"", IFERROR(_xlfn.XLOOKUP(N107,#REF!,#REF!), IFERROR(_xlfn.XLOOKUP(N107,#REF!,#REF!), " ")))</f>
        <v/>
      </c>
      <c r="U107" s="536" t="str">
        <f t="shared" si="9"/>
        <v/>
      </c>
      <c r="V107" s="1" t="e">
        <f>#REF!</f>
        <v>#REF!</v>
      </c>
      <c r="W107" s="533"/>
      <c r="X107" s="534" t="str">
        <f>IF(W107="","",SUMIF(#REF!,'Off-site gain site summary'!$W107,#REF!))</f>
        <v/>
      </c>
      <c r="Y107" s="534" t="str">
        <f>IF(W107="","",SUMIF(#REF!,'Off-site gain site summary'!$W107,#REF!))</f>
        <v/>
      </c>
      <c r="Z107" s="534" t="str">
        <f>IF(W107="","",SUMIF(#REF!,'Off-site gain site summary'!$W107,#REF!))</f>
        <v/>
      </c>
      <c r="AA107" s="534" t="str">
        <f>IF(W107="","",SUMIF(#REF!,'Off-site gain site summary'!$W107,#REF!))</f>
        <v/>
      </c>
      <c r="AB107" s="534" t="str">
        <f t="shared" si="10"/>
        <v/>
      </c>
      <c r="AC107" s="534" t="str">
        <f>IF(ISBLANK(W107),"", IFERROR(_xlfn.XLOOKUP(W107,#REF!,#REF!), IFERROR(_xlfn.XLOOKUP(W107,#REF!,#REF!)," ")))</f>
        <v/>
      </c>
      <c r="AD107" s="536" t="str">
        <f t="shared" si="11"/>
        <v/>
      </c>
      <c r="AE107" s="981"/>
      <c r="AF107" s="981"/>
    </row>
    <row r="108" spans="1:32" ht="15" thickBot="1" x14ac:dyDescent="0.4">
      <c r="A108" s="510" t="e">
        <f>#REF!</f>
        <v>#REF!</v>
      </c>
      <c r="B108" s="1022"/>
      <c r="C108" s="1023"/>
      <c r="D108" s="1023"/>
      <c r="E108" s="1023"/>
      <c r="F108" s="1023"/>
      <c r="G108" s="1023"/>
      <c r="H108" s="1023"/>
      <c r="I108" s="1023"/>
      <c r="J108" s="1023"/>
      <c r="K108" s="1023"/>
      <c r="L108" s="1028"/>
      <c r="M108" s="510" t="e">
        <f>#REF!</f>
        <v>#REF!</v>
      </c>
      <c r="N108" s="528"/>
      <c r="O108" s="529"/>
      <c r="P108" s="529"/>
      <c r="Q108" s="529"/>
      <c r="R108" s="529"/>
      <c r="S108" s="529"/>
      <c r="T108" s="529"/>
      <c r="U108" s="530"/>
      <c r="V108" s="1" t="e">
        <f>#REF!</f>
        <v>#REF!</v>
      </c>
      <c r="W108" s="1022"/>
      <c r="X108" s="1023"/>
      <c r="Y108" s="1023"/>
      <c r="Z108" s="1023"/>
      <c r="AA108" s="1023"/>
      <c r="AB108" s="1023"/>
      <c r="AC108" s="1023"/>
      <c r="AD108" s="1023"/>
    </row>
    <row r="109" spans="1:32" x14ac:dyDescent="0.35">
      <c r="A109" s="510" t="e">
        <f>#REF!</f>
        <v>#REF!</v>
      </c>
      <c r="M109" s="510" t="e">
        <f>#REF!</f>
        <v>#REF!</v>
      </c>
      <c r="V109" s="1" t="e">
        <f>#REF!</f>
        <v>#REF!</v>
      </c>
    </row>
    <row r="110" spans="1:32" x14ac:dyDescent="0.35">
      <c r="A110" s="510" t="e">
        <f>#REF!</f>
        <v>#REF!</v>
      </c>
      <c r="M110" s="510" t="e">
        <f>#REF!</f>
        <v>#REF!</v>
      </c>
      <c r="V110" s="1" t="e">
        <f>#REF!</f>
        <v>#REF!</v>
      </c>
    </row>
    <row r="111" spans="1:32" x14ac:dyDescent="0.35">
      <c r="A111" s="510" t="e">
        <f>#REF!</f>
        <v>#REF!</v>
      </c>
      <c r="M111" s="510" t="e">
        <f>#REF!</f>
        <v>#REF!</v>
      </c>
      <c r="V111" s="1" t="e">
        <f>#REF!</f>
        <v>#REF!</v>
      </c>
    </row>
    <row r="112" spans="1:32" x14ac:dyDescent="0.35">
      <c r="A112" s="510" t="e">
        <f>#REF!</f>
        <v>#REF!</v>
      </c>
      <c r="M112" s="510" t="e">
        <f>#REF!</f>
        <v>#REF!</v>
      </c>
      <c r="V112" s="1" t="e">
        <f>#REF!</f>
        <v>#REF!</v>
      </c>
    </row>
    <row r="113" spans="1:22" x14ac:dyDescent="0.35">
      <c r="A113" s="510" t="e">
        <f>#REF!</f>
        <v>#REF!</v>
      </c>
      <c r="M113" s="510" t="e">
        <f>#REF!</f>
        <v>#REF!</v>
      </c>
      <c r="V113" s="1" t="e">
        <f>#REF!</f>
        <v>#REF!</v>
      </c>
    </row>
    <row r="114" spans="1:22" x14ac:dyDescent="0.35">
      <c r="A114" s="510" t="e">
        <f>#REF!</f>
        <v>#REF!</v>
      </c>
      <c r="M114" s="510" t="e">
        <f>#REF!</f>
        <v>#REF!</v>
      </c>
      <c r="V114" s="1" t="e">
        <f>#REF!</f>
        <v>#REF!</v>
      </c>
    </row>
    <row r="115" spans="1:22" x14ac:dyDescent="0.35">
      <c r="A115" s="510" t="e">
        <f>#REF!</f>
        <v>#REF!</v>
      </c>
      <c r="M115" s="510" t="e">
        <f>#REF!</f>
        <v>#REF!</v>
      </c>
      <c r="V115" s="1" t="e">
        <f>#REF!</f>
        <v>#REF!</v>
      </c>
    </row>
    <row r="116" spans="1:22" x14ac:dyDescent="0.35">
      <c r="A116" s="510" t="e">
        <f>#REF!</f>
        <v>#REF!</v>
      </c>
      <c r="M116" s="510" t="e">
        <f>#REF!</f>
        <v>#REF!</v>
      </c>
      <c r="V116" s="1" t="e">
        <f>#REF!</f>
        <v>#REF!</v>
      </c>
    </row>
    <row r="117" spans="1:22" x14ac:dyDescent="0.35">
      <c r="A117" s="510" t="e">
        <f>#REF!</f>
        <v>#REF!</v>
      </c>
      <c r="M117" s="510" t="e">
        <f>#REF!</f>
        <v>#REF!</v>
      </c>
      <c r="V117" s="1" t="e">
        <f>#REF!</f>
        <v>#REF!</v>
      </c>
    </row>
    <row r="118" spans="1:22" x14ac:dyDescent="0.35">
      <c r="A118" s="510" t="e">
        <f>#REF!</f>
        <v>#REF!</v>
      </c>
      <c r="M118" s="510" t="e">
        <f>#REF!</f>
        <v>#REF!</v>
      </c>
      <c r="V118" s="1" t="e">
        <f>#REF!</f>
        <v>#REF!</v>
      </c>
    </row>
    <row r="119" spans="1:22" x14ac:dyDescent="0.35">
      <c r="A119" s="510" t="e">
        <f>#REF!</f>
        <v>#REF!</v>
      </c>
      <c r="M119" s="510" t="e">
        <f>#REF!</f>
        <v>#REF!</v>
      </c>
      <c r="V119" s="1" t="e">
        <f>#REF!</f>
        <v>#REF!</v>
      </c>
    </row>
    <row r="120" spans="1:22" x14ac:dyDescent="0.35">
      <c r="A120" s="510" t="e">
        <f>#REF!</f>
        <v>#REF!</v>
      </c>
      <c r="M120" s="510" t="e">
        <f>#REF!</f>
        <v>#REF!</v>
      </c>
      <c r="V120" s="1" t="e">
        <f>#REF!</f>
        <v>#REF!</v>
      </c>
    </row>
    <row r="121" spans="1:22" x14ac:dyDescent="0.35">
      <c r="A121" s="510" t="e">
        <f>#REF!</f>
        <v>#REF!</v>
      </c>
      <c r="M121" s="510" t="e">
        <f>#REF!</f>
        <v>#REF!</v>
      </c>
      <c r="V121" s="1" t="e">
        <f>#REF!</f>
        <v>#REF!</v>
      </c>
    </row>
    <row r="122" spans="1:22" x14ac:dyDescent="0.35">
      <c r="A122" s="510" t="e">
        <f>#REF!</f>
        <v>#REF!</v>
      </c>
      <c r="M122" s="510" t="e">
        <f>#REF!</f>
        <v>#REF!</v>
      </c>
      <c r="V122" s="1" t="e">
        <f>#REF!</f>
        <v>#REF!</v>
      </c>
    </row>
    <row r="123" spans="1:22" x14ac:dyDescent="0.35">
      <c r="A123" s="510" t="e">
        <f>#REF!</f>
        <v>#REF!</v>
      </c>
      <c r="M123" s="510" t="e">
        <f>#REF!</f>
        <v>#REF!</v>
      </c>
      <c r="V123" s="1" t="e">
        <f>#REF!</f>
        <v>#REF!</v>
      </c>
    </row>
    <row r="124" spans="1:22" x14ac:dyDescent="0.35">
      <c r="A124" s="510" t="e">
        <f>#REF!</f>
        <v>#REF!</v>
      </c>
      <c r="M124" s="510" t="e">
        <f>#REF!</f>
        <v>#REF!</v>
      </c>
      <c r="V124" s="1" t="e">
        <f>#REF!</f>
        <v>#REF!</v>
      </c>
    </row>
    <row r="125" spans="1:22" x14ac:dyDescent="0.35">
      <c r="A125" s="510" t="e">
        <f>#REF!</f>
        <v>#REF!</v>
      </c>
      <c r="M125" s="510" t="e">
        <f>#REF!</f>
        <v>#REF!</v>
      </c>
      <c r="V125" s="1" t="e">
        <f>#REF!</f>
        <v>#REF!</v>
      </c>
    </row>
    <row r="126" spans="1:22" x14ac:dyDescent="0.35">
      <c r="A126" s="510" t="e">
        <f>#REF!</f>
        <v>#REF!</v>
      </c>
      <c r="M126" s="510" t="e">
        <f>#REF!</f>
        <v>#REF!</v>
      </c>
      <c r="V126" s="1" t="e">
        <f>#REF!</f>
        <v>#REF!</v>
      </c>
    </row>
    <row r="127" spans="1:22" x14ac:dyDescent="0.35">
      <c r="A127" s="510" t="e">
        <f>#REF!</f>
        <v>#REF!</v>
      </c>
      <c r="M127" s="510" t="e">
        <f>#REF!</f>
        <v>#REF!</v>
      </c>
      <c r="V127" s="1" t="e">
        <f>#REF!</f>
        <v>#REF!</v>
      </c>
    </row>
    <row r="128" spans="1:22" x14ac:dyDescent="0.35">
      <c r="A128" s="510" t="e">
        <f>#REF!</f>
        <v>#REF!</v>
      </c>
      <c r="M128" s="510" t="e">
        <f>#REF!</f>
        <v>#REF!</v>
      </c>
      <c r="V128" s="1" t="e">
        <f>#REF!</f>
        <v>#REF!</v>
      </c>
    </row>
    <row r="129" spans="1:22" x14ac:dyDescent="0.35">
      <c r="A129" s="510" t="e">
        <f>#REF!</f>
        <v>#REF!</v>
      </c>
      <c r="M129" s="510" t="e">
        <f>#REF!</f>
        <v>#REF!</v>
      </c>
      <c r="V129" s="1" t="e">
        <f>#REF!</f>
        <v>#REF!</v>
      </c>
    </row>
    <row r="130" spans="1:22" x14ac:dyDescent="0.35">
      <c r="A130" s="510" t="e">
        <f>#REF!</f>
        <v>#REF!</v>
      </c>
      <c r="M130" s="510" t="e">
        <f>#REF!</f>
        <v>#REF!</v>
      </c>
      <c r="V130" s="1" t="e">
        <f>#REF!</f>
        <v>#REF!</v>
      </c>
    </row>
    <row r="131" spans="1:22" x14ac:dyDescent="0.35">
      <c r="A131" s="510" t="e">
        <f>#REF!</f>
        <v>#REF!</v>
      </c>
      <c r="M131" s="510" t="e">
        <f>#REF!</f>
        <v>#REF!</v>
      </c>
      <c r="V131" s="1" t="e">
        <f>#REF!</f>
        <v>#REF!</v>
      </c>
    </row>
    <row r="132" spans="1:22" x14ac:dyDescent="0.35">
      <c r="A132" s="510" t="e">
        <f>#REF!</f>
        <v>#REF!</v>
      </c>
      <c r="M132" s="510" t="e">
        <f>#REF!</f>
        <v>#REF!</v>
      </c>
      <c r="V132" s="1" t="e">
        <f>#REF!</f>
        <v>#REF!</v>
      </c>
    </row>
    <row r="133" spans="1:22" x14ac:dyDescent="0.35">
      <c r="A133" s="510" t="e">
        <f>#REF!</f>
        <v>#REF!</v>
      </c>
      <c r="M133" s="510" t="e">
        <f>#REF!</f>
        <v>#REF!</v>
      </c>
      <c r="V133" s="1" t="e">
        <f>#REF!</f>
        <v>#REF!</v>
      </c>
    </row>
    <row r="134" spans="1:22" x14ac:dyDescent="0.35">
      <c r="A134" s="510" t="e">
        <f>#REF!</f>
        <v>#REF!</v>
      </c>
      <c r="M134" s="510" t="e">
        <f>#REF!</f>
        <v>#REF!</v>
      </c>
      <c r="V134" s="1" t="e">
        <f>#REF!</f>
        <v>#REF!</v>
      </c>
    </row>
    <row r="135" spans="1:22" x14ac:dyDescent="0.35">
      <c r="A135" s="510" t="e">
        <f>#REF!</f>
        <v>#REF!</v>
      </c>
      <c r="M135" s="510" t="e">
        <f>#REF!</f>
        <v>#REF!</v>
      </c>
      <c r="V135" s="1" t="e">
        <f>#REF!</f>
        <v>#REF!</v>
      </c>
    </row>
    <row r="136" spans="1:22" x14ac:dyDescent="0.35">
      <c r="A136" s="510" t="e">
        <f>#REF!</f>
        <v>#REF!</v>
      </c>
      <c r="M136" s="510" t="e">
        <f>#REF!</f>
        <v>#REF!</v>
      </c>
      <c r="V136" s="1" t="e">
        <f>#REF!</f>
        <v>#REF!</v>
      </c>
    </row>
    <row r="137" spans="1:22" x14ac:dyDescent="0.35">
      <c r="A137" s="510" t="e">
        <f>#REF!</f>
        <v>#REF!</v>
      </c>
      <c r="M137" s="510" t="e">
        <f>#REF!</f>
        <v>#REF!</v>
      </c>
      <c r="V137" s="1" t="e">
        <f>#REF!</f>
        <v>#REF!</v>
      </c>
    </row>
    <row r="138" spans="1:22" x14ac:dyDescent="0.35">
      <c r="A138" s="510" t="e">
        <f>#REF!</f>
        <v>#REF!</v>
      </c>
      <c r="M138" s="510" t="e">
        <f>#REF!</f>
        <v>#REF!</v>
      </c>
      <c r="V138" s="1" t="e">
        <f>#REF!</f>
        <v>#REF!</v>
      </c>
    </row>
    <row r="139" spans="1:22" x14ac:dyDescent="0.35">
      <c r="A139" s="510" t="e">
        <f>#REF!</f>
        <v>#REF!</v>
      </c>
      <c r="M139" s="510" t="e">
        <f>#REF!</f>
        <v>#REF!</v>
      </c>
      <c r="V139" s="1" t="e">
        <f>#REF!</f>
        <v>#REF!</v>
      </c>
    </row>
    <row r="140" spans="1:22" x14ac:dyDescent="0.35">
      <c r="A140" s="510" t="e">
        <f>#REF!</f>
        <v>#REF!</v>
      </c>
      <c r="M140" s="510" t="e">
        <f>#REF!</f>
        <v>#REF!</v>
      </c>
      <c r="V140" s="1" t="e">
        <f>#REF!</f>
        <v>#REF!</v>
      </c>
    </row>
    <row r="141" spans="1:22" x14ac:dyDescent="0.35">
      <c r="A141" s="510" t="e">
        <f>#REF!</f>
        <v>#REF!</v>
      </c>
      <c r="M141" s="510" t="e">
        <f>#REF!</f>
        <v>#REF!</v>
      </c>
      <c r="V141" s="1" t="e">
        <f>#REF!</f>
        <v>#REF!</v>
      </c>
    </row>
    <row r="142" spans="1:22" x14ac:dyDescent="0.35">
      <c r="A142" s="510" t="e">
        <f>#REF!</f>
        <v>#REF!</v>
      </c>
      <c r="M142" s="510" t="e">
        <f>#REF!</f>
        <v>#REF!</v>
      </c>
      <c r="V142" s="1" t="e">
        <f>#REF!</f>
        <v>#REF!</v>
      </c>
    </row>
    <row r="143" spans="1:22" x14ac:dyDescent="0.35">
      <c r="A143" s="510" t="e">
        <f>#REF!</f>
        <v>#REF!</v>
      </c>
      <c r="M143" s="510" t="e">
        <f>#REF!</f>
        <v>#REF!</v>
      </c>
      <c r="V143" s="1" t="e">
        <f>#REF!</f>
        <v>#REF!</v>
      </c>
    </row>
    <row r="144" spans="1:22" x14ac:dyDescent="0.35">
      <c r="A144" s="510" t="e">
        <f>#REF!</f>
        <v>#REF!</v>
      </c>
      <c r="M144" s="510" t="e">
        <f>#REF!</f>
        <v>#REF!</v>
      </c>
      <c r="V144" s="1" t="e">
        <f>#REF!</f>
        <v>#REF!</v>
      </c>
    </row>
    <row r="145" spans="1:22" x14ac:dyDescent="0.35">
      <c r="A145" s="510" t="e">
        <f>#REF!</f>
        <v>#REF!</v>
      </c>
      <c r="M145" s="510" t="e">
        <f>#REF!</f>
        <v>#REF!</v>
      </c>
      <c r="V145" s="1" t="e">
        <f>#REF!</f>
        <v>#REF!</v>
      </c>
    </row>
    <row r="146" spans="1:22" x14ac:dyDescent="0.35">
      <c r="A146" s="510" t="e">
        <f>#REF!</f>
        <v>#REF!</v>
      </c>
      <c r="M146" s="510" t="e">
        <f>#REF!</f>
        <v>#REF!</v>
      </c>
      <c r="V146" s="1" t="e">
        <f>#REF!</f>
        <v>#REF!</v>
      </c>
    </row>
    <row r="147" spans="1:22" x14ac:dyDescent="0.35">
      <c r="A147" s="510" t="e">
        <f>#REF!</f>
        <v>#REF!</v>
      </c>
      <c r="M147" s="510" t="e">
        <f>#REF!</f>
        <v>#REF!</v>
      </c>
      <c r="V147" s="1" t="e">
        <f>#REF!</f>
        <v>#REF!</v>
      </c>
    </row>
    <row r="148" spans="1:22" x14ac:dyDescent="0.35">
      <c r="A148" s="510" t="e">
        <f>#REF!</f>
        <v>#REF!</v>
      </c>
      <c r="M148" s="510" t="e">
        <f>#REF!</f>
        <v>#REF!</v>
      </c>
      <c r="V148" s="1" t="e">
        <f>#REF!</f>
        <v>#REF!</v>
      </c>
    </row>
    <row r="149" spans="1:22" x14ac:dyDescent="0.35">
      <c r="A149" s="510" t="e">
        <f>#REF!</f>
        <v>#REF!</v>
      </c>
      <c r="M149" s="510" t="e">
        <f>#REF!</f>
        <v>#REF!</v>
      </c>
      <c r="V149" s="1" t="e">
        <f>#REF!</f>
        <v>#REF!</v>
      </c>
    </row>
    <row r="150" spans="1:22" x14ac:dyDescent="0.35">
      <c r="A150" s="510" t="e">
        <f>#REF!</f>
        <v>#REF!</v>
      </c>
      <c r="M150" s="510" t="e">
        <f>#REF!</f>
        <v>#REF!</v>
      </c>
      <c r="V150" s="1" t="e">
        <f>#REF!</f>
        <v>#REF!</v>
      </c>
    </row>
    <row r="151" spans="1:22" x14ac:dyDescent="0.35">
      <c r="A151" s="510" t="e">
        <f>#REF!</f>
        <v>#REF!</v>
      </c>
      <c r="M151" s="510" t="e">
        <f>#REF!</f>
        <v>#REF!</v>
      </c>
      <c r="V151" s="1" t="e">
        <f>#REF!</f>
        <v>#REF!</v>
      </c>
    </row>
    <row r="152" spans="1:22" x14ac:dyDescent="0.35">
      <c r="A152" s="510" t="e">
        <f>#REF!</f>
        <v>#REF!</v>
      </c>
      <c r="M152" s="510" t="e">
        <f>#REF!</f>
        <v>#REF!</v>
      </c>
      <c r="V152" s="1" t="e">
        <f>#REF!</f>
        <v>#REF!</v>
      </c>
    </row>
    <row r="153" spans="1:22" x14ac:dyDescent="0.35">
      <c r="A153" s="510" t="e">
        <f>#REF!</f>
        <v>#REF!</v>
      </c>
      <c r="M153" s="510" t="e">
        <f>#REF!</f>
        <v>#REF!</v>
      </c>
      <c r="V153" s="1" t="e">
        <f>#REF!</f>
        <v>#REF!</v>
      </c>
    </row>
    <row r="154" spans="1:22" x14ac:dyDescent="0.35">
      <c r="A154" s="510" t="e">
        <f>#REF!</f>
        <v>#REF!</v>
      </c>
      <c r="M154" s="510" t="e">
        <f>#REF!</f>
        <v>#REF!</v>
      </c>
      <c r="V154" s="1" t="e">
        <f>#REF!</f>
        <v>#REF!</v>
      </c>
    </row>
    <row r="155" spans="1:22" x14ac:dyDescent="0.35">
      <c r="A155" s="510" t="e">
        <f>#REF!</f>
        <v>#REF!</v>
      </c>
      <c r="M155" s="510" t="e">
        <f>#REF!</f>
        <v>#REF!</v>
      </c>
      <c r="V155" s="1" t="e">
        <f>#REF!</f>
        <v>#REF!</v>
      </c>
    </row>
    <row r="156" spans="1:22" x14ac:dyDescent="0.35">
      <c r="A156" s="510" t="e">
        <f>#REF!</f>
        <v>#REF!</v>
      </c>
      <c r="M156" s="510" t="e">
        <f>#REF!</f>
        <v>#REF!</v>
      </c>
      <c r="V156" s="1" t="e">
        <f>#REF!</f>
        <v>#REF!</v>
      </c>
    </row>
    <row r="157" spans="1:22" x14ac:dyDescent="0.35">
      <c r="A157" s="510" t="e">
        <f>#REF!</f>
        <v>#REF!</v>
      </c>
      <c r="M157" s="510" t="e">
        <f>#REF!</f>
        <v>#REF!</v>
      </c>
      <c r="V157" s="1" t="e">
        <f>#REF!</f>
        <v>#REF!</v>
      </c>
    </row>
    <row r="158" spans="1:22" x14ac:dyDescent="0.35">
      <c r="A158" s="510" t="e">
        <f>#REF!</f>
        <v>#REF!</v>
      </c>
      <c r="M158" s="510" t="e">
        <f>#REF!</f>
        <v>#REF!</v>
      </c>
      <c r="V158" s="1" t="e">
        <f>#REF!</f>
        <v>#REF!</v>
      </c>
    </row>
    <row r="159" spans="1:22" x14ac:dyDescent="0.35">
      <c r="A159" s="510" t="e">
        <f>#REF!</f>
        <v>#REF!</v>
      </c>
      <c r="M159" s="510" t="e">
        <f>#REF!</f>
        <v>#REF!</v>
      </c>
      <c r="V159" s="1" t="e">
        <f>#REF!</f>
        <v>#REF!</v>
      </c>
    </row>
    <row r="160" spans="1:22" x14ac:dyDescent="0.35">
      <c r="A160" s="510" t="e">
        <f>#REF!</f>
        <v>#REF!</v>
      </c>
      <c r="M160" s="510" t="e">
        <f>#REF!</f>
        <v>#REF!</v>
      </c>
      <c r="V160" s="1" t="e">
        <f>#REF!</f>
        <v>#REF!</v>
      </c>
    </row>
    <row r="161" spans="1:22" x14ac:dyDescent="0.35">
      <c r="A161" s="510" t="e">
        <f>#REF!</f>
        <v>#REF!</v>
      </c>
      <c r="M161" s="510" t="e">
        <f>#REF!</f>
        <v>#REF!</v>
      </c>
      <c r="V161" s="1" t="e">
        <f>#REF!</f>
        <v>#REF!</v>
      </c>
    </row>
    <row r="162" spans="1:22" x14ac:dyDescent="0.35">
      <c r="A162" s="510" t="e">
        <f>#REF!</f>
        <v>#REF!</v>
      </c>
      <c r="M162" s="510" t="e">
        <f>#REF!</f>
        <v>#REF!</v>
      </c>
      <c r="V162" s="1" t="e">
        <f>#REF!</f>
        <v>#REF!</v>
      </c>
    </row>
    <row r="163" spans="1:22" x14ac:dyDescent="0.35">
      <c r="A163" s="510" t="e">
        <f>#REF!</f>
        <v>#REF!</v>
      </c>
      <c r="M163" s="510" t="e">
        <f>#REF!</f>
        <v>#REF!</v>
      </c>
      <c r="V163" s="1" t="e">
        <f>#REF!</f>
        <v>#REF!</v>
      </c>
    </row>
    <row r="164" spans="1:22" x14ac:dyDescent="0.35">
      <c r="A164" s="510" t="e">
        <f>#REF!</f>
        <v>#REF!</v>
      </c>
      <c r="M164" s="510" t="e">
        <f>#REF!</f>
        <v>#REF!</v>
      </c>
      <c r="V164" s="1" t="e">
        <f>#REF!</f>
        <v>#REF!</v>
      </c>
    </row>
    <row r="165" spans="1:22" x14ac:dyDescent="0.35">
      <c r="A165" s="510" t="e">
        <f>#REF!</f>
        <v>#REF!</v>
      </c>
      <c r="M165" s="510" t="e">
        <f>#REF!</f>
        <v>#REF!</v>
      </c>
      <c r="V165" s="1" t="e">
        <f>#REF!</f>
        <v>#REF!</v>
      </c>
    </row>
    <row r="166" spans="1:22" x14ac:dyDescent="0.35">
      <c r="A166" s="510" t="e">
        <f>#REF!</f>
        <v>#REF!</v>
      </c>
      <c r="M166" s="510" t="e">
        <f>#REF!</f>
        <v>#REF!</v>
      </c>
      <c r="V166" s="1" t="e">
        <f>#REF!</f>
        <v>#REF!</v>
      </c>
    </row>
    <row r="167" spans="1:22" x14ac:dyDescent="0.35">
      <c r="A167" s="510" t="e">
        <f>#REF!</f>
        <v>#REF!</v>
      </c>
      <c r="M167" s="510" t="e">
        <f>#REF!</f>
        <v>#REF!</v>
      </c>
      <c r="V167" s="1" t="e">
        <f>#REF!</f>
        <v>#REF!</v>
      </c>
    </row>
    <row r="168" spans="1:22" x14ac:dyDescent="0.35">
      <c r="A168" s="510" t="e">
        <f>#REF!</f>
        <v>#REF!</v>
      </c>
      <c r="M168" s="510" t="e">
        <f>#REF!</f>
        <v>#REF!</v>
      </c>
      <c r="V168" s="1" t="e">
        <f>#REF!</f>
        <v>#REF!</v>
      </c>
    </row>
    <row r="169" spans="1:22" x14ac:dyDescent="0.35">
      <c r="A169" s="510" t="e">
        <f>#REF!</f>
        <v>#REF!</v>
      </c>
      <c r="M169" s="510" t="e">
        <f>#REF!</f>
        <v>#REF!</v>
      </c>
      <c r="V169" s="1" t="e">
        <f>#REF!</f>
        <v>#REF!</v>
      </c>
    </row>
    <row r="170" spans="1:22" x14ac:dyDescent="0.35">
      <c r="A170" s="510" t="e">
        <f>#REF!</f>
        <v>#REF!</v>
      </c>
      <c r="M170" s="510" t="e">
        <f>#REF!</f>
        <v>#REF!</v>
      </c>
      <c r="V170" s="1" t="e">
        <f>#REF!</f>
        <v>#REF!</v>
      </c>
    </row>
    <row r="171" spans="1:22" x14ac:dyDescent="0.35">
      <c r="A171" s="510" t="e">
        <f>#REF!</f>
        <v>#REF!</v>
      </c>
      <c r="M171" s="510" t="e">
        <f>#REF!</f>
        <v>#REF!</v>
      </c>
      <c r="V171" s="1" t="e">
        <f>#REF!</f>
        <v>#REF!</v>
      </c>
    </row>
    <row r="172" spans="1:22" x14ac:dyDescent="0.35">
      <c r="A172" s="510" t="e">
        <f>#REF!</f>
        <v>#REF!</v>
      </c>
      <c r="M172" s="510" t="e">
        <f>#REF!</f>
        <v>#REF!</v>
      </c>
      <c r="V172" s="1" t="e">
        <f>#REF!</f>
        <v>#REF!</v>
      </c>
    </row>
    <row r="173" spans="1:22" x14ac:dyDescent="0.35">
      <c r="A173" s="510" t="e">
        <f>#REF!</f>
        <v>#REF!</v>
      </c>
      <c r="M173" s="510" t="e">
        <f>#REF!</f>
        <v>#REF!</v>
      </c>
      <c r="V173" s="1" t="e">
        <f>#REF!</f>
        <v>#REF!</v>
      </c>
    </row>
    <row r="174" spans="1:22" x14ac:dyDescent="0.35">
      <c r="A174" s="510" t="e">
        <f>#REF!</f>
        <v>#REF!</v>
      </c>
      <c r="M174" s="510" t="e">
        <f>#REF!</f>
        <v>#REF!</v>
      </c>
      <c r="V174" s="1" t="e">
        <f>#REF!</f>
        <v>#REF!</v>
      </c>
    </row>
    <row r="175" spans="1:22" x14ac:dyDescent="0.35">
      <c r="A175" s="510" t="e">
        <f>#REF!</f>
        <v>#REF!</v>
      </c>
      <c r="M175" s="510" t="e">
        <f>#REF!</f>
        <v>#REF!</v>
      </c>
      <c r="V175" s="1" t="e">
        <f>#REF!</f>
        <v>#REF!</v>
      </c>
    </row>
    <row r="176" spans="1:22" x14ac:dyDescent="0.35">
      <c r="A176" s="510" t="e">
        <f>#REF!</f>
        <v>#REF!</v>
      </c>
      <c r="M176" s="510" t="e">
        <f>#REF!</f>
        <v>#REF!</v>
      </c>
      <c r="V176" s="1" t="e">
        <f>#REF!</f>
        <v>#REF!</v>
      </c>
    </row>
    <row r="177" spans="1:22" x14ac:dyDescent="0.35">
      <c r="A177" s="510" t="e">
        <f>#REF!</f>
        <v>#REF!</v>
      </c>
      <c r="M177" s="510" t="e">
        <f>#REF!</f>
        <v>#REF!</v>
      </c>
      <c r="V177" s="1" t="e">
        <f>#REF!</f>
        <v>#REF!</v>
      </c>
    </row>
    <row r="178" spans="1:22" x14ac:dyDescent="0.35">
      <c r="A178" s="510" t="e">
        <f>#REF!</f>
        <v>#REF!</v>
      </c>
      <c r="M178" s="510" t="e">
        <f>#REF!</f>
        <v>#REF!</v>
      </c>
      <c r="V178" s="1" t="e">
        <f>#REF!</f>
        <v>#REF!</v>
      </c>
    </row>
    <row r="179" spans="1:22" x14ac:dyDescent="0.35">
      <c r="A179" s="510" t="e">
        <f>#REF!</f>
        <v>#REF!</v>
      </c>
      <c r="M179" s="510" t="e">
        <f>#REF!</f>
        <v>#REF!</v>
      </c>
      <c r="V179" s="1" t="e">
        <f>#REF!</f>
        <v>#REF!</v>
      </c>
    </row>
    <row r="180" spans="1:22" x14ac:dyDescent="0.35">
      <c r="A180" s="510" t="e">
        <f>#REF!</f>
        <v>#REF!</v>
      </c>
      <c r="M180" s="510" t="e">
        <f>#REF!</f>
        <v>#REF!</v>
      </c>
      <c r="V180" s="1" t="e">
        <f>#REF!</f>
        <v>#REF!</v>
      </c>
    </row>
    <row r="181" spans="1:22" x14ac:dyDescent="0.35">
      <c r="A181" s="510" t="e">
        <f>#REF!</f>
        <v>#REF!</v>
      </c>
      <c r="M181" s="510" t="e">
        <f>#REF!</f>
        <v>#REF!</v>
      </c>
      <c r="V181" s="1" t="e">
        <f>#REF!</f>
        <v>#REF!</v>
      </c>
    </row>
    <row r="182" spans="1:22" x14ac:dyDescent="0.35">
      <c r="A182" s="510" t="e">
        <f>#REF!</f>
        <v>#REF!</v>
      </c>
      <c r="M182" s="510" t="e">
        <f>#REF!</f>
        <v>#REF!</v>
      </c>
      <c r="V182" s="1" t="e">
        <f>#REF!</f>
        <v>#REF!</v>
      </c>
    </row>
    <row r="183" spans="1:22" x14ac:dyDescent="0.35">
      <c r="A183" s="510" t="e">
        <f>#REF!</f>
        <v>#REF!</v>
      </c>
      <c r="M183" s="510" t="e">
        <f>#REF!</f>
        <v>#REF!</v>
      </c>
      <c r="V183" s="1" t="e">
        <f>#REF!</f>
        <v>#REF!</v>
      </c>
    </row>
    <row r="184" spans="1:22" x14ac:dyDescent="0.35">
      <c r="A184" s="510" t="e">
        <f>#REF!</f>
        <v>#REF!</v>
      </c>
      <c r="M184" s="510" t="e">
        <f>#REF!</f>
        <v>#REF!</v>
      </c>
      <c r="V184" s="1" t="e">
        <f>#REF!</f>
        <v>#REF!</v>
      </c>
    </row>
    <row r="185" spans="1:22" x14ac:dyDescent="0.35">
      <c r="A185" s="510" t="e">
        <f>#REF!</f>
        <v>#REF!</v>
      </c>
      <c r="M185" s="510" t="e">
        <f>#REF!</f>
        <v>#REF!</v>
      </c>
      <c r="V185" s="1" t="e">
        <f>#REF!</f>
        <v>#REF!</v>
      </c>
    </row>
    <row r="186" spans="1:22" x14ac:dyDescent="0.35">
      <c r="A186" s="510" t="e">
        <f>#REF!</f>
        <v>#REF!</v>
      </c>
      <c r="M186" s="510" t="e">
        <f>#REF!</f>
        <v>#REF!</v>
      </c>
      <c r="V186" s="1" t="e">
        <f>#REF!</f>
        <v>#REF!</v>
      </c>
    </row>
    <row r="187" spans="1:22" x14ac:dyDescent="0.35">
      <c r="A187" s="510" t="e">
        <f>#REF!</f>
        <v>#REF!</v>
      </c>
      <c r="M187" s="510" t="e">
        <f>#REF!</f>
        <v>#REF!</v>
      </c>
      <c r="V187" s="1" t="e">
        <f>#REF!</f>
        <v>#REF!</v>
      </c>
    </row>
    <row r="188" spans="1:22" x14ac:dyDescent="0.35">
      <c r="A188" s="510" t="e">
        <f>#REF!</f>
        <v>#REF!</v>
      </c>
      <c r="M188" s="510" t="e">
        <f>#REF!</f>
        <v>#REF!</v>
      </c>
      <c r="V188" s="1" t="e">
        <f>#REF!</f>
        <v>#REF!</v>
      </c>
    </row>
    <row r="189" spans="1:22" x14ac:dyDescent="0.35">
      <c r="A189" s="510" t="e">
        <f>#REF!</f>
        <v>#REF!</v>
      </c>
      <c r="M189" s="510" t="e">
        <f>#REF!</f>
        <v>#REF!</v>
      </c>
      <c r="V189" s="1" t="e">
        <f>#REF!</f>
        <v>#REF!</v>
      </c>
    </row>
    <row r="190" spans="1:22" x14ac:dyDescent="0.35">
      <c r="A190" s="510" t="e">
        <f>#REF!</f>
        <v>#REF!</v>
      </c>
      <c r="M190" s="510" t="e">
        <f>#REF!</f>
        <v>#REF!</v>
      </c>
      <c r="V190" s="1" t="e">
        <f>#REF!</f>
        <v>#REF!</v>
      </c>
    </row>
    <row r="191" spans="1:22" x14ac:dyDescent="0.35">
      <c r="A191" s="510" t="e">
        <f>#REF!</f>
        <v>#REF!</v>
      </c>
      <c r="M191" s="510" t="e">
        <f>#REF!</f>
        <v>#REF!</v>
      </c>
      <c r="V191" s="1" t="e">
        <f>#REF!</f>
        <v>#REF!</v>
      </c>
    </row>
    <row r="192" spans="1:22" x14ac:dyDescent="0.35">
      <c r="A192" s="510" t="e">
        <f>#REF!</f>
        <v>#REF!</v>
      </c>
      <c r="M192" s="510" t="e">
        <f>#REF!</f>
        <v>#REF!</v>
      </c>
      <c r="V192" s="1" t="e">
        <f>#REF!</f>
        <v>#REF!</v>
      </c>
    </row>
    <row r="193" spans="1:22" x14ac:dyDescent="0.35">
      <c r="A193" s="510" t="e">
        <f>#REF!</f>
        <v>#REF!</v>
      </c>
      <c r="M193" s="510" t="e">
        <f>#REF!</f>
        <v>#REF!</v>
      </c>
      <c r="V193" s="1" t="e">
        <f>#REF!</f>
        <v>#REF!</v>
      </c>
    </row>
    <row r="194" spans="1:22" x14ac:dyDescent="0.35">
      <c r="A194" s="510" t="e">
        <f>#REF!</f>
        <v>#REF!</v>
      </c>
      <c r="M194" s="510" t="e">
        <f>#REF!</f>
        <v>#REF!</v>
      </c>
      <c r="V194" s="1" t="e">
        <f>#REF!</f>
        <v>#REF!</v>
      </c>
    </row>
    <row r="195" spans="1:22" x14ac:dyDescent="0.35">
      <c r="A195" s="510" t="e">
        <f>#REF!</f>
        <v>#REF!</v>
      </c>
      <c r="M195" s="510" t="e">
        <f>#REF!</f>
        <v>#REF!</v>
      </c>
      <c r="V195" s="1" t="e">
        <f>#REF!</f>
        <v>#REF!</v>
      </c>
    </row>
    <row r="196" spans="1:22" x14ac:dyDescent="0.35">
      <c r="A196" s="510" t="e">
        <f>#REF!</f>
        <v>#REF!</v>
      </c>
      <c r="M196" s="510" t="e">
        <f>#REF!</f>
        <v>#REF!</v>
      </c>
      <c r="V196" s="1" t="e">
        <f>#REF!</f>
        <v>#REF!</v>
      </c>
    </row>
    <row r="197" spans="1:22" x14ac:dyDescent="0.35">
      <c r="A197" s="510" t="e">
        <f>#REF!</f>
        <v>#REF!</v>
      </c>
      <c r="M197" s="510" t="e">
        <f>#REF!</f>
        <v>#REF!</v>
      </c>
      <c r="V197" s="1" t="e">
        <f>#REF!</f>
        <v>#REF!</v>
      </c>
    </row>
    <row r="198" spans="1:22" x14ac:dyDescent="0.35">
      <c r="A198" s="510" t="e">
        <f>#REF!</f>
        <v>#REF!</v>
      </c>
      <c r="M198" s="510" t="e">
        <f>#REF!</f>
        <v>#REF!</v>
      </c>
      <c r="V198" s="1" t="e">
        <f>#REF!</f>
        <v>#REF!</v>
      </c>
    </row>
    <row r="199" spans="1:22" x14ac:dyDescent="0.35">
      <c r="A199" s="510" t="e">
        <f>#REF!</f>
        <v>#REF!</v>
      </c>
      <c r="M199" s="510" t="e">
        <f>#REF!</f>
        <v>#REF!</v>
      </c>
      <c r="V199" s="1" t="e">
        <f>#REF!</f>
        <v>#REF!</v>
      </c>
    </row>
    <row r="200" spans="1:22" x14ac:dyDescent="0.35">
      <c r="A200" s="510" t="e">
        <f>#REF!</f>
        <v>#REF!</v>
      </c>
      <c r="M200" s="510" t="e">
        <f>#REF!</f>
        <v>#REF!</v>
      </c>
      <c r="V200" s="1" t="e">
        <f>#REF!</f>
        <v>#REF!</v>
      </c>
    </row>
    <row r="201" spans="1:22" x14ac:dyDescent="0.35">
      <c r="A201" s="510" t="e">
        <f>#REF!</f>
        <v>#REF!</v>
      </c>
      <c r="M201" s="510" t="e">
        <f>#REF!</f>
        <v>#REF!</v>
      </c>
      <c r="V201" s="1" t="e">
        <f>#REF!</f>
        <v>#REF!</v>
      </c>
    </row>
    <row r="202" spans="1:22" x14ac:dyDescent="0.35">
      <c r="A202" s="510" t="e">
        <f>#REF!</f>
        <v>#REF!</v>
      </c>
      <c r="M202" s="510" t="e">
        <f>#REF!</f>
        <v>#REF!</v>
      </c>
      <c r="V202" s="1" t="e">
        <f>#REF!</f>
        <v>#REF!</v>
      </c>
    </row>
    <row r="203" spans="1:22" x14ac:dyDescent="0.35">
      <c r="A203" s="510" t="e">
        <f>#REF!</f>
        <v>#REF!</v>
      </c>
      <c r="M203" s="510" t="e">
        <f>#REF!</f>
        <v>#REF!</v>
      </c>
      <c r="V203" s="1" t="e">
        <f>#REF!</f>
        <v>#REF!</v>
      </c>
    </row>
    <row r="204" spans="1:22" x14ac:dyDescent="0.35">
      <c r="A204" s="510" t="e">
        <f>#REF!</f>
        <v>#REF!</v>
      </c>
      <c r="M204" s="510" t="e">
        <f>#REF!</f>
        <v>#REF!</v>
      </c>
      <c r="V204" s="1" t="e">
        <f>#REF!</f>
        <v>#REF!</v>
      </c>
    </row>
    <row r="205" spans="1:22" x14ac:dyDescent="0.35">
      <c r="A205" s="510" t="e">
        <f>#REF!</f>
        <v>#REF!</v>
      </c>
      <c r="M205" s="510" t="e">
        <f>#REF!</f>
        <v>#REF!</v>
      </c>
      <c r="V205" s="1" t="e">
        <f>#REF!</f>
        <v>#REF!</v>
      </c>
    </row>
    <row r="206" spans="1:22" x14ac:dyDescent="0.35">
      <c r="A206" s="510" t="e">
        <f>#REF!</f>
        <v>#REF!</v>
      </c>
      <c r="M206" s="510" t="e">
        <f>#REF!</f>
        <v>#REF!</v>
      </c>
      <c r="V206" s="1" t="e">
        <f>#REF!</f>
        <v>#REF!</v>
      </c>
    </row>
    <row r="207" spans="1:22" x14ac:dyDescent="0.35">
      <c r="A207" s="510" t="e">
        <f>#REF!</f>
        <v>#REF!</v>
      </c>
      <c r="M207" s="510" t="e">
        <f>#REF!</f>
        <v>#REF!</v>
      </c>
      <c r="V207" s="1" t="e">
        <f>#REF!</f>
        <v>#REF!</v>
      </c>
    </row>
    <row r="208" spans="1:22" x14ac:dyDescent="0.35">
      <c r="A208" s="510" t="e">
        <f>#REF!</f>
        <v>#REF!</v>
      </c>
      <c r="M208" s="510" t="e">
        <f>#REF!</f>
        <v>#REF!</v>
      </c>
      <c r="V208" s="1" t="e">
        <f>#REF!</f>
        <v>#REF!</v>
      </c>
    </row>
    <row r="209" spans="1:22" x14ac:dyDescent="0.35">
      <c r="A209" s="510" t="e">
        <f>#REF!</f>
        <v>#REF!</v>
      </c>
      <c r="M209" s="510" t="e">
        <f>#REF!</f>
        <v>#REF!</v>
      </c>
      <c r="V209" s="1" t="e">
        <f>#REF!</f>
        <v>#REF!</v>
      </c>
    </row>
    <row r="210" spans="1:22" x14ac:dyDescent="0.35">
      <c r="A210" s="510" t="e">
        <f>#REF!</f>
        <v>#REF!</v>
      </c>
      <c r="M210" s="510" t="e">
        <f>#REF!</f>
        <v>#REF!</v>
      </c>
      <c r="V210" s="1" t="e">
        <f>#REF!</f>
        <v>#REF!</v>
      </c>
    </row>
    <row r="211" spans="1:22" x14ac:dyDescent="0.35">
      <c r="A211" s="510" t="e">
        <f>#REF!</f>
        <v>#REF!</v>
      </c>
      <c r="M211" s="510" t="e">
        <f>#REF!</f>
        <v>#REF!</v>
      </c>
      <c r="V211" s="1" t="e">
        <f>#REF!</f>
        <v>#REF!</v>
      </c>
    </row>
    <row r="212" spans="1:22" x14ac:dyDescent="0.35">
      <c r="A212" s="510" t="e">
        <f>#REF!</f>
        <v>#REF!</v>
      </c>
      <c r="M212" s="510" t="e">
        <f>#REF!</f>
        <v>#REF!</v>
      </c>
      <c r="V212" s="1" t="e">
        <f>#REF!</f>
        <v>#REF!</v>
      </c>
    </row>
    <row r="213" spans="1:22" x14ac:dyDescent="0.35">
      <c r="A213" s="510" t="e">
        <f>#REF!</f>
        <v>#REF!</v>
      </c>
      <c r="M213" s="510" t="e">
        <f>#REF!</f>
        <v>#REF!</v>
      </c>
      <c r="V213" s="1" t="e">
        <f>#REF!</f>
        <v>#REF!</v>
      </c>
    </row>
    <row r="214" spans="1:22" x14ac:dyDescent="0.35">
      <c r="A214" s="510" t="e">
        <f>#REF!</f>
        <v>#REF!</v>
      </c>
      <c r="M214" s="510" t="e">
        <f>#REF!</f>
        <v>#REF!</v>
      </c>
      <c r="V214" s="1" t="e">
        <f>#REF!</f>
        <v>#REF!</v>
      </c>
    </row>
    <row r="215" spans="1:22" x14ac:dyDescent="0.35">
      <c r="A215" s="510" t="e">
        <f>#REF!</f>
        <v>#REF!</v>
      </c>
      <c r="M215" s="510" t="e">
        <f>#REF!</f>
        <v>#REF!</v>
      </c>
      <c r="V215" s="1" t="e">
        <f>#REF!</f>
        <v>#REF!</v>
      </c>
    </row>
    <row r="216" spans="1:22" x14ac:dyDescent="0.35">
      <c r="A216" s="510" t="e">
        <f>#REF!</f>
        <v>#REF!</v>
      </c>
      <c r="M216" s="510" t="e">
        <f>#REF!</f>
        <v>#REF!</v>
      </c>
      <c r="V216" s="1" t="e">
        <f>#REF!</f>
        <v>#REF!</v>
      </c>
    </row>
    <row r="217" spans="1:22" x14ac:dyDescent="0.35">
      <c r="A217" s="510" t="e">
        <f>#REF!</f>
        <v>#REF!</v>
      </c>
      <c r="M217" s="510" t="e">
        <f>#REF!</f>
        <v>#REF!</v>
      </c>
      <c r="V217" s="1" t="e">
        <f>#REF!</f>
        <v>#REF!</v>
      </c>
    </row>
    <row r="218" spans="1:22" x14ac:dyDescent="0.35">
      <c r="A218" s="510" t="e">
        <f>#REF!</f>
        <v>#REF!</v>
      </c>
      <c r="M218" s="510" t="e">
        <f>#REF!</f>
        <v>#REF!</v>
      </c>
      <c r="V218" s="1" t="e">
        <f>#REF!</f>
        <v>#REF!</v>
      </c>
    </row>
    <row r="219" spans="1:22" x14ac:dyDescent="0.35">
      <c r="A219" s="510" t="e">
        <f>#REF!</f>
        <v>#REF!</v>
      </c>
      <c r="M219" s="510" t="e">
        <f>#REF!</f>
        <v>#REF!</v>
      </c>
      <c r="V219" s="1" t="e">
        <f>#REF!</f>
        <v>#REF!</v>
      </c>
    </row>
    <row r="220" spans="1:22" x14ac:dyDescent="0.35">
      <c r="A220" s="510" t="e">
        <f>#REF!</f>
        <v>#REF!</v>
      </c>
      <c r="M220" s="510" t="e">
        <f>#REF!</f>
        <v>#REF!</v>
      </c>
      <c r="V220" s="1" t="e">
        <f>#REF!</f>
        <v>#REF!</v>
      </c>
    </row>
    <row r="221" spans="1:22" x14ac:dyDescent="0.35">
      <c r="A221" s="510" t="e">
        <f>#REF!</f>
        <v>#REF!</v>
      </c>
      <c r="M221" s="510" t="e">
        <f>#REF!</f>
        <v>#REF!</v>
      </c>
      <c r="V221" s="1" t="e">
        <f>#REF!</f>
        <v>#REF!</v>
      </c>
    </row>
    <row r="222" spans="1:22" x14ac:dyDescent="0.35">
      <c r="A222" s="510" t="e">
        <f>#REF!</f>
        <v>#REF!</v>
      </c>
      <c r="M222" s="510" t="e">
        <f>#REF!</f>
        <v>#REF!</v>
      </c>
      <c r="V222" s="1" t="e">
        <f>#REF!</f>
        <v>#REF!</v>
      </c>
    </row>
    <row r="223" spans="1:22" x14ac:dyDescent="0.35">
      <c r="A223" s="510" t="e">
        <f>#REF!</f>
        <v>#REF!</v>
      </c>
      <c r="M223" s="510" t="e">
        <f>#REF!</f>
        <v>#REF!</v>
      </c>
      <c r="V223" s="1" t="e">
        <f>#REF!</f>
        <v>#REF!</v>
      </c>
    </row>
    <row r="224" spans="1:22" x14ac:dyDescent="0.35">
      <c r="A224" s="510" t="e">
        <f>#REF!</f>
        <v>#REF!</v>
      </c>
      <c r="M224" s="510" t="e">
        <f>#REF!</f>
        <v>#REF!</v>
      </c>
      <c r="V224" s="1" t="e">
        <f>#REF!</f>
        <v>#REF!</v>
      </c>
    </row>
    <row r="225" spans="1:22" x14ac:dyDescent="0.35">
      <c r="A225" s="510" t="e">
        <f>#REF!</f>
        <v>#REF!</v>
      </c>
      <c r="M225" s="510" t="e">
        <f>#REF!</f>
        <v>#REF!</v>
      </c>
      <c r="V225" s="1" t="e">
        <f>#REF!</f>
        <v>#REF!</v>
      </c>
    </row>
    <row r="226" spans="1:22" x14ac:dyDescent="0.35">
      <c r="A226" s="510" t="e">
        <f>#REF!</f>
        <v>#REF!</v>
      </c>
      <c r="M226" s="510" t="e">
        <f>#REF!</f>
        <v>#REF!</v>
      </c>
      <c r="V226" s="1" t="e">
        <f>#REF!</f>
        <v>#REF!</v>
      </c>
    </row>
    <row r="227" spans="1:22" x14ac:dyDescent="0.35">
      <c r="A227" s="510" t="e">
        <f>#REF!</f>
        <v>#REF!</v>
      </c>
      <c r="M227" s="510" t="e">
        <f>#REF!</f>
        <v>#REF!</v>
      </c>
      <c r="V227" s="1" t="e">
        <f>#REF!</f>
        <v>#REF!</v>
      </c>
    </row>
    <row r="228" spans="1:22" x14ac:dyDescent="0.35">
      <c r="A228" s="510" t="e">
        <f>#REF!</f>
        <v>#REF!</v>
      </c>
      <c r="M228" s="510" t="e">
        <f>#REF!</f>
        <v>#REF!</v>
      </c>
      <c r="V228" s="1" t="e">
        <f>#REF!</f>
        <v>#REF!</v>
      </c>
    </row>
    <row r="229" spans="1:22" x14ac:dyDescent="0.35">
      <c r="A229" s="510" t="e">
        <f>#REF!</f>
        <v>#REF!</v>
      </c>
      <c r="M229" s="510" t="e">
        <f>#REF!</f>
        <v>#REF!</v>
      </c>
      <c r="V229" s="1" t="e">
        <f>#REF!</f>
        <v>#REF!</v>
      </c>
    </row>
    <row r="230" spans="1:22" x14ac:dyDescent="0.35">
      <c r="A230" s="510" t="e">
        <f>#REF!</f>
        <v>#REF!</v>
      </c>
      <c r="M230" s="510" t="e">
        <f>#REF!</f>
        <v>#REF!</v>
      </c>
      <c r="V230" s="1" t="e">
        <f>#REF!</f>
        <v>#REF!</v>
      </c>
    </row>
    <row r="231" spans="1:22" x14ac:dyDescent="0.35">
      <c r="A231" s="510" t="e">
        <f>#REF!</f>
        <v>#REF!</v>
      </c>
      <c r="M231" s="510" t="e">
        <f>#REF!</f>
        <v>#REF!</v>
      </c>
      <c r="V231" s="1" t="e">
        <f>#REF!</f>
        <v>#REF!</v>
      </c>
    </row>
    <row r="232" spans="1:22" x14ac:dyDescent="0.35">
      <c r="A232" s="510" t="e">
        <f>#REF!</f>
        <v>#REF!</v>
      </c>
      <c r="M232" s="510" t="e">
        <f>#REF!</f>
        <v>#REF!</v>
      </c>
      <c r="V232" s="1" t="e">
        <f>#REF!</f>
        <v>#REF!</v>
      </c>
    </row>
    <row r="233" spans="1:22" x14ac:dyDescent="0.35">
      <c r="A233" s="510" t="e">
        <f>#REF!</f>
        <v>#REF!</v>
      </c>
      <c r="M233" s="510" t="e">
        <f>#REF!</f>
        <v>#REF!</v>
      </c>
      <c r="V233" s="1" t="e">
        <f>#REF!</f>
        <v>#REF!</v>
      </c>
    </row>
    <row r="234" spans="1:22" x14ac:dyDescent="0.35">
      <c r="A234" s="510" t="e">
        <f>#REF!</f>
        <v>#REF!</v>
      </c>
      <c r="M234" s="510" t="e">
        <f>#REF!</f>
        <v>#REF!</v>
      </c>
      <c r="V234" s="1" t="e">
        <f>#REF!</f>
        <v>#REF!</v>
      </c>
    </row>
    <row r="235" spans="1:22" x14ac:dyDescent="0.35">
      <c r="A235" s="510" t="e">
        <f>#REF!</f>
        <v>#REF!</v>
      </c>
      <c r="M235" s="510" t="e">
        <f>#REF!</f>
        <v>#REF!</v>
      </c>
      <c r="V235" s="1" t="e">
        <f>#REF!</f>
        <v>#REF!</v>
      </c>
    </row>
    <row r="236" spans="1:22" x14ac:dyDescent="0.35">
      <c r="A236" s="510" t="e">
        <f>#REF!</f>
        <v>#REF!</v>
      </c>
      <c r="M236" s="510" t="e">
        <f>#REF!</f>
        <v>#REF!</v>
      </c>
      <c r="V236" s="1" t="e">
        <f>#REF!</f>
        <v>#REF!</v>
      </c>
    </row>
    <row r="237" spans="1:22" x14ac:dyDescent="0.35">
      <c r="A237" s="510" t="e">
        <f>#REF!</f>
        <v>#REF!</v>
      </c>
      <c r="M237" s="510" t="e">
        <f>#REF!</f>
        <v>#REF!</v>
      </c>
      <c r="V237" s="1" t="e">
        <f>#REF!</f>
        <v>#REF!</v>
      </c>
    </row>
    <row r="238" spans="1:22" x14ac:dyDescent="0.35">
      <c r="A238" s="510" t="e">
        <f>#REF!</f>
        <v>#REF!</v>
      </c>
      <c r="M238" s="510" t="e">
        <f>#REF!</f>
        <v>#REF!</v>
      </c>
      <c r="V238" s="1" t="e">
        <f>#REF!</f>
        <v>#REF!</v>
      </c>
    </row>
    <row r="239" spans="1:22" x14ac:dyDescent="0.35">
      <c r="A239" s="510" t="e">
        <f>#REF!</f>
        <v>#REF!</v>
      </c>
      <c r="M239" s="510" t="e">
        <f>#REF!</f>
        <v>#REF!</v>
      </c>
      <c r="V239" s="1" t="e">
        <f>#REF!</f>
        <v>#REF!</v>
      </c>
    </row>
    <row r="240" spans="1:22" x14ac:dyDescent="0.35">
      <c r="A240" s="510" t="e">
        <f>#REF!</f>
        <v>#REF!</v>
      </c>
      <c r="M240" s="510" t="e">
        <f>#REF!</f>
        <v>#REF!</v>
      </c>
      <c r="V240" s="1" t="e">
        <f>#REF!</f>
        <v>#REF!</v>
      </c>
    </row>
    <row r="241" spans="1:22" x14ac:dyDescent="0.35">
      <c r="A241" s="510" t="e">
        <f>#REF!</f>
        <v>#REF!</v>
      </c>
      <c r="M241" s="510" t="e">
        <f>#REF!</f>
        <v>#REF!</v>
      </c>
      <c r="V241" s="1" t="e">
        <f>#REF!</f>
        <v>#REF!</v>
      </c>
    </row>
    <row r="242" spans="1:22" x14ac:dyDescent="0.35">
      <c r="A242" s="510" t="e">
        <f>#REF!</f>
        <v>#REF!</v>
      </c>
      <c r="M242" s="510" t="e">
        <f>#REF!</f>
        <v>#REF!</v>
      </c>
      <c r="V242" s="1" t="e">
        <f>#REF!</f>
        <v>#REF!</v>
      </c>
    </row>
    <row r="243" spans="1:22" x14ac:dyDescent="0.35">
      <c r="A243" s="510" t="e">
        <f>#REF!</f>
        <v>#REF!</v>
      </c>
      <c r="M243" s="510" t="e">
        <f>#REF!</f>
        <v>#REF!</v>
      </c>
      <c r="V243" s="1" t="e">
        <f>#REF!</f>
        <v>#REF!</v>
      </c>
    </row>
    <row r="244" spans="1:22" x14ac:dyDescent="0.35">
      <c r="A244" s="510" t="e">
        <f>#REF!</f>
        <v>#REF!</v>
      </c>
      <c r="M244" s="510" t="e">
        <f>#REF!</f>
        <v>#REF!</v>
      </c>
      <c r="V244" s="1" t="e">
        <f>#REF!</f>
        <v>#REF!</v>
      </c>
    </row>
    <row r="245" spans="1:22" x14ac:dyDescent="0.35">
      <c r="A245" s="510" t="e">
        <f>#REF!</f>
        <v>#REF!</v>
      </c>
      <c r="M245" s="510" t="e">
        <f>#REF!</f>
        <v>#REF!</v>
      </c>
      <c r="V245" s="1" t="e">
        <f>#REF!</f>
        <v>#REF!</v>
      </c>
    </row>
    <row r="246" spans="1:22" x14ac:dyDescent="0.35">
      <c r="A246" s="510" t="e">
        <f>#REF!</f>
        <v>#REF!</v>
      </c>
      <c r="M246" s="510" t="e">
        <f>#REF!</f>
        <v>#REF!</v>
      </c>
      <c r="V246" s="1" t="e">
        <f>#REF!</f>
        <v>#REF!</v>
      </c>
    </row>
    <row r="247" spans="1:22" x14ac:dyDescent="0.35">
      <c r="A247" s="510" t="e">
        <f>#REF!</f>
        <v>#REF!</v>
      </c>
      <c r="M247" s="510" t="e">
        <f>#REF!</f>
        <v>#REF!</v>
      </c>
      <c r="V247" s="1" t="e">
        <f>#REF!</f>
        <v>#REF!</v>
      </c>
    </row>
    <row r="248" spans="1:22" x14ac:dyDescent="0.35">
      <c r="A248" s="510" t="e">
        <f>#REF!</f>
        <v>#REF!</v>
      </c>
      <c r="M248" s="510" t="e">
        <f>#REF!</f>
        <v>#REF!</v>
      </c>
      <c r="V248" s="1" t="e">
        <f>#REF!</f>
        <v>#REF!</v>
      </c>
    </row>
    <row r="249" spans="1:22" x14ac:dyDescent="0.35">
      <c r="A249" s="510" t="e">
        <f>#REF!</f>
        <v>#REF!</v>
      </c>
      <c r="M249" s="510" t="e">
        <f>#REF!</f>
        <v>#REF!</v>
      </c>
      <c r="V249" s="1" t="e">
        <f>#REF!</f>
        <v>#REF!</v>
      </c>
    </row>
    <row r="250" spans="1:22" x14ac:dyDescent="0.35">
      <c r="A250" s="510" t="e">
        <f>#REF!</f>
        <v>#REF!</v>
      </c>
      <c r="M250" s="510" t="e">
        <f>#REF!</f>
        <v>#REF!</v>
      </c>
      <c r="V250" s="1" t="e">
        <f>#REF!</f>
        <v>#REF!</v>
      </c>
    </row>
    <row r="251" spans="1:22" x14ac:dyDescent="0.35">
      <c r="A251" s="510" t="e">
        <f>#REF!</f>
        <v>#REF!</v>
      </c>
      <c r="M251" s="510" t="e">
        <f>#REF!</f>
        <v>#REF!</v>
      </c>
      <c r="V251" s="1" t="e">
        <f>#REF!</f>
        <v>#REF!</v>
      </c>
    </row>
    <row r="252" spans="1:22" x14ac:dyDescent="0.35">
      <c r="A252" s="510" t="e">
        <f>#REF!</f>
        <v>#REF!</v>
      </c>
      <c r="M252" s="510" t="e">
        <f>#REF!</f>
        <v>#REF!</v>
      </c>
      <c r="V252" s="1" t="e">
        <f>#REF!</f>
        <v>#REF!</v>
      </c>
    </row>
    <row r="253" spans="1:22" x14ac:dyDescent="0.35">
      <c r="A253" s="510" t="e">
        <f>#REF!</f>
        <v>#REF!</v>
      </c>
      <c r="M253" s="510" t="e">
        <f>#REF!</f>
        <v>#REF!</v>
      </c>
      <c r="V253" s="1" t="e">
        <f>#REF!</f>
        <v>#REF!</v>
      </c>
    </row>
    <row r="254" spans="1:22" x14ac:dyDescent="0.35">
      <c r="A254" s="510" t="e">
        <f>#REF!</f>
        <v>#REF!</v>
      </c>
      <c r="M254" s="510" t="e">
        <f>#REF!</f>
        <v>#REF!</v>
      </c>
      <c r="V254" s="1" t="e">
        <f>#REF!</f>
        <v>#REF!</v>
      </c>
    </row>
    <row r="255" spans="1:22" x14ac:dyDescent="0.35">
      <c r="A255" s="510" t="e">
        <f>#REF!</f>
        <v>#REF!</v>
      </c>
      <c r="M255" s="510" t="e">
        <f>#REF!</f>
        <v>#REF!</v>
      </c>
      <c r="V255" s="1" t="e">
        <f>#REF!</f>
        <v>#REF!</v>
      </c>
    </row>
    <row r="256" spans="1:22" x14ac:dyDescent="0.35">
      <c r="A256" s="510" t="e">
        <f>#REF!</f>
        <v>#REF!</v>
      </c>
      <c r="M256" s="510" t="e">
        <f>#REF!</f>
        <v>#REF!</v>
      </c>
      <c r="V256" s="1" t="e">
        <f>#REF!</f>
        <v>#REF!</v>
      </c>
    </row>
    <row r="257" spans="1:22" x14ac:dyDescent="0.35">
      <c r="A257" s="510" t="e">
        <f>#REF!</f>
        <v>#REF!</v>
      </c>
      <c r="M257" s="510" t="e">
        <f>#REF!</f>
        <v>#REF!</v>
      </c>
      <c r="V257" s="1" t="e">
        <f>#REF!</f>
        <v>#REF!</v>
      </c>
    </row>
    <row r="258" spans="1:22" x14ac:dyDescent="0.35">
      <c r="A258" s="510" t="e">
        <f>#REF!</f>
        <v>#REF!</v>
      </c>
      <c r="M258" s="510" t="e">
        <f>#REF!</f>
        <v>#REF!</v>
      </c>
      <c r="V258" s="1" t="e">
        <f>#REF!</f>
        <v>#REF!</v>
      </c>
    </row>
    <row r="259" spans="1:22" x14ac:dyDescent="0.35">
      <c r="A259" s="510" t="e">
        <f>#REF!</f>
        <v>#REF!</v>
      </c>
      <c r="M259" s="510" t="e">
        <f>#REF!</f>
        <v>#REF!</v>
      </c>
      <c r="V259" s="1" t="e">
        <f>#REF!</f>
        <v>#REF!</v>
      </c>
    </row>
    <row r="260" spans="1:22" x14ac:dyDescent="0.35">
      <c r="A260" s="510" t="e">
        <f>#REF!</f>
        <v>#REF!</v>
      </c>
      <c r="M260" s="510" t="e">
        <f>#REF!</f>
        <v>#REF!</v>
      </c>
      <c r="V260" s="1" t="e">
        <f>#REF!</f>
        <v>#REF!</v>
      </c>
    </row>
    <row r="261" spans="1:22" x14ac:dyDescent="0.35">
      <c r="A261" s="510" t="e">
        <f>#REF!</f>
        <v>#REF!</v>
      </c>
      <c r="M261" s="510" t="e">
        <f>#REF!</f>
        <v>#REF!</v>
      </c>
      <c r="V261" s="1" t="e">
        <f>#REF!</f>
        <v>#REF!</v>
      </c>
    </row>
    <row r="262" spans="1:22" x14ac:dyDescent="0.35">
      <c r="A262" s="510" t="e">
        <f>#REF!</f>
        <v>#REF!</v>
      </c>
      <c r="M262" s="510" t="e">
        <f>#REF!</f>
        <v>#REF!</v>
      </c>
      <c r="V262" s="1" t="e">
        <f>#REF!</f>
        <v>#REF!</v>
      </c>
    </row>
    <row r="263" spans="1:22" x14ac:dyDescent="0.35">
      <c r="A263" s="510" t="e">
        <f>#REF!</f>
        <v>#REF!</v>
      </c>
      <c r="M263" s="510" t="e">
        <f>#REF!</f>
        <v>#REF!</v>
      </c>
      <c r="V263" s="1" t="e">
        <f>#REF!</f>
        <v>#REF!</v>
      </c>
    </row>
    <row r="264" spans="1:22" x14ac:dyDescent="0.35">
      <c r="A264" s="510" t="e">
        <f>#REF!</f>
        <v>#REF!</v>
      </c>
      <c r="M264" s="510" t="e">
        <f>#REF!</f>
        <v>#REF!</v>
      </c>
      <c r="V264" s="1" t="e">
        <f>#REF!</f>
        <v>#REF!</v>
      </c>
    </row>
    <row r="265" spans="1:22" x14ac:dyDescent="0.35">
      <c r="A265" s="510" t="e">
        <f>#REF!</f>
        <v>#REF!</v>
      </c>
      <c r="M265" s="510" t="e">
        <f>#REF!</f>
        <v>#REF!</v>
      </c>
      <c r="V265" s="1" t="e">
        <f>#REF!</f>
        <v>#REF!</v>
      </c>
    </row>
    <row r="266" spans="1:22" x14ac:dyDescent="0.35">
      <c r="A266" s="510" t="e">
        <f>#REF!</f>
        <v>#REF!</v>
      </c>
      <c r="M266" s="510" t="e">
        <f>#REF!</f>
        <v>#REF!</v>
      </c>
      <c r="V266" s="1" t="e">
        <f>#REF!</f>
        <v>#REF!</v>
      </c>
    </row>
    <row r="267" spans="1:22" x14ac:dyDescent="0.35">
      <c r="A267" s="510" t="e">
        <f>#REF!</f>
        <v>#REF!</v>
      </c>
      <c r="M267" s="510" t="e">
        <f>#REF!</f>
        <v>#REF!</v>
      </c>
      <c r="V267" s="1" t="e">
        <f>#REF!</f>
        <v>#REF!</v>
      </c>
    </row>
    <row r="268" spans="1:22" x14ac:dyDescent="0.35">
      <c r="A268" s="510" t="e">
        <f>#REF!</f>
        <v>#REF!</v>
      </c>
      <c r="M268" s="510" t="e">
        <f>#REF!</f>
        <v>#REF!</v>
      </c>
      <c r="V268" s="1" t="e">
        <f>#REF!</f>
        <v>#REF!</v>
      </c>
    </row>
    <row r="269" spans="1:22" x14ac:dyDescent="0.35">
      <c r="A269" s="510" t="e">
        <f>#REF!</f>
        <v>#REF!</v>
      </c>
      <c r="M269" s="510" t="e">
        <f>#REF!</f>
        <v>#REF!</v>
      </c>
      <c r="V269" s="1" t="e">
        <f>#REF!</f>
        <v>#REF!</v>
      </c>
    </row>
    <row r="270" spans="1:22" x14ac:dyDescent="0.35">
      <c r="A270" s="510" t="e">
        <f>#REF!</f>
        <v>#REF!</v>
      </c>
      <c r="M270" s="510" t="e">
        <f>#REF!</f>
        <v>#REF!</v>
      </c>
      <c r="V270" s="1" t="e">
        <f>#REF!</f>
        <v>#REF!</v>
      </c>
    </row>
    <row r="271" spans="1:22" x14ac:dyDescent="0.35">
      <c r="A271" s="510" t="e">
        <f>#REF!</f>
        <v>#REF!</v>
      </c>
      <c r="M271" s="510" t="e">
        <f>#REF!</f>
        <v>#REF!</v>
      </c>
      <c r="V271" s="1" t="e">
        <f>#REF!</f>
        <v>#REF!</v>
      </c>
    </row>
    <row r="272" spans="1:22" x14ac:dyDescent="0.35">
      <c r="A272" s="510" t="e">
        <f>#REF!</f>
        <v>#REF!</v>
      </c>
      <c r="M272" s="510" t="e">
        <f>#REF!</f>
        <v>#REF!</v>
      </c>
      <c r="V272" s="1" t="e">
        <f>#REF!</f>
        <v>#REF!</v>
      </c>
    </row>
    <row r="273" spans="1:22" x14ac:dyDescent="0.35">
      <c r="A273" s="510" t="e">
        <f>#REF!</f>
        <v>#REF!</v>
      </c>
      <c r="M273" s="510" t="e">
        <f>#REF!</f>
        <v>#REF!</v>
      </c>
      <c r="V273" s="1" t="e">
        <f>#REF!</f>
        <v>#REF!</v>
      </c>
    </row>
    <row r="274" spans="1:22" x14ac:dyDescent="0.35">
      <c r="A274" s="510" t="e">
        <f>#REF!</f>
        <v>#REF!</v>
      </c>
      <c r="M274" s="510" t="e">
        <f>#REF!</f>
        <v>#REF!</v>
      </c>
      <c r="V274" s="1" t="e">
        <f>#REF!</f>
        <v>#REF!</v>
      </c>
    </row>
    <row r="275" spans="1:22" x14ac:dyDescent="0.35">
      <c r="A275" s="510" t="e">
        <f>#REF!</f>
        <v>#REF!</v>
      </c>
      <c r="M275" s="510" t="e">
        <f>#REF!</f>
        <v>#REF!</v>
      </c>
      <c r="V275" s="1" t="e">
        <f>#REF!</f>
        <v>#REF!</v>
      </c>
    </row>
    <row r="276" spans="1:22" x14ac:dyDescent="0.35">
      <c r="A276" s="510" t="e">
        <f>#REF!</f>
        <v>#REF!</v>
      </c>
      <c r="M276" s="510" t="e">
        <f>#REF!</f>
        <v>#REF!</v>
      </c>
      <c r="V276" s="1" t="e">
        <f>#REF!</f>
        <v>#REF!</v>
      </c>
    </row>
    <row r="277" spans="1:22" x14ac:dyDescent="0.35">
      <c r="A277" s="510" t="e">
        <f>#REF!</f>
        <v>#REF!</v>
      </c>
      <c r="M277" s="510" t="e">
        <f>#REF!</f>
        <v>#REF!</v>
      </c>
      <c r="V277" s="1" t="e">
        <f>#REF!</f>
        <v>#REF!</v>
      </c>
    </row>
    <row r="278" spans="1:22" x14ac:dyDescent="0.35">
      <c r="A278" s="510" t="e">
        <f>#REF!</f>
        <v>#REF!</v>
      </c>
      <c r="M278" s="510" t="e">
        <f>#REF!</f>
        <v>#REF!</v>
      </c>
      <c r="V278" s="1" t="e">
        <f>#REF!</f>
        <v>#REF!</v>
      </c>
    </row>
    <row r="279" spans="1:22" x14ac:dyDescent="0.35">
      <c r="A279" s="510" t="e">
        <f>#REF!</f>
        <v>#REF!</v>
      </c>
      <c r="M279" s="510" t="e">
        <f>#REF!</f>
        <v>#REF!</v>
      </c>
      <c r="V279" s="1" t="e">
        <f>#REF!</f>
        <v>#REF!</v>
      </c>
    </row>
    <row r="280" spans="1:22" x14ac:dyDescent="0.35">
      <c r="A280" s="510" t="e">
        <f>#REF!</f>
        <v>#REF!</v>
      </c>
      <c r="M280" s="510" t="e">
        <f>#REF!</f>
        <v>#REF!</v>
      </c>
      <c r="V280" s="1" t="e">
        <f>#REF!</f>
        <v>#REF!</v>
      </c>
    </row>
    <row r="281" spans="1:22" x14ac:dyDescent="0.35">
      <c r="A281" s="510" t="e">
        <f>#REF!</f>
        <v>#REF!</v>
      </c>
      <c r="M281" s="510" t="e">
        <f>#REF!</f>
        <v>#REF!</v>
      </c>
      <c r="V281" s="1" t="e">
        <f>#REF!</f>
        <v>#REF!</v>
      </c>
    </row>
    <row r="282" spans="1:22" x14ac:dyDescent="0.35">
      <c r="A282" s="510" t="e">
        <f>#REF!</f>
        <v>#REF!</v>
      </c>
      <c r="M282" s="510" t="e">
        <f>#REF!</f>
        <v>#REF!</v>
      </c>
      <c r="V282" s="1" t="e">
        <f>#REF!</f>
        <v>#REF!</v>
      </c>
    </row>
    <row r="283" spans="1:22" x14ac:dyDescent="0.35">
      <c r="A283" s="510" t="e">
        <f>#REF!</f>
        <v>#REF!</v>
      </c>
      <c r="M283" s="510" t="e">
        <f>#REF!</f>
        <v>#REF!</v>
      </c>
      <c r="V283" s="1" t="e">
        <f>#REF!</f>
        <v>#REF!</v>
      </c>
    </row>
    <row r="284" spans="1:22" x14ac:dyDescent="0.35">
      <c r="A284" s="510" t="e">
        <f>#REF!</f>
        <v>#REF!</v>
      </c>
      <c r="M284" s="510" t="e">
        <f>#REF!</f>
        <v>#REF!</v>
      </c>
      <c r="V284" s="1" t="e">
        <f>#REF!</f>
        <v>#REF!</v>
      </c>
    </row>
    <row r="285" spans="1:22" x14ac:dyDescent="0.35">
      <c r="A285" s="510" t="e">
        <f>#REF!</f>
        <v>#REF!</v>
      </c>
      <c r="M285" s="510" t="e">
        <f>#REF!</f>
        <v>#REF!</v>
      </c>
      <c r="V285" s="1" t="e">
        <f>#REF!</f>
        <v>#REF!</v>
      </c>
    </row>
    <row r="286" spans="1:22" x14ac:dyDescent="0.35">
      <c r="A286" s="510" t="e">
        <f>#REF!</f>
        <v>#REF!</v>
      </c>
      <c r="M286" s="510" t="e">
        <f>#REF!</f>
        <v>#REF!</v>
      </c>
      <c r="V286" s="1" t="e">
        <f>#REF!</f>
        <v>#REF!</v>
      </c>
    </row>
    <row r="287" spans="1:22" x14ac:dyDescent="0.35">
      <c r="A287" s="510" t="e">
        <f>#REF!</f>
        <v>#REF!</v>
      </c>
      <c r="M287" s="510" t="e">
        <f>#REF!</f>
        <v>#REF!</v>
      </c>
      <c r="V287" s="1" t="e">
        <f>#REF!</f>
        <v>#REF!</v>
      </c>
    </row>
    <row r="288" spans="1:22" x14ac:dyDescent="0.35">
      <c r="A288" s="510" t="e">
        <f>#REF!</f>
        <v>#REF!</v>
      </c>
      <c r="M288" s="510" t="e">
        <f>#REF!</f>
        <v>#REF!</v>
      </c>
      <c r="V288" s="1" t="e">
        <f>#REF!</f>
        <v>#REF!</v>
      </c>
    </row>
    <row r="289" spans="1:22" x14ac:dyDescent="0.35">
      <c r="A289" s="510" t="e">
        <f>#REF!</f>
        <v>#REF!</v>
      </c>
      <c r="M289" s="510" t="e">
        <f>#REF!</f>
        <v>#REF!</v>
      </c>
      <c r="V289" s="1" t="e">
        <f>#REF!</f>
        <v>#REF!</v>
      </c>
    </row>
    <row r="290" spans="1:22" x14ac:dyDescent="0.35">
      <c r="A290" s="510" t="e">
        <f>#REF!</f>
        <v>#REF!</v>
      </c>
      <c r="M290" s="510" t="e">
        <f>#REF!</f>
        <v>#REF!</v>
      </c>
      <c r="V290" s="1" t="e">
        <f>#REF!</f>
        <v>#REF!</v>
      </c>
    </row>
    <row r="291" spans="1:22" x14ac:dyDescent="0.35">
      <c r="A291" s="510" t="e">
        <f>#REF!</f>
        <v>#REF!</v>
      </c>
      <c r="M291" s="510" t="e">
        <f>#REF!</f>
        <v>#REF!</v>
      </c>
      <c r="V291" s="1" t="e">
        <f>#REF!</f>
        <v>#REF!</v>
      </c>
    </row>
    <row r="292" spans="1:22" x14ac:dyDescent="0.35">
      <c r="A292" s="510" t="e">
        <f>#REF!</f>
        <v>#REF!</v>
      </c>
      <c r="M292" s="510" t="e">
        <f>#REF!</f>
        <v>#REF!</v>
      </c>
      <c r="V292" s="1" t="e">
        <f>#REF!</f>
        <v>#REF!</v>
      </c>
    </row>
    <row r="293" spans="1:22" x14ac:dyDescent="0.35">
      <c r="A293" s="510" t="e">
        <f>#REF!</f>
        <v>#REF!</v>
      </c>
      <c r="M293" s="510" t="e">
        <f>#REF!</f>
        <v>#REF!</v>
      </c>
      <c r="V293" s="1" t="e">
        <f>#REF!</f>
        <v>#REF!</v>
      </c>
    </row>
    <row r="294" spans="1:22" x14ac:dyDescent="0.35">
      <c r="A294" s="510" t="e">
        <f>#REF!</f>
        <v>#REF!</v>
      </c>
      <c r="M294" s="510" t="e">
        <f>#REF!</f>
        <v>#REF!</v>
      </c>
      <c r="V294" s="1" t="e">
        <f>#REF!</f>
        <v>#REF!</v>
      </c>
    </row>
    <row r="295" spans="1:22" x14ac:dyDescent="0.35">
      <c r="A295" s="510" t="e">
        <f>#REF!</f>
        <v>#REF!</v>
      </c>
      <c r="M295" s="510" t="e">
        <f>#REF!</f>
        <v>#REF!</v>
      </c>
      <c r="V295" s="1" t="e">
        <f>#REF!</f>
        <v>#REF!</v>
      </c>
    </row>
    <row r="296" spans="1:22" x14ac:dyDescent="0.35">
      <c r="A296" s="510" t="e">
        <f>#REF!</f>
        <v>#REF!</v>
      </c>
      <c r="M296" s="510" t="e">
        <f>#REF!</f>
        <v>#REF!</v>
      </c>
      <c r="V296" s="1" t="e">
        <f>#REF!</f>
        <v>#REF!</v>
      </c>
    </row>
    <row r="297" spans="1:22" x14ac:dyDescent="0.35">
      <c r="A297" s="510" t="e">
        <f>#REF!</f>
        <v>#REF!</v>
      </c>
      <c r="M297" s="510" t="e">
        <f>#REF!</f>
        <v>#REF!</v>
      </c>
      <c r="V297" s="1" t="e">
        <f>#REF!</f>
        <v>#REF!</v>
      </c>
    </row>
    <row r="298" spans="1:22" x14ac:dyDescent="0.35">
      <c r="A298" s="510" t="e">
        <f>#REF!</f>
        <v>#REF!</v>
      </c>
      <c r="M298" s="510" t="e">
        <f>#REF!</f>
        <v>#REF!</v>
      </c>
      <c r="V298" s="1" t="e">
        <f>#REF!</f>
        <v>#REF!</v>
      </c>
    </row>
    <row r="299" spans="1:22" x14ac:dyDescent="0.35">
      <c r="A299" s="510" t="e">
        <f>#REF!</f>
        <v>#REF!</v>
      </c>
      <c r="M299" s="510" t="e">
        <f>#REF!</f>
        <v>#REF!</v>
      </c>
      <c r="V299" s="1" t="e">
        <f>#REF!</f>
        <v>#REF!</v>
      </c>
    </row>
    <row r="300" spans="1:22" x14ac:dyDescent="0.35">
      <c r="A300" s="510" t="e">
        <f>#REF!</f>
        <v>#REF!</v>
      </c>
      <c r="M300" s="510" t="e">
        <f>#REF!</f>
        <v>#REF!</v>
      </c>
      <c r="V300" s="1" t="e">
        <f>#REF!</f>
        <v>#REF!</v>
      </c>
    </row>
    <row r="301" spans="1:22" x14ac:dyDescent="0.35">
      <c r="A301" s="510" t="e">
        <f>#REF!</f>
        <v>#REF!</v>
      </c>
      <c r="M301" s="510" t="e">
        <f>#REF!</f>
        <v>#REF!</v>
      </c>
      <c r="V301" s="1" t="e">
        <f>#REF!</f>
        <v>#REF!</v>
      </c>
    </row>
    <row r="302" spans="1:22" x14ac:dyDescent="0.35">
      <c r="A302" s="510" t="e">
        <f>#REF!</f>
        <v>#REF!</v>
      </c>
      <c r="M302" s="510" t="e">
        <f>#REF!</f>
        <v>#REF!</v>
      </c>
      <c r="V302" s="1" t="e">
        <f>#REF!</f>
        <v>#REF!</v>
      </c>
    </row>
    <row r="303" spans="1:22" x14ac:dyDescent="0.35">
      <c r="A303" s="510" t="e">
        <f>#REF!</f>
        <v>#REF!</v>
      </c>
      <c r="M303" s="510" t="e">
        <f>#REF!</f>
        <v>#REF!</v>
      </c>
      <c r="V303" s="1" t="e">
        <f>#REF!</f>
        <v>#REF!</v>
      </c>
    </row>
    <row r="304" spans="1:22" x14ac:dyDescent="0.35">
      <c r="A304" s="510" t="e">
        <f>#REF!</f>
        <v>#REF!</v>
      </c>
      <c r="M304" s="510" t="e">
        <f>#REF!</f>
        <v>#REF!</v>
      </c>
      <c r="V304" s="1" t="e">
        <f>#REF!</f>
        <v>#REF!</v>
      </c>
    </row>
    <row r="305" spans="1:22" x14ac:dyDescent="0.35">
      <c r="A305" s="510" t="e">
        <f>#REF!</f>
        <v>#REF!</v>
      </c>
      <c r="M305" s="510" t="e">
        <f>#REF!</f>
        <v>#REF!</v>
      </c>
      <c r="V305" s="1" t="e">
        <f>#REF!</f>
        <v>#REF!</v>
      </c>
    </row>
    <row r="306" spans="1:22" x14ac:dyDescent="0.35">
      <c r="A306" s="510" t="e">
        <f>#REF!</f>
        <v>#REF!</v>
      </c>
      <c r="M306" s="510" t="e">
        <f>#REF!</f>
        <v>#REF!</v>
      </c>
      <c r="V306" s="1" t="e">
        <f>#REF!</f>
        <v>#REF!</v>
      </c>
    </row>
    <row r="307" spans="1:22" x14ac:dyDescent="0.35">
      <c r="A307" s="510" t="e">
        <f>#REF!</f>
        <v>#REF!</v>
      </c>
      <c r="M307" s="510" t="e">
        <f>#REF!</f>
        <v>#REF!</v>
      </c>
      <c r="V307" s="1" t="e">
        <f>#REF!</f>
        <v>#REF!</v>
      </c>
    </row>
    <row r="308" spans="1:22" x14ac:dyDescent="0.35">
      <c r="A308" s="510" t="e">
        <f>#REF!</f>
        <v>#REF!</v>
      </c>
      <c r="M308" s="510" t="e">
        <f>#REF!</f>
        <v>#REF!</v>
      </c>
      <c r="V308" s="1" t="e">
        <f>#REF!</f>
        <v>#REF!</v>
      </c>
    </row>
    <row r="309" spans="1:22" x14ac:dyDescent="0.35">
      <c r="A309" s="510" t="e">
        <f>#REF!</f>
        <v>#REF!</v>
      </c>
      <c r="M309" s="510" t="e">
        <f>#REF!</f>
        <v>#REF!</v>
      </c>
      <c r="V309" s="1" t="e">
        <f>#REF!</f>
        <v>#REF!</v>
      </c>
    </row>
    <row r="310" spans="1:22" x14ac:dyDescent="0.35">
      <c r="A310" s="510" t="e">
        <f>#REF!</f>
        <v>#REF!</v>
      </c>
      <c r="M310" s="510" t="e">
        <f>#REF!</f>
        <v>#REF!</v>
      </c>
      <c r="V310" s="1" t="e">
        <f>#REF!</f>
        <v>#REF!</v>
      </c>
    </row>
    <row r="311" spans="1:22" x14ac:dyDescent="0.35">
      <c r="A311" s="510" t="e">
        <f>#REF!</f>
        <v>#REF!</v>
      </c>
      <c r="M311" s="510" t="e">
        <f>#REF!</f>
        <v>#REF!</v>
      </c>
      <c r="V311" s="1" t="e">
        <f>#REF!</f>
        <v>#REF!</v>
      </c>
    </row>
    <row r="312" spans="1:22" x14ac:dyDescent="0.35">
      <c r="A312" s="510" t="e">
        <f>#REF!</f>
        <v>#REF!</v>
      </c>
      <c r="M312" s="510" t="e">
        <f>#REF!</f>
        <v>#REF!</v>
      </c>
      <c r="V312" s="1" t="e">
        <f>#REF!</f>
        <v>#REF!</v>
      </c>
    </row>
    <row r="313" spans="1:22" x14ac:dyDescent="0.35">
      <c r="A313" s="510" t="e">
        <f>#REF!</f>
        <v>#REF!</v>
      </c>
      <c r="M313" s="510" t="e">
        <f>#REF!</f>
        <v>#REF!</v>
      </c>
      <c r="V313" s="1" t="e">
        <f>#REF!</f>
        <v>#REF!</v>
      </c>
    </row>
    <row r="314" spans="1:22" x14ac:dyDescent="0.35">
      <c r="A314" s="510" t="e">
        <f>#REF!</f>
        <v>#REF!</v>
      </c>
      <c r="M314" s="510" t="e">
        <f>#REF!</f>
        <v>#REF!</v>
      </c>
      <c r="V314" s="1" t="e">
        <f>#REF!</f>
        <v>#REF!</v>
      </c>
    </row>
    <row r="315" spans="1:22" x14ac:dyDescent="0.35">
      <c r="A315" s="510" t="e">
        <f>#REF!</f>
        <v>#REF!</v>
      </c>
      <c r="M315" s="510" t="e">
        <f>#REF!</f>
        <v>#REF!</v>
      </c>
      <c r="V315" s="1" t="e">
        <f>#REF!</f>
        <v>#REF!</v>
      </c>
    </row>
    <row r="316" spans="1:22" x14ac:dyDescent="0.35">
      <c r="A316" s="510" t="e">
        <f>#REF!</f>
        <v>#REF!</v>
      </c>
      <c r="M316" s="510" t="e">
        <f>#REF!</f>
        <v>#REF!</v>
      </c>
      <c r="V316" s="1" t="e">
        <f>#REF!</f>
        <v>#REF!</v>
      </c>
    </row>
    <row r="317" spans="1:22" x14ac:dyDescent="0.35">
      <c r="A317" s="510" t="e">
        <f>#REF!</f>
        <v>#REF!</v>
      </c>
      <c r="M317" s="510" t="e">
        <f>#REF!</f>
        <v>#REF!</v>
      </c>
      <c r="V317" s="1" t="e">
        <f>#REF!</f>
        <v>#REF!</v>
      </c>
    </row>
    <row r="318" spans="1:22" x14ac:dyDescent="0.35">
      <c r="A318" s="510" t="e">
        <f>#REF!</f>
        <v>#REF!</v>
      </c>
      <c r="M318" s="510" t="e">
        <f>#REF!</f>
        <v>#REF!</v>
      </c>
      <c r="V318" s="1" t="e">
        <f>#REF!</f>
        <v>#REF!</v>
      </c>
    </row>
    <row r="319" spans="1:22" x14ac:dyDescent="0.35">
      <c r="A319" s="510" t="e">
        <f>#REF!</f>
        <v>#REF!</v>
      </c>
      <c r="M319" s="510" t="e">
        <f>#REF!</f>
        <v>#REF!</v>
      </c>
      <c r="V319" s="1" t="e">
        <f>#REF!</f>
        <v>#REF!</v>
      </c>
    </row>
    <row r="320" spans="1:22" x14ac:dyDescent="0.35">
      <c r="A320" s="510" t="e">
        <f>#REF!</f>
        <v>#REF!</v>
      </c>
      <c r="M320" s="510" t="e">
        <f>#REF!</f>
        <v>#REF!</v>
      </c>
      <c r="V320" s="1" t="e">
        <f>#REF!</f>
        <v>#REF!</v>
      </c>
    </row>
    <row r="321" spans="1:22" x14ac:dyDescent="0.35">
      <c r="A321" s="510" t="e">
        <f>#REF!</f>
        <v>#REF!</v>
      </c>
      <c r="M321" s="510" t="e">
        <f>#REF!</f>
        <v>#REF!</v>
      </c>
      <c r="V321" s="1" t="e">
        <f>#REF!</f>
        <v>#REF!</v>
      </c>
    </row>
    <row r="322" spans="1:22" x14ac:dyDescent="0.35">
      <c r="A322" s="510" t="e">
        <f>#REF!</f>
        <v>#REF!</v>
      </c>
      <c r="M322" s="510" t="e">
        <f>#REF!</f>
        <v>#REF!</v>
      </c>
      <c r="V322" s="1" t="e">
        <f>#REF!</f>
        <v>#REF!</v>
      </c>
    </row>
    <row r="323" spans="1:22" x14ac:dyDescent="0.35">
      <c r="A323" s="510" t="e">
        <f>#REF!</f>
        <v>#REF!</v>
      </c>
      <c r="M323" s="510" t="e">
        <f>#REF!</f>
        <v>#REF!</v>
      </c>
      <c r="V323" s="1" t="e">
        <f>#REF!</f>
        <v>#REF!</v>
      </c>
    </row>
    <row r="324" spans="1:22" x14ac:dyDescent="0.35">
      <c r="A324" s="510" t="e">
        <f>#REF!</f>
        <v>#REF!</v>
      </c>
      <c r="M324" s="510" t="e">
        <f>#REF!</f>
        <v>#REF!</v>
      </c>
      <c r="V324" s="1" t="e">
        <f>#REF!</f>
        <v>#REF!</v>
      </c>
    </row>
    <row r="325" spans="1:22" x14ac:dyDescent="0.35">
      <c r="A325" s="510" t="e">
        <f>#REF!</f>
        <v>#REF!</v>
      </c>
      <c r="M325" s="510" t="e">
        <f>#REF!</f>
        <v>#REF!</v>
      </c>
      <c r="V325" s="1" t="e">
        <f>#REF!</f>
        <v>#REF!</v>
      </c>
    </row>
    <row r="326" spans="1:22" x14ac:dyDescent="0.35">
      <c r="A326" s="510" t="e">
        <f>#REF!</f>
        <v>#REF!</v>
      </c>
      <c r="M326" s="510" t="e">
        <f>#REF!</f>
        <v>#REF!</v>
      </c>
      <c r="V326" s="1" t="e">
        <f>#REF!</f>
        <v>#REF!</v>
      </c>
    </row>
    <row r="327" spans="1:22" x14ac:dyDescent="0.35">
      <c r="A327" s="510" t="e">
        <f>#REF!</f>
        <v>#REF!</v>
      </c>
      <c r="M327" s="510" t="e">
        <f>#REF!</f>
        <v>#REF!</v>
      </c>
      <c r="V327" s="1" t="e">
        <f>#REF!</f>
        <v>#REF!</v>
      </c>
    </row>
    <row r="328" spans="1:22" x14ac:dyDescent="0.35">
      <c r="A328" s="510" t="e">
        <f>#REF!</f>
        <v>#REF!</v>
      </c>
      <c r="M328" s="510" t="e">
        <f>#REF!</f>
        <v>#REF!</v>
      </c>
      <c r="V328" s="1" t="e">
        <f>#REF!</f>
        <v>#REF!</v>
      </c>
    </row>
    <row r="329" spans="1:22" x14ac:dyDescent="0.35">
      <c r="A329" s="510" t="e">
        <f>#REF!</f>
        <v>#REF!</v>
      </c>
      <c r="M329" s="510" t="e">
        <f>#REF!</f>
        <v>#REF!</v>
      </c>
      <c r="V329" s="1" t="e">
        <f>#REF!</f>
        <v>#REF!</v>
      </c>
    </row>
    <row r="330" spans="1:22" x14ac:dyDescent="0.35">
      <c r="A330" s="510" t="e">
        <f>#REF!</f>
        <v>#REF!</v>
      </c>
      <c r="M330" s="510" t="e">
        <f>#REF!</f>
        <v>#REF!</v>
      </c>
      <c r="V330" s="1" t="e">
        <f>#REF!</f>
        <v>#REF!</v>
      </c>
    </row>
    <row r="331" spans="1:22" x14ac:dyDescent="0.35">
      <c r="A331" s="510" t="e">
        <f>#REF!</f>
        <v>#REF!</v>
      </c>
      <c r="M331" s="510" t="e">
        <f>#REF!</f>
        <v>#REF!</v>
      </c>
      <c r="V331" s="1" t="e">
        <f>#REF!</f>
        <v>#REF!</v>
      </c>
    </row>
    <row r="332" spans="1:22" x14ac:dyDescent="0.35">
      <c r="A332" s="510" t="e">
        <f>#REF!</f>
        <v>#REF!</v>
      </c>
      <c r="M332" s="510" t="e">
        <f>#REF!</f>
        <v>#REF!</v>
      </c>
      <c r="V332" s="1" t="e">
        <f>#REF!</f>
        <v>#REF!</v>
      </c>
    </row>
    <row r="333" spans="1:22" x14ac:dyDescent="0.35">
      <c r="A333" s="510" t="e">
        <f>#REF!</f>
        <v>#REF!</v>
      </c>
      <c r="M333" s="510" t="e">
        <f>#REF!</f>
        <v>#REF!</v>
      </c>
      <c r="V333" s="1" t="e">
        <f>#REF!</f>
        <v>#REF!</v>
      </c>
    </row>
    <row r="334" spans="1:22" x14ac:dyDescent="0.35">
      <c r="A334" s="510" t="e">
        <f>#REF!</f>
        <v>#REF!</v>
      </c>
      <c r="M334" s="510" t="e">
        <f>#REF!</f>
        <v>#REF!</v>
      </c>
      <c r="V334" s="1" t="e">
        <f>#REF!</f>
        <v>#REF!</v>
      </c>
    </row>
    <row r="335" spans="1:22" x14ac:dyDescent="0.35">
      <c r="A335" s="510" t="e">
        <f>#REF!</f>
        <v>#REF!</v>
      </c>
      <c r="M335" s="510" t="e">
        <f>#REF!</f>
        <v>#REF!</v>
      </c>
      <c r="V335" s="1" t="e">
        <f>#REF!</f>
        <v>#REF!</v>
      </c>
    </row>
    <row r="336" spans="1:22" x14ac:dyDescent="0.35">
      <c r="A336" s="510" t="e">
        <f>#REF!</f>
        <v>#REF!</v>
      </c>
      <c r="M336" s="510" t="e">
        <f>#REF!</f>
        <v>#REF!</v>
      </c>
      <c r="V336" s="1" t="e">
        <f>#REF!</f>
        <v>#REF!</v>
      </c>
    </row>
    <row r="337" spans="1:22" x14ac:dyDescent="0.35">
      <c r="A337" s="510" t="e">
        <f>#REF!</f>
        <v>#REF!</v>
      </c>
      <c r="M337" s="510" t="e">
        <f>#REF!</f>
        <v>#REF!</v>
      </c>
      <c r="V337" s="1" t="e">
        <f>#REF!</f>
        <v>#REF!</v>
      </c>
    </row>
    <row r="338" spans="1:22" x14ac:dyDescent="0.35">
      <c r="A338" s="510" t="e">
        <f>#REF!</f>
        <v>#REF!</v>
      </c>
      <c r="M338" s="510" t="e">
        <f>#REF!</f>
        <v>#REF!</v>
      </c>
      <c r="V338" s="1" t="e">
        <f>#REF!</f>
        <v>#REF!</v>
      </c>
    </row>
    <row r="339" spans="1:22" x14ac:dyDescent="0.35">
      <c r="A339" s="510" t="e">
        <f>#REF!</f>
        <v>#REF!</v>
      </c>
      <c r="M339" s="510" t="e">
        <f>#REF!</f>
        <v>#REF!</v>
      </c>
      <c r="V339" s="1" t="e">
        <f>#REF!</f>
        <v>#REF!</v>
      </c>
    </row>
    <row r="340" spans="1:22" x14ac:dyDescent="0.35">
      <c r="A340" s="510" t="e">
        <f>#REF!</f>
        <v>#REF!</v>
      </c>
      <c r="M340" s="510" t="e">
        <f>#REF!</f>
        <v>#REF!</v>
      </c>
      <c r="V340" s="1" t="e">
        <f>#REF!</f>
        <v>#REF!</v>
      </c>
    </row>
    <row r="341" spans="1:22" x14ac:dyDescent="0.35">
      <c r="A341" s="510" t="e">
        <f>#REF!</f>
        <v>#REF!</v>
      </c>
      <c r="M341" s="510" t="e">
        <f>#REF!</f>
        <v>#REF!</v>
      </c>
      <c r="V341" s="1" t="e">
        <f>#REF!</f>
        <v>#REF!</v>
      </c>
    </row>
    <row r="342" spans="1:22" x14ac:dyDescent="0.35">
      <c r="A342" s="510" t="e">
        <f>#REF!</f>
        <v>#REF!</v>
      </c>
      <c r="M342" s="510" t="e">
        <f>#REF!</f>
        <v>#REF!</v>
      </c>
      <c r="V342" s="1" t="e">
        <f>#REF!</f>
        <v>#REF!</v>
      </c>
    </row>
    <row r="343" spans="1:22" x14ac:dyDescent="0.35">
      <c r="A343" s="510" t="e">
        <f>#REF!</f>
        <v>#REF!</v>
      </c>
      <c r="M343" s="510" t="e">
        <f>#REF!</f>
        <v>#REF!</v>
      </c>
      <c r="V343" s="1" t="e">
        <f>#REF!</f>
        <v>#REF!</v>
      </c>
    </row>
    <row r="344" spans="1:22" x14ac:dyDescent="0.35">
      <c r="A344" s="510" t="e">
        <f>#REF!</f>
        <v>#REF!</v>
      </c>
      <c r="M344" s="510" t="e">
        <f>#REF!</f>
        <v>#REF!</v>
      </c>
      <c r="V344" s="1" t="e">
        <f>#REF!</f>
        <v>#REF!</v>
      </c>
    </row>
    <row r="345" spans="1:22" x14ac:dyDescent="0.35">
      <c r="A345" s="510" t="e">
        <f>#REF!</f>
        <v>#REF!</v>
      </c>
      <c r="M345" s="510" t="e">
        <f>#REF!</f>
        <v>#REF!</v>
      </c>
      <c r="V345" s="1" t="e">
        <f>#REF!</f>
        <v>#REF!</v>
      </c>
    </row>
    <row r="346" spans="1:22" x14ac:dyDescent="0.35">
      <c r="A346" s="510" t="e">
        <f>#REF!</f>
        <v>#REF!</v>
      </c>
      <c r="M346" s="510" t="e">
        <f>#REF!</f>
        <v>#REF!</v>
      </c>
      <c r="V346" s="1" t="e">
        <f>#REF!</f>
        <v>#REF!</v>
      </c>
    </row>
    <row r="347" spans="1:22" x14ac:dyDescent="0.35">
      <c r="A347" s="510" t="e">
        <f>#REF!</f>
        <v>#REF!</v>
      </c>
      <c r="M347" s="510" t="e">
        <f>#REF!</f>
        <v>#REF!</v>
      </c>
      <c r="V347" s="1" t="e">
        <f>#REF!</f>
        <v>#REF!</v>
      </c>
    </row>
    <row r="348" spans="1:22" x14ac:dyDescent="0.35">
      <c r="A348" s="510" t="e">
        <f>#REF!</f>
        <v>#REF!</v>
      </c>
      <c r="M348" s="510" t="e">
        <f>#REF!</f>
        <v>#REF!</v>
      </c>
      <c r="V348" s="1" t="e">
        <f>#REF!</f>
        <v>#REF!</v>
      </c>
    </row>
    <row r="349" spans="1:22" x14ac:dyDescent="0.35">
      <c r="A349" s="510" t="e">
        <f>#REF!</f>
        <v>#REF!</v>
      </c>
      <c r="M349" s="510" t="e">
        <f>#REF!</f>
        <v>#REF!</v>
      </c>
      <c r="V349" s="1" t="e">
        <f>#REF!</f>
        <v>#REF!</v>
      </c>
    </row>
    <row r="350" spans="1:22" x14ac:dyDescent="0.35">
      <c r="A350" s="510" t="e">
        <f>#REF!</f>
        <v>#REF!</v>
      </c>
      <c r="M350" s="510" t="e">
        <f>#REF!</f>
        <v>#REF!</v>
      </c>
      <c r="V350" s="1" t="e">
        <f>#REF!</f>
        <v>#REF!</v>
      </c>
    </row>
    <row r="351" spans="1:22" x14ac:dyDescent="0.35">
      <c r="A351" s="510" t="e">
        <f>#REF!</f>
        <v>#REF!</v>
      </c>
      <c r="M351" s="510" t="e">
        <f>#REF!</f>
        <v>#REF!</v>
      </c>
      <c r="V351" s="1" t="e">
        <f>#REF!</f>
        <v>#REF!</v>
      </c>
    </row>
    <row r="352" spans="1:22" x14ac:dyDescent="0.35">
      <c r="A352" s="510" t="e">
        <f>#REF!</f>
        <v>#REF!</v>
      </c>
      <c r="M352" s="510" t="e">
        <f>#REF!</f>
        <v>#REF!</v>
      </c>
      <c r="V352" s="1" t="e">
        <f>#REF!</f>
        <v>#REF!</v>
      </c>
    </row>
    <row r="353" spans="1:22" x14ac:dyDescent="0.35">
      <c r="A353" s="510" t="e">
        <f>#REF!</f>
        <v>#REF!</v>
      </c>
      <c r="M353" s="510" t="e">
        <f>#REF!</f>
        <v>#REF!</v>
      </c>
      <c r="V353" s="1" t="e">
        <f>#REF!</f>
        <v>#REF!</v>
      </c>
    </row>
    <row r="354" spans="1:22" x14ac:dyDescent="0.35">
      <c r="A354" s="510" t="e">
        <f>#REF!</f>
        <v>#REF!</v>
      </c>
      <c r="M354" s="510" t="e">
        <f>#REF!</f>
        <v>#REF!</v>
      </c>
      <c r="V354" s="1" t="e">
        <f>#REF!</f>
        <v>#REF!</v>
      </c>
    </row>
    <row r="355" spans="1:22" x14ac:dyDescent="0.35">
      <c r="A355" s="510" t="e">
        <f>#REF!</f>
        <v>#REF!</v>
      </c>
      <c r="M355" s="510" t="e">
        <f>#REF!</f>
        <v>#REF!</v>
      </c>
      <c r="V355" s="1" t="e">
        <f>#REF!</f>
        <v>#REF!</v>
      </c>
    </row>
    <row r="356" spans="1:22" x14ac:dyDescent="0.35">
      <c r="A356" s="510" t="e">
        <f>#REF!</f>
        <v>#REF!</v>
      </c>
      <c r="M356" s="510" t="e">
        <f>#REF!</f>
        <v>#REF!</v>
      </c>
      <c r="V356" s="1" t="e">
        <f>#REF!</f>
        <v>#REF!</v>
      </c>
    </row>
    <row r="357" spans="1:22" x14ac:dyDescent="0.35">
      <c r="A357" s="510" t="e">
        <f>#REF!</f>
        <v>#REF!</v>
      </c>
      <c r="M357" s="510" t="e">
        <f>#REF!</f>
        <v>#REF!</v>
      </c>
      <c r="V357" s="1" t="e">
        <f>#REF!</f>
        <v>#REF!</v>
      </c>
    </row>
    <row r="358" spans="1:22" x14ac:dyDescent="0.35">
      <c r="A358" s="510" t="e">
        <f>#REF!</f>
        <v>#REF!</v>
      </c>
      <c r="M358" s="510" t="e">
        <f>#REF!</f>
        <v>#REF!</v>
      </c>
      <c r="V358" s="1" t="e">
        <f>#REF!</f>
        <v>#REF!</v>
      </c>
    </row>
    <row r="359" spans="1:22" x14ac:dyDescent="0.35">
      <c r="A359" s="510" t="e">
        <f>#REF!</f>
        <v>#REF!</v>
      </c>
      <c r="M359" s="510" t="e">
        <f>#REF!</f>
        <v>#REF!</v>
      </c>
      <c r="V359" s="1" t="e">
        <f>#REF!</f>
        <v>#REF!</v>
      </c>
    </row>
    <row r="360" spans="1:22" x14ac:dyDescent="0.35">
      <c r="A360" s="510" t="e">
        <f>#REF!</f>
        <v>#REF!</v>
      </c>
      <c r="M360" s="510" t="e">
        <f>#REF!</f>
        <v>#REF!</v>
      </c>
      <c r="V360" s="1" t="e">
        <f>#REF!</f>
        <v>#REF!</v>
      </c>
    </row>
    <row r="361" spans="1:22" x14ac:dyDescent="0.35">
      <c r="A361" s="510" t="e">
        <f>#REF!</f>
        <v>#REF!</v>
      </c>
      <c r="M361" s="510" t="e">
        <f>#REF!</f>
        <v>#REF!</v>
      </c>
      <c r="V361" s="1" t="e">
        <f>#REF!</f>
        <v>#REF!</v>
      </c>
    </row>
    <row r="362" spans="1:22" x14ac:dyDescent="0.35">
      <c r="A362" s="510" t="e">
        <f>#REF!</f>
        <v>#REF!</v>
      </c>
      <c r="M362" s="510" t="e">
        <f>#REF!</f>
        <v>#REF!</v>
      </c>
      <c r="V362" s="1" t="e">
        <f>#REF!</f>
        <v>#REF!</v>
      </c>
    </row>
    <row r="363" spans="1:22" x14ac:dyDescent="0.35">
      <c r="A363" s="510" t="e">
        <f>#REF!</f>
        <v>#REF!</v>
      </c>
      <c r="M363" s="510" t="e">
        <f>#REF!</f>
        <v>#REF!</v>
      </c>
      <c r="V363" s="1" t="e">
        <f>#REF!</f>
        <v>#REF!</v>
      </c>
    </row>
    <row r="364" spans="1:22" x14ac:dyDescent="0.35">
      <c r="A364" s="510" t="e">
        <f>#REF!</f>
        <v>#REF!</v>
      </c>
      <c r="M364" s="510" t="e">
        <f>#REF!</f>
        <v>#REF!</v>
      </c>
      <c r="V364" s="1" t="e">
        <f>#REF!</f>
        <v>#REF!</v>
      </c>
    </row>
    <row r="365" spans="1:22" x14ac:dyDescent="0.35">
      <c r="A365" s="510" t="e">
        <f>#REF!</f>
        <v>#REF!</v>
      </c>
      <c r="M365" s="510" t="e">
        <f>#REF!</f>
        <v>#REF!</v>
      </c>
      <c r="V365" s="1" t="e">
        <f>#REF!</f>
        <v>#REF!</v>
      </c>
    </row>
    <row r="366" spans="1:22" x14ac:dyDescent="0.35">
      <c r="A366" s="510" t="e">
        <f>#REF!</f>
        <v>#REF!</v>
      </c>
      <c r="M366" s="510" t="e">
        <f>#REF!</f>
        <v>#REF!</v>
      </c>
      <c r="V366" s="1" t="e">
        <f>#REF!</f>
        <v>#REF!</v>
      </c>
    </row>
    <row r="367" spans="1:22" x14ac:dyDescent="0.35">
      <c r="A367" s="510" t="e">
        <f>#REF!</f>
        <v>#REF!</v>
      </c>
      <c r="M367" s="510" t="e">
        <f>#REF!</f>
        <v>#REF!</v>
      </c>
      <c r="V367" s="1" t="e">
        <f>#REF!</f>
        <v>#REF!</v>
      </c>
    </row>
    <row r="368" spans="1:22" x14ac:dyDescent="0.35">
      <c r="A368" s="510" t="e">
        <f>#REF!</f>
        <v>#REF!</v>
      </c>
      <c r="M368" s="510" t="e">
        <f>#REF!</f>
        <v>#REF!</v>
      </c>
      <c r="V368" s="1" t="e">
        <f>#REF!</f>
        <v>#REF!</v>
      </c>
    </row>
    <row r="369" spans="1:22" x14ac:dyDescent="0.35">
      <c r="A369" s="510" t="e">
        <f>#REF!</f>
        <v>#REF!</v>
      </c>
      <c r="M369" s="510" t="e">
        <f>#REF!</f>
        <v>#REF!</v>
      </c>
      <c r="V369" s="1" t="e">
        <f>#REF!</f>
        <v>#REF!</v>
      </c>
    </row>
    <row r="370" spans="1:22" x14ac:dyDescent="0.35">
      <c r="A370" s="510" t="e">
        <f>#REF!</f>
        <v>#REF!</v>
      </c>
      <c r="M370" s="510" t="e">
        <f>#REF!</f>
        <v>#REF!</v>
      </c>
      <c r="V370" s="1" t="e">
        <f>#REF!</f>
        <v>#REF!</v>
      </c>
    </row>
    <row r="371" spans="1:22" x14ac:dyDescent="0.35">
      <c r="A371" s="510" t="e">
        <f>#REF!</f>
        <v>#REF!</v>
      </c>
      <c r="M371" s="510" t="e">
        <f>#REF!</f>
        <v>#REF!</v>
      </c>
      <c r="V371" s="1" t="e">
        <f>#REF!</f>
        <v>#REF!</v>
      </c>
    </row>
    <row r="372" spans="1:22" x14ac:dyDescent="0.35">
      <c r="A372" s="510" t="e">
        <f>#REF!</f>
        <v>#REF!</v>
      </c>
      <c r="M372" s="510" t="e">
        <f>#REF!</f>
        <v>#REF!</v>
      </c>
      <c r="V372" s="1" t="e">
        <f>#REF!</f>
        <v>#REF!</v>
      </c>
    </row>
    <row r="373" spans="1:22" x14ac:dyDescent="0.35">
      <c r="A373" s="510" t="e">
        <f>#REF!</f>
        <v>#REF!</v>
      </c>
      <c r="M373" s="510" t="e">
        <f>#REF!</f>
        <v>#REF!</v>
      </c>
      <c r="V373" s="1" t="e">
        <f>#REF!</f>
        <v>#REF!</v>
      </c>
    </row>
    <row r="374" spans="1:22" x14ac:dyDescent="0.35">
      <c r="A374" s="510" t="e">
        <f>#REF!</f>
        <v>#REF!</v>
      </c>
      <c r="M374" s="510" t="e">
        <f>#REF!</f>
        <v>#REF!</v>
      </c>
      <c r="V374" s="1" t="e">
        <f>#REF!</f>
        <v>#REF!</v>
      </c>
    </row>
    <row r="375" spans="1:22" x14ac:dyDescent="0.35">
      <c r="A375" s="510" t="e">
        <f>#REF!</f>
        <v>#REF!</v>
      </c>
      <c r="M375" s="510" t="e">
        <f>#REF!</f>
        <v>#REF!</v>
      </c>
      <c r="V375" s="1" t="e">
        <f>#REF!</f>
        <v>#REF!</v>
      </c>
    </row>
    <row r="376" spans="1:22" x14ac:dyDescent="0.35">
      <c r="A376" s="510" t="e">
        <f>#REF!</f>
        <v>#REF!</v>
      </c>
      <c r="M376" s="510" t="e">
        <f>#REF!</f>
        <v>#REF!</v>
      </c>
      <c r="V376" s="1" t="e">
        <f>#REF!</f>
        <v>#REF!</v>
      </c>
    </row>
    <row r="377" spans="1:22" x14ac:dyDescent="0.35">
      <c r="A377" s="510" t="e">
        <f>#REF!</f>
        <v>#REF!</v>
      </c>
      <c r="M377" s="510" t="e">
        <f>#REF!</f>
        <v>#REF!</v>
      </c>
      <c r="V377" s="1" t="e">
        <f>#REF!</f>
        <v>#REF!</v>
      </c>
    </row>
    <row r="378" spans="1:22" x14ac:dyDescent="0.35">
      <c r="A378" s="510" t="e">
        <f>#REF!</f>
        <v>#REF!</v>
      </c>
      <c r="M378" s="510" t="e">
        <f>#REF!</f>
        <v>#REF!</v>
      </c>
      <c r="V378" s="1" t="e">
        <f>#REF!</f>
        <v>#REF!</v>
      </c>
    </row>
    <row r="379" spans="1:22" x14ac:dyDescent="0.35">
      <c r="A379" s="510" t="e">
        <f>#REF!</f>
        <v>#REF!</v>
      </c>
      <c r="M379" s="510" t="e">
        <f>#REF!</f>
        <v>#REF!</v>
      </c>
      <c r="V379" s="1" t="e">
        <f>#REF!</f>
        <v>#REF!</v>
      </c>
    </row>
    <row r="380" spans="1:22" x14ac:dyDescent="0.35">
      <c r="A380" s="510" t="e">
        <f>#REF!</f>
        <v>#REF!</v>
      </c>
      <c r="M380" s="510" t="e">
        <f>#REF!</f>
        <v>#REF!</v>
      </c>
      <c r="V380" s="1" t="e">
        <f>#REF!</f>
        <v>#REF!</v>
      </c>
    </row>
    <row r="381" spans="1:22" x14ac:dyDescent="0.35">
      <c r="A381" s="510" t="e">
        <f>#REF!</f>
        <v>#REF!</v>
      </c>
      <c r="M381" s="510" t="e">
        <f>#REF!</f>
        <v>#REF!</v>
      </c>
      <c r="V381" s="1" t="e">
        <f>#REF!</f>
        <v>#REF!</v>
      </c>
    </row>
    <row r="382" spans="1:22" x14ac:dyDescent="0.35">
      <c r="A382" s="510" t="e">
        <f>#REF!</f>
        <v>#REF!</v>
      </c>
      <c r="M382" s="510" t="e">
        <f>#REF!</f>
        <v>#REF!</v>
      </c>
      <c r="V382" s="1" t="e">
        <f>#REF!</f>
        <v>#REF!</v>
      </c>
    </row>
    <row r="383" spans="1:22" x14ac:dyDescent="0.35">
      <c r="A383" s="510" t="e">
        <f>#REF!</f>
        <v>#REF!</v>
      </c>
      <c r="M383" s="510" t="e">
        <f>#REF!</f>
        <v>#REF!</v>
      </c>
      <c r="V383" s="1" t="e">
        <f>#REF!</f>
        <v>#REF!</v>
      </c>
    </row>
    <row r="384" spans="1:22" x14ac:dyDescent="0.35">
      <c r="A384" s="510" t="e">
        <f>#REF!</f>
        <v>#REF!</v>
      </c>
      <c r="M384" s="510" t="e">
        <f>#REF!</f>
        <v>#REF!</v>
      </c>
      <c r="V384" s="1" t="e">
        <f>#REF!</f>
        <v>#REF!</v>
      </c>
    </row>
    <row r="385" spans="1:22" x14ac:dyDescent="0.35">
      <c r="A385" s="510" t="e">
        <f>#REF!</f>
        <v>#REF!</v>
      </c>
      <c r="M385" s="510" t="e">
        <f>#REF!</f>
        <v>#REF!</v>
      </c>
      <c r="V385" s="1" t="e">
        <f>#REF!</f>
        <v>#REF!</v>
      </c>
    </row>
    <row r="386" spans="1:22" x14ac:dyDescent="0.35">
      <c r="A386" s="510" t="e">
        <f>#REF!</f>
        <v>#REF!</v>
      </c>
      <c r="M386" s="510" t="e">
        <f>#REF!</f>
        <v>#REF!</v>
      </c>
      <c r="V386" s="1" t="e">
        <f>#REF!</f>
        <v>#REF!</v>
      </c>
    </row>
    <row r="387" spans="1:22" x14ac:dyDescent="0.35">
      <c r="A387" s="510" t="e">
        <f>#REF!</f>
        <v>#REF!</v>
      </c>
      <c r="M387" s="510" t="e">
        <f>#REF!</f>
        <v>#REF!</v>
      </c>
      <c r="V387" s="1" t="e">
        <f>#REF!</f>
        <v>#REF!</v>
      </c>
    </row>
    <row r="388" spans="1:22" x14ac:dyDescent="0.35">
      <c r="A388" s="510" t="e">
        <f>#REF!</f>
        <v>#REF!</v>
      </c>
      <c r="M388" s="510" t="e">
        <f>#REF!</f>
        <v>#REF!</v>
      </c>
      <c r="V388" s="1" t="e">
        <f>#REF!</f>
        <v>#REF!</v>
      </c>
    </row>
    <row r="389" spans="1:22" x14ac:dyDescent="0.35">
      <c r="A389" s="510" t="e">
        <f>#REF!</f>
        <v>#REF!</v>
      </c>
      <c r="M389" s="510" t="e">
        <f>#REF!</f>
        <v>#REF!</v>
      </c>
      <c r="V389" s="1" t="e">
        <f>#REF!</f>
        <v>#REF!</v>
      </c>
    </row>
    <row r="390" spans="1:22" x14ac:dyDescent="0.35">
      <c r="A390" s="510" t="e">
        <f>#REF!</f>
        <v>#REF!</v>
      </c>
      <c r="M390" s="510" t="e">
        <f>#REF!</f>
        <v>#REF!</v>
      </c>
      <c r="V390" s="1" t="e">
        <f>#REF!</f>
        <v>#REF!</v>
      </c>
    </row>
    <row r="391" spans="1:22" x14ac:dyDescent="0.35">
      <c r="A391" s="510" t="e">
        <f>#REF!</f>
        <v>#REF!</v>
      </c>
      <c r="M391" s="510" t="e">
        <f>#REF!</f>
        <v>#REF!</v>
      </c>
      <c r="V391" s="1" t="e">
        <f>#REF!</f>
        <v>#REF!</v>
      </c>
    </row>
    <row r="392" spans="1:22" x14ac:dyDescent="0.35">
      <c r="A392" s="510" t="e">
        <f>#REF!</f>
        <v>#REF!</v>
      </c>
      <c r="M392" s="510" t="e">
        <f>#REF!</f>
        <v>#REF!</v>
      </c>
      <c r="V392" s="1" t="e">
        <f>#REF!</f>
        <v>#REF!</v>
      </c>
    </row>
    <row r="393" spans="1:22" x14ac:dyDescent="0.35">
      <c r="A393" s="510" t="e">
        <f>#REF!</f>
        <v>#REF!</v>
      </c>
      <c r="M393" s="510" t="e">
        <f>#REF!</f>
        <v>#REF!</v>
      </c>
      <c r="V393" s="1" t="e">
        <f>#REF!</f>
        <v>#REF!</v>
      </c>
    </row>
    <row r="394" spans="1:22" x14ac:dyDescent="0.35">
      <c r="A394" s="510" t="e">
        <f>#REF!</f>
        <v>#REF!</v>
      </c>
      <c r="M394" s="510" t="e">
        <f>#REF!</f>
        <v>#REF!</v>
      </c>
      <c r="V394" s="1" t="e">
        <f>#REF!</f>
        <v>#REF!</v>
      </c>
    </row>
    <row r="395" spans="1:22" x14ac:dyDescent="0.35">
      <c r="A395" s="510" t="e">
        <f>#REF!</f>
        <v>#REF!</v>
      </c>
      <c r="M395" s="510" t="e">
        <f>#REF!</f>
        <v>#REF!</v>
      </c>
      <c r="V395" s="1" t="e">
        <f>#REF!</f>
        <v>#REF!</v>
      </c>
    </row>
    <row r="396" spans="1:22" x14ac:dyDescent="0.35">
      <c r="A396" s="510" t="e">
        <f>#REF!</f>
        <v>#REF!</v>
      </c>
      <c r="M396" s="510" t="e">
        <f>#REF!</f>
        <v>#REF!</v>
      </c>
      <c r="V396" s="1" t="e">
        <f>#REF!</f>
        <v>#REF!</v>
      </c>
    </row>
    <row r="397" spans="1:22" x14ac:dyDescent="0.35">
      <c r="A397" s="510" t="e">
        <f>#REF!</f>
        <v>#REF!</v>
      </c>
      <c r="M397" s="510" t="e">
        <f>#REF!</f>
        <v>#REF!</v>
      </c>
      <c r="V397" s="1" t="e">
        <f>#REF!</f>
        <v>#REF!</v>
      </c>
    </row>
    <row r="398" spans="1:22" x14ac:dyDescent="0.35">
      <c r="A398" s="510" t="e">
        <f>#REF!</f>
        <v>#REF!</v>
      </c>
      <c r="M398" s="510" t="e">
        <f>#REF!</f>
        <v>#REF!</v>
      </c>
      <c r="V398" s="1" t="e">
        <f>#REF!</f>
        <v>#REF!</v>
      </c>
    </row>
    <row r="399" spans="1:22" x14ac:dyDescent="0.35">
      <c r="A399" s="510" t="e">
        <f>#REF!</f>
        <v>#REF!</v>
      </c>
      <c r="M399" s="510" t="e">
        <f>#REF!</f>
        <v>#REF!</v>
      </c>
      <c r="V399" s="1" t="e">
        <f>#REF!</f>
        <v>#REF!</v>
      </c>
    </row>
    <row r="400" spans="1:22" x14ac:dyDescent="0.35">
      <c r="A400" s="510" t="e">
        <f>#REF!</f>
        <v>#REF!</v>
      </c>
      <c r="M400" s="510" t="e">
        <f>#REF!</f>
        <v>#REF!</v>
      </c>
      <c r="V400" s="1" t="e">
        <f>#REF!</f>
        <v>#REF!</v>
      </c>
    </row>
    <row r="401" spans="1:22" x14ac:dyDescent="0.35">
      <c r="A401" s="510" t="e">
        <f>#REF!</f>
        <v>#REF!</v>
      </c>
      <c r="M401" s="510" t="e">
        <f>#REF!</f>
        <v>#REF!</v>
      </c>
      <c r="V401" s="1" t="e">
        <f>#REF!</f>
        <v>#REF!</v>
      </c>
    </row>
    <row r="402" spans="1:22" x14ac:dyDescent="0.35">
      <c r="A402" s="510" t="e">
        <f>#REF!</f>
        <v>#REF!</v>
      </c>
      <c r="M402" s="510" t="e">
        <f>#REF!</f>
        <v>#REF!</v>
      </c>
      <c r="V402" s="1" t="e">
        <f>#REF!</f>
        <v>#REF!</v>
      </c>
    </row>
    <row r="403" spans="1:22" x14ac:dyDescent="0.35">
      <c r="A403" s="510" t="e">
        <f>#REF!</f>
        <v>#REF!</v>
      </c>
      <c r="M403" s="510" t="e">
        <f>#REF!</f>
        <v>#REF!</v>
      </c>
      <c r="V403" s="1" t="e">
        <f>#REF!</f>
        <v>#REF!</v>
      </c>
    </row>
    <row r="404" spans="1:22" x14ac:dyDescent="0.35">
      <c r="A404" s="510" t="e">
        <f>#REF!</f>
        <v>#REF!</v>
      </c>
      <c r="M404" s="510" t="e">
        <f>#REF!</f>
        <v>#REF!</v>
      </c>
      <c r="V404" s="1" t="e">
        <f>#REF!</f>
        <v>#REF!</v>
      </c>
    </row>
    <row r="405" spans="1:22" x14ac:dyDescent="0.35">
      <c r="A405" s="510" t="e">
        <f>#REF!</f>
        <v>#REF!</v>
      </c>
      <c r="M405" s="510" t="e">
        <f>#REF!</f>
        <v>#REF!</v>
      </c>
      <c r="V405" s="1" t="e">
        <f>#REF!</f>
        <v>#REF!</v>
      </c>
    </row>
    <row r="406" spans="1:22" x14ac:dyDescent="0.35">
      <c r="A406" s="510" t="e">
        <f>#REF!</f>
        <v>#REF!</v>
      </c>
      <c r="M406" s="510" t="e">
        <f>#REF!</f>
        <v>#REF!</v>
      </c>
      <c r="V406" s="1" t="e">
        <f>#REF!</f>
        <v>#REF!</v>
      </c>
    </row>
    <row r="407" spans="1:22" x14ac:dyDescent="0.35">
      <c r="A407" s="510" t="e">
        <f>#REF!</f>
        <v>#REF!</v>
      </c>
      <c r="M407" s="510" t="e">
        <f>#REF!</f>
        <v>#REF!</v>
      </c>
      <c r="V407" s="1" t="e">
        <f>#REF!</f>
        <v>#REF!</v>
      </c>
    </row>
    <row r="408" spans="1:22" x14ac:dyDescent="0.35">
      <c r="A408" s="510" t="e">
        <f>#REF!</f>
        <v>#REF!</v>
      </c>
      <c r="M408" s="510" t="e">
        <f>#REF!</f>
        <v>#REF!</v>
      </c>
      <c r="V408" s="1" t="e">
        <f>#REF!</f>
        <v>#REF!</v>
      </c>
    </row>
    <row r="409" spans="1:22" x14ac:dyDescent="0.35">
      <c r="A409" s="510" t="e">
        <f>#REF!</f>
        <v>#REF!</v>
      </c>
      <c r="M409" s="510" t="e">
        <f>#REF!</f>
        <v>#REF!</v>
      </c>
      <c r="V409" s="1" t="e">
        <f>#REF!</f>
        <v>#REF!</v>
      </c>
    </row>
    <row r="410" spans="1:22" x14ac:dyDescent="0.35">
      <c r="A410" s="510" t="e">
        <f>#REF!</f>
        <v>#REF!</v>
      </c>
      <c r="M410" s="510" t="e">
        <f>#REF!</f>
        <v>#REF!</v>
      </c>
      <c r="V410" s="1" t="e">
        <f>#REF!</f>
        <v>#REF!</v>
      </c>
    </row>
    <row r="411" spans="1:22" x14ac:dyDescent="0.35">
      <c r="A411" s="510" t="e">
        <f>#REF!</f>
        <v>#REF!</v>
      </c>
      <c r="M411" s="510" t="e">
        <f>#REF!</f>
        <v>#REF!</v>
      </c>
      <c r="V411" s="1" t="e">
        <f>#REF!</f>
        <v>#REF!</v>
      </c>
    </row>
    <row r="412" spans="1:22" x14ac:dyDescent="0.35">
      <c r="A412" s="510" t="e">
        <f>#REF!</f>
        <v>#REF!</v>
      </c>
      <c r="M412" s="510" t="e">
        <f>#REF!</f>
        <v>#REF!</v>
      </c>
      <c r="V412" s="1" t="e">
        <f>#REF!</f>
        <v>#REF!</v>
      </c>
    </row>
    <row r="413" spans="1:22" x14ac:dyDescent="0.35">
      <c r="A413" s="510" t="e">
        <f>#REF!</f>
        <v>#REF!</v>
      </c>
      <c r="M413" s="510" t="e">
        <f>#REF!</f>
        <v>#REF!</v>
      </c>
      <c r="V413" s="1" t="e">
        <f>#REF!</f>
        <v>#REF!</v>
      </c>
    </row>
    <row r="414" spans="1:22" x14ac:dyDescent="0.35">
      <c r="A414" s="510" t="e">
        <f>#REF!</f>
        <v>#REF!</v>
      </c>
      <c r="M414" s="510" t="e">
        <f>#REF!</f>
        <v>#REF!</v>
      </c>
      <c r="V414" s="1" t="e">
        <f>#REF!</f>
        <v>#REF!</v>
      </c>
    </row>
    <row r="415" spans="1:22" x14ac:dyDescent="0.35">
      <c r="A415" s="510" t="e">
        <f>#REF!</f>
        <v>#REF!</v>
      </c>
      <c r="M415" s="510" t="e">
        <f>#REF!</f>
        <v>#REF!</v>
      </c>
      <c r="V415" s="1" t="e">
        <f>#REF!</f>
        <v>#REF!</v>
      </c>
    </row>
    <row r="416" spans="1:22" x14ac:dyDescent="0.35">
      <c r="A416" s="510" t="e">
        <f>#REF!</f>
        <v>#REF!</v>
      </c>
      <c r="M416" s="510" t="e">
        <f>#REF!</f>
        <v>#REF!</v>
      </c>
      <c r="V416" s="1" t="e">
        <f>#REF!</f>
        <v>#REF!</v>
      </c>
    </row>
    <row r="417" spans="1:22" x14ac:dyDescent="0.35">
      <c r="A417" s="510" t="e">
        <f>#REF!</f>
        <v>#REF!</v>
      </c>
      <c r="M417" s="510" t="e">
        <f>#REF!</f>
        <v>#REF!</v>
      </c>
      <c r="V417" s="1" t="e">
        <f>#REF!</f>
        <v>#REF!</v>
      </c>
    </row>
    <row r="418" spans="1:22" x14ac:dyDescent="0.35">
      <c r="A418" s="510" t="e">
        <f>#REF!</f>
        <v>#REF!</v>
      </c>
      <c r="M418" s="510" t="e">
        <f>#REF!</f>
        <v>#REF!</v>
      </c>
      <c r="V418" s="1" t="e">
        <f>#REF!</f>
        <v>#REF!</v>
      </c>
    </row>
    <row r="419" spans="1:22" x14ac:dyDescent="0.35">
      <c r="A419" s="510" t="e">
        <f>#REF!</f>
        <v>#REF!</v>
      </c>
      <c r="M419" s="510" t="e">
        <f>#REF!</f>
        <v>#REF!</v>
      </c>
      <c r="V419" s="1" t="e">
        <f>#REF!</f>
        <v>#REF!</v>
      </c>
    </row>
    <row r="420" spans="1:22" x14ac:dyDescent="0.35">
      <c r="A420" s="510" t="e">
        <f>#REF!</f>
        <v>#REF!</v>
      </c>
      <c r="M420" s="510" t="e">
        <f>#REF!</f>
        <v>#REF!</v>
      </c>
      <c r="V420" s="1" t="e">
        <f>#REF!</f>
        <v>#REF!</v>
      </c>
    </row>
    <row r="421" spans="1:22" x14ac:dyDescent="0.35">
      <c r="A421" s="510" t="e">
        <f>#REF!</f>
        <v>#REF!</v>
      </c>
      <c r="M421" s="510" t="e">
        <f>#REF!</f>
        <v>#REF!</v>
      </c>
      <c r="V421" s="1" t="e">
        <f>#REF!</f>
        <v>#REF!</v>
      </c>
    </row>
    <row r="422" spans="1:22" x14ac:dyDescent="0.35">
      <c r="A422" s="510" t="e">
        <f>#REF!</f>
        <v>#REF!</v>
      </c>
      <c r="M422" s="510" t="e">
        <f>#REF!</f>
        <v>#REF!</v>
      </c>
      <c r="V422" s="1" t="e">
        <f>#REF!</f>
        <v>#REF!</v>
      </c>
    </row>
    <row r="423" spans="1:22" x14ac:dyDescent="0.35">
      <c r="A423" s="510" t="e">
        <f>#REF!</f>
        <v>#REF!</v>
      </c>
      <c r="M423" s="510" t="e">
        <f>#REF!</f>
        <v>#REF!</v>
      </c>
      <c r="V423" s="1" t="e">
        <f>#REF!</f>
        <v>#REF!</v>
      </c>
    </row>
    <row r="424" spans="1:22" x14ac:dyDescent="0.35">
      <c r="A424" s="510" t="e">
        <f>#REF!</f>
        <v>#REF!</v>
      </c>
      <c r="M424" s="510" t="e">
        <f>#REF!</f>
        <v>#REF!</v>
      </c>
      <c r="V424" s="1" t="e">
        <f>#REF!</f>
        <v>#REF!</v>
      </c>
    </row>
    <row r="425" spans="1:22" x14ac:dyDescent="0.35">
      <c r="A425" s="510" t="e">
        <f>#REF!</f>
        <v>#REF!</v>
      </c>
      <c r="M425" s="510" t="e">
        <f>#REF!</f>
        <v>#REF!</v>
      </c>
      <c r="V425" s="1" t="e">
        <f>#REF!</f>
        <v>#REF!</v>
      </c>
    </row>
    <row r="426" spans="1:22" x14ac:dyDescent="0.35">
      <c r="A426" s="510" t="e">
        <f>#REF!</f>
        <v>#REF!</v>
      </c>
      <c r="M426" s="510" t="e">
        <f>#REF!</f>
        <v>#REF!</v>
      </c>
      <c r="V426" s="1" t="e">
        <f>#REF!</f>
        <v>#REF!</v>
      </c>
    </row>
    <row r="427" spans="1:22" x14ac:dyDescent="0.35">
      <c r="A427" s="510" t="e">
        <f>#REF!</f>
        <v>#REF!</v>
      </c>
      <c r="M427" s="510" t="e">
        <f>#REF!</f>
        <v>#REF!</v>
      </c>
      <c r="V427" s="1" t="e">
        <f>#REF!</f>
        <v>#REF!</v>
      </c>
    </row>
    <row r="428" spans="1:22" x14ac:dyDescent="0.35">
      <c r="A428" s="510" t="e">
        <f>#REF!</f>
        <v>#REF!</v>
      </c>
      <c r="M428" s="510" t="e">
        <f>#REF!</f>
        <v>#REF!</v>
      </c>
      <c r="V428" s="1" t="e">
        <f>#REF!</f>
        <v>#REF!</v>
      </c>
    </row>
    <row r="429" spans="1:22" x14ac:dyDescent="0.35">
      <c r="A429" s="510" t="e">
        <f>#REF!</f>
        <v>#REF!</v>
      </c>
      <c r="M429" s="510" t="e">
        <f>#REF!</f>
        <v>#REF!</v>
      </c>
      <c r="V429" s="1" t="e">
        <f>#REF!</f>
        <v>#REF!</v>
      </c>
    </row>
    <row r="430" spans="1:22" x14ac:dyDescent="0.35">
      <c r="A430" s="510" t="e">
        <f>#REF!</f>
        <v>#REF!</v>
      </c>
      <c r="M430" s="510" t="e">
        <f>#REF!</f>
        <v>#REF!</v>
      </c>
      <c r="V430" s="1" t="e">
        <f>#REF!</f>
        <v>#REF!</v>
      </c>
    </row>
    <row r="431" spans="1:22" x14ac:dyDescent="0.35">
      <c r="A431" s="510" t="e">
        <f>#REF!</f>
        <v>#REF!</v>
      </c>
      <c r="M431" s="510" t="e">
        <f>#REF!</f>
        <v>#REF!</v>
      </c>
      <c r="V431" s="1" t="e">
        <f>#REF!</f>
        <v>#REF!</v>
      </c>
    </row>
    <row r="432" spans="1:22" x14ac:dyDescent="0.35">
      <c r="A432" s="510" t="e">
        <f>#REF!</f>
        <v>#REF!</v>
      </c>
      <c r="M432" s="510" t="e">
        <f>#REF!</f>
        <v>#REF!</v>
      </c>
      <c r="V432" s="1" t="e">
        <f>#REF!</f>
        <v>#REF!</v>
      </c>
    </row>
    <row r="433" spans="1:22" x14ac:dyDescent="0.35">
      <c r="A433" s="510" t="e">
        <f>#REF!</f>
        <v>#REF!</v>
      </c>
      <c r="M433" s="510" t="e">
        <f>#REF!</f>
        <v>#REF!</v>
      </c>
      <c r="V433" s="1" t="e">
        <f>#REF!</f>
        <v>#REF!</v>
      </c>
    </row>
    <row r="434" spans="1:22" x14ac:dyDescent="0.35">
      <c r="A434" s="510" t="e">
        <f>#REF!</f>
        <v>#REF!</v>
      </c>
      <c r="M434" s="510" t="e">
        <f>#REF!</f>
        <v>#REF!</v>
      </c>
      <c r="V434" s="1" t="e">
        <f>#REF!</f>
        <v>#REF!</v>
      </c>
    </row>
    <row r="435" spans="1:22" x14ac:dyDescent="0.35">
      <c r="A435" s="510" t="e">
        <f>#REF!</f>
        <v>#REF!</v>
      </c>
      <c r="M435" s="510" t="e">
        <f>#REF!</f>
        <v>#REF!</v>
      </c>
      <c r="V435" s="1" t="e">
        <f>#REF!</f>
        <v>#REF!</v>
      </c>
    </row>
    <row r="436" spans="1:22" x14ac:dyDescent="0.35">
      <c r="A436" s="510" t="e">
        <f>#REF!</f>
        <v>#REF!</v>
      </c>
      <c r="M436" s="510" t="e">
        <f>#REF!</f>
        <v>#REF!</v>
      </c>
      <c r="V436" s="1" t="e">
        <f>#REF!</f>
        <v>#REF!</v>
      </c>
    </row>
    <row r="437" spans="1:22" x14ac:dyDescent="0.35">
      <c r="A437" s="510" t="e">
        <f>#REF!</f>
        <v>#REF!</v>
      </c>
      <c r="M437" s="510" t="e">
        <f>#REF!</f>
        <v>#REF!</v>
      </c>
      <c r="V437" s="1" t="e">
        <f>#REF!</f>
        <v>#REF!</v>
      </c>
    </row>
    <row r="438" spans="1:22" x14ac:dyDescent="0.35">
      <c r="A438" s="510" t="e">
        <f>#REF!</f>
        <v>#REF!</v>
      </c>
      <c r="M438" s="510" t="e">
        <f>#REF!</f>
        <v>#REF!</v>
      </c>
      <c r="V438" s="1" t="e">
        <f>#REF!</f>
        <v>#REF!</v>
      </c>
    </row>
    <row r="439" spans="1:22" x14ac:dyDescent="0.35">
      <c r="A439" s="510" t="e">
        <f>#REF!</f>
        <v>#REF!</v>
      </c>
      <c r="M439" s="510" t="e">
        <f>#REF!</f>
        <v>#REF!</v>
      </c>
      <c r="V439" s="1" t="e">
        <f>#REF!</f>
        <v>#REF!</v>
      </c>
    </row>
    <row r="440" spans="1:22" x14ac:dyDescent="0.35">
      <c r="A440" s="510" t="e">
        <f>#REF!</f>
        <v>#REF!</v>
      </c>
      <c r="M440" s="510" t="e">
        <f>#REF!</f>
        <v>#REF!</v>
      </c>
      <c r="V440" s="1" t="e">
        <f>#REF!</f>
        <v>#REF!</v>
      </c>
    </row>
    <row r="441" spans="1:22" x14ac:dyDescent="0.35">
      <c r="A441" s="510" t="e">
        <f>#REF!</f>
        <v>#REF!</v>
      </c>
      <c r="M441" s="510" t="e">
        <f>#REF!</f>
        <v>#REF!</v>
      </c>
      <c r="V441" s="1" t="e">
        <f>#REF!</f>
        <v>#REF!</v>
      </c>
    </row>
    <row r="442" spans="1:22" x14ac:dyDescent="0.35">
      <c r="A442" s="510" t="e">
        <f>#REF!</f>
        <v>#REF!</v>
      </c>
      <c r="M442" s="510" t="e">
        <f>#REF!</f>
        <v>#REF!</v>
      </c>
      <c r="V442" s="1" t="e">
        <f>#REF!</f>
        <v>#REF!</v>
      </c>
    </row>
    <row r="443" spans="1:22" x14ac:dyDescent="0.35">
      <c r="A443" s="510" t="e">
        <f>#REF!</f>
        <v>#REF!</v>
      </c>
      <c r="M443" s="510" t="e">
        <f>#REF!</f>
        <v>#REF!</v>
      </c>
      <c r="V443" s="1" t="e">
        <f>#REF!</f>
        <v>#REF!</v>
      </c>
    </row>
    <row r="444" spans="1:22" x14ac:dyDescent="0.35">
      <c r="A444" s="510" t="e">
        <f>#REF!</f>
        <v>#REF!</v>
      </c>
      <c r="M444" s="510" t="e">
        <f>#REF!</f>
        <v>#REF!</v>
      </c>
      <c r="V444" s="1" t="e">
        <f>#REF!</f>
        <v>#REF!</v>
      </c>
    </row>
    <row r="445" spans="1:22" x14ac:dyDescent="0.35">
      <c r="A445" s="510" t="e">
        <f>#REF!</f>
        <v>#REF!</v>
      </c>
      <c r="M445" s="510" t="e">
        <f>#REF!</f>
        <v>#REF!</v>
      </c>
      <c r="V445" s="1" t="e">
        <f>#REF!</f>
        <v>#REF!</v>
      </c>
    </row>
    <row r="446" spans="1:22" x14ac:dyDescent="0.35">
      <c r="A446" s="510" t="e">
        <f>#REF!</f>
        <v>#REF!</v>
      </c>
      <c r="M446" s="510" t="e">
        <f>#REF!</f>
        <v>#REF!</v>
      </c>
      <c r="V446" s="1" t="e">
        <f>#REF!</f>
        <v>#REF!</v>
      </c>
    </row>
    <row r="447" spans="1:22" x14ac:dyDescent="0.35">
      <c r="A447" s="510" t="e">
        <f>#REF!</f>
        <v>#REF!</v>
      </c>
      <c r="M447" s="510" t="e">
        <f>#REF!</f>
        <v>#REF!</v>
      </c>
      <c r="V447" s="1" t="e">
        <f>#REF!</f>
        <v>#REF!</v>
      </c>
    </row>
    <row r="448" spans="1:22" x14ac:dyDescent="0.35">
      <c r="A448" s="510" t="e">
        <f>#REF!</f>
        <v>#REF!</v>
      </c>
      <c r="M448" s="510" t="e">
        <f>#REF!</f>
        <v>#REF!</v>
      </c>
      <c r="V448" s="1" t="e">
        <f>#REF!</f>
        <v>#REF!</v>
      </c>
    </row>
    <row r="449" spans="1:22" x14ac:dyDescent="0.35">
      <c r="A449" s="510" t="e">
        <f>#REF!</f>
        <v>#REF!</v>
      </c>
      <c r="M449" s="510" t="e">
        <f>#REF!</f>
        <v>#REF!</v>
      </c>
      <c r="V449" s="1" t="e">
        <f>#REF!</f>
        <v>#REF!</v>
      </c>
    </row>
    <row r="450" spans="1:22" x14ac:dyDescent="0.35">
      <c r="A450" s="510" t="e">
        <f>#REF!</f>
        <v>#REF!</v>
      </c>
      <c r="M450" s="510" t="e">
        <f>#REF!</f>
        <v>#REF!</v>
      </c>
      <c r="V450" s="1" t="e">
        <f>#REF!</f>
        <v>#REF!</v>
      </c>
    </row>
    <row r="451" spans="1:22" x14ac:dyDescent="0.35">
      <c r="A451" s="510" t="e">
        <f>#REF!</f>
        <v>#REF!</v>
      </c>
      <c r="M451" s="510" t="e">
        <f>#REF!</f>
        <v>#REF!</v>
      </c>
      <c r="V451" s="1" t="e">
        <f>#REF!</f>
        <v>#REF!</v>
      </c>
    </row>
    <row r="452" spans="1:22" x14ac:dyDescent="0.35">
      <c r="A452" s="510" t="e">
        <f>#REF!</f>
        <v>#REF!</v>
      </c>
      <c r="M452" s="510" t="e">
        <f>#REF!</f>
        <v>#REF!</v>
      </c>
      <c r="V452" s="1" t="e">
        <f>#REF!</f>
        <v>#REF!</v>
      </c>
    </row>
    <row r="453" spans="1:22" x14ac:dyDescent="0.35">
      <c r="A453" s="510" t="e">
        <f>#REF!</f>
        <v>#REF!</v>
      </c>
      <c r="M453" s="510" t="e">
        <f>#REF!</f>
        <v>#REF!</v>
      </c>
      <c r="V453" s="1" t="e">
        <f>#REF!</f>
        <v>#REF!</v>
      </c>
    </row>
    <row r="454" spans="1:22" x14ac:dyDescent="0.35">
      <c r="A454" s="510" t="e">
        <f>#REF!</f>
        <v>#REF!</v>
      </c>
      <c r="M454" s="510" t="e">
        <f>#REF!</f>
        <v>#REF!</v>
      </c>
      <c r="V454" s="1" t="e">
        <f>#REF!</f>
        <v>#REF!</v>
      </c>
    </row>
    <row r="455" spans="1:22" x14ac:dyDescent="0.35">
      <c r="A455" s="510" t="e">
        <f>#REF!</f>
        <v>#REF!</v>
      </c>
      <c r="M455" s="510" t="e">
        <f>#REF!</f>
        <v>#REF!</v>
      </c>
      <c r="V455" s="1" t="e">
        <f>#REF!</f>
        <v>#REF!</v>
      </c>
    </row>
    <row r="456" spans="1:22" x14ac:dyDescent="0.35">
      <c r="A456" s="510" t="e">
        <f>#REF!</f>
        <v>#REF!</v>
      </c>
      <c r="M456" s="510" t="e">
        <f>#REF!</f>
        <v>#REF!</v>
      </c>
      <c r="V456" s="1" t="e">
        <f>#REF!</f>
        <v>#REF!</v>
      </c>
    </row>
    <row r="457" spans="1:22" x14ac:dyDescent="0.35">
      <c r="A457" s="510" t="e">
        <f>#REF!</f>
        <v>#REF!</v>
      </c>
      <c r="M457" s="510" t="e">
        <f>#REF!</f>
        <v>#REF!</v>
      </c>
      <c r="V457" s="1" t="e">
        <f>#REF!</f>
        <v>#REF!</v>
      </c>
    </row>
    <row r="458" spans="1:22" x14ac:dyDescent="0.35">
      <c r="A458" s="510" t="e">
        <f>#REF!</f>
        <v>#REF!</v>
      </c>
      <c r="M458" s="510" t="e">
        <f>#REF!</f>
        <v>#REF!</v>
      </c>
      <c r="V458" s="1" t="e">
        <f>#REF!</f>
        <v>#REF!</v>
      </c>
    </row>
    <row r="459" spans="1:22" x14ac:dyDescent="0.35">
      <c r="A459" s="510" t="e">
        <f>#REF!</f>
        <v>#REF!</v>
      </c>
      <c r="M459" s="510" t="e">
        <f>#REF!</f>
        <v>#REF!</v>
      </c>
      <c r="V459" s="1" t="e">
        <f>#REF!</f>
        <v>#REF!</v>
      </c>
    </row>
    <row r="460" spans="1:22" x14ac:dyDescent="0.35">
      <c r="A460" s="510" t="e">
        <f>#REF!</f>
        <v>#REF!</v>
      </c>
      <c r="M460" s="510" t="e">
        <f>#REF!</f>
        <v>#REF!</v>
      </c>
      <c r="V460" s="1" t="e">
        <f>#REF!</f>
        <v>#REF!</v>
      </c>
    </row>
    <row r="461" spans="1:22" x14ac:dyDescent="0.35">
      <c r="A461" s="510" t="e">
        <f>#REF!</f>
        <v>#REF!</v>
      </c>
      <c r="M461" s="510" t="e">
        <f>#REF!</f>
        <v>#REF!</v>
      </c>
      <c r="V461" s="1" t="e">
        <f>#REF!</f>
        <v>#REF!</v>
      </c>
    </row>
    <row r="462" spans="1:22" x14ac:dyDescent="0.35">
      <c r="A462" s="510" t="e">
        <f>#REF!</f>
        <v>#REF!</v>
      </c>
      <c r="M462" s="510" t="e">
        <f>#REF!</f>
        <v>#REF!</v>
      </c>
      <c r="V462" s="1" t="e">
        <f>#REF!</f>
        <v>#REF!</v>
      </c>
    </row>
    <row r="463" spans="1:22" x14ac:dyDescent="0.35">
      <c r="A463" s="510" t="e">
        <f>#REF!</f>
        <v>#REF!</v>
      </c>
      <c r="M463" s="510" t="e">
        <f>#REF!</f>
        <v>#REF!</v>
      </c>
      <c r="V463" s="1" t="e">
        <f>#REF!</f>
        <v>#REF!</v>
      </c>
    </row>
    <row r="464" spans="1:22" x14ac:dyDescent="0.35">
      <c r="A464" s="510" t="e">
        <f>#REF!</f>
        <v>#REF!</v>
      </c>
      <c r="M464" s="510" t="e">
        <f>#REF!</f>
        <v>#REF!</v>
      </c>
      <c r="V464" s="1" t="e">
        <f>#REF!</f>
        <v>#REF!</v>
      </c>
    </row>
    <row r="465" spans="1:22" x14ac:dyDescent="0.35">
      <c r="A465" s="510" t="e">
        <f>#REF!</f>
        <v>#REF!</v>
      </c>
      <c r="M465" s="510" t="e">
        <f>#REF!</f>
        <v>#REF!</v>
      </c>
      <c r="V465" s="1" t="e">
        <f>#REF!</f>
        <v>#REF!</v>
      </c>
    </row>
    <row r="466" spans="1:22" x14ac:dyDescent="0.35">
      <c r="A466" s="510" t="e">
        <f>#REF!</f>
        <v>#REF!</v>
      </c>
      <c r="M466" s="510" t="e">
        <f>#REF!</f>
        <v>#REF!</v>
      </c>
      <c r="V466" s="1" t="e">
        <f>#REF!</f>
        <v>#REF!</v>
      </c>
    </row>
    <row r="467" spans="1:22" x14ac:dyDescent="0.35">
      <c r="A467" s="510" t="e">
        <f>#REF!</f>
        <v>#REF!</v>
      </c>
      <c r="M467" s="510" t="e">
        <f>#REF!</f>
        <v>#REF!</v>
      </c>
      <c r="V467" s="1" t="e">
        <f>#REF!</f>
        <v>#REF!</v>
      </c>
    </row>
    <row r="468" spans="1:22" x14ac:dyDescent="0.35">
      <c r="A468" s="510" t="e">
        <f>#REF!</f>
        <v>#REF!</v>
      </c>
      <c r="M468" s="510" t="e">
        <f>#REF!</f>
        <v>#REF!</v>
      </c>
      <c r="V468" s="1" t="e">
        <f>#REF!</f>
        <v>#REF!</v>
      </c>
    </row>
    <row r="469" spans="1:22" x14ac:dyDescent="0.35">
      <c r="A469" s="510" t="e">
        <f>#REF!</f>
        <v>#REF!</v>
      </c>
      <c r="M469" s="510" t="e">
        <f>#REF!</f>
        <v>#REF!</v>
      </c>
      <c r="V469" s="1" t="e">
        <f>#REF!</f>
        <v>#REF!</v>
      </c>
    </row>
    <row r="470" spans="1:22" x14ac:dyDescent="0.35">
      <c r="A470" s="510" t="e">
        <f>#REF!</f>
        <v>#REF!</v>
      </c>
      <c r="M470" s="510" t="e">
        <f>#REF!</f>
        <v>#REF!</v>
      </c>
      <c r="V470" s="1" t="e">
        <f>#REF!</f>
        <v>#REF!</v>
      </c>
    </row>
    <row r="471" spans="1:22" x14ac:dyDescent="0.35">
      <c r="A471" s="510" t="e">
        <f>#REF!</f>
        <v>#REF!</v>
      </c>
      <c r="M471" s="510" t="e">
        <f>#REF!</f>
        <v>#REF!</v>
      </c>
      <c r="V471" s="1" t="e">
        <f>#REF!</f>
        <v>#REF!</v>
      </c>
    </row>
    <row r="472" spans="1:22" x14ac:dyDescent="0.35">
      <c r="A472" s="510" t="e">
        <f>#REF!</f>
        <v>#REF!</v>
      </c>
      <c r="M472" s="510" t="e">
        <f>#REF!</f>
        <v>#REF!</v>
      </c>
      <c r="V472" s="1" t="e">
        <f>#REF!</f>
        <v>#REF!</v>
      </c>
    </row>
    <row r="473" spans="1:22" x14ac:dyDescent="0.35">
      <c r="A473" s="510" t="e">
        <f>#REF!</f>
        <v>#REF!</v>
      </c>
      <c r="M473" s="510" t="e">
        <f>#REF!</f>
        <v>#REF!</v>
      </c>
      <c r="V473" s="1" t="e">
        <f>#REF!</f>
        <v>#REF!</v>
      </c>
    </row>
    <row r="474" spans="1:22" x14ac:dyDescent="0.35">
      <c r="A474" s="510" t="e">
        <f>#REF!</f>
        <v>#REF!</v>
      </c>
      <c r="M474" s="510" t="e">
        <f>#REF!</f>
        <v>#REF!</v>
      </c>
      <c r="V474" s="1" t="e">
        <f>#REF!</f>
        <v>#REF!</v>
      </c>
    </row>
    <row r="475" spans="1:22" x14ac:dyDescent="0.35">
      <c r="A475" s="510" t="e">
        <f>#REF!</f>
        <v>#REF!</v>
      </c>
      <c r="M475" s="510" t="e">
        <f>#REF!</f>
        <v>#REF!</v>
      </c>
      <c r="V475" s="1" t="e">
        <f>#REF!</f>
        <v>#REF!</v>
      </c>
    </row>
    <row r="476" spans="1:22" x14ac:dyDescent="0.35">
      <c r="A476" s="510" t="e">
        <f>#REF!</f>
        <v>#REF!</v>
      </c>
      <c r="M476" s="510" t="e">
        <f>#REF!</f>
        <v>#REF!</v>
      </c>
      <c r="V476" s="1" t="e">
        <f>#REF!</f>
        <v>#REF!</v>
      </c>
    </row>
    <row r="477" spans="1:22" x14ac:dyDescent="0.35">
      <c r="A477" s="510" t="e">
        <f>#REF!</f>
        <v>#REF!</v>
      </c>
      <c r="M477" s="510" t="e">
        <f>#REF!</f>
        <v>#REF!</v>
      </c>
      <c r="V477" s="1" t="e">
        <f>#REF!</f>
        <v>#REF!</v>
      </c>
    </row>
    <row r="478" spans="1:22" x14ac:dyDescent="0.35">
      <c r="A478" s="510" t="e">
        <f>#REF!</f>
        <v>#REF!</v>
      </c>
      <c r="M478" s="510" t="e">
        <f>#REF!</f>
        <v>#REF!</v>
      </c>
      <c r="V478" s="1" t="e">
        <f>#REF!</f>
        <v>#REF!</v>
      </c>
    </row>
    <row r="479" spans="1:22" x14ac:dyDescent="0.35">
      <c r="A479" s="510" t="e">
        <f>#REF!</f>
        <v>#REF!</v>
      </c>
      <c r="M479" s="510" t="e">
        <f>#REF!</f>
        <v>#REF!</v>
      </c>
      <c r="V479" s="1" t="e">
        <f>#REF!</f>
        <v>#REF!</v>
      </c>
    </row>
    <row r="480" spans="1:22" x14ac:dyDescent="0.35">
      <c r="A480" s="510" t="e">
        <f>#REF!</f>
        <v>#REF!</v>
      </c>
      <c r="M480" s="510" t="e">
        <f>#REF!</f>
        <v>#REF!</v>
      </c>
      <c r="V480" s="1" t="e">
        <f>#REF!</f>
        <v>#REF!</v>
      </c>
    </row>
    <row r="481" spans="1:22" x14ac:dyDescent="0.35">
      <c r="A481" s="510" t="e">
        <f>#REF!</f>
        <v>#REF!</v>
      </c>
      <c r="M481" s="510" t="e">
        <f>#REF!</f>
        <v>#REF!</v>
      </c>
      <c r="V481" s="1" t="e">
        <f>#REF!</f>
        <v>#REF!</v>
      </c>
    </row>
    <row r="482" spans="1:22" x14ac:dyDescent="0.35">
      <c r="A482" s="510" t="e">
        <f>#REF!</f>
        <v>#REF!</v>
      </c>
      <c r="M482" s="510" t="e">
        <f>#REF!</f>
        <v>#REF!</v>
      </c>
      <c r="V482" s="1" t="e">
        <f>#REF!</f>
        <v>#REF!</v>
      </c>
    </row>
    <row r="483" spans="1:22" x14ac:dyDescent="0.35">
      <c r="A483" s="510" t="e">
        <f>#REF!</f>
        <v>#REF!</v>
      </c>
      <c r="M483" s="510" t="e">
        <f>#REF!</f>
        <v>#REF!</v>
      </c>
      <c r="V483" s="1" t="e">
        <f>#REF!</f>
        <v>#REF!</v>
      </c>
    </row>
    <row r="484" spans="1:22" x14ac:dyDescent="0.35">
      <c r="A484" s="510" t="e">
        <f>#REF!</f>
        <v>#REF!</v>
      </c>
      <c r="M484" s="510" t="e">
        <f>#REF!</f>
        <v>#REF!</v>
      </c>
      <c r="V484" s="1" t="e">
        <f>#REF!</f>
        <v>#REF!</v>
      </c>
    </row>
    <row r="485" spans="1:22" x14ac:dyDescent="0.35">
      <c r="A485" s="510" t="e">
        <f>#REF!</f>
        <v>#REF!</v>
      </c>
      <c r="M485" s="510" t="e">
        <f>#REF!</f>
        <v>#REF!</v>
      </c>
      <c r="V485" s="1" t="e">
        <f>#REF!</f>
        <v>#REF!</v>
      </c>
    </row>
    <row r="486" spans="1:22" x14ac:dyDescent="0.35">
      <c r="A486" s="510" t="e">
        <f>#REF!</f>
        <v>#REF!</v>
      </c>
      <c r="M486" s="510" t="e">
        <f>#REF!</f>
        <v>#REF!</v>
      </c>
      <c r="V486" s="1" t="e">
        <f>#REF!</f>
        <v>#REF!</v>
      </c>
    </row>
    <row r="487" spans="1:22" x14ac:dyDescent="0.35">
      <c r="A487" s="510" t="e">
        <f>#REF!</f>
        <v>#REF!</v>
      </c>
      <c r="M487" s="510" t="e">
        <f>#REF!</f>
        <v>#REF!</v>
      </c>
      <c r="V487" s="1" t="e">
        <f>#REF!</f>
        <v>#REF!</v>
      </c>
    </row>
    <row r="488" spans="1:22" x14ac:dyDescent="0.35">
      <c r="A488" s="510" t="e">
        <f>#REF!</f>
        <v>#REF!</v>
      </c>
      <c r="M488" s="510" t="e">
        <f>#REF!</f>
        <v>#REF!</v>
      </c>
      <c r="V488" s="1" t="e">
        <f>#REF!</f>
        <v>#REF!</v>
      </c>
    </row>
    <row r="489" spans="1:22" x14ac:dyDescent="0.35">
      <c r="A489" s="510" t="e">
        <f>#REF!</f>
        <v>#REF!</v>
      </c>
      <c r="M489" s="510" t="e">
        <f>#REF!</f>
        <v>#REF!</v>
      </c>
      <c r="V489" s="1" t="e">
        <f>#REF!</f>
        <v>#REF!</v>
      </c>
    </row>
    <row r="490" spans="1:22" x14ac:dyDescent="0.35">
      <c r="A490" s="510" t="e">
        <f>#REF!</f>
        <v>#REF!</v>
      </c>
      <c r="M490" s="510" t="e">
        <f>#REF!</f>
        <v>#REF!</v>
      </c>
      <c r="V490" s="1" t="e">
        <f>#REF!</f>
        <v>#REF!</v>
      </c>
    </row>
    <row r="491" spans="1:22" x14ac:dyDescent="0.35">
      <c r="A491" s="510" t="e">
        <f>#REF!</f>
        <v>#REF!</v>
      </c>
      <c r="M491" s="510" t="e">
        <f>#REF!</f>
        <v>#REF!</v>
      </c>
      <c r="V491" s="1" t="e">
        <f>#REF!</f>
        <v>#REF!</v>
      </c>
    </row>
    <row r="492" spans="1:22" x14ac:dyDescent="0.35">
      <c r="A492" s="510" t="e">
        <f>#REF!</f>
        <v>#REF!</v>
      </c>
      <c r="M492" s="510" t="e">
        <f>#REF!</f>
        <v>#REF!</v>
      </c>
      <c r="V492" s="1" t="e">
        <f>#REF!</f>
        <v>#REF!</v>
      </c>
    </row>
    <row r="493" spans="1:22" x14ac:dyDescent="0.35">
      <c r="A493" s="510" t="e">
        <f>#REF!</f>
        <v>#REF!</v>
      </c>
      <c r="M493" s="510" t="e">
        <f>#REF!</f>
        <v>#REF!</v>
      </c>
      <c r="V493" s="1" t="e">
        <f>#REF!</f>
        <v>#REF!</v>
      </c>
    </row>
    <row r="494" spans="1:22" x14ac:dyDescent="0.35">
      <c r="A494" s="510" t="e">
        <f>#REF!</f>
        <v>#REF!</v>
      </c>
      <c r="M494" s="510" t="e">
        <f>#REF!</f>
        <v>#REF!</v>
      </c>
      <c r="V494" s="1" t="e">
        <f>#REF!</f>
        <v>#REF!</v>
      </c>
    </row>
    <row r="495" spans="1:22" x14ac:dyDescent="0.35">
      <c r="A495" s="510" t="e">
        <f>#REF!</f>
        <v>#REF!</v>
      </c>
      <c r="M495" s="510" t="e">
        <f>#REF!</f>
        <v>#REF!</v>
      </c>
      <c r="V495" s="1" t="e">
        <f>#REF!</f>
        <v>#REF!</v>
      </c>
    </row>
    <row r="496" spans="1:22" x14ac:dyDescent="0.35">
      <c r="A496" s="510" t="e">
        <f>#REF!</f>
        <v>#REF!</v>
      </c>
      <c r="M496" s="510" t="e">
        <f>#REF!</f>
        <v>#REF!</v>
      </c>
      <c r="V496" s="1" t="e">
        <f>#REF!</f>
        <v>#REF!</v>
      </c>
    </row>
    <row r="497" spans="1:22" x14ac:dyDescent="0.35">
      <c r="A497" s="510" t="e">
        <f>#REF!</f>
        <v>#REF!</v>
      </c>
      <c r="M497" s="510" t="e">
        <f>#REF!</f>
        <v>#REF!</v>
      </c>
      <c r="V497" s="1" t="e">
        <f>#REF!</f>
        <v>#REF!</v>
      </c>
    </row>
    <row r="498" spans="1:22" x14ac:dyDescent="0.35">
      <c r="A498" s="510" t="e">
        <f>#REF!</f>
        <v>#REF!</v>
      </c>
      <c r="M498" s="510" t="e">
        <f>#REF!</f>
        <v>#REF!</v>
      </c>
      <c r="V498" s="1" t="e">
        <f>#REF!</f>
        <v>#REF!</v>
      </c>
    </row>
    <row r="499" spans="1:22" x14ac:dyDescent="0.35">
      <c r="A499" s="510" t="e">
        <f>#REF!</f>
        <v>#REF!</v>
      </c>
      <c r="M499" s="510" t="e">
        <f>#REF!</f>
        <v>#REF!</v>
      </c>
      <c r="V499" s="1" t="e">
        <f>#REF!</f>
        <v>#REF!</v>
      </c>
    </row>
    <row r="500" spans="1:22" x14ac:dyDescent="0.35">
      <c r="A500" s="510" t="e">
        <f>#REF!</f>
        <v>#REF!</v>
      </c>
      <c r="M500" s="510" t="e">
        <f>#REF!</f>
        <v>#REF!</v>
      </c>
      <c r="V500" s="1" t="e">
        <f>#REF!</f>
        <v>#REF!</v>
      </c>
    </row>
    <row r="501" spans="1:22" x14ac:dyDescent="0.35">
      <c r="A501" s="510" t="e">
        <f>#REF!</f>
        <v>#REF!</v>
      </c>
      <c r="M501" s="510" t="e">
        <f>#REF!</f>
        <v>#REF!</v>
      </c>
      <c r="V501" s="1" t="e">
        <f>#REF!</f>
        <v>#REF!</v>
      </c>
    </row>
    <row r="502" spans="1:22" x14ac:dyDescent="0.35">
      <c r="A502" s="510" t="e">
        <f>#REF!</f>
        <v>#REF!</v>
      </c>
      <c r="M502" s="510" t="e">
        <f>#REF!</f>
        <v>#REF!</v>
      </c>
      <c r="V502" s="1" t="e">
        <f>#REF!</f>
        <v>#REF!</v>
      </c>
    </row>
    <row r="503" spans="1:22" x14ac:dyDescent="0.35">
      <c r="A503" s="510" t="e">
        <f>#REF!</f>
        <v>#REF!</v>
      </c>
      <c r="M503" s="510" t="e">
        <f>#REF!</f>
        <v>#REF!</v>
      </c>
      <c r="V503" s="1" t="e">
        <f>#REF!</f>
        <v>#REF!</v>
      </c>
    </row>
    <row r="504" spans="1:22" x14ac:dyDescent="0.35">
      <c r="A504" s="510" t="e">
        <f>#REF!</f>
        <v>#REF!</v>
      </c>
      <c r="M504" s="510" t="e">
        <f>#REF!</f>
        <v>#REF!</v>
      </c>
      <c r="V504" s="1" t="e">
        <f>#REF!</f>
        <v>#REF!</v>
      </c>
    </row>
    <row r="505" spans="1:22" x14ac:dyDescent="0.35">
      <c r="A505" s="510" t="e">
        <f>#REF!</f>
        <v>#REF!</v>
      </c>
      <c r="M505" s="510" t="e">
        <f>#REF!</f>
        <v>#REF!</v>
      </c>
      <c r="V505" s="1" t="e">
        <f>#REF!</f>
        <v>#REF!</v>
      </c>
    </row>
    <row r="506" spans="1:22" x14ac:dyDescent="0.35">
      <c r="A506" s="510" t="e">
        <f>#REF!</f>
        <v>#REF!</v>
      </c>
      <c r="M506" s="510" t="e">
        <f>#REF!</f>
        <v>#REF!</v>
      </c>
      <c r="V506" s="1" t="e">
        <f>#REF!</f>
        <v>#REF!</v>
      </c>
    </row>
    <row r="507" spans="1:22" x14ac:dyDescent="0.35">
      <c r="A507" s="510" t="e">
        <f>#REF!</f>
        <v>#REF!</v>
      </c>
      <c r="M507" s="510" t="e">
        <f>#REF!</f>
        <v>#REF!</v>
      </c>
      <c r="V507" s="1" t="e">
        <f>#REF!</f>
        <v>#REF!</v>
      </c>
    </row>
    <row r="508" spans="1:22" x14ac:dyDescent="0.35">
      <c r="A508" s="510" t="e">
        <f>#REF!</f>
        <v>#REF!</v>
      </c>
      <c r="M508" s="510" t="e">
        <f>#REF!</f>
        <v>#REF!</v>
      </c>
      <c r="V508" s="1" t="e">
        <f>#REF!</f>
        <v>#REF!</v>
      </c>
    </row>
    <row r="509" spans="1:22" x14ac:dyDescent="0.35">
      <c r="A509" s="510" t="e">
        <f>#REF!</f>
        <v>#REF!</v>
      </c>
      <c r="M509" s="510" t="e">
        <f>#REF!</f>
        <v>#REF!</v>
      </c>
      <c r="V509" s="1" t="e">
        <f>#REF!</f>
        <v>#REF!</v>
      </c>
    </row>
    <row r="510" spans="1:22" x14ac:dyDescent="0.35">
      <c r="A510" s="510" t="e">
        <f>#REF!</f>
        <v>#REF!</v>
      </c>
      <c r="M510" s="510" t="e">
        <f>#REF!</f>
        <v>#REF!</v>
      </c>
      <c r="V510" s="1" t="e">
        <f>#REF!</f>
        <v>#REF!</v>
      </c>
    </row>
    <row r="511" spans="1:22" x14ac:dyDescent="0.35">
      <c r="A511" s="510" t="e">
        <f>#REF!</f>
        <v>#REF!</v>
      </c>
      <c r="M511" s="510" t="e">
        <f>#REF!</f>
        <v>#REF!</v>
      </c>
      <c r="V511" s="1" t="e">
        <f>#REF!</f>
        <v>#REF!</v>
      </c>
    </row>
    <row r="512" spans="1:22" x14ac:dyDescent="0.35">
      <c r="A512" s="510" t="e">
        <f>#REF!</f>
        <v>#REF!</v>
      </c>
      <c r="M512" s="510" t="e">
        <f>#REF!</f>
        <v>#REF!</v>
      </c>
      <c r="V512" s="1" t="e">
        <f>#REF!</f>
        <v>#REF!</v>
      </c>
    </row>
    <row r="513" spans="1:22" x14ac:dyDescent="0.35">
      <c r="A513" s="510" t="e">
        <f>#REF!</f>
        <v>#REF!</v>
      </c>
      <c r="M513" s="510" t="e">
        <f>#REF!</f>
        <v>#REF!</v>
      </c>
      <c r="V513" s="1" t="e">
        <f>#REF!</f>
        <v>#REF!</v>
      </c>
    </row>
    <row r="514" spans="1:22" x14ac:dyDescent="0.35">
      <c r="A514" s="510" t="e">
        <f>#REF!</f>
        <v>#REF!</v>
      </c>
      <c r="M514" s="510" t="e">
        <f>#REF!</f>
        <v>#REF!</v>
      </c>
      <c r="V514" s="1" t="e">
        <f>#REF!</f>
        <v>#REF!</v>
      </c>
    </row>
    <row r="515" spans="1:22" x14ac:dyDescent="0.35">
      <c r="A515" s="510" t="e">
        <f>#REF!</f>
        <v>#REF!</v>
      </c>
      <c r="M515" s="510" t="e">
        <f>#REF!</f>
        <v>#REF!</v>
      </c>
      <c r="V515" s="1" t="e">
        <f>#REF!</f>
        <v>#REF!</v>
      </c>
    </row>
    <row r="516" spans="1:22" x14ac:dyDescent="0.35">
      <c r="A516" s="510" t="e">
        <f>#REF!</f>
        <v>#REF!</v>
      </c>
      <c r="M516" s="510" t="e">
        <f>#REF!</f>
        <v>#REF!</v>
      </c>
      <c r="V516" s="1" t="e">
        <f>#REF!</f>
        <v>#REF!</v>
      </c>
    </row>
    <row r="517" spans="1:22" x14ac:dyDescent="0.35">
      <c r="A517" s="510" t="e">
        <f>#REF!</f>
        <v>#REF!</v>
      </c>
      <c r="M517" s="510" t="e">
        <f>#REF!</f>
        <v>#REF!</v>
      </c>
      <c r="V517" s="1" t="e">
        <f>#REF!</f>
        <v>#REF!</v>
      </c>
    </row>
    <row r="518" spans="1:22" x14ac:dyDescent="0.35">
      <c r="A518" s="510" t="e">
        <f>#REF!</f>
        <v>#REF!</v>
      </c>
      <c r="M518" s="510" t="e">
        <f>#REF!</f>
        <v>#REF!</v>
      </c>
      <c r="V518" s="1" t="e">
        <f>#REF!</f>
        <v>#REF!</v>
      </c>
    </row>
    <row r="519" spans="1:22" x14ac:dyDescent="0.35">
      <c r="A519" s="510" t="e">
        <f>#REF!</f>
        <v>#REF!</v>
      </c>
      <c r="M519" s="510" t="e">
        <f>#REF!</f>
        <v>#REF!</v>
      </c>
      <c r="V519" s="1" t="e">
        <f>#REF!</f>
        <v>#REF!</v>
      </c>
    </row>
    <row r="520" spans="1:22" x14ac:dyDescent="0.35">
      <c r="A520" s="510" t="e">
        <f>#REF!</f>
        <v>#REF!</v>
      </c>
      <c r="M520" s="510" t="e">
        <f>#REF!</f>
        <v>#REF!</v>
      </c>
      <c r="V520" s="1" t="e">
        <f>#REF!</f>
        <v>#REF!</v>
      </c>
    </row>
    <row r="521" spans="1:22" x14ac:dyDescent="0.35">
      <c r="A521" s="510" t="e">
        <f>#REF!</f>
        <v>#REF!</v>
      </c>
      <c r="M521" s="510" t="e">
        <f>#REF!</f>
        <v>#REF!</v>
      </c>
      <c r="V521" s="1" t="e">
        <f>#REF!</f>
        <v>#REF!</v>
      </c>
    </row>
    <row r="522" spans="1:22" x14ac:dyDescent="0.35">
      <c r="A522" s="510" t="e">
        <f>#REF!</f>
        <v>#REF!</v>
      </c>
      <c r="M522" s="510" t="e">
        <f>#REF!</f>
        <v>#REF!</v>
      </c>
      <c r="V522" s="1" t="e">
        <f>#REF!</f>
        <v>#REF!</v>
      </c>
    </row>
    <row r="523" spans="1:22" x14ac:dyDescent="0.35">
      <c r="A523" s="510" t="e">
        <f>#REF!</f>
        <v>#REF!</v>
      </c>
      <c r="M523" s="510" t="e">
        <f>#REF!</f>
        <v>#REF!</v>
      </c>
      <c r="V523" s="1" t="e">
        <f>#REF!</f>
        <v>#REF!</v>
      </c>
    </row>
    <row r="524" spans="1:22" x14ac:dyDescent="0.35">
      <c r="A524" s="510" t="e">
        <f>#REF!</f>
        <v>#REF!</v>
      </c>
      <c r="M524" s="510" t="e">
        <f>#REF!</f>
        <v>#REF!</v>
      </c>
      <c r="V524" s="1" t="e">
        <f>#REF!</f>
        <v>#REF!</v>
      </c>
    </row>
    <row r="525" spans="1:22" x14ac:dyDescent="0.35">
      <c r="A525" s="510" t="e">
        <f>#REF!</f>
        <v>#REF!</v>
      </c>
      <c r="M525" s="510" t="e">
        <f>#REF!</f>
        <v>#REF!</v>
      </c>
      <c r="V525" s="1" t="e">
        <f>#REF!</f>
        <v>#REF!</v>
      </c>
    </row>
    <row r="526" spans="1:22" x14ac:dyDescent="0.35">
      <c r="A526" s="510" t="e">
        <f>#REF!</f>
        <v>#REF!</v>
      </c>
      <c r="M526" s="510" t="e">
        <f>#REF!</f>
        <v>#REF!</v>
      </c>
      <c r="V526" s="1" t="e">
        <f>#REF!</f>
        <v>#REF!</v>
      </c>
    </row>
    <row r="527" spans="1:22" x14ac:dyDescent="0.35">
      <c r="A527" s="510" t="e">
        <f>#REF!</f>
        <v>#REF!</v>
      </c>
      <c r="M527" s="510" t="e">
        <f>#REF!</f>
        <v>#REF!</v>
      </c>
      <c r="V527" s="1" t="e">
        <f>#REF!</f>
        <v>#REF!</v>
      </c>
    </row>
    <row r="528" spans="1:22" x14ac:dyDescent="0.35">
      <c r="A528" s="510" t="e">
        <f>#REF!</f>
        <v>#REF!</v>
      </c>
      <c r="M528" s="510" t="e">
        <f>#REF!</f>
        <v>#REF!</v>
      </c>
      <c r="V528" s="1" t="e">
        <f>#REF!</f>
        <v>#REF!</v>
      </c>
    </row>
    <row r="529" spans="1:22" x14ac:dyDescent="0.35">
      <c r="A529" s="510" t="e">
        <f>#REF!</f>
        <v>#REF!</v>
      </c>
      <c r="M529" s="510" t="e">
        <f>#REF!</f>
        <v>#REF!</v>
      </c>
      <c r="V529" s="1" t="e">
        <f>#REF!</f>
        <v>#REF!</v>
      </c>
    </row>
    <row r="530" spans="1:22" x14ac:dyDescent="0.35">
      <c r="A530" s="510" t="e">
        <f>#REF!</f>
        <v>#REF!</v>
      </c>
      <c r="M530" s="510" t="e">
        <f>#REF!</f>
        <v>#REF!</v>
      </c>
      <c r="V530" s="1" t="e">
        <f>#REF!</f>
        <v>#REF!</v>
      </c>
    </row>
    <row r="531" spans="1:22" x14ac:dyDescent="0.35">
      <c r="A531" s="510" t="e">
        <f>#REF!</f>
        <v>#REF!</v>
      </c>
      <c r="M531" s="510" t="e">
        <f>#REF!</f>
        <v>#REF!</v>
      </c>
      <c r="V531" s="1" t="e">
        <f>#REF!</f>
        <v>#REF!</v>
      </c>
    </row>
    <row r="532" spans="1:22" x14ac:dyDescent="0.35">
      <c r="A532" s="510" t="e">
        <f>#REF!</f>
        <v>#REF!</v>
      </c>
      <c r="M532" s="510" t="e">
        <f>#REF!</f>
        <v>#REF!</v>
      </c>
      <c r="V532" s="1" t="e">
        <f>#REF!</f>
        <v>#REF!</v>
      </c>
    </row>
    <row r="533" spans="1:22" x14ac:dyDescent="0.35">
      <c r="A533" s="510" t="e">
        <f>#REF!</f>
        <v>#REF!</v>
      </c>
      <c r="M533" s="510" t="e">
        <f>#REF!</f>
        <v>#REF!</v>
      </c>
      <c r="V533" s="1" t="e">
        <f>#REF!</f>
        <v>#REF!</v>
      </c>
    </row>
    <row r="534" spans="1:22" x14ac:dyDescent="0.35">
      <c r="A534" s="510" t="e">
        <f>#REF!</f>
        <v>#REF!</v>
      </c>
      <c r="M534" s="510" t="e">
        <f>#REF!</f>
        <v>#REF!</v>
      </c>
      <c r="V534" s="1" t="e">
        <f>#REF!</f>
        <v>#REF!</v>
      </c>
    </row>
    <row r="535" spans="1:22" x14ac:dyDescent="0.35">
      <c r="A535" s="510" t="e">
        <f>#REF!</f>
        <v>#REF!</v>
      </c>
      <c r="M535" s="510" t="e">
        <f>#REF!</f>
        <v>#REF!</v>
      </c>
      <c r="V535" s="1" t="e">
        <f>#REF!</f>
        <v>#REF!</v>
      </c>
    </row>
    <row r="536" spans="1:22" x14ac:dyDescent="0.35">
      <c r="A536" s="510" t="e">
        <f>#REF!</f>
        <v>#REF!</v>
      </c>
      <c r="M536" s="510" t="e">
        <f>#REF!</f>
        <v>#REF!</v>
      </c>
      <c r="V536" s="1" t="e">
        <f>#REF!</f>
        <v>#REF!</v>
      </c>
    </row>
    <row r="537" spans="1:22" x14ac:dyDescent="0.35">
      <c r="A537" s="510" t="e">
        <f>#REF!</f>
        <v>#REF!</v>
      </c>
      <c r="M537" s="510" t="e">
        <f>#REF!</f>
        <v>#REF!</v>
      </c>
      <c r="V537" s="1" t="e">
        <f>#REF!</f>
        <v>#REF!</v>
      </c>
    </row>
    <row r="538" spans="1:22" x14ac:dyDescent="0.35">
      <c r="A538" s="510" t="e">
        <f>#REF!</f>
        <v>#REF!</v>
      </c>
      <c r="M538" s="510" t="e">
        <f>#REF!</f>
        <v>#REF!</v>
      </c>
      <c r="V538" s="1" t="e">
        <f>#REF!</f>
        <v>#REF!</v>
      </c>
    </row>
    <row r="539" spans="1:22" x14ac:dyDescent="0.35">
      <c r="A539" s="510" t="e">
        <f>#REF!</f>
        <v>#REF!</v>
      </c>
      <c r="M539" s="510" t="e">
        <f>#REF!</f>
        <v>#REF!</v>
      </c>
      <c r="V539" s="1" t="e">
        <f>#REF!</f>
        <v>#REF!</v>
      </c>
    </row>
    <row r="540" spans="1:22" x14ac:dyDescent="0.35">
      <c r="A540" s="510" t="e">
        <f>#REF!</f>
        <v>#REF!</v>
      </c>
      <c r="M540" s="510" t="e">
        <f>#REF!</f>
        <v>#REF!</v>
      </c>
      <c r="V540" s="1" t="e">
        <f>#REF!</f>
        <v>#REF!</v>
      </c>
    </row>
    <row r="541" spans="1:22" x14ac:dyDescent="0.35">
      <c r="A541" s="510" t="e">
        <f>#REF!</f>
        <v>#REF!</v>
      </c>
      <c r="M541" s="510" t="e">
        <f>#REF!</f>
        <v>#REF!</v>
      </c>
      <c r="V541" s="1" t="e">
        <f>#REF!</f>
        <v>#REF!</v>
      </c>
    </row>
    <row r="542" spans="1:22" x14ac:dyDescent="0.35">
      <c r="A542" s="510" t="e">
        <f>#REF!</f>
        <v>#REF!</v>
      </c>
      <c r="M542" s="510" t="e">
        <f>#REF!</f>
        <v>#REF!</v>
      </c>
      <c r="V542" s="1" t="e">
        <f>#REF!</f>
        <v>#REF!</v>
      </c>
    </row>
    <row r="543" spans="1:22" x14ac:dyDescent="0.35">
      <c r="A543" s="510" t="e">
        <f>#REF!</f>
        <v>#REF!</v>
      </c>
      <c r="M543" s="510" t="e">
        <f>#REF!</f>
        <v>#REF!</v>
      </c>
      <c r="V543" s="1" t="e">
        <f>#REF!</f>
        <v>#REF!</v>
      </c>
    </row>
    <row r="544" spans="1:22" x14ac:dyDescent="0.35">
      <c r="A544" s="510" t="e">
        <f>#REF!</f>
        <v>#REF!</v>
      </c>
      <c r="M544" s="510" t="e">
        <f>#REF!</f>
        <v>#REF!</v>
      </c>
      <c r="V544" s="1" t="e">
        <f>#REF!</f>
        <v>#REF!</v>
      </c>
    </row>
    <row r="545" spans="1:22" x14ac:dyDescent="0.35">
      <c r="A545" s="510" t="e">
        <f>#REF!</f>
        <v>#REF!</v>
      </c>
      <c r="M545" s="510" t="e">
        <f>#REF!</f>
        <v>#REF!</v>
      </c>
      <c r="V545" s="1" t="e">
        <f>#REF!</f>
        <v>#REF!</v>
      </c>
    </row>
    <row r="546" spans="1:22" x14ac:dyDescent="0.35">
      <c r="A546" s="510" t="e">
        <f>#REF!</f>
        <v>#REF!</v>
      </c>
      <c r="M546" s="510" t="e">
        <f>#REF!</f>
        <v>#REF!</v>
      </c>
      <c r="V546" s="1" t="e">
        <f>#REF!</f>
        <v>#REF!</v>
      </c>
    </row>
    <row r="547" spans="1:22" x14ac:dyDescent="0.35">
      <c r="A547" s="510" t="e">
        <f>#REF!</f>
        <v>#REF!</v>
      </c>
      <c r="M547" s="510" t="e">
        <f>#REF!</f>
        <v>#REF!</v>
      </c>
      <c r="V547" s="1" t="e">
        <f>#REF!</f>
        <v>#REF!</v>
      </c>
    </row>
    <row r="548" spans="1:22" x14ac:dyDescent="0.35">
      <c r="A548" s="510" t="e">
        <f>#REF!</f>
        <v>#REF!</v>
      </c>
      <c r="M548" s="510" t="e">
        <f>#REF!</f>
        <v>#REF!</v>
      </c>
      <c r="V548" s="1" t="e">
        <f>#REF!</f>
        <v>#REF!</v>
      </c>
    </row>
    <row r="549" spans="1:22" x14ac:dyDescent="0.35">
      <c r="A549" s="510" t="e">
        <f>#REF!</f>
        <v>#REF!</v>
      </c>
      <c r="M549" s="510" t="e">
        <f>#REF!</f>
        <v>#REF!</v>
      </c>
      <c r="V549" s="1" t="e">
        <f>#REF!</f>
        <v>#REF!</v>
      </c>
    </row>
    <row r="550" spans="1:22" x14ac:dyDescent="0.35">
      <c r="A550" s="510" t="e">
        <f>#REF!</f>
        <v>#REF!</v>
      </c>
      <c r="M550" s="510" t="e">
        <f>#REF!</f>
        <v>#REF!</v>
      </c>
      <c r="V550" s="1" t="e">
        <f>#REF!</f>
        <v>#REF!</v>
      </c>
    </row>
    <row r="551" spans="1:22" x14ac:dyDescent="0.35">
      <c r="A551" s="510" t="e">
        <f>#REF!</f>
        <v>#REF!</v>
      </c>
      <c r="M551" s="510" t="e">
        <f>#REF!</f>
        <v>#REF!</v>
      </c>
      <c r="V551" s="1" t="e">
        <f>#REF!</f>
        <v>#REF!</v>
      </c>
    </row>
    <row r="552" spans="1:22" x14ac:dyDescent="0.35">
      <c r="A552" s="510" t="e">
        <f>#REF!</f>
        <v>#REF!</v>
      </c>
      <c r="M552" s="510" t="e">
        <f>#REF!</f>
        <v>#REF!</v>
      </c>
      <c r="V552" s="1" t="e">
        <f>#REF!</f>
        <v>#REF!</v>
      </c>
    </row>
    <row r="553" spans="1:22" x14ac:dyDescent="0.35">
      <c r="A553" s="510" t="e">
        <f>#REF!</f>
        <v>#REF!</v>
      </c>
      <c r="M553" s="510" t="e">
        <f>#REF!</f>
        <v>#REF!</v>
      </c>
      <c r="V553" s="1" t="e">
        <f>#REF!</f>
        <v>#REF!</v>
      </c>
    </row>
    <row r="554" spans="1:22" x14ac:dyDescent="0.35">
      <c r="A554" s="510" t="e">
        <f>#REF!</f>
        <v>#REF!</v>
      </c>
      <c r="M554" s="510" t="e">
        <f>#REF!</f>
        <v>#REF!</v>
      </c>
      <c r="V554" s="1" t="e">
        <f>#REF!</f>
        <v>#REF!</v>
      </c>
    </row>
    <row r="555" spans="1:22" x14ac:dyDescent="0.35">
      <c r="A555" s="510" t="e">
        <f>#REF!</f>
        <v>#REF!</v>
      </c>
      <c r="M555" s="510" t="e">
        <f>#REF!</f>
        <v>#REF!</v>
      </c>
      <c r="V555" s="1" t="e">
        <f>#REF!</f>
        <v>#REF!</v>
      </c>
    </row>
    <row r="556" spans="1:22" x14ac:dyDescent="0.35">
      <c r="A556" s="510" t="e">
        <f>#REF!</f>
        <v>#REF!</v>
      </c>
      <c r="M556" s="510" t="e">
        <f>#REF!</f>
        <v>#REF!</v>
      </c>
      <c r="V556" s="1" t="e">
        <f>#REF!</f>
        <v>#REF!</v>
      </c>
    </row>
    <row r="557" spans="1:22" x14ac:dyDescent="0.35">
      <c r="A557" s="510" t="e">
        <f>#REF!</f>
        <v>#REF!</v>
      </c>
      <c r="M557" s="510" t="e">
        <f>#REF!</f>
        <v>#REF!</v>
      </c>
      <c r="V557" s="1" t="e">
        <f>#REF!</f>
        <v>#REF!</v>
      </c>
    </row>
    <row r="558" spans="1:22" x14ac:dyDescent="0.35">
      <c r="A558" s="510" t="e">
        <f>#REF!</f>
        <v>#REF!</v>
      </c>
      <c r="M558" s="510" t="e">
        <f>#REF!</f>
        <v>#REF!</v>
      </c>
      <c r="V558" s="1" t="e">
        <f>#REF!</f>
        <v>#REF!</v>
      </c>
    </row>
    <row r="559" spans="1:22" x14ac:dyDescent="0.35">
      <c r="A559" s="510" t="e">
        <f>#REF!</f>
        <v>#REF!</v>
      </c>
      <c r="M559" s="510" t="e">
        <f>#REF!</f>
        <v>#REF!</v>
      </c>
      <c r="V559" s="1" t="e">
        <f>#REF!</f>
        <v>#REF!</v>
      </c>
    </row>
    <row r="560" spans="1:22" x14ac:dyDescent="0.35">
      <c r="A560" s="510" t="e">
        <f>#REF!</f>
        <v>#REF!</v>
      </c>
      <c r="M560" s="510" t="e">
        <f>#REF!</f>
        <v>#REF!</v>
      </c>
      <c r="V560" s="1" t="e">
        <f>#REF!</f>
        <v>#REF!</v>
      </c>
    </row>
    <row r="561" spans="1:22" x14ac:dyDescent="0.35">
      <c r="A561" s="510" t="e">
        <f>#REF!</f>
        <v>#REF!</v>
      </c>
      <c r="M561" s="510" t="e">
        <f>#REF!</f>
        <v>#REF!</v>
      </c>
      <c r="V561" s="1" t="e">
        <f>#REF!</f>
        <v>#REF!</v>
      </c>
    </row>
    <row r="562" spans="1:22" x14ac:dyDescent="0.35">
      <c r="A562" s="510" t="e">
        <f>#REF!</f>
        <v>#REF!</v>
      </c>
      <c r="M562" s="510" t="e">
        <f>#REF!</f>
        <v>#REF!</v>
      </c>
      <c r="V562" s="1" t="e">
        <f>#REF!</f>
        <v>#REF!</v>
      </c>
    </row>
    <row r="563" spans="1:22" x14ac:dyDescent="0.35">
      <c r="A563" s="510" t="e">
        <f>#REF!</f>
        <v>#REF!</v>
      </c>
      <c r="M563" s="510" t="e">
        <f>#REF!</f>
        <v>#REF!</v>
      </c>
      <c r="V563" s="1" t="e">
        <f>#REF!</f>
        <v>#REF!</v>
      </c>
    </row>
    <row r="564" spans="1:22" x14ac:dyDescent="0.35">
      <c r="A564" s="510" t="e">
        <f>#REF!</f>
        <v>#REF!</v>
      </c>
      <c r="M564" s="510" t="e">
        <f>#REF!</f>
        <v>#REF!</v>
      </c>
      <c r="V564" s="1" t="e">
        <f>#REF!</f>
        <v>#REF!</v>
      </c>
    </row>
    <row r="565" spans="1:22" x14ac:dyDescent="0.35">
      <c r="A565" s="510" t="e">
        <f>#REF!</f>
        <v>#REF!</v>
      </c>
      <c r="M565" s="510" t="e">
        <f>#REF!</f>
        <v>#REF!</v>
      </c>
      <c r="V565" s="1" t="e">
        <f>#REF!</f>
        <v>#REF!</v>
      </c>
    </row>
    <row r="566" spans="1:22" x14ac:dyDescent="0.35">
      <c r="A566" s="510" t="e">
        <f>#REF!</f>
        <v>#REF!</v>
      </c>
      <c r="M566" s="510" t="e">
        <f>#REF!</f>
        <v>#REF!</v>
      </c>
      <c r="V566" s="1" t="e">
        <f>#REF!</f>
        <v>#REF!</v>
      </c>
    </row>
    <row r="567" spans="1:22" x14ac:dyDescent="0.35">
      <c r="A567" s="510" t="e">
        <f>#REF!</f>
        <v>#REF!</v>
      </c>
      <c r="M567" s="510" t="e">
        <f>#REF!</f>
        <v>#REF!</v>
      </c>
      <c r="V567" s="1" t="e">
        <f>#REF!</f>
        <v>#REF!</v>
      </c>
    </row>
    <row r="568" spans="1:22" x14ac:dyDescent="0.35">
      <c r="A568" s="510" t="e">
        <f>#REF!</f>
        <v>#REF!</v>
      </c>
      <c r="M568" s="510" t="e">
        <f>#REF!</f>
        <v>#REF!</v>
      </c>
      <c r="V568" s="1" t="e">
        <f>#REF!</f>
        <v>#REF!</v>
      </c>
    </row>
    <row r="569" spans="1:22" x14ac:dyDescent="0.35">
      <c r="A569" s="510" t="e">
        <f>#REF!</f>
        <v>#REF!</v>
      </c>
      <c r="M569" s="510" t="e">
        <f>#REF!</f>
        <v>#REF!</v>
      </c>
      <c r="V569" s="1" t="e">
        <f>#REF!</f>
        <v>#REF!</v>
      </c>
    </row>
    <row r="570" spans="1:22" x14ac:dyDescent="0.35">
      <c r="A570" s="510" t="e">
        <f>#REF!</f>
        <v>#REF!</v>
      </c>
      <c r="M570" s="510" t="e">
        <f>#REF!</f>
        <v>#REF!</v>
      </c>
      <c r="V570" s="1" t="e">
        <f>#REF!</f>
        <v>#REF!</v>
      </c>
    </row>
    <row r="571" spans="1:22" x14ac:dyDescent="0.35">
      <c r="A571" s="510" t="e">
        <f>#REF!</f>
        <v>#REF!</v>
      </c>
      <c r="M571" s="510" t="e">
        <f>#REF!</f>
        <v>#REF!</v>
      </c>
      <c r="V571" s="1" t="e">
        <f>#REF!</f>
        <v>#REF!</v>
      </c>
    </row>
    <row r="572" spans="1:22" x14ac:dyDescent="0.35">
      <c r="A572" s="510" t="e">
        <f>#REF!</f>
        <v>#REF!</v>
      </c>
      <c r="M572" s="510" t="e">
        <f>#REF!</f>
        <v>#REF!</v>
      </c>
      <c r="V572" s="1" t="e">
        <f>#REF!</f>
        <v>#REF!</v>
      </c>
    </row>
    <row r="573" spans="1:22" x14ac:dyDescent="0.35">
      <c r="A573" s="510" t="e">
        <f>#REF!</f>
        <v>#REF!</v>
      </c>
      <c r="M573" s="510" t="e">
        <f>#REF!</f>
        <v>#REF!</v>
      </c>
      <c r="V573" s="1" t="e">
        <f>#REF!</f>
        <v>#REF!</v>
      </c>
    </row>
    <row r="574" spans="1:22" x14ac:dyDescent="0.35">
      <c r="A574" s="510" t="e">
        <f>#REF!</f>
        <v>#REF!</v>
      </c>
      <c r="M574" s="510" t="e">
        <f>#REF!</f>
        <v>#REF!</v>
      </c>
      <c r="V574" s="1" t="e">
        <f>#REF!</f>
        <v>#REF!</v>
      </c>
    </row>
    <row r="575" spans="1:22" x14ac:dyDescent="0.35">
      <c r="A575" s="510" t="e">
        <f>#REF!</f>
        <v>#REF!</v>
      </c>
      <c r="M575" s="510" t="e">
        <f>#REF!</f>
        <v>#REF!</v>
      </c>
      <c r="V575" s="1" t="e">
        <f>#REF!</f>
        <v>#REF!</v>
      </c>
    </row>
    <row r="576" spans="1:22" x14ac:dyDescent="0.35">
      <c r="A576" s="510" t="e">
        <f>#REF!</f>
        <v>#REF!</v>
      </c>
      <c r="M576" s="510" t="e">
        <f>#REF!</f>
        <v>#REF!</v>
      </c>
      <c r="V576" s="1" t="e">
        <f>#REF!</f>
        <v>#REF!</v>
      </c>
    </row>
    <row r="577" spans="1:22" x14ac:dyDescent="0.35">
      <c r="A577" s="510" t="e">
        <f>#REF!</f>
        <v>#REF!</v>
      </c>
      <c r="M577" s="510" t="e">
        <f>#REF!</f>
        <v>#REF!</v>
      </c>
      <c r="V577" s="1" t="e">
        <f>#REF!</f>
        <v>#REF!</v>
      </c>
    </row>
    <row r="578" spans="1:22" x14ac:dyDescent="0.35">
      <c r="A578" s="510" t="e">
        <f>#REF!</f>
        <v>#REF!</v>
      </c>
      <c r="M578" s="510" t="e">
        <f>#REF!</f>
        <v>#REF!</v>
      </c>
      <c r="V578" s="1" t="e">
        <f>#REF!</f>
        <v>#REF!</v>
      </c>
    </row>
    <row r="579" spans="1:22" x14ac:dyDescent="0.35">
      <c r="A579" s="510" t="e">
        <f>#REF!</f>
        <v>#REF!</v>
      </c>
      <c r="M579" s="510" t="e">
        <f>#REF!</f>
        <v>#REF!</v>
      </c>
      <c r="V579" s="1" t="e">
        <f>#REF!</f>
        <v>#REF!</v>
      </c>
    </row>
    <row r="580" spans="1:22" x14ac:dyDescent="0.35">
      <c r="A580" s="510" t="e">
        <f>#REF!</f>
        <v>#REF!</v>
      </c>
      <c r="M580" s="510" t="e">
        <f>#REF!</f>
        <v>#REF!</v>
      </c>
      <c r="V580" s="1" t="e">
        <f>#REF!</f>
        <v>#REF!</v>
      </c>
    </row>
    <row r="581" spans="1:22" x14ac:dyDescent="0.35">
      <c r="A581" s="510" t="e">
        <f>#REF!</f>
        <v>#REF!</v>
      </c>
      <c r="M581" s="510" t="e">
        <f>#REF!</f>
        <v>#REF!</v>
      </c>
      <c r="V581" s="1" t="e">
        <f>#REF!</f>
        <v>#REF!</v>
      </c>
    </row>
    <row r="582" spans="1:22" x14ac:dyDescent="0.35">
      <c r="A582" s="510" t="e">
        <f>#REF!</f>
        <v>#REF!</v>
      </c>
      <c r="M582" s="510" t="e">
        <f>#REF!</f>
        <v>#REF!</v>
      </c>
      <c r="V582" s="1" t="e">
        <f>#REF!</f>
        <v>#REF!</v>
      </c>
    </row>
    <row r="583" spans="1:22" x14ac:dyDescent="0.35">
      <c r="A583" s="510" t="e">
        <f>#REF!</f>
        <v>#REF!</v>
      </c>
      <c r="M583" s="510" t="e">
        <f>#REF!</f>
        <v>#REF!</v>
      </c>
      <c r="V583" s="1" t="e">
        <f>#REF!</f>
        <v>#REF!</v>
      </c>
    </row>
    <row r="584" spans="1:22" x14ac:dyDescent="0.35">
      <c r="A584" s="510" t="e">
        <f>#REF!</f>
        <v>#REF!</v>
      </c>
      <c r="M584" s="510" t="e">
        <f>#REF!</f>
        <v>#REF!</v>
      </c>
      <c r="V584" s="1" t="e">
        <f>#REF!</f>
        <v>#REF!</v>
      </c>
    </row>
    <row r="585" spans="1:22" x14ac:dyDescent="0.35">
      <c r="A585" s="510" t="e">
        <f>#REF!</f>
        <v>#REF!</v>
      </c>
      <c r="M585" s="510" t="e">
        <f>#REF!</f>
        <v>#REF!</v>
      </c>
      <c r="V585" s="1" t="e">
        <f>#REF!</f>
        <v>#REF!</v>
      </c>
    </row>
    <row r="586" spans="1:22" x14ac:dyDescent="0.35">
      <c r="A586" s="510" t="e">
        <f>#REF!</f>
        <v>#REF!</v>
      </c>
      <c r="M586" s="510" t="e">
        <f>#REF!</f>
        <v>#REF!</v>
      </c>
      <c r="V586" s="1" t="e">
        <f>#REF!</f>
        <v>#REF!</v>
      </c>
    </row>
    <row r="587" spans="1:22" x14ac:dyDescent="0.35">
      <c r="A587" s="510" t="e">
        <f>#REF!</f>
        <v>#REF!</v>
      </c>
      <c r="M587" s="510" t="e">
        <f>#REF!</f>
        <v>#REF!</v>
      </c>
      <c r="V587" s="1" t="e">
        <f>#REF!</f>
        <v>#REF!</v>
      </c>
    </row>
    <row r="588" spans="1:22" x14ac:dyDescent="0.35">
      <c r="A588" s="510" t="e">
        <f>#REF!</f>
        <v>#REF!</v>
      </c>
      <c r="M588" s="510" t="e">
        <f>#REF!</f>
        <v>#REF!</v>
      </c>
      <c r="V588" s="1" t="e">
        <f>#REF!</f>
        <v>#REF!</v>
      </c>
    </row>
    <row r="589" spans="1:22" x14ac:dyDescent="0.35">
      <c r="A589" s="510" t="e">
        <f>#REF!</f>
        <v>#REF!</v>
      </c>
      <c r="M589" s="510" t="e">
        <f>#REF!</f>
        <v>#REF!</v>
      </c>
      <c r="V589" s="1" t="e">
        <f>#REF!</f>
        <v>#REF!</v>
      </c>
    </row>
    <row r="590" spans="1:22" x14ac:dyDescent="0.35">
      <c r="A590" s="510" t="e">
        <f>#REF!</f>
        <v>#REF!</v>
      </c>
      <c r="M590" s="510" t="e">
        <f>#REF!</f>
        <v>#REF!</v>
      </c>
      <c r="V590" s="1" t="e">
        <f>#REF!</f>
        <v>#REF!</v>
      </c>
    </row>
    <row r="591" spans="1:22" x14ac:dyDescent="0.35">
      <c r="A591" s="510" t="e">
        <f>#REF!</f>
        <v>#REF!</v>
      </c>
      <c r="M591" s="510" t="e">
        <f>#REF!</f>
        <v>#REF!</v>
      </c>
      <c r="V591" s="1" t="e">
        <f>#REF!</f>
        <v>#REF!</v>
      </c>
    </row>
    <row r="592" spans="1:22" x14ac:dyDescent="0.35">
      <c r="A592" s="510" t="e">
        <f>#REF!</f>
        <v>#REF!</v>
      </c>
      <c r="M592" s="510" t="e">
        <f>#REF!</f>
        <v>#REF!</v>
      </c>
      <c r="V592" s="1" t="e">
        <f>#REF!</f>
        <v>#REF!</v>
      </c>
    </row>
    <row r="593" spans="1:22" x14ac:dyDescent="0.35">
      <c r="A593" s="510" t="e">
        <f>#REF!</f>
        <v>#REF!</v>
      </c>
      <c r="M593" s="510" t="e">
        <f>#REF!</f>
        <v>#REF!</v>
      </c>
      <c r="V593" s="1" t="e">
        <f>#REF!</f>
        <v>#REF!</v>
      </c>
    </row>
    <row r="594" spans="1:22" x14ac:dyDescent="0.35">
      <c r="A594" s="510" t="e">
        <f>#REF!</f>
        <v>#REF!</v>
      </c>
      <c r="M594" s="510" t="e">
        <f>#REF!</f>
        <v>#REF!</v>
      </c>
      <c r="V594" s="1" t="e">
        <f>#REF!</f>
        <v>#REF!</v>
      </c>
    </row>
    <row r="595" spans="1:22" x14ac:dyDescent="0.35">
      <c r="A595" s="510" t="e">
        <f>#REF!</f>
        <v>#REF!</v>
      </c>
      <c r="M595" s="510" t="e">
        <f>#REF!</f>
        <v>#REF!</v>
      </c>
      <c r="V595" s="1" t="e">
        <f>#REF!</f>
        <v>#REF!</v>
      </c>
    </row>
    <row r="596" spans="1:22" x14ac:dyDescent="0.35">
      <c r="A596" s="510" t="e">
        <f>#REF!</f>
        <v>#REF!</v>
      </c>
      <c r="M596" s="510" t="e">
        <f>#REF!</f>
        <v>#REF!</v>
      </c>
      <c r="V596" s="1" t="e">
        <f>#REF!</f>
        <v>#REF!</v>
      </c>
    </row>
    <row r="597" spans="1:22" x14ac:dyDescent="0.35">
      <c r="A597" s="510" t="e">
        <f>#REF!</f>
        <v>#REF!</v>
      </c>
      <c r="M597" s="510" t="e">
        <f>#REF!</f>
        <v>#REF!</v>
      </c>
      <c r="V597" s="1" t="e">
        <f>#REF!</f>
        <v>#REF!</v>
      </c>
    </row>
    <row r="598" spans="1:22" x14ac:dyDescent="0.35">
      <c r="A598" s="510" t="e">
        <f>#REF!</f>
        <v>#REF!</v>
      </c>
      <c r="M598" s="510" t="e">
        <f>#REF!</f>
        <v>#REF!</v>
      </c>
      <c r="V598" s="1" t="e">
        <f>#REF!</f>
        <v>#REF!</v>
      </c>
    </row>
    <row r="599" spans="1:22" x14ac:dyDescent="0.35">
      <c r="A599" s="510" t="e">
        <f>#REF!</f>
        <v>#REF!</v>
      </c>
      <c r="M599" s="510" t="e">
        <f>#REF!</f>
        <v>#REF!</v>
      </c>
      <c r="V599" s="1" t="e">
        <f>#REF!</f>
        <v>#REF!</v>
      </c>
    </row>
    <row r="600" spans="1:22" x14ac:dyDescent="0.35">
      <c r="A600" s="510" t="e">
        <f>#REF!</f>
        <v>#REF!</v>
      </c>
      <c r="M600" s="510" t="e">
        <f>#REF!</f>
        <v>#REF!</v>
      </c>
      <c r="V600" s="1" t="e">
        <f>#REF!</f>
        <v>#REF!</v>
      </c>
    </row>
    <row r="601" spans="1:22" x14ac:dyDescent="0.35">
      <c r="A601" s="510" t="e">
        <f>#REF!</f>
        <v>#REF!</v>
      </c>
      <c r="M601" s="510" t="e">
        <f>#REF!</f>
        <v>#REF!</v>
      </c>
      <c r="V601" s="1" t="e">
        <f>#REF!</f>
        <v>#REF!</v>
      </c>
    </row>
    <row r="602" spans="1:22" x14ac:dyDescent="0.35">
      <c r="A602" s="510" t="e">
        <f>#REF!</f>
        <v>#REF!</v>
      </c>
      <c r="M602" s="510" t="e">
        <f>#REF!</f>
        <v>#REF!</v>
      </c>
      <c r="V602" s="1" t="e">
        <f>#REF!</f>
        <v>#REF!</v>
      </c>
    </row>
    <row r="603" spans="1:22" x14ac:dyDescent="0.35">
      <c r="A603" s="510" t="e">
        <f>#REF!</f>
        <v>#REF!</v>
      </c>
      <c r="M603" s="510" t="e">
        <f>#REF!</f>
        <v>#REF!</v>
      </c>
      <c r="V603" s="1" t="e">
        <f>#REF!</f>
        <v>#REF!</v>
      </c>
    </row>
    <row r="604" spans="1:22" x14ac:dyDescent="0.35">
      <c r="A604" s="510" t="e">
        <f>#REF!</f>
        <v>#REF!</v>
      </c>
      <c r="M604" s="510" t="e">
        <f>#REF!</f>
        <v>#REF!</v>
      </c>
      <c r="V604" s="1" t="e">
        <f>#REF!</f>
        <v>#REF!</v>
      </c>
    </row>
    <row r="605" spans="1:22" x14ac:dyDescent="0.35">
      <c r="A605" s="510" t="e">
        <f>#REF!</f>
        <v>#REF!</v>
      </c>
      <c r="M605" s="510" t="e">
        <f>#REF!</f>
        <v>#REF!</v>
      </c>
      <c r="V605" s="1" t="e">
        <f>#REF!</f>
        <v>#REF!</v>
      </c>
    </row>
    <row r="606" spans="1:22" x14ac:dyDescent="0.35">
      <c r="A606" s="510" t="e">
        <f>#REF!</f>
        <v>#REF!</v>
      </c>
      <c r="M606" s="510" t="e">
        <f>#REF!</f>
        <v>#REF!</v>
      </c>
      <c r="V606" s="1" t="e">
        <f>#REF!</f>
        <v>#REF!</v>
      </c>
    </row>
    <row r="607" spans="1:22" x14ac:dyDescent="0.35">
      <c r="A607" s="510" t="e">
        <f>#REF!</f>
        <v>#REF!</v>
      </c>
      <c r="M607" s="510" t="e">
        <f>#REF!</f>
        <v>#REF!</v>
      </c>
      <c r="V607" s="1" t="e">
        <f>#REF!</f>
        <v>#REF!</v>
      </c>
    </row>
    <row r="608" spans="1:22" x14ac:dyDescent="0.35">
      <c r="A608" s="510" t="e">
        <f>#REF!</f>
        <v>#REF!</v>
      </c>
      <c r="M608" s="510" t="e">
        <f>#REF!</f>
        <v>#REF!</v>
      </c>
      <c r="V608" s="1" t="e">
        <f>#REF!</f>
        <v>#REF!</v>
      </c>
    </row>
    <row r="609" spans="1:22" x14ac:dyDescent="0.35">
      <c r="A609" s="510" t="e">
        <f>#REF!</f>
        <v>#REF!</v>
      </c>
      <c r="M609" s="510" t="e">
        <f>#REF!</f>
        <v>#REF!</v>
      </c>
      <c r="V609" s="1" t="e">
        <f>#REF!</f>
        <v>#REF!</v>
      </c>
    </row>
    <row r="610" spans="1:22" x14ac:dyDescent="0.35">
      <c r="A610" s="510" t="e">
        <f>#REF!</f>
        <v>#REF!</v>
      </c>
      <c r="M610" s="510" t="e">
        <f>#REF!</f>
        <v>#REF!</v>
      </c>
      <c r="V610" s="1" t="e">
        <f>#REF!</f>
        <v>#REF!</v>
      </c>
    </row>
    <row r="611" spans="1:22" x14ac:dyDescent="0.35">
      <c r="A611" s="510" t="e">
        <f>#REF!</f>
        <v>#REF!</v>
      </c>
      <c r="M611" s="510" t="e">
        <f>#REF!</f>
        <v>#REF!</v>
      </c>
      <c r="V611" s="1" t="e">
        <f>#REF!</f>
        <v>#REF!</v>
      </c>
    </row>
    <row r="612" spans="1:22" x14ac:dyDescent="0.35">
      <c r="A612" s="510" t="e">
        <f>#REF!</f>
        <v>#REF!</v>
      </c>
      <c r="M612" s="510" t="e">
        <f>#REF!</f>
        <v>#REF!</v>
      </c>
      <c r="V612" s="1" t="e">
        <f>#REF!</f>
        <v>#REF!</v>
      </c>
    </row>
    <row r="613" spans="1:22" x14ac:dyDescent="0.35">
      <c r="A613" s="510" t="e">
        <f>#REF!</f>
        <v>#REF!</v>
      </c>
      <c r="M613" s="510" t="e">
        <f>#REF!</f>
        <v>#REF!</v>
      </c>
      <c r="V613" s="1" t="e">
        <f>#REF!</f>
        <v>#REF!</v>
      </c>
    </row>
    <row r="614" spans="1:22" x14ac:dyDescent="0.35">
      <c r="A614" s="510" t="e">
        <f>#REF!</f>
        <v>#REF!</v>
      </c>
      <c r="M614" s="510" t="e">
        <f>#REF!</f>
        <v>#REF!</v>
      </c>
      <c r="V614" s="1" t="e">
        <f>#REF!</f>
        <v>#REF!</v>
      </c>
    </row>
    <row r="615" spans="1:22" x14ac:dyDescent="0.35">
      <c r="A615" s="510" t="e">
        <f>#REF!</f>
        <v>#REF!</v>
      </c>
      <c r="M615" s="510" t="e">
        <f>#REF!</f>
        <v>#REF!</v>
      </c>
      <c r="V615" s="1" t="e">
        <f>#REF!</f>
        <v>#REF!</v>
      </c>
    </row>
    <row r="616" spans="1:22" x14ac:dyDescent="0.35">
      <c r="A616" s="510" t="e">
        <f>#REF!</f>
        <v>#REF!</v>
      </c>
      <c r="M616" s="510" t="e">
        <f>#REF!</f>
        <v>#REF!</v>
      </c>
      <c r="V616" s="1" t="e">
        <f>#REF!</f>
        <v>#REF!</v>
      </c>
    </row>
    <row r="617" spans="1:22" x14ac:dyDescent="0.35">
      <c r="A617" s="510" t="e">
        <f>#REF!</f>
        <v>#REF!</v>
      </c>
      <c r="M617" s="510" t="e">
        <f>#REF!</f>
        <v>#REF!</v>
      </c>
      <c r="V617" s="1" t="e">
        <f>#REF!</f>
        <v>#REF!</v>
      </c>
    </row>
    <row r="618" spans="1:22" x14ac:dyDescent="0.35">
      <c r="A618" s="510" t="e">
        <f>#REF!</f>
        <v>#REF!</v>
      </c>
      <c r="M618" s="510" t="e">
        <f>#REF!</f>
        <v>#REF!</v>
      </c>
      <c r="V618" s="1" t="e">
        <f>#REF!</f>
        <v>#REF!</v>
      </c>
    </row>
    <row r="619" spans="1:22" x14ac:dyDescent="0.35">
      <c r="A619" s="510" t="e">
        <f>#REF!</f>
        <v>#REF!</v>
      </c>
      <c r="M619" s="510" t="e">
        <f>#REF!</f>
        <v>#REF!</v>
      </c>
      <c r="V619" s="1" t="e">
        <f>#REF!</f>
        <v>#REF!</v>
      </c>
    </row>
    <row r="620" spans="1:22" x14ac:dyDescent="0.35">
      <c r="A620" s="510" t="e">
        <f>#REF!</f>
        <v>#REF!</v>
      </c>
      <c r="M620" s="510" t="e">
        <f>#REF!</f>
        <v>#REF!</v>
      </c>
      <c r="V620" s="1" t="e">
        <f>#REF!</f>
        <v>#REF!</v>
      </c>
    </row>
    <row r="621" spans="1:22" x14ac:dyDescent="0.35">
      <c r="A621" s="510" t="e">
        <f>#REF!</f>
        <v>#REF!</v>
      </c>
      <c r="M621" s="510" t="e">
        <f>#REF!</f>
        <v>#REF!</v>
      </c>
      <c r="V621" s="1" t="e">
        <f>#REF!</f>
        <v>#REF!</v>
      </c>
    </row>
    <row r="622" spans="1:22" x14ac:dyDescent="0.35">
      <c r="A622" s="510" t="e">
        <f>#REF!</f>
        <v>#REF!</v>
      </c>
      <c r="M622" s="510" t="e">
        <f>#REF!</f>
        <v>#REF!</v>
      </c>
      <c r="V622" s="1" t="e">
        <f>#REF!</f>
        <v>#REF!</v>
      </c>
    </row>
    <row r="623" spans="1:22" x14ac:dyDescent="0.35">
      <c r="A623" s="510" t="e">
        <f>#REF!</f>
        <v>#REF!</v>
      </c>
      <c r="M623" s="510" t="e">
        <f>#REF!</f>
        <v>#REF!</v>
      </c>
      <c r="V623" s="1" t="e">
        <f>#REF!</f>
        <v>#REF!</v>
      </c>
    </row>
    <row r="624" spans="1:22" x14ac:dyDescent="0.35">
      <c r="A624" s="510" t="e">
        <f>#REF!</f>
        <v>#REF!</v>
      </c>
      <c r="M624" s="510" t="e">
        <f>#REF!</f>
        <v>#REF!</v>
      </c>
      <c r="V624" s="1" t="e">
        <f>#REF!</f>
        <v>#REF!</v>
      </c>
    </row>
    <row r="625" spans="1:22" x14ac:dyDescent="0.35">
      <c r="A625" s="510" t="e">
        <f>#REF!</f>
        <v>#REF!</v>
      </c>
      <c r="M625" s="510" t="e">
        <f>#REF!</f>
        <v>#REF!</v>
      </c>
      <c r="V625" s="1" t="e">
        <f>#REF!</f>
        <v>#REF!</v>
      </c>
    </row>
    <row r="626" spans="1:22" x14ac:dyDescent="0.35">
      <c r="A626" s="510" t="e">
        <f>#REF!</f>
        <v>#REF!</v>
      </c>
      <c r="M626" s="510" t="e">
        <f>#REF!</f>
        <v>#REF!</v>
      </c>
      <c r="V626" s="1" t="e">
        <f>#REF!</f>
        <v>#REF!</v>
      </c>
    </row>
    <row r="627" spans="1:22" x14ac:dyDescent="0.35">
      <c r="A627" s="510" t="e">
        <f>#REF!</f>
        <v>#REF!</v>
      </c>
      <c r="M627" s="510" t="e">
        <f>#REF!</f>
        <v>#REF!</v>
      </c>
      <c r="V627" s="1" t="e">
        <f>#REF!</f>
        <v>#REF!</v>
      </c>
    </row>
    <row r="628" spans="1:22" x14ac:dyDescent="0.35">
      <c r="A628" s="510" t="e">
        <f>#REF!</f>
        <v>#REF!</v>
      </c>
      <c r="M628" s="510" t="e">
        <f>#REF!</f>
        <v>#REF!</v>
      </c>
      <c r="V628" s="1" t="e">
        <f>#REF!</f>
        <v>#REF!</v>
      </c>
    </row>
    <row r="629" spans="1:22" x14ac:dyDescent="0.35">
      <c r="A629" s="510" t="e">
        <f>#REF!</f>
        <v>#REF!</v>
      </c>
      <c r="M629" s="510" t="e">
        <f>#REF!</f>
        <v>#REF!</v>
      </c>
      <c r="V629" s="1" t="e">
        <f>#REF!</f>
        <v>#REF!</v>
      </c>
    </row>
    <row r="630" spans="1:22" x14ac:dyDescent="0.35">
      <c r="A630" s="510" t="e">
        <f>#REF!</f>
        <v>#REF!</v>
      </c>
      <c r="M630" s="510" t="e">
        <f>#REF!</f>
        <v>#REF!</v>
      </c>
      <c r="V630" s="1" t="e">
        <f>#REF!</f>
        <v>#REF!</v>
      </c>
    </row>
    <row r="631" spans="1:22" x14ac:dyDescent="0.35">
      <c r="A631" s="510" t="e">
        <f>#REF!</f>
        <v>#REF!</v>
      </c>
      <c r="M631" s="510" t="e">
        <f>#REF!</f>
        <v>#REF!</v>
      </c>
      <c r="V631" s="1" t="e">
        <f>#REF!</f>
        <v>#REF!</v>
      </c>
    </row>
    <row r="632" spans="1:22" x14ac:dyDescent="0.35">
      <c r="A632" s="510" t="e">
        <f>#REF!</f>
        <v>#REF!</v>
      </c>
      <c r="M632" s="510" t="e">
        <f>#REF!</f>
        <v>#REF!</v>
      </c>
      <c r="V632" s="1" t="e">
        <f>#REF!</f>
        <v>#REF!</v>
      </c>
    </row>
    <row r="633" spans="1:22" x14ac:dyDescent="0.35">
      <c r="A633" s="510" t="e">
        <f>#REF!</f>
        <v>#REF!</v>
      </c>
      <c r="M633" s="510" t="e">
        <f>#REF!</f>
        <v>#REF!</v>
      </c>
      <c r="V633" s="1" t="e">
        <f>#REF!</f>
        <v>#REF!</v>
      </c>
    </row>
    <row r="634" spans="1:22" x14ac:dyDescent="0.35">
      <c r="A634" s="510" t="e">
        <f>#REF!</f>
        <v>#REF!</v>
      </c>
      <c r="M634" s="510" t="e">
        <f>#REF!</f>
        <v>#REF!</v>
      </c>
      <c r="V634" s="1" t="e">
        <f>#REF!</f>
        <v>#REF!</v>
      </c>
    </row>
    <row r="635" spans="1:22" x14ac:dyDescent="0.35">
      <c r="A635" s="510" t="e">
        <f>#REF!</f>
        <v>#REF!</v>
      </c>
      <c r="M635" s="510" t="e">
        <f>#REF!</f>
        <v>#REF!</v>
      </c>
      <c r="V635" s="1" t="e">
        <f>#REF!</f>
        <v>#REF!</v>
      </c>
    </row>
    <row r="636" spans="1:22" x14ac:dyDescent="0.35">
      <c r="A636" s="510" t="e">
        <f>#REF!</f>
        <v>#REF!</v>
      </c>
      <c r="M636" s="510" t="e">
        <f>#REF!</f>
        <v>#REF!</v>
      </c>
      <c r="V636" s="1" t="e">
        <f>#REF!</f>
        <v>#REF!</v>
      </c>
    </row>
    <row r="637" spans="1:22" x14ac:dyDescent="0.35">
      <c r="A637" s="510" t="e">
        <f>#REF!</f>
        <v>#REF!</v>
      </c>
      <c r="M637" s="510" t="e">
        <f>#REF!</f>
        <v>#REF!</v>
      </c>
      <c r="V637" s="1" t="e">
        <f>#REF!</f>
        <v>#REF!</v>
      </c>
    </row>
    <row r="638" spans="1:22" x14ac:dyDescent="0.35">
      <c r="A638" s="510" t="e">
        <f>#REF!</f>
        <v>#REF!</v>
      </c>
      <c r="M638" s="510" t="e">
        <f>#REF!</f>
        <v>#REF!</v>
      </c>
      <c r="V638" s="1" t="e">
        <f>#REF!</f>
        <v>#REF!</v>
      </c>
    </row>
    <row r="639" spans="1:22" x14ac:dyDescent="0.35">
      <c r="A639" s="510" t="e">
        <f>#REF!</f>
        <v>#REF!</v>
      </c>
      <c r="M639" s="510" t="e">
        <f>#REF!</f>
        <v>#REF!</v>
      </c>
      <c r="V639" s="1" t="e">
        <f>#REF!</f>
        <v>#REF!</v>
      </c>
    </row>
    <row r="640" spans="1:22" x14ac:dyDescent="0.35">
      <c r="A640" s="510" t="e">
        <f>#REF!</f>
        <v>#REF!</v>
      </c>
      <c r="M640" s="510" t="e">
        <f>#REF!</f>
        <v>#REF!</v>
      </c>
      <c r="V640" s="1" t="e">
        <f>#REF!</f>
        <v>#REF!</v>
      </c>
    </row>
    <row r="641" spans="1:22" x14ac:dyDescent="0.35">
      <c r="A641" s="510" t="e">
        <f>#REF!</f>
        <v>#REF!</v>
      </c>
      <c r="M641" s="510" t="e">
        <f>#REF!</f>
        <v>#REF!</v>
      </c>
      <c r="V641" s="1" t="e">
        <f>#REF!</f>
        <v>#REF!</v>
      </c>
    </row>
    <row r="642" spans="1:22" x14ac:dyDescent="0.35">
      <c r="A642" s="510" t="e">
        <f>#REF!</f>
        <v>#REF!</v>
      </c>
      <c r="M642" s="510" t="e">
        <f>#REF!</f>
        <v>#REF!</v>
      </c>
      <c r="V642" s="1" t="e">
        <f>#REF!</f>
        <v>#REF!</v>
      </c>
    </row>
    <row r="643" spans="1:22" x14ac:dyDescent="0.35">
      <c r="A643" s="510" t="e">
        <f>#REF!</f>
        <v>#REF!</v>
      </c>
      <c r="M643" s="510" t="e">
        <f>#REF!</f>
        <v>#REF!</v>
      </c>
      <c r="V643" s="1" t="e">
        <f>#REF!</f>
        <v>#REF!</v>
      </c>
    </row>
    <row r="644" spans="1:22" x14ac:dyDescent="0.35">
      <c r="A644" s="510" t="e">
        <f>#REF!</f>
        <v>#REF!</v>
      </c>
      <c r="M644" s="510" t="e">
        <f>#REF!</f>
        <v>#REF!</v>
      </c>
      <c r="V644" s="1" t="e">
        <f>#REF!</f>
        <v>#REF!</v>
      </c>
    </row>
    <row r="645" spans="1:22" x14ac:dyDescent="0.35">
      <c r="A645" s="510" t="e">
        <f>#REF!</f>
        <v>#REF!</v>
      </c>
      <c r="M645" s="510" t="e">
        <f>#REF!</f>
        <v>#REF!</v>
      </c>
      <c r="V645" s="1" t="e">
        <f>#REF!</f>
        <v>#REF!</v>
      </c>
    </row>
    <row r="646" spans="1:22" x14ac:dyDescent="0.35">
      <c r="A646" s="510" t="e">
        <f>#REF!</f>
        <v>#REF!</v>
      </c>
      <c r="M646" s="510" t="e">
        <f>#REF!</f>
        <v>#REF!</v>
      </c>
      <c r="V646" s="1" t="e">
        <f>#REF!</f>
        <v>#REF!</v>
      </c>
    </row>
    <row r="647" spans="1:22" x14ac:dyDescent="0.35">
      <c r="A647" s="510" t="e">
        <f>#REF!</f>
        <v>#REF!</v>
      </c>
      <c r="M647" s="510" t="e">
        <f>#REF!</f>
        <v>#REF!</v>
      </c>
      <c r="V647" s="1" t="e">
        <f>#REF!</f>
        <v>#REF!</v>
      </c>
    </row>
    <row r="648" spans="1:22" x14ac:dyDescent="0.35">
      <c r="A648" s="510" t="e">
        <f>#REF!</f>
        <v>#REF!</v>
      </c>
      <c r="M648" s="510" t="e">
        <f>#REF!</f>
        <v>#REF!</v>
      </c>
      <c r="V648" s="1" t="e">
        <f>#REF!</f>
        <v>#REF!</v>
      </c>
    </row>
    <row r="649" spans="1:22" x14ac:dyDescent="0.35">
      <c r="A649" s="510" t="e">
        <f>#REF!</f>
        <v>#REF!</v>
      </c>
      <c r="M649" s="510" t="e">
        <f>#REF!</f>
        <v>#REF!</v>
      </c>
      <c r="V649" s="1" t="e">
        <f>#REF!</f>
        <v>#REF!</v>
      </c>
    </row>
    <row r="650" spans="1:22" x14ac:dyDescent="0.35">
      <c r="A650" s="510" t="e">
        <f>#REF!</f>
        <v>#REF!</v>
      </c>
      <c r="M650" s="510" t="e">
        <f>#REF!</f>
        <v>#REF!</v>
      </c>
      <c r="V650" s="1" t="e">
        <f>#REF!</f>
        <v>#REF!</v>
      </c>
    </row>
    <row r="651" spans="1:22" x14ac:dyDescent="0.35">
      <c r="A651" s="510" t="e">
        <f>#REF!</f>
        <v>#REF!</v>
      </c>
      <c r="M651" s="510" t="e">
        <f>#REF!</f>
        <v>#REF!</v>
      </c>
      <c r="V651" s="1" t="e">
        <f>#REF!</f>
        <v>#REF!</v>
      </c>
    </row>
    <row r="652" spans="1:22" x14ac:dyDescent="0.35">
      <c r="A652" s="510" t="e">
        <f>#REF!</f>
        <v>#REF!</v>
      </c>
      <c r="M652" s="510" t="e">
        <f>#REF!</f>
        <v>#REF!</v>
      </c>
      <c r="V652" s="1" t="e">
        <f>#REF!</f>
        <v>#REF!</v>
      </c>
    </row>
    <row r="653" spans="1:22" x14ac:dyDescent="0.35">
      <c r="A653" s="510" t="e">
        <f>#REF!</f>
        <v>#REF!</v>
      </c>
      <c r="M653" s="510" t="e">
        <f>#REF!</f>
        <v>#REF!</v>
      </c>
      <c r="V653" s="1" t="e">
        <f>#REF!</f>
        <v>#REF!</v>
      </c>
    </row>
    <row r="654" spans="1:22" x14ac:dyDescent="0.35">
      <c r="A654" s="510" t="e">
        <f>#REF!</f>
        <v>#REF!</v>
      </c>
      <c r="M654" s="510" t="e">
        <f>#REF!</f>
        <v>#REF!</v>
      </c>
      <c r="V654" s="1" t="e">
        <f>#REF!</f>
        <v>#REF!</v>
      </c>
    </row>
    <row r="655" spans="1:22" x14ac:dyDescent="0.35">
      <c r="A655" s="510" t="e">
        <f>#REF!</f>
        <v>#REF!</v>
      </c>
      <c r="M655" s="510" t="e">
        <f>#REF!</f>
        <v>#REF!</v>
      </c>
      <c r="V655" s="1" t="e">
        <f>#REF!</f>
        <v>#REF!</v>
      </c>
    </row>
    <row r="656" spans="1:22" x14ac:dyDescent="0.35">
      <c r="A656" s="510" t="e">
        <f>#REF!</f>
        <v>#REF!</v>
      </c>
      <c r="M656" s="510" t="e">
        <f>#REF!</f>
        <v>#REF!</v>
      </c>
      <c r="V656" s="1" t="e">
        <f>#REF!</f>
        <v>#REF!</v>
      </c>
    </row>
    <row r="657" spans="1:22" x14ac:dyDescent="0.35">
      <c r="A657" s="510" t="e">
        <f>#REF!</f>
        <v>#REF!</v>
      </c>
      <c r="M657" s="510" t="e">
        <f>#REF!</f>
        <v>#REF!</v>
      </c>
      <c r="V657" s="1" t="e">
        <f>#REF!</f>
        <v>#REF!</v>
      </c>
    </row>
    <row r="658" spans="1:22" x14ac:dyDescent="0.35">
      <c r="A658" s="510" t="e">
        <f>#REF!</f>
        <v>#REF!</v>
      </c>
      <c r="M658" s="510" t="e">
        <f>#REF!</f>
        <v>#REF!</v>
      </c>
      <c r="V658" s="1" t="e">
        <f>#REF!</f>
        <v>#REF!</v>
      </c>
    </row>
    <row r="659" spans="1:22" x14ac:dyDescent="0.35">
      <c r="A659" s="510" t="e">
        <f>#REF!</f>
        <v>#REF!</v>
      </c>
      <c r="M659" s="510" t="e">
        <f>#REF!</f>
        <v>#REF!</v>
      </c>
      <c r="V659" s="1" t="e">
        <f>#REF!</f>
        <v>#REF!</v>
      </c>
    </row>
    <row r="660" spans="1:22" x14ac:dyDescent="0.35">
      <c r="A660" s="510" t="e">
        <f>#REF!</f>
        <v>#REF!</v>
      </c>
      <c r="M660" s="510" t="e">
        <f>#REF!</f>
        <v>#REF!</v>
      </c>
      <c r="V660" s="1" t="e">
        <f>#REF!</f>
        <v>#REF!</v>
      </c>
    </row>
    <row r="661" spans="1:22" x14ac:dyDescent="0.35">
      <c r="A661" s="510" t="e">
        <f>#REF!</f>
        <v>#REF!</v>
      </c>
      <c r="M661" s="510" t="e">
        <f>#REF!</f>
        <v>#REF!</v>
      </c>
      <c r="V661" s="1" t="e">
        <f>#REF!</f>
        <v>#REF!</v>
      </c>
    </row>
    <row r="662" spans="1:22" x14ac:dyDescent="0.35">
      <c r="A662" s="510" t="e">
        <f>#REF!</f>
        <v>#REF!</v>
      </c>
      <c r="M662" s="510" t="e">
        <f>#REF!</f>
        <v>#REF!</v>
      </c>
      <c r="V662" s="1" t="e">
        <f>#REF!</f>
        <v>#REF!</v>
      </c>
    </row>
    <row r="663" spans="1:22" x14ac:dyDescent="0.35">
      <c r="A663" s="510" t="e">
        <f>#REF!</f>
        <v>#REF!</v>
      </c>
      <c r="M663" s="510" t="e">
        <f>#REF!</f>
        <v>#REF!</v>
      </c>
      <c r="V663" s="1" t="e">
        <f>#REF!</f>
        <v>#REF!</v>
      </c>
    </row>
    <row r="664" spans="1:22" x14ac:dyDescent="0.35">
      <c r="A664" s="510" t="e">
        <f>#REF!</f>
        <v>#REF!</v>
      </c>
      <c r="M664" s="510" t="e">
        <f>#REF!</f>
        <v>#REF!</v>
      </c>
      <c r="V664" s="1" t="e">
        <f>#REF!</f>
        <v>#REF!</v>
      </c>
    </row>
    <row r="665" spans="1:22" x14ac:dyDescent="0.35">
      <c r="A665" s="510" t="e">
        <f>#REF!</f>
        <v>#REF!</v>
      </c>
      <c r="M665" s="510" t="e">
        <f>#REF!</f>
        <v>#REF!</v>
      </c>
      <c r="V665" s="1" t="e">
        <f>#REF!</f>
        <v>#REF!</v>
      </c>
    </row>
    <row r="666" spans="1:22" x14ac:dyDescent="0.35">
      <c r="A666" s="510" t="e">
        <f>#REF!</f>
        <v>#REF!</v>
      </c>
      <c r="M666" s="510" t="e">
        <f>#REF!</f>
        <v>#REF!</v>
      </c>
      <c r="V666" s="1" t="e">
        <f>#REF!</f>
        <v>#REF!</v>
      </c>
    </row>
    <row r="667" spans="1:22" x14ac:dyDescent="0.35">
      <c r="A667" s="510" t="e">
        <f>#REF!</f>
        <v>#REF!</v>
      </c>
      <c r="M667" s="510" t="e">
        <f>#REF!</f>
        <v>#REF!</v>
      </c>
      <c r="V667" s="1" t="e">
        <f>#REF!</f>
        <v>#REF!</v>
      </c>
    </row>
    <row r="668" spans="1:22" x14ac:dyDescent="0.35">
      <c r="A668" s="510" t="e">
        <f>#REF!</f>
        <v>#REF!</v>
      </c>
      <c r="M668" s="510" t="e">
        <f>#REF!</f>
        <v>#REF!</v>
      </c>
      <c r="V668" s="1" t="e">
        <f>#REF!</f>
        <v>#REF!</v>
      </c>
    </row>
    <row r="669" spans="1:22" x14ac:dyDescent="0.35">
      <c r="A669" s="510" t="e">
        <f>#REF!</f>
        <v>#REF!</v>
      </c>
      <c r="M669" s="510" t="e">
        <f>#REF!</f>
        <v>#REF!</v>
      </c>
      <c r="V669" s="1" t="e">
        <f>#REF!</f>
        <v>#REF!</v>
      </c>
    </row>
    <row r="670" spans="1:22" x14ac:dyDescent="0.35">
      <c r="A670" s="510" t="e">
        <f>#REF!</f>
        <v>#REF!</v>
      </c>
      <c r="M670" s="510" t="e">
        <f>#REF!</f>
        <v>#REF!</v>
      </c>
      <c r="V670" s="1" t="e">
        <f>#REF!</f>
        <v>#REF!</v>
      </c>
    </row>
    <row r="671" spans="1:22" x14ac:dyDescent="0.35">
      <c r="A671" s="510" t="e">
        <f>#REF!</f>
        <v>#REF!</v>
      </c>
      <c r="M671" s="510" t="e">
        <f>#REF!</f>
        <v>#REF!</v>
      </c>
      <c r="V671" s="1" t="e">
        <f>#REF!</f>
        <v>#REF!</v>
      </c>
    </row>
    <row r="672" spans="1:22" x14ac:dyDescent="0.35">
      <c r="A672" s="510" t="e">
        <f>#REF!</f>
        <v>#REF!</v>
      </c>
      <c r="M672" s="510" t="e">
        <f>#REF!</f>
        <v>#REF!</v>
      </c>
      <c r="V672" s="1" t="e">
        <f>#REF!</f>
        <v>#REF!</v>
      </c>
    </row>
    <row r="673" spans="1:22" x14ac:dyDescent="0.35">
      <c r="A673" s="510" t="e">
        <f>#REF!</f>
        <v>#REF!</v>
      </c>
      <c r="M673" s="510" t="e">
        <f>#REF!</f>
        <v>#REF!</v>
      </c>
      <c r="V673" s="1" t="e">
        <f>#REF!</f>
        <v>#REF!</v>
      </c>
    </row>
    <row r="674" spans="1:22" x14ac:dyDescent="0.35">
      <c r="A674" s="510" t="e">
        <f>#REF!</f>
        <v>#REF!</v>
      </c>
      <c r="M674" s="510" t="e">
        <f>#REF!</f>
        <v>#REF!</v>
      </c>
      <c r="V674" s="1" t="e">
        <f>#REF!</f>
        <v>#REF!</v>
      </c>
    </row>
    <row r="675" spans="1:22" x14ac:dyDescent="0.35">
      <c r="A675" s="510" t="e">
        <f>#REF!</f>
        <v>#REF!</v>
      </c>
      <c r="M675" s="510" t="e">
        <f>#REF!</f>
        <v>#REF!</v>
      </c>
      <c r="V675" s="1" t="e">
        <f>#REF!</f>
        <v>#REF!</v>
      </c>
    </row>
    <row r="676" spans="1:22" x14ac:dyDescent="0.35">
      <c r="A676" s="510" t="e">
        <f>#REF!</f>
        <v>#REF!</v>
      </c>
      <c r="M676" s="510" t="e">
        <f>#REF!</f>
        <v>#REF!</v>
      </c>
      <c r="V676" s="1" t="e">
        <f>#REF!</f>
        <v>#REF!</v>
      </c>
    </row>
    <row r="677" spans="1:22" x14ac:dyDescent="0.35">
      <c r="A677" s="510" t="e">
        <f>#REF!</f>
        <v>#REF!</v>
      </c>
      <c r="M677" s="510" t="e">
        <f>#REF!</f>
        <v>#REF!</v>
      </c>
      <c r="V677" s="1" t="e">
        <f>#REF!</f>
        <v>#REF!</v>
      </c>
    </row>
    <row r="678" spans="1:22" x14ac:dyDescent="0.35">
      <c r="A678" s="510" t="e">
        <f>#REF!</f>
        <v>#REF!</v>
      </c>
      <c r="M678" s="510" t="e">
        <f>#REF!</f>
        <v>#REF!</v>
      </c>
      <c r="V678" s="1" t="e">
        <f>#REF!</f>
        <v>#REF!</v>
      </c>
    </row>
    <row r="679" spans="1:22" x14ac:dyDescent="0.35">
      <c r="A679" s="510" t="e">
        <f>#REF!</f>
        <v>#REF!</v>
      </c>
      <c r="M679" s="510" t="e">
        <f>#REF!</f>
        <v>#REF!</v>
      </c>
      <c r="V679" s="1" t="e">
        <f>#REF!</f>
        <v>#REF!</v>
      </c>
    </row>
    <row r="680" spans="1:22" x14ac:dyDescent="0.35">
      <c r="A680" s="510" t="e">
        <f>#REF!</f>
        <v>#REF!</v>
      </c>
      <c r="M680" s="510" t="e">
        <f>#REF!</f>
        <v>#REF!</v>
      </c>
      <c r="V680" s="1" t="e">
        <f>#REF!</f>
        <v>#REF!</v>
      </c>
    </row>
    <row r="681" spans="1:22" x14ac:dyDescent="0.35">
      <c r="A681" s="510" t="e">
        <f>#REF!</f>
        <v>#REF!</v>
      </c>
      <c r="M681" s="510" t="e">
        <f>#REF!</f>
        <v>#REF!</v>
      </c>
      <c r="V681" s="1" t="e">
        <f>#REF!</f>
        <v>#REF!</v>
      </c>
    </row>
    <row r="682" spans="1:22" x14ac:dyDescent="0.35">
      <c r="A682" s="510" t="e">
        <f>#REF!</f>
        <v>#REF!</v>
      </c>
      <c r="M682" s="510" t="e">
        <f>#REF!</f>
        <v>#REF!</v>
      </c>
      <c r="V682" s="1" t="e">
        <f>#REF!</f>
        <v>#REF!</v>
      </c>
    </row>
    <row r="683" spans="1:22" x14ac:dyDescent="0.35">
      <c r="A683" s="510" t="e">
        <f>#REF!</f>
        <v>#REF!</v>
      </c>
      <c r="M683" s="510" t="e">
        <f>#REF!</f>
        <v>#REF!</v>
      </c>
      <c r="V683" s="1" t="e">
        <f>#REF!</f>
        <v>#REF!</v>
      </c>
    </row>
    <row r="684" spans="1:22" x14ac:dyDescent="0.35">
      <c r="A684" s="510" t="e">
        <f>#REF!</f>
        <v>#REF!</v>
      </c>
      <c r="M684" s="510" t="e">
        <f>#REF!</f>
        <v>#REF!</v>
      </c>
      <c r="V684" s="1" t="e">
        <f>#REF!</f>
        <v>#REF!</v>
      </c>
    </row>
    <row r="685" spans="1:22" x14ac:dyDescent="0.35">
      <c r="A685" s="510" t="e">
        <f>#REF!</f>
        <v>#REF!</v>
      </c>
      <c r="M685" s="510" t="e">
        <f>#REF!</f>
        <v>#REF!</v>
      </c>
      <c r="V685" s="1" t="e">
        <f>#REF!</f>
        <v>#REF!</v>
      </c>
    </row>
    <row r="686" spans="1:22" x14ac:dyDescent="0.35">
      <c r="A686" s="510" t="e">
        <f>#REF!</f>
        <v>#REF!</v>
      </c>
      <c r="M686" s="510" t="e">
        <f>#REF!</f>
        <v>#REF!</v>
      </c>
      <c r="V686" s="1" t="e">
        <f>#REF!</f>
        <v>#REF!</v>
      </c>
    </row>
    <row r="687" spans="1:22" x14ac:dyDescent="0.35">
      <c r="A687" s="510" t="e">
        <f>#REF!</f>
        <v>#REF!</v>
      </c>
      <c r="M687" s="510" t="e">
        <f>#REF!</f>
        <v>#REF!</v>
      </c>
      <c r="V687" s="1" t="e">
        <f>#REF!</f>
        <v>#REF!</v>
      </c>
    </row>
    <row r="688" spans="1:22" x14ac:dyDescent="0.35">
      <c r="A688" s="510" t="e">
        <f>#REF!</f>
        <v>#REF!</v>
      </c>
      <c r="M688" s="510" t="e">
        <f>#REF!</f>
        <v>#REF!</v>
      </c>
      <c r="V688" s="1" t="e">
        <f>#REF!</f>
        <v>#REF!</v>
      </c>
    </row>
    <row r="689" spans="1:22" x14ac:dyDescent="0.35">
      <c r="A689" s="510" t="e">
        <f>#REF!</f>
        <v>#REF!</v>
      </c>
      <c r="M689" s="510" t="e">
        <f>#REF!</f>
        <v>#REF!</v>
      </c>
      <c r="V689" s="1" t="e">
        <f>#REF!</f>
        <v>#REF!</v>
      </c>
    </row>
    <row r="690" spans="1:22" x14ac:dyDescent="0.35">
      <c r="A690" s="510" t="e">
        <f>#REF!</f>
        <v>#REF!</v>
      </c>
      <c r="M690" s="510" t="e">
        <f>#REF!</f>
        <v>#REF!</v>
      </c>
      <c r="V690" s="1" t="e">
        <f>#REF!</f>
        <v>#REF!</v>
      </c>
    </row>
    <row r="691" spans="1:22" x14ac:dyDescent="0.35">
      <c r="A691" s="510" t="e">
        <f>#REF!</f>
        <v>#REF!</v>
      </c>
      <c r="M691" s="510" t="e">
        <f>#REF!</f>
        <v>#REF!</v>
      </c>
      <c r="V691" s="1" t="e">
        <f>#REF!</f>
        <v>#REF!</v>
      </c>
    </row>
    <row r="692" spans="1:22" x14ac:dyDescent="0.35">
      <c r="A692" s="510" t="e">
        <f>#REF!</f>
        <v>#REF!</v>
      </c>
      <c r="M692" s="510" t="e">
        <f>#REF!</f>
        <v>#REF!</v>
      </c>
      <c r="V692" s="1" t="e">
        <f>#REF!</f>
        <v>#REF!</v>
      </c>
    </row>
    <row r="693" spans="1:22" x14ac:dyDescent="0.35">
      <c r="A693" s="510" t="e">
        <f>#REF!</f>
        <v>#REF!</v>
      </c>
      <c r="M693" s="510" t="e">
        <f>#REF!</f>
        <v>#REF!</v>
      </c>
      <c r="V693" s="1" t="e">
        <f>#REF!</f>
        <v>#REF!</v>
      </c>
    </row>
    <row r="694" spans="1:22" x14ac:dyDescent="0.35">
      <c r="A694" s="510" t="e">
        <f>#REF!</f>
        <v>#REF!</v>
      </c>
      <c r="M694" s="510" t="e">
        <f>#REF!</f>
        <v>#REF!</v>
      </c>
      <c r="V694" s="1" t="e">
        <f>#REF!</f>
        <v>#REF!</v>
      </c>
    </row>
    <row r="695" spans="1:22" x14ac:dyDescent="0.35">
      <c r="A695" s="510" t="e">
        <f>#REF!</f>
        <v>#REF!</v>
      </c>
      <c r="M695" s="510" t="e">
        <f>#REF!</f>
        <v>#REF!</v>
      </c>
      <c r="V695" s="1" t="e">
        <f>#REF!</f>
        <v>#REF!</v>
      </c>
    </row>
    <row r="696" spans="1:22" x14ac:dyDescent="0.35">
      <c r="A696" s="510" t="e">
        <f>#REF!</f>
        <v>#REF!</v>
      </c>
      <c r="M696" s="510" t="e">
        <f>#REF!</f>
        <v>#REF!</v>
      </c>
      <c r="V696" s="1" t="e">
        <f>#REF!</f>
        <v>#REF!</v>
      </c>
    </row>
    <row r="697" spans="1:22" x14ac:dyDescent="0.35">
      <c r="A697" s="510" t="e">
        <f>#REF!</f>
        <v>#REF!</v>
      </c>
      <c r="M697" s="510" t="e">
        <f>#REF!</f>
        <v>#REF!</v>
      </c>
      <c r="V697" s="1" t="e">
        <f>#REF!</f>
        <v>#REF!</v>
      </c>
    </row>
    <row r="698" spans="1:22" x14ac:dyDescent="0.35">
      <c r="A698" s="510" t="e">
        <f>#REF!</f>
        <v>#REF!</v>
      </c>
      <c r="M698" s="510" t="e">
        <f>#REF!</f>
        <v>#REF!</v>
      </c>
      <c r="V698" s="1" t="e">
        <f>#REF!</f>
        <v>#REF!</v>
      </c>
    </row>
    <row r="699" spans="1:22" x14ac:dyDescent="0.35">
      <c r="A699" s="510" t="e">
        <f>#REF!</f>
        <v>#REF!</v>
      </c>
      <c r="M699" s="510" t="e">
        <f>#REF!</f>
        <v>#REF!</v>
      </c>
      <c r="V699" s="1" t="e">
        <f>#REF!</f>
        <v>#REF!</v>
      </c>
    </row>
    <row r="700" spans="1:22" x14ac:dyDescent="0.35">
      <c r="A700" s="510" t="e">
        <f>#REF!</f>
        <v>#REF!</v>
      </c>
      <c r="M700" s="510" t="e">
        <f>#REF!</f>
        <v>#REF!</v>
      </c>
      <c r="V700" s="1" t="e">
        <f>#REF!</f>
        <v>#REF!</v>
      </c>
    </row>
    <row r="701" spans="1:22" x14ac:dyDescent="0.35">
      <c r="A701" s="510" t="e">
        <f>#REF!</f>
        <v>#REF!</v>
      </c>
      <c r="M701" s="510" t="e">
        <f>#REF!</f>
        <v>#REF!</v>
      </c>
      <c r="V701" s="1" t="e">
        <f>#REF!</f>
        <v>#REF!</v>
      </c>
    </row>
    <row r="702" spans="1:22" x14ac:dyDescent="0.35">
      <c r="A702" s="510" t="e">
        <f>#REF!</f>
        <v>#REF!</v>
      </c>
      <c r="M702" s="510" t="e">
        <f>#REF!</f>
        <v>#REF!</v>
      </c>
      <c r="V702" s="1" t="e">
        <f>#REF!</f>
        <v>#REF!</v>
      </c>
    </row>
    <row r="703" spans="1:22" x14ac:dyDescent="0.35">
      <c r="A703" s="510" t="e">
        <f>#REF!</f>
        <v>#REF!</v>
      </c>
      <c r="M703" s="510" t="e">
        <f>#REF!</f>
        <v>#REF!</v>
      </c>
      <c r="V703" s="1" t="e">
        <f>#REF!</f>
        <v>#REF!</v>
      </c>
    </row>
    <row r="704" spans="1:22" x14ac:dyDescent="0.35">
      <c r="A704" s="510" t="e">
        <f>#REF!</f>
        <v>#REF!</v>
      </c>
      <c r="M704" s="510" t="e">
        <f>#REF!</f>
        <v>#REF!</v>
      </c>
      <c r="V704" s="1" t="e">
        <f>#REF!</f>
        <v>#REF!</v>
      </c>
    </row>
    <row r="705" spans="1:22" x14ac:dyDescent="0.35">
      <c r="A705" s="510" t="e">
        <f>#REF!</f>
        <v>#REF!</v>
      </c>
      <c r="M705" s="510" t="e">
        <f>#REF!</f>
        <v>#REF!</v>
      </c>
      <c r="V705" s="1" t="e">
        <f>#REF!</f>
        <v>#REF!</v>
      </c>
    </row>
    <row r="706" spans="1:22" x14ac:dyDescent="0.35">
      <c r="A706" s="510" t="e">
        <f>#REF!</f>
        <v>#REF!</v>
      </c>
      <c r="M706" s="510" t="e">
        <f>#REF!</f>
        <v>#REF!</v>
      </c>
      <c r="V706" s="1" t="e">
        <f>#REF!</f>
        <v>#REF!</v>
      </c>
    </row>
    <row r="707" spans="1:22" x14ac:dyDescent="0.35">
      <c r="A707" s="510" t="e">
        <f>#REF!</f>
        <v>#REF!</v>
      </c>
      <c r="M707" s="510" t="e">
        <f>#REF!</f>
        <v>#REF!</v>
      </c>
      <c r="V707" s="1" t="e">
        <f>#REF!</f>
        <v>#REF!</v>
      </c>
    </row>
    <row r="708" spans="1:22" x14ac:dyDescent="0.35">
      <c r="A708" s="510" t="e">
        <f>#REF!</f>
        <v>#REF!</v>
      </c>
      <c r="M708" s="510" t="e">
        <f>#REF!</f>
        <v>#REF!</v>
      </c>
      <c r="V708" s="1" t="e">
        <f>#REF!</f>
        <v>#REF!</v>
      </c>
    </row>
    <row r="709" spans="1:22" x14ac:dyDescent="0.35">
      <c r="A709" s="510" t="e">
        <f>#REF!</f>
        <v>#REF!</v>
      </c>
      <c r="M709" s="510" t="e">
        <f>#REF!</f>
        <v>#REF!</v>
      </c>
      <c r="V709" s="1" t="e">
        <f>#REF!</f>
        <v>#REF!</v>
      </c>
    </row>
    <row r="710" spans="1:22" x14ac:dyDescent="0.35">
      <c r="A710" s="510" t="e">
        <f>#REF!</f>
        <v>#REF!</v>
      </c>
      <c r="M710" s="510" t="e">
        <f>#REF!</f>
        <v>#REF!</v>
      </c>
      <c r="V710" s="1" t="e">
        <f>#REF!</f>
        <v>#REF!</v>
      </c>
    </row>
    <row r="711" spans="1:22" x14ac:dyDescent="0.35">
      <c r="A711" s="510" t="e">
        <f>#REF!</f>
        <v>#REF!</v>
      </c>
      <c r="M711" s="510" t="e">
        <f>#REF!</f>
        <v>#REF!</v>
      </c>
      <c r="V711" s="1" t="e">
        <f>#REF!</f>
        <v>#REF!</v>
      </c>
    </row>
    <row r="712" spans="1:22" x14ac:dyDescent="0.35">
      <c r="A712" s="510" t="e">
        <f>#REF!</f>
        <v>#REF!</v>
      </c>
      <c r="M712" s="510" t="e">
        <f>#REF!</f>
        <v>#REF!</v>
      </c>
      <c r="V712" s="1" t="e">
        <f>#REF!</f>
        <v>#REF!</v>
      </c>
    </row>
    <row r="713" spans="1:22" x14ac:dyDescent="0.35">
      <c r="A713" s="510" t="e">
        <f>#REF!</f>
        <v>#REF!</v>
      </c>
      <c r="M713" s="510" t="e">
        <f>#REF!</f>
        <v>#REF!</v>
      </c>
      <c r="V713" s="1" t="e">
        <f>#REF!</f>
        <v>#REF!</v>
      </c>
    </row>
    <row r="714" spans="1:22" x14ac:dyDescent="0.35">
      <c r="A714" s="510" t="e">
        <f>#REF!</f>
        <v>#REF!</v>
      </c>
      <c r="M714" s="510" t="e">
        <f>#REF!</f>
        <v>#REF!</v>
      </c>
      <c r="V714" s="1" t="e">
        <f>#REF!</f>
        <v>#REF!</v>
      </c>
    </row>
    <row r="715" spans="1:22" x14ac:dyDescent="0.35">
      <c r="A715" s="510" t="e">
        <f>#REF!</f>
        <v>#REF!</v>
      </c>
      <c r="M715" s="510" t="e">
        <f>#REF!</f>
        <v>#REF!</v>
      </c>
      <c r="V715" s="1" t="e">
        <f>#REF!</f>
        <v>#REF!</v>
      </c>
    </row>
    <row r="716" spans="1:22" x14ac:dyDescent="0.35">
      <c r="A716" s="510" t="e">
        <f>#REF!</f>
        <v>#REF!</v>
      </c>
      <c r="M716" s="510" t="e">
        <f>#REF!</f>
        <v>#REF!</v>
      </c>
      <c r="V716" s="1" t="e">
        <f>#REF!</f>
        <v>#REF!</v>
      </c>
    </row>
    <row r="717" spans="1:22" x14ac:dyDescent="0.35">
      <c r="A717" s="510" t="e">
        <f>#REF!</f>
        <v>#REF!</v>
      </c>
      <c r="M717" s="510" t="e">
        <f>#REF!</f>
        <v>#REF!</v>
      </c>
      <c r="V717" s="1" t="e">
        <f>#REF!</f>
        <v>#REF!</v>
      </c>
    </row>
    <row r="718" spans="1:22" x14ac:dyDescent="0.35">
      <c r="A718" s="510" t="e">
        <f>#REF!</f>
        <v>#REF!</v>
      </c>
      <c r="M718" s="510" t="e">
        <f>#REF!</f>
        <v>#REF!</v>
      </c>
      <c r="V718" s="1" t="e">
        <f>#REF!</f>
        <v>#REF!</v>
      </c>
    </row>
    <row r="719" spans="1:22" x14ac:dyDescent="0.35">
      <c r="A719" s="510" t="e">
        <f>#REF!</f>
        <v>#REF!</v>
      </c>
      <c r="M719" s="510" t="e">
        <f>#REF!</f>
        <v>#REF!</v>
      </c>
      <c r="V719" s="1" t="e">
        <f>#REF!</f>
        <v>#REF!</v>
      </c>
    </row>
    <row r="720" spans="1:22" x14ac:dyDescent="0.35">
      <c r="A720" s="510" t="e">
        <f>#REF!</f>
        <v>#REF!</v>
      </c>
      <c r="M720" s="510" t="e">
        <f>#REF!</f>
        <v>#REF!</v>
      </c>
      <c r="V720" s="1" t="e">
        <f>#REF!</f>
        <v>#REF!</v>
      </c>
    </row>
    <row r="721" spans="1:22" x14ac:dyDescent="0.35">
      <c r="A721" s="510" t="e">
        <f>#REF!</f>
        <v>#REF!</v>
      </c>
      <c r="M721" s="510" t="e">
        <f>#REF!</f>
        <v>#REF!</v>
      </c>
      <c r="V721" s="1" t="e">
        <f>#REF!</f>
        <v>#REF!</v>
      </c>
    </row>
    <row r="722" spans="1:22" x14ac:dyDescent="0.35">
      <c r="A722" s="510" t="e">
        <f>#REF!</f>
        <v>#REF!</v>
      </c>
      <c r="M722" s="510" t="e">
        <f>#REF!</f>
        <v>#REF!</v>
      </c>
      <c r="V722" s="1" t="e">
        <f>#REF!</f>
        <v>#REF!</v>
      </c>
    </row>
    <row r="723" spans="1:22" x14ac:dyDescent="0.35">
      <c r="A723" s="510" t="e">
        <f>#REF!</f>
        <v>#REF!</v>
      </c>
      <c r="M723" s="510" t="e">
        <f>#REF!</f>
        <v>#REF!</v>
      </c>
      <c r="V723" s="1" t="e">
        <f>#REF!</f>
        <v>#REF!</v>
      </c>
    </row>
    <row r="724" spans="1:22" x14ac:dyDescent="0.35">
      <c r="A724" s="510" t="e">
        <f>#REF!</f>
        <v>#REF!</v>
      </c>
      <c r="M724" s="510" t="e">
        <f>#REF!</f>
        <v>#REF!</v>
      </c>
      <c r="V724" s="1" t="e">
        <f>#REF!</f>
        <v>#REF!</v>
      </c>
    </row>
    <row r="725" spans="1:22" x14ac:dyDescent="0.35">
      <c r="A725" s="510" t="e">
        <f>#REF!</f>
        <v>#REF!</v>
      </c>
      <c r="M725" s="510" t="e">
        <f>#REF!</f>
        <v>#REF!</v>
      </c>
      <c r="V725" s="1" t="e">
        <f>#REF!</f>
        <v>#REF!</v>
      </c>
    </row>
    <row r="726" spans="1:22" x14ac:dyDescent="0.35">
      <c r="A726" s="510" t="e">
        <f>#REF!</f>
        <v>#REF!</v>
      </c>
      <c r="M726" s="510" t="e">
        <f>#REF!</f>
        <v>#REF!</v>
      </c>
      <c r="V726" s="1" t="e">
        <f>#REF!</f>
        <v>#REF!</v>
      </c>
    </row>
    <row r="727" spans="1:22" x14ac:dyDescent="0.35">
      <c r="A727" s="510" t="e">
        <f>#REF!</f>
        <v>#REF!</v>
      </c>
      <c r="M727" s="510" t="e">
        <f>#REF!</f>
        <v>#REF!</v>
      </c>
      <c r="V727" s="1" t="e">
        <f>#REF!</f>
        <v>#REF!</v>
      </c>
    </row>
    <row r="728" spans="1:22" x14ac:dyDescent="0.35">
      <c r="A728" s="510" t="e">
        <f>#REF!</f>
        <v>#REF!</v>
      </c>
      <c r="M728" s="510" t="e">
        <f>#REF!</f>
        <v>#REF!</v>
      </c>
      <c r="V728" s="1" t="e">
        <f>#REF!</f>
        <v>#REF!</v>
      </c>
    </row>
    <row r="729" spans="1:22" x14ac:dyDescent="0.35">
      <c r="A729" s="510" t="e">
        <f>#REF!</f>
        <v>#REF!</v>
      </c>
      <c r="M729" s="510" t="e">
        <f>#REF!</f>
        <v>#REF!</v>
      </c>
      <c r="V729" s="1" t="e">
        <f>#REF!</f>
        <v>#REF!</v>
      </c>
    </row>
    <row r="730" spans="1:22" x14ac:dyDescent="0.35">
      <c r="A730" s="510" t="e">
        <f>#REF!</f>
        <v>#REF!</v>
      </c>
      <c r="M730" s="510" t="e">
        <f>#REF!</f>
        <v>#REF!</v>
      </c>
      <c r="V730" s="1" t="e">
        <f>#REF!</f>
        <v>#REF!</v>
      </c>
    </row>
    <row r="731" spans="1:22" x14ac:dyDescent="0.35">
      <c r="A731" s="510" t="e">
        <f>#REF!</f>
        <v>#REF!</v>
      </c>
      <c r="M731" s="510" t="e">
        <f>#REF!</f>
        <v>#REF!</v>
      </c>
      <c r="V731" s="1" t="e">
        <f>#REF!</f>
        <v>#REF!</v>
      </c>
    </row>
    <row r="732" spans="1:22" x14ac:dyDescent="0.35">
      <c r="A732" s="510" t="e">
        <f>#REF!</f>
        <v>#REF!</v>
      </c>
      <c r="M732" s="510" t="e">
        <f>#REF!</f>
        <v>#REF!</v>
      </c>
      <c r="V732" s="1" t="e">
        <f>#REF!</f>
        <v>#REF!</v>
      </c>
    </row>
    <row r="733" spans="1:22" x14ac:dyDescent="0.35">
      <c r="A733" s="510" t="e">
        <f>#REF!</f>
        <v>#REF!</v>
      </c>
      <c r="M733" s="510" t="e">
        <f>#REF!</f>
        <v>#REF!</v>
      </c>
      <c r="V733" s="1" t="e">
        <f>#REF!</f>
        <v>#REF!</v>
      </c>
    </row>
    <row r="734" spans="1:22" x14ac:dyDescent="0.35">
      <c r="A734" s="510" t="e">
        <f>#REF!</f>
        <v>#REF!</v>
      </c>
      <c r="M734" s="510" t="e">
        <f>#REF!</f>
        <v>#REF!</v>
      </c>
      <c r="V734" s="1" t="e">
        <f>#REF!</f>
        <v>#REF!</v>
      </c>
    </row>
    <row r="735" spans="1:22" x14ac:dyDescent="0.35">
      <c r="A735" s="510" t="e">
        <f>#REF!</f>
        <v>#REF!</v>
      </c>
      <c r="M735" s="510" t="e">
        <f>#REF!</f>
        <v>#REF!</v>
      </c>
      <c r="V735" s="1" t="e">
        <f>#REF!</f>
        <v>#REF!</v>
      </c>
    </row>
    <row r="736" spans="1:22" x14ac:dyDescent="0.35">
      <c r="A736" s="510" t="e">
        <f>#REF!</f>
        <v>#REF!</v>
      </c>
      <c r="M736" s="510" t="e">
        <f>#REF!</f>
        <v>#REF!</v>
      </c>
      <c r="V736" s="1" t="e">
        <f>#REF!</f>
        <v>#REF!</v>
      </c>
    </row>
    <row r="737" spans="1:22" x14ac:dyDescent="0.35">
      <c r="A737" s="510" t="e">
        <f>#REF!</f>
        <v>#REF!</v>
      </c>
      <c r="M737" s="510" t="e">
        <f>#REF!</f>
        <v>#REF!</v>
      </c>
      <c r="V737" s="1" t="e">
        <f>#REF!</f>
        <v>#REF!</v>
      </c>
    </row>
    <row r="738" spans="1:22" x14ac:dyDescent="0.35">
      <c r="A738" s="510" t="e">
        <f>#REF!</f>
        <v>#REF!</v>
      </c>
      <c r="M738" s="510" t="e">
        <f>#REF!</f>
        <v>#REF!</v>
      </c>
      <c r="V738" s="1" t="e">
        <f>#REF!</f>
        <v>#REF!</v>
      </c>
    </row>
    <row r="739" spans="1:22" x14ac:dyDescent="0.35">
      <c r="A739" s="510" t="e">
        <f>#REF!</f>
        <v>#REF!</v>
      </c>
      <c r="M739" s="510" t="e">
        <f>#REF!</f>
        <v>#REF!</v>
      </c>
      <c r="V739" s="1" t="e">
        <f>#REF!</f>
        <v>#REF!</v>
      </c>
    </row>
    <row r="740" spans="1:22" x14ac:dyDescent="0.35">
      <c r="A740" s="510" t="e">
        <f>#REF!</f>
        <v>#REF!</v>
      </c>
      <c r="M740" s="510" t="e">
        <f>#REF!</f>
        <v>#REF!</v>
      </c>
      <c r="V740" s="1" t="e">
        <f>#REF!</f>
        <v>#REF!</v>
      </c>
    </row>
    <row r="741" spans="1:22" x14ac:dyDescent="0.35">
      <c r="A741" s="510" t="e">
        <f>#REF!</f>
        <v>#REF!</v>
      </c>
      <c r="M741" s="510" t="e">
        <f>#REF!</f>
        <v>#REF!</v>
      </c>
      <c r="V741" s="1" t="e">
        <f>#REF!</f>
        <v>#REF!</v>
      </c>
    </row>
    <row r="742" spans="1:22" x14ac:dyDescent="0.35">
      <c r="A742" s="510" t="e">
        <f>#REF!</f>
        <v>#REF!</v>
      </c>
      <c r="M742" s="510" t="e">
        <f>#REF!</f>
        <v>#REF!</v>
      </c>
      <c r="V742" s="1" t="e">
        <f>#REF!</f>
        <v>#REF!</v>
      </c>
    </row>
    <row r="743" spans="1:22" x14ac:dyDescent="0.35">
      <c r="A743" s="510" t="e">
        <f>#REF!</f>
        <v>#REF!</v>
      </c>
      <c r="M743" s="510" t="e">
        <f>#REF!</f>
        <v>#REF!</v>
      </c>
      <c r="V743" s="1" t="e">
        <f>#REF!</f>
        <v>#REF!</v>
      </c>
    </row>
    <row r="744" spans="1:22" x14ac:dyDescent="0.35">
      <c r="A744" s="510" t="e">
        <f>#REF!</f>
        <v>#REF!</v>
      </c>
      <c r="M744" s="510" t="e">
        <f>#REF!</f>
        <v>#REF!</v>
      </c>
      <c r="V744" s="1" t="e">
        <f>#REF!</f>
        <v>#REF!</v>
      </c>
    </row>
    <row r="745" spans="1:22" x14ac:dyDescent="0.35">
      <c r="A745" s="510" t="e">
        <f>#REF!</f>
        <v>#REF!</v>
      </c>
      <c r="M745" s="510" t="e">
        <f>#REF!</f>
        <v>#REF!</v>
      </c>
      <c r="V745" s="1" t="e">
        <f>#REF!</f>
        <v>#REF!</v>
      </c>
    </row>
    <row r="746" spans="1:22" x14ac:dyDescent="0.35">
      <c r="A746" s="510" t="e">
        <f>#REF!</f>
        <v>#REF!</v>
      </c>
      <c r="M746" s="511"/>
      <c r="V746" s="1" t="e">
        <f>#REF!</f>
        <v>#REF!</v>
      </c>
    </row>
    <row r="747" spans="1:22" x14ac:dyDescent="0.35">
      <c r="A747" s="510" t="e">
        <f>#REF!</f>
        <v>#REF!</v>
      </c>
      <c r="V747" s="1" t="e">
        <f>#REF!</f>
        <v>#REF!</v>
      </c>
    </row>
    <row r="748" spans="1:22" x14ac:dyDescent="0.35">
      <c r="A748" s="511"/>
      <c r="V748" s="1" t="e">
        <f>#REF!</f>
        <v>#REF!</v>
      </c>
    </row>
    <row r="749" spans="1:22" x14ac:dyDescent="0.35">
      <c r="V749" s="494"/>
    </row>
  </sheetData>
  <sheetProtection algorithmName="SHA-512" hashValue="4nCwdrjG0GYwVDU5co3+bVSu0M/CcO82kTzi2CWwk2r2JYqwtPKmz2XHzNWBnLe8hS6X2SSXppYU4Ot/xRL83A==" saltValue="pUkBwFbEOZsOBzHJJAbNRQ==" spinCount="100000" sheet="1" objects="1" scenarios="1"/>
  <mergeCells count="432">
    <mergeCell ref="W3:AD4"/>
    <mergeCell ref="W108:AD108"/>
    <mergeCell ref="W5:W6"/>
    <mergeCell ref="X5:X6"/>
    <mergeCell ref="Y5:Y6"/>
    <mergeCell ref="D107:E107"/>
    <mergeCell ref="F107:G107"/>
    <mergeCell ref="H107:I107"/>
    <mergeCell ref="B108:L108"/>
    <mergeCell ref="D103:E103"/>
    <mergeCell ref="F103:G103"/>
    <mergeCell ref="H103:I103"/>
    <mergeCell ref="D99:E99"/>
    <mergeCell ref="F99:G99"/>
    <mergeCell ref="H99:I99"/>
    <mergeCell ref="D95:E95"/>
    <mergeCell ref="F95:G95"/>
    <mergeCell ref="H95:I95"/>
    <mergeCell ref="D91:E91"/>
    <mergeCell ref="F91:G91"/>
    <mergeCell ref="H91:I91"/>
    <mergeCell ref="D87:E87"/>
    <mergeCell ref="F87:G87"/>
    <mergeCell ref="H87:I87"/>
    <mergeCell ref="AE107:AF107"/>
    <mergeCell ref="D105:E105"/>
    <mergeCell ref="F105:G105"/>
    <mergeCell ref="H105:I105"/>
    <mergeCell ref="AE105:AF105"/>
    <mergeCell ref="D106:E106"/>
    <mergeCell ref="F106:G106"/>
    <mergeCell ref="H106:I106"/>
    <mergeCell ref="AE106:AF106"/>
    <mergeCell ref="AE103:AF103"/>
    <mergeCell ref="D104:E104"/>
    <mergeCell ref="F104:G104"/>
    <mergeCell ref="H104:I104"/>
    <mergeCell ref="AE104:AF104"/>
    <mergeCell ref="D101:E101"/>
    <mergeCell ref="F101:G101"/>
    <mergeCell ref="H101:I101"/>
    <mergeCell ref="AE101:AF101"/>
    <mergeCell ref="D102:E102"/>
    <mergeCell ref="F102:G102"/>
    <mergeCell ref="H102:I102"/>
    <mergeCell ref="AE102:AF102"/>
    <mergeCell ref="AE99:AF99"/>
    <mergeCell ref="D100:E100"/>
    <mergeCell ref="F100:G100"/>
    <mergeCell ref="H100:I100"/>
    <mergeCell ref="AE100:AF100"/>
    <mergeCell ref="D97:E97"/>
    <mergeCell ref="F97:G97"/>
    <mergeCell ref="H97:I97"/>
    <mergeCell ref="AE97:AF97"/>
    <mergeCell ref="D98:E98"/>
    <mergeCell ref="F98:G98"/>
    <mergeCell ref="H98:I98"/>
    <mergeCell ref="AE98:AF98"/>
    <mergeCell ref="AE95:AF95"/>
    <mergeCell ref="D96:E96"/>
    <mergeCell ref="F96:G96"/>
    <mergeCell ref="H96:I96"/>
    <mergeCell ref="AE96:AF96"/>
    <mergeCell ref="D93:E93"/>
    <mergeCell ref="F93:G93"/>
    <mergeCell ref="H93:I93"/>
    <mergeCell ref="AE93:AF93"/>
    <mergeCell ref="D94:E94"/>
    <mergeCell ref="F94:G94"/>
    <mergeCell ref="H94:I94"/>
    <mergeCell ref="AE94:AF94"/>
    <mergeCell ref="AE91:AF91"/>
    <mergeCell ref="D92:E92"/>
    <mergeCell ref="F92:G92"/>
    <mergeCell ref="H92:I92"/>
    <mergeCell ref="AE92:AF92"/>
    <mergeCell ref="D89:E89"/>
    <mergeCell ref="F89:G89"/>
    <mergeCell ref="H89:I89"/>
    <mergeCell ref="AE89:AF89"/>
    <mergeCell ref="D90:E90"/>
    <mergeCell ref="F90:G90"/>
    <mergeCell ref="H90:I90"/>
    <mergeCell ref="AE90:AF90"/>
    <mergeCell ref="AE87:AF87"/>
    <mergeCell ref="D88:E88"/>
    <mergeCell ref="F88:G88"/>
    <mergeCell ref="H88:I88"/>
    <mergeCell ref="AE88:AF88"/>
    <mergeCell ref="D85:E85"/>
    <mergeCell ref="F85:G85"/>
    <mergeCell ref="H85:I85"/>
    <mergeCell ref="AE85:AF85"/>
    <mergeCell ref="D86:E86"/>
    <mergeCell ref="F86:G86"/>
    <mergeCell ref="H86:I86"/>
    <mergeCell ref="AE86:AF86"/>
    <mergeCell ref="D83:E83"/>
    <mergeCell ref="F83:G83"/>
    <mergeCell ref="H83:I83"/>
    <mergeCell ref="AE83:AF83"/>
    <mergeCell ref="D84:E84"/>
    <mergeCell ref="F84:G84"/>
    <mergeCell ref="H84:I84"/>
    <mergeCell ref="AE84:AF84"/>
    <mergeCell ref="D81:E81"/>
    <mergeCell ref="F81:G81"/>
    <mergeCell ref="H81:I81"/>
    <mergeCell ref="AE81:AF81"/>
    <mergeCell ref="D82:E82"/>
    <mergeCell ref="F82:G82"/>
    <mergeCell ref="H82:I82"/>
    <mergeCell ref="AE82:AF82"/>
    <mergeCell ref="D79:E79"/>
    <mergeCell ref="F79:G79"/>
    <mergeCell ref="H79:I79"/>
    <mergeCell ref="AE79:AF79"/>
    <mergeCell ref="D80:E80"/>
    <mergeCell ref="F80:G80"/>
    <mergeCell ref="H80:I80"/>
    <mergeCell ref="AE80:AF80"/>
    <mergeCell ref="D77:E77"/>
    <mergeCell ref="F77:G77"/>
    <mergeCell ref="H77:I77"/>
    <mergeCell ref="AE77:AF77"/>
    <mergeCell ref="D78:E78"/>
    <mergeCell ref="F78:G78"/>
    <mergeCell ref="H78:I78"/>
    <mergeCell ref="AE78:AF78"/>
    <mergeCell ref="D75:E75"/>
    <mergeCell ref="F75:G75"/>
    <mergeCell ref="H75:I75"/>
    <mergeCell ref="AE75:AF75"/>
    <mergeCell ref="D76:E76"/>
    <mergeCell ref="F76:G76"/>
    <mergeCell ref="H76:I76"/>
    <mergeCell ref="AE76:AF76"/>
    <mergeCell ref="D73:E73"/>
    <mergeCell ref="F73:G73"/>
    <mergeCell ref="H73:I73"/>
    <mergeCell ref="AE73:AF73"/>
    <mergeCell ref="D74:E74"/>
    <mergeCell ref="F74:G74"/>
    <mergeCell ref="H74:I74"/>
    <mergeCell ref="AE74:AF74"/>
    <mergeCell ref="D71:E71"/>
    <mergeCell ref="F71:G71"/>
    <mergeCell ref="H71:I71"/>
    <mergeCell ref="AE71:AF71"/>
    <mergeCell ref="D72:E72"/>
    <mergeCell ref="F72:G72"/>
    <mergeCell ref="H72:I72"/>
    <mergeCell ref="AE72:AF72"/>
    <mergeCell ref="D69:E69"/>
    <mergeCell ref="F69:G69"/>
    <mergeCell ref="H69:I69"/>
    <mergeCell ref="AE69:AF69"/>
    <mergeCell ref="D70:E70"/>
    <mergeCell ref="F70:G70"/>
    <mergeCell ref="H70:I70"/>
    <mergeCell ref="AE70:AF70"/>
    <mergeCell ref="D67:E67"/>
    <mergeCell ref="F67:G67"/>
    <mergeCell ref="H67:I67"/>
    <mergeCell ref="AE67:AF67"/>
    <mergeCell ref="D68:E68"/>
    <mergeCell ref="F68:G68"/>
    <mergeCell ref="H68:I68"/>
    <mergeCell ref="AE68:AF68"/>
    <mergeCell ref="D65:E65"/>
    <mergeCell ref="F65:G65"/>
    <mergeCell ref="H65:I65"/>
    <mergeCell ref="AE65:AF65"/>
    <mergeCell ref="D66:E66"/>
    <mergeCell ref="F66:G66"/>
    <mergeCell ref="H66:I66"/>
    <mergeCell ref="AE66:AF66"/>
    <mergeCell ref="D63:E63"/>
    <mergeCell ref="F63:G63"/>
    <mergeCell ref="H63:I63"/>
    <mergeCell ref="AE63:AF63"/>
    <mergeCell ref="D64:E64"/>
    <mergeCell ref="F64:G64"/>
    <mergeCell ref="H64:I64"/>
    <mergeCell ref="AE64:AF64"/>
    <mergeCell ref="D61:E61"/>
    <mergeCell ref="F61:G61"/>
    <mergeCell ref="H61:I61"/>
    <mergeCell ref="AE61:AF61"/>
    <mergeCell ref="D62:E62"/>
    <mergeCell ref="F62:G62"/>
    <mergeCell ref="H62:I62"/>
    <mergeCell ref="AE62:AF62"/>
    <mergeCell ref="D59:E59"/>
    <mergeCell ref="F59:G59"/>
    <mergeCell ref="H59:I59"/>
    <mergeCell ref="AE59:AF59"/>
    <mergeCell ref="D60:E60"/>
    <mergeCell ref="F60:G60"/>
    <mergeCell ref="H60:I60"/>
    <mergeCell ref="AE60:AF60"/>
    <mergeCell ref="D57:E57"/>
    <mergeCell ref="F57:G57"/>
    <mergeCell ref="H57:I57"/>
    <mergeCell ref="AE57:AF57"/>
    <mergeCell ref="D58:E58"/>
    <mergeCell ref="F58:G58"/>
    <mergeCell ref="H58:I58"/>
    <mergeCell ref="AE58:AF58"/>
    <mergeCell ref="D55:E55"/>
    <mergeCell ref="F55:G55"/>
    <mergeCell ref="H55:I55"/>
    <mergeCell ref="AE55:AF55"/>
    <mergeCell ref="D56:E56"/>
    <mergeCell ref="F56:G56"/>
    <mergeCell ref="H56:I56"/>
    <mergeCell ref="AE56:AF56"/>
    <mergeCell ref="D53:E53"/>
    <mergeCell ref="F53:G53"/>
    <mergeCell ref="H53:I53"/>
    <mergeCell ref="AE53:AF53"/>
    <mergeCell ref="D54:E54"/>
    <mergeCell ref="F54:G54"/>
    <mergeCell ref="H54:I54"/>
    <mergeCell ref="AE54:AF54"/>
    <mergeCell ref="D51:E51"/>
    <mergeCell ref="F51:G51"/>
    <mergeCell ref="H51:I51"/>
    <mergeCell ref="AE51:AF51"/>
    <mergeCell ref="D52:E52"/>
    <mergeCell ref="F52:G52"/>
    <mergeCell ref="H52:I52"/>
    <mergeCell ref="AE52:AF52"/>
    <mergeCell ref="D49:E49"/>
    <mergeCell ref="F49:G49"/>
    <mergeCell ref="H49:I49"/>
    <mergeCell ref="AE49:AF49"/>
    <mergeCell ref="D50:E50"/>
    <mergeCell ref="F50:G50"/>
    <mergeCell ref="H50:I50"/>
    <mergeCell ref="AE50:AF50"/>
    <mergeCell ref="D47:E47"/>
    <mergeCell ref="F47:G47"/>
    <mergeCell ref="H47:I47"/>
    <mergeCell ref="AE47:AF47"/>
    <mergeCell ref="D48:E48"/>
    <mergeCell ref="F48:G48"/>
    <mergeCell ref="H48:I48"/>
    <mergeCell ref="AE48:AF48"/>
    <mergeCell ref="D45:E45"/>
    <mergeCell ref="F45:G45"/>
    <mergeCell ref="H45:I45"/>
    <mergeCell ref="AE45:AF45"/>
    <mergeCell ref="D46:E46"/>
    <mergeCell ref="F46:G46"/>
    <mergeCell ref="H46:I46"/>
    <mergeCell ref="AE46:AF46"/>
    <mergeCell ref="D43:E43"/>
    <mergeCell ref="F43:G43"/>
    <mergeCell ref="H43:I43"/>
    <mergeCell ref="AE43:AF43"/>
    <mergeCell ref="D44:E44"/>
    <mergeCell ref="F44:G44"/>
    <mergeCell ref="H44:I44"/>
    <mergeCell ref="AE44:AF44"/>
    <mergeCell ref="D41:E41"/>
    <mergeCell ref="F41:G41"/>
    <mergeCell ref="H41:I41"/>
    <mergeCell ref="AE41:AF41"/>
    <mergeCell ref="D42:E42"/>
    <mergeCell ref="F42:G42"/>
    <mergeCell ref="H42:I42"/>
    <mergeCell ref="AE42:AF42"/>
    <mergeCell ref="D39:E39"/>
    <mergeCell ref="F39:G39"/>
    <mergeCell ref="H39:I39"/>
    <mergeCell ref="AE39:AF39"/>
    <mergeCell ref="D40:E40"/>
    <mergeCell ref="F40:G40"/>
    <mergeCell ref="H40:I40"/>
    <mergeCell ref="AE40:AF40"/>
    <mergeCell ref="D37:E37"/>
    <mergeCell ref="F37:G37"/>
    <mergeCell ref="H37:I37"/>
    <mergeCell ref="AE37:AF37"/>
    <mergeCell ref="D38:E38"/>
    <mergeCell ref="F38:G38"/>
    <mergeCell ref="H38:I38"/>
    <mergeCell ref="AE38:AF38"/>
    <mergeCell ref="D35:E35"/>
    <mergeCell ref="F35:G35"/>
    <mergeCell ref="H35:I35"/>
    <mergeCell ref="AE35:AF35"/>
    <mergeCell ref="D36:E36"/>
    <mergeCell ref="F36:G36"/>
    <mergeCell ref="H36:I36"/>
    <mergeCell ref="AE36:AF36"/>
    <mergeCell ref="D33:E33"/>
    <mergeCell ref="F33:G33"/>
    <mergeCell ref="H33:I33"/>
    <mergeCell ref="AE33:AF33"/>
    <mergeCell ref="D34:E34"/>
    <mergeCell ref="F34:G34"/>
    <mergeCell ref="H34:I34"/>
    <mergeCell ref="AE34:AF34"/>
    <mergeCell ref="D31:E31"/>
    <mergeCell ref="F31:G31"/>
    <mergeCell ref="H31:I31"/>
    <mergeCell ref="AE31:AF31"/>
    <mergeCell ref="D32:E32"/>
    <mergeCell ref="F32:G32"/>
    <mergeCell ref="H32:I32"/>
    <mergeCell ref="AE32:AF32"/>
    <mergeCell ref="D29:E29"/>
    <mergeCell ref="F29:G29"/>
    <mergeCell ref="H29:I29"/>
    <mergeCell ref="AE29:AF29"/>
    <mergeCell ref="D30:E30"/>
    <mergeCell ref="F30:G30"/>
    <mergeCell ref="H30:I30"/>
    <mergeCell ref="AE30:AF30"/>
    <mergeCell ref="D27:E27"/>
    <mergeCell ref="F27:G27"/>
    <mergeCell ref="H27:I27"/>
    <mergeCell ref="AE27:AF27"/>
    <mergeCell ref="D28:E28"/>
    <mergeCell ref="F28:G28"/>
    <mergeCell ref="H28:I28"/>
    <mergeCell ref="AE28:AF28"/>
    <mergeCell ref="D25:E25"/>
    <mergeCell ref="F25:G25"/>
    <mergeCell ref="H25:I25"/>
    <mergeCell ref="AE25:AF25"/>
    <mergeCell ref="D26:E26"/>
    <mergeCell ref="F26:G26"/>
    <mergeCell ref="H26:I26"/>
    <mergeCell ref="AE26:AF26"/>
    <mergeCell ref="D23:E23"/>
    <mergeCell ref="F23:G23"/>
    <mergeCell ref="H23:I23"/>
    <mergeCell ref="AE23:AF23"/>
    <mergeCell ref="D24:E24"/>
    <mergeCell ref="F24:G24"/>
    <mergeCell ref="H24:I24"/>
    <mergeCell ref="AE24:AF24"/>
    <mergeCell ref="D21:E21"/>
    <mergeCell ref="F21:G21"/>
    <mergeCell ref="H21:I21"/>
    <mergeCell ref="AE21:AF21"/>
    <mergeCell ref="D22:E22"/>
    <mergeCell ref="F22:G22"/>
    <mergeCell ref="H22:I22"/>
    <mergeCell ref="AE22:AF22"/>
    <mergeCell ref="D19:E19"/>
    <mergeCell ref="F19:G19"/>
    <mergeCell ref="H19:I19"/>
    <mergeCell ref="AE19:AF19"/>
    <mergeCell ref="D20:E20"/>
    <mergeCell ref="F20:G20"/>
    <mergeCell ref="H20:I20"/>
    <mergeCell ref="AE20:AF20"/>
    <mergeCell ref="D17:E17"/>
    <mergeCell ref="F17:G17"/>
    <mergeCell ref="H17:I17"/>
    <mergeCell ref="AE17:AF17"/>
    <mergeCell ref="D18:E18"/>
    <mergeCell ref="F18:G18"/>
    <mergeCell ref="H18:I18"/>
    <mergeCell ref="AE18:AF18"/>
    <mergeCell ref="D15:E15"/>
    <mergeCell ref="F15:G15"/>
    <mergeCell ref="H15:I15"/>
    <mergeCell ref="AE15:AF15"/>
    <mergeCell ref="D16:E16"/>
    <mergeCell ref="F16:G16"/>
    <mergeCell ref="H16:I16"/>
    <mergeCell ref="AE16:AF16"/>
    <mergeCell ref="D13:E13"/>
    <mergeCell ref="F13:G13"/>
    <mergeCell ref="H13:I13"/>
    <mergeCell ref="AE13:AF13"/>
    <mergeCell ref="D14:E14"/>
    <mergeCell ref="F14:G14"/>
    <mergeCell ref="H14:I14"/>
    <mergeCell ref="AE14:AF14"/>
    <mergeCell ref="D11:E11"/>
    <mergeCell ref="F11:G11"/>
    <mergeCell ref="H11:I11"/>
    <mergeCell ref="AE11:AF11"/>
    <mergeCell ref="D12:E12"/>
    <mergeCell ref="F12:G12"/>
    <mergeCell ref="H12:I12"/>
    <mergeCell ref="AE12:AF12"/>
    <mergeCell ref="D9:E9"/>
    <mergeCell ref="F9:G9"/>
    <mergeCell ref="H9:I9"/>
    <mergeCell ref="AE9:AF9"/>
    <mergeCell ref="D10:E10"/>
    <mergeCell ref="F10:G10"/>
    <mergeCell ref="H10:I10"/>
    <mergeCell ref="AE10:AF10"/>
    <mergeCell ref="N3:U4"/>
    <mergeCell ref="D7:E7"/>
    <mergeCell ref="F7:G7"/>
    <mergeCell ref="H7:I7"/>
    <mergeCell ref="B3:L4"/>
    <mergeCell ref="B5:B6"/>
    <mergeCell ref="D5:E6"/>
    <mergeCell ref="F5:G6"/>
    <mergeCell ref="H5:I6"/>
    <mergeCell ref="C5:C6"/>
    <mergeCell ref="J5:J6"/>
    <mergeCell ref="L5:L6"/>
    <mergeCell ref="K5:K6"/>
    <mergeCell ref="D8:E8"/>
    <mergeCell ref="F8:G8"/>
    <mergeCell ref="H8:I8"/>
    <mergeCell ref="AE8:AF8"/>
    <mergeCell ref="U5:U6"/>
    <mergeCell ref="Z5:Z6"/>
    <mergeCell ref="AA5:AA6"/>
    <mergeCell ref="AB5:AB6"/>
    <mergeCell ref="AC5:AC6"/>
    <mergeCell ref="AD5:AD6"/>
    <mergeCell ref="O5:O6"/>
    <mergeCell ref="N5:N6"/>
    <mergeCell ref="P5:P6"/>
    <mergeCell ref="Q5:Q6"/>
    <mergeCell ref="R5:R6"/>
    <mergeCell ref="S5:S6"/>
    <mergeCell ref="T5:T6"/>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9B95C-5B32-4A5E-95FB-C1015A90E816}">
  <sheetPr codeName="Sheet27">
    <tabColor rgb="FF00B0F0"/>
  </sheetPr>
  <dimension ref="A1:BM286"/>
  <sheetViews>
    <sheetView showGridLines="0" topLeftCell="S33" zoomScale="80" zoomScaleNormal="80" workbookViewId="0">
      <selection activeCell="AF47" sqref="AF47"/>
    </sheetView>
  </sheetViews>
  <sheetFormatPr defaultColWidth="0" defaultRowHeight="15.5" x14ac:dyDescent="0.35"/>
  <cols>
    <col min="1" max="1" width="8.7265625" style="626" customWidth="1"/>
    <col min="2" max="2" width="23.7265625" style="656" customWidth="1"/>
    <col min="3" max="4" width="0" style="626" hidden="1" customWidth="1"/>
    <col min="5" max="7" width="8.7265625" style="626" customWidth="1"/>
    <col min="8" max="8" width="12.54296875" style="626" customWidth="1"/>
    <col min="9" max="9" width="8.7265625" style="626" customWidth="1"/>
    <col min="10" max="10" width="3.54296875" style="626" customWidth="1"/>
    <col min="11" max="13" width="8.7265625" style="626" customWidth="1"/>
    <col min="14" max="14" width="10.453125" style="626" customWidth="1"/>
    <col min="15" max="15" width="8.7265625" style="626" customWidth="1"/>
    <col min="16" max="16" width="12.54296875" style="626" customWidth="1"/>
    <col min="17" max="17" width="7.26953125" style="626" hidden="1" customWidth="1"/>
    <col min="18" max="18" width="4.81640625" style="626" hidden="1" customWidth="1"/>
    <col min="19" max="19" width="15.81640625" style="626" customWidth="1"/>
    <col min="20" max="20" width="0.7265625" style="626" customWidth="1"/>
    <col min="21" max="21" width="22.81640625" style="626" customWidth="1"/>
    <col min="22" max="25" width="8.7265625" style="626" hidden="1" customWidth="1"/>
    <col min="26" max="26" width="48" style="626" customWidth="1"/>
    <col min="27" max="27" width="27" style="627" customWidth="1"/>
    <col min="28" max="28" width="25.1796875" style="627" customWidth="1"/>
    <col min="29" max="31" width="0" style="626" hidden="1" customWidth="1"/>
    <col min="32" max="32" width="8.7265625" style="626" customWidth="1"/>
    <col min="33" max="33" width="20.81640625" style="626" hidden="1" customWidth="1"/>
    <col min="34" max="35" width="8.7265625" style="626" hidden="1" customWidth="1"/>
    <col min="36" max="36" width="8.7265625" style="653" hidden="1" customWidth="1"/>
    <col min="37" max="41" width="8.7265625" style="626" hidden="1" customWidth="1"/>
    <col min="42" max="45" width="8.7265625" style="656" hidden="1" customWidth="1"/>
    <col min="46" max="47" width="8.7265625" style="626" hidden="1" customWidth="1"/>
    <col min="48" max="48" width="3.7265625" style="626" hidden="1" customWidth="1"/>
    <col min="49" max="49" width="8.7265625" style="626" hidden="1" customWidth="1"/>
    <col min="50" max="51" width="8.7265625" style="685" hidden="1" customWidth="1"/>
    <col min="52" max="52" width="24.7265625" style="655" hidden="1" customWidth="1"/>
    <col min="53" max="55" width="8.7265625" style="626" hidden="1" customWidth="1"/>
    <col min="56" max="56" width="1" style="626" hidden="1" customWidth="1"/>
    <col min="57" max="58" width="43.54296875" style="626" hidden="1" customWidth="1"/>
    <col min="59" max="59" width="22.54296875" style="626" hidden="1" customWidth="1"/>
    <col min="60" max="61" width="8.7265625" style="626" hidden="1" customWidth="1"/>
    <col min="62" max="62" width="9.54296875" style="626" hidden="1" customWidth="1"/>
    <col min="63" max="63" width="31.26953125" style="626" hidden="1" customWidth="1"/>
    <col min="64" max="16384" width="8.7265625" style="626" hidden="1"/>
  </cols>
  <sheetData>
    <row r="1" spans="2:65" ht="16" thickBot="1" x14ac:dyDescent="0.4">
      <c r="AJ1" s="628"/>
    </row>
    <row r="2" spans="2:65" ht="25" customHeight="1" x14ac:dyDescent="0.3">
      <c r="B2" s="1071" t="s">
        <v>1504</v>
      </c>
      <c r="C2" s="1072"/>
      <c r="D2" s="1072"/>
      <c r="E2" s="1072"/>
      <c r="F2" s="1072"/>
      <c r="G2" s="1072"/>
      <c r="H2" s="1072"/>
      <c r="I2" s="1072"/>
      <c r="J2" s="1072"/>
      <c r="K2" s="1072"/>
      <c r="L2" s="1072"/>
      <c r="M2" s="1072"/>
      <c r="N2" s="1072"/>
      <c r="O2" s="1072"/>
      <c r="P2" s="1072"/>
      <c r="Q2" s="1072"/>
      <c r="R2" s="1072"/>
      <c r="S2" s="1072"/>
      <c r="T2" s="1072"/>
      <c r="U2" s="1072"/>
      <c r="V2" s="1072"/>
      <c r="W2" s="1072"/>
      <c r="X2" s="1072"/>
      <c r="Y2" s="1072"/>
      <c r="Z2" s="1072"/>
      <c r="AA2" s="1072"/>
      <c r="AB2" s="1073"/>
      <c r="AG2" s="1104" t="s">
        <v>1506</v>
      </c>
      <c r="AH2" s="1105"/>
      <c r="AI2" s="1105"/>
      <c r="AJ2" s="1105"/>
      <c r="AK2" s="1105"/>
      <c r="AL2" s="1105"/>
      <c r="AM2" s="1105"/>
      <c r="AN2" s="1105"/>
      <c r="AO2" s="1105"/>
      <c r="AP2" s="1105"/>
      <c r="AQ2" s="1105"/>
      <c r="AR2" s="1105"/>
      <c r="AS2" s="1105"/>
      <c r="AT2" s="1105"/>
      <c r="AU2" s="1105"/>
      <c r="AV2" s="1105"/>
      <c r="AW2" s="1105"/>
      <c r="AX2" s="1105"/>
      <c r="AY2" s="1105"/>
      <c r="AZ2" s="1105"/>
      <c r="BA2" s="1105"/>
      <c r="BB2" s="1105"/>
      <c r="BC2" s="1105"/>
      <c r="BD2" s="1105"/>
      <c r="BE2" s="1105"/>
      <c r="BF2" s="1105"/>
      <c r="BG2" s="1106"/>
    </row>
    <row r="3" spans="2:65" ht="15" customHeight="1" thickBot="1" x14ac:dyDescent="0.35">
      <c r="B3" s="1074"/>
      <c r="C3" s="1075"/>
      <c r="D3" s="1075"/>
      <c r="E3" s="1075"/>
      <c r="F3" s="1075"/>
      <c r="G3" s="1075"/>
      <c r="H3" s="1075"/>
      <c r="I3" s="1075"/>
      <c r="J3" s="1075"/>
      <c r="K3" s="1075"/>
      <c r="L3" s="1075"/>
      <c r="M3" s="1075"/>
      <c r="N3" s="1075"/>
      <c r="O3" s="1075"/>
      <c r="P3" s="1075"/>
      <c r="Q3" s="1075"/>
      <c r="R3" s="1075"/>
      <c r="S3" s="1075"/>
      <c r="T3" s="1075"/>
      <c r="U3" s="1075"/>
      <c r="V3" s="1075"/>
      <c r="W3" s="1075"/>
      <c r="X3" s="1075"/>
      <c r="Y3" s="1075"/>
      <c r="Z3" s="1075"/>
      <c r="AA3" s="1075"/>
      <c r="AB3" s="1076"/>
      <c r="AG3" s="1107"/>
      <c r="AH3" s="1108"/>
      <c r="AI3" s="1108"/>
      <c r="AJ3" s="1108"/>
      <c r="AK3" s="1108"/>
      <c r="AL3" s="1108"/>
      <c r="AM3" s="1108"/>
      <c r="AN3" s="1108"/>
      <c r="AO3" s="1108"/>
      <c r="AP3" s="1108"/>
      <c r="AQ3" s="1108"/>
      <c r="AR3" s="1108"/>
      <c r="AS3" s="1108"/>
      <c r="AT3" s="1108"/>
      <c r="AU3" s="1108"/>
      <c r="AV3" s="1108"/>
      <c r="AW3" s="1108"/>
      <c r="AX3" s="1108"/>
      <c r="AY3" s="1108"/>
      <c r="AZ3" s="1108"/>
      <c r="BA3" s="1108"/>
      <c r="BB3" s="1108"/>
      <c r="BC3" s="1108"/>
      <c r="BD3" s="1108"/>
      <c r="BE3" s="1108"/>
      <c r="BF3" s="1108"/>
      <c r="BG3" s="1109"/>
    </row>
    <row r="4" spans="2:65" ht="15.65" customHeight="1" x14ac:dyDescent="0.3">
      <c r="B4" s="1077" t="s">
        <v>1521</v>
      </c>
      <c r="C4" s="1078"/>
      <c r="D4" s="1078"/>
      <c r="E4" s="1078"/>
      <c r="F4" s="1078"/>
      <c r="G4" s="1078"/>
      <c r="H4" s="1078"/>
      <c r="I4" s="1078"/>
      <c r="J4" s="1078"/>
      <c r="K4" s="1078"/>
      <c r="L4" s="1078"/>
      <c r="M4" s="1078"/>
      <c r="N4" s="1078"/>
      <c r="O4" s="1078"/>
      <c r="P4" s="1078"/>
      <c r="Q4" s="1078"/>
      <c r="R4" s="1078"/>
      <c r="S4" s="1078"/>
      <c r="T4" s="1078"/>
      <c r="U4" s="1078"/>
      <c r="V4" s="1078"/>
      <c r="W4" s="1078"/>
      <c r="X4" s="1078"/>
      <c r="Y4" s="1078"/>
      <c r="Z4" s="1078"/>
      <c r="AA4" s="1078"/>
      <c r="AB4" s="1079"/>
      <c r="AG4" s="1077" t="s">
        <v>1523</v>
      </c>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9"/>
    </row>
    <row r="5" spans="2:65" ht="5.15" customHeight="1" thickBot="1" x14ac:dyDescent="0.35">
      <c r="B5" s="1080"/>
      <c r="C5" s="1081"/>
      <c r="D5" s="1081"/>
      <c r="E5" s="1081"/>
      <c r="F5" s="1081"/>
      <c r="G5" s="1081"/>
      <c r="H5" s="1081"/>
      <c r="I5" s="1081"/>
      <c r="J5" s="1081"/>
      <c r="K5" s="1081"/>
      <c r="L5" s="1081"/>
      <c r="M5" s="1081"/>
      <c r="N5" s="1081"/>
      <c r="O5" s="1081"/>
      <c r="P5" s="1081"/>
      <c r="Q5" s="1081"/>
      <c r="R5" s="1081"/>
      <c r="S5" s="1081"/>
      <c r="T5" s="1081"/>
      <c r="U5" s="1081"/>
      <c r="V5" s="1081"/>
      <c r="W5" s="1081"/>
      <c r="X5" s="1081"/>
      <c r="Y5" s="1081"/>
      <c r="Z5" s="1081"/>
      <c r="AA5" s="1081"/>
      <c r="AB5" s="1082"/>
      <c r="AG5" s="1080"/>
      <c r="AH5" s="1081"/>
      <c r="AI5" s="1081"/>
      <c r="AJ5" s="1081"/>
      <c r="AK5" s="1081"/>
      <c r="AL5" s="1081"/>
      <c r="AM5" s="1081"/>
      <c r="AN5" s="1081"/>
      <c r="AO5" s="1081"/>
      <c r="AP5" s="1081"/>
      <c r="AQ5" s="1081"/>
      <c r="AR5" s="1081"/>
      <c r="AS5" s="1081"/>
      <c r="AT5" s="1081"/>
      <c r="AU5" s="1081"/>
      <c r="AV5" s="1081"/>
      <c r="AW5" s="1081"/>
      <c r="AX5" s="1081"/>
      <c r="AY5" s="1081"/>
      <c r="AZ5" s="1081"/>
      <c r="BA5" s="1081"/>
      <c r="BB5" s="1081"/>
      <c r="BC5" s="1081"/>
      <c r="BD5" s="1081"/>
      <c r="BE5" s="1081"/>
      <c r="BF5" s="1081"/>
      <c r="BG5" s="1082"/>
    </row>
    <row r="6" spans="2:65" ht="15.65" hidden="1" customHeight="1" x14ac:dyDescent="0.3">
      <c r="B6" s="657"/>
      <c r="C6" s="630"/>
      <c r="D6" s="630"/>
      <c r="E6" s="630"/>
      <c r="F6" s="630"/>
      <c r="G6" s="630"/>
      <c r="H6" s="630"/>
      <c r="I6" s="630"/>
      <c r="J6" s="630"/>
      <c r="K6" s="630"/>
      <c r="L6" s="630"/>
      <c r="M6" s="630"/>
      <c r="N6" s="630"/>
      <c r="O6" s="630"/>
      <c r="P6" s="630"/>
      <c r="Q6" s="630"/>
      <c r="R6" s="630"/>
      <c r="S6" s="630"/>
      <c r="T6" s="630"/>
      <c r="U6" s="630"/>
      <c r="V6" s="630"/>
      <c r="W6" s="630"/>
      <c r="X6" s="630"/>
      <c r="Y6" s="630"/>
      <c r="Z6" s="630"/>
      <c r="AA6" s="631"/>
      <c r="AB6" s="631"/>
      <c r="AG6" s="629"/>
      <c r="AH6" s="630"/>
      <c r="AI6" s="630"/>
      <c r="AJ6" s="630"/>
      <c r="AK6" s="630"/>
      <c r="AL6" s="630"/>
      <c r="AM6" s="630"/>
      <c r="AN6" s="630"/>
      <c r="AO6" s="630"/>
      <c r="AP6" s="683"/>
      <c r="AQ6" s="683"/>
      <c r="AR6" s="683"/>
      <c r="AS6" s="683"/>
      <c r="AT6" s="630"/>
      <c r="AU6" s="630"/>
      <c r="AV6" s="630"/>
      <c r="AW6" s="630"/>
      <c r="AX6" s="686"/>
      <c r="AY6" s="686"/>
      <c r="AZ6" s="630"/>
      <c r="BA6" s="630"/>
      <c r="BB6" s="630"/>
      <c r="BC6" s="630"/>
      <c r="BD6" s="630"/>
      <c r="BE6" s="630"/>
      <c r="BF6" s="630"/>
    </row>
    <row r="7" spans="2:65" ht="14.15" hidden="1" customHeight="1" x14ac:dyDescent="0.3">
      <c r="B7" s="657"/>
      <c r="C7" s="630"/>
      <c r="D7" s="630"/>
      <c r="E7" s="630"/>
      <c r="F7" s="630"/>
      <c r="G7" s="630"/>
      <c r="H7" s="630"/>
      <c r="I7" s="630"/>
      <c r="J7" s="630"/>
      <c r="K7" s="630"/>
      <c r="L7" s="630"/>
      <c r="M7" s="630"/>
      <c r="N7" s="630"/>
      <c r="O7" s="630"/>
      <c r="P7" s="630"/>
      <c r="Q7" s="630"/>
      <c r="R7" s="630"/>
      <c r="S7" s="630"/>
      <c r="T7" s="630"/>
      <c r="U7" s="630"/>
      <c r="V7" s="630"/>
      <c r="W7" s="630"/>
      <c r="X7" s="630"/>
      <c r="Y7" s="630"/>
      <c r="Z7" s="630"/>
      <c r="AA7" s="631"/>
      <c r="AB7" s="631"/>
      <c r="AG7" s="629"/>
      <c r="AH7" s="630"/>
      <c r="AI7" s="630"/>
      <c r="AJ7" s="630"/>
      <c r="AK7" s="630"/>
      <c r="AL7" s="630"/>
      <c r="AM7" s="630"/>
      <c r="AN7" s="630"/>
      <c r="AO7" s="630"/>
      <c r="AP7" s="683"/>
      <c r="AQ7" s="683"/>
      <c r="AR7" s="683"/>
      <c r="AS7" s="683"/>
      <c r="AT7" s="630"/>
      <c r="AU7" s="630"/>
      <c r="AV7" s="630"/>
      <c r="AW7" s="630"/>
      <c r="AX7" s="686"/>
      <c r="AY7" s="686"/>
      <c r="AZ7" s="630"/>
      <c r="BA7" s="630"/>
      <c r="BB7" s="630"/>
      <c r="BC7" s="630"/>
      <c r="BD7" s="630"/>
      <c r="BE7" s="630"/>
      <c r="BF7" s="630"/>
    </row>
    <row r="8" spans="2:65" ht="23.15" hidden="1" customHeight="1" thickBot="1" x14ac:dyDescent="0.35">
      <c r="B8" s="658"/>
      <c r="C8" s="633"/>
      <c r="D8" s="633"/>
      <c r="E8" s="633"/>
      <c r="F8" s="633"/>
      <c r="G8" s="633"/>
      <c r="H8" s="633"/>
      <c r="I8" s="633"/>
      <c r="J8" s="633"/>
      <c r="K8" s="633"/>
      <c r="L8" s="633"/>
      <c r="M8" s="633"/>
      <c r="N8" s="633"/>
      <c r="O8" s="633"/>
      <c r="P8" s="633"/>
      <c r="Q8" s="633"/>
      <c r="R8" s="633"/>
      <c r="S8" s="633"/>
      <c r="T8" s="633"/>
      <c r="U8" s="633"/>
      <c r="V8" s="633"/>
      <c r="W8" s="633"/>
      <c r="X8" s="633"/>
      <c r="Y8" s="633"/>
      <c r="Z8" s="633"/>
      <c r="AA8" s="631"/>
      <c r="AB8" s="631"/>
      <c r="AG8" s="632"/>
      <c r="AH8" s="633"/>
      <c r="AI8" s="633"/>
      <c r="AJ8" s="633"/>
      <c r="AK8" s="633"/>
      <c r="AL8" s="633"/>
      <c r="AM8" s="633"/>
      <c r="AN8" s="633"/>
      <c r="AO8" s="633"/>
      <c r="AP8" s="684"/>
      <c r="AQ8" s="684"/>
      <c r="AR8" s="684"/>
      <c r="AS8" s="684"/>
      <c r="AT8" s="633"/>
      <c r="AU8" s="633"/>
      <c r="AV8" s="633"/>
      <c r="AW8" s="633"/>
      <c r="AX8" s="687"/>
      <c r="AY8" s="687"/>
      <c r="AZ8" s="633"/>
      <c r="BA8" s="633"/>
      <c r="BB8" s="633"/>
      <c r="BC8" s="633"/>
      <c r="BD8" s="633"/>
      <c r="BE8" s="633"/>
      <c r="BF8" s="654"/>
    </row>
    <row r="9" spans="2:65" s="643" customFormat="1" ht="63.65" customHeight="1" thickBot="1" x14ac:dyDescent="0.4">
      <c r="B9" s="636" t="s">
        <v>1497</v>
      </c>
      <c r="C9" s="634"/>
      <c r="D9" s="635"/>
      <c r="E9" s="1100" t="s">
        <v>1513</v>
      </c>
      <c r="F9" s="1102"/>
      <c r="G9" s="1102"/>
      <c r="H9" s="1092" t="s">
        <v>1515</v>
      </c>
      <c r="I9" s="1094"/>
      <c r="J9" s="1093"/>
      <c r="K9" s="1092" t="s">
        <v>1499</v>
      </c>
      <c r="L9" s="1093"/>
      <c r="M9" s="1100" t="s">
        <v>157</v>
      </c>
      <c r="N9" s="1101"/>
      <c r="O9" s="1092" t="s">
        <v>158</v>
      </c>
      <c r="P9" s="1094"/>
      <c r="Q9" s="1094"/>
      <c r="R9" s="1093"/>
      <c r="S9" s="1092" t="s">
        <v>223</v>
      </c>
      <c r="T9" s="1093"/>
      <c r="U9" s="637" t="s">
        <v>1503</v>
      </c>
      <c r="V9" s="634"/>
      <c r="W9" s="634"/>
      <c r="X9" s="634"/>
      <c r="Y9" s="634"/>
      <c r="Z9" s="638" t="s">
        <v>1516</v>
      </c>
      <c r="AA9" s="638" t="s">
        <v>164</v>
      </c>
      <c r="AB9" s="638" t="s">
        <v>165</v>
      </c>
      <c r="AC9" s="640" t="s">
        <v>1508</v>
      </c>
      <c r="AD9" s="641" t="s">
        <v>1510</v>
      </c>
      <c r="AE9" s="642" t="s">
        <v>1509</v>
      </c>
      <c r="AG9" s="644" t="s">
        <v>1497</v>
      </c>
      <c r="AH9" s="634"/>
      <c r="AI9" s="635"/>
      <c r="AJ9" s="1100" t="s">
        <v>27</v>
      </c>
      <c r="AK9" s="1102"/>
      <c r="AL9" s="1102"/>
      <c r="AM9" s="1092" t="s">
        <v>1515</v>
      </c>
      <c r="AN9" s="1094"/>
      <c r="AO9" s="1093"/>
      <c r="AP9" s="1092" t="s">
        <v>1500</v>
      </c>
      <c r="AQ9" s="1093"/>
      <c r="AR9" s="1092" t="s">
        <v>1501</v>
      </c>
      <c r="AS9" s="1093"/>
      <c r="AT9" s="1092" t="s">
        <v>1502</v>
      </c>
      <c r="AU9" s="1094"/>
      <c r="AV9" s="1094"/>
      <c r="AW9" s="1093"/>
      <c r="AX9" s="1088" t="s">
        <v>65</v>
      </c>
      <c r="AY9" s="1089"/>
      <c r="AZ9" s="637" t="s">
        <v>1498</v>
      </c>
      <c r="BA9" s="634"/>
      <c r="BB9" s="634"/>
      <c r="BC9" s="634"/>
      <c r="BD9" s="634"/>
      <c r="BE9" s="638" t="s">
        <v>1516</v>
      </c>
      <c r="BF9" s="638" t="s">
        <v>1525</v>
      </c>
      <c r="BG9" s="638" t="s">
        <v>165</v>
      </c>
      <c r="BH9" s="639" t="s">
        <v>165</v>
      </c>
      <c r="BI9" s="641" t="s">
        <v>1510</v>
      </c>
      <c r="BJ9" s="641" t="s">
        <v>1511</v>
      </c>
      <c r="BL9" s="643" t="s">
        <v>1544</v>
      </c>
      <c r="BM9" s="643" t="s">
        <v>1545</v>
      </c>
    </row>
    <row r="10" spans="2:65" s="647" customFormat="1" ht="44.5" customHeight="1" x14ac:dyDescent="0.35">
      <c r="B10" s="659" t="str" cm="1">
        <f t="array" ref="B10">IFERROR(INDEX($AD$10:$AD$259, MATCH(0, IF(TRUE=$AC$10:$AC$259, COUNTIF($B$9:B9, $AD$10:$AD$259), ""), 0)),"")</f>
        <v/>
      </c>
      <c r="C10" s="609"/>
      <c r="D10" s="609"/>
      <c r="E10" s="1098" t="str">
        <f>IF(B10="","",IF(ISNA(VLOOKUP($B10,'A-1 On-Site Habitat Baseline'!$D$1:$AV$258,45,FALSE)),"",(VLOOKUP(B10,'A-1 On-Site Habitat Baseline'!$D$1:$AV$258,45,FALSE))))</f>
        <v/>
      </c>
      <c r="F10" s="1098"/>
      <c r="G10" s="1098"/>
      <c r="H10" s="1099"/>
      <c r="I10" s="1099"/>
      <c r="J10" s="1099"/>
      <c r="K10" s="1090" t="str">
        <f>IF(B10="","",IF(ISNA(VLOOKUP($B10,'A-1 On-Site Habitat Baseline'!$D$1:$AV$258,5,FALSE)),"",(VLOOKUP(B10,'A-1 On-Site Habitat Baseline'!$D$1:$AV$258,5,FALSE))))</f>
        <v/>
      </c>
      <c r="L10" s="1090"/>
      <c r="M10" s="1090" t="str">
        <f>IF(B10="","",IF(ISNA(VLOOKUP($B10,'A-1 On-Site Habitat Baseline'!$D$1:$AV$258,16,FALSE)),"",(VLOOKUP(B10,'A-1 On-Site Habitat Baseline'!$D$1:$AV$258,16,FALSE))))</f>
        <v/>
      </c>
      <c r="N10" s="1090"/>
      <c r="O10" s="1098" t="str">
        <f>IF(B10="","",IF(ISNA(VLOOKUP($B10,'A-1 On-Site Habitat Baseline'!$D$1:$AV$258,17,FALSE)),"",(VLOOKUP(B10,'A-1 On-Site Habitat Baseline'!$D$1:$AV$258,17,FALSE))))</f>
        <v/>
      </c>
      <c r="P10" s="1098"/>
      <c r="Q10" s="1098"/>
      <c r="R10" s="1098"/>
      <c r="S10" s="1090" t="str">
        <f>IFERROR(K10-(M10+O10),"")</f>
        <v/>
      </c>
      <c r="T10" s="1098"/>
      <c r="U10" s="1085" t="str">
        <f>IF(OR(E10="",S10=0),"",IF(BM10="No","No",IF(AND(BM10&lt;&gt;"Yes",E10&lt;&gt;""),"No ▲", "Yes ✓")))</f>
        <v/>
      </c>
      <c r="V10" s="1086"/>
      <c r="W10" s="1086"/>
      <c r="X10" s="1086"/>
      <c r="Y10" s="1087"/>
      <c r="Z10" s="625" t="str">
        <f ca="1">IFERROR(IF(LEN(VLOOKUP($B10,'A-1 On-Site Habitat Baseline'!$D$1:$AV$258,23,FALSE))=0,"",IF(B10="","",IF(ISNA(VLOOKUP($B10,'A-1 On-Site Habitat Baseline'!$D$1:$AV$258,23,FALSE)),"",(VLOOKUP(B10,'A-1 On-Site Habitat Baseline'!$D$1:$AV$258,23,FALSE))))),"")</f>
        <v/>
      </c>
      <c r="AA10" s="625" t="str">
        <f ca="1">IFERROR(IF(LEN(VLOOKUP($B10,'A-1 On-Site Habitat Baseline'!$D$1:$AV$258,24,FALSE))=0,"",IF(B10="","",IF(ISNA(VLOOKUP($B10,'A-1 On-Site Habitat Baseline'!$D$1:$AV$258,24,FALSE)),"",(VLOOKUP(B10,'A-1 On-Site Habitat Baseline'!$D$1:$AV$258,24,FALSE))))),"")</f>
        <v/>
      </c>
      <c r="AB10" s="645" t="str">
        <f ca="1">IFERROR(IF(LEN(VLOOKUP($B10,'A-1 On-Site Habitat Baseline'!$D$1:$AV$258,25,FALSE))=0,"",IF(B10="","",IF(ISNA(VLOOKUP($B10,'A-1 On-Site Habitat Baseline'!$D$1:$AV$258,25,FALSE)),"",(VLOOKUP(B10,'A-1 On-Site Habitat Baseline'!$D$1:$AV$258,25,FALSE))))),"")</f>
        <v/>
      </c>
      <c r="AC10" s="646" t="str">
        <f>IF('A-1 On-Site Habitat Baseline'!G11="","", IF('A-1 On-Site Habitat Baseline'!G11="Yes", TRUE, FALSE))</f>
        <v/>
      </c>
      <c r="AD10" s="647">
        <v>1</v>
      </c>
      <c r="AE10" s="646" t="e">
        <f>IF(#REF!="","", IF(#REF!="Yes", TRUE, FALSE))</f>
        <v>#REF!</v>
      </c>
      <c r="AF10" s="646"/>
      <c r="AG10" s="608" t="str" cm="1">
        <f t="array" ref="AG10">IFERROR(INDEX($BI$10:$BI$259, MATCH(0, IF(TRUE=$BH$10:$BH$259, COUNTIF($AG$9:AG9, $BI$10:$BI$259), ""), 0)),"")</f>
        <v/>
      </c>
      <c r="AH10" s="609"/>
      <c r="AI10" s="609"/>
      <c r="AJ10" s="1098" t="str">
        <f>IF(BH10=FALSE,"",IF(ISNA(VLOOKUP(AG10,'C-1 On-Site WaterC'' Baseline'!C$1:D$257,2,FALSE)),"",(VLOOKUP(AG10,'C-1 On-Site WaterC'' Baseline'!C$1:D$257,2,FALSE))))</f>
        <v/>
      </c>
      <c r="AK10" s="1098"/>
      <c r="AL10" s="1098"/>
      <c r="AM10" s="1099"/>
      <c r="AN10" s="1099"/>
      <c r="AO10" s="1099"/>
      <c r="AP10" s="1090" t="str">
        <f>IF(AG10="","",IF(ISNA(VLOOKUP($AG10,'C-1 On-Site WaterC'' Baseline'!C$1:E$257,3,FALSE)),"",(VLOOKUP(AG10,'C-1 On-Site WaterC'' Baseline'!C$1:E$257,3,FALSE))))</f>
        <v/>
      </c>
      <c r="AQ10" s="1090"/>
      <c r="AR10" s="1090" t="str">
        <f>IF(AG10="","",IF(ISNA(VLOOKUP($AG10,'C-1 On-Site WaterC'' Baseline'!C$1:AA$257,19,FALSE)),"",(VLOOKUP(AG10,'C-1 On-Site WaterC'' Baseline'!C$1:AA$257,19,FALSE))))</f>
        <v/>
      </c>
      <c r="AS10" s="1090"/>
      <c r="AT10" s="1090" t="str">
        <f>IF(AG10="","",IF(ISNA(VLOOKUP($AG10,'C-1 On-Site WaterC'' Baseline'!C$1:AA$257,20,FALSE)),"",(VLOOKUP(AG10,'C-1 On-Site WaterC'' Baseline'!C$1:AA$257,20,FALSE))))</f>
        <v/>
      </c>
      <c r="AU10" s="1090"/>
      <c r="AV10" s="1090"/>
      <c r="AW10" s="1090"/>
      <c r="AX10" s="1090" t="str">
        <f>IF(AJ10="","",AP10-(AR10+AT10))</f>
        <v/>
      </c>
      <c r="AY10" s="1090"/>
      <c r="AZ10" s="1085" t="str">
        <f>IF(OR(AJ10="",AX10=0),"",IF(BL10="No","No",IF(AND(BL10&lt;&gt;"Yes",AJ10&lt;&gt;""),"No ▲", "Yes ✓")))</f>
        <v/>
      </c>
      <c r="BA10" s="1086"/>
      <c r="BB10" s="1086"/>
      <c r="BC10" s="1086"/>
      <c r="BD10" s="1087"/>
      <c r="BE10" s="625" t="str">
        <f>IFERROR(IF(LEN(VLOOKUP($AG10,'C-1 On-Site WaterC'' Baseline'!C$1:AE$257,26,FALSE))=0,"",IF(AG10="","",IF(ISNA(VLOOKUP($AG10,'C-1 On-Site WaterC'' Baseline'!C$1:AE$257,26,FALSE)),"",(VLOOKUP(AG10,'C-1 On-Site WaterC'' Baseline'!C$1:AE$257,26,FALSE))))),"")</f>
        <v/>
      </c>
      <c r="BF10" s="625" t="str">
        <f>IFERROR(IF(LEN(VLOOKUP($AG10,'C-1 On-Site WaterC'' Baseline'!C$1:AE$257,27,FALSE))=0,"",IF(AG10="","",IF(ISNA(VLOOKUP($AG10,'C-1 On-Site WaterC'' Baseline'!C$1:AE$257,27,FALSE)),"",(VLOOKUP(AG10,'C-1 On-Site WaterC'' Baseline'!C$1:AE$257,27,FALSE))))),"")</f>
        <v/>
      </c>
      <c r="BG10" s="645" t="str">
        <f>IFERROR(IF(LEN(VLOOKUP($AG10,'C-1 On-Site WaterC'' Baseline'!C$1:AE$257,28,FALSE))=0,"",IF(AG10="","",IF(ISNA(VLOOKUP($AG10,'C-1 On-Site WaterC'' Baseline'!C$1:AE$257,28,FALSE)),"",(VLOOKUP(AG10,'C-1 On-Site WaterC'' Baseline'!C$1:AE$257,28,FALSE))))),"")</f>
        <v/>
      </c>
      <c r="BH10" s="647" t="str">
        <f>IF('C-1 On-Site WaterC'' Baseline'!AU10="","", IF('C-1 On-Site WaterC'' Baseline'!AU10="Yes", TRUE, FALSE))</f>
        <v/>
      </c>
      <c r="BI10" s="647">
        <v>1</v>
      </c>
      <c r="BJ10" s="647" t="e">
        <f>IF(#REF!="","", IF(#REF!="Yes", TRUE, FALSE))</f>
        <v>#REF!</v>
      </c>
      <c r="BK10" s="647" t="str">
        <f>IF(AG10="","",IF(AX10=0,"",IF(AND(AG10&lt;&gt;"",AX10&gt;0,AZ10&lt;&gt;"Yes ✓"),"","Irreplaceable habitat lost, bespoke compensation must be agreed with concenting body ▲")))</f>
        <v/>
      </c>
      <c r="BL10" s="647" t="str">
        <f>IF(AG10="","",IF(LEN(VLOOKUP($AG10,'C-1 On-Site WaterC'' Baseline'!$C$1:$AV$257,25,FALSE))=0,"",VLOOKUP(AG10,'C-1 On-Site WaterC'' Baseline'!$C$1:$AV$257,25,FALSE)))</f>
        <v/>
      </c>
      <c r="BM10" s="647" t="str">
        <f>IF(B10="","",IF(LEN(VLOOKUP($B10,'A-1 On-Site Habitat Baseline'!$D$1:$AV$258,22,FALSE))=0,"",(VLOOKUP(B10,'A-1 On-Site Habitat Baseline'!$D$1:$AV$258,22,FALSE))))</f>
        <v/>
      </c>
    </row>
    <row r="11" spans="2:65" s="649" customFormat="1" ht="44.5" customHeight="1" x14ac:dyDescent="0.3">
      <c r="B11" s="660" t="str" cm="1">
        <f t="array" ref="B11">IFERROR(INDEX($AD$10:$AD$259, MATCH(0, IF(TRUE=$AC$10:$AC$259, COUNTIF($B$9:B10, $AD$10:$AD$259), ""), 0)),"")</f>
        <v/>
      </c>
      <c r="C11" s="611"/>
      <c r="D11" s="611"/>
      <c r="E11" s="1068" t="str">
        <f>IF(B11="","",IF(ISNA(VLOOKUP($B11,'A-1 On-Site Habitat Baseline'!$D$1:$AV$258,45,FALSE)),"",(VLOOKUP(B11,'A-1 On-Site Habitat Baseline'!$D$1:$AV$258,45,FALSE))))</f>
        <v/>
      </c>
      <c r="F11" s="1068"/>
      <c r="G11" s="1068"/>
      <c r="H11" s="1096"/>
      <c r="I11" s="1096"/>
      <c r="J11" s="1096"/>
      <c r="K11" s="1055" t="str">
        <f>IF(B11="","",IF(ISNA(VLOOKUP($B11,'A-1 On-Site Habitat Baseline'!$D$1:$AV$258,5,FALSE)),"",(VLOOKUP(B11,'A-1 On-Site Habitat Baseline'!$D$1:$AV$258,5,FALSE))))</f>
        <v/>
      </c>
      <c r="L11" s="1055"/>
      <c r="M11" s="1055" t="str">
        <f>IF(B11="","",IF(ISNA(VLOOKUP($B11,'A-1 On-Site Habitat Baseline'!$D$1:$AV$258,16,FALSE)),"",(VLOOKUP(B11,'A-1 On-Site Habitat Baseline'!$D$1:$AV$258,16,FALSE))))</f>
        <v/>
      </c>
      <c r="N11" s="1055"/>
      <c r="O11" s="1068" t="str">
        <f>IF(B11="","",IF(ISNA(VLOOKUP($B11,'A-1 On-Site Habitat Baseline'!$D$1:$AV$258,17,FALSE)),"",(VLOOKUP(B11,'A-1 On-Site Habitat Baseline'!$D$1:$AV$258,17,FALSE))))</f>
        <v/>
      </c>
      <c r="P11" s="1068"/>
      <c r="Q11" s="1068"/>
      <c r="R11" s="1068"/>
      <c r="S11" s="1055" t="str">
        <f t="shared" ref="S11:S31" si="0">IFERROR(K11-(M11+O11),"")</f>
        <v/>
      </c>
      <c r="T11" s="1068"/>
      <c r="U11" s="617" t="str">
        <f t="shared" ref="U11:U31" si="1">IF(OR(E11="",S11=0),"",IF(BM11="No","No",IF(AND(BM11&lt;&gt;"Yes",E11&lt;&gt;""),"No ▲", "Yes ✓")))</f>
        <v/>
      </c>
      <c r="V11" s="615"/>
      <c r="W11" s="615"/>
      <c r="X11" s="615"/>
      <c r="Y11" s="615"/>
      <c r="Z11" s="624" t="str">
        <f ca="1">IFERROR(IF(LEN(VLOOKUP($B11,'A-1 On-Site Habitat Baseline'!$D$1:$AV$258,23,FALSE))=0,"",IF(B11="","",IF(ISNA(VLOOKUP($B11,'A-1 On-Site Habitat Baseline'!$D$1:$AV$258,23,FALSE)),"",(VLOOKUP(B11,'A-1 On-Site Habitat Baseline'!$D$1:$AV$258,23,FALSE))))),"")</f>
        <v/>
      </c>
      <c r="AA11" s="624" t="str">
        <f ca="1">IFERROR(IF(LEN(VLOOKUP($B11,'A-1 On-Site Habitat Baseline'!$D$1:$AV$258,24,FALSE))=0,"",IF(B11="","",IF(ISNA(VLOOKUP($B11,'A-1 On-Site Habitat Baseline'!$D$1:$AV$258,24,FALSE)),"",(VLOOKUP(B11,'A-1 On-Site Habitat Baseline'!$D$1:$AV$258,24,FALSE))))),"")</f>
        <v/>
      </c>
      <c r="AB11" s="648" t="str">
        <f ca="1">IFERROR(IF(LEN(VLOOKUP($B11,'A-1 On-Site Habitat Baseline'!$D$1:$AV$258,25,FALSE))=0,"",IF(B11="","",IF(ISNA(VLOOKUP($B11,'A-1 On-Site Habitat Baseline'!$D$1:$AV$258,25,FALSE)),"",(VLOOKUP(B11,'A-1 On-Site Habitat Baseline'!$D$1:$AV$258,25,FALSE))))),"")</f>
        <v/>
      </c>
      <c r="AC11" s="646" t="str">
        <f>IF('A-1 On-Site Habitat Baseline'!G12="","", IF('A-1 On-Site Habitat Baseline'!G12="Yes", TRUE, FALSE))</f>
        <v/>
      </c>
      <c r="AD11" s="647">
        <v>2</v>
      </c>
      <c r="AE11" s="646" t="e">
        <f>IF(#REF!="","", IF(#REF!="Yes", TRUE, FALSE))</f>
        <v>#REF!</v>
      </c>
      <c r="AF11" s="646"/>
      <c r="AG11" s="610" t="str" cm="1">
        <f t="array" ref="AG11">IFERROR(INDEX($BI$10:$BI$259, MATCH(0, IF(TRUE=$BH$10:$BH$259, COUNTIF($AG$9:AG10, $BI$10:$BI$259), ""), 0)),"")</f>
        <v/>
      </c>
      <c r="AH11" s="611"/>
      <c r="AI11" s="611"/>
      <c r="AJ11" s="1068" t="str">
        <f>IF(BH11=FALSE,"",IF(ISNA(VLOOKUP(AG11,'C-1 On-Site WaterC'' Baseline'!C$1:D$257,2,FALSE)),"",(VLOOKUP(AG11,'C-1 On-Site WaterC'' Baseline'!C$1:D$257,2,FALSE))))</f>
        <v/>
      </c>
      <c r="AK11" s="1068"/>
      <c r="AL11" s="1068"/>
      <c r="AM11" s="1096"/>
      <c r="AN11" s="1096"/>
      <c r="AO11" s="1096"/>
      <c r="AP11" s="1055" t="str">
        <f>IF(AG11="","",IF(ISNA(VLOOKUP($AG11,'C-1 On-Site WaterC'' Baseline'!C$1:E$257,3,FALSE)),"",(VLOOKUP(AG11,'C-1 On-Site WaterC'' Baseline'!C$1:E$257,3,FALSE))))</f>
        <v/>
      </c>
      <c r="AQ11" s="1055"/>
      <c r="AR11" s="1052" t="str">
        <f>IF(AG11="","",IF(ISNA(VLOOKUP($AG11,'C-1 On-Site WaterC'' Baseline'!C$1:AA$257,19,FALSE)),"",(VLOOKUP(AG11,'C-1 On-Site WaterC'' Baseline'!C$1:AA$257,19,FALSE))))</f>
        <v/>
      </c>
      <c r="AS11" s="1054"/>
      <c r="AT11" s="1052" t="str">
        <f>IF(AG11="","",IF(ISNA(VLOOKUP($AG11,'C-1 On-Site WaterC'' Baseline'!C$1:AA$257,20,FALSE)),"",(VLOOKUP(AG11,'C-1 On-Site WaterC'' Baseline'!C$1:AA$257,20,FALSE))))</f>
        <v/>
      </c>
      <c r="AU11" s="1053"/>
      <c r="AV11" s="1053"/>
      <c r="AW11" s="1054"/>
      <c r="AX11" s="1055" t="str">
        <f t="shared" ref="AX11:AX31" si="2">IF(AJ11="","",AP11-(AR11+AT11))</f>
        <v/>
      </c>
      <c r="AY11" s="1055"/>
      <c r="AZ11" s="1056" t="str">
        <f t="shared" ref="AZ11:AZ31" si="3">IF(OR(AJ11="",AX11=0),"",IF(BL11="No","No",IF(AND(BL11&lt;&gt;"Yes",AJ11&lt;&gt;""),"No ▲", "Yes ✓")))</f>
        <v/>
      </c>
      <c r="BA11" s="1057"/>
      <c r="BB11" s="1057"/>
      <c r="BC11" s="1057"/>
      <c r="BD11" s="1058"/>
      <c r="BE11" s="650" t="str">
        <f>IFERROR(IF(LEN(VLOOKUP($AG11,'C-1 On-Site WaterC'' Baseline'!C$1:AE$257,26,FALSE))=0,"",IF(AG11="","",IF(ISNA(VLOOKUP($AG11,'C-1 On-Site WaterC'' Baseline'!C$1:AE$257,26,FALSE)),"",(VLOOKUP(AG11,'C-1 On-Site WaterC'' Baseline'!C$1:AE$257,26,FALSE))))),"")</f>
        <v/>
      </c>
      <c r="BF11" s="624" t="str">
        <f>IFERROR(IF(LEN(VLOOKUP($AG11,'C-1 On-Site WaterC'' Baseline'!C$1:AE$257,27,FALSE))=0,"",IF(AG11="","",IF(ISNA(VLOOKUP($AG11,'C-1 On-Site WaterC'' Baseline'!C$1:AE$257,27,FALSE)),"",(VLOOKUP(AG11,'C-1 On-Site WaterC'' Baseline'!C$1:AE$257,27,FALSE))))),"")</f>
        <v/>
      </c>
      <c r="BG11" s="663" t="str">
        <f>IFERROR(IF(LEN(VLOOKUP($AG11,'C-1 On-Site WaterC'' Baseline'!C$1:AE$257,28,FALSE))=0,"",IF(AG11="","",IF(ISNA(VLOOKUP($AG11,'C-1 On-Site WaterC'' Baseline'!C$1:AE$257,28,FALSE)),"",(VLOOKUP(AG11,'C-1 On-Site WaterC'' Baseline'!C$1:AE$257,28,FALSE))))),"")</f>
        <v/>
      </c>
      <c r="BH11" s="647" t="str">
        <f>IF('C-1 On-Site WaterC'' Baseline'!AU11="","", IF('C-1 On-Site WaterC'' Baseline'!AU11="Yes", TRUE, FALSE))</f>
        <v/>
      </c>
      <c r="BI11" s="647">
        <v>2</v>
      </c>
      <c r="BJ11" s="647" t="e">
        <f>IF(#REF!="","", IF(#REF!="Yes", TRUE, FALSE))</f>
        <v>#REF!</v>
      </c>
      <c r="BK11" s="647" t="str">
        <f t="shared" ref="BK11:BK31" si="4">IF(AG11="","",IF(AX11=0,"",IF(AND(AG11&lt;&gt;"",AX11&gt;0,AZ11&lt;&gt;"Yes ✓"),"","Irreplaceable habitat lost, bespoke compensation must be agreed with concenting body ▲")))</f>
        <v/>
      </c>
      <c r="BL11" s="647" t="str">
        <f>IF(AG11="","",IF(LEN(VLOOKUP($AG11,'C-1 On-Site WaterC'' Baseline'!$C$1:$AV$257,25,FALSE))=0,"",VLOOKUP(AG11,'C-1 On-Site WaterC'' Baseline'!$C$1:$AV$257,25,FALSE)))</f>
        <v/>
      </c>
      <c r="BM11" s="647" t="str">
        <f>IF(B11="","",IF(LEN(VLOOKUP($B11,'A-1 On-Site Habitat Baseline'!$D$1:$AV$258,22,FALSE))=0,"",(VLOOKUP(B11,'A-1 On-Site Habitat Baseline'!$D$1:$AV$258,22,FALSE))))</f>
        <v/>
      </c>
    </row>
    <row r="12" spans="2:65" s="649" customFormat="1" ht="44.5" customHeight="1" x14ac:dyDescent="0.3">
      <c r="B12" s="660" t="str" cm="1">
        <f t="array" ref="B12">IFERROR(INDEX($AD$10:$AD$259, MATCH(0, IF(TRUE=$AC$10:$AC$259, COUNTIF($B$9:B11, $AD$10:$AD$259), ""), 0)),"")</f>
        <v/>
      </c>
      <c r="C12" s="611"/>
      <c r="D12" s="611"/>
      <c r="E12" s="1068" t="str">
        <f>IF(B12="","",IF(ISNA(VLOOKUP($B12,'A-1 On-Site Habitat Baseline'!$D$1:$AV$258,45,FALSE)),"",(VLOOKUP(B12,'A-1 On-Site Habitat Baseline'!$D$1:$AV$258,45,FALSE))))</f>
        <v/>
      </c>
      <c r="F12" s="1068"/>
      <c r="G12" s="1068"/>
      <c r="H12" s="1096"/>
      <c r="I12" s="1096"/>
      <c r="J12" s="1096"/>
      <c r="K12" s="1055" t="str">
        <f>IF(B12="","",IF(ISNA(VLOOKUP($B12,'A-1 On-Site Habitat Baseline'!$D$1:$AV$258,5,FALSE)),"",(VLOOKUP(B12,'A-1 On-Site Habitat Baseline'!$D$1:$AV$258,5,FALSE))))</f>
        <v/>
      </c>
      <c r="L12" s="1055"/>
      <c r="M12" s="1055" t="str">
        <f>IF(B12="","",IF(ISNA(VLOOKUP($B12,'A-1 On-Site Habitat Baseline'!$D$1:$AV$258,16,FALSE)),"",(VLOOKUP(B12,'A-1 On-Site Habitat Baseline'!$D$1:$AV$258,16,FALSE))))</f>
        <v/>
      </c>
      <c r="N12" s="1055"/>
      <c r="O12" s="1068" t="str">
        <f>IF(B12="","",IF(ISNA(VLOOKUP($B12,'A-1 On-Site Habitat Baseline'!$D$1:$AV$258,17,FALSE)),"",(VLOOKUP(B12,'A-1 On-Site Habitat Baseline'!$D$1:$AV$258,17,FALSE))))</f>
        <v/>
      </c>
      <c r="P12" s="1068"/>
      <c r="Q12" s="1068"/>
      <c r="R12" s="1068"/>
      <c r="S12" s="1055" t="str">
        <f t="shared" si="0"/>
        <v/>
      </c>
      <c r="T12" s="1068"/>
      <c r="U12" s="617" t="str">
        <f t="shared" si="1"/>
        <v/>
      </c>
      <c r="V12" s="615"/>
      <c r="W12" s="615"/>
      <c r="X12" s="615"/>
      <c r="Y12" s="615"/>
      <c r="Z12" s="650" t="str">
        <f ca="1">IFERROR(IF(LEN(VLOOKUP($B12,'A-1 On-Site Habitat Baseline'!$D$1:$AV$258,23,FALSE))=0,"",IF(B12="","",IF(ISNA(VLOOKUP($B12,'A-1 On-Site Habitat Baseline'!$D$1:$AV$258,23,FALSE)),"",(VLOOKUP(B12,'A-1 On-Site Habitat Baseline'!$D$1:$AV$258,23,FALSE))))),"")</f>
        <v/>
      </c>
      <c r="AA12" s="624" t="str">
        <f ca="1">IFERROR(IF(LEN(VLOOKUP($B12,'A-1 On-Site Habitat Baseline'!$D$1:$AV$258,24,FALSE))=0,"",IF(B12="","",IF(ISNA(VLOOKUP($B12,'A-1 On-Site Habitat Baseline'!$D$1:$AV$258,24,FALSE)),"",(VLOOKUP(B12,'A-1 On-Site Habitat Baseline'!$D$1:$AV$258,24,FALSE))))),"")</f>
        <v/>
      </c>
      <c r="AB12" s="648" t="str">
        <f ca="1">IFERROR(IF(LEN(VLOOKUP($B12,'A-1 On-Site Habitat Baseline'!$D$1:$AV$258,25,FALSE))=0,"",IF(B12="","",IF(ISNA(VLOOKUP($B12,'A-1 On-Site Habitat Baseline'!$D$1:$AV$258,25,FALSE)),"",(VLOOKUP(B12,'A-1 On-Site Habitat Baseline'!$D$1:$AV$258,25,FALSE))))),"")</f>
        <v/>
      </c>
      <c r="AC12" s="646" t="str">
        <f>IF('A-1 On-Site Habitat Baseline'!G13="","", IF('A-1 On-Site Habitat Baseline'!G13="Yes", TRUE, FALSE))</f>
        <v/>
      </c>
      <c r="AD12" s="647">
        <v>3</v>
      </c>
      <c r="AE12" s="646" t="e">
        <f>IF(#REF!="","", IF(#REF!="Yes", TRUE, FALSE))</f>
        <v>#REF!</v>
      </c>
      <c r="AF12" s="646"/>
      <c r="AG12" s="610" t="str" cm="1">
        <f t="array" ref="AG12">IFERROR(INDEX($BI$10:$BI$259, MATCH(0, IF(TRUE=$BH$10:$BH$259, COUNTIF($AG$9:AG11, $BI$10:$BI$259), ""), 0)),"")</f>
        <v/>
      </c>
      <c r="AH12" s="611"/>
      <c r="AI12" s="611"/>
      <c r="AJ12" s="1068" t="str">
        <f>IF(BH12=FALSE,"",IF(ISNA(VLOOKUP(AG12,'C-1 On-Site WaterC'' Baseline'!C$1:D$257,2,FALSE)),"",(VLOOKUP(AG12,'C-1 On-Site WaterC'' Baseline'!C$1:D$257,2,FALSE))))</f>
        <v/>
      </c>
      <c r="AK12" s="1068"/>
      <c r="AL12" s="1068"/>
      <c r="AM12" s="1096"/>
      <c r="AN12" s="1096"/>
      <c r="AO12" s="1096"/>
      <c r="AP12" s="1055" t="str">
        <f>IF(AG12="","",IF(ISNA(VLOOKUP($AG12,'C-1 On-Site WaterC'' Baseline'!C$1:E$257,3,FALSE)),"",(VLOOKUP(AG12,'C-1 On-Site WaterC'' Baseline'!C$1:E$257,3,FALSE))))</f>
        <v/>
      </c>
      <c r="AQ12" s="1055"/>
      <c r="AR12" s="1052" t="str">
        <f>IF(AG12="","",IF(ISNA(VLOOKUP($AG12,'C-1 On-Site WaterC'' Baseline'!C$1:AA$257,19,FALSE)),"",(VLOOKUP(AG12,'C-1 On-Site WaterC'' Baseline'!C$1:AA$257,19,FALSE))))</f>
        <v/>
      </c>
      <c r="AS12" s="1054"/>
      <c r="AT12" s="1052" t="str">
        <f>IF(AG12="","",IF(ISNA(VLOOKUP($AG12,'C-1 On-Site WaterC'' Baseline'!C$1:AA$257,20,FALSE)),"",(VLOOKUP(AG12,'C-1 On-Site WaterC'' Baseline'!C$1:AA$257,20,FALSE))))</f>
        <v/>
      </c>
      <c r="AU12" s="1053"/>
      <c r="AV12" s="1053"/>
      <c r="AW12" s="1054"/>
      <c r="AX12" s="1055" t="str">
        <f t="shared" si="2"/>
        <v/>
      </c>
      <c r="AY12" s="1055"/>
      <c r="AZ12" s="1056" t="str">
        <f t="shared" si="3"/>
        <v/>
      </c>
      <c r="BA12" s="1057"/>
      <c r="BB12" s="1057"/>
      <c r="BC12" s="1057"/>
      <c r="BD12" s="1058"/>
      <c r="BE12" s="650" t="str">
        <f>IFERROR(IF(LEN(VLOOKUP($AG12,'C-1 On-Site WaterC'' Baseline'!C$1:AE$257,26,FALSE))=0,"",IF(AG12="","",IF(ISNA(VLOOKUP($AG12,'C-1 On-Site WaterC'' Baseline'!C$1:AE$257,26,FALSE)),"",(VLOOKUP(AG12,'C-1 On-Site WaterC'' Baseline'!C$1:AE$257,26,FALSE))))),"")</f>
        <v/>
      </c>
      <c r="BF12" s="624" t="str">
        <f>IFERROR(IF(LEN(VLOOKUP($AG12,'C-1 On-Site WaterC'' Baseline'!C$1:AE$257,27,FALSE))=0,"",IF(AG12="","",IF(ISNA(VLOOKUP($AG12,'C-1 On-Site WaterC'' Baseline'!C$1:AE$257,27,FALSE)),"",(VLOOKUP(AG12,'C-1 On-Site WaterC'' Baseline'!C$1:AE$257,27,FALSE))))),"")</f>
        <v/>
      </c>
      <c r="BG12" s="663" t="str">
        <f>IFERROR(IF(LEN(VLOOKUP($AG12,'C-1 On-Site WaterC'' Baseline'!C$1:AE$257,28,FALSE))=0,"",IF(AG12="","",IF(ISNA(VLOOKUP($AG12,'C-1 On-Site WaterC'' Baseline'!C$1:AE$257,28,FALSE)),"",(VLOOKUP(AG12,'C-1 On-Site WaterC'' Baseline'!C$1:AE$257,28,FALSE))))),"")</f>
        <v/>
      </c>
      <c r="BH12" s="647" t="str">
        <f>IF('C-1 On-Site WaterC'' Baseline'!AU12="","", IF('C-1 On-Site WaterC'' Baseline'!AU12="Yes", TRUE, FALSE))</f>
        <v/>
      </c>
      <c r="BI12" s="647">
        <v>3</v>
      </c>
      <c r="BJ12" s="647" t="e">
        <f>IF(#REF!="","", IF(#REF!="Yes", TRUE, FALSE))</f>
        <v>#REF!</v>
      </c>
      <c r="BK12" s="647" t="str">
        <f t="shared" si="4"/>
        <v/>
      </c>
      <c r="BL12" s="647" t="str">
        <f>IF(AG12="","",IF(LEN(VLOOKUP($AG12,'C-1 On-Site WaterC'' Baseline'!$C$1:$AV$257,25,FALSE))=0,"",VLOOKUP(AG12,'C-1 On-Site WaterC'' Baseline'!$C$1:$AV$257,25,FALSE)))</f>
        <v/>
      </c>
      <c r="BM12" s="647" t="str">
        <f>IF(B12="","",IF(LEN(VLOOKUP($B12,'A-1 On-Site Habitat Baseline'!$D$1:$AV$258,22,FALSE))=0,"",(VLOOKUP(B12,'A-1 On-Site Habitat Baseline'!$D$1:$AV$258,22,FALSE))))</f>
        <v/>
      </c>
    </row>
    <row r="13" spans="2:65" s="649" customFormat="1" ht="44.5" customHeight="1" x14ac:dyDescent="0.3">
      <c r="B13" s="660" t="str" cm="1">
        <f t="array" ref="B13">IFERROR(INDEX($AD$10:$AD$259, MATCH(0, IF(TRUE=$AC$10:$AC$259, COUNTIF($B$9:B12, $AD$10:$AD$259), ""), 0)),"")</f>
        <v/>
      </c>
      <c r="C13" s="611"/>
      <c r="D13" s="611"/>
      <c r="E13" s="1068" t="str">
        <f>IF(B13="","",IF(ISNA(VLOOKUP($B13,'A-1 On-Site Habitat Baseline'!$D$1:$AV$258,45,FALSE)),"",(VLOOKUP(B13,'A-1 On-Site Habitat Baseline'!$D$1:$AV$258,45,FALSE))))</f>
        <v/>
      </c>
      <c r="F13" s="1068"/>
      <c r="G13" s="1068"/>
      <c r="H13" s="1096"/>
      <c r="I13" s="1096"/>
      <c r="J13" s="1096"/>
      <c r="K13" s="1055" t="str">
        <f>IF(B13="","",IF(ISNA(VLOOKUP($B13,'A-1 On-Site Habitat Baseline'!$D$1:$AV$258,5,FALSE)),"",(VLOOKUP(B13,'A-1 On-Site Habitat Baseline'!$D$1:$AV$258,5,FALSE))))</f>
        <v/>
      </c>
      <c r="L13" s="1055"/>
      <c r="M13" s="1055" t="str">
        <f>IF(B13="","",IF(ISNA(VLOOKUP($B13,'A-1 On-Site Habitat Baseline'!$D$1:$AV$258,16,FALSE)),"",(VLOOKUP(B13,'A-1 On-Site Habitat Baseline'!$D$1:$AV$258,16,FALSE))))</f>
        <v/>
      </c>
      <c r="N13" s="1055"/>
      <c r="O13" s="1068" t="str">
        <f>IF(B13="","",IF(ISNA(VLOOKUP($B13,'A-1 On-Site Habitat Baseline'!$D$1:$AV$258,17,FALSE)),"",(VLOOKUP(B13,'A-1 On-Site Habitat Baseline'!$D$1:$AV$258,17,FALSE))))</f>
        <v/>
      </c>
      <c r="P13" s="1068"/>
      <c r="Q13" s="1068"/>
      <c r="R13" s="1068"/>
      <c r="S13" s="1055" t="str">
        <f t="shared" si="0"/>
        <v/>
      </c>
      <c r="T13" s="1068"/>
      <c r="U13" s="617" t="str">
        <f t="shared" si="1"/>
        <v/>
      </c>
      <c r="V13" s="615"/>
      <c r="W13" s="615"/>
      <c r="X13" s="615"/>
      <c r="Y13" s="615"/>
      <c r="Z13" s="650" t="str">
        <f ca="1">IFERROR(IF(LEN(VLOOKUP($B13,'A-1 On-Site Habitat Baseline'!$D$1:$AV$258,23,FALSE))=0,"",IF(B13="","",IF(ISNA(VLOOKUP($B13,'A-1 On-Site Habitat Baseline'!$D$1:$AV$258,23,FALSE)),"",(VLOOKUP(B13,'A-1 On-Site Habitat Baseline'!$D$1:$AV$258,23,FALSE))))),"")</f>
        <v/>
      </c>
      <c r="AA13" s="624" t="str">
        <f ca="1">IFERROR(IF(LEN(VLOOKUP($B13,'A-1 On-Site Habitat Baseline'!$D$1:$AV$258,24,FALSE))=0,"",IF(B13="","",IF(ISNA(VLOOKUP($B13,'A-1 On-Site Habitat Baseline'!$D$1:$AV$258,24,FALSE)),"",(VLOOKUP(B13,'A-1 On-Site Habitat Baseline'!$D$1:$AV$258,24,FALSE))))),"")</f>
        <v/>
      </c>
      <c r="AB13" s="648" t="str">
        <f ca="1">IFERROR(IF(LEN(VLOOKUP($B13,'A-1 On-Site Habitat Baseline'!$D$1:$AV$258,25,FALSE))=0,"",IF(B13="","",IF(ISNA(VLOOKUP($B13,'A-1 On-Site Habitat Baseline'!$D$1:$AV$258,25,FALSE)),"",(VLOOKUP(B13,'A-1 On-Site Habitat Baseline'!$D$1:$AV$258,25,FALSE))))),"")</f>
        <v/>
      </c>
      <c r="AC13" s="646" t="str">
        <f>IF('A-1 On-Site Habitat Baseline'!G14="","", IF('A-1 On-Site Habitat Baseline'!G14="Yes", TRUE, FALSE))</f>
        <v/>
      </c>
      <c r="AD13" s="647">
        <v>4</v>
      </c>
      <c r="AE13" s="646" t="e">
        <f>IF(#REF!="","", IF(#REF!="Yes", TRUE, FALSE))</f>
        <v>#REF!</v>
      </c>
      <c r="AF13" s="646"/>
      <c r="AG13" s="610" t="str" cm="1">
        <f t="array" ref="AG13">IFERROR(INDEX($BI$10:$BI$259, MATCH(0, IF(TRUE=$BH$10:$BH$259, COUNTIF($AG$9:AG12, $BI$10:$BI$259), ""), 0)),"")</f>
        <v/>
      </c>
      <c r="AH13" s="611"/>
      <c r="AI13" s="611"/>
      <c r="AJ13" s="1068" t="str">
        <f>IF(BH13=FALSE,"",IF(ISNA(VLOOKUP(AG13,'C-1 On-Site WaterC'' Baseline'!C$1:D$257,2,FALSE)),"",(VLOOKUP(AG13,'C-1 On-Site WaterC'' Baseline'!C$1:D$257,2,FALSE))))</f>
        <v/>
      </c>
      <c r="AK13" s="1068"/>
      <c r="AL13" s="1068"/>
      <c r="AM13" s="1096"/>
      <c r="AN13" s="1096"/>
      <c r="AO13" s="1096"/>
      <c r="AP13" s="1055" t="str">
        <f>IF(AG13="","",IF(ISNA(VLOOKUP($AG13,'C-1 On-Site WaterC'' Baseline'!C$1:E$257,3,FALSE)),"",(VLOOKUP(AG13,'C-1 On-Site WaterC'' Baseline'!C$1:E$257,3,FALSE))))</f>
        <v/>
      </c>
      <c r="AQ13" s="1055"/>
      <c r="AR13" s="1052" t="str">
        <f>IF(AG13="","",IF(ISNA(VLOOKUP($AG13,'C-1 On-Site WaterC'' Baseline'!C$1:AA$257,19,FALSE)),"",(VLOOKUP(AG13,'C-1 On-Site WaterC'' Baseline'!C$1:AA$257,19,FALSE))))</f>
        <v/>
      </c>
      <c r="AS13" s="1054"/>
      <c r="AT13" s="1052" t="str">
        <f>IF(AG13="","",IF(ISNA(VLOOKUP($AG13,'C-1 On-Site WaterC'' Baseline'!C$1:AA$257,20,FALSE)),"",(VLOOKUP(AG13,'C-1 On-Site WaterC'' Baseline'!C$1:AA$257,20,FALSE))))</f>
        <v/>
      </c>
      <c r="AU13" s="1053"/>
      <c r="AV13" s="1053"/>
      <c r="AW13" s="1054"/>
      <c r="AX13" s="1055" t="str">
        <f t="shared" si="2"/>
        <v/>
      </c>
      <c r="AY13" s="1055"/>
      <c r="AZ13" s="1056" t="str">
        <f t="shared" si="3"/>
        <v/>
      </c>
      <c r="BA13" s="1057"/>
      <c r="BB13" s="1057"/>
      <c r="BC13" s="1057"/>
      <c r="BD13" s="1058"/>
      <c r="BE13" s="650" t="str">
        <f>IFERROR(IF(LEN(VLOOKUP($AG13,'C-1 On-Site WaterC'' Baseline'!C$1:AE$257,26,FALSE))=0,"",IF(AG13="","",IF(ISNA(VLOOKUP($AG13,'C-1 On-Site WaterC'' Baseline'!C$1:AE$257,26,FALSE)),"",(VLOOKUP(AG13,'C-1 On-Site WaterC'' Baseline'!C$1:AE$257,26,FALSE))))),"")</f>
        <v/>
      </c>
      <c r="BF13" s="624" t="str">
        <f>IFERROR(IF(LEN(VLOOKUP($AG13,'C-1 On-Site WaterC'' Baseline'!C$1:AE$257,27,FALSE))=0,"",IF(AG13="","",IF(ISNA(VLOOKUP($AG13,'C-1 On-Site WaterC'' Baseline'!C$1:AE$257,27,FALSE)),"",(VLOOKUP(AG13,'C-1 On-Site WaterC'' Baseline'!C$1:AE$257,27,FALSE))))),"")</f>
        <v/>
      </c>
      <c r="BG13" s="663" t="str">
        <f>IFERROR(IF(LEN(VLOOKUP($AG13,'C-1 On-Site WaterC'' Baseline'!C$1:AE$257,28,FALSE))=0,"",IF(AG13="","",IF(ISNA(VLOOKUP($AG13,'C-1 On-Site WaterC'' Baseline'!C$1:AE$257,28,FALSE)),"",(VLOOKUP(AG13,'C-1 On-Site WaterC'' Baseline'!C$1:AE$257,28,FALSE))))),"")</f>
        <v/>
      </c>
      <c r="BH13" s="647" t="str">
        <f>IF('C-1 On-Site WaterC'' Baseline'!AU13="","", IF('C-1 On-Site WaterC'' Baseline'!AU13="Yes", TRUE, FALSE))</f>
        <v/>
      </c>
      <c r="BI13" s="647">
        <v>4</v>
      </c>
      <c r="BJ13" s="647" t="e">
        <f>IF(#REF!="","", IF(#REF!="Yes", TRUE, FALSE))</f>
        <v>#REF!</v>
      </c>
      <c r="BK13" s="647" t="str">
        <f t="shared" si="4"/>
        <v/>
      </c>
      <c r="BL13" s="647" t="str">
        <f>IF(AG13="","",IF(LEN(VLOOKUP($AG13,'C-1 On-Site WaterC'' Baseline'!$C$1:$AV$257,25,FALSE))=0,"",VLOOKUP(AG13,'C-1 On-Site WaterC'' Baseline'!$C$1:$AV$257,25,FALSE)))</f>
        <v/>
      </c>
      <c r="BM13" s="647" t="str">
        <f>IF(B13="","",IF(LEN(VLOOKUP($B13,'A-1 On-Site Habitat Baseline'!$D$1:$AV$258,22,FALSE))=0,"",(VLOOKUP(B13,'A-1 On-Site Habitat Baseline'!$D$1:$AV$258,22,FALSE))))</f>
        <v/>
      </c>
    </row>
    <row r="14" spans="2:65" s="649" customFormat="1" ht="44.5" customHeight="1" x14ac:dyDescent="0.3">
      <c r="B14" s="660" t="str" cm="1">
        <f t="array" ref="B14">IFERROR(INDEX($AD$10:$AD$259, MATCH(0, IF(TRUE=$AC$10:$AC$259, COUNTIF($B$9:B13, $AD$10:$AD$259), ""), 0)),"")</f>
        <v/>
      </c>
      <c r="C14" s="611"/>
      <c r="D14" s="611"/>
      <c r="E14" s="1068" t="str">
        <f>IF(B14="","",IF(ISNA(VLOOKUP($B14,'A-1 On-Site Habitat Baseline'!$D$1:$AV$258,45,FALSE)),"",(VLOOKUP(B14,'A-1 On-Site Habitat Baseline'!$D$1:$AV$258,45,FALSE))))</f>
        <v/>
      </c>
      <c r="F14" s="1068"/>
      <c r="G14" s="1068"/>
      <c r="H14" s="1096"/>
      <c r="I14" s="1096"/>
      <c r="J14" s="1096"/>
      <c r="K14" s="1055" t="str">
        <f>IF(B14="","",IF(ISNA(VLOOKUP($B14,'A-1 On-Site Habitat Baseline'!$D$1:$AV$258,5,FALSE)),"",(VLOOKUP(B14,'A-1 On-Site Habitat Baseline'!$D$1:$AV$258,5,FALSE))))</f>
        <v/>
      </c>
      <c r="L14" s="1055"/>
      <c r="M14" s="1055" t="str">
        <f>IF(B14="","",IF(ISNA(VLOOKUP($B14,'A-1 On-Site Habitat Baseline'!$D$1:$AV$258,16,FALSE)),"",(VLOOKUP(B14,'A-1 On-Site Habitat Baseline'!$D$1:$AV$258,16,FALSE))))</f>
        <v/>
      </c>
      <c r="N14" s="1055"/>
      <c r="O14" s="1068" t="str">
        <f>IF(B14="","",IF(ISNA(VLOOKUP($B14,'A-1 On-Site Habitat Baseline'!$D$1:$AV$258,17,FALSE)),"",(VLOOKUP(B14,'A-1 On-Site Habitat Baseline'!$D$1:$AV$258,17,FALSE))))</f>
        <v/>
      </c>
      <c r="P14" s="1068"/>
      <c r="Q14" s="1068"/>
      <c r="R14" s="1068"/>
      <c r="S14" s="1055" t="str">
        <f t="shared" si="0"/>
        <v/>
      </c>
      <c r="T14" s="1068"/>
      <c r="U14" s="617" t="str">
        <f t="shared" si="1"/>
        <v/>
      </c>
      <c r="V14" s="615"/>
      <c r="W14" s="615"/>
      <c r="X14" s="615"/>
      <c r="Y14" s="615"/>
      <c r="Z14" s="650" t="str">
        <f ca="1">IFERROR(IF(LEN(VLOOKUP($B14,'A-1 On-Site Habitat Baseline'!$D$1:$AV$258,23,FALSE))=0,"",IF(B14="","",IF(ISNA(VLOOKUP($B14,'A-1 On-Site Habitat Baseline'!$D$1:$AV$258,23,FALSE)),"",(VLOOKUP(B14,'A-1 On-Site Habitat Baseline'!$D$1:$AV$258,23,FALSE))))),"")</f>
        <v/>
      </c>
      <c r="AA14" s="624" t="str">
        <f ca="1">IFERROR(IF(LEN(VLOOKUP($B14,'A-1 On-Site Habitat Baseline'!$D$1:$AV$258,24,FALSE))=0,"",IF(B14="","",IF(ISNA(VLOOKUP($B14,'A-1 On-Site Habitat Baseline'!$D$1:$AV$258,24,FALSE)),"",(VLOOKUP(B14,'A-1 On-Site Habitat Baseline'!$D$1:$AV$258,24,FALSE))))),"")</f>
        <v/>
      </c>
      <c r="AB14" s="648" t="str">
        <f ca="1">IFERROR(IF(LEN(VLOOKUP($B14,'A-1 On-Site Habitat Baseline'!$D$1:$AV$258,25,FALSE))=0,"",IF(B14="","",IF(ISNA(VLOOKUP($B14,'A-1 On-Site Habitat Baseline'!$D$1:$AV$258,25,FALSE)),"",(VLOOKUP(B14,'A-1 On-Site Habitat Baseline'!$D$1:$AV$258,25,FALSE))))),"")</f>
        <v/>
      </c>
      <c r="AC14" s="646" t="str">
        <f>IF('A-1 On-Site Habitat Baseline'!G15="","", IF('A-1 On-Site Habitat Baseline'!G15="Yes", TRUE, FALSE))</f>
        <v/>
      </c>
      <c r="AD14" s="647">
        <v>5</v>
      </c>
      <c r="AE14" s="646" t="e">
        <f>IF(#REF!="","", IF(#REF!="Yes", TRUE, FALSE))</f>
        <v>#REF!</v>
      </c>
      <c r="AF14" s="646"/>
      <c r="AG14" s="610" t="str" cm="1">
        <f t="array" ref="AG14">IFERROR(INDEX($BI$10:$BI$259, MATCH(0, IF(TRUE=$BH$10:$BH$259, COUNTIF($AG$9:AG13, $BI$10:$BI$259), ""), 0)),"")</f>
        <v/>
      </c>
      <c r="AH14" s="611"/>
      <c r="AI14" s="611"/>
      <c r="AJ14" s="1068" t="str">
        <f>IF(BH14=FALSE,"",IF(ISNA(VLOOKUP(AG14,'C-1 On-Site WaterC'' Baseline'!C$1:D$257,2,FALSE)),"",(VLOOKUP(AG14,'C-1 On-Site WaterC'' Baseline'!C$1:D$257,2,FALSE))))</f>
        <v/>
      </c>
      <c r="AK14" s="1068"/>
      <c r="AL14" s="1068"/>
      <c r="AM14" s="1096"/>
      <c r="AN14" s="1096"/>
      <c r="AO14" s="1096"/>
      <c r="AP14" s="1055" t="str">
        <f>IF(AG14="","",IF(ISNA(VLOOKUP($AG14,'C-1 On-Site WaterC'' Baseline'!C$1:E$257,3,FALSE)),"",(VLOOKUP(AG14,'C-1 On-Site WaterC'' Baseline'!C$1:E$257,3,FALSE))))</f>
        <v/>
      </c>
      <c r="AQ14" s="1055"/>
      <c r="AR14" s="1052" t="str">
        <f>IF(AG14="","",IF(ISNA(VLOOKUP($AG14,'C-1 On-Site WaterC'' Baseline'!C$1:AA$257,19,FALSE)),"",(VLOOKUP(AG14,'C-1 On-Site WaterC'' Baseline'!C$1:AA$257,19,FALSE))))</f>
        <v/>
      </c>
      <c r="AS14" s="1054"/>
      <c r="AT14" s="1052" t="str">
        <f>IF(AG14="","",IF(ISNA(VLOOKUP($AG14,'C-1 On-Site WaterC'' Baseline'!C$1:AA$257,20,FALSE)),"",(VLOOKUP(AG14,'C-1 On-Site WaterC'' Baseline'!C$1:AA$257,20,FALSE))))</f>
        <v/>
      </c>
      <c r="AU14" s="1053"/>
      <c r="AV14" s="1053"/>
      <c r="AW14" s="1054"/>
      <c r="AX14" s="1055" t="str">
        <f t="shared" si="2"/>
        <v/>
      </c>
      <c r="AY14" s="1055"/>
      <c r="AZ14" s="1056" t="str">
        <f t="shared" si="3"/>
        <v/>
      </c>
      <c r="BA14" s="1057"/>
      <c r="BB14" s="1057"/>
      <c r="BC14" s="1057"/>
      <c r="BD14" s="1058"/>
      <c r="BE14" s="650" t="str">
        <f>IFERROR(IF(LEN(VLOOKUP($AG14,'C-1 On-Site WaterC'' Baseline'!C$1:AE$257,26,FALSE))=0,"",IF(AG14="","",IF(ISNA(VLOOKUP($AG14,'C-1 On-Site WaterC'' Baseline'!C$1:AE$257,26,FALSE)),"",(VLOOKUP(AG14,'C-1 On-Site WaterC'' Baseline'!C$1:AE$257,26,FALSE))))),"")</f>
        <v/>
      </c>
      <c r="BF14" s="624" t="str">
        <f>IFERROR(IF(LEN(VLOOKUP($AG14,'C-1 On-Site WaterC'' Baseline'!C$1:AE$257,27,FALSE))=0,"",IF(AG14="","",IF(ISNA(VLOOKUP($AG14,'C-1 On-Site WaterC'' Baseline'!C$1:AE$257,27,FALSE)),"",(VLOOKUP(AG14,'C-1 On-Site WaterC'' Baseline'!C$1:AE$257,27,FALSE))))),"")</f>
        <v/>
      </c>
      <c r="BG14" s="663" t="str">
        <f>IFERROR(IF(LEN(VLOOKUP($AG14,'C-1 On-Site WaterC'' Baseline'!C$1:AE$257,28,FALSE))=0,"",IF(AG14="","",IF(ISNA(VLOOKUP($AG14,'C-1 On-Site WaterC'' Baseline'!C$1:AE$257,28,FALSE)),"",(VLOOKUP(AG14,'C-1 On-Site WaterC'' Baseline'!C$1:AE$257,28,FALSE))))),"")</f>
        <v/>
      </c>
      <c r="BH14" s="647" t="str">
        <f>IF('C-1 On-Site WaterC'' Baseline'!AU14="","", IF('C-1 On-Site WaterC'' Baseline'!AU14="Yes", TRUE, FALSE))</f>
        <v/>
      </c>
      <c r="BI14" s="647">
        <v>5</v>
      </c>
      <c r="BJ14" s="647" t="e">
        <f>IF(#REF!="","", IF(#REF!="Yes", TRUE, FALSE))</f>
        <v>#REF!</v>
      </c>
      <c r="BK14" s="647" t="str">
        <f t="shared" si="4"/>
        <v/>
      </c>
      <c r="BL14" s="647" t="str">
        <f>IF(AG14="","",IF(LEN(VLOOKUP($AG14,'C-1 On-Site WaterC'' Baseline'!$C$1:$AV$257,25,FALSE))=0,"",VLOOKUP(AG14,'C-1 On-Site WaterC'' Baseline'!$C$1:$AV$257,25,FALSE)))</f>
        <v/>
      </c>
      <c r="BM14" s="647" t="str">
        <f>IF(B14="","",IF(LEN(VLOOKUP($B14,'A-1 On-Site Habitat Baseline'!$D$1:$AV$258,22,FALSE))=0,"",(VLOOKUP(B14,'A-1 On-Site Habitat Baseline'!$D$1:$AV$258,22,FALSE))))</f>
        <v/>
      </c>
    </row>
    <row r="15" spans="2:65" s="649" customFormat="1" ht="44.5" customHeight="1" x14ac:dyDescent="0.3">
      <c r="B15" s="660" t="str" cm="1">
        <f t="array" ref="B15">IFERROR(INDEX($AD$10:$AD$259, MATCH(0, IF(TRUE=$AC$10:$AC$259, COUNTIF($B$9:B14, $AD$10:$AD$259), ""), 0)),"")</f>
        <v/>
      </c>
      <c r="C15" s="611"/>
      <c r="D15" s="611"/>
      <c r="E15" s="1068" t="str">
        <f>IF(B15="","",IF(ISNA(VLOOKUP($B15,'A-1 On-Site Habitat Baseline'!$D$1:$AV$258,45,FALSE)),"",(VLOOKUP(B15,'A-1 On-Site Habitat Baseline'!$D$1:$AV$258,45,FALSE))))</f>
        <v/>
      </c>
      <c r="F15" s="1068"/>
      <c r="G15" s="1068"/>
      <c r="H15" s="1096"/>
      <c r="I15" s="1096"/>
      <c r="J15" s="1096"/>
      <c r="K15" s="1055" t="str">
        <f>IF(B15="","",IF(ISNA(VLOOKUP($B15,'A-1 On-Site Habitat Baseline'!$D$1:$AV$258,5,FALSE)),"",(VLOOKUP(B15,'A-1 On-Site Habitat Baseline'!$D$1:$AV$258,5,FALSE))))</f>
        <v/>
      </c>
      <c r="L15" s="1055"/>
      <c r="M15" s="1055" t="str">
        <f>IF(B15="","",IF(ISNA(VLOOKUP($B15,'A-1 On-Site Habitat Baseline'!$D$1:$AV$258,16,FALSE)),"",(VLOOKUP(B15,'A-1 On-Site Habitat Baseline'!$D$1:$AV$258,16,FALSE))))</f>
        <v/>
      </c>
      <c r="N15" s="1055"/>
      <c r="O15" s="1068" t="str">
        <f>IF(B15="","",IF(ISNA(VLOOKUP($B15,'A-1 On-Site Habitat Baseline'!$D$1:$AV$258,17,FALSE)),"",(VLOOKUP(B15,'A-1 On-Site Habitat Baseline'!$D$1:$AV$258,17,FALSE))))</f>
        <v/>
      </c>
      <c r="P15" s="1068"/>
      <c r="Q15" s="1068"/>
      <c r="R15" s="1068"/>
      <c r="S15" s="1055" t="str">
        <f t="shared" si="0"/>
        <v/>
      </c>
      <c r="T15" s="1068"/>
      <c r="U15" s="617" t="str">
        <f t="shared" si="1"/>
        <v/>
      </c>
      <c r="V15" s="615"/>
      <c r="W15" s="615"/>
      <c r="X15" s="615"/>
      <c r="Y15" s="615"/>
      <c r="Z15" s="650" t="str">
        <f ca="1">IFERROR(IF(LEN(VLOOKUP($B15,'A-1 On-Site Habitat Baseline'!$D$1:$AV$258,23,FALSE))=0,"",IF(B15="","",IF(ISNA(VLOOKUP($B15,'A-1 On-Site Habitat Baseline'!$D$1:$AV$258,23,FALSE)),"",(VLOOKUP(B15,'A-1 On-Site Habitat Baseline'!$D$1:$AV$258,23,FALSE))))),"")</f>
        <v/>
      </c>
      <c r="AA15" s="624" t="str">
        <f ca="1">IFERROR(IF(LEN(VLOOKUP($B15,'A-1 On-Site Habitat Baseline'!$D$1:$AV$258,24,FALSE))=0,"",IF(B15="","",IF(ISNA(VLOOKUP($B15,'A-1 On-Site Habitat Baseline'!$D$1:$AV$258,24,FALSE)),"",(VLOOKUP(B15,'A-1 On-Site Habitat Baseline'!$D$1:$AV$258,24,FALSE))))),"")</f>
        <v/>
      </c>
      <c r="AB15" s="648" t="str">
        <f ca="1">IFERROR(IF(LEN(VLOOKUP($B15,'A-1 On-Site Habitat Baseline'!$D$1:$AV$258,25,FALSE))=0,"",IF(B15="","",IF(ISNA(VLOOKUP($B15,'A-1 On-Site Habitat Baseline'!$D$1:$AV$258,25,FALSE)),"",(VLOOKUP(B15,'A-1 On-Site Habitat Baseline'!$D$1:$AV$258,25,FALSE))))),"")</f>
        <v/>
      </c>
      <c r="AC15" s="646" t="str">
        <f>IF('A-1 On-Site Habitat Baseline'!G16="","", IF('A-1 On-Site Habitat Baseline'!G16="Yes", TRUE, FALSE))</f>
        <v/>
      </c>
      <c r="AD15" s="647">
        <v>6</v>
      </c>
      <c r="AE15" s="646" t="e">
        <f>IF(#REF!="","", IF(#REF!="Yes", TRUE, FALSE))</f>
        <v>#REF!</v>
      </c>
      <c r="AF15" s="646"/>
      <c r="AG15" s="610" t="str" cm="1">
        <f t="array" ref="AG15">IFERROR(INDEX($BI$10:$BI$259, MATCH(0, IF(TRUE=$BH$10:$BH$259, COUNTIF($AG$9:AG14, $BI$10:$BI$259), ""), 0)),"")</f>
        <v/>
      </c>
      <c r="AH15" s="611"/>
      <c r="AI15" s="611"/>
      <c r="AJ15" s="1068" t="str">
        <f>IF(BH15=FALSE,"",IF(ISNA(VLOOKUP(AG15,'C-1 On-Site WaterC'' Baseline'!C$1:D$257,2,FALSE)),"",(VLOOKUP(AG15,'C-1 On-Site WaterC'' Baseline'!C$1:D$257,2,FALSE))))</f>
        <v/>
      </c>
      <c r="AK15" s="1068"/>
      <c r="AL15" s="1068"/>
      <c r="AM15" s="1096"/>
      <c r="AN15" s="1096"/>
      <c r="AO15" s="1096"/>
      <c r="AP15" s="1055" t="str">
        <f>IF(AG15="","",IF(ISNA(VLOOKUP($AG15,'C-1 On-Site WaterC'' Baseline'!C$1:E$257,3,FALSE)),"",(VLOOKUP(AG15,'C-1 On-Site WaterC'' Baseline'!C$1:E$257,3,FALSE))))</f>
        <v/>
      </c>
      <c r="AQ15" s="1055"/>
      <c r="AR15" s="1052" t="str">
        <f>IF(AG15="","",IF(ISNA(VLOOKUP($AG15,'C-1 On-Site WaterC'' Baseline'!C$1:AA$257,19,FALSE)),"",(VLOOKUP(AG15,'C-1 On-Site WaterC'' Baseline'!C$1:AA$257,19,FALSE))))</f>
        <v/>
      </c>
      <c r="AS15" s="1054"/>
      <c r="AT15" s="1052" t="str">
        <f>IF(AG15="","",IF(ISNA(VLOOKUP($AG15,'C-1 On-Site WaterC'' Baseline'!C$1:AA$257,20,FALSE)),"",(VLOOKUP(AG15,'C-1 On-Site WaterC'' Baseline'!C$1:AA$257,20,FALSE))))</f>
        <v/>
      </c>
      <c r="AU15" s="1053"/>
      <c r="AV15" s="1053"/>
      <c r="AW15" s="1054"/>
      <c r="AX15" s="1055" t="str">
        <f t="shared" si="2"/>
        <v/>
      </c>
      <c r="AY15" s="1055"/>
      <c r="AZ15" s="1056" t="str">
        <f t="shared" si="3"/>
        <v/>
      </c>
      <c r="BA15" s="1057"/>
      <c r="BB15" s="1057"/>
      <c r="BC15" s="1057"/>
      <c r="BD15" s="1058"/>
      <c r="BE15" s="650" t="str">
        <f>IFERROR(IF(LEN(VLOOKUP($AG15,'C-1 On-Site WaterC'' Baseline'!C$1:AE$257,26,FALSE))=0,"",IF(AG15="","",IF(ISNA(VLOOKUP($AG15,'C-1 On-Site WaterC'' Baseline'!C$1:AE$257,26,FALSE)),"",(VLOOKUP(AG15,'C-1 On-Site WaterC'' Baseline'!C$1:AE$257,26,FALSE))))),"")</f>
        <v/>
      </c>
      <c r="BF15" s="624" t="str">
        <f>IFERROR(IF(LEN(VLOOKUP($AG15,'C-1 On-Site WaterC'' Baseline'!C$1:AE$257,27,FALSE))=0,"",IF(AG15="","",IF(ISNA(VLOOKUP($AG15,'C-1 On-Site WaterC'' Baseline'!C$1:AE$257,27,FALSE)),"",(VLOOKUP(AG15,'C-1 On-Site WaterC'' Baseline'!C$1:AE$257,27,FALSE))))),"")</f>
        <v/>
      </c>
      <c r="BG15" s="663" t="str">
        <f>IFERROR(IF(LEN(VLOOKUP($AG15,'C-1 On-Site WaterC'' Baseline'!C$1:AE$257,28,FALSE))=0,"",IF(AG15="","",IF(ISNA(VLOOKUP($AG15,'C-1 On-Site WaterC'' Baseline'!C$1:AE$257,28,FALSE)),"",(VLOOKUP(AG15,'C-1 On-Site WaterC'' Baseline'!C$1:AE$257,28,FALSE))))),"")</f>
        <v/>
      </c>
      <c r="BH15" s="647" t="str">
        <f>IF('C-1 On-Site WaterC'' Baseline'!AU15="","", IF('C-1 On-Site WaterC'' Baseline'!AU15="Yes", TRUE, FALSE))</f>
        <v/>
      </c>
      <c r="BI15" s="647">
        <v>6</v>
      </c>
      <c r="BJ15" s="647" t="e">
        <f>IF(#REF!="","", IF(#REF!="Yes", TRUE, FALSE))</f>
        <v>#REF!</v>
      </c>
      <c r="BK15" s="647" t="str">
        <f t="shared" si="4"/>
        <v/>
      </c>
      <c r="BL15" s="647" t="str">
        <f>IF(AG15="","",IF(LEN(VLOOKUP($AG15,'C-1 On-Site WaterC'' Baseline'!$C$1:$AV$257,25,FALSE))=0,"",VLOOKUP(AG15,'C-1 On-Site WaterC'' Baseline'!$C$1:$AV$257,25,FALSE)))</f>
        <v/>
      </c>
      <c r="BM15" s="647" t="str">
        <f>IF(B15="","",IF(LEN(VLOOKUP($B15,'A-1 On-Site Habitat Baseline'!$D$1:$AV$258,22,FALSE))=0,"",(VLOOKUP(B15,'A-1 On-Site Habitat Baseline'!$D$1:$AV$258,22,FALSE))))</f>
        <v/>
      </c>
    </row>
    <row r="16" spans="2:65" s="649" customFormat="1" ht="44.5" customHeight="1" x14ac:dyDescent="0.3">
      <c r="B16" s="660" t="str" cm="1">
        <f t="array" ref="B16">IFERROR(INDEX($AD$10:$AD$259, MATCH(0, IF(TRUE=$AC$10:$AC$259, COUNTIF($B$9:B15, $AD$10:$AD$259), ""), 0)),"")</f>
        <v/>
      </c>
      <c r="C16" s="611"/>
      <c r="D16" s="611"/>
      <c r="E16" s="1068" t="str">
        <f>IF(B16="","",IF(ISNA(VLOOKUP($B16,'A-1 On-Site Habitat Baseline'!$D$1:$AV$258,45,FALSE)),"",(VLOOKUP(B16,'A-1 On-Site Habitat Baseline'!$D$1:$AV$258,45,FALSE))))</f>
        <v/>
      </c>
      <c r="F16" s="1068"/>
      <c r="G16" s="1068"/>
      <c r="H16" s="1096"/>
      <c r="I16" s="1096"/>
      <c r="J16" s="1096"/>
      <c r="K16" s="1055" t="str">
        <f>IF(B16="","",IF(ISNA(VLOOKUP($B16,'A-1 On-Site Habitat Baseline'!$D$1:$AV$258,5,FALSE)),"",(VLOOKUP(B16,'A-1 On-Site Habitat Baseline'!$D$1:$AV$258,5,FALSE))))</f>
        <v/>
      </c>
      <c r="L16" s="1055"/>
      <c r="M16" s="1055" t="str">
        <f>IF(B16="","",IF(ISNA(VLOOKUP($B16,'A-1 On-Site Habitat Baseline'!$D$1:$AV$258,16,FALSE)),"",(VLOOKUP(B16,'A-1 On-Site Habitat Baseline'!$D$1:$AV$258,16,FALSE))))</f>
        <v/>
      </c>
      <c r="N16" s="1055"/>
      <c r="O16" s="1068" t="str">
        <f>IF(B16="","",IF(ISNA(VLOOKUP($B16,'A-1 On-Site Habitat Baseline'!$D$1:$AV$258,17,FALSE)),"",(VLOOKUP(B16,'A-1 On-Site Habitat Baseline'!$D$1:$AV$258,17,FALSE))))</f>
        <v/>
      </c>
      <c r="P16" s="1068"/>
      <c r="Q16" s="1068"/>
      <c r="R16" s="1068"/>
      <c r="S16" s="1055" t="str">
        <f t="shared" si="0"/>
        <v/>
      </c>
      <c r="T16" s="1068"/>
      <c r="U16" s="617" t="str">
        <f t="shared" si="1"/>
        <v/>
      </c>
      <c r="V16" s="615"/>
      <c r="W16" s="615"/>
      <c r="X16" s="615"/>
      <c r="Y16" s="615"/>
      <c r="Z16" s="650" t="str">
        <f ca="1">IFERROR(IF(LEN(VLOOKUP($B16,'A-1 On-Site Habitat Baseline'!$D$1:$AV$258,23,FALSE))=0,"",IF(B16="","",IF(ISNA(VLOOKUP($B16,'A-1 On-Site Habitat Baseline'!$D$1:$AV$258,23,FALSE)),"",(VLOOKUP(B16,'A-1 On-Site Habitat Baseline'!$D$1:$AV$258,23,FALSE))))),"")</f>
        <v/>
      </c>
      <c r="AA16" s="624" t="str">
        <f ca="1">IFERROR(IF(LEN(VLOOKUP($B16,'A-1 On-Site Habitat Baseline'!$D$1:$AV$258,24,FALSE))=0,"",IF(B16="","",IF(ISNA(VLOOKUP($B16,'A-1 On-Site Habitat Baseline'!$D$1:$AV$258,24,FALSE)),"",(VLOOKUP(B16,'A-1 On-Site Habitat Baseline'!$D$1:$AV$258,24,FALSE))))),"")</f>
        <v/>
      </c>
      <c r="AB16" s="648" t="str">
        <f ca="1">IFERROR(IF(LEN(VLOOKUP($B16,'A-1 On-Site Habitat Baseline'!$D$1:$AV$258,25,FALSE))=0,"",IF(B16="","",IF(ISNA(VLOOKUP($B16,'A-1 On-Site Habitat Baseline'!$D$1:$AV$258,25,FALSE)),"",(VLOOKUP(B16,'A-1 On-Site Habitat Baseline'!$D$1:$AV$258,25,FALSE))))),"")</f>
        <v/>
      </c>
      <c r="AC16" s="646" t="str">
        <f>IF('A-1 On-Site Habitat Baseline'!G17="","", IF('A-1 On-Site Habitat Baseline'!G17="Yes", TRUE, FALSE))</f>
        <v/>
      </c>
      <c r="AD16" s="647">
        <v>7</v>
      </c>
      <c r="AE16" s="646" t="e">
        <f>IF(#REF!="","", IF(#REF!="Yes", TRUE, FALSE))</f>
        <v>#REF!</v>
      </c>
      <c r="AF16" s="646"/>
      <c r="AG16" s="610" t="str" cm="1">
        <f t="array" ref="AG16">IFERROR(INDEX($BI$10:$BI$259, MATCH(0, IF(TRUE=$BH$10:$BH$259, COUNTIF($AG$9:AG15, $BI$10:$BI$259), ""), 0)),"")</f>
        <v/>
      </c>
      <c r="AH16" s="611"/>
      <c r="AI16" s="611"/>
      <c r="AJ16" s="1068" t="str">
        <f>IF(BH16=FALSE,"",IF(ISNA(VLOOKUP(AG16,'C-1 On-Site WaterC'' Baseline'!C$1:D$257,2,FALSE)),"",(VLOOKUP(AG16,'C-1 On-Site WaterC'' Baseline'!C$1:D$257,2,FALSE))))</f>
        <v/>
      </c>
      <c r="AK16" s="1068"/>
      <c r="AL16" s="1068"/>
      <c r="AM16" s="1096"/>
      <c r="AN16" s="1096"/>
      <c r="AO16" s="1096"/>
      <c r="AP16" s="1055" t="str">
        <f>IF(AG16="","",IF(ISNA(VLOOKUP($AG16,'C-1 On-Site WaterC'' Baseline'!C$1:E$257,3,FALSE)),"",(VLOOKUP(AG16,'C-1 On-Site WaterC'' Baseline'!C$1:E$257,3,FALSE))))</f>
        <v/>
      </c>
      <c r="AQ16" s="1055"/>
      <c r="AR16" s="1052" t="str">
        <f>IF(AG16="","",IF(ISNA(VLOOKUP($AG16,'C-1 On-Site WaterC'' Baseline'!C$1:AA$257,19,FALSE)),"",(VLOOKUP(AG16,'C-1 On-Site WaterC'' Baseline'!C$1:AA$257,19,FALSE))))</f>
        <v/>
      </c>
      <c r="AS16" s="1054"/>
      <c r="AT16" s="1052" t="str">
        <f>IF(AG16="","",IF(ISNA(VLOOKUP($AG16,'C-1 On-Site WaterC'' Baseline'!C$1:AA$257,20,FALSE)),"",(VLOOKUP(AG16,'C-1 On-Site WaterC'' Baseline'!C$1:AA$257,20,FALSE))))</f>
        <v/>
      </c>
      <c r="AU16" s="1053"/>
      <c r="AV16" s="1053"/>
      <c r="AW16" s="1054"/>
      <c r="AX16" s="1055" t="str">
        <f t="shared" si="2"/>
        <v/>
      </c>
      <c r="AY16" s="1055"/>
      <c r="AZ16" s="1056" t="str">
        <f t="shared" si="3"/>
        <v/>
      </c>
      <c r="BA16" s="1057"/>
      <c r="BB16" s="1057"/>
      <c r="BC16" s="1057"/>
      <c r="BD16" s="1058"/>
      <c r="BE16" s="650" t="str">
        <f>IFERROR(IF(LEN(VLOOKUP($AG16,'C-1 On-Site WaterC'' Baseline'!C$1:AE$257,26,FALSE))=0,"",IF(AG16="","",IF(ISNA(VLOOKUP($AG16,'C-1 On-Site WaterC'' Baseline'!C$1:AE$257,26,FALSE)),"",(VLOOKUP(AG16,'C-1 On-Site WaterC'' Baseline'!C$1:AE$257,26,FALSE))))),"")</f>
        <v/>
      </c>
      <c r="BF16" s="624" t="str">
        <f>IFERROR(IF(LEN(VLOOKUP($AG16,'C-1 On-Site WaterC'' Baseline'!C$1:AE$257,27,FALSE))=0,"",IF(AG16="","",IF(ISNA(VLOOKUP($AG16,'C-1 On-Site WaterC'' Baseline'!C$1:AE$257,27,FALSE)),"",(VLOOKUP(AG16,'C-1 On-Site WaterC'' Baseline'!C$1:AE$257,27,FALSE))))),"")</f>
        <v/>
      </c>
      <c r="BG16" s="663" t="str">
        <f>IFERROR(IF(LEN(VLOOKUP($AG16,'C-1 On-Site WaterC'' Baseline'!C$1:AE$257,28,FALSE))=0,"",IF(AG16="","",IF(ISNA(VLOOKUP($AG16,'C-1 On-Site WaterC'' Baseline'!C$1:AE$257,28,FALSE)),"",(VLOOKUP(AG16,'C-1 On-Site WaterC'' Baseline'!C$1:AE$257,28,FALSE))))),"")</f>
        <v/>
      </c>
      <c r="BH16" s="647" t="str">
        <f>IF('C-1 On-Site WaterC'' Baseline'!AU16="","", IF('C-1 On-Site WaterC'' Baseline'!AU16="Yes", TRUE, FALSE))</f>
        <v/>
      </c>
      <c r="BI16" s="647">
        <v>7</v>
      </c>
      <c r="BJ16" s="647" t="e">
        <f>IF(#REF!="","", IF(#REF!="Yes", TRUE, FALSE))</f>
        <v>#REF!</v>
      </c>
      <c r="BK16" s="647" t="str">
        <f t="shared" si="4"/>
        <v/>
      </c>
      <c r="BL16" s="647" t="str">
        <f>IF(AG16="","",IF(LEN(VLOOKUP($AG16,'C-1 On-Site WaterC'' Baseline'!$C$1:$AV$257,25,FALSE))=0,"",VLOOKUP(AG16,'C-1 On-Site WaterC'' Baseline'!$C$1:$AV$257,25,FALSE)))</f>
        <v/>
      </c>
      <c r="BM16" s="647" t="str">
        <f>IF(B16="","",IF(LEN(VLOOKUP($B16,'A-1 On-Site Habitat Baseline'!$D$1:$AV$258,22,FALSE))=0,"",(VLOOKUP(B16,'A-1 On-Site Habitat Baseline'!$D$1:$AV$258,22,FALSE))))</f>
        <v/>
      </c>
    </row>
    <row r="17" spans="2:65" s="649" customFormat="1" ht="44.5" customHeight="1" x14ac:dyDescent="0.3">
      <c r="B17" s="660" t="str" cm="1">
        <f t="array" ref="B17">IFERROR(INDEX($AD$10:$AD$259, MATCH(0, IF(TRUE=$AC$10:$AC$259, COUNTIF($B$9:B16, $AD$10:$AD$259), ""), 0)),"")</f>
        <v/>
      </c>
      <c r="C17" s="611"/>
      <c r="D17" s="611"/>
      <c r="E17" s="1068" t="str">
        <f>IF(B17="","",IF(ISNA(VLOOKUP($B17,'A-1 On-Site Habitat Baseline'!$D$1:$AV$258,45,FALSE)),"",(VLOOKUP(B17,'A-1 On-Site Habitat Baseline'!$D$1:$AV$258,45,FALSE))))</f>
        <v/>
      </c>
      <c r="F17" s="1068"/>
      <c r="G17" s="1068"/>
      <c r="H17" s="1096"/>
      <c r="I17" s="1096"/>
      <c r="J17" s="1096"/>
      <c r="K17" s="1055" t="str">
        <f>IF(B17="","",IF(ISNA(VLOOKUP($B17,'A-1 On-Site Habitat Baseline'!$D$1:$AV$258,5,FALSE)),"",(VLOOKUP(B17,'A-1 On-Site Habitat Baseline'!$D$1:$AV$258,5,FALSE))))</f>
        <v/>
      </c>
      <c r="L17" s="1055"/>
      <c r="M17" s="1055" t="str">
        <f>IF(B17="","",IF(ISNA(VLOOKUP($B17,'A-1 On-Site Habitat Baseline'!$D$1:$AV$258,16,FALSE)),"",(VLOOKUP(B17,'A-1 On-Site Habitat Baseline'!$D$1:$AV$258,16,FALSE))))</f>
        <v/>
      </c>
      <c r="N17" s="1055"/>
      <c r="O17" s="1068" t="str">
        <f>IF(B17="","",IF(ISNA(VLOOKUP($B17,'A-1 On-Site Habitat Baseline'!$D$1:$AV$258,17,FALSE)),"",(VLOOKUP(B17,'A-1 On-Site Habitat Baseline'!$D$1:$AV$258,17,FALSE))))</f>
        <v/>
      </c>
      <c r="P17" s="1068"/>
      <c r="Q17" s="1068"/>
      <c r="R17" s="1068"/>
      <c r="S17" s="1055" t="str">
        <f t="shared" si="0"/>
        <v/>
      </c>
      <c r="T17" s="1068"/>
      <c r="U17" s="617" t="str">
        <f t="shared" si="1"/>
        <v/>
      </c>
      <c r="V17" s="615"/>
      <c r="W17" s="615"/>
      <c r="X17" s="615"/>
      <c r="Y17" s="615"/>
      <c r="Z17" s="650" t="str">
        <f ca="1">IFERROR(IF(LEN(VLOOKUP($B17,'A-1 On-Site Habitat Baseline'!$D$1:$AV$258,23,FALSE))=0,"",IF(B17="","",IF(ISNA(VLOOKUP($B17,'A-1 On-Site Habitat Baseline'!$D$1:$AV$258,23,FALSE)),"",(VLOOKUP(B17,'A-1 On-Site Habitat Baseline'!$D$1:$AV$258,23,FALSE))))),"")</f>
        <v/>
      </c>
      <c r="AA17" s="624" t="str">
        <f ca="1">IFERROR(IF(LEN(VLOOKUP($B17,'A-1 On-Site Habitat Baseline'!$D$1:$AV$258,24,FALSE))=0,"",IF(B17="","",IF(ISNA(VLOOKUP($B17,'A-1 On-Site Habitat Baseline'!$D$1:$AV$258,24,FALSE)),"",(VLOOKUP(B17,'A-1 On-Site Habitat Baseline'!$D$1:$AV$258,24,FALSE))))),"")</f>
        <v/>
      </c>
      <c r="AB17" s="648" t="str">
        <f ca="1">IFERROR(IF(LEN(VLOOKUP($B17,'A-1 On-Site Habitat Baseline'!$D$1:$AV$258,25,FALSE))=0,"",IF(B17="","",IF(ISNA(VLOOKUP($B17,'A-1 On-Site Habitat Baseline'!$D$1:$AV$258,25,FALSE)),"",(VLOOKUP(B17,'A-1 On-Site Habitat Baseline'!$D$1:$AV$258,25,FALSE))))),"")</f>
        <v/>
      </c>
      <c r="AC17" s="646" t="str">
        <f>IF('A-1 On-Site Habitat Baseline'!G18="","", IF('A-1 On-Site Habitat Baseline'!G18="Yes", TRUE, FALSE))</f>
        <v/>
      </c>
      <c r="AD17" s="647">
        <v>8</v>
      </c>
      <c r="AE17" s="646" t="e">
        <f>IF(#REF!="","", IF(#REF!="Yes", TRUE, FALSE))</f>
        <v>#REF!</v>
      </c>
      <c r="AF17" s="646"/>
      <c r="AG17" s="610" t="str" cm="1">
        <f t="array" ref="AG17">IFERROR(INDEX($BI$10:$BI$259, MATCH(0, IF(TRUE=$BH$10:$BH$259, COUNTIF($AG$9:AG16, $BI$10:$BI$259), ""), 0)),"")</f>
        <v/>
      </c>
      <c r="AH17" s="611"/>
      <c r="AI17" s="611"/>
      <c r="AJ17" s="1068" t="str">
        <f>IF(BH17=FALSE,"",IF(ISNA(VLOOKUP(AG17,'C-1 On-Site WaterC'' Baseline'!C$1:D$257,2,FALSE)),"",(VLOOKUP(AG17,'C-1 On-Site WaterC'' Baseline'!C$1:D$257,2,FALSE))))</f>
        <v/>
      </c>
      <c r="AK17" s="1068"/>
      <c r="AL17" s="1068"/>
      <c r="AM17" s="1096"/>
      <c r="AN17" s="1096"/>
      <c r="AO17" s="1096"/>
      <c r="AP17" s="1055" t="str">
        <f>IF(AG17="","",IF(ISNA(VLOOKUP($AG17,'C-1 On-Site WaterC'' Baseline'!C$1:E$257,3,FALSE)),"",(VLOOKUP(AG17,'C-1 On-Site WaterC'' Baseline'!C$1:E$257,3,FALSE))))</f>
        <v/>
      </c>
      <c r="AQ17" s="1055"/>
      <c r="AR17" s="1052" t="str">
        <f>IF(AG17="","",IF(ISNA(VLOOKUP($AG17,'C-1 On-Site WaterC'' Baseline'!C$1:AA$257,19,FALSE)),"",(VLOOKUP(AG17,'C-1 On-Site WaterC'' Baseline'!C$1:AA$257,19,FALSE))))</f>
        <v/>
      </c>
      <c r="AS17" s="1054"/>
      <c r="AT17" s="1052" t="str">
        <f>IF(AG17="","",IF(ISNA(VLOOKUP($AG17,'C-1 On-Site WaterC'' Baseline'!C$1:AA$257,20,FALSE)),"",(VLOOKUP(AG17,'C-1 On-Site WaterC'' Baseline'!C$1:AA$257,20,FALSE))))</f>
        <v/>
      </c>
      <c r="AU17" s="1053"/>
      <c r="AV17" s="1053"/>
      <c r="AW17" s="1054"/>
      <c r="AX17" s="1055" t="str">
        <f t="shared" si="2"/>
        <v/>
      </c>
      <c r="AY17" s="1055"/>
      <c r="AZ17" s="1056" t="str">
        <f t="shared" si="3"/>
        <v/>
      </c>
      <c r="BA17" s="1057"/>
      <c r="BB17" s="1057"/>
      <c r="BC17" s="1057"/>
      <c r="BD17" s="1058"/>
      <c r="BE17" s="650" t="str">
        <f>IFERROR(IF(LEN(VLOOKUP($AG17,'C-1 On-Site WaterC'' Baseline'!C$1:AE$257,26,FALSE))=0,"",IF(AG17="","",IF(ISNA(VLOOKUP($AG17,'C-1 On-Site WaterC'' Baseline'!C$1:AE$257,26,FALSE)),"",(VLOOKUP(AG17,'C-1 On-Site WaterC'' Baseline'!C$1:AE$257,26,FALSE))))),"")</f>
        <v/>
      </c>
      <c r="BF17" s="624" t="str">
        <f>IFERROR(IF(LEN(VLOOKUP($AG17,'C-1 On-Site WaterC'' Baseline'!C$1:AE$257,27,FALSE))=0,"",IF(AG17="","",IF(ISNA(VLOOKUP($AG17,'C-1 On-Site WaterC'' Baseline'!C$1:AE$257,27,FALSE)),"",(VLOOKUP(AG17,'C-1 On-Site WaterC'' Baseline'!C$1:AE$257,27,FALSE))))),"")</f>
        <v/>
      </c>
      <c r="BG17" s="663" t="str">
        <f>IFERROR(IF(LEN(VLOOKUP($AG17,'C-1 On-Site WaterC'' Baseline'!C$1:AE$257,28,FALSE))=0,"",IF(AG17="","",IF(ISNA(VLOOKUP($AG17,'C-1 On-Site WaterC'' Baseline'!C$1:AE$257,28,FALSE)),"",(VLOOKUP(AG17,'C-1 On-Site WaterC'' Baseline'!C$1:AE$257,28,FALSE))))),"")</f>
        <v/>
      </c>
      <c r="BH17" s="647" t="str">
        <f>IF('C-1 On-Site WaterC'' Baseline'!AU17="","", IF('C-1 On-Site WaterC'' Baseline'!AU17="Yes", TRUE, FALSE))</f>
        <v/>
      </c>
      <c r="BI17" s="647">
        <v>8</v>
      </c>
      <c r="BJ17" s="647" t="e">
        <f>IF(#REF!="","", IF(#REF!="Yes", TRUE, FALSE))</f>
        <v>#REF!</v>
      </c>
      <c r="BK17" s="647" t="str">
        <f t="shared" si="4"/>
        <v/>
      </c>
      <c r="BL17" s="647" t="str">
        <f>IF(AG17="","",IF(LEN(VLOOKUP($AG17,'C-1 On-Site WaterC'' Baseline'!$C$1:$AV$257,25,FALSE))=0,"",VLOOKUP(AG17,'C-1 On-Site WaterC'' Baseline'!$C$1:$AV$257,25,FALSE)))</f>
        <v/>
      </c>
      <c r="BM17" s="647" t="str">
        <f>IF(B17="","",IF(LEN(VLOOKUP($B17,'A-1 On-Site Habitat Baseline'!$D$1:$AV$258,22,FALSE))=0,"",(VLOOKUP(B17,'A-1 On-Site Habitat Baseline'!$D$1:$AV$258,22,FALSE))))</f>
        <v/>
      </c>
    </row>
    <row r="18" spans="2:65" s="649" customFormat="1" ht="44.5" customHeight="1" x14ac:dyDescent="0.3">
      <c r="B18" s="660" t="str" cm="1">
        <f t="array" ref="B18">IFERROR(INDEX($AD$10:$AD$259, MATCH(0, IF(TRUE=$AC$10:$AC$259, COUNTIF($B$9:B17, $AD$10:$AD$259), ""), 0)),"")</f>
        <v/>
      </c>
      <c r="C18" s="611"/>
      <c r="D18" s="611"/>
      <c r="E18" s="1068" t="str">
        <f>IF(B18="","",IF(ISNA(VLOOKUP($B18,'A-1 On-Site Habitat Baseline'!$D$1:$AV$258,45,FALSE)),"",(VLOOKUP(B18,'A-1 On-Site Habitat Baseline'!$D$1:$AV$258,45,FALSE))))</f>
        <v/>
      </c>
      <c r="F18" s="1068"/>
      <c r="G18" s="1068"/>
      <c r="H18" s="1096"/>
      <c r="I18" s="1096"/>
      <c r="J18" s="1096"/>
      <c r="K18" s="1055" t="str">
        <f>IF(B18="","",IF(ISNA(VLOOKUP($B18,'A-1 On-Site Habitat Baseline'!$D$1:$AV$258,5,FALSE)),"",(VLOOKUP(B18,'A-1 On-Site Habitat Baseline'!$D$1:$AV$258,5,FALSE))))</f>
        <v/>
      </c>
      <c r="L18" s="1055"/>
      <c r="M18" s="1055" t="str">
        <f>IF(B18="","",IF(ISNA(VLOOKUP($B18,'A-1 On-Site Habitat Baseline'!$D$1:$AV$258,16,FALSE)),"",(VLOOKUP(B18,'A-1 On-Site Habitat Baseline'!$D$1:$AV$258,16,FALSE))))</f>
        <v/>
      </c>
      <c r="N18" s="1055"/>
      <c r="O18" s="1068" t="str">
        <f>IF(B18="","",IF(ISNA(VLOOKUP($B18,'A-1 On-Site Habitat Baseline'!$D$1:$AV$258,17,FALSE)),"",(VLOOKUP(B18,'A-1 On-Site Habitat Baseline'!$D$1:$AV$258,17,FALSE))))</f>
        <v/>
      </c>
      <c r="P18" s="1068"/>
      <c r="Q18" s="1068"/>
      <c r="R18" s="1068"/>
      <c r="S18" s="1055" t="str">
        <f t="shared" si="0"/>
        <v/>
      </c>
      <c r="T18" s="1068"/>
      <c r="U18" s="617" t="str">
        <f t="shared" si="1"/>
        <v/>
      </c>
      <c r="V18" s="615"/>
      <c r="W18" s="615"/>
      <c r="X18" s="615"/>
      <c r="Y18" s="615"/>
      <c r="Z18" s="650" t="str">
        <f ca="1">IFERROR(IF(LEN(VLOOKUP($B18,'A-1 On-Site Habitat Baseline'!$D$1:$AV$258,23,FALSE))=0,"",IF(B18="","",IF(ISNA(VLOOKUP($B18,'A-1 On-Site Habitat Baseline'!$D$1:$AV$258,23,FALSE)),"",(VLOOKUP(B18,'A-1 On-Site Habitat Baseline'!$D$1:$AV$258,23,FALSE))))),"")</f>
        <v/>
      </c>
      <c r="AA18" s="624" t="str">
        <f ca="1">IFERROR(IF(LEN(VLOOKUP($B18,'A-1 On-Site Habitat Baseline'!$D$1:$AV$258,24,FALSE))=0,"",IF(B18="","",IF(ISNA(VLOOKUP($B18,'A-1 On-Site Habitat Baseline'!$D$1:$AV$258,24,FALSE)),"",(VLOOKUP(B18,'A-1 On-Site Habitat Baseline'!$D$1:$AV$258,24,FALSE))))),"")</f>
        <v/>
      </c>
      <c r="AB18" s="648" t="str">
        <f ca="1">IFERROR(IF(LEN(VLOOKUP($B18,'A-1 On-Site Habitat Baseline'!$D$1:$AV$258,25,FALSE))=0,"",IF(B18="","",IF(ISNA(VLOOKUP($B18,'A-1 On-Site Habitat Baseline'!$D$1:$AV$258,25,FALSE)),"",(VLOOKUP(B18,'A-1 On-Site Habitat Baseline'!$D$1:$AV$258,25,FALSE))))),"")</f>
        <v/>
      </c>
      <c r="AC18" s="646" t="str">
        <f>IF('A-1 On-Site Habitat Baseline'!G19="","", IF('A-1 On-Site Habitat Baseline'!G19="Yes", TRUE, FALSE))</f>
        <v/>
      </c>
      <c r="AD18" s="647">
        <v>9</v>
      </c>
      <c r="AE18" s="646" t="e">
        <f>IF(#REF!="","", IF(#REF!="Yes", TRUE, FALSE))</f>
        <v>#REF!</v>
      </c>
      <c r="AF18" s="646"/>
      <c r="AG18" s="610" t="str" cm="1">
        <f t="array" ref="AG18">IFERROR(INDEX($BI$10:$BI$259, MATCH(0, IF(TRUE=$BH$10:$BH$259, COUNTIF($AG$9:AG17, $BI$10:$BI$259), ""), 0)),"")</f>
        <v/>
      </c>
      <c r="AH18" s="611"/>
      <c r="AI18" s="611"/>
      <c r="AJ18" s="1068" t="str">
        <f>IF(BH18=FALSE,"",IF(ISNA(VLOOKUP(AG18,'C-1 On-Site WaterC'' Baseline'!C$1:D$257,2,FALSE)),"",(VLOOKUP(AG18,'C-1 On-Site WaterC'' Baseline'!C$1:D$257,2,FALSE))))</f>
        <v/>
      </c>
      <c r="AK18" s="1068"/>
      <c r="AL18" s="1068"/>
      <c r="AM18" s="1096"/>
      <c r="AN18" s="1096"/>
      <c r="AO18" s="1096"/>
      <c r="AP18" s="1055" t="str">
        <f>IF(AG18="","",IF(ISNA(VLOOKUP($AG18,'C-1 On-Site WaterC'' Baseline'!C$1:E$257,3,FALSE)),"",(VLOOKUP(AG18,'C-1 On-Site WaterC'' Baseline'!C$1:E$257,3,FALSE))))</f>
        <v/>
      </c>
      <c r="AQ18" s="1055"/>
      <c r="AR18" s="1052" t="str">
        <f>IF(AG18="","",IF(ISNA(VLOOKUP($AG18,'C-1 On-Site WaterC'' Baseline'!C$1:AA$257,19,FALSE)),"",(VLOOKUP(AG18,'C-1 On-Site WaterC'' Baseline'!C$1:AA$257,19,FALSE))))</f>
        <v/>
      </c>
      <c r="AS18" s="1054"/>
      <c r="AT18" s="1052" t="str">
        <f>IF(AG18="","",IF(ISNA(VLOOKUP($AG18,'C-1 On-Site WaterC'' Baseline'!C$1:AA$257,20,FALSE)),"",(VLOOKUP(AG18,'C-1 On-Site WaterC'' Baseline'!C$1:AA$257,20,FALSE))))</f>
        <v/>
      </c>
      <c r="AU18" s="1053"/>
      <c r="AV18" s="1053"/>
      <c r="AW18" s="1054"/>
      <c r="AX18" s="1055" t="str">
        <f t="shared" si="2"/>
        <v/>
      </c>
      <c r="AY18" s="1055"/>
      <c r="AZ18" s="1056" t="str">
        <f t="shared" si="3"/>
        <v/>
      </c>
      <c r="BA18" s="1057"/>
      <c r="BB18" s="1057"/>
      <c r="BC18" s="1057"/>
      <c r="BD18" s="1058"/>
      <c r="BE18" s="650" t="str">
        <f>IFERROR(IF(LEN(VLOOKUP($AG18,'C-1 On-Site WaterC'' Baseline'!C$1:AE$257,26,FALSE))=0,"",IF(AG18="","",IF(ISNA(VLOOKUP($AG18,'C-1 On-Site WaterC'' Baseline'!C$1:AE$257,26,FALSE)),"",(VLOOKUP(AG18,'C-1 On-Site WaterC'' Baseline'!C$1:AE$257,26,FALSE))))),"")</f>
        <v/>
      </c>
      <c r="BF18" s="624" t="str">
        <f>IFERROR(IF(LEN(VLOOKUP($AG18,'C-1 On-Site WaterC'' Baseline'!C$1:AE$257,27,FALSE))=0,"",IF(AG18="","",IF(ISNA(VLOOKUP($AG18,'C-1 On-Site WaterC'' Baseline'!C$1:AE$257,27,FALSE)),"",(VLOOKUP(AG18,'C-1 On-Site WaterC'' Baseline'!C$1:AE$257,27,FALSE))))),"")</f>
        <v/>
      </c>
      <c r="BG18" s="663" t="str">
        <f>IFERROR(IF(LEN(VLOOKUP($AG18,'C-1 On-Site WaterC'' Baseline'!C$1:AE$257,28,FALSE))=0,"",IF(AG18="","",IF(ISNA(VLOOKUP($AG18,'C-1 On-Site WaterC'' Baseline'!C$1:AE$257,28,FALSE)),"",(VLOOKUP(AG18,'C-1 On-Site WaterC'' Baseline'!C$1:AE$257,28,FALSE))))),"")</f>
        <v/>
      </c>
      <c r="BH18" s="647" t="str">
        <f>IF('C-1 On-Site WaterC'' Baseline'!AU18="","", IF('C-1 On-Site WaterC'' Baseline'!AU18="Yes", TRUE, FALSE))</f>
        <v/>
      </c>
      <c r="BI18" s="647">
        <v>9</v>
      </c>
      <c r="BJ18" s="647" t="e">
        <f>IF(#REF!="","", IF(#REF!="Yes", TRUE, FALSE))</f>
        <v>#REF!</v>
      </c>
      <c r="BK18" s="647" t="str">
        <f t="shared" si="4"/>
        <v/>
      </c>
      <c r="BL18" s="647" t="str">
        <f>IF(AG18="","",IF(LEN(VLOOKUP($AG18,'C-1 On-Site WaterC'' Baseline'!$C$1:$AV$257,25,FALSE))=0,"",VLOOKUP(AG18,'C-1 On-Site WaterC'' Baseline'!$C$1:$AV$257,25,FALSE)))</f>
        <v/>
      </c>
      <c r="BM18" s="647" t="str">
        <f>IF(B18="","",IF(LEN(VLOOKUP($B18,'A-1 On-Site Habitat Baseline'!$D$1:$AV$258,22,FALSE))=0,"",(VLOOKUP(B18,'A-1 On-Site Habitat Baseline'!$D$1:$AV$258,22,FALSE))))</f>
        <v/>
      </c>
    </row>
    <row r="19" spans="2:65" s="649" customFormat="1" ht="44.5" customHeight="1" x14ac:dyDescent="0.3">
      <c r="B19" s="660" t="str" cm="1">
        <f t="array" ref="B19">IFERROR(INDEX($AD$10:$AD$259, MATCH(0, IF(TRUE=$AC$10:$AC$259, COUNTIF($B$9:B18, $AD$10:$AD$259), ""), 0)),"")</f>
        <v/>
      </c>
      <c r="C19" s="611"/>
      <c r="D19" s="611"/>
      <c r="E19" s="1068" t="str">
        <f>IF(B19="","",IF(ISNA(VLOOKUP($B19,'A-1 On-Site Habitat Baseline'!$D$1:$AV$258,45,FALSE)),"",(VLOOKUP(B19,'A-1 On-Site Habitat Baseline'!$D$1:$AV$258,45,FALSE))))</f>
        <v/>
      </c>
      <c r="F19" s="1068"/>
      <c r="G19" s="1068"/>
      <c r="H19" s="1096"/>
      <c r="I19" s="1096"/>
      <c r="J19" s="1096"/>
      <c r="K19" s="1055" t="str">
        <f>IF(B19="","",IF(ISNA(VLOOKUP($B19,'A-1 On-Site Habitat Baseline'!$D$1:$AV$258,5,FALSE)),"",(VLOOKUP(B19,'A-1 On-Site Habitat Baseline'!$D$1:$AV$258,5,FALSE))))</f>
        <v/>
      </c>
      <c r="L19" s="1055"/>
      <c r="M19" s="1055" t="str">
        <f>IF(B19="","",IF(ISNA(VLOOKUP($B19,'A-1 On-Site Habitat Baseline'!$D$1:$AV$258,16,FALSE)),"",(VLOOKUP(B19,'A-1 On-Site Habitat Baseline'!$D$1:$AV$258,16,FALSE))))</f>
        <v/>
      </c>
      <c r="N19" s="1055"/>
      <c r="O19" s="1068" t="str">
        <f>IF(B19="","",IF(ISNA(VLOOKUP($B19,'A-1 On-Site Habitat Baseline'!$D$1:$AV$258,17,FALSE)),"",(VLOOKUP(B19,'A-1 On-Site Habitat Baseline'!$D$1:$AV$258,17,FALSE))))</f>
        <v/>
      </c>
      <c r="P19" s="1068"/>
      <c r="Q19" s="1068"/>
      <c r="R19" s="1068"/>
      <c r="S19" s="1055" t="str">
        <f t="shared" si="0"/>
        <v/>
      </c>
      <c r="T19" s="1068"/>
      <c r="U19" s="617" t="str">
        <f t="shared" si="1"/>
        <v/>
      </c>
      <c r="V19" s="615"/>
      <c r="W19" s="615"/>
      <c r="X19" s="615"/>
      <c r="Y19" s="615"/>
      <c r="Z19" s="650" t="str">
        <f ca="1">IFERROR(IF(LEN(VLOOKUP($B19,'A-1 On-Site Habitat Baseline'!$D$1:$AV$258,23,FALSE))=0,"",IF(B19="","",IF(ISNA(VLOOKUP($B19,'A-1 On-Site Habitat Baseline'!$D$1:$AV$258,23,FALSE)),"",(VLOOKUP(B19,'A-1 On-Site Habitat Baseline'!$D$1:$AV$258,23,FALSE))))),"")</f>
        <v/>
      </c>
      <c r="AA19" s="624" t="str">
        <f ca="1">IFERROR(IF(LEN(VLOOKUP($B19,'A-1 On-Site Habitat Baseline'!$D$1:$AV$258,24,FALSE))=0,"",IF(B19="","",IF(ISNA(VLOOKUP($B19,'A-1 On-Site Habitat Baseline'!$D$1:$AV$258,24,FALSE)),"",(VLOOKUP(B19,'A-1 On-Site Habitat Baseline'!$D$1:$AV$258,24,FALSE))))),"")</f>
        <v/>
      </c>
      <c r="AB19" s="648" t="str">
        <f ca="1">IFERROR(IF(LEN(VLOOKUP($B19,'A-1 On-Site Habitat Baseline'!$D$1:$AV$258,25,FALSE))=0,"",IF(B19="","",IF(ISNA(VLOOKUP($B19,'A-1 On-Site Habitat Baseline'!$D$1:$AV$258,25,FALSE)),"",(VLOOKUP(B19,'A-1 On-Site Habitat Baseline'!$D$1:$AV$258,25,FALSE))))),"")</f>
        <v/>
      </c>
      <c r="AC19" s="646" t="str">
        <f>IF('A-1 On-Site Habitat Baseline'!G20="","", IF('A-1 On-Site Habitat Baseline'!G20="Yes", TRUE, FALSE))</f>
        <v/>
      </c>
      <c r="AD19" s="647">
        <v>10</v>
      </c>
      <c r="AE19" s="646" t="e">
        <f>IF(#REF!="","", IF(#REF!="Yes", TRUE, FALSE))</f>
        <v>#REF!</v>
      </c>
      <c r="AF19" s="646"/>
      <c r="AG19" s="610" t="str" cm="1">
        <f t="array" ref="AG19">IFERROR(INDEX($BI$10:$BI$259, MATCH(0, IF(TRUE=$BH$10:$BH$259, COUNTIF($AG$9:AG18, $BI$10:$BI$259), ""), 0)),"")</f>
        <v/>
      </c>
      <c r="AH19" s="611"/>
      <c r="AI19" s="611"/>
      <c r="AJ19" s="1068" t="str">
        <f>IF(BH19=FALSE,"",IF(ISNA(VLOOKUP(AG19,'C-1 On-Site WaterC'' Baseline'!C$1:D$257,2,FALSE)),"",(VLOOKUP(AG19,'C-1 On-Site WaterC'' Baseline'!C$1:D$257,2,FALSE))))</f>
        <v/>
      </c>
      <c r="AK19" s="1068"/>
      <c r="AL19" s="1068"/>
      <c r="AM19" s="1096"/>
      <c r="AN19" s="1096"/>
      <c r="AO19" s="1096"/>
      <c r="AP19" s="1055" t="str">
        <f>IF(AG19="","",IF(ISNA(VLOOKUP($AG19,'C-1 On-Site WaterC'' Baseline'!C$1:E$257,3,FALSE)),"",(VLOOKUP(AG19,'C-1 On-Site WaterC'' Baseline'!C$1:E$257,3,FALSE))))</f>
        <v/>
      </c>
      <c r="AQ19" s="1055"/>
      <c r="AR19" s="1052" t="str">
        <f>IF(AG19="","",IF(ISNA(VLOOKUP($AG19,'C-1 On-Site WaterC'' Baseline'!C$1:AA$257,19,FALSE)),"",(VLOOKUP(AG19,'C-1 On-Site WaterC'' Baseline'!C$1:AA$257,19,FALSE))))</f>
        <v/>
      </c>
      <c r="AS19" s="1054"/>
      <c r="AT19" s="1052" t="str">
        <f>IF(AG19="","",IF(ISNA(VLOOKUP($AG19,'C-1 On-Site WaterC'' Baseline'!C$1:AA$257,20,FALSE)),"",(VLOOKUP(AG19,'C-1 On-Site WaterC'' Baseline'!C$1:AA$257,20,FALSE))))</f>
        <v/>
      </c>
      <c r="AU19" s="1053"/>
      <c r="AV19" s="1053"/>
      <c r="AW19" s="1054"/>
      <c r="AX19" s="1055" t="str">
        <f t="shared" si="2"/>
        <v/>
      </c>
      <c r="AY19" s="1055"/>
      <c r="AZ19" s="1056" t="str">
        <f t="shared" si="3"/>
        <v/>
      </c>
      <c r="BA19" s="1057"/>
      <c r="BB19" s="1057"/>
      <c r="BC19" s="1057"/>
      <c r="BD19" s="1058"/>
      <c r="BE19" s="650" t="str">
        <f>IFERROR(IF(LEN(VLOOKUP($AG19,'C-1 On-Site WaterC'' Baseline'!C$1:AE$257,26,FALSE))=0,"",IF(AG19="","",IF(ISNA(VLOOKUP($AG19,'C-1 On-Site WaterC'' Baseline'!C$1:AE$257,26,FALSE)),"",(VLOOKUP(AG19,'C-1 On-Site WaterC'' Baseline'!C$1:AE$257,26,FALSE))))),"")</f>
        <v/>
      </c>
      <c r="BF19" s="624" t="str">
        <f>IFERROR(IF(LEN(VLOOKUP($AG19,'C-1 On-Site WaterC'' Baseline'!C$1:AE$257,27,FALSE))=0,"",IF(AG19="","",IF(ISNA(VLOOKUP($AG19,'C-1 On-Site WaterC'' Baseline'!C$1:AE$257,27,FALSE)),"",(VLOOKUP(AG19,'C-1 On-Site WaterC'' Baseline'!C$1:AE$257,27,FALSE))))),"")</f>
        <v/>
      </c>
      <c r="BG19" s="663" t="str">
        <f>IFERROR(IF(LEN(VLOOKUP($AG19,'C-1 On-Site WaterC'' Baseline'!C$1:AE$257,28,FALSE))=0,"",IF(AG19="","",IF(ISNA(VLOOKUP($AG19,'C-1 On-Site WaterC'' Baseline'!C$1:AE$257,28,FALSE)),"",(VLOOKUP(AG19,'C-1 On-Site WaterC'' Baseline'!C$1:AE$257,28,FALSE))))),"")</f>
        <v/>
      </c>
      <c r="BH19" s="647" t="str">
        <f>IF('C-1 On-Site WaterC'' Baseline'!AU19="","", IF('C-1 On-Site WaterC'' Baseline'!AU19="Yes", TRUE, FALSE))</f>
        <v/>
      </c>
      <c r="BI19" s="647">
        <v>10</v>
      </c>
      <c r="BJ19" s="647" t="e">
        <f>IF(#REF!="","", IF(#REF!="Yes", TRUE, FALSE))</f>
        <v>#REF!</v>
      </c>
      <c r="BK19" s="647" t="str">
        <f t="shared" si="4"/>
        <v/>
      </c>
      <c r="BL19" s="647" t="str">
        <f>IF(AG19="","",IF(LEN(VLOOKUP($AG19,'C-1 On-Site WaterC'' Baseline'!$C$1:$AV$257,25,FALSE))=0,"",VLOOKUP(AG19,'C-1 On-Site WaterC'' Baseline'!$C$1:$AV$257,25,FALSE)))</f>
        <v/>
      </c>
      <c r="BM19" s="647" t="str">
        <f>IF(B19="","",IF(LEN(VLOOKUP($B19,'A-1 On-Site Habitat Baseline'!$D$1:$AV$258,22,FALSE))=0,"",(VLOOKUP(B19,'A-1 On-Site Habitat Baseline'!$D$1:$AV$258,22,FALSE))))</f>
        <v/>
      </c>
    </row>
    <row r="20" spans="2:65" s="649" customFormat="1" ht="44.5" customHeight="1" x14ac:dyDescent="0.3">
      <c r="B20" s="660" t="str" cm="1">
        <f t="array" ref="B20">IFERROR(INDEX($AD$10:$AD$259, MATCH(0, IF(TRUE=$AC$10:$AC$259, COUNTIF($B$9:B19, $AD$10:$AD$259), ""), 0)),"")</f>
        <v/>
      </c>
      <c r="C20" s="611"/>
      <c r="D20" s="611"/>
      <c r="E20" s="1068" t="str">
        <f>IF(B20="","",IF(ISNA(VLOOKUP($B20,'A-1 On-Site Habitat Baseline'!$D$1:$AV$258,45,FALSE)),"",(VLOOKUP(B20,'A-1 On-Site Habitat Baseline'!$D$1:$AV$258,45,FALSE))))</f>
        <v/>
      </c>
      <c r="F20" s="1068"/>
      <c r="G20" s="1068"/>
      <c r="H20" s="1096"/>
      <c r="I20" s="1096"/>
      <c r="J20" s="1096"/>
      <c r="K20" s="1055" t="str">
        <f>IF(B20="","",IF(ISNA(VLOOKUP($B20,'A-1 On-Site Habitat Baseline'!$D$1:$AV$258,5,FALSE)),"",(VLOOKUP(B20,'A-1 On-Site Habitat Baseline'!$D$1:$AV$258,5,FALSE))))</f>
        <v/>
      </c>
      <c r="L20" s="1055"/>
      <c r="M20" s="1055" t="str">
        <f>IF(B20="","",IF(ISNA(VLOOKUP($B20,'A-1 On-Site Habitat Baseline'!$D$1:$AV$258,16,FALSE)),"",(VLOOKUP(B20,'A-1 On-Site Habitat Baseline'!$D$1:$AV$258,16,FALSE))))</f>
        <v/>
      </c>
      <c r="N20" s="1055"/>
      <c r="O20" s="1068" t="str">
        <f>IF(B20="","",IF(ISNA(VLOOKUP($B20,'A-1 On-Site Habitat Baseline'!$D$1:$AV$258,17,FALSE)),"",(VLOOKUP(B20,'A-1 On-Site Habitat Baseline'!$D$1:$AV$258,17,FALSE))))</f>
        <v/>
      </c>
      <c r="P20" s="1068"/>
      <c r="Q20" s="1068"/>
      <c r="R20" s="1068"/>
      <c r="S20" s="1055" t="str">
        <f t="shared" si="0"/>
        <v/>
      </c>
      <c r="T20" s="1068"/>
      <c r="U20" s="617" t="str">
        <f t="shared" si="1"/>
        <v/>
      </c>
      <c r="V20" s="615"/>
      <c r="W20" s="615"/>
      <c r="X20" s="615"/>
      <c r="Y20" s="615"/>
      <c r="Z20" s="650" t="str">
        <f ca="1">IFERROR(IF(LEN(VLOOKUP($B20,'A-1 On-Site Habitat Baseline'!$D$1:$AV$258,23,FALSE))=0,"",IF(B20="","",IF(ISNA(VLOOKUP($B20,'A-1 On-Site Habitat Baseline'!$D$1:$AV$258,23,FALSE)),"",(VLOOKUP(B20,'A-1 On-Site Habitat Baseline'!$D$1:$AV$258,23,FALSE))))),"")</f>
        <v/>
      </c>
      <c r="AA20" s="624" t="str">
        <f ca="1">IFERROR(IF(LEN(VLOOKUP($B20,'A-1 On-Site Habitat Baseline'!$D$1:$AV$258,24,FALSE))=0,"",IF(B20="","",IF(ISNA(VLOOKUP($B20,'A-1 On-Site Habitat Baseline'!$D$1:$AV$258,24,FALSE)),"",(VLOOKUP(B20,'A-1 On-Site Habitat Baseline'!$D$1:$AV$258,24,FALSE))))),"")</f>
        <v/>
      </c>
      <c r="AB20" s="648" t="str">
        <f ca="1">IFERROR(IF(LEN(VLOOKUP($B20,'A-1 On-Site Habitat Baseline'!$D$1:$AV$258,25,FALSE))=0,"",IF(B20="","",IF(ISNA(VLOOKUP($B20,'A-1 On-Site Habitat Baseline'!$D$1:$AV$258,25,FALSE)),"",(VLOOKUP(B20,'A-1 On-Site Habitat Baseline'!$D$1:$AV$258,25,FALSE))))),"")</f>
        <v/>
      </c>
      <c r="AC20" s="646" t="str">
        <f>IF('A-1 On-Site Habitat Baseline'!G21="","", IF('A-1 On-Site Habitat Baseline'!G21="Yes", TRUE, FALSE))</f>
        <v/>
      </c>
      <c r="AD20" s="647">
        <v>11</v>
      </c>
      <c r="AE20" s="646" t="e">
        <f>IF(#REF!="","", IF(#REF!="Yes", TRUE, FALSE))</f>
        <v>#REF!</v>
      </c>
      <c r="AF20" s="646"/>
      <c r="AG20" s="610" t="str" cm="1">
        <f t="array" ref="AG20">IFERROR(INDEX($BI$10:$BI$259, MATCH(0, IF(TRUE=$BH$10:$BH$259, COUNTIF($AG$9:AG19, $BI$10:$BI$259), ""), 0)),"")</f>
        <v/>
      </c>
      <c r="AH20" s="611"/>
      <c r="AI20" s="611"/>
      <c r="AJ20" s="1068" t="str">
        <f>IF(BH20=FALSE,"",IF(ISNA(VLOOKUP(AG20,'C-1 On-Site WaterC'' Baseline'!C$1:D$257,2,FALSE)),"",(VLOOKUP(AG20,'C-1 On-Site WaterC'' Baseline'!C$1:D$257,2,FALSE))))</f>
        <v/>
      </c>
      <c r="AK20" s="1068"/>
      <c r="AL20" s="1068"/>
      <c r="AM20" s="1096"/>
      <c r="AN20" s="1096"/>
      <c r="AO20" s="1096"/>
      <c r="AP20" s="1055" t="str">
        <f>IF(AG20="","",IF(ISNA(VLOOKUP($AG20,'C-1 On-Site WaterC'' Baseline'!C$1:E$257,3,FALSE)),"",(VLOOKUP(AG20,'C-1 On-Site WaterC'' Baseline'!C$1:E$257,3,FALSE))))</f>
        <v/>
      </c>
      <c r="AQ20" s="1055"/>
      <c r="AR20" s="1052" t="str">
        <f>IF(AG20="","",IF(ISNA(VLOOKUP($AG20,'C-1 On-Site WaterC'' Baseline'!C$1:AA$257,19,FALSE)),"",(VLOOKUP(AG20,'C-1 On-Site WaterC'' Baseline'!C$1:AA$257,19,FALSE))))</f>
        <v/>
      </c>
      <c r="AS20" s="1054"/>
      <c r="AT20" s="1052" t="str">
        <f>IF(AG20="","",IF(ISNA(VLOOKUP($AG20,'C-1 On-Site WaterC'' Baseline'!C$1:AA$257,20,FALSE)),"",(VLOOKUP(AG20,'C-1 On-Site WaterC'' Baseline'!C$1:AA$257,20,FALSE))))</f>
        <v/>
      </c>
      <c r="AU20" s="1053"/>
      <c r="AV20" s="1053"/>
      <c r="AW20" s="1054"/>
      <c r="AX20" s="1055" t="str">
        <f t="shared" si="2"/>
        <v/>
      </c>
      <c r="AY20" s="1055"/>
      <c r="AZ20" s="1056" t="str">
        <f t="shared" si="3"/>
        <v/>
      </c>
      <c r="BA20" s="1057"/>
      <c r="BB20" s="1057"/>
      <c r="BC20" s="1057"/>
      <c r="BD20" s="1058"/>
      <c r="BE20" s="650" t="str">
        <f>IFERROR(IF(LEN(VLOOKUP($AG20,'C-1 On-Site WaterC'' Baseline'!C$1:AE$257,26,FALSE))=0,"",IF(AG20="","",IF(ISNA(VLOOKUP($AG20,'C-1 On-Site WaterC'' Baseline'!C$1:AE$257,26,FALSE)),"",(VLOOKUP(AG20,'C-1 On-Site WaterC'' Baseline'!C$1:AE$257,26,FALSE))))),"")</f>
        <v/>
      </c>
      <c r="BF20" s="624" t="str">
        <f>IFERROR(IF(LEN(VLOOKUP($AG20,'C-1 On-Site WaterC'' Baseline'!C$1:AE$257,27,FALSE))=0,"",IF(AG20="","",IF(ISNA(VLOOKUP($AG20,'C-1 On-Site WaterC'' Baseline'!C$1:AE$257,27,FALSE)),"",(VLOOKUP(AG20,'C-1 On-Site WaterC'' Baseline'!C$1:AE$257,27,FALSE))))),"")</f>
        <v/>
      </c>
      <c r="BG20" s="663" t="str">
        <f>IFERROR(IF(LEN(VLOOKUP($AG20,'C-1 On-Site WaterC'' Baseline'!C$1:AE$257,28,FALSE))=0,"",IF(AG20="","",IF(ISNA(VLOOKUP($AG20,'C-1 On-Site WaterC'' Baseline'!C$1:AE$257,28,FALSE)),"",(VLOOKUP(AG20,'C-1 On-Site WaterC'' Baseline'!C$1:AE$257,28,FALSE))))),"")</f>
        <v/>
      </c>
      <c r="BH20" s="647" t="str">
        <f>IF('C-1 On-Site WaterC'' Baseline'!AU20="","", IF('C-1 On-Site WaterC'' Baseline'!AU20="Yes", TRUE, FALSE))</f>
        <v/>
      </c>
      <c r="BI20" s="647">
        <v>11</v>
      </c>
      <c r="BJ20" s="647" t="e">
        <f>IF(#REF!="","", IF(#REF!="Yes", TRUE, FALSE))</f>
        <v>#REF!</v>
      </c>
      <c r="BK20" s="647" t="str">
        <f t="shared" si="4"/>
        <v/>
      </c>
      <c r="BL20" s="647" t="str">
        <f>IF(AG20="","",IF(LEN(VLOOKUP($AG20,'C-1 On-Site WaterC'' Baseline'!$C$1:$AV$257,25,FALSE))=0,"",VLOOKUP(AG20,'C-1 On-Site WaterC'' Baseline'!$C$1:$AV$257,25,FALSE)))</f>
        <v/>
      </c>
      <c r="BM20" s="647" t="str">
        <f>IF(B20="","",IF(LEN(VLOOKUP($B20,'A-1 On-Site Habitat Baseline'!$D$1:$AV$258,22,FALSE))=0,"",(VLOOKUP(B20,'A-1 On-Site Habitat Baseline'!$D$1:$AV$258,22,FALSE))))</f>
        <v/>
      </c>
    </row>
    <row r="21" spans="2:65" s="649" customFormat="1" ht="44.5" customHeight="1" x14ac:dyDescent="0.3">
      <c r="B21" s="660" t="str" cm="1">
        <f t="array" ref="B21">IFERROR(INDEX($AD$10:$AD$259, MATCH(0, IF(TRUE=$AC$10:$AC$259, COUNTIF($B$9:B20, $AD$10:$AD$259), ""), 0)),"")</f>
        <v/>
      </c>
      <c r="C21" s="611"/>
      <c r="D21" s="611"/>
      <c r="E21" s="1068" t="str">
        <f>IF(B21="","",IF(ISNA(VLOOKUP($B21,'A-1 On-Site Habitat Baseline'!$D$1:$AV$258,45,FALSE)),"",(VLOOKUP(B21,'A-1 On-Site Habitat Baseline'!$D$1:$AV$258,45,FALSE))))</f>
        <v/>
      </c>
      <c r="F21" s="1068"/>
      <c r="G21" s="1068"/>
      <c r="H21" s="1096"/>
      <c r="I21" s="1096"/>
      <c r="J21" s="1096"/>
      <c r="K21" s="1055" t="str">
        <f>IF(B21="","",IF(ISNA(VLOOKUP($B21,'A-1 On-Site Habitat Baseline'!$D$1:$AV$258,5,FALSE)),"",(VLOOKUP(B21,'A-1 On-Site Habitat Baseline'!$D$1:$AV$258,5,FALSE))))</f>
        <v/>
      </c>
      <c r="L21" s="1055"/>
      <c r="M21" s="1055" t="str">
        <f>IF(B21="","",IF(ISNA(VLOOKUP($B21,'A-1 On-Site Habitat Baseline'!$D$1:$AV$258,16,FALSE)),"",(VLOOKUP(B21,'A-1 On-Site Habitat Baseline'!$D$1:$AV$258,16,FALSE))))</f>
        <v/>
      </c>
      <c r="N21" s="1055"/>
      <c r="O21" s="1068" t="str">
        <f>IF(B21="","",IF(ISNA(VLOOKUP($B21,'A-1 On-Site Habitat Baseline'!$D$1:$AV$258,17,FALSE)),"",(VLOOKUP(B21,'A-1 On-Site Habitat Baseline'!$D$1:$AV$258,17,FALSE))))</f>
        <v/>
      </c>
      <c r="P21" s="1068"/>
      <c r="Q21" s="1068"/>
      <c r="R21" s="1068"/>
      <c r="S21" s="1055" t="str">
        <f t="shared" si="0"/>
        <v/>
      </c>
      <c r="T21" s="1068"/>
      <c r="U21" s="617" t="str">
        <f t="shared" si="1"/>
        <v/>
      </c>
      <c r="V21" s="615"/>
      <c r="W21" s="615"/>
      <c r="X21" s="615"/>
      <c r="Y21" s="615"/>
      <c r="Z21" s="650" t="str">
        <f ca="1">IFERROR(IF(LEN(VLOOKUP($B21,'A-1 On-Site Habitat Baseline'!$D$1:$AV$258,23,FALSE))=0,"",IF(B21="","",IF(ISNA(VLOOKUP($B21,'A-1 On-Site Habitat Baseline'!$D$1:$AV$258,23,FALSE)),"",(VLOOKUP(B21,'A-1 On-Site Habitat Baseline'!$D$1:$AV$258,23,FALSE))))),"")</f>
        <v/>
      </c>
      <c r="AA21" s="624" t="str">
        <f ca="1">IFERROR(IF(LEN(VLOOKUP($B21,'A-1 On-Site Habitat Baseline'!$D$1:$AV$258,24,FALSE))=0,"",IF(B21="","",IF(ISNA(VLOOKUP($B21,'A-1 On-Site Habitat Baseline'!$D$1:$AV$258,24,FALSE)),"",(VLOOKUP(B21,'A-1 On-Site Habitat Baseline'!$D$1:$AV$258,24,FALSE))))),"")</f>
        <v/>
      </c>
      <c r="AB21" s="648" t="str">
        <f ca="1">IFERROR(IF(LEN(VLOOKUP($B21,'A-1 On-Site Habitat Baseline'!$D$1:$AV$258,25,FALSE))=0,"",IF(B21="","",IF(ISNA(VLOOKUP($B21,'A-1 On-Site Habitat Baseline'!$D$1:$AV$258,25,FALSE)),"",(VLOOKUP(B21,'A-1 On-Site Habitat Baseline'!$D$1:$AV$258,25,FALSE))))),"")</f>
        <v/>
      </c>
      <c r="AC21" s="646" t="str">
        <f>IF('A-1 On-Site Habitat Baseline'!G22="","", IF('A-1 On-Site Habitat Baseline'!G22="Yes", TRUE, FALSE))</f>
        <v/>
      </c>
      <c r="AD21" s="647">
        <v>12</v>
      </c>
      <c r="AE21" s="646" t="e">
        <f>IF(#REF!="","", IF(#REF!="Yes", TRUE, FALSE))</f>
        <v>#REF!</v>
      </c>
      <c r="AF21" s="646"/>
      <c r="AG21" s="610" t="str" cm="1">
        <f t="array" ref="AG21">IFERROR(INDEX($BI$10:$BI$259, MATCH(0, IF(TRUE=$BH$10:$BH$259, COUNTIF($AG$9:AG20, $BI$10:$BI$259), ""), 0)),"")</f>
        <v/>
      </c>
      <c r="AH21" s="611"/>
      <c r="AI21" s="611"/>
      <c r="AJ21" s="1068" t="str">
        <f>IF(BH21=FALSE,"",IF(ISNA(VLOOKUP(AG21,'C-1 On-Site WaterC'' Baseline'!C$1:D$257,2,FALSE)),"",(VLOOKUP(AG21,'C-1 On-Site WaterC'' Baseline'!C$1:D$257,2,FALSE))))</f>
        <v/>
      </c>
      <c r="AK21" s="1068"/>
      <c r="AL21" s="1068"/>
      <c r="AM21" s="1096"/>
      <c r="AN21" s="1096"/>
      <c r="AO21" s="1096"/>
      <c r="AP21" s="1055" t="str">
        <f>IF(AG21="","",IF(ISNA(VLOOKUP($AG21,'C-1 On-Site WaterC'' Baseline'!C$1:E$257,3,FALSE)),"",(VLOOKUP(AG21,'C-1 On-Site WaterC'' Baseline'!C$1:E$257,3,FALSE))))</f>
        <v/>
      </c>
      <c r="AQ21" s="1055"/>
      <c r="AR21" s="1052" t="str">
        <f>IF(AG21="","",IF(ISNA(VLOOKUP($AG21,'C-1 On-Site WaterC'' Baseline'!C$1:AA$257,19,FALSE)),"",(VLOOKUP(AG21,'C-1 On-Site WaterC'' Baseline'!C$1:AA$257,19,FALSE))))</f>
        <v/>
      </c>
      <c r="AS21" s="1054"/>
      <c r="AT21" s="1052" t="str">
        <f>IF(AG21="","",IF(ISNA(VLOOKUP($AG21,'C-1 On-Site WaterC'' Baseline'!C$1:AA$257,20,FALSE)),"",(VLOOKUP(AG21,'C-1 On-Site WaterC'' Baseline'!C$1:AA$257,20,FALSE))))</f>
        <v/>
      </c>
      <c r="AU21" s="1053"/>
      <c r="AV21" s="1053"/>
      <c r="AW21" s="1054"/>
      <c r="AX21" s="1055" t="str">
        <f t="shared" si="2"/>
        <v/>
      </c>
      <c r="AY21" s="1055"/>
      <c r="AZ21" s="1056" t="str">
        <f t="shared" si="3"/>
        <v/>
      </c>
      <c r="BA21" s="1057"/>
      <c r="BB21" s="1057"/>
      <c r="BC21" s="1057"/>
      <c r="BD21" s="1058"/>
      <c r="BE21" s="650" t="str">
        <f>IFERROR(IF(LEN(VLOOKUP($AG21,'C-1 On-Site WaterC'' Baseline'!C$1:AE$257,26,FALSE))=0,"",IF(AG21="","",IF(ISNA(VLOOKUP($AG21,'C-1 On-Site WaterC'' Baseline'!C$1:AE$257,26,FALSE)),"",(VLOOKUP(AG21,'C-1 On-Site WaterC'' Baseline'!C$1:AE$257,26,FALSE))))),"")</f>
        <v/>
      </c>
      <c r="BF21" s="624" t="str">
        <f>IFERROR(IF(LEN(VLOOKUP($AG21,'C-1 On-Site WaterC'' Baseline'!C$1:AE$257,27,FALSE))=0,"",IF(AG21="","",IF(ISNA(VLOOKUP($AG21,'C-1 On-Site WaterC'' Baseline'!C$1:AE$257,27,FALSE)),"",(VLOOKUP(AG21,'C-1 On-Site WaterC'' Baseline'!C$1:AE$257,27,FALSE))))),"")</f>
        <v/>
      </c>
      <c r="BG21" s="663" t="str">
        <f>IFERROR(IF(LEN(VLOOKUP($AG21,'C-1 On-Site WaterC'' Baseline'!C$1:AE$257,28,FALSE))=0,"",IF(AG21="","",IF(ISNA(VLOOKUP($AG21,'C-1 On-Site WaterC'' Baseline'!C$1:AE$257,28,FALSE)),"",(VLOOKUP(AG21,'C-1 On-Site WaterC'' Baseline'!C$1:AE$257,28,FALSE))))),"")</f>
        <v/>
      </c>
      <c r="BH21" s="647" t="str">
        <f>IF('C-1 On-Site WaterC'' Baseline'!AU21="","", IF('C-1 On-Site WaterC'' Baseline'!AU21="Yes", TRUE, FALSE))</f>
        <v/>
      </c>
      <c r="BI21" s="647">
        <v>12</v>
      </c>
      <c r="BJ21" s="647" t="e">
        <f>IF(#REF!="","", IF(#REF!="Yes", TRUE, FALSE))</f>
        <v>#REF!</v>
      </c>
      <c r="BK21" s="647" t="str">
        <f t="shared" si="4"/>
        <v/>
      </c>
      <c r="BL21" s="647" t="str">
        <f>IF(AG21="","",IF(LEN(VLOOKUP($AG21,'C-1 On-Site WaterC'' Baseline'!$C$1:$AV$257,25,FALSE))=0,"",VLOOKUP(AG21,'C-1 On-Site WaterC'' Baseline'!$C$1:$AV$257,25,FALSE)))</f>
        <v/>
      </c>
      <c r="BM21" s="647" t="str">
        <f>IF(B21="","",IF(LEN(VLOOKUP($B21,'A-1 On-Site Habitat Baseline'!$D$1:$AV$258,22,FALSE))=0,"",(VLOOKUP(B21,'A-1 On-Site Habitat Baseline'!$D$1:$AV$258,22,FALSE))))</f>
        <v/>
      </c>
    </row>
    <row r="22" spans="2:65" s="649" customFormat="1" ht="44.5" customHeight="1" x14ac:dyDescent="0.3">
      <c r="B22" s="660" t="str" cm="1">
        <f t="array" ref="B22">IFERROR(INDEX($AD$10:$AD$259, MATCH(0, IF(TRUE=$AC$10:$AC$259, COUNTIF($B$9:B21, $AD$10:$AD$259), ""), 0)),"")</f>
        <v/>
      </c>
      <c r="C22" s="611"/>
      <c r="D22" s="611"/>
      <c r="E22" s="1068" t="str">
        <f>IF(B22="","",IF(ISNA(VLOOKUP($B22,'A-1 On-Site Habitat Baseline'!$D$1:$AV$258,45,FALSE)),"",(VLOOKUP(B22,'A-1 On-Site Habitat Baseline'!$D$1:$AV$258,45,FALSE))))</f>
        <v/>
      </c>
      <c r="F22" s="1068"/>
      <c r="G22" s="1068"/>
      <c r="H22" s="1096"/>
      <c r="I22" s="1096"/>
      <c r="J22" s="1096"/>
      <c r="K22" s="1055" t="str">
        <f>IF(B22="","",IF(ISNA(VLOOKUP($B22,'A-1 On-Site Habitat Baseline'!$D$1:$AV$258,5,FALSE)),"",(VLOOKUP(B22,'A-1 On-Site Habitat Baseline'!$D$1:$AV$258,5,FALSE))))</f>
        <v/>
      </c>
      <c r="L22" s="1055"/>
      <c r="M22" s="1055" t="str">
        <f>IF(B22="","",IF(ISNA(VLOOKUP($B22,'A-1 On-Site Habitat Baseline'!$D$1:$AV$258,16,FALSE)),"",(VLOOKUP(B22,'A-1 On-Site Habitat Baseline'!$D$1:$AV$258,16,FALSE))))</f>
        <v/>
      </c>
      <c r="N22" s="1055"/>
      <c r="O22" s="1068" t="str">
        <f>IF(B22="","",IF(ISNA(VLOOKUP($B22,'A-1 On-Site Habitat Baseline'!$D$1:$AV$258,17,FALSE)),"",(VLOOKUP(B22,'A-1 On-Site Habitat Baseline'!$D$1:$AV$258,17,FALSE))))</f>
        <v/>
      </c>
      <c r="P22" s="1068"/>
      <c r="Q22" s="1068"/>
      <c r="R22" s="1068"/>
      <c r="S22" s="1055" t="str">
        <f t="shared" si="0"/>
        <v/>
      </c>
      <c r="T22" s="1068"/>
      <c r="U22" s="617" t="str">
        <f t="shared" si="1"/>
        <v/>
      </c>
      <c r="V22" s="615"/>
      <c r="W22" s="615"/>
      <c r="X22" s="615"/>
      <c r="Y22" s="615"/>
      <c r="Z22" s="650" t="str">
        <f ca="1">IFERROR(IF(LEN(VLOOKUP($B22,'A-1 On-Site Habitat Baseline'!$D$1:$AV$258,23,FALSE))=0,"",IF(B22="","",IF(ISNA(VLOOKUP($B22,'A-1 On-Site Habitat Baseline'!$D$1:$AV$258,23,FALSE)),"",(VLOOKUP(B22,'A-1 On-Site Habitat Baseline'!$D$1:$AV$258,23,FALSE))))),"")</f>
        <v/>
      </c>
      <c r="AA22" s="624" t="str">
        <f ca="1">IFERROR(IF(LEN(VLOOKUP($B22,'A-1 On-Site Habitat Baseline'!$D$1:$AV$258,24,FALSE))=0,"",IF(B22="","",IF(ISNA(VLOOKUP($B22,'A-1 On-Site Habitat Baseline'!$D$1:$AV$258,24,FALSE)),"",(VLOOKUP(B22,'A-1 On-Site Habitat Baseline'!$D$1:$AV$258,24,FALSE))))),"")</f>
        <v/>
      </c>
      <c r="AB22" s="648" t="str">
        <f ca="1">IFERROR(IF(LEN(VLOOKUP($B22,'A-1 On-Site Habitat Baseline'!$D$1:$AV$258,25,FALSE))=0,"",IF(B22="","",IF(ISNA(VLOOKUP($B22,'A-1 On-Site Habitat Baseline'!$D$1:$AV$258,25,FALSE)),"",(VLOOKUP(B22,'A-1 On-Site Habitat Baseline'!$D$1:$AV$258,25,FALSE))))),"")</f>
        <v/>
      </c>
      <c r="AC22" s="646" t="str">
        <f>IF('A-1 On-Site Habitat Baseline'!G23="","", IF('A-1 On-Site Habitat Baseline'!G23="Yes", TRUE, FALSE))</f>
        <v/>
      </c>
      <c r="AD22" s="647">
        <v>13</v>
      </c>
      <c r="AE22" s="646" t="e">
        <f>IF(#REF!="","", IF(#REF!="Yes", TRUE, FALSE))</f>
        <v>#REF!</v>
      </c>
      <c r="AF22" s="646"/>
      <c r="AG22" s="610" t="str" cm="1">
        <f t="array" ref="AG22">IFERROR(INDEX($BI$10:$BI$259, MATCH(0, IF(TRUE=$BH$10:$BH$259, COUNTIF($AG$9:AG21, $BI$10:$BI$259), ""), 0)),"")</f>
        <v/>
      </c>
      <c r="AH22" s="611"/>
      <c r="AI22" s="611"/>
      <c r="AJ22" s="1068" t="str">
        <f>IF(BH22=FALSE,"",IF(ISNA(VLOOKUP(AG22,'C-1 On-Site WaterC'' Baseline'!C$1:D$257,2,FALSE)),"",(VLOOKUP(AG22,'C-1 On-Site WaterC'' Baseline'!C$1:D$257,2,FALSE))))</f>
        <v/>
      </c>
      <c r="AK22" s="1068"/>
      <c r="AL22" s="1068"/>
      <c r="AM22" s="1096"/>
      <c r="AN22" s="1096"/>
      <c r="AO22" s="1096"/>
      <c r="AP22" s="1055" t="str">
        <f>IF(AG22="","",IF(ISNA(VLOOKUP($AG22,'C-1 On-Site WaterC'' Baseline'!C$1:E$257,3,FALSE)),"",(VLOOKUP(AG22,'C-1 On-Site WaterC'' Baseline'!C$1:E$257,3,FALSE))))</f>
        <v/>
      </c>
      <c r="AQ22" s="1055"/>
      <c r="AR22" s="1052" t="str">
        <f>IF(AG22="","",IF(ISNA(VLOOKUP($AG22,'C-1 On-Site WaterC'' Baseline'!C$1:AA$257,19,FALSE)),"",(VLOOKUP(AG22,'C-1 On-Site WaterC'' Baseline'!C$1:AA$257,19,FALSE))))</f>
        <v/>
      </c>
      <c r="AS22" s="1054"/>
      <c r="AT22" s="1052" t="str">
        <f>IF(AG22="","",IF(ISNA(VLOOKUP($AG22,'C-1 On-Site WaterC'' Baseline'!C$1:AA$257,20,FALSE)),"",(VLOOKUP(AG22,'C-1 On-Site WaterC'' Baseline'!C$1:AA$257,20,FALSE))))</f>
        <v/>
      </c>
      <c r="AU22" s="1053"/>
      <c r="AV22" s="1053"/>
      <c r="AW22" s="1054"/>
      <c r="AX22" s="1055" t="str">
        <f t="shared" si="2"/>
        <v/>
      </c>
      <c r="AY22" s="1055"/>
      <c r="AZ22" s="1056" t="str">
        <f t="shared" si="3"/>
        <v/>
      </c>
      <c r="BA22" s="1057"/>
      <c r="BB22" s="1057"/>
      <c r="BC22" s="1057"/>
      <c r="BD22" s="1058"/>
      <c r="BE22" s="650" t="str">
        <f>IFERROR(IF(LEN(VLOOKUP($AG22,'C-1 On-Site WaterC'' Baseline'!C$1:AE$257,26,FALSE))=0,"",IF(AG22="","",IF(ISNA(VLOOKUP($AG22,'C-1 On-Site WaterC'' Baseline'!C$1:AE$257,26,FALSE)),"",(VLOOKUP(AG22,'C-1 On-Site WaterC'' Baseline'!C$1:AE$257,26,FALSE))))),"")</f>
        <v/>
      </c>
      <c r="BF22" s="624" t="str">
        <f>IFERROR(IF(LEN(VLOOKUP($AG22,'C-1 On-Site WaterC'' Baseline'!C$1:AE$257,27,FALSE))=0,"",IF(AG22="","",IF(ISNA(VLOOKUP($AG22,'C-1 On-Site WaterC'' Baseline'!C$1:AE$257,27,FALSE)),"",(VLOOKUP(AG22,'C-1 On-Site WaterC'' Baseline'!C$1:AE$257,27,FALSE))))),"")</f>
        <v/>
      </c>
      <c r="BG22" s="663" t="str">
        <f>IFERROR(IF(LEN(VLOOKUP($AG22,'C-1 On-Site WaterC'' Baseline'!C$1:AE$257,28,FALSE))=0,"",IF(AG22="","",IF(ISNA(VLOOKUP($AG22,'C-1 On-Site WaterC'' Baseline'!C$1:AE$257,28,FALSE)),"",(VLOOKUP(AG22,'C-1 On-Site WaterC'' Baseline'!C$1:AE$257,28,FALSE))))),"")</f>
        <v/>
      </c>
      <c r="BH22" s="647" t="str">
        <f>IF('C-1 On-Site WaterC'' Baseline'!AU22="","", IF('C-1 On-Site WaterC'' Baseline'!AU22="Yes", TRUE, FALSE))</f>
        <v/>
      </c>
      <c r="BI22" s="647">
        <v>13</v>
      </c>
      <c r="BJ22" s="647" t="e">
        <f>IF(#REF!="","", IF(#REF!="Yes", TRUE, FALSE))</f>
        <v>#REF!</v>
      </c>
      <c r="BK22" s="647" t="str">
        <f t="shared" si="4"/>
        <v/>
      </c>
      <c r="BL22" s="647" t="str">
        <f>IF(AG22="","",IF(LEN(VLOOKUP($AG22,'C-1 On-Site WaterC'' Baseline'!$C$1:$AV$257,25,FALSE))=0,"",VLOOKUP(AG22,'C-1 On-Site WaterC'' Baseline'!$C$1:$AV$257,25,FALSE)))</f>
        <v/>
      </c>
      <c r="BM22" s="647" t="str">
        <f>IF(B22="","",IF(LEN(VLOOKUP($B22,'A-1 On-Site Habitat Baseline'!$D$1:$AV$258,22,FALSE))=0,"",(VLOOKUP(B22,'A-1 On-Site Habitat Baseline'!$D$1:$AV$258,22,FALSE))))</f>
        <v/>
      </c>
    </row>
    <row r="23" spans="2:65" s="649" customFormat="1" ht="44.5" customHeight="1" x14ac:dyDescent="0.3">
      <c r="B23" s="660" t="str" cm="1">
        <f t="array" ref="B23">IFERROR(INDEX($AD$10:$AD$259, MATCH(0, IF(TRUE=$AC$10:$AC$259, COUNTIF($B$9:B22, $AD$10:$AD$259), ""), 0)),"")</f>
        <v/>
      </c>
      <c r="C23" s="611"/>
      <c r="D23" s="611"/>
      <c r="E23" s="1068" t="str">
        <f>IF(B23="","",IF(ISNA(VLOOKUP($B23,'A-1 On-Site Habitat Baseline'!$D$1:$AV$258,45,FALSE)),"",(VLOOKUP(B23,'A-1 On-Site Habitat Baseline'!$D$1:$AV$258,45,FALSE))))</f>
        <v/>
      </c>
      <c r="F23" s="1068"/>
      <c r="G23" s="1068"/>
      <c r="H23" s="1096"/>
      <c r="I23" s="1096"/>
      <c r="J23" s="1096"/>
      <c r="K23" s="1055" t="str">
        <f>IF(B23="","",IF(ISNA(VLOOKUP($B23,'A-1 On-Site Habitat Baseline'!$D$1:$AV$258,5,FALSE)),"",(VLOOKUP(B23,'A-1 On-Site Habitat Baseline'!$D$1:$AV$258,5,FALSE))))</f>
        <v/>
      </c>
      <c r="L23" s="1055"/>
      <c r="M23" s="1055" t="str">
        <f>IF(B23="","",IF(ISNA(VLOOKUP($B23,'A-1 On-Site Habitat Baseline'!$D$1:$AV$258,16,FALSE)),"",(VLOOKUP(B23,'A-1 On-Site Habitat Baseline'!$D$1:$AV$258,16,FALSE))))</f>
        <v/>
      </c>
      <c r="N23" s="1055"/>
      <c r="O23" s="1068" t="str">
        <f>IF(B23="","",IF(ISNA(VLOOKUP($B23,'A-1 On-Site Habitat Baseline'!$D$1:$AV$258,17,FALSE)),"",(VLOOKUP(B23,'A-1 On-Site Habitat Baseline'!$D$1:$AV$258,17,FALSE))))</f>
        <v/>
      </c>
      <c r="P23" s="1068"/>
      <c r="Q23" s="1068"/>
      <c r="R23" s="1068"/>
      <c r="S23" s="1055" t="str">
        <f t="shared" si="0"/>
        <v/>
      </c>
      <c r="T23" s="1068"/>
      <c r="U23" s="617" t="str">
        <f t="shared" si="1"/>
        <v/>
      </c>
      <c r="V23" s="615"/>
      <c r="W23" s="615"/>
      <c r="X23" s="615"/>
      <c r="Y23" s="615"/>
      <c r="Z23" s="650" t="str">
        <f ca="1">IFERROR(IF(LEN(VLOOKUP($B23,'A-1 On-Site Habitat Baseline'!$D$1:$AV$258,23,FALSE))=0,"",IF(B23="","",IF(ISNA(VLOOKUP($B23,'A-1 On-Site Habitat Baseline'!$D$1:$AV$258,23,FALSE)),"",(VLOOKUP(B23,'A-1 On-Site Habitat Baseline'!$D$1:$AV$258,23,FALSE))))),"")</f>
        <v/>
      </c>
      <c r="AA23" s="624" t="str">
        <f ca="1">IFERROR(IF(LEN(VLOOKUP($B23,'A-1 On-Site Habitat Baseline'!$D$1:$AV$258,24,FALSE))=0,"",IF(B23="","",IF(ISNA(VLOOKUP($B23,'A-1 On-Site Habitat Baseline'!$D$1:$AV$258,24,FALSE)),"",(VLOOKUP(B23,'A-1 On-Site Habitat Baseline'!$D$1:$AV$258,24,FALSE))))),"")</f>
        <v/>
      </c>
      <c r="AB23" s="648" t="str">
        <f ca="1">IFERROR(IF(LEN(VLOOKUP($B23,'A-1 On-Site Habitat Baseline'!$D$1:$AV$258,25,FALSE))=0,"",IF(B23="","",IF(ISNA(VLOOKUP($B23,'A-1 On-Site Habitat Baseline'!$D$1:$AV$258,25,FALSE)),"",(VLOOKUP(B23,'A-1 On-Site Habitat Baseline'!$D$1:$AV$258,25,FALSE))))),"")</f>
        <v/>
      </c>
      <c r="AC23" s="646" t="str">
        <f>IF('A-1 On-Site Habitat Baseline'!G24="","", IF('A-1 On-Site Habitat Baseline'!G24="Yes", TRUE, FALSE))</f>
        <v/>
      </c>
      <c r="AD23" s="647">
        <v>14</v>
      </c>
      <c r="AE23" s="646" t="e">
        <f>IF(#REF!="","", IF(#REF!="Yes", TRUE, FALSE))</f>
        <v>#REF!</v>
      </c>
      <c r="AF23" s="646"/>
      <c r="AG23" s="610" t="str" cm="1">
        <f t="array" ref="AG23">IFERROR(INDEX($BI$10:$BI$259, MATCH(0, IF(TRUE=$BH$10:$BH$259, COUNTIF($AG$9:AG22, $BI$10:$BI$259), ""), 0)),"")</f>
        <v/>
      </c>
      <c r="AH23" s="611"/>
      <c r="AI23" s="611"/>
      <c r="AJ23" s="1068" t="str">
        <f>IF(BH23=FALSE,"",IF(ISNA(VLOOKUP(AG23,'C-1 On-Site WaterC'' Baseline'!C$1:D$257,2,FALSE)),"",(VLOOKUP(AG23,'C-1 On-Site WaterC'' Baseline'!C$1:D$257,2,FALSE))))</f>
        <v/>
      </c>
      <c r="AK23" s="1068"/>
      <c r="AL23" s="1068"/>
      <c r="AM23" s="1096"/>
      <c r="AN23" s="1096"/>
      <c r="AO23" s="1096"/>
      <c r="AP23" s="1055" t="str">
        <f>IF(AG23="","",IF(ISNA(VLOOKUP($AG23,'C-1 On-Site WaterC'' Baseline'!C$1:E$257,3,FALSE)),"",(VLOOKUP(AG23,'C-1 On-Site WaterC'' Baseline'!C$1:E$257,3,FALSE))))</f>
        <v/>
      </c>
      <c r="AQ23" s="1055"/>
      <c r="AR23" s="1052" t="str">
        <f>IF(AG23="","",IF(ISNA(VLOOKUP($AG23,'C-1 On-Site WaterC'' Baseline'!C$1:AA$257,19,FALSE)),"",(VLOOKUP(AG23,'C-1 On-Site WaterC'' Baseline'!C$1:AA$257,19,FALSE))))</f>
        <v/>
      </c>
      <c r="AS23" s="1054"/>
      <c r="AT23" s="1052" t="str">
        <f>IF(AG23="","",IF(ISNA(VLOOKUP($AG23,'C-1 On-Site WaterC'' Baseline'!C$1:AA$257,20,FALSE)),"",(VLOOKUP(AG23,'C-1 On-Site WaterC'' Baseline'!C$1:AA$257,20,FALSE))))</f>
        <v/>
      </c>
      <c r="AU23" s="1053"/>
      <c r="AV23" s="1053"/>
      <c r="AW23" s="1054"/>
      <c r="AX23" s="1055" t="str">
        <f t="shared" si="2"/>
        <v/>
      </c>
      <c r="AY23" s="1055"/>
      <c r="AZ23" s="1056" t="str">
        <f t="shared" si="3"/>
        <v/>
      </c>
      <c r="BA23" s="1057"/>
      <c r="BB23" s="1057"/>
      <c r="BC23" s="1057"/>
      <c r="BD23" s="1058"/>
      <c r="BE23" s="650" t="str">
        <f>IFERROR(IF(LEN(VLOOKUP($AG23,'C-1 On-Site WaterC'' Baseline'!C$1:AE$257,26,FALSE))=0,"",IF(AG23="","",IF(ISNA(VLOOKUP($AG23,'C-1 On-Site WaterC'' Baseline'!C$1:AE$257,26,FALSE)),"",(VLOOKUP(AG23,'C-1 On-Site WaterC'' Baseline'!C$1:AE$257,26,FALSE))))),"")</f>
        <v/>
      </c>
      <c r="BF23" s="624" t="str">
        <f>IFERROR(IF(LEN(VLOOKUP($AG23,'C-1 On-Site WaterC'' Baseline'!C$1:AE$257,27,FALSE))=0,"",IF(AG23="","",IF(ISNA(VLOOKUP($AG23,'C-1 On-Site WaterC'' Baseline'!C$1:AE$257,27,FALSE)),"",(VLOOKUP(AG23,'C-1 On-Site WaterC'' Baseline'!C$1:AE$257,27,FALSE))))),"")</f>
        <v/>
      </c>
      <c r="BG23" s="663" t="str">
        <f>IFERROR(IF(LEN(VLOOKUP($AG23,'C-1 On-Site WaterC'' Baseline'!C$1:AE$257,28,FALSE))=0,"",IF(AG23="","",IF(ISNA(VLOOKUP($AG23,'C-1 On-Site WaterC'' Baseline'!C$1:AE$257,28,FALSE)),"",(VLOOKUP(AG23,'C-1 On-Site WaterC'' Baseline'!C$1:AE$257,28,FALSE))))),"")</f>
        <v/>
      </c>
      <c r="BH23" s="647" t="str">
        <f>IF('C-1 On-Site WaterC'' Baseline'!AU23="","", IF('C-1 On-Site WaterC'' Baseline'!AU23="Yes", TRUE, FALSE))</f>
        <v/>
      </c>
      <c r="BI23" s="647">
        <v>14</v>
      </c>
      <c r="BJ23" s="647" t="e">
        <f>IF(#REF!="","", IF(#REF!="Yes", TRUE, FALSE))</f>
        <v>#REF!</v>
      </c>
      <c r="BK23" s="647" t="str">
        <f t="shared" si="4"/>
        <v/>
      </c>
      <c r="BL23" s="647" t="str">
        <f>IF(AG23="","",IF(LEN(VLOOKUP($AG23,'C-1 On-Site WaterC'' Baseline'!$C$1:$AV$257,25,FALSE))=0,"",VLOOKUP(AG23,'C-1 On-Site WaterC'' Baseline'!$C$1:$AV$257,25,FALSE)))</f>
        <v/>
      </c>
      <c r="BM23" s="647" t="str">
        <f>IF(B23="","",IF(LEN(VLOOKUP($B23,'A-1 On-Site Habitat Baseline'!$D$1:$AV$258,22,FALSE))=0,"",(VLOOKUP(B23,'A-1 On-Site Habitat Baseline'!$D$1:$AV$258,22,FALSE))))</f>
        <v/>
      </c>
    </row>
    <row r="24" spans="2:65" s="649" customFormat="1" ht="44.5" customHeight="1" x14ac:dyDescent="0.3">
      <c r="B24" s="660" t="str" cm="1">
        <f t="array" ref="B24">IFERROR(INDEX($AD$10:$AD$259, MATCH(0, IF(TRUE=$AC$10:$AC$259, COUNTIF($B$9:B23, $AD$10:$AD$259), ""), 0)),"")</f>
        <v/>
      </c>
      <c r="C24" s="611"/>
      <c r="D24" s="611"/>
      <c r="E24" s="1068" t="str">
        <f>IF(B24="","",IF(ISNA(VLOOKUP($B24,'A-1 On-Site Habitat Baseline'!$D$1:$AV$258,45,FALSE)),"",(VLOOKUP(B24,'A-1 On-Site Habitat Baseline'!$D$1:$AV$258,45,FALSE))))</f>
        <v/>
      </c>
      <c r="F24" s="1068"/>
      <c r="G24" s="1068"/>
      <c r="H24" s="1096"/>
      <c r="I24" s="1096"/>
      <c r="J24" s="1096"/>
      <c r="K24" s="1055" t="str">
        <f>IF(B24="","",IF(ISNA(VLOOKUP($B24,'A-1 On-Site Habitat Baseline'!$D$1:$AV$258,5,FALSE)),"",(VLOOKUP(B24,'A-1 On-Site Habitat Baseline'!$D$1:$AV$258,5,FALSE))))</f>
        <v/>
      </c>
      <c r="L24" s="1055"/>
      <c r="M24" s="1055" t="str">
        <f>IF(B24="","",IF(ISNA(VLOOKUP($B24,'A-1 On-Site Habitat Baseline'!$D$1:$AV$258,16,FALSE)),"",(VLOOKUP(B24,'A-1 On-Site Habitat Baseline'!$D$1:$AV$258,16,FALSE))))</f>
        <v/>
      </c>
      <c r="N24" s="1055"/>
      <c r="O24" s="1068" t="str">
        <f>IF(B24="","",IF(ISNA(VLOOKUP($B24,'A-1 On-Site Habitat Baseline'!$D$1:$AV$258,17,FALSE)),"",(VLOOKUP(B24,'A-1 On-Site Habitat Baseline'!$D$1:$AV$258,17,FALSE))))</f>
        <v/>
      </c>
      <c r="P24" s="1068"/>
      <c r="Q24" s="1068"/>
      <c r="R24" s="1068"/>
      <c r="S24" s="1055" t="str">
        <f t="shared" si="0"/>
        <v/>
      </c>
      <c r="T24" s="1068"/>
      <c r="U24" s="617" t="str">
        <f t="shared" si="1"/>
        <v/>
      </c>
      <c r="V24" s="615"/>
      <c r="W24" s="615"/>
      <c r="X24" s="615"/>
      <c r="Y24" s="615"/>
      <c r="Z24" s="650" t="str">
        <f ca="1">IFERROR(IF(LEN(VLOOKUP($B24,'A-1 On-Site Habitat Baseline'!$D$1:$AV$258,23,FALSE))=0,"",IF(B24="","",IF(ISNA(VLOOKUP($B24,'A-1 On-Site Habitat Baseline'!$D$1:$AV$258,23,FALSE)),"",(VLOOKUP(B24,'A-1 On-Site Habitat Baseline'!$D$1:$AV$258,23,FALSE))))),"")</f>
        <v/>
      </c>
      <c r="AA24" s="624" t="str">
        <f ca="1">IFERROR(IF(LEN(VLOOKUP($B24,'A-1 On-Site Habitat Baseline'!$D$1:$AV$258,24,FALSE))=0,"",IF(B24="","",IF(ISNA(VLOOKUP($B24,'A-1 On-Site Habitat Baseline'!$D$1:$AV$258,24,FALSE)),"",(VLOOKUP(B24,'A-1 On-Site Habitat Baseline'!$D$1:$AV$258,24,FALSE))))),"")</f>
        <v/>
      </c>
      <c r="AB24" s="648" t="str">
        <f ca="1">IFERROR(IF(LEN(VLOOKUP($B24,'A-1 On-Site Habitat Baseline'!$D$1:$AV$258,25,FALSE))=0,"",IF(B24="","",IF(ISNA(VLOOKUP($B24,'A-1 On-Site Habitat Baseline'!$D$1:$AV$258,25,FALSE)),"",(VLOOKUP(B24,'A-1 On-Site Habitat Baseline'!$D$1:$AV$258,25,FALSE))))),"")</f>
        <v/>
      </c>
      <c r="AC24" s="646" t="str">
        <f>IF('A-1 On-Site Habitat Baseline'!G25="","", IF('A-1 On-Site Habitat Baseline'!G25="Yes", TRUE, FALSE))</f>
        <v/>
      </c>
      <c r="AD24" s="647">
        <v>15</v>
      </c>
      <c r="AE24" s="646" t="e">
        <f>IF(#REF!="","", IF(#REF!="Yes", TRUE, FALSE))</f>
        <v>#REF!</v>
      </c>
      <c r="AF24" s="646"/>
      <c r="AG24" s="610" t="str" cm="1">
        <f t="array" ref="AG24">IFERROR(INDEX($BI$10:$BI$259, MATCH(0, IF(TRUE=$BH$10:$BH$259, COUNTIF($AG$9:AG23, $BI$10:$BI$259), ""), 0)),"")</f>
        <v/>
      </c>
      <c r="AH24" s="611"/>
      <c r="AI24" s="611"/>
      <c r="AJ24" s="1068" t="str">
        <f>IF(BH24=FALSE,"",IF(ISNA(VLOOKUP(AG24,'C-1 On-Site WaterC'' Baseline'!C$1:D$257,2,FALSE)),"",(VLOOKUP(AG24,'C-1 On-Site WaterC'' Baseline'!C$1:D$257,2,FALSE))))</f>
        <v/>
      </c>
      <c r="AK24" s="1068"/>
      <c r="AL24" s="1068"/>
      <c r="AM24" s="1096"/>
      <c r="AN24" s="1096"/>
      <c r="AO24" s="1096"/>
      <c r="AP24" s="1055" t="str">
        <f>IF(AG24="","",IF(ISNA(VLOOKUP($AG24,'C-1 On-Site WaterC'' Baseline'!C$1:E$257,3,FALSE)),"",(VLOOKUP(AG24,'C-1 On-Site WaterC'' Baseline'!C$1:E$257,3,FALSE))))</f>
        <v/>
      </c>
      <c r="AQ24" s="1055"/>
      <c r="AR24" s="1052" t="str">
        <f>IF(AG24="","",IF(ISNA(VLOOKUP($AG24,'C-1 On-Site WaterC'' Baseline'!C$1:AA$257,19,FALSE)),"",(VLOOKUP(AG24,'C-1 On-Site WaterC'' Baseline'!C$1:AA$257,19,FALSE))))</f>
        <v/>
      </c>
      <c r="AS24" s="1054"/>
      <c r="AT24" s="1052" t="str">
        <f>IF(AG24="","",IF(ISNA(VLOOKUP($AG24,'C-1 On-Site WaterC'' Baseline'!C$1:AA$257,20,FALSE)),"",(VLOOKUP(AG24,'C-1 On-Site WaterC'' Baseline'!C$1:AA$257,20,FALSE))))</f>
        <v/>
      </c>
      <c r="AU24" s="1053"/>
      <c r="AV24" s="1053"/>
      <c r="AW24" s="1054"/>
      <c r="AX24" s="1055" t="str">
        <f t="shared" si="2"/>
        <v/>
      </c>
      <c r="AY24" s="1055"/>
      <c r="AZ24" s="1056" t="str">
        <f t="shared" si="3"/>
        <v/>
      </c>
      <c r="BA24" s="1057"/>
      <c r="BB24" s="1057"/>
      <c r="BC24" s="1057"/>
      <c r="BD24" s="1058"/>
      <c r="BE24" s="650" t="str">
        <f>IFERROR(IF(LEN(VLOOKUP($AG24,'C-1 On-Site WaterC'' Baseline'!C$1:AE$257,26,FALSE))=0,"",IF(AG24="","",IF(ISNA(VLOOKUP($AG24,'C-1 On-Site WaterC'' Baseline'!C$1:AE$257,26,FALSE)),"",(VLOOKUP(AG24,'C-1 On-Site WaterC'' Baseline'!C$1:AE$257,26,FALSE))))),"")</f>
        <v/>
      </c>
      <c r="BF24" s="624" t="str">
        <f>IFERROR(IF(LEN(VLOOKUP($AG24,'C-1 On-Site WaterC'' Baseline'!C$1:AE$257,27,FALSE))=0,"",IF(AG24="","",IF(ISNA(VLOOKUP($AG24,'C-1 On-Site WaterC'' Baseline'!C$1:AE$257,27,FALSE)),"",(VLOOKUP(AG24,'C-1 On-Site WaterC'' Baseline'!C$1:AE$257,27,FALSE))))),"")</f>
        <v/>
      </c>
      <c r="BG24" s="663" t="str">
        <f>IFERROR(IF(LEN(VLOOKUP($AG24,'C-1 On-Site WaterC'' Baseline'!C$1:AE$257,28,FALSE))=0,"",IF(AG24="","",IF(ISNA(VLOOKUP($AG24,'C-1 On-Site WaterC'' Baseline'!C$1:AE$257,28,FALSE)),"",(VLOOKUP(AG24,'C-1 On-Site WaterC'' Baseline'!C$1:AE$257,28,FALSE))))),"")</f>
        <v/>
      </c>
      <c r="BH24" s="647" t="str">
        <f>IF('C-1 On-Site WaterC'' Baseline'!AU24="","", IF('C-1 On-Site WaterC'' Baseline'!AU24="Yes", TRUE, FALSE))</f>
        <v/>
      </c>
      <c r="BI24" s="647">
        <v>15</v>
      </c>
      <c r="BJ24" s="647" t="e">
        <f>IF(#REF!="","", IF(#REF!="Yes", TRUE, FALSE))</f>
        <v>#REF!</v>
      </c>
      <c r="BK24" s="647" t="str">
        <f t="shared" si="4"/>
        <v/>
      </c>
      <c r="BL24" s="647" t="str">
        <f>IF(AG24="","",IF(LEN(VLOOKUP($AG24,'C-1 On-Site WaterC'' Baseline'!$C$1:$AV$257,25,FALSE))=0,"",VLOOKUP(AG24,'C-1 On-Site WaterC'' Baseline'!$C$1:$AV$257,25,FALSE)))</f>
        <v/>
      </c>
      <c r="BM24" s="647" t="str">
        <f>IF(B24="","",IF(LEN(VLOOKUP($B24,'A-1 On-Site Habitat Baseline'!$D$1:$AV$258,22,FALSE))=0,"",(VLOOKUP(B24,'A-1 On-Site Habitat Baseline'!$D$1:$AV$258,22,FALSE))))</f>
        <v/>
      </c>
    </row>
    <row r="25" spans="2:65" s="649" customFormat="1" ht="44.5" customHeight="1" x14ac:dyDescent="0.3">
      <c r="B25" s="660" t="str" cm="1">
        <f t="array" ref="B25">IFERROR(INDEX($AD$10:$AD$259, MATCH(0, IF(TRUE=$AC$10:$AC$259, COUNTIF($B$9:B24, $AD$10:$AD$259), ""), 0)),"")</f>
        <v/>
      </c>
      <c r="C25" s="611"/>
      <c r="D25" s="611"/>
      <c r="E25" s="1068" t="str">
        <f>IF(B25="","",IF(ISNA(VLOOKUP($B25,'A-1 On-Site Habitat Baseline'!$D$1:$AV$258,45,FALSE)),"",(VLOOKUP(B25,'A-1 On-Site Habitat Baseline'!$D$1:$AV$258,45,FALSE))))</f>
        <v/>
      </c>
      <c r="F25" s="1068"/>
      <c r="G25" s="1068"/>
      <c r="H25" s="1096"/>
      <c r="I25" s="1096"/>
      <c r="J25" s="1096"/>
      <c r="K25" s="1055" t="str">
        <f>IF(B25="","",IF(ISNA(VLOOKUP($B25,'A-1 On-Site Habitat Baseline'!$D$1:$AV$258,5,FALSE)),"",(VLOOKUP(B25,'A-1 On-Site Habitat Baseline'!$D$1:$AV$258,5,FALSE))))</f>
        <v/>
      </c>
      <c r="L25" s="1055"/>
      <c r="M25" s="1055" t="str">
        <f>IF(B25="","",IF(ISNA(VLOOKUP($B25,'A-1 On-Site Habitat Baseline'!$D$1:$AV$258,16,FALSE)),"",(VLOOKUP(B25,'A-1 On-Site Habitat Baseline'!$D$1:$AV$258,16,FALSE))))</f>
        <v/>
      </c>
      <c r="N25" s="1055"/>
      <c r="O25" s="1068" t="str">
        <f>IF(B25="","",IF(ISNA(VLOOKUP($B25,'A-1 On-Site Habitat Baseline'!$D$1:$AV$258,17,FALSE)),"",(VLOOKUP(B25,'A-1 On-Site Habitat Baseline'!$D$1:$AV$258,17,FALSE))))</f>
        <v/>
      </c>
      <c r="P25" s="1068"/>
      <c r="Q25" s="1068"/>
      <c r="R25" s="1068"/>
      <c r="S25" s="1055" t="str">
        <f t="shared" si="0"/>
        <v/>
      </c>
      <c r="T25" s="1068"/>
      <c r="U25" s="617" t="str">
        <f t="shared" si="1"/>
        <v/>
      </c>
      <c r="V25" s="615"/>
      <c r="W25" s="615"/>
      <c r="X25" s="615"/>
      <c r="Y25" s="615"/>
      <c r="Z25" s="650" t="str">
        <f ca="1">IFERROR(IF(LEN(VLOOKUP($B25,'A-1 On-Site Habitat Baseline'!$D$1:$AV$258,23,FALSE))=0,"",IF(B25="","",IF(ISNA(VLOOKUP($B25,'A-1 On-Site Habitat Baseline'!$D$1:$AV$258,23,FALSE)),"",(VLOOKUP(B25,'A-1 On-Site Habitat Baseline'!$D$1:$AV$258,23,FALSE))))),"")</f>
        <v/>
      </c>
      <c r="AA25" s="624" t="str">
        <f ca="1">IFERROR(IF(LEN(VLOOKUP($B25,'A-1 On-Site Habitat Baseline'!$D$1:$AV$258,24,FALSE))=0,"",IF(B25="","",IF(ISNA(VLOOKUP($B25,'A-1 On-Site Habitat Baseline'!$D$1:$AV$258,24,FALSE)),"",(VLOOKUP(B25,'A-1 On-Site Habitat Baseline'!$D$1:$AV$258,24,FALSE))))),"")</f>
        <v/>
      </c>
      <c r="AB25" s="648" t="str">
        <f ca="1">IFERROR(IF(LEN(VLOOKUP($B25,'A-1 On-Site Habitat Baseline'!$D$1:$AV$258,25,FALSE))=0,"",IF(B25="","",IF(ISNA(VLOOKUP($B25,'A-1 On-Site Habitat Baseline'!$D$1:$AV$258,25,FALSE)),"",(VLOOKUP(B25,'A-1 On-Site Habitat Baseline'!$D$1:$AV$258,25,FALSE))))),"")</f>
        <v/>
      </c>
      <c r="AC25" s="646" t="str">
        <f>IF('A-1 On-Site Habitat Baseline'!G26="","", IF('A-1 On-Site Habitat Baseline'!G26="Yes", TRUE, FALSE))</f>
        <v/>
      </c>
      <c r="AD25" s="647">
        <v>16</v>
      </c>
      <c r="AE25" s="646" t="e">
        <f>IF(#REF!="","", IF(#REF!="Yes", TRUE, FALSE))</f>
        <v>#REF!</v>
      </c>
      <c r="AF25" s="646"/>
      <c r="AG25" s="610" t="str" cm="1">
        <f t="array" ref="AG25">IFERROR(INDEX($BI$10:$BI$259, MATCH(0, IF(TRUE=$BH$10:$BH$259, COUNTIF($AG$9:AG24, $BI$10:$BI$259), ""), 0)),"")</f>
        <v/>
      </c>
      <c r="AH25" s="611"/>
      <c r="AI25" s="611"/>
      <c r="AJ25" s="1068" t="str">
        <f>IF(BH25=FALSE,"",IF(ISNA(VLOOKUP(AG25,'C-1 On-Site WaterC'' Baseline'!C$1:D$257,2,FALSE)),"",(VLOOKUP(AG25,'C-1 On-Site WaterC'' Baseline'!C$1:D$257,2,FALSE))))</f>
        <v/>
      </c>
      <c r="AK25" s="1068"/>
      <c r="AL25" s="1068"/>
      <c r="AM25" s="1096"/>
      <c r="AN25" s="1096"/>
      <c r="AO25" s="1096"/>
      <c r="AP25" s="1055" t="str">
        <f>IF(AG25="","",IF(ISNA(VLOOKUP($AG25,'C-1 On-Site WaterC'' Baseline'!C$1:E$257,3,FALSE)),"",(VLOOKUP(AG25,'C-1 On-Site WaterC'' Baseline'!C$1:E$257,3,FALSE))))</f>
        <v/>
      </c>
      <c r="AQ25" s="1055"/>
      <c r="AR25" s="1052" t="str">
        <f>IF(AG25="","",IF(ISNA(VLOOKUP($AG25,'C-1 On-Site WaterC'' Baseline'!C$1:AA$257,19,FALSE)),"",(VLOOKUP(AG25,'C-1 On-Site WaterC'' Baseline'!C$1:AA$257,19,FALSE))))</f>
        <v/>
      </c>
      <c r="AS25" s="1054"/>
      <c r="AT25" s="1052" t="str">
        <f>IF(AG25="","",IF(ISNA(VLOOKUP($AG25,'C-1 On-Site WaterC'' Baseline'!C$1:AA$257,20,FALSE)),"",(VLOOKUP(AG25,'C-1 On-Site WaterC'' Baseline'!C$1:AA$257,20,FALSE))))</f>
        <v/>
      </c>
      <c r="AU25" s="1053"/>
      <c r="AV25" s="1053"/>
      <c r="AW25" s="1054"/>
      <c r="AX25" s="1055" t="str">
        <f t="shared" si="2"/>
        <v/>
      </c>
      <c r="AY25" s="1055"/>
      <c r="AZ25" s="1056" t="str">
        <f t="shared" si="3"/>
        <v/>
      </c>
      <c r="BA25" s="1057"/>
      <c r="BB25" s="1057"/>
      <c r="BC25" s="1057"/>
      <c r="BD25" s="1058"/>
      <c r="BE25" s="650" t="str">
        <f>IFERROR(IF(LEN(VLOOKUP($AG25,'C-1 On-Site WaterC'' Baseline'!C$1:AE$257,26,FALSE))=0,"",IF(AG25="","",IF(ISNA(VLOOKUP($AG25,'C-1 On-Site WaterC'' Baseline'!C$1:AE$257,26,FALSE)),"",(VLOOKUP(AG25,'C-1 On-Site WaterC'' Baseline'!C$1:AE$257,26,FALSE))))),"")</f>
        <v/>
      </c>
      <c r="BF25" s="624" t="str">
        <f>IFERROR(IF(LEN(VLOOKUP($AG25,'C-1 On-Site WaterC'' Baseline'!C$1:AE$257,27,FALSE))=0,"",IF(AG25="","",IF(ISNA(VLOOKUP($AG25,'C-1 On-Site WaterC'' Baseline'!C$1:AE$257,27,FALSE)),"",(VLOOKUP(AG25,'C-1 On-Site WaterC'' Baseline'!C$1:AE$257,27,FALSE))))),"")</f>
        <v/>
      </c>
      <c r="BG25" s="663" t="str">
        <f>IFERROR(IF(LEN(VLOOKUP($AG25,'C-1 On-Site WaterC'' Baseline'!C$1:AE$257,28,FALSE))=0,"",IF(AG25="","",IF(ISNA(VLOOKUP($AG25,'C-1 On-Site WaterC'' Baseline'!C$1:AE$257,28,FALSE)),"",(VLOOKUP(AG25,'C-1 On-Site WaterC'' Baseline'!C$1:AE$257,28,FALSE))))),"")</f>
        <v/>
      </c>
      <c r="BH25" s="647" t="str">
        <f>IF('C-1 On-Site WaterC'' Baseline'!AU25="","", IF('C-1 On-Site WaterC'' Baseline'!AU25="Yes", TRUE, FALSE))</f>
        <v/>
      </c>
      <c r="BI25" s="647">
        <v>16</v>
      </c>
      <c r="BJ25" s="647" t="e">
        <f>IF(#REF!="","", IF(#REF!="Yes", TRUE, FALSE))</f>
        <v>#REF!</v>
      </c>
      <c r="BK25" s="647" t="str">
        <f t="shared" si="4"/>
        <v/>
      </c>
      <c r="BL25" s="647" t="str">
        <f>IF(AG25="","",IF(LEN(VLOOKUP($AG25,'C-1 On-Site WaterC'' Baseline'!$C$1:$AV$257,25,FALSE))=0,"",VLOOKUP(AG25,'C-1 On-Site WaterC'' Baseline'!$C$1:$AV$257,25,FALSE)))</f>
        <v/>
      </c>
      <c r="BM25" s="647" t="str">
        <f>IF(B25="","",IF(LEN(VLOOKUP($B25,'A-1 On-Site Habitat Baseline'!$D$1:$AV$258,22,FALSE))=0,"",(VLOOKUP(B25,'A-1 On-Site Habitat Baseline'!$D$1:$AV$258,22,FALSE))))</f>
        <v/>
      </c>
    </row>
    <row r="26" spans="2:65" s="649" customFormat="1" ht="44.5" customHeight="1" x14ac:dyDescent="0.3">
      <c r="B26" s="660" t="str" cm="1">
        <f t="array" ref="B26">IFERROR(INDEX($AD$10:$AD$259, MATCH(0, IF(TRUE=$AC$10:$AC$259, COUNTIF($B$9:B25, $AD$10:$AD$259), ""), 0)),"")</f>
        <v/>
      </c>
      <c r="C26" s="611"/>
      <c r="D26" s="611"/>
      <c r="E26" s="1068" t="str">
        <f>IF(B26="","",IF(ISNA(VLOOKUP($B26,'A-1 On-Site Habitat Baseline'!$D$1:$AV$258,45,FALSE)),"",(VLOOKUP(B26,'A-1 On-Site Habitat Baseline'!$D$1:$AV$258,45,FALSE))))</f>
        <v/>
      </c>
      <c r="F26" s="1068"/>
      <c r="G26" s="1068"/>
      <c r="H26" s="1096"/>
      <c r="I26" s="1096"/>
      <c r="J26" s="1096"/>
      <c r="K26" s="1055" t="str">
        <f>IF(B26="","",IF(ISNA(VLOOKUP($B26,'A-1 On-Site Habitat Baseline'!$D$1:$AV$258,5,FALSE)),"",(VLOOKUP(B26,'A-1 On-Site Habitat Baseline'!$D$1:$AV$258,5,FALSE))))</f>
        <v/>
      </c>
      <c r="L26" s="1055"/>
      <c r="M26" s="1055" t="str">
        <f>IF(B26="","",IF(ISNA(VLOOKUP($B26,'A-1 On-Site Habitat Baseline'!$D$1:$AV$258,16,FALSE)),"",(VLOOKUP(B26,'A-1 On-Site Habitat Baseline'!$D$1:$AV$258,16,FALSE))))</f>
        <v/>
      </c>
      <c r="N26" s="1055"/>
      <c r="O26" s="1068" t="str">
        <f>IF(B26="","",IF(ISNA(VLOOKUP($B26,'A-1 On-Site Habitat Baseline'!$D$1:$AV$258,17,FALSE)),"",(VLOOKUP(B26,'A-1 On-Site Habitat Baseline'!$D$1:$AV$258,17,FALSE))))</f>
        <v/>
      </c>
      <c r="P26" s="1068"/>
      <c r="Q26" s="1068"/>
      <c r="R26" s="1068"/>
      <c r="S26" s="1055" t="str">
        <f t="shared" si="0"/>
        <v/>
      </c>
      <c r="T26" s="1068"/>
      <c r="U26" s="617" t="str">
        <f t="shared" si="1"/>
        <v/>
      </c>
      <c r="V26" s="615"/>
      <c r="W26" s="615"/>
      <c r="X26" s="615"/>
      <c r="Y26" s="615"/>
      <c r="Z26" s="650" t="str">
        <f ca="1">IFERROR(IF(LEN(VLOOKUP($B26,'A-1 On-Site Habitat Baseline'!$D$1:$AV$258,23,FALSE))=0,"",IF(B26="","",IF(ISNA(VLOOKUP($B26,'A-1 On-Site Habitat Baseline'!$D$1:$AV$258,23,FALSE)),"",(VLOOKUP(B26,'A-1 On-Site Habitat Baseline'!$D$1:$AV$258,23,FALSE))))),"")</f>
        <v/>
      </c>
      <c r="AA26" s="624" t="str">
        <f ca="1">IFERROR(IF(LEN(VLOOKUP($B26,'A-1 On-Site Habitat Baseline'!$D$1:$AV$258,24,FALSE))=0,"",IF(B26="","",IF(ISNA(VLOOKUP($B26,'A-1 On-Site Habitat Baseline'!$D$1:$AV$258,24,FALSE)),"",(VLOOKUP(B26,'A-1 On-Site Habitat Baseline'!$D$1:$AV$258,24,FALSE))))),"")</f>
        <v/>
      </c>
      <c r="AB26" s="648" t="str">
        <f ca="1">IFERROR(IF(LEN(VLOOKUP($B26,'A-1 On-Site Habitat Baseline'!$D$1:$AV$258,25,FALSE))=0,"",IF(B26="","",IF(ISNA(VLOOKUP($B26,'A-1 On-Site Habitat Baseline'!$D$1:$AV$258,25,FALSE)),"",(VLOOKUP(B26,'A-1 On-Site Habitat Baseline'!$D$1:$AV$258,25,FALSE))))),"")</f>
        <v/>
      </c>
      <c r="AC26" s="646" t="str">
        <f>IF('A-1 On-Site Habitat Baseline'!G27="","", IF('A-1 On-Site Habitat Baseline'!G27="Yes", TRUE, FALSE))</f>
        <v/>
      </c>
      <c r="AD26" s="647">
        <v>17</v>
      </c>
      <c r="AE26" s="646" t="e">
        <f>IF(#REF!="","", IF(#REF!="Yes", TRUE, FALSE))</f>
        <v>#REF!</v>
      </c>
      <c r="AF26" s="646"/>
      <c r="AG26" s="610" t="str" cm="1">
        <f t="array" ref="AG26">IFERROR(INDEX($BI$10:$BI$259, MATCH(0, IF(TRUE=$BH$10:$BH$259, COUNTIF($AG$9:AG25, $BI$10:$BI$259), ""), 0)),"")</f>
        <v/>
      </c>
      <c r="AH26" s="611"/>
      <c r="AI26" s="611"/>
      <c r="AJ26" s="1068" t="str">
        <f>IF(BH26=FALSE,"",IF(ISNA(VLOOKUP(AG26,'C-1 On-Site WaterC'' Baseline'!C$1:D$257,2,FALSE)),"",(VLOOKUP(AG26,'C-1 On-Site WaterC'' Baseline'!C$1:D$257,2,FALSE))))</f>
        <v/>
      </c>
      <c r="AK26" s="1068"/>
      <c r="AL26" s="1068"/>
      <c r="AM26" s="1096"/>
      <c r="AN26" s="1096"/>
      <c r="AO26" s="1096"/>
      <c r="AP26" s="1055" t="str">
        <f>IF(AG26="","",IF(ISNA(VLOOKUP($AG26,'C-1 On-Site WaterC'' Baseline'!C$1:E$257,3,FALSE)),"",(VLOOKUP(AG26,'C-1 On-Site WaterC'' Baseline'!C$1:E$257,3,FALSE))))</f>
        <v/>
      </c>
      <c r="AQ26" s="1055"/>
      <c r="AR26" s="1052" t="str">
        <f>IF(AG26="","",IF(ISNA(VLOOKUP($AG26,'C-1 On-Site WaterC'' Baseline'!C$1:AA$257,19,FALSE)),"",(VLOOKUP(AG26,'C-1 On-Site WaterC'' Baseline'!C$1:AA$257,19,FALSE))))</f>
        <v/>
      </c>
      <c r="AS26" s="1054"/>
      <c r="AT26" s="1052" t="str">
        <f>IF(AG26="","",IF(ISNA(VLOOKUP($AG26,'C-1 On-Site WaterC'' Baseline'!C$1:AA$257,20,FALSE)),"",(VLOOKUP(AG26,'C-1 On-Site WaterC'' Baseline'!C$1:AA$257,20,FALSE))))</f>
        <v/>
      </c>
      <c r="AU26" s="1053"/>
      <c r="AV26" s="1053"/>
      <c r="AW26" s="1054"/>
      <c r="AX26" s="1055" t="str">
        <f t="shared" si="2"/>
        <v/>
      </c>
      <c r="AY26" s="1055"/>
      <c r="AZ26" s="1056" t="str">
        <f t="shared" si="3"/>
        <v/>
      </c>
      <c r="BA26" s="1057"/>
      <c r="BB26" s="1057"/>
      <c r="BC26" s="1057"/>
      <c r="BD26" s="1058"/>
      <c r="BE26" s="650" t="str">
        <f>IFERROR(IF(LEN(VLOOKUP($AG26,'C-1 On-Site WaterC'' Baseline'!C$1:AE$257,26,FALSE))=0,"",IF(AG26="","",IF(ISNA(VLOOKUP($AG26,'C-1 On-Site WaterC'' Baseline'!C$1:AE$257,26,FALSE)),"",(VLOOKUP(AG26,'C-1 On-Site WaterC'' Baseline'!C$1:AE$257,26,FALSE))))),"")</f>
        <v/>
      </c>
      <c r="BF26" s="624" t="str">
        <f>IFERROR(IF(LEN(VLOOKUP($AG26,'C-1 On-Site WaterC'' Baseline'!C$1:AE$257,27,FALSE))=0,"",IF(AG26="","",IF(ISNA(VLOOKUP($AG26,'C-1 On-Site WaterC'' Baseline'!C$1:AE$257,27,FALSE)),"",(VLOOKUP(AG26,'C-1 On-Site WaterC'' Baseline'!C$1:AE$257,27,FALSE))))),"")</f>
        <v/>
      </c>
      <c r="BG26" s="663" t="str">
        <f>IFERROR(IF(LEN(VLOOKUP($AG26,'C-1 On-Site WaterC'' Baseline'!C$1:AE$257,28,FALSE))=0,"",IF(AG26="","",IF(ISNA(VLOOKUP($AG26,'C-1 On-Site WaterC'' Baseline'!C$1:AE$257,28,FALSE)),"",(VLOOKUP(AG26,'C-1 On-Site WaterC'' Baseline'!C$1:AE$257,28,FALSE))))),"")</f>
        <v/>
      </c>
      <c r="BH26" s="647" t="str">
        <f>IF('C-1 On-Site WaterC'' Baseline'!AU26="","", IF('C-1 On-Site WaterC'' Baseline'!AU26="Yes", TRUE, FALSE))</f>
        <v/>
      </c>
      <c r="BI26" s="647">
        <v>17</v>
      </c>
      <c r="BJ26" s="647" t="e">
        <f>IF(#REF!="","", IF(#REF!="Yes", TRUE, FALSE))</f>
        <v>#REF!</v>
      </c>
      <c r="BK26" s="647" t="str">
        <f t="shared" si="4"/>
        <v/>
      </c>
      <c r="BL26" s="647" t="str">
        <f>IF(AG26="","",IF(LEN(VLOOKUP($AG26,'C-1 On-Site WaterC'' Baseline'!$C$1:$AV$257,25,FALSE))=0,"",VLOOKUP(AG26,'C-1 On-Site WaterC'' Baseline'!$C$1:$AV$257,25,FALSE)))</f>
        <v/>
      </c>
      <c r="BM26" s="647" t="str">
        <f>IF(B26="","",IF(LEN(VLOOKUP($B26,'A-1 On-Site Habitat Baseline'!$D$1:$AV$258,22,FALSE))=0,"",(VLOOKUP(B26,'A-1 On-Site Habitat Baseline'!$D$1:$AV$258,22,FALSE))))</f>
        <v/>
      </c>
    </row>
    <row r="27" spans="2:65" s="649" customFormat="1" ht="44.5" customHeight="1" x14ac:dyDescent="0.3">
      <c r="B27" s="660" t="str" cm="1">
        <f t="array" ref="B27">IFERROR(INDEX($AD$10:$AD$259, MATCH(0, IF(TRUE=$AC$10:$AC$259, COUNTIF($B$9:B26, $AD$10:$AD$259), ""), 0)),"")</f>
        <v/>
      </c>
      <c r="C27" s="611"/>
      <c r="D27" s="611"/>
      <c r="E27" s="1068" t="str">
        <f>IF(B27="","",IF(ISNA(VLOOKUP($B27,'A-1 On-Site Habitat Baseline'!$D$1:$AV$258,45,FALSE)),"",(VLOOKUP(B27,'A-1 On-Site Habitat Baseline'!$D$1:$AV$258,45,FALSE))))</f>
        <v/>
      </c>
      <c r="F27" s="1068"/>
      <c r="G27" s="1068"/>
      <c r="H27" s="1096"/>
      <c r="I27" s="1096"/>
      <c r="J27" s="1096"/>
      <c r="K27" s="1055" t="str">
        <f>IF(B27="","",IF(ISNA(VLOOKUP($B27,'A-1 On-Site Habitat Baseline'!$D$1:$AV$258,5,FALSE)),"",(VLOOKUP(B27,'A-1 On-Site Habitat Baseline'!$D$1:$AV$258,5,FALSE))))</f>
        <v/>
      </c>
      <c r="L27" s="1055"/>
      <c r="M27" s="1055" t="str">
        <f>IF(B27="","",IF(ISNA(VLOOKUP($B27,'A-1 On-Site Habitat Baseline'!$D$1:$AV$258,16,FALSE)),"",(VLOOKUP(B27,'A-1 On-Site Habitat Baseline'!$D$1:$AV$258,16,FALSE))))</f>
        <v/>
      </c>
      <c r="N27" s="1055"/>
      <c r="O27" s="1068" t="str">
        <f>IF(B27="","",IF(ISNA(VLOOKUP($B27,'A-1 On-Site Habitat Baseline'!$D$1:$AV$258,17,FALSE)),"",(VLOOKUP(B27,'A-1 On-Site Habitat Baseline'!$D$1:$AV$258,17,FALSE))))</f>
        <v/>
      </c>
      <c r="P27" s="1068"/>
      <c r="Q27" s="1068"/>
      <c r="R27" s="1068"/>
      <c r="S27" s="1055" t="str">
        <f t="shared" si="0"/>
        <v/>
      </c>
      <c r="T27" s="1068"/>
      <c r="U27" s="617" t="str">
        <f t="shared" si="1"/>
        <v/>
      </c>
      <c r="V27" s="615"/>
      <c r="W27" s="615"/>
      <c r="X27" s="615"/>
      <c r="Y27" s="615"/>
      <c r="Z27" s="650" t="str">
        <f ca="1">IFERROR(IF(LEN(VLOOKUP($B27,'A-1 On-Site Habitat Baseline'!$D$1:$AV$258,23,FALSE))=0,"",IF(B27="","",IF(ISNA(VLOOKUP($B27,'A-1 On-Site Habitat Baseline'!$D$1:$AV$258,23,FALSE)),"",(VLOOKUP(B27,'A-1 On-Site Habitat Baseline'!$D$1:$AV$258,23,FALSE))))),"")</f>
        <v/>
      </c>
      <c r="AA27" s="624" t="str">
        <f ca="1">IFERROR(IF(LEN(VLOOKUP($B27,'A-1 On-Site Habitat Baseline'!$D$1:$AV$258,24,FALSE))=0,"",IF(B27="","",IF(ISNA(VLOOKUP($B27,'A-1 On-Site Habitat Baseline'!$D$1:$AV$258,24,FALSE)),"",(VLOOKUP(B27,'A-1 On-Site Habitat Baseline'!$D$1:$AV$258,24,FALSE))))),"")</f>
        <v/>
      </c>
      <c r="AB27" s="648" t="str">
        <f ca="1">IFERROR(IF(LEN(VLOOKUP($B27,'A-1 On-Site Habitat Baseline'!$D$1:$AV$258,25,FALSE))=0,"",IF(B27="","",IF(ISNA(VLOOKUP($B27,'A-1 On-Site Habitat Baseline'!$D$1:$AV$258,25,FALSE)),"",(VLOOKUP(B27,'A-1 On-Site Habitat Baseline'!$D$1:$AV$258,25,FALSE))))),"")</f>
        <v/>
      </c>
      <c r="AC27" s="646" t="str">
        <f>IF('A-1 On-Site Habitat Baseline'!G28="","", IF('A-1 On-Site Habitat Baseline'!G28="Yes", TRUE, FALSE))</f>
        <v/>
      </c>
      <c r="AD27" s="647">
        <v>18</v>
      </c>
      <c r="AE27" s="646" t="e">
        <f>IF(#REF!="","", IF(#REF!="Yes", TRUE, FALSE))</f>
        <v>#REF!</v>
      </c>
      <c r="AF27" s="646"/>
      <c r="AG27" s="610" t="str" cm="1">
        <f t="array" ref="AG27">IFERROR(INDEX($BI$10:$BI$259, MATCH(0, IF(TRUE=$BH$10:$BH$259, COUNTIF($AG$9:AG26, $BI$10:$BI$259), ""), 0)),"")</f>
        <v/>
      </c>
      <c r="AH27" s="611"/>
      <c r="AI27" s="611"/>
      <c r="AJ27" s="1068" t="str">
        <f>IF(BH27=FALSE,"",IF(ISNA(VLOOKUP(AG27,'C-1 On-Site WaterC'' Baseline'!C$1:D$257,2,FALSE)),"",(VLOOKUP(AG27,'C-1 On-Site WaterC'' Baseline'!C$1:D$257,2,FALSE))))</f>
        <v/>
      </c>
      <c r="AK27" s="1068"/>
      <c r="AL27" s="1068"/>
      <c r="AM27" s="1096"/>
      <c r="AN27" s="1096"/>
      <c r="AO27" s="1096"/>
      <c r="AP27" s="1055" t="str">
        <f>IF(AG27="","",IF(ISNA(VLOOKUP($AG27,'C-1 On-Site WaterC'' Baseline'!C$1:E$257,3,FALSE)),"",(VLOOKUP(AG27,'C-1 On-Site WaterC'' Baseline'!C$1:E$257,3,FALSE))))</f>
        <v/>
      </c>
      <c r="AQ27" s="1055"/>
      <c r="AR27" s="1052" t="str">
        <f>IF(AG27="","",IF(ISNA(VLOOKUP($AG27,'C-1 On-Site WaterC'' Baseline'!C$1:AA$257,19,FALSE)),"",(VLOOKUP(AG27,'C-1 On-Site WaterC'' Baseline'!C$1:AA$257,19,FALSE))))</f>
        <v/>
      </c>
      <c r="AS27" s="1054"/>
      <c r="AT27" s="1052" t="str">
        <f>IF(AG27="","",IF(ISNA(VLOOKUP($AG27,'C-1 On-Site WaterC'' Baseline'!C$1:AA$257,20,FALSE)),"",(VLOOKUP(AG27,'C-1 On-Site WaterC'' Baseline'!C$1:AA$257,20,FALSE))))</f>
        <v/>
      </c>
      <c r="AU27" s="1053"/>
      <c r="AV27" s="1053"/>
      <c r="AW27" s="1054"/>
      <c r="AX27" s="1055" t="str">
        <f t="shared" si="2"/>
        <v/>
      </c>
      <c r="AY27" s="1055"/>
      <c r="AZ27" s="1056" t="str">
        <f t="shared" si="3"/>
        <v/>
      </c>
      <c r="BA27" s="1057"/>
      <c r="BB27" s="1057"/>
      <c r="BC27" s="1057"/>
      <c r="BD27" s="1058"/>
      <c r="BE27" s="650" t="str">
        <f>IFERROR(IF(LEN(VLOOKUP($AG27,'C-1 On-Site WaterC'' Baseline'!C$1:AE$257,26,FALSE))=0,"",IF(AG27="","",IF(ISNA(VLOOKUP($AG27,'C-1 On-Site WaterC'' Baseline'!C$1:AE$257,26,FALSE)),"",(VLOOKUP(AG27,'C-1 On-Site WaterC'' Baseline'!C$1:AE$257,26,FALSE))))),"")</f>
        <v/>
      </c>
      <c r="BF27" s="624" t="str">
        <f>IFERROR(IF(LEN(VLOOKUP($AG27,'C-1 On-Site WaterC'' Baseline'!C$1:AE$257,27,FALSE))=0,"",IF(AG27="","",IF(ISNA(VLOOKUP($AG27,'C-1 On-Site WaterC'' Baseline'!C$1:AE$257,27,FALSE)),"",(VLOOKUP(AG27,'C-1 On-Site WaterC'' Baseline'!C$1:AE$257,27,FALSE))))),"")</f>
        <v/>
      </c>
      <c r="BG27" s="663" t="str">
        <f>IFERROR(IF(LEN(VLOOKUP($AG27,'C-1 On-Site WaterC'' Baseline'!C$1:AE$257,28,FALSE))=0,"",IF(AG27="","",IF(ISNA(VLOOKUP($AG27,'C-1 On-Site WaterC'' Baseline'!C$1:AE$257,28,FALSE)),"",(VLOOKUP(AG27,'C-1 On-Site WaterC'' Baseline'!C$1:AE$257,28,FALSE))))),"")</f>
        <v/>
      </c>
      <c r="BH27" s="647" t="str">
        <f>IF('C-1 On-Site WaterC'' Baseline'!AU27="","", IF('C-1 On-Site WaterC'' Baseline'!AU27="Yes", TRUE, FALSE))</f>
        <v/>
      </c>
      <c r="BI27" s="647">
        <v>18</v>
      </c>
      <c r="BJ27" s="647" t="e">
        <f>IF(#REF!="","", IF(#REF!="Yes", TRUE, FALSE))</f>
        <v>#REF!</v>
      </c>
      <c r="BK27" s="647" t="str">
        <f t="shared" si="4"/>
        <v/>
      </c>
      <c r="BL27" s="647" t="str">
        <f>IF(AG27="","",IF(LEN(VLOOKUP($AG27,'C-1 On-Site WaterC'' Baseline'!$C$1:$AV$257,25,FALSE))=0,"",VLOOKUP(AG27,'C-1 On-Site WaterC'' Baseline'!$C$1:$AV$257,25,FALSE)))</f>
        <v/>
      </c>
      <c r="BM27" s="647" t="str">
        <f>IF(B27="","",IF(LEN(VLOOKUP($B27,'A-1 On-Site Habitat Baseline'!$D$1:$AV$258,22,FALSE))=0,"",(VLOOKUP(B27,'A-1 On-Site Habitat Baseline'!$D$1:$AV$258,22,FALSE))))</f>
        <v/>
      </c>
    </row>
    <row r="28" spans="2:65" s="649" customFormat="1" ht="44.5" customHeight="1" x14ac:dyDescent="0.3">
      <c r="B28" s="660" t="str" cm="1">
        <f t="array" ref="B28">IFERROR(INDEX($AD$10:$AD$259, MATCH(0, IF(TRUE=$AC$10:$AC$259, COUNTIF($B$9:B27, $AD$10:$AD$259), ""), 0)),"")</f>
        <v/>
      </c>
      <c r="C28" s="611"/>
      <c r="D28" s="611"/>
      <c r="E28" s="1068" t="str">
        <f>IF(B28="","",IF(ISNA(VLOOKUP($B28,'A-1 On-Site Habitat Baseline'!$D$1:$AV$258,45,FALSE)),"",(VLOOKUP(B28,'A-1 On-Site Habitat Baseline'!$D$1:$AV$258,45,FALSE))))</f>
        <v/>
      </c>
      <c r="F28" s="1068"/>
      <c r="G28" s="1068"/>
      <c r="H28" s="1096"/>
      <c r="I28" s="1096"/>
      <c r="J28" s="1096"/>
      <c r="K28" s="1055" t="str">
        <f>IF(B28="","",IF(ISNA(VLOOKUP($B28,'A-1 On-Site Habitat Baseline'!$D$1:$AV$258,5,FALSE)),"",(VLOOKUP(B28,'A-1 On-Site Habitat Baseline'!$D$1:$AV$258,5,FALSE))))</f>
        <v/>
      </c>
      <c r="L28" s="1055"/>
      <c r="M28" s="1055" t="str">
        <f>IF(B28="","",IF(ISNA(VLOOKUP($B28,'A-1 On-Site Habitat Baseline'!$D$1:$AV$258,16,FALSE)),"",(VLOOKUP(B28,'A-1 On-Site Habitat Baseline'!$D$1:$AV$258,16,FALSE))))</f>
        <v/>
      </c>
      <c r="N28" s="1055"/>
      <c r="O28" s="1068" t="str">
        <f>IF(B28="","",IF(ISNA(VLOOKUP($B28,'A-1 On-Site Habitat Baseline'!$D$1:$AV$258,17,FALSE)),"",(VLOOKUP(B28,'A-1 On-Site Habitat Baseline'!$D$1:$AV$258,17,FALSE))))</f>
        <v/>
      </c>
      <c r="P28" s="1068"/>
      <c r="Q28" s="1068"/>
      <c r="R28" s="1068"/>
      <c r="S28" s="1055" t="str">
        <f t="shared" si="0"/>
        <v/>
      </c>
      <c r="T28" s="1068"/>
      <c r="U28" s="617" t="str">
        <f t="shared" si="1"/>
        <v/>
      </c>
      <c r="V28" s="615"/>
      <c r="W28" s="615"/>
      <c r="X28" s="615"/>
      <c r="Y28" s="615"/>
      <c r="Z28" s="650" t="str">
        <f ca="1">IFERROR(IF(LEN(VLOOKUP($B28,'A-1 On-Site Habitat Baseline'!$D$1:$AV$258,23,FALSE))=0,"",IF(B28="","",IF(ISNA(VLOOKUP($B28,'A-1 On-Site Habitat Baseline'!$D$1:$AV$258,23,FALSE)),"",(VLOOKUP(B28,'A-1 On-Site Habitat Baseline'!$D$1:$AV$258,23,FALSE))))),"")</f>
        <v/>
      </c>
      <c r="AA28" s="624" t="str">
        <f ca="1">IFERROR(IF(LEN(VLOOKUP($B28,'A-1 On-Site Habitat Baseline'!$D$1:$AV$258,24,FALSE))=0,"",IF(B28="","",IF(ISNA(VLOOKUP($B28,'A-1 On-Site Habitat Baseline'!$D$1:$AV$258,24,FALSE)),"",(VLOOKUP(B28,'A-1 On-Site Habitat Baseline'!$D$1:$AV$258,24,FALSE))))),"")</f>
        <v/>
      </c>
      <c r="AB28" s="648" t="str">
        <f ca="1">IFERROR(IF(LEN(VLOOKUP($B28,'A-1 On-Site Habitat Baseline'!$D$1:$AV$258,25,FALSE))=0,"",IF(B28="","",IF(ISNA(VLOOKUP($B28,'A-1 On-Site Habitat Baseline'!$D$1:$AV$258,25,FALSE)),"",(VLOOKUP(B28,'A-1 On-Site Habitat Baseline'!$D$1:$AV$258,25,FALSE))))),"")</f>
        <v/>
      </c>
      <c r="AC28" s="646" t="str">
        <f>IF('A-1 On-Site Habitat Baseline'!G29="","", IF('A-1 On-Site Habitat Baseline'!G29="Yes", TRUE, FALSE))</f>
        <v/>
      </c>
      <c r="AD28" s="647">
        <v>19</v>
      </c>
      <c r="AE28" s="646" t="e">
        <f>IF(#REF!="","", IF(#REF!="Yes", TRUE, FALSE))</f>
        <v>#REF!</v>
      </c>
      <c r="AF28" s="646"/>
      <c r="AG28" s="610" t="str" cm="1">
        <f t="array" ref="AG28">IFERROR(INDEX($BI$10:$BI$259, MATCH(0, IF(TRUE=$BH$10:$BH$259, COUNTIF($AG$9:AG27, $BI$10:$BI$259), ""), 0)),"")</f>
        <v/>
      </c>
      <c r="AH28" s="611"/>
      <c r="AI28" s="611"/>
      <c r="AJ28" s="1068" t="str">
        <f>IF(BH28=FALSE,"",IF(ISNA(VLOOKUP(AG28,'C-1 On-Site WaterC'' Baseline'!C$1:D$257,2,FALSE)),"",(VLOOKUP(AG28,'C-1 On-Site WaterC'' Baseline'!C$1:D$257,2,FALSE))))</f>
        <v/>
      </c>
      <c r="AK28" s="1068"/>
      <c r="AL28" s="1068"/>
      <c r="AM28" s="1096"/>
      <c r="AN28" s="1096"/>
      <c r="AO28" s="1096"/>
      <c r="AP28" s="1055" t="str">
        <f>IF(AG28="","",IF(ISNA(VLOOKUP($AG28,'C-1 On-Site WaterC'' Baseline'!C$1:E$257,3,FALSE)),"",(VLOOKUP(AG28,'C-1 On-Site WaterC'' Baseline'!C$1:E$257,3,FALSE))))</f>
        <v/>
      </c>
      <c r="AQ28" s="1055"/>
      <c r="AR28" s="1052" t="str">
        <f>IF(AG28="","",IF(ISNA(VLOOKUP($AG28,'C-1 On-Site WaterC'' Baseline'!C$1:AA$257,19,FALSE)),"",(VLOOKUP(AG28,'C-1 On-Site WaterC'' Baseline'!C$1:AA$257,19,FALSE))))</f>
        <v/>
      </c>
      <c r="AS28" s="1054"/>
      <c r="AT28" s="1052" t="str">
        <f>IF(AG28="","",IF(ISNA(VLOOKUP($AG28,'C-1 On-Site WaterC'' Baseline'!C$1:AA$257,20,FALSE)),"",(VLOOKUP(AG28,'C-1 On-Site WaterC'' Baseline'!C$1:AA$257,20,FALSE))))</f>
        <v/>
      </c>
      <c r="AU28" s="1053"/>
      <c r="AV28" s="1053"/>
      <c r="AW28" s="1054"/>
      <c r="AX28" s="1055" t="str">
        <f t="shared" si="2"/>
        <v/>
      </c>
      <c r="AY28" s="1055"/>
      <c r="AZ28" s="1056" t="str">
        <f t="shared" si="3"/>
        <v/>
      </c>
      <c r="BA28" s="1057"/>
      <c r="BB28" s="1057"/>
      <c r="BC28" s="1057"/>
      <c r="BD28" s="1058"/>
      <c r="BE28" s="650" t="str">
        <f>IFERROR(IF(LEN(VLOOKUP($AG28,'C-1 On-Site WaterC'' Baseline'!C$1:AE$257,26,FALSE))=0,"",IF(AG28="","",IF(ISNA(VLOOKUP($AG28,'C-1 On-Site WaterC'' Baseline'!C$1:AE$257,26,FALSE)),"",(VLOOKUP(AG28,'C-1 On-Site WaterC'' Baseline'!C$1:AE$257,26,FALSE))))),"")</f>
        <v/>
      </c>
      <c r="BF28" s="624" t="str">
        <f>IFERROR(IF(LEN(VLOOKUP($AG28,'C-1 On-Site WaterC'' Baseline'!C$1:AE$257,27,FALSE))=0,"",IF(AG28="","",IF(ISNA(VLOOKUP($AG28,'C-1 On-Site WaterC'' Baseline'!C$1:AE$257,27,FALSE)),"",(VLOOKUP(AG28,'C-1 On-Site WaterC'' Baseline'!C$1:AE$257,27,FALSE))))),"")</f>
        <v/>
      </c>
      <c r="BG28" s="663" t="str">
        <f>IFERROR(IF(LEN(VLOOKUP($AG28,'C-1 On-Site WaterC'' Baseline'!C$1:AE$257,28,FALSE))=0,"",IF(AG28="","",IF(ISNA(VLOOKUP($AG28,'C-1 On-Site WaterC'' Baseline'!C$1:AE$257,28,FALSE)),"",(VLOOKUP(AG28,'C-1 On-Site WaterC'' Baseline'!C$1:AE$257,28,FALSE))))),"")</f>
        <v/>
      </c>
      <c r="BH28" s="647" t="str">
        <f>IF('C-1 On-Site WaterC'' Baseline'!AU28="","", IF('C-1 On-Site WaterC'' Baseline'!AU28="Yes", TRUE, FALSE))</f>
        <v/>
      </c>
      <c r="BI28" s="647">
        <v>19</v>
      </c>
      <c r="BJ28" s="647" t="e">
        <f>IF(#REF!="","", IF(#REF!="Yes", TRUE, FALSE))</f>
        <v>#REF!</v>
      </c>
      <c r="BK28" s="647" t="str">
        <f t="shared" si="4"/>
        <v/>
      </c>
      <c r="BL28" s="647" t="str">
        <f>IF(AG28="","",IF(LEN(VLOOKUP($AG28,'C-1 On-Site WaterC'' Baseline'!$C$1:$AV$257,25,FALSE))=0,"",VLOOKUP(AG28,'C-1 On-Site WaterC'' Baseline'!$C$1:$AV$257,25,FALSE)))</f>
        <v/>
      </c>
      <c r="BM28" s="647" t="str">
        <f>IF(B28="","",IF(LEN(VLOOKUP($B28,'A-1 On-Site Habitat Baseline'!$D$1:$AV$258,22,FALSE))=0,"",(VLOOKUP(B28,'A-1 On-Site Habitat Baseline'!$D$1:$AV$258,22,FALSE))))</f>
        <v/>
      </c>
    </row>
    <row r="29" spans="2:65" s="649" customFormat="1" ht="44.5" customHeight="1" x14ac:dyDescent="0.3">
      <c r="B29" s="660" t="str" cm="1">
        <f t="array" ref="B29">IFERROR(INDEX($AD$10:$AD$259, MATCH(0, IF(TRUE=$AC$10:$AC$259, COUNTIF($B$9:B28, $AD$10:$AD$259), ""), 0)),"")</f>
        <v/>
      </c>
      <c r="C29" s="611"/>
      <c r="D29" s="611"/>
      <c r="E29" s="1068" t="str">
        <f>IF(B29="","",IF(ISNA(VLOOKUP($B29,'A-1 On-Site Habitat Baseline'!$D$1:$AV$258,45,FALSE)),"",(VLOOKUP(B29,'A-1 On-Site Habitat Baseline'!$D$1:$AV$258,45,FALSE))))</f>
        <v/>
      </c>
      <c r="F29" s="1068"/>
      <c r="G29" s="1068"/>
      <c r="H29" s="1096"/>
      <c r="I29" s="1096"/>
      <c r="J29" s="1096"/>
      <c r="K29" s="1055" t="str">
        <f>IF(B29="","",IF(ISNA(VLOOKUP($B29,'A-1 On-Site Habitat Baseline'!$D$1:$AV$258,5,FALSE)),"",(VLOOKUP(B29,'A-1 On-Site Habitat Baseline'!$D$1:$AV$258,5,FALSE))))</f>
        <v/>
      </c>
      <c r="L29" s="1055"/>
      <c r="M29" s="1055" t="str">
        <f>IF(B29="","",IF(ISNA(VLOOKUP($B29,'A-1 On-Site Habitat Baseline'!$D$1:$AV$258,16,FALSE)),"",(VLOOKUP(B29,'A-1 On-Site Habitat Baseline'!$D$1:$AV$258,16,FALSE))))</f>
        <v/>
      </c>
      <c r="N29" s="1055"/>
      <c r="O29" s="1068" t="str">
        <f>IF(B29="","",IF(ISNA(VLOOKUP($B29,'A-1 On-Site Habitat Baseline'!$D$1:$AV$258,17,FALSE)),"",(VLOOKUP(B29,'A-1 On-Site Habitat Baseline'!$D$1:$AV$258,17,FALSE))))</f>
        <v/>
      </c>
      <c r="P29" s="1068"/>
      <c r="Q29" s="1068"/>
      <c r="R29" s="1068"/>
      <c r="S29" s="1055" t="str">
        <f t="shared" si="0"/>
        <v/>
      </c>
      <c r="T29" s="1068"/>
      <c r="U29" s="617" t="str">
        <f t="shared" si="1"/>
        <v/>
      </c>
      <c r="V29" s="615"/>
      <c r="W29" s="615"/>
      <c r="X29" s="615"/>
      <c r="Y29" s="615"/>
      <c r="Z29" s="650" t="str">
        <f ca="1">IFERROR(IF(LEN(VLOOKUP($B29,'A-1 On-Site Habitat Baseline'!$D$1:$AV$258,23,FALSE))=0,"",IF(B29="","",IF(ISNA(VLOOKUP($B29,'A-1 On-Site Habitat Baseline'!$D$1:$AV$258,23,FALSE)),"",(VLOOKUP(B29,'A-1 On-Site Habitat Baseline'!$D$1:$AV$258,23,FALSE))))),"")</f>
        <v/>
      </c>
      <c r="AA29" s="624" t="str">
        <f ca="1">IFERROR(IF(LEN(VLOOKUP($B29,'A-1 On-Site Habitat Baseline'!$D$1:$AV$258,24,FALSE))=0,"",IF(B29="","",IF(ISNA(VLOOKUP($B29,'A-1 On-Site Habitat Baseline'!$D$1:$AV$258,24,FALSE)),"",(VLOOKUP(B29,'A-1 On-Site Habitat Baseline'!$D$1:$AV$258,24,FALSE))))),"")</f>
        <v/>
      </c>
      <c r="AB29" s="648" t="str">
        <f ca="1">IFERROR(IF(LEN(VLOOKUP($B29,'A-1 On-Site Habitat Baseline'!$D$1:$AV$258,25,FALSE))=0,"",IF(B29="","",IF(ISNA(VLOOKUP($B29,'A-1 On-Site Habitat Baseline'!$D$1:$AV$258,25,FALSE)),"",(VLOOKUP(B29,'A-1 On-Site Habitat Baseline'!$D$1:$AV$258,25,FALSE))))),"")</f>
        <v/>
      </c>
      <c r="AC29" s="646" t="str">
        <f>IF('A-1 On-Site Habitat Baseline'!G30="","", IF('A-1 On-Site Habitat Baseline'!G30="Yes", TRUE, FALSE))</f>
        <v/>
      </c>
      <c r="AD29" s="647">
        <v>20</v>
      </c>
      <c r="AE29" s="646" t="e">
        <f>IF(#REF!="","", IF(#REF!="Yes", TRUE, FALSE))</f>
        <v>#REF!</v>
      </c>
      <c r="AF29" s="646"/>
      <c r="AG29" s="610" t="str" cm="1">
        <f t="array" ref="AG29">IFERROR(INDEX($BI$10:$BI$259, MATCH(0, IF(TRUE=$BH$10:$BH$259, COUNTIF($AG$9:AG28, $BI$10:$BI$259), ""), 0)),"")</f>
        <v/>
      </c>
      <c r="AH29" s="611"/>
      <c r="AI29" s="611"/>
      <c r="AJ29" s="1068" t="str">
        <f>IF(BH29=FALSE,"",IF(ISNA(VLOOKUP(AG29,'C-1 On-Site WaterC'' Baseline'!C$1:D$257,2,FALSE)),"",(VLOOKUP(AG29,'C-1 On-Site WaterC'' Baseline'!C$1:D$257,2,FALSE))))</f>
        <v/>
      </c>
      <c r="AK29" s="1068"/>
      <c r="AL29" s="1068"/>
      <c r="AM29" s="1096"/>
      <c r="AN29" s="1096"/>
      <c r="AO29" s="1096"/>
      <c r="AP29" s="1055" t="str">
        <f>IF(AG29="","",IF(ISNA(VLOOKUP($AG29,'C-1 On-Site WaterC'' Baseline'!C$1:E$257,3,FALSE)),"",(VLOOKUP(AG29,'C-1 On-Site WaterC'' Baseline'!C$1:E$257,3,FALSE))))</f>
        <v/>
      </c>
      <c r="AQ29" s="1055"/>
      <c r="AR29" s="1052" t="str">
        <f>IF(AG29="","",IF(ISNA(VLOOKUP($AG29,'C-1 On-Site WaterC'' Baseline'!C$1:AA$257,19,FALSE)),"",(VLOOKUP(AG29,'C-1 On-Site WaterC'' Baseline'!C$1:AA$257,19,FALSE))))</f>
        <v/>
      </c>
      <c r="AS29" s="1054"/>
      <c r="AT29" s="1052" t="str">
        <f>IF(AG29="","",IF(ISNA(VLOOKUP($AG29,'C-1 On-Site WaterC'' Baseline'!C$1:AA$257,20,FALSE)),"",(VLOOKUP(AG29,'C-1 On-Site WaterC'' Baseline'!C$1:AA$257,20,FALSE))))</f>
        <v/>
      </c>
      <c r="AU29" s="1053"/>
      <c r="AV29" s="1053"/>
      <c r="AW29" s="1054"/>
      <c r="AX29" s="1055" t="str">
        <f t="shared" si="2"/>
        <v/>
      </c>
      <c r="AY29" s="1055"/>
      <c r="AZ29" s="1056" t="str">
        <f t="shared" si="3"/>
        <v/>
      </c>
      <c r="BA29" s="1057"/>
      <c r="BB29" s="1057"/>
      <c r="BC29" s="1057"/>
      <c r="BD29" s="1058"/>
      <c r="BE29" s="650" t="str">
        <f>IFERROR(IF(LEN(VLOOKUP($AG29,'C-1 On-Site WaterC'' Baseline'!C$1:AE$257,26,FALSE))=0,"",IF(AG29="","",IF(ISNA(VLOOKUP($AG29,'C-1 On-Site WaterC'' Baseline'!C$1:AE$257,26,FALSE)),"",(VLOOKUP(AG29,'C-1 On-Site WaterC'' Baseline'!C$1:AE$257,26,FALSE))))),"")</f>
        <v/>
      </c>
      <c r="BF29" s="624" t="str">
        <f>IFERROR(IF(LEN(VLOOKUP($AG29,'C-1 On-Site WaterC'' Baseline'!C$1:AE$257,27,FALSE))=0,"",IF(AG29="","",IF(ISNA(VLOOKUP($AG29,'C-1 On-Site WaterC'' Baseline'!C$1:AE$257,27,FALSE)),"",(VLOOKUP(AG29,'C-1 On-Site WaterC'' Baseline'!C$1:AE$257,27,FALSE))))),"")</f>
        <v/>
      </c>
      <c r="BG29" s="663" t="str">
        <f>IFERROR(IF(LEN(VLOOKUP($AG29,'C-1 On-Site WaterC'' Baseline'!C$1:AE$257,28,FALSE))=0,"",IF(AG29="","",IF(ISNA(VLOOKUP($AG29,'C-1 On-Site WaterC'' Baseline'!C$1:AE$257,28,FALSE)),"",(VLOOKUP(AG29,'C-1 On-Site WaterC'' Baseline'!C$1:AE$257,28,FALSE))))),"")</f>
        <v/>
      </c>
      <c r="BH29" s="647" t="str">
        <f>IF('C-1 On-Site WaterC'' Baseline'!AU29="","", IF('C-1 On-Site WaterC'' Baseline'!AU29="Yes", TRUE, FALSE))</f>
        <v/>
      </c>
      <c r="BI29" s="647">
        <v>20</v>
      </c>
      <c r="BJ29" s="647" t="e">
        <f>IF(#REF!="","", IF(#REF!="Yes", TRUE, FALSE))</f>
        <v>#REF!</v>
      </c>
      <c r="BK29" s="647" t="str">
        <f t="shared" si="4"/>
        <v/>
      </c>
      <c r="BL29" s="647" t="str">
        <f>IF(AG29="","",IF(LEN(VLOOKUP($AG29,'C-1 On-Site WaterC'' Baseline'!$C$1:$AV$257,25,FALSE))=0,"",VLOOKUP(AG29,'C-1 On-Site WaterC'' Baseline'!$C$1:$AV$257,25,FALSE)))</f>
        <v/>
      </c>
      <c r="BM29" s="647" t="str">
        <f>IF(B29="","",IF(LEN(VLOOKUP($B29,'A-1 On-Site Habitat Baseline'!$D$1:$AV$258,22,FALSE))=0,"",(VLOOKUP(B29,'A-1 On-Site Habitat Baseline'!$D$1:$AV$258,22,FALSE))))</f>
        <v/>
      </c>
    </row>
    <row r="30" spans="2:65" s="649" customFormat="1" ht="44.5" customHeight="1" x14ac:dyDescent="0.3">
      <c r="B30" s="660" t="str" cm="1">
        <f t="array" ref="B30">IFERROR(INDEX($AD$10:$AD$259, MATCH(0, IF(TRUE=$AC$10:$AC$259, COUNTIF($B$9:B29, $AD$10:$AD$259), ""), 0)),"")</f>
        <v/>
      </c>
      <c r="C30" s="611"/>
      <c r="D30" s="611"/>
      <c r="E30" s="1068" t="str">
        <f>IF(B30="","",IF(ISNA(VLOOKUP($B30,'A-1 On-Site Habitat Baseline'!$D$1:$AV$258,45,FALSE)),"",(VLOOKUP(B30,'A-1 On-Site Habitat Baseline'!$D$1:$AV$258,45,FALSE))))</f>
        <v/>
      </c>
      <c r="F30" s="1068"/>
      <c r="G30" s="1068"/>
      <c r="H30" s="1096"/>
      <c r="I30" s="1096"/>
      <c r="J30" s="1096"/>
      <c r="K30" s="1055" t="str">
        <f>IF(B30="","",IF(ISNA(VLOOKUP($B30,'A-1 On-Site Habitat Baseline'!$D$1:$AV$258,5,FALSE)),"",(VLOOKUP(B30,'A-1 On-Site Habitat Baseline'!$D$1:$AV$258,5,FALSE))))</f>
        <v/>
      </c>
      <c r="L30" s="1055"/>
      <c r="M30" s="1055" t="str">
        <f>IF(B30="","",IF(ISNA(VLOOKUP($B30,'A-1 On-Site Habitat Baseline'!$D$1:$AV$258,16,FALSE)),"",(VLOOKUP(B30,'A-1 On-Site Habitat Baseline'!$D$1:$AV$258,16,FALSE))))</f>
        <v/>
      </c>
      <c r="N30" s="1055"/>
      <c r="O30" s="1068" t="str">
        <f>IF(B30="","",IF(ISNA(VLOOKUP($B30,'A-1 On-Site Habitat Baseline'!$D$1:$AV$258,17,FALSE)),"",(VLOOKUP(B30,'A-1 On-Site Habitat Baseline'!$D$1:$AV$258,17,FALSE))))</f>
        <v/>
      </c>
      <c r="P30" s="1068"/>
      <c r="Q30" s="1068"/>
      <c r="R30" s="1068"/>
      <c r="S30" s="1055" t="str">
        <f t="shared" si="0"/>
        <v/>
      </c>
      <c r="T30" s="1068"/>
      <c r="U30" s="617" t="str">
        <f t="shared" si="1"/>
        <v/>
      </c>
      <c r="V30" s="615"/>
      <c r="W30" s="615"/>
      <c r="X30" s="615"/>
      <c r="Y30" s="615"/>
      <c r="Z30" s="650" t="str">
        <f ca="1">IFERROR(IF(LEN(VLOOKUP($B30,'A-1 On-Site Habitat Baseline'!$D$1:$AV$258,23,FALSE))=0,"",IF(B30="","",IF(ISNA(VLOOKUP($B30,'A-1 On-Site Habitat Baseline'!$D$1:$AV$258,23,FALSE)),"",(VLOOKUP(B30,'A-1 On-Site Habitat Baseline'!$D$1:$AV$258,23,FALSE))))),"")</f>
        <v/>
      </c>
      <c r="AA30" s="624" t="str">
        <f ca="1">IFERROR(IF(LEN(VLOOKUP($B30,'A-1 On-Site Habitat Baseline'!$D$1:$AV$258,24,FALSE))=0,"",IF(B30="","",IF(ISNA(VLOOKUP($B30,'A-1 On-Site Habitat Baseline'!$D$1:$AV$258,24,FALSE)),"",(VLOOKUP(B30,'A-1 On-Site Habitat Baseline'!$D$1:$AV$258,24,FALSE))))),"")</f>
        <v/>
      </c>
      <c r="AB30" s="648" t="str">
        <f ca="1">IFERROR(IF(LEN(VLOOKUP($B30,'A-1 On-Site Habitat Baseline'!$D$1:$AV$258,25,FALSE))=0,"",IF(B30="","",IF(ISNA(VLOOKUP($B30,'A-1 On-Site Habitat Baseline'!$D$1:$AV$258,25,FALSE)),"",(VLOOKUP(B30,'A-1 On-Site Habitat Baseline'!$D$1:$AV$258,25,FALSE))))),"")</f>
        <v/>
      </c>
      <c r="AC30" s="646" t="str">
        <f>IF('A-1 On-Site Habitat Baseline'!G31="","", IF('A-1 On-Site Habitat Baseline'!G31="Yes", TRUE, FALSE))</f>
        <v/>
      </c>
      <c r="AD30" s="647">
        <v>21</v>
      </c>
      <c r="AE30" s="646" t="e">
        <f>IF(#REF!="","", IF(#REF!="Yes", TRUE, FALSE))</f>
        <v>#REF!</v>
      </c>
      <c r="AF30" s="646"/>
      <c r="AG30" s="610" t="str" cm="1">
        <f t="array" ref="AG30">IFERROR(INDEX($BI$10:$BI$259, MATCH(0, IF(TRUE=$BH$10:$BH$259, COUNTIF($AG$9:AG29, $BI$10:$BI$259), ""), 0)),"")</f>
        <v/>
      </c>
      <c r="AH30" s="611"/>
      <c r="AI30" s="611"/>
      <c r="AJ30" s="1068" t="str">
        <f>IF(BH30=FALSE,"",IF(ISNA(VLOOKUP(AG30,'C-1 On-Site WaterC'' Baseline'!C$1:D$257,2,FALSE)),"",(VLOOKUP(AG30,'C-1 On-Site WaterC'' Baseline'!C$1:D$257,2,FALSE))))</f>
        <v/>
      </c>
      <c r="AK30" s="1068"/>
      <c r="AL30" s="1068"/>
      <c r="AM30" s="1096"/>
      <c r="AN30" s="1096"/>
      <c r="AO30" s="1096"/>
      <c r="AP30" s="1055" t="str">
        <f>IF(AG30="","",IF(ISNA(VLOOKUP($AG30,'C-1 On-Site WaterC'' Baseline'!C$1:E$257,3,FALSE)),"",(VLOOKUP(AG30,'C-1 On-Site WaterC'' Baseline'!C$1:E$257,3,FALSE))))</f>
        <v/>
      </c>
      <c r="AQ30" s="1055"/>
      <c r="AR30" s="1052" t="str">
        <f>IF(AG30="","",IF(ISNA(VLOOKUP($AG30,'C-1 On-Site WaterC'' Baseline'!C$1:AA$257,19,FALSE)),"",(VLOOKUP(AG30,'C-1 On-Site WaterC'' Baseline'!C$1:AA$257,19,FALSE))))</f>
        <v/>
      </c>
      <c r="AS30" s="1054"/>
      <c r="AT30" s="1052" t="str">
        <f>IF(AG30="","",IF(ISNA(VLOOKUP($AG30,'C-1 On-Site WaterC'' Baseline'!C$1:AA$257,20,FALSE)),"",(VLOOKUP(AG30,'C-1 On-Site WaterC'' Baseline'!C$1:AA$257,20,FALSE))))</f>
        <v/>
      </c>
      <c r="AU30" s="1053"/>
      <c r="AV30" s="1053"/>
      <c r="AW30" s="1054"/>
      <c r="AX30" s="1055" t="str">
        <f t="shared" si="2"/>
        <v/>
      </c>
      <c r="AY30" s="1055"/>
      <c r="AZ30" s="1056" t="str">
        <f t="shared" si="3"/>
        <v/>
      </c>
      <c r="BA30" s="1057"/>
      <c r="BB30" s="1057"/>
      <c r="BC30" s="1057"/>
      <c r="BD30" s="1058"/>
      <c r="BE30" s="650" t="str">
        <f>IFERROR(IF(LEN(VLOOKUP($AG30,'C-1 On-Site WaterC'' Baseline'!C$1:AE$257,26,FALSE))=0,"",IF(AG30="","",IF(ISNA(VLOOKUP($AG30,'C-1 On-Site WaterC'' Baseline'!C$1:AE$257,26,FALSE)),"",(VLOOKUP(AG30,'C-1 On-Site WaterC'' Baseline'!C$1:AE$257,26,FALSE))))),"")</f>
        <v/>
      </c>
      <c r="BF30" s="624" t="str">
        <f>IFERROR(IF(LEN(VLOOKUP($AG30,'C-1 On-Site WaterC'' Baseline'!C$1:AE$257,27,FALSE))=0,"",IF(AG30="","",IF(ISNA(VLOOKUP($AG30,'C-1 On-Site WaterC'' Baseline'!C$1:AE$257,27,FALSE)),"",(VLOOKUP(AG30,'C-1 On-Site WaterC'' Baseline'!C$1:AE$257,27,FALSE))))),"")</f>
        <v/>
      </c>
      <c r="BG30" s="663" t="str">
        <f>IFERROR(IF(LEN(VLOOKUP($AG30,'C-1 On-Site WaterC'' Baseline'!C$1:AE$257,28,FALSE))=0,"",IF(AG30="","",IF(ISNA(VLOOKUP($AG30,'C-1 On-Site WaterC'' Baseline'!C$1:AE$257,28,FALSE)),"",(VLOOKUP(AG30,'C-1 On-Site WaterC'' Baseline'!C$1:AE$257,28,FALSE))))),"")</f>
        <v/>
      </c>
      <c r="BH30" s="647" t="str">
        <f>IF('C-1 On-Site WaterC'' Baseline'!AU30="","", IF('C-1 On-Site WaterC'' Baseline'!AU30="Yes", TRUE, FALSE))</f>
        <v/>
      </c>
      <c r="BI30" s="647">
        <v>21</v>
      </c>
      <c r="BJ30" s="647" t="e">
        <f>IF(#REF!="","", IF(#REF!="Yes", TRUE, FALSE))</f>
        <v>#REF!</v>
      </c>
      <c r="BK30" s="647" t="str">
        <f t="shared" si="4"/>
        <v/>
      </c>
      <c r="BL30" s="647" t="str">
        <f>IF(AG30="","",IF(LEN(VLOOKUP($AG30,'C-1 On-Site WaterC'' Baseline'!$C$1:$AV$257,25,FALSE))=0,"",VLOOKUP(AG30,'C-1 On-Site WaterC'' Baseline'!$C$1:$AV$257,25,FALSE)))</f>
        <v/>
      </c>
      <c r="BM30" s="647" t="str">
        <f>IF(B30="","",IF(LEN(VLOOKUP($B30,'A-1 On-Site Habitat Baseline'!$D$1:$AV$258,22,FALSE))=0,"",(VLOOKUP(B30,'A-1 On-Site Habitat Baseline'!$D$1:$AV$258,22,FALSE))))</f>
        <v/>
      </c>
    </row>
    <row r="31" spans="2:65" s="649" customFormat="1" ht="44.5" customHeight="1" thickBot="1" x14ac:dyDescent="0.35">
      <c r="B31" s="661" t="str" cm="1">
        <f t="array" ref="B31">IFERROR(INDEX($AD$10:$AD$259, MATCH(0, IF(TRUE=$AC$10:$AC$259, COUNTIF($B$9:B30, $AD$10:$AD$259), ""), 0)),"")</f>
        <v/>
      </c>
      <c r="C31" s="613"/>
      <c r="D31" s="613"/>
      <c r="E31" s="1095" t="str">
        <f>IF(B31="","",IF(ISNA(VLOOKUP($B31,'A-1 On-Site Habitat Baseline'!$D$1:$AV$258,45,FALSE)),"",(VLOOKUP(B31,'A-1 On-Site Habitat Baseline'!$D$1:$AV$258,45,FALSE))))</f>
        <v/>
      </c>
      <c r="F31" s="1095"/>
      <c r="G31" s="1095"/>
      <c r="H31" s="1097"/>
      <c r="I31" s="1097"/>
      <c r="J31" s="1097"/>
      <c r="K31" s="1059" t="str">
        <f>IF(B31="","",IF(ISNA(VLOOKUP($B31,'A-1 On-Site Habitat Baseline'!$D$1:$AV$258,5,FALSE)),"",(VLOOKUP(B31,'A-1 On-Site Habitat Baseline'!$D$1:$AV$258,5,FALSE))))</f>
        <v/>
      </c>
      <c r="L31" s="1059"/>
      <c r="M31" s="1059" t="str">
        <f>IF(B31="","",IF(ISNA(VLOOKUP($B31,'A-1 On-Site Habitat Baseline'!$D$1:$AV$258,16,FALSE)),"",(VLOOKUP(B31,'A-1 On-Site Habitat Baseline'!$D$1:$AV$258,16,FALSE))))</f>
        <v/>
      </c>
      <c r="N31" s="1059"/>
      <c r="O31" s="1095" t="str">
        <f>IF(B31="","",IF(ISNA(VLOOKUP($B31,'A-1 On-Site Habitat Baseline'!$D$1:$AV$258,17,FALSE)),"",(VLOOKUP(B31,'A-1 On-Site Habitat Baseline'!$D$1:$AV$258,17,FALSE))))</f>
        <v/>
      </c>
      <c r="P31" s="1095"/>
      <c r="Q31" s="1095"/>
      <c r="R31" s="1095"/>
      <c r="S31" s="1059" t="str">
        <f t="shared" si="0"/>
        <v/>
      </c>
      <c r="T31" s="1095"/>
      <c r="U31" s="619" t="str">
        <f t="shared" si="1"/>
        <v/>
      </c>
      <c r="V31" s="616"/>
      <c r="W31" s="616"/>
      <c r="X31" s="616"/>
      <c r="Y31" s="616"/>
      <c r="Z31" s="651" t="str">
        <f ca="1">IFERROR(IF(LEN(VLOOKUP($B31,'A-1 On-Site Habitat Baseline'!$D$1:$AV$258,23,FALSE))=0,"",IF(B31="","",IF(ISNA(VLOOKUP($B31,'A-1 On-Site Habitat Baseline'!$D$1:$AV$258,23,FALSE)),"",(VLOOKUP(B31,'A-1 On-Site Habitat Baseline'!$D$1:$AV$258,23,FALSE))))),"")</f>
        <v/>
      </c>
      <c r="AA31" s="623" t="str">
        <f ca="1">IFERROR(IF(LEN(VLOOKUP($B31,'A-1 On-Site Habitat Baseline'!$D$1:$AV$258,24,FALSE))=0,"",IF(B31="","",IF(ISNA(VLOOKUP($B31,'A-1 On-Site Habitat Baseline'!$D$1:$AV$258,24,FALSE)),"",(VLOOKUP(B31,'A-1 On-Site Habitat Baseline'!$D$1:$AV$258,24,FALSE))))),"")</f>
        <v/>
      </c>
      <c r="AB31" s="652" t="str">
        <f ca="1">IFERROR(IF(LEN(VLOOKUP($B31,'A-1 On-Site Habitat Baseline'!$D$1:$AV$258,25,FALSE))=0,"",IF(B31="","",IF(ISNA(VLOOKUP($B31,'A-1 On-Site Habitat Baseline'!$D$1:$AV$258,25,FALSE)),"",(VLOOKUP(B31,'A-1 On-Site Habitat Baseline'!$D$1:$AV$258,25,FALSE))))),"")</f>
        <v/>
      </c>
      <c r="AC31" s="646" t="str">
        <f>IF('A-1 On-Site Habitat Baseline'!G32="","", IF('A-1 On-Site Habitat Baseline'!G32="Yes", TRUE, FALSE))</f>
        <v/>
      </c>
      <c r="AD31" s="647">
        <v>22</v>
      </c>
      <c r="AE31" s="646" t="e">
        <f>IF(#REF!="","", IF(#REF!="Yes", TRUE, FALSE))</f>
        <v>#REF!</v>
      </c>
      <c r="AF31" s="646"/>
      <c r="AG31" s="612" t="str" cm="1">
        <f t="array" ref="AG31">IFERROR(INDEX($BI$10:$BI$259, MATCH(0, IF(TRUE=$BH$10:$BH$259, COUNTIF($AG$9:AG30, $BI$10:$BI$259), ""), 0)),"")</f>
        <v/>
      </c>
      <c r="AH31" s="613"/>
      <c r="AI31" s="613"/>
      <c r="AJ31" s="1095" t="str">
        <f>IF(BH31=FALSE,"",IF(ISNA(VLOOKUP(AG31,'C-1 On-Site WaterC'' Baseline'!C$1:D$257,2,FALSE)),"",(VLOOKUP(AG31,'C-1 On-Site WaterC'' Baseline'!C$1:D$257,2,FALSE))))</f>
        <v/>
      </c>
      <c r="AK31" s="1095"/>
      <c r="AL31" s="1095"/>
      <c r="AM31" s="1097"/>
      <c r="AN31" s="1097"/>
      <c r="AO31" s="1097"/>
      <c r="AP31" s="1059" t="str">
        <f>IF(AG31="","",IF(ISNA(VLOOKUP($AG31,'C-1 On-Site WaterC'' Baseline'!C$1:E$257,3,FALSE)),"",(VLOOKUP(AG31,'C-1 On-Site WaterC'' Baseline'!C$1:E$257,3,FALSE))))</f>
        <v/>
      </c>
      <c r="AQ31" s="1059"/>
      <c r="AR31" s="1060" t="str">
        <f>IF(AG31="","",IF(ISNA(VLOOKUP($AG31,'C-1 On-Site WaterC'' Baseline'!C$1:AA$257,19,FALSE)),"",(VLOOKUP(AG31,'C-1 On-Site WaterC'' Baseline'!C$1:AA$257,19,FALSE))))</f>
        <v/>
      </c>
      <c r="AS31" s="1061"/>
      <c r="AT31" s="1060" t="str">
        <f>IF(AG31="","",IF(ISNA(VLOOKUP($AG31,'C-1 On-Site WaterC'' Baseline'!C$1:AA$257,20,FALSE)),"",(VLOOKUP(AG31,'C-1 On-Site WaterC'' Baseline'!C$1:AA$257,20,FALSE))))</f>
        <v/>
      </c>
      <c r="AU31" s="1062"/>
      <c r="AV31" s="1062"/>
      <c r="AW31" s="1061"/>
      <c r="AX31" s="1059" t="str">
        <f t="shared" si="2"/>
        <v/>
      </c>
      <c r="AY31" s="1059"/>
      <c r="AZ31" s="1063" t="str">
        <f t="shared" si="3"/>
        <v/>
      </c>
      <c r="BA31" s="1064"/>
      <c r="BB31" s="1064"/>
      <c r="BC31" s="1064"/>
      <c r="BD31" s="1065"/>
      <c r="BE31" s="651" t="str">
        <f>IFERROR(IF(LEN(VLOOKUP($AG31,'C-1 On-Site WaterC'' Baseline'!C$1:AE$257,26,FALSE))=0,"",IF(AG31="","",IF(ISNA(VLOOKUP($AG31,'C-1 On-Site WaterC'' Baseline'!C$1:AE$257,26,FALSE)),"",(VLOOKUP(AG31,'C-1 On-Site WaterC'' Baseline'!C$1:AE$257,26,FALSE))))),"")</f>
        <v/>
      </c>
      <c r="BF31" s="623" t="str">
        <f>IFERROR(IF(LEN(VLOOKUP($AG31,'C-1 On-Site WaterC'' Baseline'!C$1:AE$257,27,FALSE))=0,"",IF(AG31="","",IF(ISNA(VLOOKUP($AG31,'C-1 On-Site WaterC'' Baseline'!C$1:AE$257,27,FALSE)),"",(VLOOKUP(AG31,'C-1 On-Site WaterC'' Baseline'!C$1:AE$257,27,FALSE))))),"")</f>
        <v/>
      </c>
      <c r="BG31" s="664" t="str">
        <f>IFERROR(IF(LEN(VLOOKUP($AG31,'C-1 On-Site WaterC'' Baseline'!C$1:AE$257,28,FALSE))=0,"",IF(AG31="","",IF(ISNA(VLOOKUP($AG31,'C-1 On-Site WaterC'' Baseline'!C$1:AE$257,28,FALSE)),"",(VLOOKUP(AG31,'C-1 On-Site WaterC'' Baseline'!C$1:AE$257,28,FALSE))))),"")</f>
        <v/>
      </c>
      <c r="BH31" s="647" t="str">
        <f>IF('C-1 On-Site WaterC'' Baseline'!AU31="","", IF('C-1 On-Site WaterC'' Baseline'!AU31="Yes", TRUE, FALSE))</f>
        <v/>
      </c>
      <c r="BI31" s="647">
        <v>22</v>
      </c>
      <c r="BJ31" s="647" t="e">
        <f>IF(#REF!="","", IF(#REF!="Yes", TRUE, FALSE))</f>
        <v>#REF!</v>
      </c>
      <c r="BK31" s="647" t="str">
        <f t="shared" si="4"/>
        <v/>
      </c>
      <c r="BL31" s="647" t="str">
        <f>IF(AG31="","",IF(LEN(VLOOKUP($AG31,'C-1 On-Site WaterC'' Baseline'!$C$1:$AV$257,25,FALSE))=0,"",VLOOKUP(AG31,'C-1 On-Site WaterC'' Baseline'!$C$1:$AV$257,25,FALSE)))</f>
        <v/>
      </c>
      <c r="BM31" s="647" t="str">
        <f>IF(B31="","",IF(LEN(VLOOKUP($B31,'A-1 On-Site Habitat Baseline'!$D$1:$AV$258,22,FALSE))=0,"",(VLOOKUP(B31,'A-1 On-Site Habitat Baseline'!$D$1:$AV$258,22,FALSE))))</f>
        <v/>
      </c>
    </row>
    <row r="32" spans="2:65" ht="32.5" customHeight="1" thickBot="1" x14ac:dyDescent="0.35">
      <c r="B32" s="1083"/>
      <c r="C32" s="662"/>
      <c r="D32" s="662"/>
      <c r="E32" s="1066" t="s">
        <v>1607</v>
      </c>
      <c r="F32" s="1066"/>
      <c r="G32" s="1066"/>
      <c r="H32" s="1066"/>
      <c r="I32" s="1066"/>
      <c r="J32" s="1067"/>
      <c r="K32" s="1091">
        <f>SUM(K10:L31)</f>
        <v>0</v>
      </c>
      <c r="L32" s="1091"/>
      <c r="M32" s="1040"/>
      <c r="N32" s="1041"/>
      <c r="O32" s="1041"/>
      <c r="P32" s="1041"/>
      <c r="Q32" s="1041"/>
      <c r="R32" s="1041"/>
      <c r="S32" s="1041"/>
      <c r="T32" s="1041"/>
      <c r="U32" s="1041"/>
      <c r="V32" s="1041"/>
      <c r="W32" s="1041"/>
      <c r="X32" s="1041"/>
      <c r="Y32" s="1041"/>
      <c r="Z32" s="1041"/>
      <c r="AA32" s="1041"/>
      <c r="AB32" s="1042"/>
      <c r="AC32" s="646" t="str">
        <f>IF('A-1 On-Site Habitat Baseline'!G33="","", IF('A-1 On-Site Habitat Baseline'!G33="Yes", TRUE, FALSE))</f>
        <v/>
      </c>
      <c r="AD32" s="647">
        <v>23</v>
      </c>
      <c r="AE32" s="646" t="e">
        <f>IF(#REF!="","", IF(#REF!="Yes", TRUE, FALSE))</f>
        <v>#REF!</v>
      </c>
      <c r="AG32" s="668"/>
      <c r="AH32" s="667"/>
      <c r="AI32" s="667"/>
      <c r="AJ32" s="1049" t="s">
        <v>1514</v>
      </c>
      <c r="AK32" s="1049"/>
      <c r="AL32" s="1049"/>
      <c r="AM32" s="1049"/>
      <c r="AN32" s="1049"/>
      <c r="AO32" s="1050"/>
      <c r="AP32" s="1069">
        <f>SUM(AP10:AQ31)</f>
        <v>0</v>
      </c>
      <c r="AQ32" s="1070"/>
      <c r="AR32" s="1046"/>
      <c r="AS32" s="1047"/>
      <c r="AT32" s="1047"/>
      <c r="AU32" s="1047"/>
      <c r="AV32" s="1047"/>
      <c r="AW32" s="1047"/>
      <c r="AX32" s="1047"/>
      <c r="AY32" s="1047"/>
      <c r="AZ32" s="1047"/>
      <c r="BA32" s="1047"/>
      <c r="BB32" s="1047"/>
      <c r="BC32" s="1047"/>
      <c r="BD32" s="1047"/>
      <c r="BE32" s="1047"/>
      <c r="BF32" s="1047"/>
      <c r="BG32" s="1048"/>
      <c r="BH32" s="647" t="str">
        <f>IF('C-1 On-Site WaterC'' Baseline'!AU32="","", IF('C-1 On-Site WaterC'' Baseline'!AU32="Yes", TRUE, FALSE))</f>
        <v/>
      </c>
      <c r="BI32" s="647">
        <v>23</v>
      </c>
      <c r="BJ32" s="647" t="e">
        <f>IF(#REF!="","", IF(#REF!="Yes", TRUE, FALSE))</f>
        <v>#REF!</v>
      </c>
      <c r="BK32" s="647"/>
      <c r="BL32" s="647"/>
      <c r="BM32" s="647"/>
    </row>
    <row r="33" spans="2:65" ht="31.5" customHeight="1" thickBot="1" x14ac:dyDescent="0.4">
      <c r="B33" s="1084"/>
      <c r="E33" s="1103" t="s">
        <v>1608</v>
      </c>
      <c r="F33" s="1066"/>
      <c r="G33" s="1066"/>
      <c r="H33" s="1066"/>
      <c r="I33" s="1066"/>
      <c r="J33" s="1067"/>
      <c r="K33" s="1032">
        <f>SUMIFS($K$10:$K$31,$E$10:$E$31,"&lt;&gt;"&amp;'G-1 All Habitats'!B80,$E$10:$E$31,"&lt;&gt;"&amp;'G-1 All Habitats'!B81,$E$10:$E$31,"&lt;&gt;"&amp;'G-1 All Habitats'!B67,$E$10:$E$31,"&lt;&gt;"&amp;'G-1 All Habitats'!B68,E10:E31,"&lt;&gt;"&amp;'G-1 All Habitats'!B134)</f>
        <v>0</v>
      </c>
      <c r="L33" s="1033"/>
      <c r="M33" s="1043"/>
      <c r="N33" s="1044"/>
      <c r="O33" s="1044"/>
      <c r="P33" s="1044"/>
      <c r="Q33" s="1044"/>
      <c r="R33" s="1044"/>
      <c r="S33" s="1044"/>
      <c r="T33" s="1044"/>
      <c r="U33" s="1044"/>
      <c r="V33" s="1044"/>
      <c r="W33" s="1044"/>
      <c r="X33" s="1044"/>
      <c r="Y33" s="1044"/>
      <c r="Z33" s="1044"/>
      <c r="AA33" s="1044"/>
      <c r="AB33" s="1045"/>
      <c r="AC33" s="646" t="str">
        <f>IF('A-1 On-Site Habitat Baseline'!G34="","", IF('A-1 On-Site Habitat Baseline'!G34="Yes", TRUE, FALSE))</f>
        <v/>
      </c>
      <c r="AD33" s="647">
        <v>24</v>
      </c>
      <c r="AE33" s="646" t="e">
        <f>IF(#REF!="","", IF(#REF!="Yes", TRUE, FALSE))</f>
        <v>#REF!</v>
      </c>
      <c r="AJ33" s="628"/>
      <c r="BH33" s="647" t="str">
        <f>IF('C-1 On-Site WaterC'' Baseline'!AU33="","", IF('C-1 On-Site WaterC'' Baseline'!AU33="Yes", TRUE, FALSE))</f>
        <v/>
      </c>
      <c r="BI33" s="647">
        <v>24</v>
      </c>
      <c r="BJ33" s="647" t="e">
        <f>IF(#REF!="","", IF(#REF!="Yes", TRUE, FALSE))</f>
        <v>#REF!</v>
      </c>
      <c r="BK33" s="647"/>
      <c r="BL33" s="647"/>
      <c r="BM33" s="647"/>
    </row>
    <row r="34" spans="2:65" ht="19.5" customHeight="1" thickBot="1" x14ac:dyDescent="0.4">
      <c r="AD34" s="647">
        <v>25</v>
      </c>
      <c r="AE34" s="646" t="e">
        <f>IF(#REF!="","", IF(#REF!="Yes", TRUE, FALSE))</f>
        <v>#REF!</v>
      </c>
      <c r="AJ34" s="628"/>
      <c r="BG34" s="626" t="str">
        <f>IFERROR(IF(LEN(VLOOKUP($AG34,'C-1 On-Site WaterC'' Baseline'!C$1:AE$257,27,FALSE))=0,"",IF(AG34="","",IF(ISNA(VLOOKUP($AG34,'C-1 On-Site WaterC'' Baseline'!C$1:AE$257,27,FALSE)),"",(VLOOKUP(AG34,'C-1 On-Site WaterC'' Baseline'!C$1:AE$257,27,FALSE))))),"")</f>
        <v/>
      </c>
      <c r="BH34" s="647" t="str">
        <f>IF('C-1 On-Site WaterC'' Baseline'!AU34="","", IF('C-1 On-Site WaterC'' Baseline'!AU34="Yes", TRUE, FALSE))</f>
        <v/>
      </c>
      <c r="BI34" s="647">
        <v>25</v>
      </c>
      <c r="BJ34" s="647" t="e">
        <f>IF(#REF!="","", IF(#REF!="Yes", TRUE, FALSE))</f>
        <v>#REF!</v>
      </c>
      <c r="BK34" s="647"/>
      <c r="BL34" s="647"/>
      <c r="BM34" s="647"/>
    </row>
    <row r="35" spans="2:65" ht="31" customHeight="1" x14ac:dyDescent="0.3">
      <c r="B35" s="1071" t="s">
        <v>1505</v>
      </c>
      <c r="C35" s="1072"/>
      <c r="D35" s="1072"/>
      <c r="E35" s="1072"/>
      <c r="F35" s="1072"/>
      <c r="G35" s="1072"/>
      <c r="H35" s="1072"/>
      <c r="I35" s="1072"/>
      <c r="J35" s="1072"/>
      <c r="K35" s="1072"/>
      <c r="L35" s="1072"/>
      <c r="M35" s="1072"/>
      <c r="N35" s="1072"/>
      <c r="O35" s="1072"/>
      <c r="P35" s="1072"/>
      <c r="Q35" s="1072"/>
      <c r="R35" s="1072"/>
      <c r="S35" s="1072"/>
      <c r="T35" s="1072"/>
      <c r="U35" s="1072"/>
      <c r="V35" s="1072"/>
      <c r="W35" s="1072"/>
      <c r="X35" s="1072"/>
      <c r="Y35" s="1072"/>
      <c r="Z35" s="1072"/>
      <c r="AA35" s="1072"/>
      <c r="AB35" s="1073"/>
      <c r="AD35" s="647">
        <v>26</v>
      </c>
      <c r="AE35" s="646" t="e">
        <f>IF(#REF!="","", IF(#REF!="Yes", TRUE, FALSE))</f>
        <v>#REF!</v>
      </c>
      <c r="AG35" s="1104" t="s">
        <v>1507</v>
      </c>
      <c r="AH35" s="1105"/>
      <c r="AI35" s="1105"/>
      <c r="AJ35" s="1105"/>
      <c r="AK35" s="1105"/>
      <c r="AL35" s="1105"/>
      <c r="AM35" s="1105"/>
      <c r="AN35" s="1105"/>
      <c r="AO35" s="1105"/>
      <c r="AP35" s="1105"/>
      <c r="AQ35" s="1105"/>
      <c r="AR35" s="1105"/>
      <c r="AS35" s="1105"/>
      <c r="AT35" s="1105"/>
      <c r="AU35" s="1105"/>
      <c r="AV35" s="1105"/>
      <c r="AW35" s="1105"/>
      <c r="AX35" s="1105"/>
      <c r="AY35" s="1105"/>
      <c r="AZ35" s="1105"/>
      <c r="BA35" s="1105"/>
      <c r="BB35" s="1105"/>
      <c r="BC35" s="1105"/>
      <c r="BD35" s="1105"/>
      <c r="BE35" s="1105"/>
      <c r="BF35" s="1105"/>
      <c r="BG35" s="1106"/>
      <c r="BH35" s="647" t="str">
        <f>IF('C-1 On-Site WaterC'' Baseline'!AU35="","", IF('C-1 On-Site WaterC'' Baseline'!AU35="Yes", TRUE, FALSE))</f>
        <v/>
      </c>
      <c r="BI35" s="647">
        <v>26</v>
      </c>
      <c r="BJ35" s="647" t="e">
        <f>IF(#REF!="","", IF(#REF!="Yes", TRUE, FALSE))</f>
        <v>#REF!</v>
      </c>
      <c r="BK35" s="647"/>
      <c r="BL35" s="647"/>
      <c r="BM35" s="647"/>
    </row>
    <row r="36" spans="2:65" ht="7.5" customHeight="1" thickBot="1" x14ac:dyDescent="0.35">
      <c r="B36" s="1074"/>
      <c r="C36" s="1075"/>
      <c r="D36" s="1075"/>
      <c r="E36" s="1075"/>
      <c r="F36" s="1075"/>
      <c r="G36" s="1075"/>
      <c r="H36" s="1075"/>
      <c r="I36" s="1075"/>
      <c r="J36" s="1075"/>
      <c r="K36" s="1075"/>
      <c r="L36" s="1075"/>
      <c r="M36" s="1075"/>
      <c r="N36" s="1075"/>
      <c r="O36" s="1075"/>
      <c r="P36" s="1075"/>
      <c r="Q36" s="1075"/>
      <c r="R36" s="1075"/>
      <c r="S36" s="1075"/>
      <c r="T36" s="1075"/>
      <c r="U36" s="1075"/>
      <c r="V36" s="1075"/>
      <c r="W36" s="1075"/>
      <c r="X36" s="1075"/>
      <c r="Y36" s="1075"/>
      <c r="Z36" s="1075"/>
      <c r="AA36" s="1075"/>
      <c r="AB36" s="1076"/>
      <c r="AD36" s="647">
        <v>27</v>
      </c>
      <c r="AE36" s="646" t="e">
        <f>IF(#REF!="","", IF(#REF!="Yes", TRUE, FALSE))</f>
        <v>#REF!</v>
      </c>
      <c r="AG36" s="1107"/>
      <c r="AH36" s="1108"/>
      <c r="AI36" s="1108"/>
      <c r="AJ36" s="1108"/>
      <c r="AK36" s="1108"/>
      <c r="AL36" s="1108"/>
      <c r="AM36" s="1108"/>
      <c r="AN36" s="1108"/>
      <c r="AO36" s="1108"/>
      <c r="AP36" s="1108"/>
      <c r="AQ36" s="1108"/>
      <c r="AR36" s="1108"/>
      <c r="AS36" s="1108"/>
      <c r="AT36" s="1108"/>
      <c r="AU36" s="1108"/>
      <c r="AV36" s="1108"/>
      <c r="AW36" s="1108"/>
      <c r="AX36" s="1108"/>
      <c r="AY36" s="1108"/>
      <c r="AZ36" s="1108"/>
      <c r="BA36" s="1108"/>
      <c r="BB36" s="1108"/>
      <c r="BC36" s="1108"/>
      <c r="BD36" s="1108"/>
      <c r="BE36" s="1108"/>
      <c r="BF36" s="1108"/>
      <c r="BG36" s="1109"/>
      <c r="BH36" s="647" t="str">
        <f>IF('C-1 On-Site WaterC'' Baseline'!AU36="","", IF('C-1 On-Site WaterC'' Baseline'!AU36="Yes", TRUE, FALSE))</f>
        <v/>
      </c>
      <c r="BI36" s="647">
        <v>27</v>
      </c>
      <c r="BJ36" s="647" t="e">
        <f>IF(#REF!="","", IF(#REF!="Yes", TRUE, FALSE))</f>
        <v>#REF!</v>
      </c>
      <c r="BK36" s="647"/>
      <c r="BL36" s="647"/>
      <c r="BM36" s="647"/>
    </row>
    <row r="37" spans="2:65" ht="15.65" customHeight="1" x14ac:dyDescent="0.3">
      <c r="B37" s="1077" t="s">
        <v>1522</v>
      </c>
      <c r="C37" s="1078"/>
      <c r="D37" s="1078"/>
      <c r="E37" s="1078"/>
      <c r="F37" s="1078"/>
      <c r="G37" s="1078"/>
      <c r="H37" s="1078"/>
      <c r="I37" s="1078"/>
      <c r="J37" s="1078"/>
      <c r="K37" s="1078"/>
      <c r="L37" s="1078"/>
      <c r="M37" s="1078"/>
      <c r="N37" s="1078"/>
      <c r="O37" s="1078"/>
      <c r="P37" s="1078"/>
      <c r="Q37" s="1078"/>
      <c r="R37" s="1078"/>
      <c r="S37" s="1078"/>
      <c r="T37" s="1078"/>
      <c r="U37" s="1078"/>
      <c r="V37" s="1078"/>
      <c r="W37" s="1078"/>
      <c r="X37" s="1078"/>
      <c r="Y37" s="1078"/>
      <c r="Z37" s="1078"/>
      <c r="AA37" s="1078"/>
      <c r="AB37" s="1079"/>
      <c r="AD37" s="647">
        <v>28</v>
      </c>
      <c r="AE37" s="646" t="e">
        <f>IF(#REF!="","", IF(#REF!="Yes", TRUE, FALSE))</f>
        <v>#REF!</v>
      </c>
      <c r="AG37" s="1077" t="s">
        <v>1524</v>
      </c>
      <c r="AH37" s="1078"/>
      <c r="AI37" s="1078"/>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9"/>
      <c r="BH37" s="647" t="str">
        <f>IF('C-1 On-Site WaterC'' Baseline'!AU37="","", IF('C-1 On-Site WaterC'' Baseline'!AU37="Yes", TRUE, FALSE))</f>
        <v/>
      </c>
      <c r="BI37" s="647">
        <v>28</v>
      </c>
      <c r="BJ37" s="647" t="e">
        <f>IF(#REF!="","", IF(#REF!="Yes", TRUE, FALSE))</f>
        <v>#REF!</v>
      </c>
      <c r="BK37" s="647"/>
      <c r="BL37" s="647"/>
      <c r="BM37" s="647"/>
    </row>
    <row r="38" spans="2:65" ht="7" customHeight="1" thickBot="1" x14ac:dyDescent="0.35">
      <c r="B38" s="1080"/>
      <c r="C38" s="1081"/>
      <c r="D38" s="1081"/>
      <c r="E38" s="1081"/>
      <c r="F38" s="1081"/>
      <c r="G38" s="1081"/>
      <c r="H38" s="1081"/>
      <c r="I38" s="1081"/>
      <c r="J38" s="1081"/>
      <c r="K38" s="1081"/>
      <c r="L38" s="1081"/>
      <c r="M38" s="1081"/>
      <c r="N38" s="1081"/>
      <c r="O38" s="1081"/>
      <c r="P38" s="1081"/>
      <c r="Q38" s="1081"/>
      <c r="R38" s="1081"/>
      <c r="S38" s="1081"/>
      <c r="T38" s="1081"/>
      <c r="U38" s="1081"/>
      <c r="V38" s="1081"/>
      <c r="W38" s="1081"/>
      <c r="X38" s="1081"/>
      <c r="Y38" s="1081"/>
      <c r="Z38" s="1081"/>
      <c r="AA38" s="1081"/>
      <c r="AB38" s="1082"/>
      <c r="AD38" s="647">
        <v>29</v>
      </c>
      <c r="AE38" s="646" t="e">
        <f>IF(#REF!="","", IF(#REF!="Yes", TRUE, FALSE))</f>
        <v>#REF!</v>
      </c>
      <c r="AG38" s="1080"/>
      <c r="AH38" s="1081"/>
      <c r="AI38" s="1081"/>
      <c r="AJ38" s="1081"/>
      <c r="AK38" s="1081"/>
      <c r="AL38" s="1081"/>
      <c r="AM38" s="1081"/>
      <c r="AN38" s="1081"/>
      <c r="AO38" s="1081"/>
      <c r="AP38" s="1081"/>
      <c r="AQ38" s="1081"/>
      <c r="AR38" s="1081"/>
      <c r="AS38" s="1081"/>
      <c r="AT38" s="1081"/>
      <c r="AU38" s="1081"/>
      <c r="AV38" s="1081"/>
      <c r="AW38" s="1081"/>
      <c r="AX38" s="1081"/>
      <c r="AY38" s="1081"/>
      <c r="AZ38" s="1081"/>
      <c r="BA38" s="1081"/>
      <c r="BB38" s="1081"/>
      <c r="BC38" s="1081"/>
      <c r="BD38" s="1081"/>
      <c r="BE38" s="1081"/>
      <c r="BF38" s="1081"/>
      <c r="BG38" s="1082"/>
      <c r="BH38" s="647" t="str">
        <f>IF('C-1 On-Site WaterC'' Baseline'!AU38="","", IF('C-1 On-Site WaterC'' Baseline'!AU38="Yes", TRUE, FALSE))</f>
        <v/>
      </c>
      <c r="BI38" s="647">
        <v>29</v>
      </c>
      <c r="BJ38" s="647" t="e">
        <f>IF(#REF!="","", IF(#REF!="Yes", TRUE, FALSE))</f>
        <v>#REF!</v>
      </c>
      <c r="BK38" s="647"/>
      <c r="BL38" s="647"/>
      <c r="BM38" s="647"/>
    </row>
    <row r="39" spans="2:65" ht="16" hidden="1" customHeight="1" x14ac:dyDescent="0.3">
      <c r="B39" s="657"/>
      <c r="C39" s="630"/>
      <c r="D39" s="630"/>
      <c r="E39" s="630"/>
      <c r="F39" s="630"/>
      <c r="G39" s="630"/>
      <c r="H39" s="630"/>
      <c r="I39" s="630"/>
      <c r="J39" s="630"/>
      <c r="K39" s="630"/>
      <c r="L39" s="630"/>
      <c r="M39" s="630"/>
      <c r="N39" s="630"/>
      <c r="O39" s="630"/>
      <c r="P39" s="630"/>
      <c r="Q39" s="630"/>
      <c r="R39" s="630"/>
      <c r="S39" s="630"/>
      <c r="T39" s="630"/>
      <c r="U39" s="630"/>
      <c r="V39" s="630"/>
      <c r="W39" s="630"/>
      <c r="X39" s="630"/>
      <c r="Y39" s="630"/>
      <c r="Z39" s="630"/>
      <c r="AD39" s="647">
        <v>30</v>
      </c>
      <c r="AE39" s="646" t="e">
        <f>IF(#REF!="","", IF(#REF!="Yes", TRUE, FALSE))</f>
        <v>#REF!</v>
      </c>
      <c r="AG39" s="629"/>
      <c r="AH39" s="630"/>
      <c r="AI39" s="630"/>
      <c r="AJ39" s="630"/>
      <c r="AK39" s="630"/>
      <c r="AL39" s="630"/>
      <c r="AM39" s="630"/>
      <c r="AN39" s="630"/>
      <c r="AO39" s="630"/>
      <c r="AP39" s="683"/>
      <c r="AQ39" s="683"/>
      <c r="AR39" s="683"/>
      <c r="AS39" s="683"/>
      <c r="AT39" s="630"/>
      <c r="AU39" s="630"/>
      <c r="AV39" s="630"/>
      <c r="AW39" s="630"/>
      <c r="AX39" s="686"/>
      <c r="AY39" s="686"/>
      <c r="AZ39" s="630"/>
      <c r="BA39" s="630"/>
      <c r="BB39" s="630"/>
      <c r="BC39" s="630"/>
      <c r="BD39" s="630"/>
      <c r="BE39" s="630"/>
      <c r="BF39" s="630"/>
      <c r="BG39" s="626" t="str">
        <f>IFERROR(IF(LEN(VLOOKUP($AG39,'C-1 On-Site WaterC'' Baseline'!C$1:AE$257,27,FALSE))=0,"",IF(AG39="","",IF(ISNA(VLOOKUP($AG39,'C-1 On-Site WaterC'' Baseline'!C$1:AE$257,27,FALSE)),"",(VLOOKUP(AG39,'C-1 On-Site WaterC'' Baseline'!C$1:AE$257,27,FALSE))))),"")</f>
        <v/>
      </c>
      <c r="BH39" s="647" t="str">
        <f>IF('C-1 On-Site WaterC'' Baseline'!AU39="","", IF('C-1 On-Site WaterC'' Baseline'!AU39="Yes", TRUE, FALSE))</f>
        <v/>
      </c>
      <c r="BI39" s="647">
        <v>30</v>
      </c>
      <c r="BJ39" s="647" t="e">
        <f>IF(#REF!="","", IF(#REF!="Yes", TRUE, FALSE))</f>
        <v>#REF!</v>
      </c>
      <c r="BK39" s="647" t="str">
        <f>IF(AG39="","",IF(AND(AG39&lt;&gt;"",AX39&gt;0,AZ39&lt;&gt;"Yes ✓"),"","Irreplaceable habitat lost, bespoke compensation must be agreed with concenting body ▲"))</f>
        <v/>
      </c>
      <c r="BL39" s="647" t="str">
        <f>IF(AG39="","",IF(LEN(VLOOKUP($AG39,'C-1 On-Site WaterC'' Baseline'!$C$1:$AV$257,25,FALSE))=0,"",VLOOKUP(AG39,'C-1 On-Site WaterC'' Baseline'!$C$1:$AV$257,25,FALSE)))</f>
        <v/>
      </c>
      <c r="BM39" s="647" t="str">
        <f>IF(B39="","",IF(LEN(VLOOKUP($B39,'A-1 On-Site Habitat Baseline'!$D$1:$AV$258,22,FALSE))=0,"",(VLOOKUP(B39,'A-1 On-Site Habitat Baseline'!$D$1:$AV$258,22,FALSE))))</f>
        <v/>
      </c>
    </row>
    <row r="40" spans="2:65" hidden="1" thickBot="1" x14ac:dyDescent="0.35">
      <c r="B40" s="657"/>
      <c r="C40" s="630"/>
      <c r="D40" s="630"/>
      <c r="E40" s="630"/>
      <c r="F40" s="630"/>
      <c r="G40" s="630"/>
      <c r="H40" s="630"/>
      <c r="I40" s="630"/>
      <c r="J40" s="630"/>
      <c r="K40" s="630"/>
      <c r="L40" s="630"/>
      <c r="M40" s="630"/>
      <c r="N40" s="630"/>
      <c r="O40" s="630"/>
      <c r="P40" s="630"/>
      <c r="Q40" s="630"/>
      <c r="R40" s="630"/>
      <c r="S40" s="630"/>
      <c r="T40" s="630"/>
      <c r="U40" s="630"/>
      <c r="V40" s="630"/>
      <c r="W40" s="630"/>
      <c r="X40" s="630"/>
      <c r="Y40" s="630"/>
      <c r="Z40" s="630"/>
      <c r="AD40" s="647">
        <v>31</v>
      </c>
      <c r="AE40" s="646" t="e">
        <f>IF(#REF!="","", IF(#REF!="Yes", TRUE, FALSE))</f>
        <v>#REF!</v>
      </c>
      <c r="AG40" s="629"/>
      <c r="AH40" s="630"/>
      <c r="AI40" s="630"/>
      <c r="AJ40" s="630"/>
      <c r="AK40" s="630"/>
      <c r="AL40" s="630"/>
      <c r="AM40" s="630"/>
      <c r="AN40" s="630"/>
      <c r="AO40" s="630"/>
      <c r="AP40" s="683"/>
      <c r="AQ40" s="683"/>
      <c r="AR40" s="683"/>
      <c r="AS40" s="683"/>
      <c r="AT40" s="630"/>
      <c r="AU40" s="630"/>
      <c r="AV40" s="630"/>
      <c r="AW40" s="630"/>
      <c r="AX40" s="686"/>
      <c r="AY40" s="686"/>
      <c r="AZ40" s="630"/>
      <c r="BA40" s="630"/>
      <c r="BB40" s="630"/>
      <c r="BC40" s="630"/>
      <c r="BD40" s="630"/>
      <c r="BE40" s="630"/>
      <c r="BF40" s="630"/>
      <c r="BG40" s="626" t="str">
        <f>IFERROR(IF(LEN(VLOOKUP($AG40,'C-1 On-Site WaterC'' Baseline'!C$1:AE$257,27,FALSE))=0,"",IF(AG40="","",IF(ISNA(VLOOKUP($AG40,'C-1 On-Site WaterC'' Baseline'!C$1:AE$257,27,FALSE)),"",(VLOOKUP(AG40,'C-1 On-Site WaterC'' Baseline'!C$1:AE$257,27,FALSE))))),"")</f>
        <v/>
      </c>
      <c r="BH40" s="647" t="str">
        <f>IF('C-1 On-Site WaterC'' Baseline'!AU40="","", IF('C-1 On-Site WaterC'' Baseline'!AU40="Yes", TRUE, FALSE))</f>
        <v/>
      </c>
      <c r="BI40" s="647">
        <v>31</v>
      </c>
      <c r="BJ40" s="647" t="e">
        <f>IF(#REF!="","", IF(#REF!="Yes", TRUE, FALSE))</f>
        <v>#REF!</v>
      </c>
      <c r="BK40" s="647" t="str">
        <f>IF(AG40="","",IF(AND(AG40&lt;&gt;"",AX40&gt;0,AZ40&lt;&gt;"Yes ✓"),"","Irreplaceable habitat lost, bespoke compensation must be agreed with concenting body ▲"))</f>
        <v/>
      </c>
      <c r="BL40" s="647" t="str">
        <f>IF(AG40="","",IF(LEN(VLOOKUP($AG40,'C-1 On-Site WaterC'' Baseline'!$C$1:$AV$257,25,FALSE))=0,"",VLOOKUP(AG40,'C-1 On-Site WaterC'' Baseline'!$C$1:$AV$257,25,FALSE)))</f>
        <v/>
      </c>
      <c r="BM40" s="647" t="str">
        <f>IF(B40="","",IF(LEN(VLOOKUP($B40,'A-1 On-Site Habitat Baseline'!$D$1:$AV$258,22,FALSE))=0,"",(VLOOKUP(B40,'A-1 On-Site Habitat Baseline'!$D$1:$AV$258,22,FALSE))))</f>
        <v/>
      </c>
    </row>
    <row r="41" spans="2:65" ht="16" hidden="1" customHeight="1" thickBot="1" x14ac:dyDescent="0.35">
      <c r="B41" s="658"/>
      <c r="C41" s="633"/>
      <c r="D41" s="633"/>
      <c r="E41" s="633"/>
      <c r="F41" s="633"/>
      <c r="G41" s="633"/>
      <c r="H41" s="633"/>
      <c r="I41" s="633"/>
      <c r="J41" s="633"/>
      <c r="K41" s="633"/>
      <c r="L41" s="633"/>
      <c r="M41" s="633"/>
      <c r="N41" s="633"/>
      <c r="O41" s="633"/>
      <c r="P41" s="633"/>
      <c r="Q41" s="633"/>
      <c r="R41" s="633"/>
      <c r="S41" s="633"/>
      <c r="T41" s="633"/>
      <c r="U41" s="633"/>
      <c r="V41" s="633"/>
      <c r="W41" s="633"/>
      <c r="X41" s="633"/>
      <c r="Y41" s="633"/>
      <c r="Z41" s="633"/>
      <c r="AD41" s="647">
        <v>32</v>
      </c>
      <c r="AE41" s="646" t="e">
        <f>IF(#REF!="","", IF(#REF!="Yes", TRUE, FALSE))</f>
        <v>#REF!</v>
      </c>
      <c r="AG41" s="632"/>
      <c r="AH41" s="633"/>
      <c r="AI41" s="633"/>
      <c r="AJ41" s="633"/>
      <c r="AK41" s="633"/>
      <c r="AL41" s="633"/>
      <c r="AM41" s="633"/>
      <c r="AN41" s="633"/>
      <c r="AO41" s="633"/>
      <c r="AP41" s="684"/>
      <c r="AQ41" s="684"/>
      <c r="AR41" s="684"/>
      <c r="AS41" s="684"/>
      <c r="AT41" s="633"/>
      <c r="AU41" s="633"/>
      <c r="AV41" s="633"/>
      <c r="AW41" s="633"/>
      <c r="AX41" s="687"/>
      <c r="AY41" s="687"/>
      <c r="AZ41" s="633"/>
      <c r="BA41" s="633"/>
      <c r="BB41" s="633"/>
      <c r="BC41" s="633"/>
      <c r="BD41" s="633"/>
      <c r="BE41" s="633"/>
      <c r="BF41" s="654"/>
      <c r="BG41" s="626" t="str">
        <f>IFERROR(IF(LEN(VLOOKUP($AG41,'C-1 On-Site WaterC'' Baseline'!C$1:AE$257,27,FALSE))=0,"",IF(AG41="","",IF(ISNA(VLOOKUP($AG41,'C-1 On-Site WaterC'' Baseline'!C$1:AE$257,27,FALSE)),"",(VLOOKUP(AG41,'C-1 On-Site WaterC'' Baseline'!C$1:AE$257,27,FALSE))))),"")</f>
        <v/>
      </c>
      <c r="BH41" s="647" t="str">
        <f>IF('C-1 On-Site WaterC'' Baseline'!AU41="","", IF('C-1 On-Site WaterC'' Baseline'!AU41="Yes", TRUE, FALSE))</f>
        <v/>
      </c>
      <c r="BI41" s="647">
        <v>32</v>
      </c>
      <c r="BJ41" s="647" t="e">
        <f>IF(#REF!="","", IF(#REF!="Yes", TRUE, FALSE))</f>
        <v>#REF!</v>
      </c>
      <c r="BK41" s="647" t="str">
        <f>IF(AG41="","",IF(AND(AG41&lt;&gt;"",AX41&gt;0,AZ41&lt;&gt;"Yes ✓"),"","Irreplaceable habitat lost, bespoke compensation must be agreed with concenting body ▲"))</f>
        <v/>
      </c>
      <c r="BL41" s="647" t="str">
        <f>IF(AG41="","",IF(LEN(VLOOKUP($AG41,'C-1 On-Site WaterC'' Baseline'!$C$1:$AV$257,25,FALSE))=0,"",VLOOKUP(AG41,'C-1 On-Site WaterC'' Baseline'!$C$1:$AV$257,25,FALSE)))</f>
        <v/>
      </c>
      <c r="BM41" s="647" t="str">
        <f>IF(B41="","",IF(LEN(VLOOKUP($B41,'A-1 On-Site Habitat Baseline'!$D$1:$AV$258,22,FALSE))=0,"",(VLOOKUP(B41,'A-1 On-Site Habitat Baseline'!$D$1:$AV$258,22,FALSE))))</f>
        <v/>
      </c>
    </row>
    <row r="42" spans="2:65" ht="62.5" customHeight="1" thickBot="1" x14ac:dyDescent="0.35">
      <c r="B42" s="636" t="s">
        <v>1497</v>
      </c>
      <c r="C42" s="634"/>
      <c r="D42" s="635"/>
      <c r="E42" s="1100" t="s">
        <v>1512</v>
      </c>
      <c r="F42" s="1102"/>
      <c r="G42" s="1102"/>
      <c r="H42" s="1092" t="s">
        <v>1515</v>
      </c>
      <c r="I42" s="1094"/>
      <c r="J42" s="1093"/>
      <c r="K42" s="1092" t="s">
        <v>1499</v>
      </c>
      <c r="L42" s="1093"/>
      <c r="M42" s="1100" t="s">
        <v>157</v>
      </c>
      <c r="N42" s="1101"/>
      <c r="O42" s="1092" t="s">
        <v>158</v>
      </c>
      <c r="P42" s="1094"/>
      <c r="Q42" s="1094"/>
      <c r="R42" s="1093"/>
      <c r="S42" s="1092" t="s">
        <v>223</v>
      </c>
      <c r="T42" s="1093"/>
      <c r="U42" s="637" t="s">
        <v>1503</v>
      </c>
      <c r="V42" s="634"/>
      <c r="W42" s="634"/>
      <c r="X42" s="634"/>
      <c r="Y42" s="634"/>
      <c r="Z42" s="638" t="s">
        <v>163</v>
      </c>
      <c r="AA42" s="638" t="s">
        <v>1525</v>
      </c>
      <c r="AB42" s="638" t="s">
        <v>165</v>
      </c>
      <c r="AD42" s="647">
        <v>33</v>
      </c>
      <c r="AE42" s="646" t="e">
        <f>IF(#REF!="","", IF(#REF!="Yes", TRUE, FALSE))</f>
        <v>#REF!</v>
      </c>
      <c r="AG42" s="644" t="s">
        <v>1497</v>
      </c>
      <c r="AH42" s="634"/>
      <c r="AI42" s="635"/>
      <c r="AJ42" s="1100" t="s">
        <v>27</v>
      </c>
      <c r="AK42" s="1102"/>
      <c r="AL42" s="1102"/>
      <c r="AM42" s="1092" t="s">
        <v>1515</v>
      </c>
      <c r="AN42" s="1094"/>
      <c r="AO42" s="1093"/>
      <c r="AP42" s="1092" t="s">
        <v>1500</v>
      </c>
      <c r="AQ42" s="1093"/>
      <c r="AR42" s="1092" t="s">
        <v>1501</v>
      </c>
      <c r="AS42" s="1093"/>
      <c r="AT42" s="1092" t="s">
        <v>1502</v>
      </c>
      <c r="AU42" s="1094"/>
      <c r="AV42" s="1094"/>
      <c r="AW42" s="1093"/>
      <c r="AX42" s="1088" t="s">
        <v>65</v>
      </c>
      <c r="AY42" s="1089"/>
      <c r="AZ42" s="637" t="s">
        <v>1498</v>
      </c>
      <c r="BA42" s="634"/>
      <c r="BB42" s="634"/>
      <c r="BC42" s="634"/>
      <c r="BD42" s="634"/>
      <c r="BE42" s="638" t="s">
        <v>1516</v>
      </c>
      <c r="BF42" s="638" t="s">
        <v>1525</v>
      </c>
      <c r="BG42" s="638" t="s">
        <v>165</v>
      </c>
      <c r="BH42" s="647" t="str">
        <f>IF('C-1 On-Site WaterC'' Baseline'!AU42="","", IF('C-1 On-Site WaterC'' Baseline'!AU42="Yes", TRUE, FALSE))</f>
        <v/>
      </c>
      <c r="BI42" s="647">
        <v>33</v>
      </c>
      <c r="BJ42" s="647" t="e">
        <f>IF(#REF!="","", IF(#REF!="Yes", TRUE, FALSE))</f>
        <v>#REF!</v>
      </c>
      <c r="BK42" s="647"/>
      <c r="BL42" s="647"/>
      <c r="BM42" s="647"/>
    </row>
    <row r="43" spans="2:65" ht="44.5" customHeight="1" x14ac:dyDescent="0.3">
      <c r="B43" s="659" t="str" cm="1">
        <f t="array" ref="B43">IFERROR(INDEX($AD$10:$AD$259, MATCH(0, IF(TRUE=$AE$10:$AE$259, COUNTIF($B$42:B42, $AD$10:$AD$259), ""), 0)),"")</f>
        <v/>
      </c>
      <c r="C43" s="609"/>
      <c r="D43" s="609"/>
      <c r="E43" s="1098" t="str">
        <f>IF(B43="","",IF(ISNA(VLOOKUP($B43,#REF!,45,FALSE)),"",(VLOOKUP(B43,#REF!,45,FALSE))))</f>
        <v/>
      </c>
      <c r="F43" s="1098"/>
      <c r="G43" s="1098"/>
      <c r="H43" s="1099"/>
      <c r="I43" s="1099"/>
      <c r="J43" s="1099"/>
      <c r="K43" s="1090" t="str">
        <f>IF(B43="","",IF(ISNA(VLOOKUP($B43,#REF!,5,FALSE)),"",(VLOOKUP(B43,#REF!,5,FALSE))))</f>
        <v/>
      </c>
      <c r="L43" s="1090"/>
      <c r="M43" s="1090" t="str">
        <f>IF(B43="","",IF(ISNA(VLOOKUP($B43,#REF!,19,FALSE)),"",(VLOOKUP(B43,#REF!,19,FALSE))))</f>
        <v/>
      </c>
      <c r="N43" s="1090"/>
      <c r="O43" s="1090" t="str">
        <f>IF(B43="","",IF(ISNA(VLOOKUP($B43,#REF!,20,FALSE)),"",(VLOOKUP(B43,#REF!,20,FALSE))))</f>
        <v/>
      </c>
      <c r="P43" s="1090"/>
      <c r="Q43" s="1090"/>
      <c r="R43" s="1090"/>
      <c r="S43" s="1090" t="str">
        <f>IFERROR(K43-(M43+O43),"")</f>
        <v/>
      </c>
      <c r="T43" s="1098"/>
      <c r="U43" s="618" t="str">
        <f>IF(OR(E43="",S43=0),"",IF(BM43="No","No",IF(AND(BM43&lt;&gt;"Yes",E43&lt;&gt;""),"No ▲", "Yes ✓")))</f>
        <v/>
      </c>
      <c r="V43" s="614"/>
      <c r="W43" s="614"/>
      <c r="X43" s="614"/>
      <c r="Y43" s="614"/>
      <c r="Z43" s="625" t="str">
        <f>IFERROR(IF(LEN(VLOOKUP($B43,#REF!,26,FALSE))=0,"",IF(B43="","",IF(ISNA(VLOOKUP($B43,#REF!,26,FALSE)),"",(VLOOKUP(B43,#REF!,26,FALSE))))),"")</f>
        <v/>
      </c>
      <c r="AA43" s="625" t="str">
        <f>IFERROR(IF(LEN(VLOOKUP($B43,#REF!,27,FALSE))=0,"",IF(B43="","",IF(ISNA(VLOOKUP($B43,#REF!,27,FALSE)),"",(VLOOKUP(B43,#REF!,27,FALSE))))),"")</f>
        <v/>
      </c>
      <c r="AB43" s="645" t="str">
        <f>IFERROR(IF(LEN(VLOOKUP($B43,#REF!,28,FALSE))=0,"",IF(B43="","",IF(ISNA(VLOOKUP($B43,#REF!,28,FALSE)),"",(VLOOKUP(B43,#REF!,28,FALSE))))),"")</f>
        <v/>
      </c>
      <c r="AD43" s="647">
        <v>34</v>
      </c>
      <c r="AE43" s="646" t="e">
        <f>IF(#REF!="","", IF(#REF!="Yes", TRUE, FALSE))</f>
        <v>#REF!</v>
      </c>
      <c r="AG43" s="608" t="str" cm="1">
        <f t="array" ref="AG43">IFERROR(INDEX($BI$10:$BI$259, MATCH(0, IF(TRUE=$BJ$10:$BJ$259, COUNTIF($AG$42:AG42, $BI$10:$BI$259), ""), 0)),"")</f>
        <v/>
      </c>
      <c r="AH43" s="609"/>
      <c r="AI43" s="609"/>
      <c r="AJ43" s="1098" t="e">
        <f>IF(BH43=FALSE,"",IF(ISNA(VLOOKUP(AG43,#REF!,2,FALSE)),"",(VLOOKUP(AG43,#REF!,2,FALSE))))</f>
        <v>#REF!</v>
      </c>
      <c r="AK43" s="1098"/>
      <c r="AL43" s="1098"/>
      <c r="AM43" s="1099"/>
      <c r="AN43" s="1099"/>
      <c r="AO43" s="1099"/>
      <c r="AP43" s="1090" t="str">
        <f>IF(AG43="","",IF(ISNA(VLOOKUP($AG43,#REF!,3,FALSE)),"",(VLOOKUP(AG43,#REF!,3,FALSE))))</f>
        <v/>
      </c>
      <c r="AQ43" s="1090"/>
      <c r="AR43" s="1090" t="str">
        <f>IF(AG43="","",IF(ISNA(VLOOKUP($AG43,#REF!,22,FALSE)),"",(VLOOKUP(AG43,#REF!,22,FALSE))))</f>
        <v/>
      </c>
      <c r="AS43" s="1090"/>
      <c r="AT43" s="1090" t="str">
        <f>IF(AG43="","",IF(ISNA(VLOOKUP($AG43,#REF!,23,FALSE)),"",(VLOOKUP(AG43,#REF!,23,FALSE))))</f>
        <v/>
      </c>
      <c r="AU43" s="1090"/>
      <c r="AV43" s="1090"/>
      <c r="AW43" s="1090"/>
      <c r="AX43" s="1090" t="e">
        <f>IF(AJ43="","",AP43-(AR43+AT43))</f>
        <v>#REF!</v>
      </c>
      <c r="AY43" s="1090"/>
      <c r="AZ43" s="1085" t="e">
        <f t="shared" ref="AZ43:AZ64" si="5">IF(OR(AJ43="",AX43=0),"",IF(BL43="No","No",IF(AND(BL43&lt;&gt;"Yes",AJ43&lt;&gt;""),"No ▲", "Yes ✓")))</f>
        <v>#REF!</v>
      </c>
      <c r="BA43" s="1086"/>
      <c r="BB43" s="1086"/>
      <c r="BC43" s="1086"/>
      <c r="BD43" s="1087"/>
      <c r="BE43" s="625" t="str">
        <f>IFERROR(IF(LEN(VLOOKUP($AG43,#REF!,29,FALSE))=0,"",IF(AG43="","",IF(ISNA(VLOOKUP($AG43,#REF!,29,FALSE)),"",(VLOOKUP(AG43,#REF!,29,FALSE))))),"")</f>
        <v/>
      </c>
      <c r="BF43" s="625" t="str">
        <f>IFERROR(IF(LEN(VLOOKUP($AG43,#REF!,30,FALSE))=0,"",IF(AG43="","",IF(ISNA(VLOOKUP($AG43,#REF!,30,FALSE)),"",(VLOOKUP(AG43,#REF!,30,FALSE))))),"")</f>
        <v/>
      </c>
      <c r="BG43" s="645" t="str">
        <f>IFERROR(IF(LEN(VLOOKUP($AG43,#REF!,31,FALSE))=0,"",IF(AG43="","",IF(ISNA(VLOOKUP($AG43,#REF!,31,FALSE)),"",(VLOOKUP(AG43,#REF!,31,FALSE))))),"")</f>
        <v/>
      </c>
      <c r="BH43" s="647" t="str">
        <f>IF('C-1 On-Site WaterC'' Baseline'!AU43="","", IF('C-1 On-Site WaterC'' Baseline'!AU43="Yes", TRUE, FALSE))</f>
        <v/>
      </c>
      <c r="BI43" s="647">
        <v>34</v>
      </c>
      <c r="BJ43" s="647" t="e">
        <f>IF(#REF!="","", IF(#REF!="Yes", TRUE, FALSE))</f>
        <v>#REF!</v>
      </c>
      <c r="BK43" s="647" t="str">
        <f>IF(AG43="","",IF(AX43=0,"",IF(AND(AG43&lt;&gt;"",AX43&gt;0,AZ43&lt;&gt;"Yes ✓"),"","Irreplaceable habitat lost, bespoke compensation must be agreed with concenting body ▲")))</f>
        <v/>
      </c>
      <c r="BL43" s="647" t="str">
        <f>IF(AG43="","",IF(LEN(VLOOKUP($AG43,'C-1 On-Site WaterC'' Baseline'!$C$1:$AV$257,25,FALSE))=0,"",VLOOKUP(AG43,'C-1 On-Site WaterC'' Baseline'!$C$1:$AV$257,25,FALSE)))</f>
        <v/>
      </c>
      <c r="BM43" s="647" t="str">
        <f>IF(B43="","",IF(LEN(VLOOKUP($B43,#REF!,25,FALSE))=0,"",(VLOOKUP(B43,#REF!,25,FALSE))))</f>
        <v/>
      </c>
    </row>
    <row r="44" spans="2:65" ht="44.5" customHeight="1" x14ac:dyDescent="0.3">
      <c r="B44" s="660" t="str" cm="1">
        <f t="array" ref="B44">IFERROR(INDEX($AD$10:$AD$259, MATCH(0, IF(TRUE=$AE$10:$AE$259, COUNTIF($B$42:B43, $AD$10:$AD$259), ""), 0)),"")</f>
        <v/>
      </c>
      <c r="C44" s="611"/>
      <c r="D44" s="611"/>
      <c r="E44" s="1068" t="str">
        <f>IF(B44="","",IF(ISNA(VLOOKUP($B44,#REF!,45,FALSE)),"",(VLOOKUP(B44,#REF!,45,FALSE))))</f>
        <v/>
      </c>
      <c r="F44" s="1068"/>
      <c r="G44" s="1068"/>
      <c r="H44" s="1096"/>
      <c r="I44" s="1096"/>
      <c r="J44" s="1096"/>
      <c r="K44" s="1055" t="str">
        <f>IF(B44="","",IF(ISNA(VLOOKUP($B44,#REF!,5,FALSE)),"",(VLOOKUP(B44,#REF!,5,FALSE))))</f>
        <v/>
      </c>
      <c r="L44" s="1055"/>
      <c r="M44" s="1055" t="str">
        <f>IF(B44="","",IF(ISNA(VLOOKUP($B44,#REF!,19,FALSE)),"",(VLOOKUP(B44,#REF!,19,FALSE))))</f>
        <v/>
      </c>
      <c r="N44" s="1055"/>
      <c r="O44" s="1055" t="str">
        <f>IF(B44="","",IF(ISNA(VLOOKUP($B44,'A-1 On-Site Habitat Baseline'!$D$1:$AV$258,17,FALSE)),"",(VLOOKUP(B44,'A-1 On-Site Habitat Baseline'!$D$1:$AV$258,17,FALSE))))</f>
        <v/>
      </c>
      <c r="P44" s="1055"/>
      <c r="Q44" s="1055"/>
      <c r="R44" s="1055"/>
      <c r="S44" s="1055" t="str">
        <f>IFERROR(K44-(M44+O44),"")</f>
        <v/>
      </c>
      <c r="T44" s="1068"/>
      <c r="U44" s="617" t="str">
        <f t="shared" ref="U44:U64" si="6">IF(OR(E44="",S44=0),"",IF(BM44="No","No",IF(AND(BM44&lt;&gt;"Yes",E44&lt;&gt;""),"No ▲", "Yes ✓")))</f>
        <v/>
      </c>
      <c r="V44" s="615"/>
      <c r="W44" s="615"/>
      <c r="X44" s="615"/>
      <c r="Y44" s="615"/>
      <c r="Z44" s="650" t="str">
        <f>IFERROR(IF(LEN(VLOOKUP($B44,#REF!,26,FALSE))=0,"",IF(B44="","",IF(ISNA(VLOOKUP($B44,#REF!,26,FALSE)),"",(VLOOKUP(B44,#REF!,26,FALSE))))),"")</f>
        <v/>
      </c>
      <c r="AA44" s="624" t="str">
        <f>IFERROR(IF(LEN(VLOOKUP($B44,#REF!,27,FALSE))=0,"",IF(B44="","",IF(ISNA(VLOOKUP($B44,#REF!,27,FALSE)),"",(VLOOKUP(B44,#REF!,27,FALSE))))),"")</f>
        <v/>
      </c>
      <c r="AB44" s="648" t="str">
        <f>IFERROR(IF(LEN(VLOOKUP($B44,#REF!,28,FALSE))=0,"",IF(B44="","",IF(ISNA(VLOOKUP($B44,#REF!,28,FALSE)),"",(VLOOKUP(B44,#REF!,28,FALSE))))),"")</f>
        <v/>
      </c>
      <c r="AD44" s="647">
        <v>35</v>
      </c>
      <c r="AE44" s="646" t="e">
        <f>IF(#REF!="","", IF(#REF!="Yes", TRUE, FALSE))</f>
        <v>#REF!</v>
      </c>
      <c r="AG44" s="610" t="str" cm="1">
        <f t="array" ref="AG44">IFERROR(INDEX($BI$10:$BI$259, MATCH(0, IF(TRUE=$BJ$10:$BJ$259, COUNTIF($AG$42:AG43, $BI$10:$BI$259), ""), 0)),"")</f>
        <v/>
      </c>
      <c r="AH44" s="611"/>
      <c r="AI44" s="611"/>
      <c r="AJ44" s="1068" t="e">
        <f>IF(BH44=FALSE,"",IF(ISNA(VLOOKUP(AG44,#REF!,2,FALSE)),"",(VLOOKUP(AG44,#REF!,2,FALSE))))</f>
        <v>#REF!</v>
      </c>
      <c r="AK44" s="1068"/>
      <c r="AL44" s="1068"/>
      <c r="AM44" s="1096"/>
      <c r="AN44" s="1096"/>
      <c r="AO44" s="1096"/>
      <c r="AP44" s="1055" t="str">
        <f>IF(AG44="","",IF(ISNA(VLOOKUP($AG44,#REF!,3,FALSE)),"",(VLOOKUP(AG44,#REF!,3,FALSE))))</f>
        <v/>
      </c>
      <c r="AQ44" s="1055"/>
      <c r="AR44" s="1052" t="str">
        <f>IF(AG44="","",IF(ISNA(VLOOKUP($AG44,#REF!,22,FALSE)),"",(VLOOKUP(AG44,#REF!,22,FALSE))))</f>
        <v/>
      </c>
      <c r="AS44" s="1054"/>
      <c r="AT44" s="1052" t="str">
        <f>IF(AG44="","",IF(ISNA(VLOOKUP($AG44,#REF!,23,FALSE)),"",(VLOOKUP(AG44,#REF!,23,FALSE))))</f>
        <v/>
      </c>
      <c r="AU44" s="1053"/>
      <c r="AV44" s="1053"/>
      <c r="AW44" s="1054"/>
      <c r="AX44" s="1055" t="e">
        <f t="shared" ref="AX44:AX64" si="7">IF(AJ44="","",AP44-(AR44+AT44))</f>
        <v>#REF!</v>
      </c>
      <c r="AY44" s="1055"/>
      <c r="AZ44" s="1056" t="e">
        <f t="shared" si="5"/>
        <v>#REF!</v>
      </c>
      <c r="BA44" s="1057"/>
      <c r="BB44" s="1057"/>
      <c r="BC44" s="1057"/>
      <c r="BD44" s="1058"/>
      <c r="BE44" s="624" t="str">
        <f>IFERROR(IF(LEN(VLOOKUP($AG44,#REF!,29,FALSE))=0,"",IF(AG44="","",IF(ISNA(VLOOKUP($AG44,#REF!,29,FALSE)),"",(VLOOKUP(AG44,#REF!,29,FALSE))))),"")</f>
        <v/>
      </c>
      <c r="BF44" s="624" t="str">
        <f>IFERROR(IF(LEN(VLOOKUP($AG44,#REF!,30,FALSE))=0,"",IF(AG44="","",IF(ISNA(VLOOKUP($AG44,#REF!,30,FALSE)),"",(VLOOKUP(AG44,#REF!,30,FALSE))))),"")</f>
        <v/>
      </c>
      <c r="BG44" s="663" t="str">
        <f>IFERROR(IF(LEN(VLOOKUP($AG44,#REF!,31,FALSE))=0,"",IF(AG44="","",IF(ISNA(VLOOKUP($AG44,#REF!,31,FALSE)),"",(VLOOKUP(AG44,#REF!,31,FALSE))))),"")</f>
        <v/>
      </c>
      <c r="BH44" s="647" t="str">
        <f>IF('C-1 On-Site WaterC'' Baseline'!AU44="","", IF('C-1 On-Site WaterC'' Baseline'!AU44="Yes", TRUE, FALSE))</f>
        <v/>
      </c>
      <c r="BI44" s="647">
        <v>35</v>
      </c>
      <c r="BJ44" s="647" t="e">
        <f>IF(#REF!="","", IF(#REF!="Yes", TRUE, FALSE))</f>
        <v>#REF!</v>
      </c>
      <c r="BK44" s="647" t="str">
        <f t="shared" ref="BK44:BK64" si="8">IF(AG44="","",IF(AX44=0,"",IF(AND(AG44&lt;&gt;"",AX44&gt;0,AZ44&lt;&gt;"Yes ✓"),"","Irreplaceable habitat lost, bespoke compensation must be agreed with concenting body ▲")))</f>
        <v/>
      </c>
      <c r="BL44" s="647" t="str">
        <f>IF(AG44="","",IF(LEN(VLOOKUP($AG44,'C-1 On-Site WaterC'' Baseline'!$C$1:$AV$257,25,FALSE))=0,"",VLOOKUP(AG44,'C-1 On-Site WaterC'' Baseline'!$C$1:$AV$257,25,FALSE)))</f>
        <v/>
      </c>
      <c r="BM44" s="647" t="str">
        <f>IF(B44="","",IF(LEN(VLOOKUP($B44,#REF!,25,FALSE))=0,"",(VLOOKUP(B44,#REF!,25,FALSE))))</f>
        <v/>
      </c>
    </row>
    <row r="45" spans="2:65" ht="44.5" customHeight="1" x14ac:dyDescent="0.3">
      <c r="B45" s="660" t="str" cm="1">
        <f t="array" ref="B45">IFERROR(INDEX($AD$10:$AD$259, MATCH(0, IF(TRUE=$AE$10:$AE$259, COUNTIF($B$42:B44, $AD$10:$AD$259), ""), 0)),"")</f>
        <v/>
      </c>
      <c r="C45" s="611"/>
      <c r="D45" s="611"/>
      <c r="E45" s="1068" t="str">
        <f>IF(B45="","",IF(ISNA(VLOOKUP($B45,#REF!,45,FALSE)),"",(VLOOKUP(B45,#REF!,45,FALSE))))</f>
        <v/>
      </c>
      <c r="F45" s="1068"/>
      <c r="G45" s="1068"/>
      <c r="H45" s="1096"/>
      <c r="I45" s="1096"/>
      <c r="J45" s="1096"/>
      <c r="K45" s="1055" t="str">
        <f>IF(B45="","",IF(ISNA(VLOOKUP($B45,#REF!,5,FALSE)),"",(VLOOKUP(B45,#REF!,5,FALSE))))</f>
        <v/>
      </c>
      <c r="L45" s="1055"/>
      <c r="M45" s="1055" t="str">
        <f>IF(B45="","",IF(ISNA(VLOOKUP($B45,#REF!,19,FALSE)),"",(VLOOKUP(B45,#REF!,19,FALSE))))</f>
        <v/>
      </c>
      <c r="N45" s="1055"/>
      <c r="O45" s="1055" t="str">
        <f>IF(B45="","",IF(ISNA(VLOOKUP($B45,'A-1 On-Site Habitat Baseline'!$D$1:$AV$258,17,FALSE)),"",(VLOOKUP(B45,'A-1 On-Site Habitat Baseline'!$D$1:$AV$258,17,FALSE))))</f>
        <v/>
      </c>
      <c r="P45" s="1055"/>
      <c r="Q45" s="1055"/>
      <c r="R45" s="1055"/>
      <c r="S45" s="1055" t="str">
        <f t="shared" ref="S45:S64" si="9">IFERROR(K45-(M45+O45),"")</f>
        <v/>
      </c>
      <c r="T45" s="1068"/>
      <c r="U45" s="617" t="str">
        <f t="shared" si="6"/>
        <v/>
      </c>
      <c r="V45" s="615"/>
      <c r="W45" s="615"/>
      <c r="X45" s="615"/>
      <c r="Y45" s="615"/>
      <c r="Z45" s="650" t="str">
        <f>IFERROR(IF(LEN(VLOOKUP($B45,#REF!,26,FALSE))=0,"",IF(B45="","",IF(ISNA(VLOOKUP($B45,#REF!,26,FALSE)),"",(VLOOKUP(B45,#REF!,26,FALSE))))),"")</f>
        <v/>
      </c>
      <c r="AA45" s="624" t="str">
        <f>IFERROR(IF(LEN(VLOOKUP($B45,#REF!,27,FALSE))=0,"",IF(B45="","",IF(ISNA(VLOOKUP($B45,#REF!,27,FALSE)),"",(VLOOKUP(B45,#REF!,27,FALSE))))),"")</f>
        <v/>
      </c>
      <c r="AB45" s="648" t="str">
        <f>IFERROR(IF(LEN(VLOOKUP($B45,#REF!,28,FALSE))=0,"",IF(B45="","",IF(ISNA(VLOOKUP($B45,#REF!,28,FALSE)),"",(VLOOKUP(B45,#REF!,28,FALSE))))),"")</f>
        <v/>
      </c>
      <c r="AD45" s="647">
        <v>36</v>
      </c>
      <c r="AE45" s="646" t="e">
        <f>IF(#REF!="","", IF(#REF!="Yes", TRUE, FALSE))</f>
        <v>#REF!</v>
      </c>
      <c r="AG45" s="610" t="str" cm="1">
        <f t="array" ref="AG45">IFERROR(INDEX($BI$10:$BI$259, MATCH(0, IF(TRUE=$BJ$10:$BJ$259, COUNTIF($AG$42:AG44, $BI$10:$BI$259), ""), 0)),"")</f>
        <v/>
      </c>
      <c r="AH45" s="611"/>
      <c r="AI45" s="611"/>
      <c r="AJ45" s="1068" t="e">
        <f>IF(BH45=FALSE,"",IF(ISNA(VLOOKUP(AG45,#REF!,2,FALSE)),"",(VLOOKUP(AG45,#REF!,2,FALSE))))</f>
        <v>#REF!</v>
      </c>
      <c r="AK45" s="1068"/>
      <c r="AL45" s="1068"/>
      <c r="AM45" s="1096"/>
      <c r="AN45" s="1096"/>
      <c r="AO45" s="1096"/>
      <c r="AP45" s="1055" t="str">
        <f>IF(AG45="","",IF(ISNA(VLOOKUP($AG45,#REF!,3,FALSE)),"",(VLOOKUP(AG45,#REF!,3,FALSE))))</f>
        <v/>
      </c>
      <c r="AQ45" s="1055"/>
      <c r="AR45" s="1052" t="str">
        <f>IF(AG45="","",IF(ISNA(VLOOKUP($AG45,#REF!,22,FALSE)),"",(VLOOKUP(AG45,#REF!,22,FALSE))))</f>
        <v/>
      </c>
      <c r="AS45" s="1054"/>
      <c r="AT45" s="1052" t="str">
        <f>IF(AG45="","",IF(ISNA(VLOOKUP($AG45,#REF!,23,FALSE)),"",(VLOOKUP(AG45,#REF!,23,FALSE))))</f>
        <v/>
      </c>
      <c r="AU45" s="1053"/>
      <c r="AV45" s="1053"/>
      <c r="AW45" s="1054"/>
      <c r="AX45" s="1055" t="e">
        <f t="shared" si="7"/>
        <v>#REF!</v>
      </c>
      <c r="AY45" s="1055"/>
      <c r="AZ45" s="1056" t="e">
        <f t="shared" si="5"/>
        <v>#REF!</v>
      </c>
      <c r="BA45" s="1057"/>
      <c r="BB45" s="1057"/>
      <c r="BC45" s="1057"/>
      <c r="BD45" s="1058"/>
      <c r="BE45" s="624" t="str">
        <f>IFERROR(IF(LEN(VLOOKUP($AG45,#REF!,29,FALSE))=0,"",IF(AG45="","",IF(ISNA(VLOOKUP($AG45,#REF!,29,FALSE)),"",(VLOOKUP(AG45,#REF!,29,FALSE))))),"")</f>
        <v/>
      </c>
      <c r="BF45" s="624" t="str">
        <f>IFERROR(IF(LEN(VLOOKUP($AG45,#REF!,30,FALSE))=0,"",IF(AG45="","",IF(ISNA(VLOOKUP($AG45,#REF!,30,FALSE)),"",(VLOOKUP(AG45,#REF!,30,FALSE))))),"")</f>
        <v/>
      </c>
      <c r="BG45" s="663" t="str">
        <f>IFERROR(IF(LEN(VLOOKUP($AG45,#REF!,31,FALSE))=0,"",IF(AG45="","",IF(ISNA(VLOOKUP($AG45,#REF!,31,FALSE)),"",(VLOOKUP(AG45,#REF!,31,FALSE))))),"")</f>
        <v/>
      </c>
      <c r="BH45" s="647" t="str">
        <f>IF('C-1 On-Site WaterC'' Baseline'!AU45="","", IF('C-1 On-Site WaterC'' Baseline'!AU45="Yes", TRUE, FALSE))</f>
        <v/>
      </c>
      <c r="BI45" s="647">
        <v>36</v>
      </c>
      <c r="BJ45" s="647" t="e">
        <f>IF(#REF!="","", IF(#REF!="Yes", TRUE, FALSE))</f>
        <v>#REF!</v>
      </c>
      <c r="BK45" s="647" t="str">
        <f t="shared" si="8"/>
        <v/>
      </c>
      <c r="BL45" s="647" t="str">
        <f>IF(AG45="","",IF(LEN(VLOOKUP($AG45,'C-1 On-Site WaterC'' Baseline'!$C$1:$AV$257,25,FALSE))=0,"",VLOOKUP(AG45,'C-1 On-Site WaterC'' Baseline'!$C$1:$AV$257,25,FALSE)))</f>
        <v/>
      </c>
      <c r="BM45" s="647" t="str">
        <f>IF(B45="","",IF(LEN(VLOOKUP($B45,#REF!,25,FALSE))=0,"",(VLOOKUP(B45,#REF!,25,FALSE))))</f>
        <v/>
      </c>
    </row>
    <row r="46" spans="2:65" ht="44.5" customHeight="1" x14ac:dyDescent="0.3">
      <c r="B46" s="660" t="str" cm="1">
        <f t="array" ref="B46">IFERROR(INDEX($AD$10:$AD$259, MATCH(0, IF(TRUE=$AE$10:$AE$259, COUNTIF($B$42:B45, $AD$10:$AD$259), ""), 0)),"")</f>
        <v/>
      </c>
      <c r="C46" s="611"/>
      <c r="D46" s="611"/>
      <c r="E46" s="1068" t="str">
        <f>IF(B46="","",IF(ISNA(VLOOKUP($B46,#REF!,45,FALSE)),"",(VLOOKUP(B46,#REF!,45,FALSE))))</f>
        <v/>
      </c>
      <c r="F46" s="1068"/>
      <c r="G46" s="1068"/>
      <c r="H46" s="1096"/>
      <c r="I46" s="1096"/>
      <c r="J46" s="1096"/>
      <c r="K46" s="1055" t="str">
        <f>IF(B46="","",IF(ISNA(VLOOKUP($B46,#REF!,5,FALSE)),"",(VLOOKUP(B46,#REF!,5,FALSE))))</f>
        <v/>
      </c>
      <c r="L46" s="1055"/>
      <c r="M46" s="1055" t="str">
        <f>IF(B46="","",IF(ISNA(VLOOKUP($B46,#REF!,19,FALSE)),"",(VLOOKUP(B46,#REF!,19,FALSE))))</f>
        <v/>
      </c>
      <c r="N46" s="1055"/>
      <c r="O46" s="1055" t="str">
        <f>IF(B46="","",IF(ISNA(VLOOKUP($B46,'A-1 On-Site Habitat Baseline'!$D$1:$AV$258,17,FALSE)),"",(VLOOKUP(B46,'A-1 On-Site Habitat Baseline'!$D$1:$AV$258,17,FALSE))))</f>
        <v/>
      </c>
      <c r="P46" s="1055"/>
      <c r="Q46" s="1055"/>
      <c r="R46" s="1055"/>
      <c r="S46" s="1055" t="str">
        <f t="shared" si="9"/>
        <v/>
      </c>
      <c r="T46" s="1068"/>
      <c r="U46" s="617" t="str">
        <f t="shared" si="6"/>
        <v/>
      </c>
      <c r="V46" s="615"/>
      <c r="W46" s="615"/>
      <c r="X46" s="615"/>
      <c r="Y46" s="615"/>
      <c r="Z46" s="650" t="str">
        <f>IFERROR(IF(LEN(VLOOKUP($B46,#REF!,26,FALSE))=0,"",IF(B46="","",IF(ISNA(VLOOKUP($B46,#REF!,26,FALSE)),"",(VLOOKUP(B46,#REF!,26,FALSE))))),"")</f>
        <v/>
      </c>
      <c r="AA46" s="624" t="str">
        <f>IFERROR(IF(LEN(VLOOKUP($B46,#REF!,27,FALSE))=0,"",IF(B46="","",IF(ISNA(VLOOKUP($B46,#REF!,27,FALSE)),"",(VLOOKUP(B46,#REF!,27,FALSE))))),"")</f>
        <v/>
      </c>
      <c r="AB46" s="648" t="str">
        <f>IFERROR(IF(LEN(VLOOKUP($B46,#REF!,28,FALSE))=0,"",IF(B46="","",IF(ISNA(VLOOKUP($B46,#REF!,28,FALSE)),"",(VLOOKUP(B46,#REF!,28,FALSE))))),"")</f>
        <v/>
      </c>
      <c r="AD46" s="647">
        <v>37</v>
      </c>
      <c r="AE46" s="646" t="e">
        <f>IF(#REF!="","", IF(#REF!="Yes", TRUE, FALSE))</f>
        <v>#REF!</v>
      </c>
      <c r="AG46" s="610" t="str" cm="1">
        <f t="array" ref="AG46">IFERROR(INDEX($BI$10:$BI$259, MATCH(0, IF(TRUE=$BJ$10:$BJ$259, COUNTIF($AG$42:AG45, $BI$10:$BI$259), ""), 0)),"")</f>
        <v/>
      </c>
      <c r="AH46" s="611"/>
      <c r="AI46" s="611"/>
      <c r="AJ46" s="1068" t="e">
        <f>IF(BH46=FALSE,"",IF(ISNA(VLOOKUP(AG46,#REF!,2,FALSE)),"",(VLOOKUP(AG46,#REF!,2,FALSE))))</f>
        <v>#REF!</v>
      </c>
      <c r="AK46" s="1068"/>
      <c r="AL46" s="1068"/>
      <c r="AM46" s="1096"/>
      <c r="AN46" s="1096"/>
      <c r="AO46" s="1096"/>
      <c r="AP46" s="1055" t="str">
        <f>IF(AG46="","",IF(ISNA(VLOOKUP($AG46,#REF!,3,FALSE)),"",(VLOOKUP(AG46,#REF!,3,FALSE))))</f>
        <v/>
      </c>
      <c r="AQ46" s="1055"/>
      <c r="AR46" s="1052" t="str">
        <f>IF(AG46="","",IF(ISNA(VLOOKUP($AG46,#REF!,22,FALSE)),"",(VLOOKUP(AG46,#REF!,22,FALSE))))</f>
        <v/>
      </c>
      <c r="AS46" s="1054"/>
      <c r="AT46" s="1052" t="str">
        <f>IF(AG46="","",IF(ISNA(VLOOKUP($AG46,#REF!,23,FALSE)),"",(VLOOKUP(AG46,#REF!,23,FALSE))))</f>
        <v/>
      </c>
      <c r="AU46" s="1053"/>
      <c r="AV46" s="1053"/>
      <c r="AW46" s="1054"/>
      <c r="AX46" s="1055" t="e">
        <f t="shared" si="7"/>
        <v>#REF!</v>
      </c>
      <c r="AY46" s="1055"/>
      <c r="AZ46" s="1056" t="e">
        <f t="shared" si="5"/>
        <v>#REF!</v>
      </c>
      <c r="BA46" s="1057"/>
      <c r="BB46" s="1057"/>
      <c r="BC46" s="1057"/>
      <c r="BD46" s="1058"/>
      <c r="BE46" s="624" t="str">
        <f>IFERROR(IF(LEN(VLOOKUP($AG46,#REF!,29,FALSE))=0,"",IF(AG46="","",IF(ISNA(VLOOKUP($AG46,#REF!,29,FALSE)),"",(VLOOKUP(AG46,#REF!,29,FALSE))))),"")</f>
        <v/>
      </c>
      <c r="BF46" s="624" t="str">
        <f>IFERROR(IF(LEN(VLOOKUP($AG46,#REF!,30,FALSE))=0,"",IF(AG46="","",IF(ISNA(VLOOKUP($AG46,#REF!,30,FALSE)),"",(VLOOKUP(AG46,#REF!,30,FALSE))))),"")</f>
        <v/>
      </c>
      <c r="BG46" s="663" t="str">
        <f>IFERROR(IF(LEN(VLOOKUP($AG46,#REF!,31,FALSE))=0,"",IF(AG46="","",IF(ISNA(VLOOKUP($AG46,#REF!,31,FALSE)),"",(VLOOKUP(AG46,#REF!,31,FALSE))))),"")</f>
        <v/>
      </c>
      <c r="BH46" s="647" t="str">
        <f>IF('C-1 On-Site WaterC'' Baseline'!AU46="","", IF('C-1 On-Site WaterC'' Baseline'!AU46="Yes", TRUE, FALSE))</f>
        <v/>
      </c>
      <c r="BI46" s="647">
        <v>37</v>
      </c>
      <c r="BJ46" s="647" t="e">
        <f>IF(#REF!="","", IF(#REF!="Yes", TRUE, FALSE))</f>
        <v>#REF!</v>
      </c>
      <c r="BK46" s="647" t="str">
        <f t="shared" si="8"/>
        <v/>
      </c>
      <c r="BL46" s="647" t="str">
        <f>IF(AG46="","",IF(LEN(VLOOKUP($AG46,'C-1 On-Site WaterC'' Baseline'!$C$1:$AV$257,25,FALSE))=0,"",VLOOKUP(AG46,'C-1 On-Site WaterC'' Baseline'!$C$1:$AV$257,25,FALSE)))</f>
        <v/>
      </c>
      <c r="BM46" s="647" t="str">
        <f>IF(B46="","",IF(LEN(VLOOKUP($B46,#REF!,25,FALSE))=0,"",(VLOOKUP(B46,#REF!,25,FALSE))))</f>
        <v/>
      </c>
    </row>
    <row r="47" spans="2:65" ht="44.5" customHeight="1" x14ac:dyDescent="0.3">
      <c r="B47" s="660" t="str" cm="1">
        <f t="array" ref="B47">IFERROR(INDEX($AD$10:$AD$259, MATCH(0, IF(TRUE=$AE$10:$AE$259, COUNTIF($B$42:B46, $AD$10:$AD$259), ""), 0)),"")</f>
        <v/>
      </c>
      <c r="C47" s="611"/>
      <c r="D47" s="611"/>
      <c r="E47" s="1068" t="str">
        <f>IF(B47="","",IF(ISNA(VLOOKUP($B47,#REF!,45,FALSE)),"",(VLOOKUP(B47,#REF!,45,FALSE))))</f>
        <v/>
      </c>
      <c r="F47" s="1068"/>
      <c r="G47" s="1068"/>
      <c r="H47" s="1096"/>
      <c r="I47" s="1096"/>
      <c r="J47" s="1096"/>
      <c r="K47" s="1055" t="str">
        <f>IF(B47="","",IF(ISNA(VLOOKUP($B47,#REF!,5,FALSE)),"",(VLOOKUP(B47,#REF!,5,FALSE))))</f>
        <v/>
      </c>
      <c r="L47" s="1055"/>
      <c r="M47" s="1055" t="str">
        <f>IF(B47="","",IF(ISNA(VLOOKUP($B47,#REF!,19,FALSE)),"",(VLOOKUP(B47,#REF!,19,FALSE))))</f>
        <v/>
      </c>
      <c r="N47" s="1055"/>
      <c r="O47" s="1055" t="str">
        <f>IF(B47="","",IF(ISNA(VLOOKUP($B47,'A-1 On-Site Habitat Baseline'!$D$1:$AV$258,17,FALSE)),"",(VLOOKUP(B47,'A-1 On-Site Habitat Baseline'!$D$1:$AV$258,17,FALSE))))</f>
        <v/>
      </c>
      <c r="P47" s="1055"/>
      <c r="Q47" s="1055"/>
      <c r="R47" s="1055"/>
      <c r="S47" s="1055" t="str">
        <f t="shared" si="9"/>
        <v/>
      </c>
      <c r="T47" s="1068"/>
      <c r="U47" s="617" t="str">
        <f t="shared" si="6"/>
        <v/>
      </c>
      <c r="V47" s="615"/>
      <c r="W47" s="615"/>
      <c r="X47" s="615"/>
      <c r="Y47" s="615"/>
      <c r="Z47" s="650" t="str">
        <f>IFERROR(IF(LEN(VLOOKUP($B47,#REF!,26,FALSE))=0,"",IF(B47="","",IF(ISNA(VLOOKUP($B47,#REF!,26,FALSE)),"",(VLOOKUP(B47,#REF!,26,FALSE))))),"")</f>
        <v/>
      </c>
      <c r="AA47" s="624" t="str">
        <f>IFERROR(IF(LEN(VLOOKUP($B47,#REF!,27,FALSE))=0,"",IF(B47="","",IF(ISNA(VLOOKUP($B47,#REF!,27,FALSE)),"",(VLOOKUP(B47,#REF!,27,FALSE))))),"")</f>
        <v/>
      </c>
      <c r="AB47" s="648" t="str">
        <f>IFERROR(IF(LEN(VLOOKUP($B47,#REF!,28,FALSE))=0,"",IF(B47="","",IF(ISNA(VLOOKUP($B47,#REF!,28,FALSE)),"",(VLOOKUP(B47,#REF!,28,FALSE))))),"")</f>
        <v/>
      </c>
      <c r="AD47" s="647">
        <v>38</v>
      </c>
      <c r="AE47" s="646" t="e">
        <f>IF(#REF!="","", IF(#REF!="Yes", TRUE, FALSE))</f>
        <v>#REF!</v>
      </c>
      <c r="AG47" s="610" t="str" cm="1">
        <f t="array" ref="AG47">IFERROR(INDEX($BI$10:$BI$259, MATCH(0, IF(TRUE=$BJ$10:$BJ$259, COUNTIF($AG$42:AG46, $BI$10:$BI$259), ""), 0)),"")</f>
        <v/>
      </c>
      <c r="AH47" s="611"/>
      <c r="AI47" s="611"/>
      <c r="AJ47" s="1068" t="e">
        <f>IF(BH47=FALSE,"",IF(ISNA(VLOOKUP(AG47,#REF!,2,FALSE)),"",(VLOOKUP(AG47,#REF!,2,FALSE))))</f>
        <v>#REF!</v>
      </c>
      <c r="AK47" s="1068"/>
      <c r="AL47" s="1068"/>
      <c r="AM47" s="1096"/>
      <c r="AN47" s="1096"/>
      <c r="AO47" s="1096"/>
      <c r="AP47" s="1055" t="str">
        <f>IF(AG47="","",IF(ISNA(VLOOKUP($AG47,#REF!,3,FALSE)),"",(VLOOKUP(AG47,#REF!,3,FALSE))))</f>
        <v/>
      </c>
      <c r="AQ47" s="1055"/>
      <c r="AR47" s="1052" t="str">
        <f>IF(AG47="","",IF(ISNA(VLOOKUP($AG47,#REF!,22,FALSE)),"",(VLOOKUP(AG47,#REF!,22,FALSE))))</f>
        <v/>
      </c>
      <c r="AS47" s="1054"/>
      <c r="AT47" s="1052" t="str">
        <f>IF(AG47="","",IF(ISNA(VLOOKUP($AG47,#REF!,23,FALSE)),"",(VLOOKUP(AG47,#REF!,23,FALSE))))</f>
        <v/>
      </c>
      <c r="AU47" s="1053"/>
      <c r="AV47" s="1053"/>
      <c r="AW47" s="1054"/>
      <c r="AX47" s="1055" t="e">
        <f t="shared" si="7"/>
        <v>#REF!</v>
      </c>
      <c r="AY47" s="1055"/>
      <c r="AZ47" s="1056" t="e">
        <f t="shared" si="5"/>
        <v>#REF!</v>
      </c>
      <c r="BA47" s="1057"/>
      <c r="BB47" s="1057"/>
      <c r="BC47" s="1057"/>
      <c r="BD47" s="1058"/>
      <c r="BE47" s="624" t="str">
        <f>IFERROR(IF(LEN(VLOOKUP($AG47,#REF!,29,FALSE))=0,"",IF(AG47="","",IF(ISNA(VLOOKUP($AG47,#REF!,29,FALSE)),"",(VLOOKUP(AG47,#REF!,29,FALSE))))),"")</f>
        <v/>
      </c>
      <c r="BF47" s="624" t="str">
        <f>IFERROR(IF(LEN(VLOOKUP($AG47,#REF!,30,FALSE))=0,"",IF(AG47="","",IF(ISNA(VLOOKUP($AG47,#REF!,30,FALSE)),"",(VLOOKUP(AG47,#REF!,30,FALSE))))),"")</f>
        <v/>
      </c>
      <c r="BG47" s="663" t="str">
        <f>IFERROR(IF(LEN(VLOOKUP($AG47,#REF!,31,FALSE))=0,"",IF(AG47="","",IF(ISNA(VLOOKUP($AG47,#REF!,31,FALSE)),"",(VLOOKUP(AG47,#REF!,31,FALSE))))),"")</f>
        <v/>
      </c>
      <c r="BH47" s="647" t="str">
        <f>IF('C-1 On-Site WaterC'' Baseline'!AU47="","", IF('C-1 On-Site WaterC'' Baseline'!AU47="Yes", TRUE, FALSE))</f>
        <v/>
      </c>
      <c r="BI47" s="647">
        <v>38</v>
      </c>
      <c r="BJ47" s="647" t="e">
        <f>IF(#REF!="","", IF(#REF!="Yes", TRUE, FALSE))</f>
        <v>#REF!</v>
      </c>
      <c r="BK47" s="647" t="str">
        <f t="shared" si="8"/>
        <v/>
      </c>
      <c r="BL47" s="647" t="str">
        <f>IF(AG47="","",IF(LEN(VLOOKUP($AG47,'C-1 On-Site WaterC'' Baseline'!$C$1:$AV$257,25,FALSE))=0,"",VLOOKUP(AG47,'C-1 On-Site WaterC'' Baseline'!$C$1:$AV$257,25,FALSE)))</f>
        <v/>
      </c>
      <c r="BM47" s="647" t="str">
        <f>IF(B47="","",IF(LEN(VLOOKUP($B47,#REF!,25,FALSE))=0,"",(VLOOKUP(B47,#REF!,25,FALSE))))</f>
        <v/>
      </c>
    </row>
    <row r="48" spans="2:65" ht="44.5" customHeight="1" x14ac:dyDescent="0.3">
      <c r="B48" s="660" t="str" cm="1">
        <f t="array" ref="B48">IFERROR(INDEX($AD$10:$AD$259, MATCH(0, IF(TRUE=$AE$10:$AE$259, COUNTIF($B$42:B47, $AD$10:$AD$259), ""), 0)),"")</f>
        <v/>
      </c>
      <c r="C48" s="611"/>
      <c r="D48" s="611"/>
      <c r="E48" s="1068" t="str">
        <f>IF(B48="","",IF(ISNA(VLOOKUP($B48,#REF!,45,FALSE)),"",(VLOOKUP(B48,#REF!,45,FALSE))))</f>
        <v/>
      </c>
      <c r="F48" s="1068"/>
      <c r="G48" s="1068"/>
      <c r="H48" s="1096"/>
      <c r="I48" s="1096"/>
      <c r="J48" s="1096"/>
      <c r="K48" s="1055" t="str">
        <f>IF(B48="","",IF(ISNA(VLOOKUP($B48,#REF!,5,FALSE)),"",(VLOOKUP(B48,#REF!,5,FALSE))))</f>
        <v/>
      </c>
      <c r="L48" s="1055"/>
      <c r="M48" s="1055" t="str">
        <f>IF(B48="","",IF(ISNA(VLOOKUP($B48,#REF!,19,FALSE)),"",(VLOOKUP(B48,#REF!,19,FALSE))))</f>
        <v/>
      </c>
      <c r="N48" s="1055"/>
      <c r="O48" s="1055" t="str">
        <f>IF(B48="","",IF(ISNA(VLOOKUP($B48,'A-1 On-Site Habitat Baseline'!$D$1:$AV$258,17,FALSE)),"",(VLOOKUP(B48,'A-1 On-Site Habitat Baseline'!$D$1:$AV$258,17,FALSE))))</f>
        <v/>
      </c>
      <c r="P48" s="1055"/>
      <c r="Q48" s="1055"/>
      <c r="R48" s="1055"/>
      <c r="S48" s="1055" t="str">
        <f t="shared" si="9"/>
        <v/>
      </c>
      <c r="T48" s="1068"/>
      <c r="U48" s="617" t="str">
        <f t="shared" si="6"/>
        <v/>
      </c>
      <c r="V48" s="615"/>
      <c r="W48" s="615"/>
      <c r="X48" s="615"/>
      <c r="Y48" s="615"/>
      <c r="Z48" s="650" t="str">
        <f>IFERROR(IF(LEN(VLOOKUP($B48,#REF!,26,FALSE))=0,"",IF(B48="","",IF(ISNA(VLOOKUP($B48,#REF!,26,FALSE)),"",(VLOOKUP(B48,#REF!,26,FALSE))))),"")</f>
        <v/>
      </c>
      <c r="AA48" s="624" t="str">
        <f>IFERROR(IF(LEN(VLOOKUP($B48,#REF!,27,FALSE))=0,"",IF(B48="","",IF(ISNA(VLOOKUP($B48,#REF!,27,FALSE)),"",(VLOOKUP(B48,#REF!,27,FALSE))))),"")</f>
        <v/>
      </c>
      <c r="AB48" s="648" t="str">
        <f>IFERROR(IF(LEN(VLOOKUP($B48,#REF!,28,FALSE))=0,"",IF(B48="","",IF(ISNA(VLOOKUP($B48,#REF!,28,FALSE)),"",(VLOOKUP(B48,#REF!,28,FALSE))))),"")</f>
        <v/>
      </c>
      <c r="AD48" s="647">
        <v>39</v>
      </c>
      <c r="AE48" s="646" t="e">
        <f>IF(#REF!="","", IF(#REF!="Yes", TRUE, FALSE))</f>
        <v>#REF!</v>
      </c>
      <c r="AG48" s="610" t="str" cm="1">
        <f t="array" ref="AG48">IFERROR(INDEX($BI$10:$BI$259, MATCH(0, IF(TRUE=$BJ$10:$BJ$259, COUNTIF($AG$42:AG47, $BI$10:$BI$259), ""), 0)),"")</f>
        <v/>
      </c>
      <c r="AH48" s="611"/>
      <c r="AI48" s="611"/>
      <c r="AJ48" s="1068" t="e">
        <f>IF(BH48=FALSE,"",IF(ISNA(VLOOKUP(AG48,#REF!,2,FALSE)),"",(VLOOKUP(AG48,#REF!,2,FALSE))))</f>
        <v>#REF!</v>
      </c>
      <c r="AK48" s="1068"/>
      <c r="AL48" s="1068"/>
      <c r="AM48" s="1096"/>
      <c r="AN48" s="1096"/>
      <c r="AO48" s="1096"/>
      <c r="AP48" s="1055" t="str">
        <f>IF(AG48="","",IF(ISNA(VLOOKUP($AG48,#REF!,3,FALSE)),"",(VLOOKUP(AG48,#REF!,3,FALSE))))</f>
        <v/>
      </c>
      <c r="AQ48" s="1055"/>
      <c r="AR48" s="1052" t="str">
        <f>IF(AG48="","",IF(ISNA(VLOOKUP($AG48,#REF!,22,FALSE)),"",(VLOOKUP(AG48,#REF!,22,FALSE))))</f>
        <v/>
      </c>
      <c r="AS48" s="1054"/>
      <c r="AT48" s="1052" t="str">
        <f>IF(AG48="","",IF(ISNA(VLOOKUP($AG48,#REF!,23,FALSE)),"",(VLOOKUP(AG48,#REF!,23,FALSE))))</f>
        <v/>
      </c>
      <c r="AU48" s="1053"/>
      <c r="AV48" s="1053"/>
      <c r="AW48" s="1054"/>
      <c r="AX48" s="1055" t="e">
        <f t="shared" si="7"/>
        <v>#REF!</v>
      </c>
      <c r="AY48" s="1055"/>
      <c r="AZ48" s="1056" t="e">
        <f t="shared" si="5"/>
        <v>#REF!</v>
      </c>
      <c r="BA48" s="1057"/>
      <c r="BB48" s="1057"/>
      <c r="BC48" s="1057"/>
      <c r="BD48" s="1058"/>
      <c r="BE48" s="624" t="str">
        <f>IFERROR(IF(LEN(VLOOKUP($AG48,#REF!,29,FALSE))=0,"",IF(AG48="","",IF(ISNA(VLOOKUP($AG48,#REF!,29,FALSE)),"",(VLOOKUP(AG48,#REF!,29,FALSE))))),"")</f>
        <v/>
      </c>
      <c r="BF48" s="624" t="str">
        <f>IFERROR(IF(LEN(VLOOKUP($AG48,#REF!,30,FALSE))=0,"",IF(AG48="","",IF(ISNA(VLOOKUP($AG48,#REF!,30,FALSE)),"",(VLOOKUP(AG48,#REF!,30,FALSE))))),"")</f>
        <v/>
      </c>
      <c r="BG48" s="663" t="str">
        <f>IFERROR(IF(LEN(VLOOKUP($AG48,#REF!,31,FALSE))=0,"",IF(AG48="","",IF(ISNA(VLOOKUP($AG48,#REF!,31,FALSE)),"",(VLOOKUP(AG48,#REF!,31,FALSE))))),"")</f>
        <v/>
      </c>
      <c r="BH48" s="647" t="str">
        <f>IF('C-1 On-Site WaterC'' Baseline'!AU48="","", IF('C-1 On-Site WaterC'' Baseline'!AU48="Yes", TRUE, FALSE))</f>
        <v/>
      </c>
      <c r="BI48" s="647">
        <v>39</v>
      </c>
      <c r="BJ48" s="647" t="e">
        <f>IF(#REF!="","", IF(#REF!="Yes", TRUE, FALSE))</f>
        <v>#REF!</v>
      </c>
      <c r="BK48" s="647" t="str">
        <f t="shared" si="8"/>
        <v/>
      </c>
      <c r="BL48" s="647" t="str">
        <f>IF(AG48="","",IF(LEN(VLOOKUP($AG48,'C-1 On-Site WaterC'' Baseline'!$C$1:$AV$257,25,FALSE))=0,"",VLOOKUP(AG48,'C-1 On-Site WaterC'' Baseline'!$C$1:$AV$257,25,FALSE)))</f>
        <v/>
      </c>
      <c r="BM48" s="647" t="str">
        <f>IF(B48="","",IF(LEN(VLOOKUP($B48,#REF!,25,FALSE))=0,"",(VLOOKUP(B48,#REF!,25,FALSE))))</f>
        <v/>
      </c>
    </row>
    <row r="49" spans="2:65" ht="44.5" customHeight="1" x14ac:dyDescent="0.3">
      <c r="B49" s="660" t="str" cm="1">
        <f t="array" ref="B49">IFERROR(INDEX($AD$10:$AD$259, MATCH(0, IF(TRUE=$AE$10:$AE$259, COUNTIF($B$42:B48, $AD$10:$AD$259), ""), 0)),"")</f>
        <v/>
      </c>
      <c r="C49" s="611"/>
      <c r="D49" s="611"/>
      <c r="E49" s="1068" t="str">
        <f>IF(B49="","",IF(ISNA(VLOOKUP($B49,#REF!,45,FALSE)),"",(VLOOKUP(B49,#REF!,45,FALSE))))</f>
        <v/>
      </c>
      <c r="F49" s="1068"/>
      <c r="G49" s="1068"/>
      <c r="H49" s="1096"/>
      <c r="I49" s="1096"/>
      <c r="J49" s="1096"/>
      <c r="K49" s="1055" t="str">
        <f>IF(B49="","",IF(ISNA(VLOOKUP($B49,#REF!,5,FALSE)),"",(VLOOKUP(B49,#REF!,5,FALSE))))</f>
        <v/>
      </c>
      <c r="L49" s="1055"/>
      <c r="M49" s="1055" t="str">
        <f>IF(B49="","",IF(ISNA(VLOOKUP($B49,#REF!,19,FALSE)),"",(VLOOKUP(B49,#REF!,19,FALSE))))</f>
        <v/>
      </c>
      <c r="N49" s="1055"/>
      <c r="O49" s="1055" t="str">
        <f>IF(B49="","",IF(ISNA(VLOOKUP($B49,'A-1 On-Site Habitat Baseline'!$D$1:$AV$258,17,FALSE)),"",(VLOOKUP(B49,'A-1 On-Site Habitat Baseline'!$D$1:$AV$258,17,FALSE))))</f>
        <v/>
      </c>
      <c r="P49" s="1055"/>
      <c r="Q49" s="1055"/>
      <c r="R49" s="1055"/>
      <c r="S49" s="1055" t="str">
        <f t="shared" si="9"/>
        <v/>
      </c>
      <c r="T49" s="1068"/>
      <c r="U49" s="617" t="str">
        <f t="shared" si="6"/>
        <v/>
      </c>
      <c r="V49" s="615"/>
      <c r="W49" s="615"/>
      <c r="X49" s="615"/>
      <c r="Y49" s="615"/>
      <c r="Z49" s="650" t="str">
        <f>IFERROR(IF(LEN(VLOOKUP($B49,#REF!,26,FALSE))=0,"",IF(B49="","",IF(ISNA(VLOOKUP($B49,#REF!,26,FALSE)),"",(VLOOKUP(B49,#REF!,26,FALSE))))),"")</f>
        <v/>
      </c>
      <c r="AA49" s="624" t="str">
        <f>IFERROR(IF(LEN(VLOOKUP($B49,#REF!,27,FALSE))=0,"",IF(B49="","",IF(ISNA(VLOOKUP($B49,#REF!,27,FALSE)),"",(VLOOKUP(B49,#REF!,27,FALSE))))),"")</f>
        <v/>
      </c>
      <c r="AB49" s="648" t="str">
        <f>IFERROR(IF(LEN(VLOOKUP($B49,#REF!,28,FALSE))=0,"",IF(B49="","",IF(ISNA(VLOOKUP($B49,#REF!,28,FALSE)),"",(VLOOKUP(B49,#REF!,28,FALSE))))),"")</f>
        <v/>
      </c>
      <c r="AD49" s="647">
        <v>40</v>
      </c>
      <c r="AE49" s="646" t="e">
        <f>IF(#REF!="","", IF(#REF!="Yes", TRUE, FALSE))</f>
        <v>#REF!</v>
      </c>
      <c r="AG49" s="610" t="str" cm="1">
        <f t="array" ref="AG49">IFERROR(INDEX($BI$10:$BI$259, MATCH(0, IF(TRUE=$BJ$10:$BJ$259, COUNTIF($AG$42:AG48, $BI$10:$BI$259), ""), 0)),"")</f>
        <v/>
      </c>
      <c r="AH49" s="611"/>
      <c r="AI49" s="611"/>
      <c r="AJ49" s="1068" t="e">
        <f>IF(BH49=FALSE,"",IF(ISNA(VLOOKUP(AG49,#REF!,2,FALSE)),"",(VLOOKUP(AG49,#REF!,2,FALSE))))</f>
        <v>#REF!</v>
      </c>
      <c r="AK49" s="1068"/>
      <c r="AL49" s="1068"/>
      <c r="AM49" s="1096"/>
      <c r="AN49" s="1096"/>
      <c r="AO49" s="1096"/>
      <c r="AP49" s="1055" t="str">
        <f>IF(AG49="","",IF(ISNA(VLOOKUP($AG49,#REF!,3,FALSE)),"",(VLOOKUP(AG49,#REF!,3,FALSE))))</f>
        <v/>
      </c>
      <c r="AQ49" s="1055"/>
      <c r="AR49" s="1052" t="str">
        <f>IF(AG49="","",IF(ISNA(VLOOKUP($AG49,#REF!,22,FALSE)),"",(VLOOKUP(AG49,#REF!,22,FALSE))))</f>
        <v/>
      </c>
      <c r="AS49" s="1054"/>
      <c r="AT49" s="1052" t="str">
        <f>IF(AG49="","",IF(ISNA(VLOOKUP($AG49,#REF!,23,FALSE)),"",(VLOOKUP(AG49,#REF!,23,FALSE))))</f>
        <v/>
      </c>
      <c r="AU49" s="1053"/>
      <c r="AV49" s="1053"/>
      <c r="AW49" s="1054"/>
      <c r="AX49" s="1055" t="e">
        <f t="shared" si="7"/>
        <v>#REF!</v>
      </c>
      <c r="AY49" s="1055"/>
      <c r="AZ49" s="1056" t="e">
        <f t="shared" si="5"/>
        <v>#REF!</v>
      </c>
      <c r="BA49" s="1057"/>
      <c r="BB49" s="1057"/>
      <c r="BC49" s="1057"/>
      <c r="BD49" s="1058"/>
      <c r="BE49" s="624" t="str">
        <f>IFERROR(IF(LEN(VLOOKUP($AG49,#REF!,29,FALSE))=0,"",IF(AG49="","",IF(ISNA(VLOOKUP($AG49,#REF!,29,FALSE)),"",(VLOOKUP(AG49,#REF!,29,FALSE))))),"")</f>
        <v/>
      </c>
      <c r="BF49" s="624" t="str">
        <f>IFERROR(IF(LEN(VLOOKUP($AG49,#REF!,30,FALSE))=0,"",IF(AG49="","",IF(ISNA(VLOOKUP($AG49,#REF!,30,FALSE)),"",(VLOOKUP(AG49,#REF!,30,FALSE))))),"")</f>
        <v/>
      </c>
      <c r="BG49" s="663" t="str">
        <f>IFERROR(IF(LEN(VLOOKUP($AG49,#REF!,31,FALSE))=0,"",IF(AG49="","",IF(ISNA(VLOOKUP($AG49,#REF!,31,FALSE)),"",(VLOOKUP(AG49,#REF!,31,FALSE))))),"")</f>
        <v/>
      </c>
      <c r="BH49" s="647" t="str">
        <f>IF('C-1 On-Site WaterC'' Baseline'!AU49="","", IF('C-1 On-Site WaterC'' Baseline'!AU49="Yes", TRUE, FALSE))</f>
        <v/>
      </c>
      <c r="BI49" s="647">
        <v>40</v>
      </c>
      <c r="BJ49" s="647" t="e">
        <f>IF(#REF!="","", IF(#REF!="Yes", TRUE, FALSE))</f>
        <v>#REF!</v>
      </c>
      <c r="BK49" s="647" t="str">
        <f t="shared" si="8"/>
        <v/>
      </c>
      <c r="BL49" s="647" t="str">
        <f>IF(AG49="","",IF(LEN(VLOOKUP($AG49,'C-1 On-Site WaterC'' Baseline'!$C$1:$AV$257,25,FALSE))=0,"",VLOOKUP(AG49,'C-1 On-Site WaterC'' Baseline'!$C$1:$AV$257,25,FALSE)))</f>
        <v/>
      </c>
      <c r="BM49" s="647" t="str">
        <f>IF(B49="","",IF(LEN(VLOOKUP($B49,#REF!,25,FALSE))=0,"",(VLOOKUP(B49,#REF!,25,FALSE))))</f>
        <v/>
      </c>
    </row>
    <row r="50" spans="2:65" ht="44.5" customHeight="1" x14ac:dyDescent="0.3">
      <c r="B50" s="660" t="str" cm="1">
        <f t="array" ref="B50">IFERROR(INDEX($AD$10:$AD$259, MATCH(0, IF(TRUE=$AE$10:$AE$259, COUNTIF($B$42:B49, $AD$10:$AD$259), ""), 0)),"")</f>
        <v/>
      </c>
      <c r="C50" s="611"/>
      <c r="D50" s="611"/>
      <c r="E50" s="1068" t="str">
        <f>IF(B50="","",IF(ISNA(VLOOKUP($B50,#REF!,45,FALSE)),"",(VLOOKUP(B50,#REF!,45,FALSE))))</f>
        <v/>
      </c>
      <c r="F50" s="1068"/>
      <c r="G50" s="1068"/>
      <c r="H50" s="1096"/>
      <c r="I50" s="1096"/>
      <c r="J50" s="1096"/>
      <c r="K50" s="1055" t="str">
        <f>IF(B50="","",IF(ISNA(VLOOKUP($B50,#REF!,5,FALSE)),"",(VLOOKUP(B50,#REF!,5,FALSE))))</f>
        <v/>
      </c>
      <c r="L50" s="1055"/>
      <c r="M50" s="1055" t="str">
        <f>IF(B50="","",IF(ISNA(VLOOKUP($B50,#REF!,19,FALSE)),"",(VLOOKUP(B50,#REF!,19,FALSE))))</f>
        <v/>
      </c>
      <c r="N50" s="1055"/>
      <c r="O50" s="1055" t="str">
        <f>IF(B50="","",IF(ISNA(VLOOKUP($B50,'A-1 On-Site Habitat Baseline'!$D$1:$AV$258,17,FALSE)),"",(VLOOKUP(B50,'A-1 On-Site Habitat Baseline'!$D$1:$AV$258,17,FALSE))))</f>
        <v/>
      </c>
      <c r="P50" s="1055"/>
      <c r="Q50" s="1055"/>
      <c r="R50" s="1055"/>
      <c r="S50" s="1055" t="str">
        <f t="shared" si="9"/>
        <v/>
      </c>
      <c r="T50" s="1068"/>
      <c r="U50" s="617" t="str">
        <f t="shared" si="6"/>
        <v/>
      </c>
      <c r="V50" s="615"/>
      <c r="W50" s="615"/>
      <c r="X50" s="615"/>
      <c r="Y50" s="615"/>
      <c r="Z50" s="650" t="str">
        <f>IFERROR(IF(LEN(VLOOKUP($B50,#REF!,26,FALSE))=0,"",IF(B50="","",IF(ISNA(VLOOKUP($B50,#REF!,26,FALSE)),"",(VLOOKUP(B50,#REF!,26,FALSE))))),"")</f>
        <v/>
      </c>
      <c r="AA50" s="624" t="str">
        <f>IFERROR(IF(LEN(VLOOKUP($B50,#REF!,27,FALSE))=0,"",IF(B50="","",IF(ISNA(VLOOKUP($B50,#REF!,27,FALSE)),"",(VLOOKUP(B50,#REF!,27,FALSE))))),"")</f>
        <v/>
      </c>
      <c r="AB50" s="648" t="str">
        <f>IFERROR(IF(LEN(VLOOKUP($B50,#REF!,28,FALSE))=0,"",IF(B50="","",IF(ISNA(VLOOKUP($B50,#REF!,28,FALSE)),"",(VLOOKUP(B50,#REF!,28,FALSE))))),"")</f>
        <v/>
      </c>
      <c r="AD50" s="647">
        <v>41</v>
      </c>
      <c r="AE50" s="646" t="e">
        <f>IF(#REF!="","", IF(#REF!="Yes", TRUE, FALSE))</f>
        <v>#REF!</v>
      </c>
      <c r="AG50" s="610" t="str" cm="1">
        <f t="array" ref="AG50">IFERROR(INDEX($BI$10:$BI$259, MATCH(0, IF(TRUE=$BJ$10:$BJ$259, COUNTIF($AG$42:AG49, $BI$10:$BI$259), ""), 0)),"")</f>
        <v/>
      </c>
      <c r="AH50" s="611"/>
      <c r="AI50" s="611"/>
      <c r="AJ50" s="1068" t="e">
        <f>IF(BH50=FALSE,"",IF(ISNA(VLOOKUP(AG50,#REF!,2,FALSE)),"",(VLOOKUP(AG50,#REF!,2,FALSE))))</f>
        <v>#REF!</v>
      </c>
      <c r="AK50" s="1068"/>
      <c r="AL50" s="1068"/>
      <c r="AM50" s="1096"/>
      <c r="AN50" s="1096"/>
      <c r="AO50" s="1096"/>
      <c r="AP50" s="1055" t="str">
        <f>IF(AG50="","",IF(ISNA(VLOOKUP($AG50,#REF!,3,FALSE)),"",(VLOOKUP(AG50,#REF!,3,FALSE))))</f>
        <v/>
      </c>
      <c r="AQ50" s="1055"/>
      <c r="AR50" s="1052" t="str">
        <f>IF(AG50="","",IF(ISNA(VLOOKUP($AG50,#REF!,22,FALSE)),"",(VLOOKUP(AG50,#REF!,22,FALSE))))</f>
        <v/>
      </c>
      <c r="AS50" s="1054"/>
      <c r="AT50" s="1052" t="str">
        <f>IF(AG50="","",IF(ISNA(VLOOKUP($AG50,#REF!,23,FALSE)),"",(VLOOKUP(AG50,#REF!,23,FALSE))))</f>
        <v/>
      </c>
      <c r="AU50" s="1053"/>
      <c r="AV50" s="1053"/>
      <c r="AW50" s="1054"/>
      <c r="AX50" s="1055" t="e">
        <f t="shared" si="7"/>
        <v>#REF!</v>
      </c>
      <c r="AY50" s="1055"/>
      <c r="AZ50" s="1056" t="e">
        <f t="shared" si="5"/>
        <v>#REF!</v>
      </c>
      <c r="BA50" s="1057"/>
      <c r="BB50" s="1057"/>
      <c r="BC50" s="1057"/>
      <c r="BD50" s="1058"/>
      <c r="BE50" s="624" t="str">
        <f>IFERROR(IF(LEN(VLOOKUP($AG50,#REF!,29,FALSE))=0,"",IF(AG50="","",IF(ISNA(VLOOKUP($AG50,#REF!,29,FALSE)),"",(VLOOKUP(AG50,#REF!,29,FALSE))))),"")</f>
        <v/>
      </c>
      <c r="BF50" s="624" t="str">
        <f>IFERROR(IF(LEN(VLOOKUP($AG50,#REF!,30,FALSE))=0,"",IF(AG50="","",IF(ISNA(VLOOKUP($AG50,#REF!,30,FALSE)),"",(VLOOKUP(AG50,#REF!,30,FALSE))))),"")</f>
        <v/>
      </c>
      <c r="BG50" s="663" t="str">
        <f>IFERROR(IF(LEN(VLOOKUP($AG50,#REF!,31,FALSE))=0,"",IF(AG50="","",IF(ISNA(VLOOKUP($AG50,#REF!,31,FALSE)),"",(VLOOKUP(AG50,#REF!,31,FALSE))))),"")</f>
        <v/>
      </c>
      <c r="BH50" s="647" t="str">
        <f>IF('C-1 On-Site WaterC'' Baseline'!AU50="","", IF('C-1 On-Site WaterC'' Baseline'!AU50="Yes", TRUE, FALSE))</f>
        <v/>
      </c>
      <c r="BI50" s="647">
        <v>41</v>
      </c>
      <c r="BJ50" s="647" t="e">
        <f>IF(#REF!="","", IF(#REF!="Yes", TRUE, FALSE))</f>
        <v>#REF!</v>
      </c>
      <c r="BK50" s="647" t="str">
        <f t="shared" si="8"/>
        <v/>
      </c>
      <c r="BL50" s="647" t="str">
        <f>IF(AG50="","",IF(LEN(VLOOKUP($AG50,'C-1 On-Site WaterC'' Baseline'!$C$1:$AV$257,25,FALSE))=0,"",VLOOKUP(AG50,'C-1 On-Site WaterC'' Baseline'!$C$1:$AV$257,25,FALSE)))</f>
        <v/>
      </c>
      <c r="BM50" s="647" t="str">
        <f>IF(B50="","",IF(LEN(VLOOKUP($B50,#REF!,25,FALSE))=0,"",(VLOOKUP(B50,#REF!,25,FALSE))))</f>
        <v/>
      </c>
    </row>
    <row r="51" spans="2:65" ht="44.5" customHeight="1" x14ac:dyDescent="0.3">
      <c r="B51" s="660" t="str" cm="1">
        <f t="array" ref="B51">IFERROR(INDEX($AD$10:$AD$259, MATCH(0, IF(TRUE=$AE$10:$AE$259, COUNTIF($B$42:B50, $AD$10:$AD$259), ""), 0)),"")</f>
        <v/>
      </c>
      <c r="C51" s="611"/>
      <c r="D51" s="611"/>
      <c r="E51" s="1068" t="str">
        <f>IF(B51="","",IF(ISNA(VLOOKUP($B51,#REF!,45,FALSE)),"",(VLOOKUP(B51,#REF!,45,FALSE))))</f>
        <v/>
      </c>
      <c r="F51" s="1068"/>
      <c r="G51" s="1068"/>
      <c r="H51" s="1096"/>
      <c r="I51" s="1096"/>
      <c r="J51" s="1096"/>
      <c r="K51" s="1055" t="str">
        <f>IF(B51="","",IF(ISNA(VLOOKUP($B51,#REF!,5,FALSE)),"",(VLOOKUP(B51,#REF!,5,FALSE))))</f>
        <v/>
      </c>
      <c r="L51" s="1055"/>
      <c r="M51" s="1055" t="str">
        <f>IF(B51="","",IF(ISNA(VLOOKUP($B51,#REF!,19,FALSE)),"",(VLOOKUP(B51,#REF!,19,FALSE))))</f>
        <v/>
      </c>
      <c r="N51" s="1055"/>
      <c r="O51" s="1055" t="str">
        <f>IF(B51="","",IF(ISNA(VLOOKUP($B51,'A-1 On-Site Habitat Baseline'!$D$1:$AV$258,17,FALSE)),"",(VLOOKUP(B51,'A-1 On-Site Habitat Baseline'!$D$1:$AV$258,17,FALSE))))</f>
        <v/>
      </c>
      <c r="P51" s="1055"/>
      <c r="Q51" s="1055"/>
      <c r="R51" s="1055"/>
      <c r="S51" s="1055" t="str">
        <f t="shared" si="9"/>
        <v/>
      </c>
      <c r="T51" s="1068"/>
      <c r="U51" s="617" t="str">
        <f t="shared" si="6"/>
        <v/>
      </c>
      <c r="V51" s="615"/>
      <c r="W51" s="615"/>
      <c r="X51" s="615"/>
      <c r="Y51" s="615"/>
      <c r="Z51" s="650" t="str">
        <f>IFERROR(IF(LEN(VLOOKUP($B51,#REF!,26,FALSE))=0,"",IF(B51="","",IF(ISNA(VLOOKUP($B51,#REF!,26,FALSE)),"",(VLOOKUP(B51,#REF!,26,FALSE))))),"")</f>
        <v/>
      </c>
      <c r="AA51" s="624" t="str">
        <f>IFERROR(IF(LEN(VLOOKUP($B51,#REF!,27,FALSE))=0,"",IF(B51="","",IF(ISNA(VLOOKUP($B51,#REF!,27,FALSE)),"",(VLOOKUP(B51,#REF!,27,FALSE))))),"")</f>
        <v/>
      </c>
      <c r="AB51" s="648" t="str">
        <f>IFERROR(IF(LEN(VLOOKUP($B51,#REF!,28,FALSE))=0,"",IF(B51="","",IF(ISNA(VLOOKUP($B51,#REF!,28,FALSE)),"",(VLOOKUP(B51,#REF!,28,FALSE))))),"")</f>
        <v/>
      </c>
      <c r="AD51" s="647">
        <v>42</v>
      </c>
      <c r="AE51" s="646" t="e">
        <f>IF(#REF!="","", IF(#REF!="Yes", TRUE, FALSE))</f>
        <v>#REF!</v>
      </c>
      <c r="AG51" s="610" t="str" cm="1">
        <f t="array" ref="AG51">IFERROR(INDEX($BI$10:$BI$259, MATCH(0, IF(TRUE=$BJ$10:$BJ$259, COUNTIF($AG$42:AG50, $BI$10:$BI$259), ""), 0)),"")</f>
        <v/>
      </c>
      <c r="AH51" s="611"/>
      <c r="AI51" s="611"/>
      <c r="AJ51" s="1068" t="e">
        <f>IF(BH51=FALSE,"",IF(ISNA(VLOOKUP(AG51,#REF!,2,FALSE)),"",(VLOOKUP(AG51,#REF!,2,FALSE))))</f>
        <v>#REF!</v>
      </c>
      <c r="AK51" s="1068"/>
      <c r="AL51" s="1068"/>
      <c r="AM51" s="1096"/>
      <c r="AN51" s="1096"/>
      <c r="AO51" s="1096"/>
      <c r="AP51" s="1055" t="str">
        <f>IF(AG51="","",IF(ISNA(VLOOKUP($AG51,#REF!,3,FALSE)),"",(VLOOKUP(AG51,#REF!,3,FALSE))))</f>
        <v/>
      </c>
      <c r="AQ51" s="1055"/>
      <c r="AR51" s="1052" t="str">
        <f>IF(AG51="","",IF(ISNA(VLOOKUP($AG51,#REF!,22,FALSE)),"",(VLOOKUP(AG51,#REF!,22,FALSE))))</f>
        <v/>
      </c>
      <c r="AS51" s="1054"/>
      <c r="AT51" s="1052" t="str">
        <f>IF(AG51="","",IF(ISNA(VLOOKUP($AG51,#REF!,23,FALSE)),"",(VLOOKUP(AG51,#REF!,23,FALSE))))</f>
        <v/>
      </c>
      <c r="AU51" s="1053"/>
      <c r="AV51" s="1053"/>
      <c r="AW51" s="1054"/>
      <c r="AX51" s="1055" t="e">
        <f t="shared" si="7"/>
        <v>#REF!</v>
      </c>
      <c r="AY51" s="1055"/>
      <c r="AZ51" s="1056" t="e">
        <f t="shared" si="5"/>
        <v>#REF!</v>
      </c>
      <c r="BA51" s="1057"/>
      <c r="BB51" s="1057"/>
      <c r="BC51" s="1057"/>
      <c r="BD51" s="1058"/>
      <c r="BE51" s="624" t="str">
        <f>IFERROR(IF(LEN(VLOOKUP($AG51,#REF!,29,FALSE))=0,"",IF(AG51="","",IF(ISNA(VLOOKUP($AG51,#REF!,29,FALSE)),"",(VLOOKUP(AG51,#REF!,29,FALSE))))),"")</f>
        <v/>
      </c>
      <c r="BF51" s="624" t="str">
        <f>IFERROR(IF(LEN(VLOOKUP($AG51,#REF!,30,FALSE))=0,"",IF(AG51="","",IF(ISNA(VLOOKUP($AG51,#REF!,30,FALSE)),"",(VLOOKUP(AG51,#REF!,30,FALSE))))),"")</f>
        <v/>
      </c>
      <c r="BG51" s="663" t="str">
        <f>IFERROR(IF(LEN(VLOOKUP($AG51,#REF!,31,FALSE))=0,"",IF(AG51="","",IF(ISNA(VLOOKUP($AG51,#REF!,31,FALSE)),"",(VLOOKUP(AG51,#REF!,31,FALSE))))),"")</f>
        <v/>
      </c>
      <c r="BH51" s="647" t="str">
        <f>IF('C-1 On-Site WaterC'' Baseline'!AU51="","", IF('C-1 On-Site WaterC'' Baseline'!AU51="Yes", TRUE, FALSE))</f>
        <v/>
      </c>
      <c r="BI51" s="647">
        <v>42</v>
      </c>
      <c r="BJ51" s="647" t="e">
        <f>IF(#REF!="","", IF(#REF!="Yes", TRUE, FALSE))</f>
        <v>#REF!</v>
      </c>
      <c r="BK51" s="647" t="str">
        <f t="shared" si="8"/>
        <v/>
      </c>
      <c r="BL51" s="647" t="str">
        <f>IF(AG51="","",IF(LEN(VLOOKUP($AG51,'C-1 On-Site WaterC'' Baseline'!$C$1:$AV$257,25,FALSE))=0,"",VLOOKUP(AG51,'C-1 On-Site WaterC'' Baseline'!$C$1:$AV$257,25,FALSE)))</f>
        <v/>
      </c>
      <c r="BM51" s="647" t="str">
        <f>IF(B51="","",IF(LEN(VLOOKUP($B51,#REF!,25,FALSE))=0,"",(VLOOKUP(B51,#REF!,25,FALSE))))</f>
        <v/>
      </c>
    </row>
    <row r="52" spans="2:65" ht="44.5" customHeight="1" x14ac:dyDescent="0.3">
      <c r="B52" s="660" t="str" cm="1">
        <f t="array" ref="B52">IFERROR(INDEX($AD$10:$AD$259, MATCH(0, IF(TRUE=$AE$10:$AE$259, COUNTIF($B$42:B51, $AD$10:$AD$259), ""), 0)),"")</f>
        <v/>
      </c>
      <c r="C52" s="611"/>
      <c r="D52" s="611"/>
      <c r="E52" s="1068" t="str">
        <f>IF(B52="","",IF(ISNA(VLOOKUP($B52,#REF!,45,FALSE)),"",(VLOOKUP(B52,#REF!,45,FALSE))))</f>
        <v/>
      </c>
      <c r="F52" s="1068"/>
      <c r="G52" s="1068"/>
      <c r="H52" s="1096"/>
      <c r="I52" s="1096"/>
      <c r="J52" s="1096"/>
      <c r="K52" s="1055" t="str">
        <f>IF(B52="","",IF(ISNA(VLOOKUP($B52,#REF!,5,FALSE)),"",(VLOOKUP(B52,#REF!,5,FALSE))))</f>
        <v/>
      </c>
      <c r="L52" s="1055"/>
      <c r="M52" s="1055" t="str">
        <f>IF(B52="","",IF(ISNA(VLOOKUP($B52,#REF!,19,FALSE)),"",(VLOOKUP(B52,#REF!,19,FALSE))))</f>
        <v/>
      </c>
      <c r="N52" s="1055"/>
      <c r="O52" s="1055" t="str">
        <f>IF(B52="","",IF(ISNA(VLOOKUP($B52,'A-1 On-Site Habitat Baseline'!$D$1:$AV$258,17,FALSE)),"",(VLOOKUP(B52,'A-1 On-Site Habitat Baseline'!$D$1:$AV$258,17,FALSE))))</f>
        <v/>
      </c>
      <c r="P52" s="1055"/>
      <c r="Q52" s="1055"/>
      <c r="R52" s="1055"/>
      <c r="S52" s="1055" t="str">
        <f t="shared" si="9"/>
        <v/>
      </c>
      <c r="T52" s="1068"/>
      <c r="U52" s="617" t="str">
        <f t="shared" si="6"/>
        <v/>
      </c>
      <c r="V52" s="615"/>
      <c r="W52" s="615"/>
      <c r="X52" s="615"/>
      <c r="Y52" s="615"/>
      <c r="Z52" s="650" t="str">
        <f>IFERROR(IF(LEN(VLOOKUP($B52,#REF!,26,FALSE))=0,"",IF(B52="","",IF(ISNA(VLOOKUP($B52,#REF!,26,FALSE)),"",(VLOOKUP(B52,#REF!,26,FALSE))))),"")</f>
        <v/>
      </c>
      <c r="AA52" s="624" t="str">
        <f>IFERROR(IF(LEN(VLOOKUP($B52,#REF!,27,FALSE))=0,"",IF(B52="","",IF(ISNA(VLOOKUP($B52,#REF!,27,FALSE)),"",(VLOOKUP(B52,#REF!,27,FALSE))))),"")</f>
        <v/>
      </c>
      <c r="AB52" s="648" t="str">
        <f>IFERROR(IF(LEN(VLOOKUP($B52,#REF!,28,FALSE))=0,"",IF(B52="","",IF(ISNA(VLOOKUP($B52,#REF!,28,FALSE)),"",(VLOOKUP(B52,#REF!,28,FALSE))))),"")</f>
        <v/>
      </c>
      <c r="AD52" s="647">
        <v>43</v>
      </c>
      <c r="AE52" s="646" t="e">
        <f>IF(#REF!="","", IF(#REF!="Yes", TRUE, FALSE))</f>
        <v>#REF!</v>
      </c>
      <c r="AG52" s="610" t="str" cm="1">
        <f t="array" ref="AG52">IFERROR(INDEX($BI$10:$BI$259, MATCH(0, IF(TRUE=$BJ$10:$BJ$259, COUNTIF($AG$42:AG51, $BI$10:$BI$259), ""), 0)),"")</f>
        <v/>
      </c>
      <c r="AH52" s="611"/>
      <c r="AI52" s="611"/>
      <c r="AJ52" s="1068" t="e">
        <f>IF(BH52=FALSE,"",IF(ISNA(VLOOKUP(AG52,#REF!,2,FALSE)),"",(VLOOKUP(AG52,#REF!,2,FALSE))))</f>
        <v>#REF!</v>
      </c>
      <c r="AK52" s="1068"/>
      <c r="AL52" s="1068"/>
      <c r="AM52" s="1096"/>
      <c r="AN52" s="1096"/>
      <c r="AO52" s="1096"/>
      <c r="AP52" s="1055" t="str">
        <f>IF(AG52="","",IF(ISNA(VLOOKUP($AG52,#REF!,3,FALSE)),"",(VLOOKUP(AG52,#REF!,3,FALSE))))</f>
        <v/>
      </c>
      <c r="AQ52" s="1055"/>
      <c r="AR52" s="1052" t="str">
        <f>IF(AG52="","",IF(ISNA(VLOOKUP($AG52,#REF!,22,FALSE)),"",(VLOOKUP(AG52,#REF!,22,FALSE))))</f>
        <v/>
      </c>
      <c r="AS52" s="1054"/>
      <c r="AT52" s="1052" t="str">
        <f>IF(AG52="","",IF(ISNA(VLOOKUP($AG52,#REF!,23,FALSE)),"",(VLOOKUP(AG52,#REF!,23,FALSE))))</f>
        <v/>
      </c>
      <c r="AU52" s="1053"/>
      <c r="AV52" s="1053"/>
      <c r="AW52" s="1054"/>
      <c r="AX52" s="1055" t="e">
        <f t="shared" si="7"/>
        <v>#REF!</v>
      </c>
      <c r="AY52" s="1055"/>
      <c r="AZ52" s="1056" t="e">
        <f t="shared" si="5"/>
        <v>#REF!</v>
      </c>
      <c r="BA52" s="1057"/>
      <c r="BB52" s="1057"/>
      <c r="BC52" s="1057"/>
      <c r="BD52" s="1058"/>
      <c r="BE52" s="624" t="str">
        <f>IFERROR(IF(LEN(VLOOKUP($AG52,#REF!,29,FALSE))=0,"",IF(AG52="","",IF(ISNA(VLOOKUP($AG52,#REF!,29,FALSE)),"",(VLOOKUP(AG52,#REF!,29,FALSE))))),"")</f>
        <v/>
      </c>
      <c r="BF52" s="624" t="str">
        <f>IFERROR(IF(LEN(VLOOKUP($AG52,#REF!,30,FALSE))=0,"",IF(AG52="","",IF(ISNA(VLOOKUP($AG52,#REF!,30,FALSE)),"",(VLOOKUP(AG52,#REF!,30,FALSE))))),"")</f>
        <v/>
      </c>
      <c r="BG52" s="663" t="str">
        <f>IFERROR(IF(LEN(VLOOKUP($AG52,#REF!,31,FALSE))=0,"",IF(AG52="","",IF(ISNA(VLOOKUP($AG52,#REF!,31,FALSE)),"",(VLOOKUP(AG52,#REF!,31,FALSE))))),"")</f>
        <v/>
      </c>
      <c r="BH52" s="647" t="str">
        <f>IF('C-1 On-Site WaterC'' Baseline'!AU52="","", IF('C-1 On-Site WaterC'' Baseline'!AU52="Yes", TRUE, FALSE))</f>
        <v/>
      </c>
      <c r="BI52" s="647">
        <v>43</v>
      </c>
      <c r="BJ52" s="647" t="e">
        <f>IF(#REF!="","", IF(#REF!="Yes", TRUE, FALSE))</f>
        <v>#REF!</v>
      </c>
      <c r="BK52" s="647" t="str">
        <f t="shared" si="8"/>
        <v/>
      </c>
      <c r="BL52" s="647" t="str">
        <f>IF(AG52="","",IF(LEN(VLOOKUP($AG52,'C-1 On-Site WaterC'' Baseline'!$C$1:$AV$257,25,FALSE))=0,"",VLOOKUP(AG52,'C-1 On-Site WaterC'' Baseline'!$C$1:$AV$257,25,FALSE)))</f>
        <v/>
      </c>
      <c r="BM52" s="647" t="str">
        <f>IF(B52="","",IF(LEN(VLOOKUP($B52,#REF!,25,FALSE))=0,"",(VLOOKUP(B52,#REF!,25,FALSE))))</f>
        <v/>
      </c>
    </row>
    <row r="53" spans="2:65" ht="44.5" customHeight="1" x14ac:dyDescent="0.3">
      <c r="B53" s="660" t="str" cm="1">
        <f t="array" ref="B53">IFERROR(INDEX($AD$10:$AD$259, MATCH(0, IF(TRUE=$AE$10:$AE$259, COUNTIF($B$42:B52, $AD$10:$AD$259), ""), 0)),"")</f>
        <v/>
      </c>
      <c r="C53" s="611"/>
      <c r="D53" s="611"/>
      <c r="E53" s="1068" t="str">
        <f>IF(B53="","",IF(ISNA(VLOOKUP($B53,#REF!,45,FALSE)),"",(VLOOKUP(B53,#REF!,45,FALSE))))</f>
        <v/>
      </c>
      <c r="F53" s="1068"/>
      <c r="G53" s="1068"/>
      <c r="H53" s="1096"/>
      <c r="I53" s="1096"/>
      <c r="J53" s="1096"/>
      <c r="K53" s="1055" t="str">
        <f>IF(B53="","",IF(ISNA(VLOOKUP($B53,#REF!,5,FALSE)),"",(VLOOKUP(B53,#REF!,5,FALSE))))</f>
        <v/>
      </c>
      <c r="L53" s="1055"/>
      <c r="M53" s="1055" t="str">
        <f>IF(B53="","",IF(ISNA(VLOOKUP($B53,#REF!,19,FALSE)),"",(VLOOKUP(B53,#REF!,19,FALSE))))</f>
        <v/>
      </c>
      <c r="N53" s="1055"/>
      <c r="O53" s="1055" t="str">
        <f>IF(B53="","",IF(ISNA(VLOOKUP($B53,'A-1 On-Site Habitat Baseline'!$D$1:$AV$258,17,FALSE)),"",(VLOOKUP(B53,'A-1 On-Site Habitat Baseline'!$D$1:$AV$258,17,FALSE))))</f>
        <v/>
      </c>
      <c r="P53" s="1055"/>
      <c r="Q53" s="1055"/>
      <c r="R53" s="1055"/>
      <c r="S53" s="1055" t="str">
        <f t="shared" si="9"/>
        <v/>
      </c>
      <c r="T53" s="1068"/>
      <c r="U53" s="617" t="str">
        <f t="shared" si="6"/>
        <v/>
      </c>
      <c r="V53" s="615"/>
      <c r="W53" s="615"/>
      <c r="X53" s="615"/>
      <c r="Y53" s="615"/>
      <c r="Z53" s="650" t="str">
        <f>IFERROR(IF(LEN(VLOOKUP($B53,#REF!,26,FALSE))=0,"",IF(B53="","",IF(ISNA(VLOOKUP($B53,#REF!,26,FALSE)),"",(VLOOKUP(B53,#REF!,26,FALSE))))),"")</f>
        <v/>
      </c>
      <c r="AA53" s="624" t="str">
        <f>IFERROR(IF(LEN(VLOOKUP($B53,#REF!,27,FALSE))=0,"",IF(B53="","",IF(ISNA(VLOOKUP($B53,#REF!,27,FALSE)),"",(VLOOKUP(B53,#REF!,27,FALSE))))),"")</f>
        <v/>
      </c>
      <c r="AB53" s="648" t="str">
        <f>IFERROR(IF(LEN(VLOOKUP($B53,#REF!,28,FALSE))=0,"",IF(B53="","",IF(ISNA(VLOOKUP($B53,#REF!,28,FALSE)),"",(VLOOKUP(B53,#REF!,28,FALSE))))),"")</f>
        <v/>
      </c>
      <c r="AD53" s="647">
        <v>44</v>
      </c>
      <c r="AE53" s="646" t="e">
        <f>IF(#REF!="","", IF(#REF!="Yes", TRUE, FALSE))</f>
        <v>#REF!</v>
      </c>
      <c r="AG53" s="610" t="str" cm="1">
        <f t="array" ref="AG53">IFERROR(INDEX($BI$10:$BI$259, MATCH(0, IF(TRUE=$BJ$10:$BJ$259, COUNTIF($AG$42:AG52, $BI$10:$BI$259), ""), 0)),"")</f>
        <v/>
      </c>
      <c r="AH53" s="611"/>
      <c r="AI53" s="611"/>
      <c r="AJ53" s="1068" t="e">
        <f>IF(BH53=FALSE,"",IF(ISNA(VLOOKUP(AG53,#REF!,2,FALSE)),"",(VLOOKUP(AG53,#REF!,2,FALSE))))</f>
        <v>#REF!</v>
      </c>
      <c r="AK53" s="1068"/>
      <c r="AL53" s="1068"/>
      <c r="AM53" s="1096"/>
      <c r="AN53" s="1096"/>
      <c r="AO53" s="1096"/>
      <c r="AP53" s="1055" t="str">
        <f>IF(AG53="","",IF(ISNA(VLOOKUP($AG53,#REF!,3,FALSE)),"",(VLOOKUP(AG53,#REF!,3,FALSE))))</f>
        <v/>
      </c>
      <c r="AQ53" s="1055"/>
      <c r="AR53" s="1052" t="str">
        <f>IF(AG53="","",IF(ISNA(VLOOKUP($AG53,#REF!,22,FALSE)),"",(VLOOKUP(AG53,#REF!,22,FALSE))))</f>
        <v/>
      </c>
      <c r="AS53" s="1054"/>
      <c r="AT53" s="1052" t="str">
        <f>IF(AG53="","",IF(ISNA(VLOOKUP($AG53,#REF!,23,FALSE)),"",(VLOOKUP(AG53,#REF!,23,FALSE))))</f>
        <v/>
      </c>
      <c r="AU53" s="1053"/>
      <c r="AV53" s="1053"/>
      <c r="AW53" s="1054"/>
      <c r="AX53" s="1055" t="e">
        <f t="shared" si="7"/>
        <v>#REF!</v>
      </c>
      <c r="AY53" s="1055"/>
      <c r="AZ53" s="1056" t="e">
        <f t="shared" si="5"/>
        <v>#REF!</v>
      </c>
      <c r="BA53" s="1057"/>
      <c r="BB53" s="1057"/>
      <c r="BC53" s="1057"/>
      <c r="BD53" s="1058"/>
      <c r="BE53" s="624" t="str">
        <f>IFERROR(IF(LEN(VLOOKUP($AG53,#REF!,29,FALSE))=0,"",IF(AG53="","",IF(ISNA(VLOOKUP($AG53,#REF!,29,FALSE)),"",(VLOOKUP(AG53,#REF!,29,FALSE))))),"")</f>
        <v/>
      </c>
      <c r="BF53" s="624" t="str">
        <f>IFERROR(IF(LEN(VLOOKUP($AG53,#REF!,30,FALSE))=0,"",IF(AG53="","",IF(ISNA(VLOOKUP($AG53,#REF!,30,FALSE)),"",(VLOOKUP(AG53,#REF!,30,FALSE))))),"")</f>
        <v/>
      </c>
      <c r="BG53" s="663" t="str">
        <f>IFERROR(IF(LEN(VLOOKUP($AG53,#REF!,31,FALSE))=0,"",IF(AG53="","",IF(ISNA(VLOOKUP($AG53,#REF!,31,FALSE)),"",(VLOOKUP(AG53,#REF!,31,FALSE))))),"")</f>
        <v/>
      </c>
      <c r="BH53" s="647" t="str">
        <f>IF('C-1 On-Site WaterC'' Baseline'!AU53="","", IF('C-1 On-Site WaterC'' Baseline'!AU53="Yes", TRUE, FALSE))</f>
        <v/>
      </c>
      <c r="BI53" s="647">
        <v>44</v>
      </c>
      <c r="BJ53" s="647" t="e">
        <f>IF(#REF!="","", IF(#REF!="Yes", TRUE, FALSE))</f>
        <v>#REF!</v>
      </c>
      <c r="BK53" s="647" t="str">
        <f t="shared" si="8"/>
        <v/>
      </c>
      <c r="BL53" s="647" t="str">
        <f>IF(AG53="","",IF(LEN(VLOOKUP($AG53,'C-1 On-Site WaterC'' Baseline'!$C$1:$AV$257,25,FALSE))=0,"",VLOOKUP(AG53,'C-1 On-Site WaterC'' Baseline'!$C$1:$AV$257,25,FALSE)))</f>
        <v/>
      </c>
      <c r="BM53" s="647" t="str">
        <f>IF(B53="","",IF(LEN(VLOOKUP($B53,#REF!,25,FALSE))=0,"",(VLOOKUP(B53,#REF!,25,FALSE))))</f>
        <v/>
      </c>
    </row>
    <row r="54" spans="2:65" ht="44.5" customHeight="1" x14ac:dyDescent="0.3">
      <c r="B54" s="660" t="str" cm="1">
        <f t="array" ref="B54">IFERROR(INDEX($AD$10:$AD$259, MATCH(0, IF(TRUE=$AE$10:$AE$259, COUNTIF($B$42:B53, $AD$10:$AD$259), ""), 0)),"")</f>
        <v/>
      </c>
      <c r="C54" s="611"/>
      <c r="D54" s="611"/>
      <c r="E54" s="1068" t="str">
        <f>IF(B54="","",IF(ISNA(VLOOKUP($B54,#REF!,45,FALSE)),"",(VLOOKUP(B54,#REF!,45,FALSE))))</f>
        <v/>
      </c>
      <c r="F54" s="1068"/>
      <c r="G54" s="1068"/>
      <c r="H54" s="1096"/>
      <c r="I54" s="1096"/>
      <c r="J54" s="1096"/>
      <c r="K54" s="1055" t="str">
        <f>IF(B54="","",IF(ISNA(VLOOKUP($B54,#REF!,5,FALSE)),"",(VLOOKUP(B54,#REF!,5,FALSE))))</f>
        <v/>
      </c>
      <c r="L54" s="1055"/>
      <c r="M54" s="1055" t="str">
        <f>IF(B54="","",IF(ISNA(VLOOKUP($B54,#REF!,19,FALSE)),"",(VLOOKUP(B54,#REF!,19,FALSE))))</f>
        <v/>
      </c>
      <c r="N54" s="1055"/>
      <c r="O54" s="1055" t="str">
        <f>IF(B54="","",IF(ISNA(VLOOKUP($B54,'A-1 On-Site Habitat Baseline'!$D$1:$AV$258,17,FALSE)),"",(VLOOKUP(B54,'A-1 On-Site Habitat Baseline'!$D$1:$AV$258,17,FALSE))))</f>
        <v/>
      </c>
      <c r="P54" s="1055"/>
      <c r="Q54" s="1055"/>
      <c r="R54" s="1055"/>
      <c r="S54" s="1055" t="str">
        <f t="shared" si="9"/>
        <v/>
      </c>
      <c r="T54" s="1068"/>
      <c r="U54" s="617" t="str">
        <f t="shared" si="6"/>
        <v/>
      </c>
      <c r="V54" s="615"/>
      <c r="W54" s="615"/>
      <c r="X54" s="615"/>
      <c r="Y54" s="615"/>
      <c r="Z54" s="650" t="str">
        <f>IFERROR(IF(LEN(VLOOKUP($B54,#REF!,26,FALSE))=0,"",IF(B54="","",IF(ISNA(VLOOKUP($B54,#REF!,26,FALSE)),"",(VLOOKUP(B54,#REF!,26,FALSE))))),"")</f>
        <v/>
      </c>
      <c r="AA54" s="624" t="str">
        <f>IFERROR(IF(LEN(VLOOKUP($B54,#REF!,27,FALSE))=0,"",IF(B54="","",IF(ISNA(VLOOKUP($B54,#REF!,27,FALSE)),"",(VLOOKUP(B54,#REF!,27,FALSE))))),"")</f>
        <v/>
      </c>
      <c r="AB54" s="648" t="str">
        <f>IFERROR(IF(LEN(VLOOKUP($B54,#REF!,28,FALSE))=0,"",IF(B54="","",IF(ISNA(VLOOKUP($B54,#REF!,28,FALSE)),"",(VLOOKUP(B54,#REF!,28,FALSE))))),"")</f>
        <v/>
      </c>
      <c r="AD54" s="647">
        <v>45</v>
      </c>
      <c r="AE54" s="646" t="e">
        <f>IF(#REF!="","", IF(#REF!="Yes", TRUE, FALSE))</f>
        <v>#REF!</v>
      </c>
      <c r="AG54" s="610" t="str" cm="1">
        <f t="array" ref="AG54">IFERROR(INDEX($BI$10:$BI$259, MATCH(0, IF(TRUE=$BJ$10:$BJ$259, COUNTIF($AG$42:AG53, $BI$10:$BI$259), ""), 0)),"")</f>
        <v/>
      </c>
      <c r="AH54" s="611"/>
      <c r="AI54" s="611"/>
      <c r="AJ54" s="1068" t="e">
        <f>IF(BH54=FALSE,"",IF(ISNA(VLOOKUP(AG54,#REF!,2,FALSE)),"",(VLOOKUP(AG54,#REF!,2,FALSE))))</f>
        <v>#REF!</v>
      </c>
      <c r="AK54" s="1068"/>
      <c r="AL54" s="1068"/>
      <c r="AM54" s="1096"/>
      <c r="AN54" s="1096"/>
      <c r="AO54" s="1096"/>
      <c r="AP54" s="1055" t="str">
        <f>IF(AG54="","",IF(ISNA(VLOOKUP($AG54,#REF!,3,FALSE)),"",(VLOOKUP(AG54,#REF!,3,FALSE))))</f>
        <v/>
      </c>
      <c r="AQ54" s="1055"/>
      <c r="AR54" s="1052" t="str">
        <f>IF(AG54="","",IF(ISNA(VLOOKUP($AG54,#REF!,22,FALSE)),"",(VLOOKUP(AG54,#REF!,22,FALSE))))</f>
        <v/>
      </c>
      <c r="AS54" s="1054"/>
      <c r="AT54" s="1052" t="str">
        <f>IF(AG54="","",IF(ISNA(VLOOKUP($AG54,#REF!,23,FALSE)),"",(VLOOKUP(AG54,#REF!,23,FALSE))))</f>
        <v/>
      </c>
      <c r="AU54" s="1053"/>
      <c r="AV54" s="1053"/>
      <c r="AW54" s="1054"/>
      <c r="AX54" s="1055" t="e">
        <f t="shared" si="7"/>
        <v>#REF!</v>
      </c>
      <c r="AY54" s="1055"/>
      <c r="AZ54" s="1056" t="e">
        <f t="shared" si="5"/>
        <v>#REF!</v>
      </c>
      <c r="BA54" s="1057"/>
      <c r="BB54" s="1057"/>
      <c r="BC54" s="1057"/>
      <c r="BD54" s="1058"/>
      <c r="BE54" s="624" t="str">
        <f>IFERROR(IF(LEN(VLOOKUP($AG54,#REF!,29,FALSE))=0,"",IF(AG54="","",IF(ISNA(VLOOKUP($AG54,#REF!,29,FALSE)),"",(VLOOKUP(AG54,#REF!,29,FALSE))))),"")</f>
        <v/>
      </c>
      <c r="BF54" s="624" t="str">
        <f>IFERROR(IF(LEN(VLOOKUP($AG54,#REF!,30,FALSE))=0,"",IF(AG54="","",IF(ISNA(VLOOKUP($AG54,#REF!,30,FALSE)),"",(VLOOKUP(AG54,#REF!,30,FALSE))))),"")</f>
        <v/>
      </c>
      <c r="BG54" s="663" t="str">
        <f>IFERROR(IF(LEN(VLOOKUP($AG54,#REF!,31,FALSE))=0,"",IF(AG54="","",IF(ISNA(VLOOKUP($AG54,#REF!,31,FALSE)),"",(VLOOKUP(AG54,#REF!,31,FALSE))))),"")</f>
        <v/>
      </c>
      <c r="BH54" s="647" t="str">
        <f>IF('C-1 On-Site WaterC'' Baseline'!AU54="","", IF('C-1 On-Site WaterC'' Baseline'!AU54="Yes", TRUE, FALSE))</f>
        <v/>
      </c>
      <c r="BI54" s="647">
        <v>45</v>
      </c>
      <c r="BJ54" s="647" t="e">
        <f>IF(#REF!="","", IF(#REF!="Yes", TRUE, FALSE))</f>
        <v>#REF!</v>
      </c>
      <c r="BK54" s="647" t="str">
        <f t="shared" si="8"/>
        <v/>
      </c>
      <c r="BL54" s="647" t="str">
        <f>IF(AG54="","",IF(LEN(VLOOKUP($AG54,'C-1 On-Site WaterC'' Baseline'!$C$1:$AV$257,25,FALSE))=0,"",VLOOKUP(AG54,'C-1 On-Site WaterC'' Baseline'!$C$1:$AV$257,25,FALSE)))</f>
        <v/>
      </c>
      <c r="BM54" s="647" t="str">
        <f>IF(B54="","",IF(LEN(VLOOKUP($B54,#REF!,25,FALSE))=0,"",(VLOOKUP(B54,#REF!,25,FALSE))))</f>
        <v/>
      </c>
    </row>
    <row r="55" spans="2:65" ht="44.5" customHeight="1" x14ac:dyDescent="0.3">
      <c r="B55" s="660" t="str" cm="1">
        <f t="array" ref="B55">IFERROR(INDEX($AD$10:$AD$259, MATCH(0, IF(TRUE=$AE$10:$AE$259, COUNTIF($B$42:B54, $AD$10:$AD$259), ""), 0)),"")</f>
        <v/>
      </c>
      <c r="C55" s="611"/>
      <c r="D55" s="611"/>
      <c r="E55" s="1068" t="str">
        <f>IF(B55="","",IF(ISNA(VLOOKUP($B55,#REF!,45,FALSE)),"",(VLOOKUP(B55,#REF!,45,FALSE))))</f>
        <v/>
      </c>
      <c r="F55" s="1068"/>
      <c r="G55" s="1068"/>
      <c r="H55" s="1096"/>
      <c r="I55" s="1096"/>
      <c r="J55" s="1096"/>
      <c r="K55" s="1055" t="str">
        <f>IF(B55="","",IF(ISNA(VLOOKUP($B55,#REF!,5,FALSE)),"",(VLOOKUP(B55,#REF!,5,FALSE))))</f>
        <v/>
      </c>
      <c r="L55" s="1055"/>
      <c r="M55" s="1055" t="str">
        <f>IF(B55="","",IF(ISNA(VLOOKUP($B55,#REF!,19,FALSE)),"",(VLOOKUP(B55,#REF!,19,FALSE))))</f>
        <v/>
      </c>
      <c r="N55" s="1055"/>
      <c r="O55" s="1055" t="str">
        <f>IF(B55="","",IF(ISNA(VLOOKUP($B55,'A-1 On-Site Habitat Baseline'!$D$1:$AV$258,17,FALSE)),"",(VLOOKUP(B55,'A-1 On-Site Habitat Baseline'!$D$1:$AV$258,17,FALSE))))</f>
        <v/>
      </c>
      <c r="P55" s="1055"/>
      <c r="Q55" s="1055"/>
      <c r="R55" s="1055"/>
      <c r="S55" s="1055" t="str">
        <f t="shared" si="9"/>
        <v/>
      </c>
      <c r="T55" s="1068"/>
      <c r="U55" s="617" t="str">
        <f t="shared" si="6"/>
        <v/>
      </c>
      <c r="V55" s="615"/>
      <c r="W55" s="615"/>
      <c r="X55" s="615"/>
      <c r="Y55" s="615"/>
      <c r="Z55" s="650" t="str">
        <f>IFERROR(IF(LEN(VLOOKUP($B55,#REF!,26,FALSE))=0,"",IF(B55="","",IF(ISNA(VLOOKUP($B55,#REF!,26,FALSE)),"",(VLOOKUP(B55,#REF!,26,FALSE))))),"")</f>
        <v/>
      </c>
      <c r="AA55" s="624" t="str">
        <f>IFERROR(IF(LEN(VLOOKUP($B55,#REF!,27,FALSE))=0,"",IF(B55="","",IF(ISNA(VLOOKUP($B55,#REF!,27,FALSE)),"",(VLOOKUP(B55,#REF!,27,FALSE))))),"")</f>
        <v/>
      </c>
      <c r="AB55" s="648" t="str">
        <f>IFERROR(IF(LEN(VLOOKUP($B55,#REF!,28,FALSE))=0,"",IF(B55="","",IF(ISNA(VLOOKUP($B55,#REF!,28,FALSE)),"",(VLOOKUP(B55,#REF!,28,FALSE))))),"")</f>
        <v/>
      </c>
      <c r="AD55" s="647">
        <v>46</v>
      </c>
      <c r="AE55" s="646" t="e">
        <f>IF(#REF!="","", IF(#REF!="Yes", TRUE, FALSE))</f>
        <v>#REF!</v>
      </c>
      <c r="AG55" s="610" t="str" cm="1">
        <f t="array" ref="AG55">IFERROR(INDEX($BI$10:$BI$259, MATCH(0, IF(TRUE=$BJ$10:$BJ$259, COUNTIF($AG$42:AG54, $BI$10:$BI$259), ""), 0)),"")</f>
        <v/>
      </c>
      <c r="AH55" s="611"/>
      <c r="AI55" s="611"/>
      <c r="AJ55" s="1068" t="e">
        <f>IF(BH55=FALSE,"",IF(ISNA(VLOOKUP(AG55,#REF!,2,FALSE)),"",(VLOOKUP(AG55,#REF!,2,FALSE))))</f>
        <v>#REF!</v>
      </c>
      <c r="AK55" s="1068"/>
      <c r="AL55" s="1068"/>
      <c r="AM55" s="1096"/>
      <c r="AN55" s="1096"/>
      <c r="AO55" s="1096"/>
      <c r="AP55" s="1055" t="str">
        <f>IF(AG55="","",IF(ISNA(VLOOKUP($AG55,#REF!,3,FALSE)),"",(VLOOKUP(AG55,#REF!,3,FALSE))))</f>
        <v/>
      </c>
      <c r="AQ55" s="1055"/>
      <c r="AR55" s="1052" t="str">
        <f>IF(AG55="","",IF(ISNA(VLOOKUP($AG55,#REF!,22,FALSE)),"",(VLOOKUP(AG55,#REF!,22,FALSE))))</f>
        <v/>
      </c>
      <c r="AS55" s="1054"/>
      <c r="AT55" s="1052" t="str">
        <f>IF(AG55="","",IF(ISNA(VLOOKUP($AG55,#REF!,23,FALSE)),"",(VLOOKUP(AG55,#REF!,23,FALSE))))</f>
        <v/>
      </c>
      <c r="AU55" s="1053"/>
      <c r="AV55" s="1053"/>
      <c r="AW55" s="1054"/>
      <c r="AX55" s="1055" t="e">
        <f t="shared" si="7"/>
        <v>#REF!</v>
      </c>
      <c r="AY55" s="1055"/>
      <c r="AZ55" s="1056" t="e">
        <f t="shared" si="5"/>
        <v>#REF!</v>
      </c>
      <c r="BA55" s="1057"/>
      <c r="BB55" s="1057"/>
      <c r="BC55" s="1057"/>
      <c r="BD55" s="1058"/>
      <c r="BE55" s="624" t="str">
        <f>IFERROR(IF(LEN(VLOOKUP($AG55,#REF!,29,FALSE))=0,"",IF(AG55="","",IF(ISNA(VLOOKUP($AG55,#REF!,29,FALSE)),"",(VLOOKUP(AG55,#REF!,29,FALSE))))),"")</f>
        <v/>
      </c>
      <c r="BF55" s="624" t="str">
        <f>IFERROR(IF(LEN(VLOOKUP($AG55,#REF!,30,FALSE))=0,"",IF(AG55="","",IF(ISNA(VLOOKUP($AG55,#REF!,30,FALSE)),"",(VLOOKUP(AG55,#REF!,30,FALSE))))),"")</f>
        <v/>
      </c>
      <c r="BG55" s="663" t="str">
        <f>IFERROR(IF(LEN(VLOOKUP($AG55,#REF!,31,FALSE))=0,"",IF(AG55="","",IF(ISNA(VLOOKUP($AG55,#REF!,31,FALSE)),"",(VLOOKUP(AG55,#REF!,31,FALSE))))),"")</f>
        <v/>
      </c>
      <c r="BH55" s="647" t="str">
        <f>IF('C-1 On-Site WaterC'' Baseline'!AU55="","", IF('C-1 On-Site WaterC'' Baseline'!AU55="Yes", TRUE, FALSE))</f>
        <v/>
      </c>
      <c r="BI55" s="647">
        <v>46</v>
      </c>
      <c r="BJ55" s="647" t="e">
        <f>IF(#REF!="","", IF(#REF!="Yes", TRUE, FALSE))</f>
        <v>#REF!</v>
      </c>
      <c r="BK55" s="647" t="str">
        <f t="shared" si="8"/>
        <v/>
      </c>
      <c r="BL55" s="647" t="str">
        <f>IF(AG55="","",IF(LEN(VLOOKUP($AG55,'C-1 On-Site WaterC'' Baseline'!$C$1:$AV$257,25,FALSE))=0,"",VLOOKUP(AG55,'C-1 On-Site WaterC'' Baseline'!$C$1:$AV$257,25,FALSE)))</f>
        <v/>
      </c>
      <c r="BM55" s="647" t="str">
        <f>IF(B55="","",IF(LEN(VLOOKUP($B55,#REF!,25,FALSE))=0,"",(VLOOKUP(B55,#REF!,25,FALSE))))</f>
        <v/>
      </c>
    </row>
    <row r="56" spans="2:65" ht="44.5" customHeight="1" x14ac:dyDescent="0.3">
      <c r="B56" s="660" t="str" cm="1">
        <f t="array" ref="B56">IFERROR(INDEX($AD$10:$AD$259, MATCH(0, IF(TRUE=$AE$10:$AE$259, COUNTIF($B$42:B55, $AD$10:$AD$259), ""), 0)),"")</f>
        <v/>
      </c>
      <c r="C56" s="611"/>
      <c r="D56" s="611"/>
      <c r="E56" s="1068" t="str">
        <f>IF(B56="","",IF(ISNA(VLOOKUP($B56,#REF!,45,FALSE)),"",(VLOOKUP(B56,#REF!,45,FALSE))))</f>
        <v/>
      </c>
      <c r="F56" s="1068"/>
      <c r="G56" s="1068"/>
      <c r="H56" s="1096"/>
      <c r="I56" s="1096"/>
      <c r="J56" s="1096"/>
      <c r="K56" s="1055" t="str">
        <f>IF(B56="","",IF(ISNA(VLOOKUP($B56,#REF!,5,FALSE)),"",(VLOOKUP(B56,#REF!,5,FALSE))))</f>
        <v/>
      </c>
      <c r="L56" s="1055"/>
      <c r="M56" s="1055" t="str">
        <f>IF(B56="","",IF(ISNA(VLOOKUP($B56,#REF!,19,FALSE)),"",(VLOOKUP(B56,#REF!,19,FALSE))))</f>
        <v/>
      </c>
      <c r="N56" s="1055"/>
      <c r="O56" s="1055" t="str">
        <f>IF(B56="","",IF(ISNA(VLOOKUP($B56,'A-1 On-Site Habitat Baseline'!$D$1:$AV$258,17,FALSE)),"",(VLOOKUP(B56,'A-1 On-Site Habitat Baseline'!$D$1:$AV$258,17,FALSE))))</f>
        <v/>
      </c>
      <c r="P56" s="1055"/>
      <c r="Q56" s="1055"/>
      <c r="R56" s="1055"/>
      <c r="S56" s="1055" t="str">
        <f t="shared" si="9"/>
        <v/>
      </c>
      <c r="T56" s="1068"/>
      <c r="U56" s="617" t="str">
        <f t="shared" si="6"/>
        <v/>
      </c>
      <c r="V56" s="615"/>
      <c r="W56" s="615"/>
      <c r="X56" s="615"/>
      <c r="Y56" s="615"/>
      <c r="Z56" s="650" t="str">
        <f>IFERROR(IF(LEN(VLOOKUP($B56,#REF!,26,FALSE))=0,"",IF(B56="","",IF(ISNA(VLOOKUP($B56,#REF!,26,FALSE)),"",(VLOOKUP(B56,#REF!,26,FALSE))))),"")</f>
        <v/>
      </c>
      <c r="AA56" s="624" t="str">
        <f>IFERROR(IF(LEN(VLOOKUP($B56,#REF!,27,FALSE))=0,"",IF(B56="","",IF(ISNA(VLOOKUP($B56,#REF!,27,FALSE)),"",(VLOOKUP(B56,#REF!,27,FALSE))))),"")</f>
        <v/>
      </c>
      <c r="AB56" s="648" t="str">
        <f>IFERROR(IF(LEN(VLOOKUP($B56,#REF!,28,FALSE))=0,"",IF(B56="","",IF(ISNA(VLOOKUP($B56,#REF!,28,FALSE)),"",(VLOOKUP(B56,#REF!,28,FALSE))))),"")</f>
        <v/>
      </c>
      <c r="AD56" s="647">
        <v>47</v>
      </c>
      <c r="AE56" s="646" t="e">
        <f>IF(#REF!="","", IF(#REF!="Yes", TRUE, FALSE))</f>
        <v>#REF!</v>
      </c>
      <c r="AG56" s="610" t="str" cm="1">
        <f t="array" ref="AG56">IFERROR(INDEX($BI$10:$BI$259, MATCH(0, IF(TRUE=$BJ$10:$BJ$259, COUNTIF($AG$42:AG55, $BI$10:$BI$259), ""), 0)),"")</f>
        <v/>
      </c>
      <c r="AH56" s="611"/>
      <c r="AI56" s="611"/>
      <c r="AJ56" s="1068" t="e">
        <f>IF(BH56=FALSE,"",IF(ISNA(VLOOKUP(AG56,#REF!,2,FALSE)),"",(VLOOKUP(AG56,#REF!,2,FALSE))))</f>
        <v>#REF!</v>
      </c>
      <c r="AK56" s="1068"/>
      <c r="AL56" s="1068"/>
      <c r="AM56" s="1096"/>
      <c r="AN56" s="1096"/>
      <c r="AO56" s="1096"/>
      <c r="AP56" s="1055" t="str">
        <f>IF(AG56="","",IF(ISNA(VLOOKUP($AG56,#REF!,3,FALSE)),"",(VLOOKUP(AG56,#REF!,3,FALSE))))</f>
        <v/>
      </c>
      <c r="AQ56" s="1055"/>
      <c r="AR56" s="1052" t="str">
        <f>IF(AG56="","",IF(ISNA(VLOOKUP($AG56,#REF!,22,FALSE)),"",(VLOOKUP(AG56,#REF!,22,FALSE))))</f>
        <v/>
      </c>
      <c r="AS56" s="1054"/>
      <c r="AT56" s="1052" t="str">
        <f>IF(AG56="","",IF(ISNA(VLOOKUP($AG56,#REF!,23,FALSE)),"",(VLOOKUP(AG56,#REF!,23,FALSE))))</f>
        <v/>
      </c>
      <c r="AU56" s="1053"/>
      <c r="AV56" s="1053"/>
      <c r="AW56" s="1054"/>
      <c r="AX56" s="1055" t="e">
        <f t="shared" si="7"/>
        <v>#REF!</v>
      </c>
      <c r="AY56" s="1055"/>
      <c r="AZ56" s="1056" t="e">
        <f t="shared" si="5"/>
        <v>#REF!</v>
      </c>
      <c r="BA56" s="1057"/>
      <c r="BB56" s="1057"/>
      <c r="BC56" s="1057"/>
      <c r="BD56" s="1058"/>
      <c r="BE56" s="624" t="str">
        <f>IFERROR(IF(LEN(VLOOKUP($AG56,#REF!,29,FALSE))=0,"",IF(AG56="","",IF(ISNA(VLOOKUP($AG56,#REF!,29,FALSE)),"",(VLOOKUP(AG56,#REF!,29,FALSE))))),"")</f>
        <v/>
      </c>
      <c r="BF56" s="624" t="str">
        <f>IFERROR(IF(LEN(VLOOKUP($AG56,#REF!,30,FALSE))=0,"",IF(AG56="","",IF(ISNA(VLOOKUP($AG56,#REF!,30,FALSE)),"",(VLOOKUP(AG56,#REF!,30,FALSE))))),"")</f>
        <v/>
      </c>
      <c r="BG56" s="663" t="str">
        <f>IFERROR(IF(LEN(VLOOKUP($AG56,#REF!,31,FALSE))=0,"",IF(AG56="","",IF(ISNA(VLOOKUP($AG56,#REF!,31,FALSE)),"",(VLOOKUP(AG56,#REF!,31,FALSE))))),"")</f>
        <v/>
      </c>
      <c r="BH56" s="647" t="str">
        <f>IF('C-1 On-Site WaterC'' Baseline'!AU56="","", IF('C-1 On-Site WaterC'' Baseline'!AU56="Yes", TRUE, FALSE))</f>
        <v/>
      </c>
      <c r="BI56" s="647">
        <v>47</v>
      </c>
      <c r="BJ56" s="647" t="e">
        <f>IF(#REF!="","", IF(#REF!="Yes", TRUE, FALSE))</f>
        <v>#REF!</v>
      </c>
      <c r="BK56" s="647" t="str">
        <f t="shared" si="8"/>
        <v/>
      </c>
      <c r="BL56" s="647" t="str">
        <f>IF(AG56="","",IF(LEN(VLOOKUP($AG56,'C-1 On-Site WaterC'' Baseline'!$C$1:$AV$257,25,FALSE))=0,"",VLOOKUP(AG56,'C-1 On-Site WaterC'' Baseline'!$C$1:$AV$257,25,FALSE)))</f>
        <v/>
      </c>
      <c r="BM56" s="647" t="str">
        <f>IF(B56="","",IF(LEN(VLOOKUP($B56,#REF!,25,FALSE))=0,"",(VLOOKUP(B56,#REF!,25,FALSE))))</f>
        <v/>
      </c>
    </row>
    <row r="57" spans="2:65" ht="44.5" customHeight="1" x14ac:dyDescent="0.3">
      <c r="B57" s="660" t="str" cm="1">
        <f t="array" ref="B57">IFERROR(INDEX($AD$10:$AD$259, MATCH(0, IF(TRUE=$AE$10:$AE$259, COUNTIF($B$42:B56, $AD$10:$AD$259), ""), 0)),"")</f>
        <v/>
      </c>
      <c r="C57" s="611"/>
      <c r="D57" s="611"/>
      <c r="E57" s="1068" t="str">
        <f>IF(B57="","",IF(ISNA(VLOOKUP($B57,#REF!,45,FALSE)),"",(VLOOKUP(B57,#REF!,45,FALSE))))</f>
        <v/>
      </c>
      <c r="F57" s="1068"/>
      <c r="G57" s="1068"/>
      <c r="H57" s="1096"/>
      <c r="I57" s="1096"/>
      <c r="J57" s="1096"/>
      <c r="K57" s="1055" t="str">
        <f>IF(B57="","",IF(ISNA(VLOOKUP($B57,#REF!,5,FALSE)),"",(VLOOKUP(B57,#REF!,5,FALSE))))</f>
        <v/>
      </c>
      <c r="L57" s="1055"/>
      <c r="M57" s="1055" t="str">
        <f>IF(B57="","",IF(ISNA(VLOOKUP($B57,#REF!,19,FALSE)),"",(VLOOKUP(B57,#REF!,19,FALSE))))</f>
        <v/>
      </c>
      <c r="N57" s="1055"/>
      <c r="O57" s="1055" t="str">
        <f>IF(B57="","",IF(ISNA(VLOOKUP($B57,'A-1 On-Site Habitat Baseline'!$D$1:$AV$258,17,FALSE)),"",(VLOOKUP(B57,'A-1 On-Site Habitat Baseline'!$D$1:$AV$258,17,FALSE))))</f>
        <v/>
      </c>
      <c r="P57" s="1055"/>
      <c r="Q57" s="1055"/>
      <c r="R57" s="1055"/>
      <c r="S57" s="1055" t="str">
        <f t="shared" si="9"/>
        <v/>
      </c>
      <c r="T57" s="1068"/>
      <c r="U57" s="617" t="str">
        <f t="shared" si="6"/>
        <v/>
      </c>
      <c r="V57" s="615"/>
      <c r="W57" s="615"/>
      <c r="X57" s="615"/>
      <c r="Y57" s="615"/>
      <c r="Z57" s="650" t="str">
        <f>IFERROR(IF(LEN(VLOOKUP($B57,#REF!,26,FALSE))=0,"",IF(B57="","",IF(ISNA(VLOOKUP($B57,#REF!,26,FALSE)),"",(VLOOKUP(B57,#REF!,26,FALSE))))),"")</f>
        <v/>
      </c>
      <c r="AA57" s="624" t="str">
        <f>IFERROR(IF(LEN(VLOOKUP($B57,#REF!,27,FALSE))=0,"",IF(B57="","",IF(ISNA(VLOOKUP($B57,#REF!,27,FALSE)),"",(VLOOKUP(B57,#REF!,27,FALSE))))),"")</f>
        <v/>
      </c>
      <c r="AB57" s="648" t="str">
        <f>IFERROR(IF(LEN(VLOOKUP($B57,#REF!,28,FALSE))=0,"",IF(B57="","",IF(ISNA(VLOOKUP($B57,#REF!,28,FALSE)),"",(VLOOKUP(B57,#REF!,28,FALSE))))),"")</f>
        <v/>
      </c>
      <c r="AD57" s="647">
        <v>48</v>
      </c>
      <c r="AE57" s="646" t="e">
        <f>IF(#REF!="","", IF(#REF!="Yes", TRUE, FALSE))</f>
        <v>#REF!</v>
      </c>
      <c r="AG57" s="610" t="str" cm="1">
        <f t="array" ref="AG57">IFERROR(INDEX($BI$10:$BI$259, MATCH(0, IF(TRUE=$BJ$10:$BJ$259, COUNTIF($AG$42:AG56, $BI$10:$BI$259), ""), 0)),"")</f>
        <v/>
      </c>
      <c r="AH57" s="611"/>
      <c r="AI57" s="611"/>
      <c r="AJ57" s="1068" t="e">
        <f>IF(BH57=FALSE,"",IF(ISNA(VLOOKUP(AG57,#REF!,2,FALSE)),"",(VLOOKUP(AG57,#REF!,2,FALSE))))</f>
        <v>#REF!</v>
      </c>
      <c r="AK57" s="1068"/>
      <c r="AL57" s="1068"/>
      <c r="AM57" s="1096"/>
      <c r="AN57" s="1096"/>
      <c r="AO57" s="1096"/>
      <c r="AP57" s="1055" t="str">
        <f>IF(AG57="","",IF(ISNA(VLOOKUP($AG57,#REF!,3,FALSE)),"",(VLOOKUP(AG57,#REF!,3,FALSE))))</f>
        <v/>
      </c>
      <c r="AQ57" s="1055"/>
      <c r="AR57" s="1052" t="str">
        <f>IF(AG57="","",IF(ISNA(VLOOKUP($AG57,#REF!,22,FALSE)),"",(VLOOKUP(AG57,#REF!,22,FALSE))))</f>
        <v/>
      </c>
      <c r="AS57" s="1054"/>
      <c r="AT57" s="1052" t="str">
        <f>IF(AG57="","",IF(ISNA(VLOOKUP($AG57,#REF!,23,FALSE)),"",(VLOOKUP(AG57,#REF!,23,FALSE))))</f>
        <v/>
      </c>
      <c r="AU57" s="1053"/>
      <c r="AV57" s="1053"/>
      <c r="AW57" s="1054"/>
      <c r="AX57" s="1055" t="e">
        <f t="shared" si="7"/>
        <v>#REF!</v>
      </c>
      <c r="AY57" s="1055"/>
      <c r="AZ57" s="1056" t="e">
        <f t="shared" si="5"/>
        <v>#REF!</v>
      </c>
      <c r="BA57" s="1057"/>
      <c r="BB57" s="1057"/>
      <c r="BC57" s="1057"/>
      <c r="BD57" s="1058"/>
      <c r="BE57" s="624" t="str">
        <f>IFERROR(IF(LEN(VLOOKUP($AG57,#REF!,29,FALSE))=0,"",IF(AG57="","",IF(ISNA(VLOOKUP($AG57,#REF!,29,FALSE)),"",(VLOOKUP(AG57,#REF!,29,FALSE))))),"")</f>
        <v/>
      </c>
      <c r="BF57" s="624" t="str">
        <f>IFERROR(IF(LEN(VLOOKUP($AG57,#REF!,30,FALSE))=0,"",IF(AG57="","",IF(ISNA(VLOOKUP($AG57,#REF!,30,FALSE)),"",(VLOOKUP(AG57,#REF!,30,FALSE))))),"")</f>
        <v/>
      </c>
      <c r="BG57" s="663" t="str">
        <f>IFERROR(IF(LEN(VLOOKUP($AG57,#REF!,31,FALSE))=0,"",IF(AG57="","",IF(ISNA(VLOOKUP($AG57,#REF!,31,FALSE)),"",(VLOOKUP(AG57,#REF!,31,FALSE))))),"")</f>
        <v/>
      </c>
      <c r="BH57" s="647" t="str">
        <f>IF('C-1 On-Site WaterC'' Baseline'!AU57="","", IF('C-1 On-Site WaterC'' Baseline'!AU57="Yes", TRUE, FALSE))</f>
        <v/>
      </c>
      <c r="BI57" s="647">
        <v>48</v>
      </c>
      <c r="BJ57" s="647" t="e">
        <f>IF(#REF!="","", IF(#REF!="Yes", TRUE, FALSE))</f>
        <v>#REF!</v>
      </c>
      <c r="BK57" s="647" t="str">
        <f t="shared" si="8"/>
        <v/>
      </c>
      <c r="BL57" s="647" t="str">
        <f>IF(AG57="","",IF(LEN(VLOOKUP($AG57,'C-1 On-Site WaterC'' Baseline'!$C$1:$AV$257,25,FALSE))=0,"",VLOOKUP(AG57,'C-1 On-Site WaterC'' Baseline'!$C$1:$AV$257,25,FALSE)))</f>
        <v/>
      </c>
      <c r="BM57" s="647" t="str">
        <f>IF(B57="","",IF(LEN(VLOOKUP($B57,#REF!,25,FALSE))=0,"",(VLOOKUP(B57,#REF!,25,FALSE))))</f>
        <v/>
      </c>
    </row>
    <row r="58" spans="2:65" ht="44.5" customHeight="1" x14ac:dyDescent="0.3">
      <c r="B58" s="660" t="str" cm="1">
        <f t="array" ref="B58">IFERROR(INDEX($AD$10:$AD$259, MATCH(0, IF(TRUE=$AE$10:$AE$259, COUNTIF($B$42:B57, $AD$10:$AD$259), ""), 0)),"")</f>
        <v/>
      </c>
      <c r="C58" s="611"/>
      <c r="D58" s="611"/>
      <c r="E58" s="1068" t="str">
        <f>IF(B58="","",IF(ISNA(VLOOKUP($B58,#REF!,45,FALSE)),"",(VLOOKUP(B58,#REF!,45,FALSE))))</f>
        <v/>
      </c>
      <c r="F58" s="1068"/>
      <c r="G58" s="1068"/>
      <c r="H58" s="1096"/>
      <c r="I58" s="1096"/>
      <c r="J58" s="1096"/>
      <c r="K58" s="1055" t="str">
        <f>IF(B58="","",IF(ISNA(VLOOKUP($B58,#REF!,5,FALSE)),"",(VLOOKUP(B58,#REF!,5,FALSE))))</f>
        <v/>
      </c>
      <c r="L58" s="1055"/>
      <c r="M58" s="1055" t="str">
        <f>IF(B58="","",IF(ISNA(VLOOKUP($B58,#REF!,19,FALSE)),"",(VLOOKUP(B58,#REF!,19,FALSE))))</f>
        <v/>
      </c>
      <c r="N58" s="1055"/>
      <c r="O58" s="1055" t="str">
        <f>IF(B58="","",IF(ISNA(VLOOKUP($B58,'A-1 On-Site Habitat Baseline'!$D$1:$AV$258,17,FALSE)),"",(VLOOKUP(B58,'A-1 On-Site Habitat Baseline'!$D$1:$AV$258,17,FALSE))))</f>
        <v/>
      </c>
      <c r="P58" s="1055"/>
      <c r="Q58" s="1055"/>
      <c r="R58" s="1055"/>
      <c r="S58" s="1055" t="str">
        <f t="shared" si="9"/>
        <v/>
      </c>
      <c r="T58" s="1068"/>
      <c r="U58" s="617" t="str">
        <f t="shared" si="6"/>
        <v/>
      </c>
      <c r="V58" s="615"/>
      <c r="W58" s="615"/>
      <c r="X58" s="615"/>
      <c r="Y58" s="615"/>
      <c r="Z58" s="650" t="str">
        <f>IFERROR(IF(LEN(VLOOKUP($B58,#REF!,26,FALSE))=0,"",IF(B58="","",IF(ISNA(VLOOKUP($B58,#REF!,26,FALSE)),"",(VLOOKUP(B58,#REF!,26,FALSE))))),"")</f>
        <v/>
      </c>
      <c r="AA58" s="624" t="str">
        <f>IFERROR(IF(LEN(VLOOKUP($B58,#REF!,27,FALSE))=0,"",IF(B58="","",IF(ISNA(VLOOKUP($B58,#REF!,27,FALSE)),"",(VLOOKUP(B58,#REF!,27,FALSE))))),"")</f>
        <v/>
      </c>
      <c r="AB58" s="648" t="str">
        <f>IFERROR(IF(LEN(VLOOKUP($B58,#REF!,28,FALSE))=0,"",IF(B58="","",IF(ISNA(VLOOKUP($B58,#REF!,28,FALSE)),"",(VLOOKUP(B58,#REF!,28,FALSE))))),"")</f>
        <v/>
      </c>
      <c r="AD58" s="647">
        <v>49</v>
      </c>
      <c r="AE58" s="646" t="e">
        <f>IF(#REF!="","", IF(#REF!="Yes", TRUE, FALSE))</f>
        <v>#REF!</v>
      </c>
      <c r="AG58" s="610" t="str" cm="1">
        <f t="array" ref="AG58">IFERROR(INDEX($BI$10:$BI$259, MATCH(0, IF(TRUE=$BJ$10:$BJ$259, COUNTIF($AG$42:AG57, $BI$10:$BI$259), ""), 0)),"")</f>
        <v/>
      </c>
      <c r="AH58" s="611"/>
      <c r="AI58" s="611"/>
      <c r="AJ58" s="1068" t="e">
        <f>IF(BH58=FALSE,"",IF(ISNA(VLOOKUP(AG58,#REF!,2,FALSE)),"",(VLOOKUP(AG58,#REF!,2,FALSE))))</f>
        <v>#REF!</v>
      </c>
      <c r="AK58" s="1068"/>
      <c r="AL58" s="1068"/>
      <c r="AM58" s="1096"/>
      <c r="AN58" s="1096"/>
      <c r="AO58" s="1096"/>
      <c r="AP58" s="1055" t="str">
        <f>IF(AG58="","",IF(ISNA(VLOOKUP($AG58,#REF!,3,FALSE)),"",(VLOOKUP(AG58,#REF!,3,FALSE))))</f>
        <v/>
      </c>
      <c r="AQ58" s="1055"/>
      <c r="AR58" s="1052" t="str">
        <f>IF(AG58="","",IF(ISNA(VLOOKUP($AG58,#REF!,22,FALSE)),"",(VLOOKUP(AG58,#REF!,22,FALSE))))</f>
        <v/>
      </c>
      <c r="AS58" s="1054"/>
      <c r="AT58" s="1052" t="str">
        <f>IF(AG58="","",IF(ISNA(VLOOKUP($AG58,#REF!,23,FALSE)),"",(VLOOKUP(AG58,#REF!,23,FALSE))))</f>
        <v/>
      </c>
      <c r="AU58" s="1053"/>
      <c r="AV58" s="1053"/>
      <c r="AW58" s="1054"/>
      <c r="AX58" s="1055" t="e">
        <f t="shared" si="7"/>
        <v>#REF!</v>
      </c>
      <c r="AY58" s="1055"/>
      <c r="AZ58" s="1056" t="e">
        <f t="shared" si="5"/>
        <v>#REF!</v>
      </c>
      <c r="BA58" s="1057"/>
      <c r="BB58" s="1057"/>
      <c r="BC58" s="1057"/>
      <c r="BD58" s="1058"/>
      <c r="BE58" s="624" t="str">
        <f>IFERROR(IF(LEN(VLOOKUP($AG58,#REF!,29,FALSE))=0,"",IF(AG58="","",IF(ISNA(VLOOKUP($AG58,#REF!,29,FALSE)),"",(VLOOKUP(AG58,#REF!,29,FALSE))))),"")</f>
        <v/>
      </c>
      <c r="BF58" s="624" t="str">
        <f>IFERROR(IF(LEN(VLOOKUP($AG58,#REF!,30,FALSE))=0,"",IF(AG58="","",IF(ISNA(VLOOKUP($AG58,#REF!,30,FALSE)),"",(VLOOKUP(AG58,#REF!,30,FALSE))))),"")</f>
        <v/>
      </c>
      <c r="BG58" s="663" t="str">
        <f>IFERROR(IF(LEN(VLOOKUP($AG58,#REF!,31,FALSE))=0,"",IF(AG58="","",IF(ISNA(VLOOKUP($AG58,#REF!,31,FALSE)),"",(VLOOKUP(AG58,#REF!,31,FALSE))))),"")</f>
        <v/>
      </c>
      <c r="BH58" s="647" t="str">
        <f>IF('C-1 On-Site WaterC'' Baseline'!AU58="","", IF('C-1 On-Site WaterC'' Baseline'!AU58="Yes", TRUE, FALSE))</f>
        <v/>
      </c>
      <c r="BI58" s="647">
        <v>49</v>
      </c>
      <c r="BJ58" s="647" t="e">
        <f>IF(#REF!="","", IF(#REF!="Yes", TRUE, FALSE))</f>
        <v>#REF!</v>
      </c>
      <c r="BK58" s="647" t="str">
        <f t="shared" si="8"/>
        <v/>
      </c>
      <c r="BL58" s="647" t="str">
        <f>IF(AG58="","",IF(LEN(VLOOKUP($AG58,'C-1 On-Site WaterC'' Baseline'!$C$1:$AV$257,25,FALSE))=0,"",VLOOKUP(AG58,'C-1 On-Site WaterC'' Baseline'!$C$1:$AV$257,25,FALSE)))</f>
        <v/>
      </c>
      <c r="BM58" s="647" t="str">
        <f>IF(B58="","",IF(LEN(VLOOKUP($B58,#REF!,25,FALSE))=0,"",(VLOOKUP(B58,#REF!,25,FALSE))))</f>
        <v/>
      </c>
    </row>
    <row r="59" spans="2:65" ht="44.5" customHeight="1" x14ac:dyDescent="0.3">
      <c r="B59" s="660" t="str" cm="1">
        <f t="array" ref="B59">IFERROR(INDEX($AD$10:$AD$259, MATCH(0, IF(TRUE=$AE$10:$AE$259, COUNTIF($B$42:B58, $AD$10:$AD$259), ""), 0)),"")</f>
        <v/>
      </c>
      <c r="C59" s="611"/>
      <c r="D59" s="611"/>
      <c r="E59" s="1068" t="str">
        <f>IF(B59="","",IF(ISNA(VLOOKUP($B59,#REF!,45,FALSE)),"",(VLOOKUP(B59,#REF!,45,FALSE))))</f>
        <v/>
      </c>
      <c r="F59" s="1068"/>
      <c r="G59" s="1068"/>
      <c r="H59" s="1096"/>
      <c r="I59" s="1096"/>
      <c r="J59" s="1096"/>
      <c r="K59" s="1055" t="str">
        <f>IF(B59="","",IF(ISNA(VLOOKUP($B59,#REF!,5,FALSE)),"",(VLOOKUP(B59,#REF!,5,FALSE))))</f>
        <v/>
      </c>
      <c r="L59" s="1055"/>
      <c r="M59" s="1055" t="str">
        <f>IF(B59="","",IF(ISNA(VLOOKUP($B59,#REF!,19,FALSE)),"",(VLOOKUP(B59,#REF!,19,FALSE))))</f>
        <v/>
      </c>
      <c r="N59" s="1055"/>
      <c r="O59" s="1055" t="str">
        <f>IF(B59="","",IF(ISNA(VLOOKUP($B59,'A-1 On-Site Habitat Baseline'!$D$1:$AV$258,17,FALSE)),"",(VLOOKUP(B59,'A-1 On-Site Habitat Baseline'!$D$1:$AV$258,17,FALSE))))</f>
        <v/>
      </c>
      <c r="P59" s="1055"/>
      <c r="Q59" s="1055"/>
      <c r="R59" s="1055"/>
      <c r="S59" s="1055" t="str">
        <f t="shared" si="9"/>
        <v/>
      </c>
      <c r="T59" s="1068"/>
      <c r="U59" s="617" t="str">
        <f t="shared" si="6"/>
        <v/>
      </c>
      <c r="V59" s="615"/>
      <c r="W59" s="615"/>
      <c r="X59" s="615"/>
      <c r="Y59" s="615"/>
      <c r="Z59" s="650" t="str">
        <f>IFERROR(IF(LEN(VLOOKUP($B59,#REF!,26,FALSE))=0,"",IF(B59="","",IF(ISNA(VLOOKUP($B59,#REF!,26,FALSE)),"",(VLOOKUP(B59,#REF!,26,FALSE))))),"")</f>
        <v/>
      </c>
      <c r="AA59" s="624" t="str">
        <f>IFERROR(IF(LEN(VLOOKUP($B59,#REF!,27,FALSE))=0,"",IF(B59="","",IF(ISNA(VLOOKUP($B59,#REF!,27,FALSE)),"",(VLOOKUP(B59,#REF!,27,FALSE))))),"")</f>
        <v/>
      </c>
      <c r="AB59" s="648" t="str">
        <f>IFERROR(IF(LEN(VLOOKUP($B59,#REF!,28,FALSE))=0,"",IF(B59="","",IF(ISNA(VLOOKUP($B59,#REF!,28,FALSE)),"",(VLOOKUP(B59,#REF!,28,FALSE))))),"")</f>
        <v/>
      </c>
      <c r="AD59" s="647">
        <v>50</v>
      </c>
      <c r="AE59" s="646" t="e">
        <f>IF(#REF!="","", IF(#REF!="Yes", TRUE, FALSE))</f>
        <v>#REF!</v>
      </c>
      <c r="AG59" s="610" t="str" cm="1">
        <f t="array" ref="AG59">IFERROR(INDEX($BI$10:$BI$259, MATCH(0, IF(TRUE=$BJ$10:$BJ$259, COUNTIF($AG$42:AG58, $BI$10:$BI$259), ""), 0)),"")</f>
        <v/>
      </c>
      <c r="AH59" s="611"/>
      <c r="AI59" s="611"/>
      <c r="AJ59" s="1068" t="e">
        <f>IF(BH59=FALSE,"",IF(ISNA(VLOOKUP(AG59,#REF!,2,FALSE)),"",(VLOOKUP(AG59,#REF!,2,FALSE))))</f>
        <v>#REF!</v>
      </c>
      <c r="AK59" s="1068"/>
      <c r="AL59" s="1068"/>
      <c r="AM59" s="1096"/>
      <c r="AN59" s="1096"/>
      <c r="AO59" s="1096"/>
      <c r="AP59" s="1055" t="str">
        <f>IF(AG59="","",IF(ISNA(VLOOKUP($AG59,#REF!,3,FALSE)),"",(VLOOKUP(AG59,#REF!,3,FALSE))))</f>
        <v/>
      </c>
      <c r="AQ59" s="1055"/>
      <c r="AR59" s="1052" t="str">
        <f>IF(AG59="","",IF(ISNA(VLOOKUP($AG59,#REF!,22,FALSE)),"",(VLOOKUP(AG59,#REF!,22,FALSE))))</f>
        <v/>
      </c>
      <c r="AS59" s="1054"/>
      <c r="AT59" s="1052" t="str">
        <f>IF(AG59="","",IF(ISNA(VLOOKUP($AG59,#REF!,23,FALSE)),"",(VLOOKUP(AG59,#REF!,23,FALSE))))</f>
        <v/>
      </c>
      <c r="AU59" s="1053"/>
      <c r="AV59" s="1053"/>
      <c r="AW59" s="1054"/>
      <c r="AX59" s="1055" t="e">
        <f t="shared" si="7"/>
        <v>#REF!</v>
      </c>
      <c r="AY59" s="1055"/>
      <c r="AZ59" s="1056" t="e">
        <f t="shared" si="5"/>
        <v>#REF!</v>
      </c>
      <c r="BA59" s="1057"/>
      <c r="BB59" s="1057"/>
      <c r="BC59" s="1057"/>
      <c r="BD59" s="1058"/>
      <c r="BE59" s="624" t="str">
        <f>IFERROR(IF(LEN(VLOOKUP($AG59,#REF!,29,FALSE))=0,"",IF(AG59="","",IF(ISNA(VLOOKUP($AG59,#REF!,29,FALSE)),"",(VLOOKUP(AG59,#REF!,29,FALSE))))),"")</f>
        <v/>
      </c>
      <c r="BF59" s="624" t="str">
        <f>IFERROR(IF(LEN(VLOOKUP($AG59,#REF!,30,FALSE))=0,"",IF(AG59="","",IF(ISNA(VLOOKUP($AG59,#REF!,30,FALSE)),"",(VLOOKUP(AG59,#REF!,30,FALSE))))),"")</f>
        <v/>
      </c>
      <c r="BG59" s="663" t="str">
        <f>IFERROR(IF(LEN(VLOOKUP($AG59,#REF!,31,FALSE))=0,"",IF(AG59="","",IF(ISNA(VLOOKUP($AG59,#REF!,31,FALSE)),"",(VLOOKUP(AG59,#REF!,31,FALSE))))),"")</f>
        <v/>
      </c>
      <c r="BH59" s="647" t="str">
        <f>IF('C-1 On-Site WaterC'' Baseline'!AU59="","", IF('C-1 On-Site WaterC'' Baseline'!AU59="Yes", TRUE, FALSE))</f>
        <v/>
      </c>
      <c r="BI59" s="647">
        <v>50</v>
      </c>
      <c r="BJ59" s="647" t="e">
        <f>IF(#REF!="","", IF(#REF!="Yes", TRUE, FALSE))</f>
        <v>#REF!</v>
      </c>
      <c r="BK59" s="647" t="str">
        <f t="shared" si="8"/>
        <v/>
      </c>
      <c r="BL59" s="647" t="str">
        <f>IF(AG59="","",IF(LEN(VLOOKUP($AG59,'C-1 On-Site WaterC'' Baseline'!$C$1:$AV$257,25,FALSE))=0,"",VLOOKUP(AG59,'C-1 On-Site WaterC'' Baseline'!$C$1:$AV$257,25,FALSE)))</f>
        <v/>
      </c>
      <c r="BM59" s="647" t="str">
        <f>IF(B59="","",IF(LEN(VLOOKUP($B59,#REF!,25,FALSE))=0,"",(VLOOKUP(B59,#REF!,25,FALSE))))</f>
        <v/>
      </c>
    </row>
    <row r="60" spans="2:65" ht="44.5" customHeight="1" x14ac:dyDescent="0.3">
      <c r="B60" s="660" t="str" cm="1">
        <f t="array" ref="B60">IFERROR(INDEX($AD$10:$AD$259, MATCH(0, IF(TRUE=$AE$10:$AE$259, COUNTIF($B$42:B59, $AD$10:$AD$259), ""), 0)),"")</f>
        <v/>
      </c>
      <c r="C60" s="611"/>
      <c r="D60" s="611"/>
      <c r="E60" s="1068" t="str">
        <f>IF(B60="","",IF(ISNA(VLOOKUP($B60,#REF!,45,FALSE)),"",(VLOOKUP(B60,#REF!,45,FALSE))))</f>
        <v/>
      </c>
      <c r="F60" s="1068"/>
      <c r="G60" s="1068"/>
      <c r="H60" s="1096"/>
      <c r="I60" s="1096"/>
      <c r="J60" s="1096"/>
      <c r="K60" s="1055" t="str">
        <f>IF(B60="","",IF(ISNA(VLOOKUP($B60,#REF!,5,FALSE)),"",(VLOOKUP(B60,#REF!,5,FALSE))))</f>
        <v/>
      </c>
      <c r="L60" s="1055"/>
      <c r="M60" s="1055" t="str">
        <f>IF(B60="","",IF(ISNA(VLOOKUP($B60,#REF!,19,FALSE)),"",(VLOOKUP(B60,#REF!,19,FALSE))))</f>
        <v/>
      </c>
      <c r="N60" s="1055"/>
      <c r="O60" s="1055" t="str">
        <f>IF(B60="","",IF(ISNA(VLOOKUP($B60,'A-1 On-Site Habitat Baseline'!$D$1:$AV$258,17,FALSE)),"",(VLOOKUP(B60,'A-1 On-Site Habitat Baseline'!$D$1:$AV$258,17,FALSE))))</f>
        <v/>
      </c>
      <c r="P60" s="1055"/>
      <c r="Q60" s="1055"/>
      <c r="R60" s="1055"/>
      <c r="S60" s="1055" t="str">
        <f t="shared" si="9"/>
        <v/>
      </c>
      <c r="T60" s="1068"/>
      <c r="U60" s="617" t="str">
        <f t="shared" si="6"/>
        <v/>
      </c>
      <c r="V60" s="615"/>
      <c r="W60" s="615"/>
      <c r="X60" s="615"/>
      <c r="Y60" s="615"/>
      <c r="Z60" s="650" t="str">
        <f>IFERROR(IF(LEN(VLOOKUP($B60,#REF!,26,FALSE))=0,"",IF(B60="","",IF(ISNA(VLOOKUP($B60,#REF!,26,FALSE)),"",(VLOOKUP(B60,#REF!,26,FALSE))))),"")</f>
        <v/>
      </c>
      <c r="AA60" s="624" t="str">
        <f>IFERROR(IF(LEN(VLOOKUP($B60,#REF!,27,FALSE))=0,"",IF(B60="","",IF(ISNA(VLOOKUP($B60,#REF!,27,FALSE)),"",(VLOOKUP(B60,#REF!,27,FALSE))))),"")</f>
        <v/>
      </c>
      <c r="AB60" s="648" t="str">
        <f>IFERROR(IF(LEN(VLOOKUP($B60,#REF!,28,FALSE))=0,"",IF(B60="","",IF(ISNA(VLOOKUP($B60,#REF!,28,FALSE)),"",(VLOOKUP(B60,#REF!,28,FALSE))))),"")</f>
        <v/>
      </c>
      <c r="AD60" s="647">
        <v>51</v>
      </c>
      <c r="AE60" s="646" t="e">
        <f>IF(#REF!="","", IF(#REF!="Yes", TRUE, FALSE))</f>
        <v>#REF!</v>
      </c>
      <c r="AG60" s="610" t="str" cm="1">
        <f t="array" ref="AG60">IFERROR(INDEX($BI$10:$BI$259, MATCH(0, IF(TRUE=$BJ$10:$BJ$259, COUNTIF($AG$42:AG59, $BI$10:$BI$259), ""), 0)),"")</f>
        <v/>
      </c>
      <c r="AH60" s="611"/>
      <c r="AI60" s="611"/>
      <c r="AJ60" s="1068" t="e">
        <f>IF(BH60=FALSE,"",IF(ISNA(VLOOKUP(AG60,#REF!,2,FALSE)),"",(VLOOKUP(AG60,#REF!,2,FALSE))))</f>
        <v>#REF!</v>
      </c>
      <c r="AK60" s="1068"/>
      <c r="AL60" s="1068"/>
      <c r="AM60" s="1096"/>
      <c r="AN60" s="1096"/>
      <c r="AO60" s="1096"/>
      <c r="AP60" s="1055" t="str">
        <f>IF(AG60="","",IF(ISNA(VLOOKUP($AG60,#REF!,3,FALSE)),"",(VLOOKUP(AG60,#REF!,3,FALSE))))</f>
        <v/>
      </c>
      <c r="AQ60" s="1055"/>
      <c r="AR60" s="1052" t="str">
        <f>IF(AG60="","",IF(ISNA(VLOOKUP($AG60,#REF!,22,FALSE)),"",(VLOOKUP(AG60,#REF!,22,FALSE))))</f>
        <v/>
      </c>
      <c r="AS60" s="1054"/>
      <c r="AT60" s="1052" t="str">
        <f>IF(AG60="","",IF(ISNA(VLOOKUP($AG60,#REF!,23,FALSE)),"",(VLOOKUP(AG60,#REF!,23,FALSE))))</f>
        <v/>
      </c>
      <c r="AU60" s="1053"/>
      <c r="AV60" s="1053"/>
      <c r="AW60" s="1054"/>
      <c r="AX60" s="1055" t="e">
        <f t="shared" si="7"/>
        <v>#REF!</v>
      </c>
      <c r="AY60" s="1055"/>
      <c r="AZ60" s="1056" t="e">
        <f t="shared" si="5"/>
        <v>#REF!</v>
      </c>
      <c r="BA60" s="1057"/>
      <c r="BB60" s="1057"/>
      <c r="BC60" s="1057"/>
      <c r="BD60" s="1058"/>
      <c r="BE60" s="624" t="str">
        <f>IFERROR(IF(LEN(VLOOKUP($AG60,#REF!,29,FALSE))=0,"",IF(AG60="","",IF(ISNA(VLOOKUP($AG60,#REF!,29,FALSE)),"",(VLOOKUP(AG60,#REF!,29,FALSE))))),"")</f>
        <v/>
      </c>
      <c r="BF60" s="624" t="str">
        <f>IFERROR(IF(LEN(VLOOKUP($AG60,#REF!,30,FALSE))=0,"",IF(AG60="","",IF(ISNA(VLOOKUP($AG60,#REF!,30,FALSE)),"",(VLOOKUP(AG60,#REF!,30,FALSE))))),"")</f>
        <v/>
      </c>
      <c r="BG60" s="663" t="str">
        <f>IFERROR(IF(LEN(VLOOKUP($AG60,#REF!,31,FALSE))=0,"",IF(AG60="","",IF(ISNA(VLOOKUP($AG60,#REF!,31,FALSE)),"",(VLOOKUP(AG60,#REF!,31,FALSE))))),"")</f>
        <v/>
      </c>
      <c r="BH60" s="647" t="str">
        <f>IF('C-1 On-Site WaterC'' Baseline'!AU60="","", IF('C-1 On-Site WaterC'' Baseline'!AU60="Yes", TRUE, FALSE))</f>
        <v/>
      </c>
      <c r="BI60" s="647">
        <v>51</v>
      </c>
      <c r="BJ60" s="647" t="e">
        <f>IF(#REF!="","", IF(#REF!="Yes", TRUE, FALSE))</f>
        <v>#REF!</v>
      </c>
      <c r="BK60" s="647" t="str">
        <f t="shared" si="8"/>
        <v/>
      </c>
      <c r="BL60" s="647" t="str">
        <f>IF(AG60="","",IF(LEN(VLOOKUP($AG60,'C-1 On-Site WaterC'' Baseline'!$C$1:$AV$257,25,FALSE))=0,"",VLOOKUP(AG60,'C-1 On-Site WaterC'' Baseline'!$C$1:$AV$257,25,FALSE)))</f>
        <v/>
      </c>
      <c r="BM60" s="647" t="str">
        <f>IF(B60="","",IF(LEN(VLOOKUP($B60,#REF!,25,FALSE))=0,"",(VLOOKUP(B60,#REF!,25,FALSE))))</f>
        <v/>
      </c>
    </row>
    <row r="61" spans="2:65" ht="44.5" customHeight="1" x14ac:dyDescent="0.3">
      <c r="B61" s="660" t="str" cm="1">
        <f t="array" ref="B61">IFERROR(INDEX($AD$10:$AD$259, MATCH(0, IF(TRUE=$AE$10:$AE$259, COUNTIF($B$42:B60, $AD$10:$AD$259), ""), 0)),"")</f>
        <v/>
      </c>
      <c r="C61" s="611"/>
      <c r="D61" s="611"/>
      <c r="E61" s="1068" t="str">
        <f>IF(B61="","",IF(ISNA(VLOOKUP($B61,#REF!,45,FALSE)),"",(VLOOKUP(B61,#REF!,45,FALSE))))</f>
        <v/>
      </c>
      <c r="F61" s="1068"/>
      <c r="G61" s="1068"/>
      <c r="H61" s="1096"/>
      <c r="I61" s="1096"/>
      <c r="J61" s="1096"/>
      <c r="K61" s="1055" t="str">
        <f>IF(B61="","",IF(ISNA(VLOOKUP($B61,#REF!,5,FALSE)),"",(VLOOKUP(B61,#REF!,5,FALSE))))</f>
        <v/>
      </c>
      <c r="L61" s="1055"/>
      <c r="M61" s="1055" t="str">
        <f>IF(B61="","",IF(ISNA(VLOOKUP($B61,#REF!,19,FALSE)),"",(VLOOKUP(B61,#REF!,19,FALSE))))</f>
        <v/>
      </c>
      <c r="N61" s="1055"/>
      <c r="O61" s="1055" t="str">
        <f>IF(B61="","",IF(ISNA(VLOOKUP($B61,'A-1 On-Site Habitat Baseline'!$D$1:$AV$258,17,FALSE)),"",(VLOOKUP(B61,'A-1 On-Site Habitat Baseline'!$D$1:$AV$258,17,FALSE))))</f>
        <v/>
      </c>
      <c r="P61" s="1055"/>
      <c r="Q61" s="1055"/>
      <c r="R61" s="1055"/>
      <c r="S61" s="1055" t="str">
        <f t="shared" si="9"/>
        <v/>
      </c>
      <c r="T61" s="1068"/>
      <c r="U61" s="617" t="str">
        <f t="shared" si="6"/>
        <v/>
      </c>
      <c r="V61" s="615"/>
      <c r="W61" s="615"/>
      <c r="X61" s="615"/>
      <c r="Y61" s="615"/>
      <c r="Z61" s="650" t="str">
        <f>IFERROR(IF(LEN(VLOOKUP($B61,#REF!,26,FALSE))=0,"",IF(B61="","",IF(ISNA(VLOOKUP($B61,#REF!,26,FALSE)),"",(VLOOKUP(B61,#REF!,26,FALSE))))),"")</f>
        <v/>
      </c>
      <c r="AA61" s="624" t="str">
        <f>IFERROR(IF(LEN(VLOOKUP($B61,#REF!,27,FALSE))=0,"",IF(B61="","",IF(ISNA(VLOOKUP($B61,#REF!,27,FALSE)),"",(VLOOKUP(B61,#REF!,27,FALSE))))),"")</f>
        <v/>
      </c>
      <c r="AB61" s="648" t="str">
        <f>IFERROR(IF(LEN(VLOOKUP($B61,#REF!,28,FALSE))=0,"",IF(B61="","",IF(ISNA(VLOOKUP($B61,#REF!,28,FALSE)),"",(VLOOKUP(B61,#REF!,28,FALSE))))),"")</f>
        <v/>
      </c>
      <c r="AD61" s="647">
        <v>52</v>
      </c>
      <c r="AE61" s="646" t="e">
        <f>IF(#REF!="","", IF(#REF!="Yes", TRUE, FALSE))</f>
        <v>#REF!</v>
      </c>
      <c r="AG61" s="610" t="str" cm="1">
        <f t="array" ref="AG61">IFERROR(INDEX($BI$10:$BI$259, MATCH(0, IF(TRUE=$BJ$10:$BJ$259, COUNTIF($AG$42:AG60, $BI$10:$BI$259), ""), 0)),"")</f>
        <v/>
      </c>
      <c r="AH61" s="611"/>
      <c r="AI61" s="611"/>
      <c r="AJ61" s="1068" t="e">
        <f>IF(BH61=FALSE,"",IF(ISNA(VLOOKUP(AG61,#REF!,2,FALSE)),"",(VLOOKUP(AG61,#REF!,2,FALSE))))</f>
        <v>#REF!</v>
      </c>
      <c r="AK61" s="1068"/>
      <c r="AL61" s="1068"/>
      <c r="AM61" s="1096"/>
      <c r="AN61" s="1096"/>
      <c r="AO61" s="1096"/>
      <c r="AP61" s="1055" t="str">
        <f>IF(AG61="","",IF(ISNA(VLOOKUP($AG61,#REF!,3,FALSE)),"",(VLOOKUP(AG61,#REF!,3,FALSE))))</f>
        <v/>
      </c>
      <c r="AQ61" s="1055"/>
      <c r="AR61" s="1052" t="str">
        <f>IF(AG61="","",IF(ISNA(VLOOKUP($AG61,#REF!,22,FALSE)),"",(VLOOKUP(AG61,#REF!,22,FALSE))))</f>
        <v/>
      </c>
      <c r="AS61" s="1054"/>
      <c r="AT61" s="1052" t="str">
        <f>IF(AG61="","",IF(ISNA(VLOOKUP($AG61,#REF!,23,FALSE)),"",(VLOOKUP(AG61,#REF!,23,FALSE))))</f>
        <v/>
      </c>
      <c r="AU61" s="1053"/>
      <c r="AV61" s="1053"/>
      <c r="AW61" s="1054"/>
      <c r="AX61" s="1055" t="e">
        <f t="shared" si="7"/>
        <v>#REF!</v>
      </c>
      <c r="AY61" s="1055"/>
      <c r="AZ61" s="1056" t="e">
        <f t="shared" si="5"/>
        <v>#REF!</v>
      </c>
      <c r="BA61" s="1057"/>
      <c r="BB61" s="1057"/>
      <c r="BC61" s="1057"/>
      <c r="BD61" s="1058"/>
      <c r="BE61" s="624" t="str">
        <f>IFERROR(IF(LEN(VLOOKUP($AG61,#REF!,29,FALSE))=0,"",IF(AG61="","",IF(ISNA(VLOOKUP($AG61,#REF!,29,FALSE)),"",(VLOOKUP(AG61,#REF!,29,FALSE))))),"")</f>
        <v/>
      </c>
      <c r="BF61" s="624" t="str">
        <f>IFERROR(IF(LEN(VLOOKUP($AG61,#REF!,30,FALSE))=0,"",IF(AG61="","",IF(ISNA(VLOOKUP($AG61,#REF!,30,FALSE)),"",(VLOOKUP(AG61,#REF!,30,FALSE))))),"")</f>
        <v/>
      </c>
      <c r="BG61" s="663" t="str">
        <f>IFERROR(IF(LEN(VLOOKUP($AG61,#REF!,31,FALSE))=0,"",IF(AG61="","",IF(ISNA(VLOOKUP($AG61,#REF!,31,FALSE)),"",(VLOOKUP(AG61,#REF!,31,FALSE))))),"")</f>
        <v/>
      </c>
      <c r="BH61" s="647" t="str">
        <f>IF('C-1 On-Site WaterC'' Baseline'!AU61="","", IF('C-1 On-Site WaterC'' Baseline'!AU61="Yes", TRUE, FALSE))</f>
        <v/>
      </c>
      <c r="BI61" s="647">
        <v>52</v>
      </c>
      <c r="BJ61" s="647" t="e">
        <f>IF(#REF!="","", IF(#REF!="Yes", TRUE, FALSE))</f>
        <v>#REF!</v>
      </c>
      <c r="BK61" s="647" t="str">
        <f t="shared" si="8"/>
        <v/>
      </c>
      <c r="BL61" s="647" t="str">
        <f>IF(AG61="","",IF(LEN(VLOOKUP($AG61,'C-1 On-Site WaterC'' Baseline'!$C$1:$AV$257,25,FALSE))=0,"",VLOOKUP(AG61,'C-1 On-Site WaterC'' Baseline'!$C$1:$AV$257,25,FALSE)))</f>
        <v/>
      </c>
      <c r="BM61" s="647" t="str">
        <f>IF(B61="","",IF(LEN(VLOOKUP($B61,#REF!,25,FALSE))=0,"",(VLOOKUP(B61,#REF!,25,FALSE))))</f>
        <v/>
      </c>
    </row>
    <row r="62" spans="2:65" ht="44.5" customHeight="1" x14ac:dyDescent="0.3">
      <c r="B62" s="660" t="str" cm="1">
        <f t="array" ref="B62">IFERROR(INDEX($AD$10:$AD$259, MATCH(0, IF(TRUE=$AE$10:$AE$259, COUNTIF($B$42:B61, $AD$10:$AD$259), ""), 0)),"")</f>
        <v/>
      </c>
      <c r="C62" s="611"/>
      <c r="D62" s="611"/>
      <c r="E62" s="1068" t="str">
        <f>IF(B62="","",IF(ISNA(VLOOKUP($B62,#REF!,45,FALSE)),"",(VLOOKUP(B62,#REF!,45,FALSE))))</f>
        <v/>
      </c>
      <c r="F62" s="1068"/>
      <c r="G62" s="1068"/>
      <c r="H62" s="1096"/>
      <c r="I62" s="1096"/>
      <c r="J62" s="1096"/>
      <c r="K62" s="1055" t="str">
        <f>IF(B62="","",IF(ISNA(VLOOKUP($B62,#REF!,5,FALSE)),"",(VLOOKUP(B62,#REF!,5,FALSE))))</f>
        <v/>
      </c>
      <c r="L62" s="1055"/>
      <c r="M62" s="1055" t="str">
        <f>IF(B62="","",IF(ISNA(VLOOKUP($B62,#REF!,19,FALSE)),"",(VLOOKUP(B62,#REF!,19,FALSE))))</f>
        <v/>
      </c>
      <c r="N62" s="1055"/>
      <c r="O62" s="1055" t="str">
        <f>IF(B62="","",IF(ISNA(VLOOKUP($B62,'A-1 On-Site Habitat Baseline'!$D$1:$AV$258,17,FALSE)),"",(VLOOKUP(B62,'A-1 On-Site Habitat Baseline'!$D$1:$AV$258,17,FALSE))))</f>
        <v/>
      </c>
      <c r="P62" s="1055"/>
      <c r="Q62" s="1055"/>
      <c r="R62" s="1055"/>
      <c r="S62" s="1055" t="str">
        <f t="shared" si="9"/>
        <v/>
      </c>
      <c r="T62" s="1068"/>
      <c r="U62" s="617" t="str">
        <f t="shared" si="6"/>
        <v/>
      </c>
      <c r="V62" s="615"/>
      <c r="W62" s="615"/>
      <c r="X62" s="615"/>
      <c r="Y62" s="615"/>
      <c r="Z62" s="650" t="str">
        <f>IFERROR(IF(LEN(VLOOKUP($B62,#REF!,26,FALSE))=0,"",IF(B62="","",IF(ISNA(VLOOKUP($B62,#REF!,26,FALSE)),"",(VLOOKUP(B62,#REF!,26,FALSE))))),"")</f>
        <v/>
      </c>
      <c r="AA62" s="624" t="str">
        <f>IFERROR(IF(LEN(VLOOKUP($B62,#REF!,27,FALSE))=0,"",IF(B62="","",IF(ISNA(VLOOKUP($B62,#REF!,27,FALSE)),"",(VLOOKUP(B62,#REF!,27,FALSE))))),"")</f>
        <v/>
      </c>
      <c r="AB62" s="648" t="str">
        <f>IFERROR(IF(LEN(VLOOKUP($B62,#REF!,28,FALSE))=0,"",IF(B62="","",IF(ISNA(VLOOKUP($B62,#REF!,28,FALSE)),"",(VLOOKUP(B62,#REF!,28,FALSE))))),"")</f>
        <v/>
      </c>
      <c r="AD62" s="647">
        <v>53</v>
      </c>
      <c r="AE62" s="646" t="e">
        <f>IF(#REF!="","", IF(#REF!="Yes", TRUE, FALSE))</f>
        <v>#REF!</v>
      </c>
      <c r="AG62" s="610" t="str" cm="1">
        <f t="array" ref="AG62">IFERROR(INDEX($BI$10:$BI$259, MATCH(0, IF(TRUE=$BJ$10:$BJ$259, COUNTIF($AG$42:AG61, $BI$10:$BI$259), ""), 0)),"")</f>
        <v/>
      </c>
      <c r="AH62" s="611"/>
      <c r="AI62" s="611"/>
      <c r="AJ62" s="1068" t="e">
        <f>IF(BH62=FALSE,"",IF(ISNA(VLOOKUP(AG62,#REF!,2,FALSE)),"",(VLOOKUP(AG62,#REF!,2,FALSE))))</f>
        <v>#REF!</v>
      </c>
      <c r="AK62" s="1068"/>
      <c r="AL62" s="1068"/>
      <c r="AM62" s="1096"/>
      <c r="AN62" s="1096"/>
      <c r="AO62" s="1096"/>
      <c r="AP62" s="1055" t="str">
        <f>IF(AG62="","",IF(ISNA(VLOOKUP($AG62,#REF!,3,FALSE)),"",(VLOOKUP(AG62,#REF!,3,FALSE))))</f>
        <v/>
      </c>
      <c r="AQ62" s="1055"/>
      <c r="AR62" s="1052" t="str">
        <f>IF(AG62="","",IF(ISNA(VLOOKUP($AG62,#REF!,22,FALSE)),"",(VLOOKUP(AG62,#REF!,22,FALSE))))</f>
        <v/>
      </c>
      <c r="AS62" s="1054"/>
      <c r="AT62" s="1052" t="str">
        <f>IF(AG62="","",IF(ISNA(VLOOKUP($AG62,#REF!,23,FALSE)),"",(VLOOKUP(AG62,#REF!,23,FALSE))))</f>
        <v/>
      </c>
      <c r="AU62" s="1053"/>
      <c r="AV62" s="1053"/>
      <c r="AW62" s="1054"/>
      <c r="AX62" s="1055" t="e">
        <f t="shared" si="7"/>
        <v>#REF!</v>
      </c>
      <c r="AY62" s="1055"/>
      <c r="AZ62" s="1056" t="e">
        <f t="shared" si="5"/>
        <v>#REF!</v>
      </c>
      <c r="BA62" s="1057"/>
      <c r="BB62" s="1057"/>
      <c r="BC62" s="1057"/>
      <c r="BD62" s="1058"/>
      <c r="BE62" s="624" t="str">
        <f>IFERROR(IF(LEN(VLOOKUP($AG62,#REF!,29,FALSE))=0,"",IF(AG62="","",IF(ISNA(VLOOKUP($AG62,#REF!,29,FALSE)),"",(VLOOKUP(AG62,#REF!,29,FALSE))))),"")</f>
        <v/>
      </c>
      <c r="BF62" s="624" t="str">
        <f>IFERROR(IF(LEN(VLOOKUP($AG62,#REF!,30,FALSE))=0,"",IF(AG62="","",IF(ISNA(VLOOKUP($AG62,#REF!,30,FALSE)),"",(VLOOKUP(AG62,#REF!,30,FALSE))))),"")</f>
        <v/>
      </c>
      <c r="BG62" s="663" t="str">
        <f>IFERROR(IF(LEN(VLOOKUP($AG62,#REF!,31,FALSE))=0,"",IF(AG62="","",IF(ISNA(VLOOKUP($AG62,#REF!,31,FALSE)),"",(VLOOKUP(AG62,#REF!,31,FALSE))))),"")</f>
        <v/>
      </c>
      <c r="BH62" s="647" t="str">
        <f>IF('C-1 On-Site WaterC'' Baseline'!AU62="","", IF('C-1 On-Site WaterC'' Baseline'!AU62="Yes", TRUE, FALSE))</f>
        <v/>
      </c>
      <c r="BI62" s="647">
        <v>53</v>
      </c>
      <c r="BJ62" s="647" t="e">
        <f>IF(#REF!="","", IF(#REF!="Yes", TRUE, FALSE))</f>
        <v>#REF!</v>
      </c>
      <c r="BK62" s="647" t="str">
        <f t="shared" si="8"/>
        <v/>
      </c>
      <c r="BL62" s="647" t="str">
        <f>IF(AG62="","",IF(LEN(VLOOKUP($AG62,'C-1 On-Site WaterC'' Baseline'!$C$1:$AV$257,25,FALSE))=0,"",VLOOKUP(AG62,'C-1 On-Site WaterC'' Baseline'!$C$1:$AV$257,25,FALSE)))</f>
        <v/>
      </c>
      <c r="BM62" s="647" t="str">
        <f>IF(B62="","",IF(LEN(VLOOKUP($B62,#REF!,25,FALSE))=0,"",(VLOOKUP(B62,#REF!,25,FALSE))))</f>
        <v/>
      </c>
    </row>
    <row r="63" spans="2:65" ht="44.5" customHeight="1" x14ac:dyDescent="0.3">
      <c r="B63" s="660" t="str" cm="1">
        <f t="array" ref="B63">IFERROR(INDEX($AD$10:$AD$259, MATCH(0, IF(TRUE=$AE$10:$AE$259, COUNTIF($B$42:B62, $AD$10:$AD$259), ""), 0)),"")</f>
        <v/>
      </c>
      <c r="C63" s="611"/>
      <c r="D63" s="611"/>
      <c r="E63" s="1068" t="str">
        <f>IF(B63="","",IF(ISNA(VLOOKUP($B63,#REF!,45,FALSE)),"",(VLOOKUP(B63,#REF!,45,FALSE))))</f>
        <v/>
      </c>
      <c r="F63" s="1068"/>
      <c r="G63" s="1068"/>
      <c r="H63" s="1096"/>
      <c r="I63" s="1096"/>
      <c r="J63" s="1096"/>
      <c r="K63" s="1055" t="str">
        <f>IF(B63="","",IF(ISNA(VLOOKUP($B63,#REF!,5,FALSE)),"",(VLOOKUP(B63,#REF!,5,FALSE))))</f>
        <v/>
      </c>
      <c r="L63" s="1055"/>
      <c r="M63" s="1055" t="str">
        <f>IF(B63="","",IF(ISNA(VLOOKUP($B63,#REF!,19,FALSE)),"",(VLOOKUP(B63,#REF!,19,FALSE))))</f>
        <v/>
      </c>
      <c r="N63" s="1055"/>
      <c r="O63" s="1055" t="str">
        <f>IF(B63="","",IF(ISNA(VLOOKUP($B63,'A-1 On-Site Habitat Baseline'!$D$1:$AV$258,17,FALSE)),"",(VLOOKUP(B63,'A-1 On-Site Habitat Baseline'!$D$1:$AV$258,17,FALSE))))</f>
        <v/>
      </c>
      <c r="P63" s="1055"/>
      <c r="Q63" s="1055"/>
      <c r="R63" s="1055"/>
      <c r="S63" s="1055" t="str">
        <f t="shared" si="9"/>
        <v/>
      </c>
      <c r="T63" s="1068"/>
      <c r="U63" s="617" t="str">
        <f t="shared" si="6"/>
        <v/>
      </c>
      <c r="V63" s="615"/>
      <c r="W63" s="615"/>
      <c r="X63" s="615"/>
      <c r="Y63" s="615"/>
      <c r="Z63" s="650" t="str">
        <f>IFERROR(IF(LEN(VLOOKUP($B63,#REF!,26,FALSE))=0,"",IF(B63="","",IF(ISNA(VLOOKUP($B63,#REF!,26,FALSE)),"",(VLOOKUP(B63,#REF!,26,FALSE))))),"")</f>
        <v/>
      </c>
      <c r="AA63" s="624" t="str">
        <f>IFERROR(IF(LEN(VLOOKUP($B63,#REF!,27,FALSE))=0,"",IF(B63="","",IF(ISNA(VLOOKUP($B63,#REF!,27,FALSE)),"",(VLOOKUP(B63,#REF!,27,FALSE))))),"")</f>
        <v/>
      </c>
      <c r="AB63" s="648" t="str">
        <f>IFERROR(IF(LEN(VLOOKUP($B63,#REF!,28,FALSE))=0,"",IF(B63="","",IF(ISNA(VLOOKUP($B63,#REF!,28,FALSE)),"",(VLOOKUP(B63,#REF!,28,FALSE))))),"")</f>
        <v/>
      </c>
      <c r="AD63" s="647">
        <v>54</v>
      </c>
      <c r="AE63" s="646" t="e">
        <f>IF(#REF!="","", IF(#REF!="Yes", TRUE, FALSE))</f>
        <v>#REF!</v>
      </c>
      <c r="AG63" s="610" t="str" cm="1">
        <f t="array" ref="AG63">IFERROR(INDEX($BI$10:$BI$259, MATCH(0, IF(TRUE=$BJ$10:$BJ$259, COUNTIF($AG$42:AG62, $BI$10:$BI$259), ""), 0)),"")</f>
        <v/>
      </c>
      <c r="AH63" s="611"/>
      <c r="AI63" s="611"/>
      <c r="AJ63" s="1068" t="e">
        <f>IF(BH63=FALSE,"",IF(ISNA(VLOOKUP(AG63,#REF!,2,FALSE)),"",(VLOOKUP(AG63,#REF!,2,FALSE))))</f>
        <v>#REF!</v>
      </c>
      <c r="AK63" s="1068"/>
      <c r="AL63" s="1068"/>
      <c r="AM63" s="1096"/>
      <c r="AN63" s="1096"/>
      <c r="AO63" s="1096"/>
      <c r="AP63" s="1055" t="str">
        <f>IF(AG63="","",IF(ISNA(VLOOKUP($AG63,#REF!,3,FALSE)),"",(VLOOKUP(AG63,#REF!,3,FALSE))))</f>
        <v/>
      </c>
      <c r="AQ63" s="1055"/>
      <c r="AR63" s="1052" t="str">
        <f>IF(AG63="","",IF(ISNA(VLOOKUP($AG63,#REF!,22,FALSE)),"",(VLOOKUP(AG63,#REF!,22,FALSE))))</f>
        <v/>
      </c>
      <c r="AS63" s="1054"/>
      <c r="AT63" s="1052" t="str">
        <f>IF(AG63="","",IF(ISNA(VLOOKUP($AG63,#REF!,23,FALSE)),"",(VLOOKUP(AG63,#REF!,23,FALSE))))</f>
        <v/>
      </c>
      <c r="AU63" s="1053"/>
      <c r="AV63" s="1053"/>
      <c r="AW63" s="1054"/>
      <c r="AX63" s="1055" t="e">
        <f t="shared" si="7"/>
        <v>#REF!</v>
      </c>
      <c r="AY63" s="1055"/>
      <c r="AZ63" s="1056" t="e">
        <f t="shared" si="5"/>
        <v>#REF!</v>
      </c>
      <c r="BA63" s="1057"/>
      <c r="BB63" s="1057"/>
      <c r="BC63" s="1057"/>
      <c r="BD63" s="1058"/>
      <c r="BE63" s="624" t="str">
        <f>IFERROR(IF(LEN(VLOOKUP($AG63,#REF!,29,FALSE))=0,"",IF(AG63="","",IF(ISNA(VLOOKUP($AG63,#REF!,29,FALSE)),"",(VLOOKUP(AG63,#REF!,29,FALSE))))),"")</f>
        <v/>
      </c>
      <c r="BF63" s="624" t="str">
        <f>IFERROR(IF(LEN(VLOOKUP($AG63,#REF!,30,FALSE))=0,"",IF(AG63="","",IF(ISNA(VLOOKUP($AG63,#REF!,30,FALSE)),"",(VLOOKUP(AG63,#REF!,30,FALSE))))),"")</f>
        <v/>
      </c>
      <c r="BG63" s="663" t="str">
        <f>IFERROR(IF(LEN(VLOOKUP($AG63,#REF!,31,FALSE))=0,"",IF(AG63="","",IF(ISNA(VLOOKUP($AG63,#REF!,31,FALSE)),"",(VLOOKUP(AG63,#REF!,31,FALSE))))),"")</f>
        <v/>
      </c>
      <c r="BH63" s="647" t="str">
        <f>IF('C-1 On-Site WaterC'' Baseline'!AU63="","", IF('C-1 On-Site WaterC'' Baseline'!AU63="Yes", TRUE, FALSE))</f>
        <v/>
      </c>
      <c r="BI63" s="647">
        <v>54</v>
      </c>
      <c r="BJ63" s="647" t="e">
        <f>IF(#REF!="","", IF(#REF!="Yes", TRUE, FALSE))</f>
        <v>#REF!</v>
      </c>
      <c r="BK63" s="647" t="str">
        <f t="shared" si="8"/>
        <v/>
      </c>
      <c r="BL63" s="647" t="str">
        <f>IF(AG63="","",IF(LEN(VLOOKUP($AG63,'C-1 On-Site WaterC'' Baseline'!$C$1:$AV$257,25,FALSE))=0,"",VLOOKUP(AG63,'C-1 On-Site WaterC'' Baseline'!$C$1:$AV$257,25,FALSE)))</f>
        <v/>
      </c>
      <c r="BM63" s="647" t="str">
        <f>IF(B63="","",IF(LEN(VLOOKUP($B63,#REF!,25,FALSE))=0,"",(VLOOKUP(B63,#REF!,25,FALSE))))</f>
        <v/>
      </c>
    </row>
    <row r="64" spans="2:65" ht="44.5" customHeight="1" thickBot="1" x14ac:dyDescent="0.35">
      <c r="B64" s="661" t="str" cm="1">
        <f t="array" ref="B64">IFERROR(INDEX($AD$10:$AD$259, MATCH(0, IF(TRUE=$AE$10:$AE$259, COUNTIF($B$42:B63, $AD$10:$AD$259), ""), 0)),"")</f>
        <v/>
      </c>
      <c r="C64" s="613"/>
      <c r="D64" s="613"/>
      <c r="E64" s="1095" t="str">
        <f>IF(B64="","",IF(ISNA(VLOOKUP($B64,#REF!,45,FALSE)),"",(VLOOKUP(B64,#REF!,45,FALSE))))</f>
        <v/>
      </c>
      <c r="F64" s="1095"/>
      <c r="G64" s="1095"/>
      <c r="H64" s="1097"/>
      <c r="I64" s="1097"/>
      <c r="J64" s="1097"/>
      <c r="K64" s="1059" t="str">
        <f>IF(B64="","",IF(ISNA(VLOOKUP($B64,#REF!,5,FALSE)),"",(VLOOKUP(B64,#REF!,5,FALSE))))</f>
        <v/>
      </c>
      <c r="L64" s="1059"/>
      <c r="M64" s="1059" t="str">
        <f>IF(B64="","",IF(ISNA(VLOOKUP($B64,#REF!,19,FALSE)),"",(VLOOKUP(B64,#REF!,19,FALSE))))</f>
        <v/>
      </c>
      <c r="N64" s="1059"/>
      <c r="O64" s="1059" t="str">
        <f>IF(B64="","",IF(ISNA(VLOOKUP($B64,'A-1 On-Site Habitat Baseline'!$D$1:$AV$258,17,FALSE)),"",(VLOOKUP(B64,'A-1 On-Site Habitat Baseline'!$D$1:$AV$258,17,FALSE))))</f>
        <v/>
      </c>
      <c r="P64" s="1059"/>
      <c r="Q64" s="1059"/>
      <c r="R64" s="1059"/>
      <c r="S64" s="1059" t="str">
        <f t="shared" si="9"/>
        <v/>
      </c>
      <c r="T64" s="1095"/>
      <c r="U64" s="619" t="str">
        <f t="shared" si="6"/>
        <v/>
      </c>
      <c r="V64" s="616"/>
      <c r="W64" s="616"/>
      <c r="X64" s="616"/>
      <c r="Y64" s="616"/>
      <c r="Z64" s="651" t="str">
        <f>IFERROR(IF(LEN(VLOOKUP($B64,#REF!,26,FALSE))=0,"",IF(B64="","",IF(ISNA(VLOOKUP($B64,#REF!,26,FALSE)),"",(VLOOKUP(B64,#REF!,26,FALSE))))),"")</f>
        <v/>
      </c>
      <c r="AA64" s="623" t="str">
        <f>IFERROR(IF(LEN(VLOOKUP($B64,#REF!,27,FALSE))=0,"",IF(B64="","",IF(ISNA(VLOOKUP($B64,#REF!,27,FALSE)),"",(VLOOKUP(B64,#REF!,27,FALSE))))),"")</f>
        <v/>
      </c>
      <c r="AB64" s="652" t="str">
        <f>IFERROR(IF(LEN(VLOOKUP($B64,#REF!,28,FALSE))=0,"",IF(B64="","",IF(ISNA(VLOOKUP($B64,#REF!,28,FALSE)),"",(VLOOKUP(B64,#REF!,28,FALSE))))),"")</f>
        <v/>
      </c>
      <c r="AD64" s="647">
        <v>55</v>
      </c>
      <c r="AE64" s="646" t="e">
        <f>IF(#REF!="","", IF(#REF!="Yes", TRUE, FALSE))</f>
        <v>#REF!</v>
      </c>
      <c r="AG64" s="612" t="str" cm="1">
        <f t="array" ref="AG64">IFERROR(INDEX($BI$10:$BI$259, MATCH(0, IF(TRUE=$BJ$10:$BJ$259, COUNTIF($AG$42:AG63, $BI$10:$BI$259), ""), 0)),"")</f>
        <v/>
      </c>
      <c r="AH64" s="613"/>
      <c r="AI64" s="613"/>
      <c r="AJ64" s="1095" t="e">
        <f>IF(BH64=FALSE,"",IF(ISNA(VLOOKUP(AG64,#REF!,2,FALSE)),"",(VLOOKUP(AG64,#REF!,2,FALSE))))</f>
        <v>#REF!</v>
      </c>
      <c r="AK64" s="1095"/>
      <c r="AL64" s="1095"/>
      <c r="AM64" s="1097"/>
      <c r="AN64" s="1097"/>
      <c r="AO64" s="1097"/>
      <c r="AP64" s="1059" t="str">
        <f>IF(AG64="","",IF(ISNA(VLOOKUP($AG64,#REF!,3,FALSE)),"",(VLOOKUP(AG64,#REF!,3,FALSE))))</f>
        <v/>
      </c>
      <c r="AQ64" s="1059"/>
      <c r="AR64" s="1060" t="str">
        <f>IF(AG64="","",IF(ISNA(VLOOKUP($AG64,#REF!,22,FALSE)),"",(VLOOKUP(AG64,#REF!,22,FALSE))))</f>
        <v/>
      </c>
      <c r="AS64" s="1061"/>
      <c r="AT64" s="1060" t="str">
        <f>IF(AG64="","",IF(ISNA(VLOOKUP($AG64,#REF!,23,FALSE)),"",(VLOOKUP(AG64,#REF!,23,FALSE))))</f>
        <v/>
      </c>
      <c r="AU64" s="1062"/>
      <c r="AV64" s="1062"/>
      <c r="AW64" s="1061"/>
      <c r="AX64" s="1059" t="e">
        <f t="shared" si="7"/>
        <v>#REF!</v>
      </c>
      <c r="AY64" s="1059"/>
      <c r="AZ64" s="1063" t="e">
        <f t="shared" si="5"/>
        <v>#REF!</v>
      </c>
      <c r="BA64" s="1064"/>
      <c r="BB64" s="1064"/>
      <c r="BC64" s="1064"/>
      <c r="BD64" s="1065"/>
      <c r="BE64" s="623" t="str">
        <f>IFERROR(IF(LEN(VLOOKUP($AG64,#REF!,29,FALSE))=0,"",IF(AG64="","",IF(ISNA(VLOOKUP($AG64,#REF!,29,FALSE)),"",(VLOOKUP(AG64,#REF!,29,FALSE))))),"")</f>
        <v/>
      </c>
      <c r="BF64" s="623" t="str">
        <f>IFERROR(IF(LEN(VLOOKUP($AG64,#REF!,30,FALSE))=0,"",IF(AG64="","",IF(ISNA(VLOOKUP($AG64,#REF!,30,FALSE)),"",(VLOOKUP(AG64,#REF!,30,FALSE))))),"")</f>
        <v/>
      </c>
      <c r="BG64" s="664" t="str">
        <f>IFERROR(IF(LEN(VLOOKUP($AG64,#REF!,31,FALSE))=0,"",IF(AG64="","",IF(ISNA(VLOOKUP($AG64,#REF!,31,FALSE)),"",(VLOOKUP(AG64,#REF!,31,FALSE))))),"")</f>
        <v/>
      </c>
      <c r="BH64" s="647" t="str">
        <f>IF('C-1 On-Site WaterC'' Baseline'!AU64="","", IF('C-1 On-Site WaterC'' Baseline'!AU64="Yes", TRUE, FALSE))</f>
        <v/>
      </c>
      <c r="BI64" s="647">
        <v>55</v>
      </c>
      <c r="BJ64" s="647" t="e">
        <f>IF(#REF!="","", IF(#REF!="Yes", TRUE, FALSE))</f>
        <v>#REF!</v>
      </c>
      <c r="BK64" s="647" t="str">
        <f t="shared" si="8"/>
        <v/>
      </c>
      <c r="BL64" s="647" t="str">
        <f>IF(AG64="","",IF(LEN(VLOOKUP($AG64,'C-1 On-Site WaterC'' Baseline'!$C$1:$AV$257,25,FALSE))=0,"",VLOOKUP(AG64,'C-1 On-Site WaterC'' Baseline'!$C$1:$AV$257,25,FALSE)))</f>
        <v/>
      </c>
      <c r="BM64" s="647" t="str">
        <f>IF(B64="","",IF(LEN(VLOOKUP($B64,#REF!,25,FALSE))=0,"",(VLOOKUP(B64,#REF!,25,FALSE))))</f>
        <v/>
      </c>
    </row>
    <row r="65" spans="2:62" ht="30" customHeight="1" thickBot="1" x14ac:dyDescent="0.35">
      <c r="B65" s="1034"/>
      <c r="C65" s="1035"/>
      <c r="D65" s="1036"/>
      <c r="E65" s="1029" t="s">
        <v>1609</v>
      </c>
      <c r="F65" s="1030"/>
      <c r="G65" s="1030"/>
      <c r="H65" s="1030"/>
      <c r="I65" s="1030"/>
      <c r="J65" s="1031"/>
      <c r="K65" s="1091">
        <f>SUM(K43:L64)</f>
        <v>0</v>
      </c>
      <c r="L65" s="1091"/>
      <c r="M65" s="1040"/>
      <c r="N65" s="1041"/>
      <c r="O65" s="1041"/>
      <c r="P65" s="1041"/>
      <c r="Q65" s="1041"/>
      <c r="R65" s="1041"/>
      <c r="S65" s="1041"/>
      <c r="T65" s="1041"/>
      <c r="U65" s="1041"/>
      <c r="V65" s="1041"/>
      <c r="W65" s="1041"/>
      <c r="X65" s="1041"/>
      <c r="Y65" s="1041"/>
      <c r="Z65" s="1041"/>
      <c r="AA65" s="1041"/>
      <c r="AB65" s="1042"/>
      <c r="AD65" s="647">
        <v>56</v>
      </c>
      <c r="AE65" s="646" t="e">
        <f>IF(#REF!="","", IF(#REF!="Yes", TRUE, FALSE))</f>
        <v>#REF!</v>
      </c>
      <c r="AG65" s="666"/>
      <c r="AH65" s="662"/>
      <c r="AI65" s="662"/>
      <c r="AJ65" s="1051" t="s">
        <v>1514</v>
      </c>
      <c r="AK65" s="1049"/>
      <c r="AL65" s="1049"/>
      <c r="AM65" s="1049"/>
      <c r="AN65" s="1049"/>
      <c r="AO65" s="1050"/>
      <c r="AP65" s="1069">
        <f>SUM(AP43:AQ64)</f>
        <v>0</v>
      </c>
      <c r="AQ65" s="1070"/>
      <c r="AR65" s="1046"/>
      <c r="AS65" s="1047"/>
      <c r="AT65" s="1047"/>
      <c r="AU65" s="1047"/>
      <c r="AV65" s="1047"/>
      <c r="AW65" s="1047"/>
      <c r="AX65" s="1047"/>
      <c r="AY65" s="1047"/>
      <c r="AZ65" s="1047"/>
      <c r="BA65" s="1047"/>
      <c r="BB65" s="1047"/>
      <c r="BC65" s="1047"/>
      <c r="BD65" s="1047"/>
      <c r="BE65" s="1047"/>
      <c r="BF65" s="1047"/>
      <c r="BG65" s="1048"/>
      <c r="BH65" s="647" t="str">
        <f>IF('C-1 On-Site WaterC'' Baseline'!AU65="","", IF('C-1 On-Site WaterC'' Baseline'!AU65="Yes", TRUE, FALSE))</f>
        <v/>
      </c>
      <c r="BI65" s="647">
        <v>56</v>
      </c>
      <c r="BJ65" s="647" t="e">
        <f>IF(#REF!="","", IF(#REF!="Yes", TRUE, FALSE))</f>
        <v>#REF!</v>
      </c>
    </row>
    <row r="66" spans="2:62" ht="37.5" customHeight="1" thickBot="1" x14ac:dyDescent="0.4">
      <c r="B66" s="1037"/>
      <c r="C66" s="1038"/>
      <c r="D66" s="1039"/>
      <c r="E66" s="1029" t="s">
        <v>1610</v>
      </c>
      <c r="F66" s="1030"/>
      <c r="G66" s="1030"/>
      <c r="H66" s="1030"/>
      <c r="I66" s="1030"/>
      <c r="J66" s="1031"/>
      <c r="K66" s="1032">
        <f>SUMIFS($K$43:$K$64,$E$43:$E$64,"&lt;&gt;"&amp;'G-1 All Habitats'!B114,$E$43:$E$64,"&lt;&gt;"&amp;'G-1 All Habitats'!B115,$E$43:$E$64,"&lt;&gt;"&amp;'G-1 All Habitats'!B100,$E$43:$E$64,"&lt;&gt;"&amp;'G-1 All Habitats'!B101, E43:E64,"&lt;&gt;"&amp;'G-1 All Habitats'!B134)</f>
        <v>0</v>
      </c>
      <c r="L66" s="1033"/>
      <c r="M66" s="1043"/>
      <c r="N66" s="1044"/>
      <c r="O66" s="1044"/>
      <c r="P66" s="1044"/>
      <c r="Q66" s="1044"/>
      <c r="R66" s="1044"/>
      <c r="S66" s="1044"/>
      <c r="T66" s="1044"/>
      <c r="U66" s="1044"/>
      <c r="V66" s="1044"/>
      <c r="W66" s="1044"/>
      <c r="X66" s="1044"/>
      <c r="Y66" s="1044"/>
      <c r="Z66" s="1044"/>
      <c r="AA66" s="1044"/>
      <c r="AB66" s="1045"/>
      <c r="AD66" s="647">
        <v>57</v>
      </c>
      <c r="AE66" s="646" t="e">
        <f>IF(#REF!="","", IF(#REF!="Yes", TRUE, FALSE))</f>
        <v>#REF!</v>
      </c>
      <c r="AJ66" s="628"/>
      <c r="BH66" s="647" t="str">
        <f>IF('C-1 On-Site WaterC'' Baseline'!AU66="","", IF('C-1 On-Site WaterC'' Baseline'!AU66="Yes", TRUE, FALSE))</f>
        <v/>
      </c>
      <c r="BI66" s="647">
        <v>57</v>
      </c>
      <c r="BJ66" s="647" t="e">
        <f>IF(#REF!="","", IF(#REF!="Yes", TRUE, FALSE))</f>
        <v>#REF!</v>
      </c>
    </row>
    <row r="67" spans="2:62" ht="15.65" customHeight="1" x14ac:dyDescent="0.35">
      <c r="AD67" s="647">
        <v>58</v>
      </c>
      <c r="AE67" s="646" t="e">
        <f>IF(#REF!="","", IF(#REF!="Yes", TRUE, FALSE))</f>
        <v>#REF!</v>
      </c>
      <c r="AJ67" s="628"/>
      <c r="BH67" s="647" t="str">
        <f>IF('C-1 On-Site WaterC'' Baseline'!AU67="","", IF('C-1 On-Site WaterC'' Baseline'!AU67="Yes", TRUE, FALSE))</f>
        <v/>
      </c>
      <c r="BI67" s="647">
        <v>58</v>
      </c>
      <c r="BJ67" s="647" t="e">
        <f>IF(#REF!="","", IF(#REF!="Yes", TRUE, FALSE))</f>
        <v>#REF!</v>
      </c>
    </row>
    <row r="68" spans="2:62" ht="15.65" customHeight="1" x14ac:dyDescent="0.35">
      <c r="AD68" s="647">
        <v>59</v>
      </c>
      <c r="AE68" s="646" t="e">
        <f>IF(#REF!="","", IF(#REF!="Yes", TRUE, FALSE))</f>
        <v>#REF!</v>
      </c>
      <c r="AJ68" s="628"/>
      <c r="BH68" s="647" t="str">
        <f>IF('C-1 On-Site WaterC'' Baseline'!AU68="","", IF('C-1 On-Site WaterC'' Baseline'!AU68="Yes", TRUE, FALSE))</f>
        <v/>
      </c>
      <c r="BI68" s="647">
        <v>59</v>
      </c>
      <c r="BJ68" s="647" t="e">
        <f>IF(#REF!="","", IF(#REF!="Yes", TRUE, FALSE))</f>
        <v>#REF!</v>
      </c>
    </row>
    <row r="69" spans="2:62" ht="15.65" customHeight="1" x14ac:dyDescent="0.35">
      <c r="AD69" s="647">
        <v>60</v>
      </c>
      <c r="AE69" s="646" t="e">
        <f>IF(#REF!="","", IF(#REF!="Yes", TRUE, FALSE))</f>
        <v>#REF!</v>
      </c>
      <c r="AJ69" s="628"/>
      <c r="BH69" s="647" t="str">
        <f>IF('C-1 On-Site WaterC'' Baseline'!AU69="","", IF('C-1 On-Site WaterC'' Baseline'!AU69="Yes", TRUE, FALSE))</f>
        <v/>
      </c>
      <c r="BI69" s="647">
        <v>60</v>
      </c>
      <c r="BJ69" s="647" t="e">
        <f>IF(#REF!="","", IF(#REF!="Yes", TRUE, FALSE))</f>
        <v>#REF!</v>
      </c>
    </row>
    <row r="70" spans="2:62" ht="15.65" customHeight="1" x14ac:dyDescent="0.35">
      <c r="AD70" s="647">
        <v>61</v>
      </c>
      <c r="AE70" s="646" t="e">
        <f>IF(#REF!="","", IF(#REF!="Yes", TRUE, FALSE))</f>
        <v>#REF!</v>
      </c>
      <c r="AJ70" s="628"/>
      <c r="BH70" s="647" t="str">
        <f>IF('C-1 On-Site WaterC'' Baseline'!AU70="","", IF('C-1 On-Site WaterC'' Baseline'!AU70="Yes", TRUE, FALSE))</f>
        <v/>
      </c>
      <c r="BI70" s="647">
        <v>61</v>
      </c>
      <c r="BJ70" s="647" t="e">
        <f>IF(#REF!="","", IF(#REF!="Yes", TRUE, FALSE))</f>
        <v>#REF!</v>
      </c>
    </row>
    <row r="71" spans="2:62" ht="15.65" customHeight="1" x14ac:dyDescent="0.35">
      <c r="AD71" s="647">
        <v>62</v>
      </c>
      <c r="AE71" s="646" t="e">
        <f>IF(#REF!="","", IF(#REF!="Yes", TRUE, FALSE))</f>
        <v>#REF!</v>
      </c>
      <c r="AJ71" s="628"/>
      <c r="BH71" s="647" t="str">
        <f>IF('C-1 On-Site WaterC'' Baseline'!AU71="","", IF('C-1 On-Site WaterC'' Baseline'!AU71="Yes", TRUE, FALSE))</f>
        <v/>
      </c>
      <c r="BI71" s="647">
        <v>62</v>
      </c>
      <c r="BJ71" s="647" t="e">
        <f>IF(#REF!="","", IF(#REF!="Yes", TRUE, FALSE))</f>
        <v>#REF!</v>
      </c>
    </row>
    <row r="72" spans="2:62" ht="15.65" customHeight="1" x14ac:dyDescent="0.35">
      <c r="AD72" s="647">
        <v>63</v>
      </c>
      <c r="AE72" s="646" t="e">
        <f>IF(#REF!="","", IF(#REF!="Yes", TRUE, FALSE))</f>
        <v>#REF!</v>
      </c>
      <c r="AJ72" s="628"/>
      <c r="BH72" s="647" t="str">
        <f>IF('C-1 On-Site WaterC'' Baseline'!AU72="","", IF('C-1 On-Site WaterC'' Baseline'!AU72="Yes", TRUE, FALSE))</f>
        <v/>
      </c>
      <c r="BI72" s="647">
        <v>63</v>
      </c>
      <c r="BJ72" s="647" t="e">
        <f>IF(#REF!="","", IF(#REF!="Yes", TRUE, FALSE))</f>
        <v>#REF!</v>
      </c>
    </row>
    <row r="73" spans="2:62" ht="15.65" customHeight="1" x14ac:dyDescent="0.35">
      <c r="AD73" s="647">
        <v>64</v>
      </c>
      <c r="AE73" s="646" t="e">
        <f>IF(#REF!="","", IF(#REF!="Yes", TRUE, FALSE))</f>
        <v>#REF!</v>
      </c>
      <c r="AJ73" s="628"/>
      <c r="BH73" s="647" t="str">
        <f>IF('C-1 On-Site WaterC'' Baseline'!AU73="","", IF('C-1 On-Site WaterC'' Baseline'!AU73="Yes", TRUE, FALSE))</f>
        <v/>
      </c>
      <c r="BI73" s="647">
        <v>64</v>
      </c>
      <c r="BJ73" s="647" t="e">
        <f>IF(#REF!="","", IF(#REF!="Yes", TRUE, FALSE))</f>
        <v>#REF!</v>
      </c>
    </row>
    <row r="74" spans="2:62" ht="15.65" customHeight="1" x14ac:dyDescent="0.35">
      <c r="AD74" s="647">
        <v>65</v>
      </c>
      <c r="AE74" s="646" t="e">
        <f>IF(#REF!="","", IF(#REF!="Yes", TRUE, FALSE))</f>
        <v>#REF!</v>
      </c>
      <c r="AJ74" s="628"/>
      <c r="BH74" s="647" t="str">
        <f>IF('C-1 On-Site WaterC'' Baseline'!AU74="","", IF('C-1 On-Site WaterC'' Baseline'!AU74="Yes", TRUE, FALSE))</f>
        <v/>
      </c>
      <c r="BI74" s="647">
        <v>65</v>
      </c>
      <c r="BJ74" s="647" t="e">
        <f>IF(#REF!="","", IF(#REF!="Yes", TRUE, FALSE))</f>
        <v>#REF!</v>
      </c>
    </row>
    <row r="75" spans="2:62" ht="15.65" customHeight="1" x14ac:dyDescent="0.35">
      <c r="T75" s="626">
        <v>1</v>
      </c>
      <c r="AD75" s="647">
        <v>66</v>
      </c>
      <c r="AE75" s="646" t="e">
        <f>IF(#REF!="","", IF(#REF!="Yes", TRUE, FALSE))</f>
        <v>#REF!</v>
      </c>
      <c r="AJ75" s="628"/>
      <c r="BH75" s="647" t="str">
        <f>IF('C-1 On-Site WaterC'' Baseline'!AU75="","", IF('C-1 On-Site WaterC'' Baseline'!AU75="Yes", TRUE, FALSE))</f>
        <v/>
      </c>
      <c r="BI75" s="647">
        <v>66</v>
      </c>
      <c r="BJ75" s="647" t="e">
        <f>IF(#REF!="","", IF(#REF!="Yes", TRUE, FALSE))</f>
        <v>#REF!</v>
      </c>
    </row>
    <row r="76" spans="2:62" ht="15.65" customHeight="1" x14ac:dyDescent="0.35">
      <c r="T76" s="626">
        <v>1</v>
      </c>
      <c r="AD76" s="647">
        <v>67</v>
      </c>
      <c r="AE76" s="646" t="e">
        <f>IF(#REF!="","", IF(#REF!="Yes", TRUE, FALSE))</f>
        <v>#REF!</v>
      </c>
      <c r="AJ76" s="628"/>
      <c r="BH76" s="647" t="str">
        <f>IF('C-1 On-Site WaterC'' Baseline'!AU76="","", IF('C-1 On-Site WaterC'' Baseline'!AU76="Yes", TRUE, FALSE))</f>
        <v/>
      </c>
      <c r="BI76" s="647">
        <v>67</v>
      </c>
      <c r="BJ76" s="647" t="e">
        <f>IF(#REF!="","", IF(#REF!="Yes", TRUE, FALSE))</f>
        <v>#REF!</v>
      </c>
    </row>
    <row r="77" spans="2:62" ht="15.65" customHeight="1" x14ac:dyDescent="0.35">
      <c r="AD77" s="647">
        <v>68</v>
      </c>
      <c r="AE77" s="646" t="e">
        <f>IF(#REF!="","", IF(#REF!="Yes", TRUE, FALSE))</f>
        <v>#REF!</v>
      </c>
      <c r="AJ77" s="628"/>
      <c r="BH77" s="647" t="str">
        <f>IF('C-1 On-Site WaterC'' Baseline'!AU77="","", IF('C-1 On-Site WaterC'' Baseline'!AU77="Yes", TRUE, FALSE))</f>
        <v/>
      </c>
      <c r="BI77" s="647">
        <v>68</v>
      </c>
      <c r="BJ77" s="647" t="e">
        <f>IF(#REF!="","", IF(#REF!="Yes", TRUE, FALSE))</f>
        <v>#REF!</v>
      </c>
    </row>
    <row r="78" spans="2:62" ht="15.65" customHeight="1" x14ac:dyDescent="0.35">
      <c r="AD78" s="647">
        <v>69</v>
      </c>
      <c r="AE78" s="646" t="e">
        <f>IF(#REF!="","", IF(#REF!="Yes", TRUE, FALSE))</f>
        <v>#REF!</v>
      </c>
      <c r="AJ78" s="628"/>
      <c r="BH78" s="647" t="str">
        <f>IF('C-1 On-Site WaterC'' Baseline'!AU78="","", IF('C-1 On-Site WaterC'' Baseline'!AU78="Yes", TRUE, FALSE))</f>
        <v/>
      </c>
      <c r="BI78" s="647">
        <v>69</v>
      </c>
      <c r="BJ78" s="647" t="e">
        <f>IF(#REF!="","", IF(#REF!="Yes", TRUE, FALSE))</f>
        <v>#REF!</v>
      </c>
    </row>
    <row r="79" spans="2:62" ht="15.65" customHeight="1" x14ac:dyDescent="0.35">
      <c r="AD79" s="647">
        <v>70</v>
      </c>
      <c r="AE79" s="646" t="e">
        <f>IF(#REF!="","", IF(#REF!="Yes", TRUE, FALSE))</f>
        <v>#REF!</v>
      </c>
      <c r="AJ79" s="628"/>
      <c r="BH79" s="647" t="str">
        <f>IF('C-1 On-Site WaterC'' Baseline'!AU79="","", IF('C-1 On-Site WaterC'' Baseline'!AU79="Yes", TRUE, FALSE))</f>
        <v/>
      </c>
      <c r="BI79" s="647">
        <v>70</v>
      </c>
      <c r="BJ79" s="647" t="e">
        <f>IF(#REF!="","", IF(#REF!="Yes", TRUE, FALSE))</f>
        <v>#REF!</v>
      </c>
    </row>
    <row r="80" spans="2:62" ht="15.65" customHeight="1" x14ac:dyDescent="0.35">
      <c r="AD80" s="647">
        <v>71</v>
      </c>
      <c r="AE80" s="646" t="e">
        <f>IF(#REF!="","", IF(#REF!="Yes", TRUE, FALSE))</f>
        <v>#REF!</v>
      </c>
      <c r="AJ80" s="628"/>
      <c r="BH80" s="647" t="str">
        <f>IF('C-1 On-Site WaterC'' Baseline'!AU80="","", IF('C-1 On-Site WaterC'' Baseline'!AU80="Yes", TRUE, FALSE))</f>
        <v/>
      </c>
      <c r="BI80" s="647">
        <v>71</v>
      </c>
      <c r="BJ80" s="647" t="e">
        <f>IF(#REF!="","", IF(#REF!="Yes", TRUE, FALSE))</f>
        <v>#REF!</v>
      </c>
    </row>
    <row r="81" spans="30:62" ht="14.5" customHeight="1" x14ac:dyDescent="0.35">
      <c r="AD81" s="647">
        <v>72</v>
      </c>
      <c r="AE81" s="646" t="e">
        <f>IF(#REF!="","", IF(#REF!="Yes", TRUE, FALSE))</f>
        <v>#REF!</v>
      </c>
      <c r="AJ81" s="628"/>
      <c r="BH81" s="647" t="str">
        <f>IF('C-1 On-Site WaterC'' Baseline'!AU81="","", IF('C-1 On-Site WaterC'' Baseline'!AU81="Yes", TRUE, FALSE))</f>
        <v/>
      </c>
      <c r="BI81" s="647">
        <v>72</v>
      </c>
      <c r="BJ81" s="647" t="e">
        <f>IF(#REF!="","", IF(#REF!="Yes", TRUE, FALSE))</f>
        <v>#REF!</v>
      </c>
    </row>
    <row r="82" spans="30:62" x14ac:dyDescent="0.35">
      <c r="AD82" s="647">
        <v>73</v>
      </c>
      <c r="AE82" s="646" t="e">
        <f>IF(#REF!="","", IF(#REF!="Yes", TRUE, FALSE))</f>
        <v>#REF!</v>
      </c>
      <c r="AJ82" s="628"/>
      <c r="BH82" s="647" t="str">
        <f>IF('C-1 On-Site WaterC'' Baseline'!AU82="","", IF('C-1 On-Site WaterC'' Baseline'!AU82="Yes", TRUE, FALSE))</f>
        <v/>
      </c>
      <c r="BI82" s="647">
        <v>73</v>
      </c>
      <c r="BJ82" s="647" t="e">
        <f>IF(#REF!="","", IF(#REF!="Yes", TRUE, FALSE))</f>
        <v>#REF!</v>
      </c>
    </row>
    <row r="83" spans="30:62" x14ac:dyDescent="0.35">
      <c r="AD83" s="647">
        <v>74</v>
      </c>
      <c r="AE83" s="646" t="e">
        <f>IF(#REF!="","", IF(#REF!="Yes", TRUE, FALSE))</f>
        <v>#REF!</v>
      </c>
      <c r="AJ83" s="628"/>
      <c r="BH83" s="647" t="str">
        <f>IF('C-1 On-Site WaterC'' Baseline'!AU83="","", IF('C-1 On-Site WaterC'' Baseline'!AU83="Yes", TRUE, FALSE))</f>
        <v/>
      </c>
      <c r="BI83" s="647">
        <v>74</v>
      </c>
      <c r="BJ83" s="647" t="e">
        <f>IF(#REF!="","", IF(#REF!="Yes", TRUE, FALSE))</f>
        <v>#REF!</v>
      </c>
    </row>
    <row r="84" spans="30:62" x14ac:dyDescent="0.35">
      <c r="AD84" s="647">
        <v>75</v>
      </c>
      <c r="AE84" s="646" t="e">
        <f>IF(#REF!="","", IF(#REF!="Yes", TRUE, FALSE))</f>
        <v>#REF!</v>
      </c>
      <c r="AJ84" s="628"/>
      <c r="BH84" s="647" t="str">
        <f>IF('C-1 On-Site WaterC'' Baseline'!AU84="","", IF('C-1 On-Site WaterC'' Baseline'!AU84="Yes", TRUE, FALSE))</f>
        <v/>
      </c>
      <c r="BI84" s="647">
        <v>75</v>
      </c>
      <c r="BJ84" s="647" t="e">
        <f>IF(#REF!="","", IF(#REF!="Yes", TRUE, FALSE))</f>
        <v>#REF!</v>
      </c>
    </row>
    <row r="85" spans="30:62" x14ac:dyDescent="0.35">
      <c r="AD85" s="647">
        <v>76</v>
      </c>
      <c r="AE85" s="646" t="e">
        <f>IF(#REF!="","", IF(#REF!="Yes", TRUE, FALSE))</f>
        <v>#REF!</v>
      </c>
      <c r="AJ85" s="628"/>
      <c r="BH85" s="647" t="str">
        <f>IF('C-1 On-Site WaterC'' Baseline'!AU85="","", IF('C-1 On-Site WaterC'' Baseline'!AU85="Yes", TRUE, FALSE))</f>
        <v/>
      </c>
      <c r="BI85" s="647">
        <v>76</v>
      </c>
      <c r="BJ85" s="647" t="e">
        <f>IF(#REF!="","", IF(#REF!="Yes", TRUE, FALSE))</f>
        <v>#REF!</v>
      </c>
    </row>
    <row r="86" spans="30:62" x14ac:dyDescent="0.35">
      <c r="AD86" s="647">
        <v>77</v>
      </c>
      <c r="AE86" s="646" t="e">
        <f>IF(#REF!="","", IF(#REF!="Yes", TRUE, FALSE))</f>
        <v>#REF!</v>
      </c>
      <c r="AJ86" s="628"/>
      <c r="BH86" s="647" t="str">
        <f>IF('C-1 On-Site WaterC'' Baseline'!AU86="","", IF('C-1 On-Site WaterC'' Baseline'!AU86="Yes", TRUE, FALSE))</f>
        <v/>
      </c>
      <c r="BI86" s="647">
        <v>77</v>
      </c>
      <c r="BJ86" s="647" t="e">
        <f>IF(#REF!="","", IF(#REF!="Yes", TRUE, FALSE))</f>
        <v>#REF!</v>
      </c>
    </row>
    <row r="87" spans="30:62" x14ac:dyDescent="0.35">
      <c r="AD87" s="647">
        <v>78</v>
      </c>
      <c r="AE87" s="646" t="e">
        <f>IF(#REF!="","", IF(#REF!="Yes", TRUE, FALSE))</f>
        <v>#REF!</v>
      </c>
      <c r="AJ87" s="628"/>
      <c r="BH87" s="647" t="str">
        <f>IF('C-1 On-Site WaterC'' Baseline'!AU87="","", IF('C-1 On-Site WaterC'' Baseline'!AU87="Yes", TRUE, FALSE))</f>
        <v/>
      </c>
      <c r="BI87" s="647">
        <v>78</v>
      </c>
      <c r="BJ87" s="647" t="e">
        <f>IF(#REF!="","", IF(#REF!="Yes", TRUE, FALSE))</f>
        <v>#REF!</v>
      </c>
    </row>
    <row r="88" spans="30:62" x14ac:dyDescent="0.35">
      <c r="AD88" s="647">
        <v>79</v>
      </c>
      <c r="AE88" s="646" t="e">
        <f>IF(#REF!="","", IF(#REF!="Yes", TRUE, FALSE))</f>
        <v>#REF!</v>
      </c>
      <c r="AJ88" s="628"/>
      <c r="BH88" s="647" t="str">
        <f>IF('C-1 On-Site WaterC'' Baseline'!AU88="","", IF('C-1 On-Site WaterC'' Baseline'!AU88="Yes", TRUE, FALSE))</f>
        <v/>
      </c>
      <c r="BI88" s="647">
        <v>79</v>
      </c>
      <c r="BJ88" s="647" t="e">
        <f>IF(#REF!="","", IF(#REF!="Yes", TRUE, FALSE))</f>
        <v>#REF!</v>
      </c>
    </row>
    <row r="89" spans="30:62" x14ac:dyDescent="0.35">
      <c r="AD89" s="647">
        <v>80</v>
      </c>
      <c r="AE89" s="646" t="e">
        <f>IF(#REF!="","", IF(#REF!="Yes", TRUE, FALSE))</f>
        <v>#REF!</v>
      </c>
      <c r="AJ89" s="628"/>
      <c r="BH89" s="647" t="str">
        <f>IF('C-1 On-Site WaterC'' Baseline'!AU89="","", IF('C-1 On-Site WaterC'' Baseline'!AU89="Yes", TRUE, FALSE))</f>
        <v/>
      </c>
      <c r="BI89" s="647">
        <v>80</v>
      </c>
      <c r="BJ89" s="647" t="e">
        <f>IF(#REF!="","", IF(#REF!="Yes", TRUE, FALSE))</f>
        <v>#REF!</v>
      </c>
    </row>
    <row r="90" spans="30:62" x14ac:dyDescent="0.35">
      <c r="AD90" s="647">
        <v>81</v>
      </c>
      <c r="AE90" s="646" t="e">
        <f>IF(#REF!="","", IF(#REF!="Yes", TRUE, FALSE))</f>
        <v>#REF!</v>
      </c>
      <c r="AJ90" s="628"/>
      <c r="BH90" s="647" t="str">
        <f>IF('C-1 On-Site WaterC'' Baseline'!AU90="","", IF('C-1 On-Site WaterC'' Baseline'!AU90="Yes", TRUE, FALSE))</f>
        <v/>
      </c>
      <c r="BI90" s="647">
        <v>81</v>
      </c>
      <c r="BJ90" s="647" t="e">
        <f>IF(#REF!="","", IF(#REF!="Yes", TRUE, FALSE))</f>
        <v>#REF!</v>
      </c>
    </row>
    <row r="91" spans="30:62" x14ac:dyDescent="0.35">
      <c r="AD91" s="647">
        <v>82</v>
      </c>
      <c r="AE91" s="646" t="e">
        <f>IF(#REF!="","", IF(#REF!="Yes", TRUE, FALSE))</f>
        <v>#REF!</v>
      </c>
      <c r="AJ91" s="628"/>
      <c r="BH91" s="647" t="str">
        <f>IF('C-1 On-Site WaterC'' Baseline'!AU91="","", IF('C-1 On-Site WaterC'' Baseline'!AU91="Yes", TRUE, FALSE))</f>
        <v/>
      </c>
      <c r="BI91" s="647">
        <v>82</v>
      </c>
      <c r="BJ91" s="647" t="e">
        <f>IF(#REF!="","", IF(#REF!="Yes", TRUE, FALSE))</f>
        <v>#REF!</v>
      </c>
    </row>
    <row r="92" spans="30:62" x14ac:dyDescent="0.35">
      <c r="AD92" s="647">
        <v>83</v>
      </c>
      <c r="AE92" s="646" t="e">
        <f>IF(#REF!="","", IF(#REF!="Yes", TRUE, FALSE))</f>
        <v>#REF!</v>
      </c>
      <c r="AJ92" s="628"/>
      <c r="BH92" s="647" t="str">
        <f>IF('C-1 On-Site WaterC'' Baseline'!AU92="","", IF('C-1 On-Site WaterC'' Baseline'!AU92="Yes", TRUE, FALSE))</f>
        <v/>
      </c>
      <c r="BI92" s="647">
        <v>83</v>
      </c>
      <c r="BJ92" s="647" t="e">
        <f>IF(#REF!="","", IF(#REF!="Yes", TRUE, FALSE))</f>
        <v>#REF!</v>
      </c>
    </row>
    <row r="93" spans="30:62" x14ac:dyDescent="0.35">
      <c r="AD93" s="647">
        <v>84</v>
      </c>
      <c r="AE93" s="646" t="e">
        <f>IF(#REF!="","", IF(#REF!="Yes", TRUE, FALSE))</f>
        <v>#REF!</v>
      </c>
      <c r="AJ93" s="628"/>
      <c r="BH93" s="647" t="str">
        <f>IF('C-1 On-Site WaterC'' Baseline'!AU93="","", IF('C-1 On-Site WaterC'' Baseline'!AU93="Yes", TRUE, FALSE))</f>
        <v/>
      </c>
      <c r="BI93" s="647">
        <v>84</v>
      </c>
      <c r="BJ93" s="647" t="e">
        <f>IF(#REF!="","", IF(#REF!="Yes", TRUE, FALSE))</f>
        <v>#REF!</v>
      </c>
    </row>
    <row r="94" spans="30:62" x14ac:dyDescent="0.35">
      <c r="AD94" s="647">
        <v>85</v>
      </c>
      <c r="AE94" s="646" t="e">
        <f>IF(#REF!="","", IF(#REF!="Yes", TRUE, FALSE))</f>
        <v>#REF!</v>
      </c>
      <c r="AJ94" s="628"/>
      <c r="BH94" s="647" t="str">
        <f>IF('C-1 On-Site WaterC'' Baseline'!AU94="","", IF('C-1 On-Site WaterC'' Baseline'!AU94="Yes", TRUE, FALSE))</f>
        <v/>
      </c>
      <c r="BI94" s="647">
        <v>85</v>
      </c>
      <c r="BJ94" s="647" t="e">
        <f>IF(#REF!="","", IF(#REF!="Yes", TRUE, FALSE))</f>
        <v>#REF!</v>
      </c>
    </row>
    <row r="95" spans="30:62" x14ac:dyDescent="0.35">
      <c r="AD95" s="647">
        <v>86</v>
      </c>
      <c r="AE95" s="646" t="e">
        <f>IF(#REF!="","", IF(#REF!="Yes", TRUE, FALSE))</f>
        <v>#REF!</v>
      </c>
      <c r="AJ95" s="628"/>
      <c r="BH95" s="647" t="str">
        <f>IF('C-1 On-Site WaterC'' Baseline'!AU95="","", IF('C-1 On-Site WaterC'' Baseline'!AU95="Yes", TRUE, FALSE))</f>
        <v/>
      </c>
      <c r="BI95" s="647">
        <v>86</v>
      </c>
      <c r="BJ95" s="647" t="e">
        <f>IF(#REF!="","", IF(#REF!="Yes", TRUE, FALSE))</f>
        <v>#REF!</v>
      </c>
    </row>
    <row r="96" spans="30:62" x14ac:dyDescent="0.35">
      <c r="AD96" s="647">
        <v>87</v>
      </c>
      <c r="AE96" s="646" t="e">
        <f>IF(#REF!="","", IF(#REF!="Yes", TRUE, FALSE))</f>
        <v>#REF!</v>
      </c>
      <c r="AJ96" s="628"/>
      <c r="BH96" s="647" t="str">
        <f>IF('C-1 On-Site WaterC'' Baseline'!AU96="","", IF('C-1 On-Site WaterC'' Baseline'!AU96="Yes", TRUE, FALSE))</f>
        <v/>
      </c>
      <c r="BI96" s="647">
        <v>87</v>
      </c>
      <c r="BJ96" s="647" t="e">
        <f>IF(#REF!="","", IF(#REF!="Yes", TRUE, FALSE))</f>
        <v>#REF!</v>
      </c>
    </row>
    <row r="97" spans="30:62" x14ac:dyDescent="0.35">
      <c r="AD97" s="647">
        <v>88</v>
      </c>
      <c r="AE97" s="646" t="e">
        <f>IF(#REF!="","", IF(#REF!="Yes", TRUE, FALSE))</f>
        <v>#REF!</v>
      </c>
      <c r="AJ97" s="628"/>
      <c r="BH97" s="647" t="str">
        <f>IF('C-1 On-Site WaterC'' Baseline'!AU97="","", IF('C-1 On-Site WaterC'' Baseline'!AU97="Yes", TRUE, FALSE))</f>
        <v/>
      </c>
      <c r="BI97" s="647">
        <v>88</v>
      </c>
      <c r="BJ97" s="647" t="e">
        <f>IF(#REF!="","", IF(#REF!="Yes", TRUE, FALSE))</f>
        <v>#REF!</v>
      </c>
    </row>
    <row r="98" spans="30:62" x14ac:dyDescent="0.35">
      <c r="AD98" s="647">
        <v>89</v>
      </c>
      <c r="AE98" s="646" t="e">
        <f>IF(#REF!="","", IF(#REF!="Yes", TRUE, FALSE))</f>
        <v>#REF!</v>
      </c>
      <c r="AJ98" s="628"/>
      <c r="BH98" s="647" t="str">
        <f>IF('C-1 On-Site WaterC'' Baseline'!AU98="","", IF('C-1 On-Site WaterC'' Baseline'!AU98="Yes", TRUE, FALSE))</f>
        <v/>
      </c>
      <c r="BI98" s="647">
        <v>89</v>
      </c>
      <c r="BJ98" s="647" t="e">
        <f>IF(#REF!="","", IF(#REF!="Yes", TRUE, FALSE))</f>
        <v>#REF!</v>
      </c>
    </row>
    <row r="99" spans="30:62" x14ac:dyDescent="0.35">
      <c r="AD99" s="647">
        <v>90</v>
      </c>
      <c r="AE99" s="646" t="e">
        <f>IF(#REF!="","", IF(#REF!="Yes", TRUE, FALSE))</f>
        <v>#REF!</v>
      </c>
      <c r="AJ99" s="628"/>
      <c r="BH99" s="647" t="str">
        <f>IF('C-1 On-Site WaterC'' Baseline'!AU99="","", IF('C-1 On-Site WaterC'' Baseline'!AU99="Yes", TRUE, FALSE))</f>
        <v/>
      </c>
      <c r="BI99" s="647">
        <v>90</v>
      </c>
      <c r="BJ99" s="647" t="e">
        <f>IF(#REF!="","", IF(#REF!="Yes", TRUE, FALSE))</f>
        <v>#REF!</v>
      </c>
    </row>
    <row r="100" spans="30:62" x14ac:dyDescent="0.35">
      <c r="AD100" s="647">
        <v>91</v>
      </c>
      <c r="AE100" s="646" t="e">
        <f>IF(#REF!="","", IF(#REF!="Yes", TRUE, FALSE))</f>
        <v>#REF!</v>
      </c>
      <c r="AJ100" s="628"/>
      <c r="BH100" s="647" t="str">
        <f>IF('C-1 On-Site WaterC'' Baseline'!AU100="","", IF('C-1 On-Site WaterC'' Baseline'!AU100="Yes", TRUE, FALSE))</f>
        <v/>
      </c>
      <c r="BI100" s="647">
        <v>91</v>
      </c>
      <c r="BJ100" s="647" t="e">
        <f>IF(#REF!="","", IF(#REF!="Yes", TRUE, FALSE))</f>
        <v>#REF!</v>
      </c>
    </row>
    <row r="101" spans="30:62" x14ac:dyDescent="0.35">
      <c r="AD101" s="647">
        <v>92</v>
      </c>
      <c r="AE101" s="646" t="e">
        <f>IF(#REF!="","", IF(#REF!="Yes", TRUE, FALSE))</f>
        <v>#REF!</v>
      </c>
      <c r="AJ101" s="628"/>
      <c r="BH101" s="647" t="str">
        <f>IF('C-1 On-Site WaterC'' Baseline'!AU101="","", IF('C-1 On-Site WaterC'' Baseline'!AU101="Yes", TRUE, FALSE))</f>
        <v/>
      </c>
      <c r="BI101" s="647">
        <v>92</v>
      </c>
      <c r="BJ101" s="647" t="e">
        <f>IF(#REF!="","", IF(#REF!="Yes", TRUE, FALSE))</f>
        <v>#REF!</v>
      </c>
    </row>
    <row r="102" spans="30:62" x14ac:dyDescent="0.35">
      <c r="AD102" s="647">
        <v>93</v>
      </c>
      <c r="AE102" s="646" t="e">
        <f>IF(#REF!="","", IF(#REF!="Yes", TRUE, FALSE))</f>
        <v>#REF!</v>
      </c>
      <c r="AJ102" s="628"/>
      <c r="BH102" s="647" t="str">
        <f>IF('C-1 On-Site WaterC'' Baseline'!AU102="","", IF('C-1 On-Site WaterC'' Baseline'!AU102="Yes", TRUE, FALSE))</f>
        <v/>
      </c>
      <c r="BI102" s="647">
        <v>93</v>
      </c>
      <c r="BJ102" s="647" t="e">
        <f>IF(#REF!="","", IF(#REF!="Yes", TRUE, FALSE))</f>
        <v>#REF!</v>
      </c>
    </row>
    <row r="103" spans="30:62" x14ac:dyDescent="0.35">
      <c r="AD103" s="647">
        <v>94</v>
      </c>
      <c r="AE103" s="646" t="e">
        <f>IF(#REF!="","", IF(#REF!="Yes", TRUE, FALSE))</f>
        <v>#REF!</v>
      </c>
      <c r="AJ103" s="628"/>
      <c r="BH103" s="647" t="str">
        <f>IF('C-1 On-Site WaterC'' Baseline'!AU103="","", IF('C-1 On-Site WaterC'' Baseline'!AU103="Yes", TRUE, FALSE))</f>
        <v/>
      </c>
      <c r="BI103" s="647">
        <v>94</v>
      </c>
      <c r="BJ103" s="647" t="e">
        <f>IF(#REF!="","", IF(#REF!="Yes", TRUE, FALSE))</f>
        <v>#REF!</v>
      </c>
    </row>
    <row r="104" spans="30:62" x14ac:dyDescent="0.35">
      <c r="AD104" s="647">
        <v>95</v>
      </c>
      <c r="AE104" s="646" t="e">
        <f>IF(#REF!="","", IF(#REF!="Yes", TRUE, FALSE))</f>
        <v>#REF!</v>
      </c>
      <c r="AJ104" s="628"/>
      <c r="BH104" s="647" t="str">
        <f>IF('C-1 On-Site WaterC'' Baseline'!AU104="","", IF('C-1 On-Site WaterC'' Baseline'!AU104="Yes", TRUE, FALSE))</f>
        <v/>
      </c>
      <c r="BI104" s="647">
        <v>95</v>
      </c>
      <c r="BJ104" s="647" t="e">
        <f>IF(#REF!="","", IF(#REF!="Yes", TRUE, FALSE))</f>
        <v>#REF!</v>
      </c>
    </row>
    <row r="105" spans="30:62" x14ac:dyDescent="0.35">
      <c r="AD105" s="647">
        <v>96</v>
      </c>
      <c r="AE105" s="646" t="e">
        <f>IF(#REF!="","", IF(#REF!="Yes", TRUE, FALSE))</f>
        <v>#REF!</v>
      </c>
      <c r="AJ105" s="628"/>
      <c r="BH105" s="647" t="str">
        <f>IF('C-1 On-Site WaterC'' Baseline'!AU105="","", IF('C-1 On-Site WaterC'' Baseline'!AU105="Yes", TRUE, FALSE))</f>
        <v/>
      </c>
      <c r="BI105" s="647">
        <v>96</v>
      </c>
      <c r="BJ105" s="647" t="e">
        <f>IF(#REF!="","", IF(#REF!="Yes", TRUE, FALSE))</f>
        <v>#REF!</v>
      </c>
    </row>
    <row r="106" spans="30:62" x14ac:dyDescent="0.35">
      <c r="AD106" s="647">
        <v>97</v>
      </c>
      <c r="AE106" s="646" t="e">
        <f>IF(#REF!="","", IF(#REF!="Yes", TRUE, FALSE))</f>
        <v>#REF!</v>
      </c>
      <c r="AJ106" s="628"/>
      <c r="BH106" s="647" t="str">
        <f>IF('C-1 On-Site WaterC'' Baseline'!AU106="","", IF('C-1 On-Site WaterC'' Baseline'!AU106="Yes", TRUE, FALSE))</f>
        <v/>
      </c>
      <c r="BI106" s="647">
        <v>97</v>
      </c>
      <c r="BJ106" s="647" t="e">
        <f>IF(#REF!="","", IF(#REF!="Yes", TRUE, FALSE))</f>
        <v>#REF!</v>
      </c>
    </row>
    <row r="107" spans="30:62" x14ac:dyDescent="0.35">
      <c r="AD107" s="647">
        <v>98</v>
      </c>
      <c r="AE107" s="646" t="e">
        <f>IF(#REF!="","", IF(#REF!="Yes", TRUE, FALSE))</f>
        <v>#REF!</v>
      </c>
      <c r="AJ107" s="628"/>
      <c r="BH107" s="647" t="str">
        <f>IF('C-1 On-Site WaterC'' Baseline'!AU107="","", IF('C-1 On-Site WaterC'' Baseline'!AU107="Yes", TRUE, FALSE))</f>
        <v/>
      </c>
      <c r="BI107" s="647">
        <v>98</v>
      </c>
      <c r="BJ107" s="647" t="e">
        <f>IF(#REF!="","", IF(#REF!="Yes", TRUE, FALSE))</f>
        <v>#REF!</v>
      </c>
    </row>
    <row r="108" spans="30:62" x14ac:dyDescent="0.35">
      <c r="AD108" s="647">
        <v>99</v>
      </c>
      <c r="AE108" s="646" t="e">
        <f>IF(#REF!="","", IF(#REF!="Yes", TRUE, FALSE))</f>
        <v>#REF!</v>
      </c>
      <c r="AJ108" s="628"/>
      <c r="BH108" s="647" t="str">
        <f>IF('C-1 On-Site WaterC'' Baseline'!AU108="","", IF('C-1 On-Site WaterC'' Baseline'!AU108="Yes", TRUE, FALSE))</f>
        <v/>
      </c>
      <c r="BI108" s="647">
        <v>99</v>
      </c>
      <c r="BJ108" s="647" t="e">
        <f>IF(#REF!="","", IF(#REF!="Yes", TRUE, FALSE))</f>
        <v>#REF!</v>
      </c>
    </row>
    <row r="109" spans="30:62" x14ac:dyDescent="0.35">
      <c r="AD109" s="647">
        <v>100</v>
      </c>
      <c r="AE109" s="646" t="e">
        <f>IF(#REF!="","", IF(#REF!="Yes", TRUE, FALSE))</f>
        <v>#REF!</v>
      </c>
      <c r="AJ109" s="628"/>
      <c r="BH109" s="647" t="str">
        <f>IF('C-1 On-Site WaterC'' Baseline'!AU109="","", IF('C-1 On-Site WaterC'' Baseline'!AU109="Yes", TRUE, FALSE))</f>
        <v/>
      </c>
      <c r="BI109" s="647">
        <v>100</v>
      </c>
      <c r="BJ109" s="647" t="e">
        <f>IF(#REF!="","", IF(#REF!="Yes", TRUE, FALSE))</f>
        <v>#REF!</v>
      </c>
    </row>
    <row r="110" spans="30:62" x14ac:dyDescent="0.35">
      <c r="AD110" s="647">
        <v>101</v>
      </c>
      <c r="AE110" s="646" t="e">
        <f>IF(#REF!="","", IF(#REF!="Yes", TRUE, FALSE))</f>
        <v>#REF!</v>
      </c>
      <c r="AJ110" s="628"/>
      <c r="BH110" s="647" t="str">
        <f>IF('C-1 On-Site WaterC'' Baseline'!AU110="","", IF('C-1 On-Site WaterC'' Baseline'!AU110="Yes", TRUE, FALSE))</f>
        <v/>
      </c>
      <c r="BI110" s="647">
        <v>101</v>
      </c>
      <c r="BJ110" s="647" t="e">
        <f>IF(#REF!="","", IF(#REF!="Yes", TRUE, FALSE))</f>
        <v>#REF!</v>
      </c>
    </row>
    <row r="111" spans="30:62" x14ac:dyDescent="0.35">
      <c r="AD111" s="647">
        <v>102</v>
      </c>
      <c r="AE111" s="646" t="e">
        <f>IF(#REF!="","", IF(#REF!="Yes", TRUE, FALSE))</f>
        <v>#REF!</v>
      </c>
      <c r="AJ111" s="628"/>
      <c r="BH111" s="647" t="str">
        <f>IF('C-1 On-Site WaterC'' Baseline'!AU111="","", IF('C-1 On-Site WaterC'' Baseline'!AU111="Yes", TRUE, FALSE))</f>
        <v/>
      </c>
      <c r="BI111" s="647">
        <v>102</v>
      </c>
      <c r="BJ111" s="647" t="e">
        <f>IF(#REF!="","", IF(#REF!="Yes", TRUE, FALSE))</f>
        <v>#REF!</v>
      </c>
    </row>
    <row r="112" spans="30:62" x14ac:dyDescent="0.35">
      <c r="AD112" s="647">
        <v>103</v>
      </c>
      <c r="AE112" s="646" t="e">
        <f>IF(#REF!="","", IF(#REF!="Yes", TRUE, FALSE))</f>
        <v>#REF!</v>
      </c>
      <c r="AJ112" s="628"/>
      <c r="BH112" s="647" t="str">
        <f>IF('C-1 On-Site WaterC'' Baseline'!AU112="","", IF('C-1 On-Site WaterC'' Baseline'!AU112="Yes", TRUE, FALSE))</f>
        <v/>
      </c>
      <c r="BI112" s="647">
        <v>103</v>
      </c>
      <c r="BJ112" s="647" t="e">
        <f>IF(#REF!="","", IF(#REF!="Yes", TRUE, FALSE))</f>
        <v>#REF!</v>
      </c>
    </row>
    <row r="113" spans="30:62" x14ac:dyDescent="0.35">
      <c r="AD113" s="647">
        <v>104</v>
      </c>
      <c r="AE113" s="646" t="e">
        <f>IF(#REF!="","", IF(#REF!="Yes", TRUE, FALSE))</f>
        <v>#REF!</v>
      </c>
      <c r="AJ113" s="628"/>
      <c r="BH113" s="647" t="str">
        <f>IF('C-1 On-Site WaterC'' Baseline'!AU113="","", IF('C-1 On-Site WaterC'' Baseline'!AU113="Yes", TRUE, FALSE))</f>
        <v/>
      </c>
      <c r="BI113" s="647">
        <v>104</v>
      </c>
      <c r="BJ113" s="647" t="e">
        <f>IF(#REF!="","", IF(#REF!="Yes", TRUE, FALSE))</f>
        <v>#REF!</v>
      </c>
    </row>
    <row r="114" spans="30:62" x14ac:dyDescent="0.35">
      <c r="AD114" s="647">
        <v>105</v>
      </c>
      <c r="AE114" s="646" t="e">
        <f>IF(#REF!="","", IF(#REF!="Yes", TRUE, FALSE))</f>
        <v>#REF!</v>
      </c>
      <c r="AJ114" s="628"/>
      <c r="BH114" s="647" t="str">
        <f>IF('C-1 On-Site WaterC'' Baseline'!AU114="","", IF('C-1 On-Site WaterC'' Baseline'!AU114="Yes", TRUE, FALSE))</f>
        <v/>
      </c>
      <c r="BI114" s="647">
        <v>105</v>
      </c>
      <c r="BJ114" s="647" t="e">
        <f>IF(#REF!="","", IF(#REF!="Yes", TRUE, FALSE))</f>
        <v>#REF!</v>
      </c>
    </row>
    <row r="115" spans="30:62" x14ac:dyDescent="0.35">
      <c r="AD115" s="647">
        <v>106</v>
      </c>
      <c r="AE115" s="646" t="e">
        <f>IF(#REF!="","", IF(#REF!="Yes", TRUE, FALSE))</f>
        <v>#REF!</v>
      </c>
      <c r="AJ115" s="628"/>
      <c r="BH115" s="647" t="str">
        <f>IF('C-1 On-Site WaterC'' Baseline'!AU115="","", IF('C-1 On-Site WaterC'' Baseline'!AU115="Yes", TRUE, FALSE))</f>
        <v/>
      </c>
      <c r="BI115" s="647">
        <v>106</v>
      </c>
      <c r="BJ115" s="647" t="e">
        <f>IF(#REF!="","", IF(#REF!="Yes", TRUE, FALSE))</f>
        <v>#REF!</v>
      </c>
    </row>
    <row r="116" spans="30:62" x14ac:dyDescent="0.35">
      <c r="AD116" s="647">
        <v>107</v>
      </c>
      <c r="AE116" s="646" t="e">
        <f>IF(#REF!="","", IF(#REF!="Yes", TRUE, FALSE))</f>
        <v>#REF!</v>
      </c>
      <c r="AJ116" s="628"/>
      <c r="BH116" s="647" t="str">
        <f>IF('C-1 On-Site WaterC'' Baseline'!AU116="","", IF('C-1 On-Site WaterC'' Baseline'!AU116="Yes", TRUE, FALSE))</f>
        <v/>
      </c>
      <c r="BI116" s="647">
        <v>107</v>
      </c>
      <c r="BJ116" s="647" t="e">
        <f>IF(#REF!="","", IF(#REF!="Yes", TRUE, FALSE))</f>
        <v>#REF!</v>
      </c>
    </row>
    <row r="117" spans="30:62" x14ac:dyDescent="0.35">
      <c r="AD117" s="647">
        <v>108</v>
      </c>
      <c r="AE117" s="646" t="e">
        <f>IF(#REF!="","", IF(#REF!="Yes", TRUE, FALSE))</f>
        <v>#REF!</v>
      </c>
      <c r="AJ117" s="628"/>
      <c r="BH117" s="647" t="str">
        <f>IF('C-1 On-Site WaterC'' Baseline'!AU117="","", IF('C-1 On-Site WaterC'' Baseline'!AU117="Yes", TRUE, FALSE))</f>
        <v/>
      </c>
      <c r="BI117" s="647">
        <v>108</v>
      </c>
      <c r="BJ117" s="647" t="e">
        <f>IF(#REF!="","", IF(#REF!="Yes", TRUE, FALSE))</f>
        <v>#REF!</v>
      </c>
    </row>
    <row r="118" spans="30:62" x14ac:dyDescent="0.35">
      <c r="AD118" s="647">
        <v>109</v>
      </c>
      <c r="AE118" s="646" t="e">
        <f>IF(#REF!="","", IF(#REF!="Yes", TRUE, FALSE))</f>
        <v>#REF!</v>
      </c>
      <c r="AJ118" s="628"/>
      <c r="BH118" s="647" t="str">
        <f>IF('C-1 On-Site WaterC'' Baseline'!AU118="","", IF('C-1 On-Site WaterC'' Baseline'!AU118="Yes", TRUE, FALSE))</f>
        <v/>
      </c>
      <c r="BI118" s="647">
        <v>109</v>
      </c>
      <c r="BJ118" s="647" t="e">
        <f>IF(#REF!="","", IF(#REF!="Yes", TRUE, FALSE))</f>
        <v>#REF!</v>
      </c>
    </row>
    <row r="119" spans="30:62" x14ac:dyDescent="0.35">
      <c r="AD119" s="647">
        <v>110</v>
      </c>
      <c r="AE119" s="646" t="e">
        <f>IF(#REF!="","", IF(#REF!="Yes", TRUE, FALSE))</f>
        <v>#REF!</v>
      </c>
      <c r="AJ119" s="628"/>
      <c r="BH119" s="647" t="str">
        <f>IF('C-1 On-Site WaterC'' Baseline'!AU119="","", IF('C-1 On-Site WaterC'' Baseline'!AU119="Yes", TRUE, FALSE))</f>
        <v/>
      </c>
      <c r="BI119" s="647">
        <v>110</v>
      </c>
      <c r="BJ119" s="647" t="e">
        <f>IF(#REF!="","", IF(#REF!="Yes", TRUE, FALSE))</f>
        <v>#REF!</v>
      </c>
    </row>
    <row r="120" spans="30:62" x14ac:dyDescent="0.35">
      <c r="AD120" s="647">
        <v>111</v>
      </c>
      <c r="AE120" s="646" t="e">
        <f>IF(#REF!="","", IF(#REF!="Yes", TRUE, FALSE))</f>
        <v>#REF!</v>
      </c>
      <c r="AJ120" s="628"/>
      <c r="BH120" s="647" t="str">
        <f>IF('C-1 On-Site WaterC'' Baseline'!AU120="","", IF('C-1 On-Site WaterC'' Baseline'!AU120="Yes", TRUE, FALSE))</f>
        <v/>
      </c>
      <c r="BI120" s="647">
        <v>111</v>
      </c>
      <c r="BJ120" s="647" t="e">
        <f>IF(#REF!="","", IF(#REF!="Yes", TRUE, FALSE))</f>
        <v>#REF!</v>
      </c>
    </row>
    <row r="121" spans="30:62" x14ac:dyDescent="0.35">
      <c r="AD121" s="647">
        <v>112</v>
      </c>
      <c r="AE121" s="646" t="e">
        <f>IF(#REF!="","", IF(#REF!="Yes", TRUE, FALSE))</f>
        <v>#REF!</v>
      </c>
      <c r="AJ121" s="628"/>
      <c r="BH121" s="647" t="str">
        <f>IF('C-1 On-Site WaterC'' Baseline'!AU121="","", IF('C-1 On-Site WaterC'' Baseline'!AU121="Yes", TRUE, FALSE))</f>
        <v/>
      </c>
      <c r="BI121" s="647">
        <v>112</v>
      </c>
      <c r="BJ121" s="647" t="e">
        <f>IF(#REF!="","", IF(#REF!="Yes", TRUE, FALSE))</f>
        <v>#REF!</v>
      </c>
    </row>
    <row r="122" spans="30:62" x14ac:dyDescent="0.35">
      <c r="AD122" s="647">
        <v>113</v>
      </c>
      <c r="AE122" s="646" t="e">
        <f>IF(#REF!="","", IF(#REF!="Yes", TRUE, FALSE))</f>
        <v>#REF!</v>
      </c>
      <c r="AJ122" s="628"/>
      <c r="BH122" s="647" t="str">
        <f>IF('C-1 On-Site WaterC'' Baseline'!AU122="","", IF('C-1 On-Site WaterC'' Baseline'!AU122="Yes", TRUE, FALSE))</f>
        <v/>
      </c>
      <c r="BI122" s="647">
        <v>113</v>
      </c>
      <c r="BJ122" s="647" t="e">
        <f>IF(#REF!="","", IF(#REF!="Yes", TRUE, FALSE))</f>
        <v>#REF!</v>
      </c>
    </row>
    <row r="123" spans="30:62" x14ac:dyDescent="0.35">
      <c r="AD123" s="647">
        <v>114</v>
      </c>
      <c r="AE123" s="646" t="e">
        <f>IF(#REF!="","", IF(#REF!="Yes", TRUE, FALSE))</f>
        <v>#REF!</v>
      </c>
      <c r="AJ123" s="628"/>
      <c r="BH123" s="647" t="str">
        <f>IF('C-1 On-Site WaterC'' Baseline'!AU123="","", IF('C-1 On-Site WaterC'' Baseline'!AU123="Yes", TRUE, FALSE))</f>
        <v/>
      </c>
      <c r="BI123" s="647">
        <v>114</v>
      </c>
      <c r="BJ123" s="647" t="e">
        <f>IF(#REF!="","", IF(#REF!="Yes", TRUE, FALSE))</f>
        <v>#REF!</v>
      </c>
    </row>
    <row r="124" spans="30:62" x14ac:dyDescent="0.35">
      <c r="AD124" s="647">
        <v>115</v>
      </c>
      <c r="AE124" s="646" t="e">
        <f>IF(#REF!="","", IF(#REF!="Yes", TRUE, FALSE))</f>
        <v>#REF!</v>
      </c>
      <c r="AJ124" s="628"/>
      <c r="BH124" s="647" t="str">
        <f>IF('C-1 On-Site WaterC'' Baseline'!AU124="","", IF('C-1 On-Site WaterC'' Baseline'!AU124="Yes", TRUE, FALSE))</f>
        <v/>
      </c>
      <c r="BI124" s="647">
        <v>115</v>
      </c>
      <c r="BJ124" s="647" t="e">
        <f>IF(#REF!="","", IF(#REF!="Yes", TRUE, FALSE))</f>
        <v>#REF!</v>
      </c>
    </row>
    <row r="125" spans="30:62" x14ac:dyDescent="0.35">
      <c r="AD125" s="647">
        <v>116</v>
      </c>
      <c r="AE125" s="646" t="e">
        <f>IF(#REF!="","", IF(#REF!="Yes", TRUE, FALSE))</f>
        <v>#REF!</v>
      </c>
      <c r="AJ125" s="628"/>
      <c r="BH125" s="647" t="str">
        <f>IF('C-1 On-Site WaterC'' Baseline'!AU125="","", IF('C-1 On-Site WaterC'' Baseline'!AU125="Yes", TRUE, FALSE))</f>
        <v/>
      </c>
      <c r="BI125" s="647">
        <v>116</v>
      </c>
      <c r="BJ125" s="647" t="e">
        <f>IF(#REF!="","", IF(#REF!="Yes", TRUE, FALSE))</f>
        <v>#REF!</v>
      </c>
    </row>
    <row r="126" spans="30:62" x14ac:dyDescent="0.35">
      <c r="AD126" s="647">
        <v>117</v>
      </c>
      <c r="AE126" s="646" t="e">
        <f>IF(#REF!="","", IF(#REF!="Yes", TRUE, FALSE))</f>
        <v>#REF!</v>
      </c>
      <c r="AJ126" s="628"/>
      <c r="BH126" s="647" t="str">
        <f>IF('C-1 On-Site WaterC'' Baseline'!AU126="","", IF('C-1 On-Site WaterC'' Baseline'!AU126="Yes", TRUE, FALSE))</f>
        <v/>
      </c>
      <c r="BI126" s="647">
        <v>117</v>
      </c>
      <c r="BJ126" s="647" t="e">
        <f>IF(#REF!="","", IF(#REF!="Yes", TRUE, FALSE))</f>
        <v>#REF!</v>
      </c>
    </row>
    <row r="127" spans="30:62" x14ac:dyDescent="0.35">
      <c r="AD127" s="647">
        <v>118</v>
      </c>
      <c r="AE127" s="646" t="e">
        <f>IF(#REF!="","", IF(#REF!="Yes", TRUE, FALSE))</f>
        <v>#REF!</v>
      </c>
      <c r="AJ127" s="628"/>
      <c r="BH127" s="647" t="str">
        <f>IF('C-1 On-Site WaterC'' Baseline'!AU127="","", IF('C-1 On-Site WaterC'' Baseline'!AU127="Yes", TRUE, FALSE))</f>
        <v/>
      </c>
      <c r="BI127" s="647">
        <v>118</v>
      </c>
      <c r="BJ127" s="647" t="e">
        <f>IF(#REF!="","", IF(#REF!="Yes", TRUE, FALSE))</f>
        <v>#REF!</v>
      </c>
    </row>
    <row r="128" spans="30:62" x14ac:dyDescent="0.35">
      <c r="AD128" s="647">
        <v>119</v>
      </c>
      <c r="AE128" s="646" t="e">
        <f>IF(#REF!="","", IF(#REF!="Yes", TRUE, FALSE))</f>
        <v>#REF!</v>
      </c>
      <c r="AJ128" s="628"/>
      <c r="BH128" s="647" t="str">
        <f>IF('C-1 On-Site WaterC'' Baseline'!AU128="","", IF('C-1 On-Site WaterC'' Baseline'!AU128="Yes", TRUE, FALSE))</f>
        <v/>
      </c>
      <c r="BI128" s="647">
        <v>119</v>
      </c>
      <c r="BJ128" s="647" t="e">
        <f>IF(#REF!="","", IF(#REF!="Yes", TRUE, FALSE))</f>
        <v>#REF!</v>
      </c>
    </row>
    <row r="129" spans="30:62" x14ac:dyDescent="0.35">
      <c r="AD129" s="647">
        <v>120</v>
      </c>
      <c r="AE129" s="646" t="e">
        <f>IF(#REF!="","", IF(#REF!="Yes", TRUE, FALSE))</f>
        <v>#REF!</v>
      </c>
      <c r="AJ129" s="628"/>
      <c r="BH129" s="647" t="str">
        <f>IF('C-1 On-Site WaterC'' Baseline'!AU129="","", IF('C-1 On-Site WaterC'' Baseline'!AU129="Yes", TRUE, FALSE))</f>
        <v/>
      </c>
      <c r="BI129" s="647">
        <v>120</v>
      </c>
      <c r="BJ129" s="647" t="e">
        <f>IF(#REF!="","", IF(#REF!="Yes", TRUE, FALSE))</f>
        <v>#REF!</v>
      </c>
    </row>
    <row r="130" spans="30:62" x14ac:dyDescent="0.35">
      <c r="AD130" s="647">
        <v>121</v>
      </c>
      <c r="AE130" s="646" t="e">
        <f>IF(#REF!="","", IF(#REF!="Yes", TRUE, FALSE))</f>
        <v>#REF!</v>
      </c>
      <c r="AJ130" s="628"/>
      <c r="BH130" s="647" t="str">
        <f>IF('C-1 On-Site WaterC'' Baseline'!AU130="","", IF('C-1 On-Site WaterC'' Baseline'!AU130="Yes", TRUE, FALSE))</f>
        <v/>
      </c>
      <c r="BI130" s="647">
        <v>121</v>
      </c>
      <c r="BJ130" s="647" t="e">
        <f>IF(#REF!="","", IF(#REF!="Yes", TRUE, FALSE))</f>
        <v>#REF!</v>
      </c>
    </row>
    <row r="131" spans="30:62" x14ac:dyDescent="0.35">
      <c r="AD131" s="647">
        <v>122</v>
      </c>
      <c r="AE131" s="646" t="e">
        <f>IF(#REF!="","", IF(#REF!="Yes", TRUE, FALSE))</f>
        <v>#REF!</v>
      </c>
      <c r="AJ131" s="628"/>
      <c r="BH131" s="647" t="str">
        <f>IF('C-1 On-Site WaterC'' Baseline'!AU131="","", IF('C-1 On-Site WaterC'' Baseline'!AU131="Yes", TRUE, FALSE))</f>
        <v/>
      </c>
      <c r="BI131" s="647">
        <v>122</v>
      </c>
      <c r="BJ131" s="647" t="e">
        <f>IF(#REF!="","", IF(#REF!="Yes", TRUE, FALSE))</f>
        <v>#REF!</v>
      </c>
    </row>
    <row r="132" spans="30:62" x14ac:dyDescent="0.35">
      <c r="AD132" s="647">
        <v>123</v>
      </c>
      <c r="AE132" s="646" t="e">
        <f>IF(#REF!="","", IF(#REF!="Yes", TRUE, FALSE))</f>
        <v>#REF!</v>
      </c>
      <c r="AJ132" s="628"/>
      <c r="BH132" s="647" t="str">
        <f>IF('C-1 On-Site WaterC'' Baseline'!AU132="","", IF('C-1 On-Site WaterC'' Baseline'!AU132="Yes", TRUE, FALSE))</f>
        <v/>
      </c>
      <c r="BI132" s="647">
        <v>123</v>
      </c>
      <c r="BJ132" s="647" t="e">
        <f>IF(#REF!="","", IF(#REF!="Yes", TRUE, FALSE))</f>
        <v>#REF!</v>
      </c>
    </row>
    <row r="133" spans="30:62" x14ac:dyDescent="0.35">
      <c r="AD133" s="647">
        <v>124</v>
      </c>
      <c r="AE133" s="646" t="e">
        <f>IF(#REF!="","", IF(#REF!="Yes", TRUE, FALSE))</f>
        <v>#REF!</v>
      </c>
      <c r="AJ133" s="628"/>
      <c r="BH133" s="647" t="str">
        <f>IF('C-1 On-Site WaterC'' Baseline'!AU133="","", IF('C-1 On-Site WaterC'' Baseline'!AU133="Yes", TRUE, FALSE))</f>
        <v/>
      </c>
      <c r="BI133" s="647">
        <v>124</v>
      </c>
      <c r="BJ133" s="647" t="e">
        <f>IF(#REF!="","", IF(#REF!="Yes", TRUE, FALSE))</f>
        <v>#REF!</v>
      </c>
    </row>
    <row r="134" spans="30:62" x14ac:dyDescent="0.35">
      <c r="AD134" s="647">
        <v>125</v>
      </c>
      <c r="AE134" s="646" t="e">
        <f>IF(#REF!="","", IF(#REF!="Yes", TRUE, FALSE))</f>
        <v>#REF!</v>
      </c>
      <c r="AJ134" s="628"/>
      <c r="BH134" s="647" t="str">
        <f>IF('C-1 On-Site WaterC'' Baseline'!AU134="","", IF('C-1 On-Site WaterC'' Baseline'!AU134="Yes", TRUE, FALSE))</f>
        <v/>
      </c>
      <c r="BI134" s="647">
        <v>125</v>
      </c>
      <c r="BJ134" s="647" t="e">
        <f>IF(#REF!="","", IF(#REF!="Yes", TRUE, FALSE))</f>
        <v>#REF!</v>
      </c>
    </row>
    <row r="135" spans="30:62" x14ac:dyDescent="0.35">
      <c r="AD135" s="647">
        <v>126</v>
      </c>
      <c r="AE135" s="646" t="e">
        <f>IF(#REF!="","", IF(#REF!="Yes", TRUE, FALSE))</f>
        <v>#REF!</v>
      </c>
      <c r="AJ135" s="628"/>
      <c r="BH135" s="647" t="str">
        <f>IF('C-1 On-Site WaterC'' Baseline'!AU135="","", IF('C-1 On-Site WaterC'' Baseline'!AU135="Yes", TRUE, FALSE))</f>
        <v/>
      </c>
      <c r="BI135" s="647">
        <v>126</v>
      </c>
      <c r="BJ135" s="647" t="e">
        <f>IF(#REF!="","", IF(#REF!="Yes", TRUE, FALSE))</f>
        <v>#REF!</v>
      </c>
    </row>
    <row r="136" spans="30:62" x14ac:dyDescent="0.35">
      <c r="AD136" s="647">
        <v>127</v>
      </c>
      <c r="AE136" s="646" t="e">
        <f>IF(#REF!="","", IF(#REF!="Yes", TRUE, FALSE))</f>
        <v>#REF!</v>
      </c>
      <c r="AJ136" s="628"/>
      <c r="BH136" s="647" t="str">
        <f>IF('C-1 On-Site WaterC'' Baseline'!AU136="","", IF('C-1 On-Site WaterC'' Baseline'!AU136="Yes", TRUE, FALSE))</f>
        <v/>
      </c>
      <c r="BI136" s="647">
        <v>127</v>
      </c>
      <c r="BJ136" s="647" t="e">
        <f>IF(#REF!="","", IF(#REF!="Yes", TRUE, FALSE))</f>
        <v>#REF!</v>
      </c>
    </row>
    <row r="137" spans="30:62" x14ac:dyDescent="0.35">
      <c r="AD137" s="647">
        <v>128</v>
      </c>
      <c r="AE137" s="646" t="e">
        <f>IF(#REF!="","", IF(#REF!="Yes", TRUE, FALSE))</f>
        <v>#REF!</v>
      </c>
      <c r="AJ137" s="628"/>
      <c r="BH137" s="647" t="str">
        <f>IF('C-1 On-Site WaterC'' Baseline'!AU137="","", IF('C-1 On-Site WaterC'' Baseline'!AU137="Yes", TRUE, FALSE))</f>
        <v/>
      </c>
      <c r="BI137" s="647">
        <v>128</v>
      </c>
      <c r="BJ137" s="647" t="e">
        <f>IF(#REF!="","", IF(#REF!="Yes", TRUE, FALSE))</f>
        <v>#REF!</v>
      </c>
    </row>
    <row r="138" spans="30:62" x14ac:dyDescent="0.35">
      <c r="AD138" s="647">
        <v>129</v>
      </c>
      <c r="AE138" s="646" t="e">
        <f>IF(#REF!="","", IF(#REF!="Yes", TRUE, FALSE))</f>
        <v>#REF!</v>
      </c>
      <c r="AJ138" s="628"/>
      <c r="BH138" s="647" t="str">
        <f>IF('C-1 On-Site WaterC'' Baseline'!AU138="","", IF('C-1 On-Site WaterC'' Baseline'!AU138="Yes", TRUE, FALSE))</f>
        <v/>
      </c>
      <c r="BI138" s="647">
        <v>129</v>
      </c>
      <c r="BJ138" s="647" t="e">
        <f>IF(#REF!="","", IF(#REF!="Yes", TRUE, FALSE))</f>
        <v>#REF!</v>
      </c>
    </row>
    <row r="139" spans="30:62" x14ac:dyDescent="0.35">
      <c r="AD139" s="647">
        <v>130</v>
      </c>
      <c r="AE139" s="646" t="e">
        <f>IF(#REF!="","", IF(#REF!="Yes", TRUE, FALSE))</f>
        <v>#REF!</v>
      </c>
      <c r="AJ139" s="628"/>
      <c r="BH139" s="647" t="str">
        <f>IF('C-1 On-Site WaterC'' Baseline'!AU139="","", IF('C-1 On-Site WaterC'' Baseline'!AU139="Yes", TRUE, FALSE))</f>
        <v/>
      </c>
      <c r="BI139" s="647">
        <v>130</v>
      </c>
      <c r="BJ139" s="647" t="e">
        <f>IF(#REF!="","", IF(#REF!="Yes", TRUE, FALSE))</f>
        <v>#REF!</v>
      </c>
    </row>
    <row r="140" spans="30:62" x14ac:dyDescent="0.35">
      <c r="AD140" s="647">
        <v>131</v>
      </c>
      <c r="AE140" s="646" t="e">
        <f>IF(#REF!="","", IF(#REF!="Yes", TRUE, FALSE))</f>
        <v>#REF!</v>
      </c>
      <c r="AJ140" s="628"/>
      <c r="BH140" s="647" t="str">
        <f>IF('C-1 On-Site WaterC'' Baseline'!AU140="","", IF('C-1 On-Site WaterC'' Baseline'!AU140="Yes", TRUE, FALSE))</f>
        <v/>
      </c>
      <c r="BI140" s="647">
        <v>131</v>
      </c>
      <c r="BJ140" s="647" t="e">
        <f>IF(#REF!="","", IF(#REF!="Yes", TRUE, FALSE))</f>
        <v>#REF!</v>
      </c>
    </row>
    <row r="141" spans="30:62" x14ac:dyDescent="0.35">
      <c r="AD141" s="647">
        <v>132</v>
      </c>
      <c r="AE141" s="646" t="e">
        <f>IF(#REF!="","", IF(#REF!="Yes", TRUE, FALSE))</f>
        <v>#REF!</v>
      </c>
      <c r="AJ141" s="628"/>
      <c r="BH141" s="647" t="str">
        <f>IF('C-1 On-Site WaterC'' Baseline'!AU141="","", IF('C-1 On-Site WaterC'' Baseline'!AU141="Yes", TRUE, FALSE))</f>
        <v/>
      </c>
      <c r="BI141" s="647">
        <v>132</v>
      </c>
      <c r="BJ141" s="647" t="e">
        <f>IF(#REF!="","", IF(#REF!="Yes", TRUE, FALSE))</f>
        <v>#REF!</v>
      </c>
    </row>
    <row r="142" spans="30:62" x14ac:dyDescent="0.35">
      <c r="AD142" s="647">
        <v>133</v>
      </c>
      <c r="AE142" s="646" t="e">
        <f>IF(#REF!="","", IF(#REF!="Yes", TRUE, FALSE))</f>
        <v>#REF!</v>
      </c>
      <c r="AJ142" s="628"/>
      <c r="BH142" s="647" t="str">
        <f>IF('C-1 On-Site WaterC'' Baseline'!AU142="","", IF('C-1 On-Site WaterC'' Baseline'!AU142="Yes", TRUE, FALSE))</f>
        <v/>
      </c>
      <c r="BI142" s="647">
        <v>133</v>
      </c>
      <c r="BJ142" s="647" t="e">
        <f>IF(#REF!="","", IF(#REF!="Yes", TRUE, FALSE))</f>
        <v>#REF!</v>
      </c>
    </row>
    <row r="143" spans="30:62" x14ac:dyDescent="0.35">
      <c r="AD143" s="647">
        <v>134</v>
      </c>
      <c r="AE143" s="646" t="e">
        <f>IF(#REF!="","", IF(#REF!="Yes", TRUE, FALSE))</f>
        <v>#REF!</v>
      </c>
      <c r="AJ143" s="628"/>
      <c r="BH143" s="647" t="str">
        <f>IF('C-1 On-Site WaterC'' Baseline'!AU143="","", IF('C-1 On-Site WaterC'' Baseline'!AU143="Yes", TRUE, FALSE))</f>
        <v/>
      </c>
      <c r="BI143" s="647">
        <v>134</v>
      </c>
      <c r="BJ143" s="647" t="e">
        <f>IF(#REF!="","", IF(#REF!="Yes", TRUE, FALSE))</f>
        <v>#REF!</v>
      </c>
    </row>
    <row r="144" spans="30:62" x14ac:dyDescent="0.35">
      <c r="AD144" s="647">
        <v>135</v>
      </c>
      <c r="AE144" s="646" t="e">
        <f>IF(#REF!="","", IF(#REF!="Yes", TRUE, FALSE))</f>
        <v>#REF!</v>
      </c>
      <c r="AJ144" s="628"/>
      <c r="BH144" s="647" t="str">
        <f>IF('C-1 On-Site WaterC'' Baseline'!AU144="","", IF('C-1 On-Site WaterC'' Baseline'!AU144="Yes", TRUE, FALSE))</f>
        <v/>
      </c>
      <c r="BI144" s="647">
        <v>135</v>
      </c>
      <c r="BJ144" s="647" t="e">
        <f>IF(#REF!="","", IF(#REF!="Yes", TRUE, FALSE))</f>
        <v>#REF!</v>
      </c>
    </row>
    <row r="145" spans="30:62" x14ac:dyDescent="0.35">
      <c r="AD145" s="647">
        <v>136</v>
      </c>
      <c r="AE145" s="646" t="e">
        <f>IF(#REF!="","", IF(#REF!="Yes", TRUE, FALSE))</f>
        <v>#REF!</v>
      </c>
      <c r="AJ145" s="628"/>
      <c r="BH145" s="647" t="str">
        <f>IF('C-1 On-Site WaterC'' Baseline'!AU145="","", IF('C-1 On-Site WaterC'' Baseline'!AU145="Yes", TRUE, FALSE))</f>
        <v/>
      </c>
      <c r="BI145" s="647">
        <v>136</v>
      </c>
      <c r="BJ145" s="647" t="e">
        <f>IF(#REF!="","", IF(#REF!="Yes", TRUE, FALSE))</f>
        <v>#REF!</v>
      </c>
    </row>
    <row r="146" spans="30:62" x14ac:dyDescent="0.35">
      <c r="AD146" s="647">
        <v>137</v>
      </c>
      <c r="AE146" s="646" t="e">
        <f>IF(#REF!="","", IF(#REF!="Yes", TRUE, FALSE))</f>
        <v>#REF!</v>
      </c>
      <c r="AJ146" s="628"/>
      <c r="BH146" s="647" t="str">
        <f>IF('C-1 On-Site WaterC'' Baseline'!AU146="","", IF('C-1 On-Site WaterC'' Baseline'!AU146="Yes", TRUE, FALSE))</f>
        <v/>
      </c>
      <c r="BI146" s="647">
        <v>137</v>
      </c>
      <c r="BJ146" s="647" t="e">
        <f>IF(#REF!="","", IF(#REF!="Yes", TRUE, FALSE))</f>
        <v>#REF!</v>
      </c>
    </row>
    <row r="147" spans="30:62" x14ac:dyDescent="0.35">
      <c r="AD147" s="647">
        <v>138</v>
      </c>
      <c r="AE147" s="646" t="e">
        <f>IF(#REF!="","", IF(#REF!="Yes", TRUE, FALSE))</f>
        <v>#REF!</v>
      </c>
      <c r="AJ147" s="628"/>
      <c r="BH147" s="647" t="str">
        <f>IF('C-1 On-Site WaterC'' Baseline'!AU147="","", IF('C-1 On-Site WaterC'' Baseline'!AU147="Yes", TRUE, FALSE))</f>
        <v/>
      </c>
      <c r="BI147" s="647">
        <v>138</v>
      </c>
      <c r="BJ147" s="647" t="e">
        <f>IF(#REF!="","", IF(#REF!="Yes", TRUE, FALSE))</f>
        <v>#REF!</v>
      </c>
    </row>
    <row r="148" spans="30:62" x14ac:dyDescent="0.35">
      <c r="AD148" s="647">
        <v>139</v>
      </c>
      <c r="AE148" s="646" t="e">
        <f>IF(#REF!="","", IF(#REF!="Yes", TRUE, FALSE))</f>
        <v>#REF!</v>
      </c>
      <c r="AJ148" s="628"/>
      <c r="BH148" s="647" t="str">
        <f>IF('C-1 On-Site WaterC'' Baseline'!AU148="","", IF('C-1 On-Site WaterC'' Baseline'!AU148="Yes", TRUE, FALSE))</f>
        <v/>
      </c>
      <c r="BI148" s="647">
        <v>139</v>
      </c>
      <c r="BJ148" s="647" t="e">
        <f>IF(#REF!="","", IF(#REF!="Yes", TRUE, FALSE))</f>
        <v>#REF!</v>
      </c>
    </row>
    <row r="149" spans="30:62" x14ac:dyDescent="0.35">
      <c r="AD149" s="647">
        <v>140</v>
      </c>
      <c r="AE149" s="646" t="e">
        <f>IF(#REF!="","", IF(#REF!="Yes", TRUE, FALSE))</f>
        <v>#REF!</v>
      </c>
      <c r="AJ149" s="628"/>
      <c r="BH149" s="647" t="str">
        <f>IF('C-1 On-Site WaterC'' Baseline'!AU149="","", IF('C-1 On-Site WaterC'' Baseline'!AU149="Yes", TRUE, FALSE))</f>
        <v/>
      </c>
      <c r="BI149" s="647">
        <v>140</v>
      </c>
      <c r="BJ149" s="647" t="e">
        <f>IF(#REF!="","", IF(#REF!="Yes", TRUE, FALSE))</f>
        <v>#REF!</v>
      </c>
    </row>
    <row r="150" spans="30:62" x14ac:dyDescent="0.35">
      <c r="AD150" s="647">
        <v>141</v>
      </c>
      <c r="AE150" s="646" t="e">
        <f>IF(#REF!="","", IF(#REF!="Yes", TRUE, FALSE))</f>
        <v>#REF!</v>
      </c>
      <c r="AJ150" s="628"/>
      <c r="BH150" s="647" t="str">
        <f>IF('C-1 On-Site WaterC'' Baseline'!AU150="","", IF('C-1 On-Site WaterC'' Baseline'!AU150="Yes", TRUE, FALSE))</f>
        <v/>
      </c>
      <c r="BI150" s="647">
        <v>141</v>
      </c>
      <c r="BJ150" s="647" t="e">
        <f>IF(#REF!="","", IF(#REF!="Yes", TRUE, FALSE))</f>
        <v>#REF!</v>
      </c>
    </row>
    <row r="151" spans="30:62" x14ac:dyDescent="0.35">
      <c r="AD151" s="647">
        <v>142</v>
      </c>
      <c r="AE151" s="646" t="e">
        <f>IF(#REF!="","", IF(#REF!="Yes", TRUE, FALSE))</f>
        <v>#REF!</v>
      </c>
      <c r="AJ151" s="628"/>
      <c r="BH151" s="647" t="str">
        <f>IF('C-1 On-Site WaterC'' Baseline'!AU151="","", IF('C-1 On-Site WaterC'' Baseline'!AU151="Yes", TRUE, FALSE))</f>
        <v/>
      </c>
      <c r="BI151" s="647">
        <v>142</v>
      </c>
      <c r="BJ151" s="647" t="e">
        <f>IF(#REF!="","", IF(#REF!="Yes", TRUE, FALSE))</f>
        <v>#REF!</v>
      </c>
    </row>
    <row r="152" spans="30:62" x14ac:dyDescent="0.35">
      <c r="AD152" s="647">
        <v>143</v>
      </c>
      <c r="AE152" s="646" t="e">
        <f>IF(#REF!="","", IF(#REF!="Yes", TRUE, FALSE))</f>
        <v>#REF!</v>
      </c>
      <c r="AJ152" s="628"/>
      <c r="BH152" s="647" t="str">
        <f>IF('C-1 On-Site WaterC'' Baseline'!AU152="","", IF('C-1 On-Site WaterC'' Baseline'!AU152="Yes", TRUE, FALSE))</f>
        <v/>
      </c>
      <c r="BI152" s="647">
        <v>143</v>
      </c>
      <c r="BJ152" s="647" t="e">
        <f>IF(#REF!="","", IF(#REF!="Yes", TRUE, FALSE))</f>
        <v>#REF!</v>
      </c>
    </row>
    <row r="153" spans="30:62" x14ac:dyDescent="0.35">
      <c r="AD153" s="647">
        <v>144</v>
      </c>
      <c r="AE153" s="646" t="e">
        <f>IF(#REF!="","", IF(#REF!="Yes", TRUE, FALSE))</f>
        <v>#REF!</v>
      </c>
      <c r="AJ153" s="628"/>
      <c r="BH153" s="647" t="str">
        <f>IF('C-1 On-Site WaterC'' Baseline'!AU153="","", IF('C-1 On-Site WaterC'' Baseline'!AU153="Yes", TRUE, FALSE))</f>
        <v/>
      </c>
      <c r="BI153" s="647">
        <v>144</v>
      </c>
      <c r="BJ153" s="647" t="e">
        <f>IF(#REF!="","", IF(#REF!="Yes", TRUE, FALSE))</f>
        <v>#REF!</v>
      </c>
    </row>
    <row r="154" spans="30:62" x14ac:dyDescent="0.35">
      <c r="AD154" s="647">
        <v>145</v>
      </c>
      <c r="AE154" s="646" t="e">
        <f>IF(#REF!="","", IF(#REF!="Yes", TRUE, FALSE))</f>
        <v>#REF!</v>
      </c>
      <c r="AJ154" s="628"/>
      <c r="BH154" s="647" t="str">
        <f>IF('C-1 On-Site WaterC'' Baseline'!AU154="","", IF('C-1 On-Site WaterC'' Baseline'!AU154="Yes", TRUE, FALSE))</f>
        <v/>
      </c>
      <c r="BI154" s="647">
        <v>145</v>
      </c>
      <c r="BJ154" s="647" t="e">
        <f>IF(#REF!="","", IF(#REF!="Yes", TRUE, FALSE))</f>
        <v>#REF!</v>
      </c>
    </row>
    <row r="155" spans="30:62" x14ac:dyDescent="0.35">
      <c r="AD155" s="647">
        <v>146</v>
      </c>
      <c r="AE155" s="646" t="e">
        <f>IF(#REF!="","", IF(#REF!="Yes", TRUE, FALSE))</f>
        <v>#REF!</v>
      </c>
      <c r="AJ155" s="628"/>
      <c r="BH155" s="647" t="str">
        <f>IF('C-1 On-Site WaterC'' Baseline'!AU155="","", IF('C-1 On-Site WaterC'' Baseline'!AU155="Yes", TRUE, FALSE))</f>
        <v/>
      </c>
      <c r="BI155" s="647">
        <v>146</v>
      </c>
      <c r="BJ155" s="647" t="e">
        <f>IF(#REF!="","", IF(#REF!="Yes", TRUE, FALSE))</f>
        <v>#REF!</v>
      </c>
    </row>
    <row r="156" spans="30:62" x14ac:dyDescent="0.35">
      <c r="AD156" s="647">
        <v>147</v>
      </c>
      <c r="AE156" s="646" t="e">
        <f>IF(#REF!="","", IF(#REF!="Yes", TRUE, FALSE))</f>
        <v>#REF!</v>
      </c>
      <c r="AJ156" s="628"/>
      <c r="BH156" s="647" t="str">
        <f>IF('C-1 On-Site WaterC'' Baseline'!AU156="","", IF('C-1 On-Site WaterC'' Baseline'!AU156="Yes", TRUE, FALSE))</f>
        <v/>
      </c>
      <c r="BI156" s="647">
        <v>147</v>
      </c>
      <c r="BJ156" s="647" t="e">
        <f>IF(#REF!="","", IF(#REF!="Yes", TRUE, FALSE))</f>
        <v>#REF!</v>
      </c>
    </row>
    <row r="157" spans="30:62" x14ac:dyDescent="0.35">
      <c r="AD157" s="647">
        <v>148</v>
      </c>
      <c r="AE157" s="646" t="e">
        <f>IF(#REF!="","", IF(#REF!="Yes", TRUE, FALSE))</f>
        <v>#REF!</v>
      </c>
      <c r="AJ157" s="628"/>
      <c r="BH157" s="647" t="str">
        <f>IF('C-1 On-Site WaterC'' Baseline'!AU157="","", IF('C-1 On-Site WaterC'' Baseline'!AU157="Yes", TRUE, FALSE))</f>
        <v/>
      </c>
      <c r="BI157" s="647">
        <v>148</v>
      </c>
      <c r="BJ157" s="647" t="e">
        <f>IF(#REF!="","", IF(#REF!="Yes", TRUE, FALSE))</f>
        <v>#REF!</v>
      </c>
    </row>
    <row r="158" spans="30:62" x14ac:dyDescent="0.35">
      <c r="AD158" s="647">
        <v>149</v>
      </c>
      <c r="AE158" s="646" t="e">
        <f>IF(#REF!="","", IF(#REF!="Yes", TRUE, FALSE))</f>
        <v>#REF!</v>
      </c>
      <c r="AJ158" s="628"/>
      <c r="BH158" s="647" t="str">
        <f>IF('C-1 On-Site WaterC'' Baseline'!AU158="","", IF('C-1 On-Site WaterC'' Baseline'!AU158="Yes", TRUE, FALSE))</f>
        <v/>
      </c>
      <c r="BI158" s="647">
        <v>149</v>
      </c>
      <c r="BJ158" s="647" t="e">
        <f>IF(#REF!="","", IF(#REF!="Yes", TRUE, FALSE))</f>
        <v>#REF!</v>
      </c>
    </row>
    <row r="159" spans="30:62" x14ac:dyDescent="0.35">
      <c r="AD159" s="647">
        <v>150</v>
      </c>
      <c r="AE159" s="646" t="e">
        <f>IF(#REF!="","", IF(#REF!="Yes", TRUE, FALSE))</f>
        <v>#REF!</v>
      </c>
      <c r="AJ159" s="628"/>
      <c r="BH159" s="647" t="str">
        <f>IF('C-1 On-Site WaterC'' Baseline'!AU159="","", IF('C-1 On-Site WaterC'' Baseline'!AU159="Yes", TRUE, FALSE))</f>
        <v/>
      </c>
      <c r="BI159" s="647">
        <v>150</v>
      </c>
      <c r="BJ159" s="647" t="e">
        <f>IF(#REF!="","", IF(#REF!="Yes", TRUE, FALSE))</f>
        <v>#REF!</v>
      </c>
    </row>
    <row r="160" spans="30:62" x14ac:dyDescent="0.35">
      <c r="AD160" s="647">
        <v>151</v>
      </c>
      <c r="AE160" s="646" t="e">
        <f>IF(#REF!="","", IF(#REF!="Yes", TRUE, FALSE))</f>
        <v>#REF!</v>
      </c>
      <c r="AJ160" s="628"/>
      <c r="BH160" s="647" t="str">
        <f>IF('C-1 On-Site WaterC'' Baseline'!AU160="","", IF('C-1 On-Site WaterC'' Baseline'!AU160="Yes", TRUE, FALSE))</f>
        <v/>
      </c>
      <c r="BI160" s="647">
        <v>151</v>
      </c>
      <c r="BJ160" s="647" t="e">
        <f>IF(#REF!="","", IF(#REF!="Yes", TRUE, FALSE))</f>
        <v>#REF!</v>
      </c>
    </row>
    <row r="161" spans="30:62" x14ac:dyDescent="0.35">
      <c r="AD161" s="647">
        <v>152</v>
      </c>
      <c r="AE161" s="646" t="e">
        <f>IF(#REF!="","", IF(#REF!="Yes", TRUE, FALSE))</f>
        <v>#REF!</v>
      </c>
      <c r="AJ161" s="628"/>
      <c r="BH161" s="647" t="str">
        <f>IF('C-1 On-Site WaterC'' Baseline'!AU161="","", IF('C-1 On-Site WaterC'' Baseline'!AU161="Yes", TRUE, FALSE))</f>
        <v/>
      </c>
      <c r="BI161" s="647">
        <v>152</v>
      </c>
      <c r="BJ161" s="647" t="e">
        <f>IF(#REF!="","", IF(#REF!="Yes", TRUE, FALSE))</f>
        <v>#REF!</v>
      </c>
    </row>
    <row r="162" spans="30:62" x14ac:dyDescent="0.35">
      <c r="AD162" s="647">
        <v>153</v>
      </c>
      <c r="AE162" s="646" t="e">
        <f>IF(#REF!="","", IF(#REF!="Yes", TRUE, FALSE))</f>
        <v>#REF!</v>
      </c>
      <c r="AJ162" s="628"/>
      <c r="BH162" s="647" t="str">
        <f>IF('C-1 On-Site WaterC'' Baseline'!AU162="","", IF('C-1 On-Site WaterC'' Baseline'!AU162="Yes", TRUE, FALSE))</f>
        <v/>
      </c>
      <c r="BI162" s="647">
        <v>153</v>
      </c>
      <c r="BJ162" s="647" t="e">
        <f>IF(#REF!="","", IF(#REF!="Yes", TRUE, FALSE))</f>
        <v>#REF!</v>
      </c>
    </row>
    <row r="163" spans="30:62" x14ac:dyDescent="0.35">
      <c r="AD163" s="647">
        <v>154</v>
      </c>
      <c r="AE163" s="646" t="e">
        <f>IF(#REF!="","", IF(#REF!="Yes", TRUE, FALSE))</f>
        <v>#REF!</v>
      </c>
      <c r="AJ163" s="628"/>
      <c r="BH163" s="647" t="str">
        <f>IF('C-1 On-Site WaterC'' Baseline'!AU163="","", IF('C-1 On-Site WaterC'' Baseline'!AU163="Yes", TRUE, FALSE))</f>
        <v/>
      </c>
      <c r="BI163" s="647">
        <v>154</v>
      </c>
      <c r="BJ163" s="647" t="e">
        <f>IF(#REF!="","", IF(#REF!="Yes", TRUE, FALSE))</f>
        <v>#REF!</v>
      </c>
    </row>
    <row r="164" spans="30:62" x14ac:dyDescent="0.35">
      <c r="AD164" s="647">
        <v>155</v>
      </c>
      <c r="AE164" s="646" t="e">
        <f>IF(#REF!="","", IF(#REF!="Yes", TRUE, FALSE))</f>
        <v>#REF!</v>
      </c>
      <c r="AJ164" s="628"/>
      <c r="BH164" s="647" t="str">
        <f>IF('C-1 On-Site WaterC'' Baseline'!AU164="","", IF('C-1 On-Site WaterC'' Baseline'!AU164="Yes", TRUE, FALSE))</f>
        <v/>
      </c>
      <c r="BI164" s="647">
        <v>155</v>
      </c>
      <c r="BJ164" s="647" t="e">
        <f>IF(#REF!="","", IF(#REF!="Yes", TRUE, FALSE))</f>
        <v>#REF!</v>
      </c>
    </row>
    <row r="165" spans="30:62" x14ac:dyDescent="0.35">
      <c r="AD165" s="647">
        <v>156</v>
      </c>
      <c r="AE165" s="646" t="e">
        <f>IF(#REF!="","", IF(#REF!="Yes", TRUE, FALSE))</f>
        <v>#REF!</v>
      </c>
      <c r="AJ165" s="628"/>
      <c r="BH165" s="647" t="str">
        <f>IF('C-1 On-Site WaterC'' Baseline'!AU165="","", IF('C-1 On-Site WaterC'' Baseline'!AU165="Yes", TRUE, FALSE))</f>
        <v/>
      </c>
      <c r="BI165" s="647">
        <v>156</v>
      </c>
      <c r="BJ165" s="647" t="e">
        <f>IF(#REF!="","", IF(#REF!="Yes", TRUE, FALSE))</f>
        <v>#REF!</v>
      </c>
    </row>
    <row r="166" spans="30:62" x14ac:dyDescent="0.35">
      <c r="AD166" s="647">
        <v>157</v>
      </c>
      <c r="AE166" s="646" t="e">
        <f>IF(#REF!="","", IF(#REF!="Yes", TRUE, FALSE))</f>
        <v>#REF!</v>
      </c>
      <c r="AJ166" s="628"/>
      <c r="BH166" s="647" t="str">
        <f>IF('C-1 On-Site WaterC'' Baseline'!AU166="","", IF('C-1 On-Site WaterC'' Baseline'!AU166="Yes", TRUE, FALSE))</f>
        <v/>
      </c>
      <c r="BI166" s="647">
        <v>157</v>
      </c>
      <c r="BJ166" s="647" t="e">
        <f>IF(#REF!="","", IF(#REF!="Yes", TRUE, FALSE))</f>
        <v>#REF!</v>
      </c>
    </row>
    <row r="167" spans="30:62" x14ac:dyDescent="0.35">
      <c r="AD167" s="647">
        <v>158</v>
      </c>
      <c r="AE167" s="646" t="e">
        <f>IF(#REF!="","", IF(#REF!="Yes", TRUE, FALSE))</f>
        <v>#REF!</v>
      </c>
      <c r="AJ167" s="628"/>
      <c r="BH167" s="647" t="str">
        <f>IF('C-1 On-Site WaterC'' Baseline'!AU167="","", IF('C-1 On-Site WaterC'' Baseline'!AU167="Yes", TRUE, FALSE))</f>
        <v/>
      </c>
      <c r="BI167" s="647">
        <v>158</v>
      </c>
      <c r="BJ167" s="647" t="e">
        <f>IF(#REF!="","", IF(#REF!="Yes", TRUE, FALSE))</f>
        <v>#REF!</v>
      </c>
    </row>
    <row r="168" spans="30:62" x14ac:dyDescent="0.35">
      <c r="AD168" s="647">
        <v>159</v>
      </c>
      <c r="AE168" s="646" t="e">
        <f>IF(#REF!="","", IF(#REF!="Yes", TRUE, FALSE))</f>
        <v>#REF!</v>
      </c>
      <c r="AJ168" s="628"/>
      <c r="BH168" s="647" t="str">
        <f>IF('C-1 On-Site WaterC'' Baseline'!AU168="","", IF('C-1 On-Site WaterC'' Baseline'!AU168="Yes", TRUE, FALSE))</f>
        <v/>
      </c>
      <c r="BI168" s="647">
        <v>159</v>
      </c>
      <c r="BJ168" s="647" t="e">
        <f>IF(#REF!="","", IF(#REF!="Yes", TRUE, FALSE))</f>
        <v>#REF!</v>
      </c>
    </row>
    <row r="169" spans="30:62" x14ac:dyDescent="0.35">
      <c r="AD169" s="647">
        <v>160</v>
      </c>
      <c r="AE169" s="646" t="e">
        <f>IF(#REF!="","", IF(#REF!="Yes", TRUE, FALSE))</f>
        <v>#REF!</v>
      </c>
      <c r="AJ169" s="628"/>
      <c r="BH169" s="647" t="str">
        <f>IF('C-1 On-Site WaterC'' Baseline'!AU169="","", IF('C-1 On-Site WaterC'' Baseline'!AU169="Yes", TRUE, FALSE))</f>
        <v/>
      </c>
      <c r="BI169" s="647">
        <v>160</v>
      </c>
      <c r="BJ169" s="647" t="e">
        <f>IF(#REF!="","", IF(#REF!="Yes", TRUE, FALSE))</f>
        <v>#REF!</v>
      </c>
    </row>
    <row r="170" spans="30:62" x14ac:dyDescent="0.35">
      <c r="AD170" s="647">
        <v>161</v>
      </c>
      <c r="AE170" s="646" t="e">
        <f>IF(#REF!="","", IF(#REF!="Yes", TRUE, FALSE))</f>
        <v>#REF!</v>
      </c>
      <c r="AJ170" s="628"/>
      <c r="BH170" s="647" t="str">
        <f>IF('C-1 On-Site WaterC'' Baseline'!AU170="","", IF('C-1 On-Site WaterC'' Baseline'!AU170="Yes", TRUE, FALSE))</f>
        <v/>
      </c>
      <c r="BI170" s="647">
        <v>161</v>
      </c>
      <c r="BJ170" s="647" t="e">
        <f>IF(#REF!="","", IF(#REF!="Yes", TRUE, FALSE))</f>
        <v>#REF!</v>
      </c>
    </row>
    <row r="171" spans="30:62" x14ac:dyDescent="0.35">
      <c r="AD171" s="647">
        <v>162</v>
      </c>
      <c r="AE171" s="646" t="e">
        <f>IF(#REF!="","", IF(#REF!="Yes", TRUE, FALSE))</f>
        <v>#REF!</v>
      </c>
      <c r="AJ171" s="628"/>
      <c r="BH171" s="647" t="str">
        <f>IF('C-1 On-Site WaterC'' Baseline'!AU171="","", IF('C-1 On-Site WaterC'' Baseline'!AU171="Yes", TRUE, FALSE))</f>
        <v/>
      </c>
      <c r="BI171" s="647">
        <v>162</v>
      </c>
      <c r="BJ171" s="647" t="e">
        <f>IF(#REF!="","", IF(#REF!="Yes", TRUE, FALSE))</f>
        <v>#REF!</v>
      </c>
    </row>
    <row r="172" spans="30:62" x14ac:dyDescent="0.35">
      <c r="AD172" s="647">
        <v>163</v>
      </c>
      <c r="AE172" s="646" t="e">
        <f>IF(#REF!="","", IF(#REF!="Yes", TRUE, FALSE))</f>
        <v>#REF!</v>
      </c>
      <c r="AJ172" s="628"/>
      <c r="BH172" s="647" t="str">
        <f>IF('C-1 On-Site WaterC'' Baseline'!AU172="","", IF('C-1 On-Site WaterC'' Baseline'!AU172="Yes", TRUE, FALSE))</f>
        <v/>
      </c>
      <c r="BI172" s="647">
        <v>163</v>
      </c>
      <c r="BJ172" s="647" t="e">
        <f>IF(#REF!="","", IF(#REF!="Yes", TRUE, FALSE))</f>
        <v>#REF!</v>
      </c>
    </row>
    <row r="173" spans="30:62" x14ac:dyDescent="0.35">
      <c r="AD173" s="647">
        <v>164</v>
      </c>
      <c r="AE173" s="646" t="e">
        <f>IF(#REF!="","", IF(#REF!="Yes", TRUE, FALSE))</f>
        <v>#REF!</v>
      </c>
      <c r="AJ173" s="628"/>
      <c r="BH173" s="647" t="str">
        <f>IF('C-1 On-Site WaterC'' Baseline'!AU173="","", IF('C-1 On-Site WaterC'' Baseline'!AU173="Yes", TRUE, FALSE))</f>
        <v/>
      </c>
      <c r="BI173" s="647">
        <v>164</v>
      </c>
      <c r="BJ173" s="647" t="e">
        <f>IF(#REF!="","", IF(#REF!="Yes", TRUE, FALSE))</f>
        <v>#REF!</v>
      </c>
    </row>
    <row r="174" spans="30:62" x14ac:dyDescent="0.35">
      <c r="AD174" s="647">
        <v>165</v>
      </c>
      <c r="AE174" s="646" t="e">
        <f>IF(#REF!="","", IF(#REF!="Yes", TRUE, FALSE))</f>
        <v>#REF!</v>
      </c>
      <c r="AJ174" s="628"/>
      <c r="BH174" s="647" t="str">
        <f>IF('C-1 On-Site WaterC'' Baseline'!AU174="","", IF('C-1 On-Site WaterC'' Baseline'!AU174="Yes", TRUE, FALSE))</f>
        <v/>
      </c>
      <c r="BI174" s="647">
        <v>165</v>
      </c>
      <c r="BJ174" s="647" t="e">
        <f>IF(#REF!="","", IF(#REF!="Yes", TRUE, FALSE))</f>
        <v>#REF!</v>
      </c>
    </row>
    <row r="175" spans="30:62" x14ac:dyDescent="0.35">
      <c r="AD175" s="647">
        <v>166</v>
      </c>
      <c r="AE175" s="646" t="e">
        <f>IF(#REF!="","", IF(#REF!="Yes", TRUE, FALSE))</f>
        <v>#REF!</v>
      </c>
      <c r="AJ175" s="628"/>
      <c r="BH175" s="647" t="str">
        <f>IF('C-1 On-Site WaterC'' Baseline'!AU175="","", IF('C-1 On-Site WaterC'' Baseline'!AU175="Yes", TRUE, FALSE))</f>
        <v/>
      </c>
      <c r="BI175" s="647">
        <v>166</v>
      </c>
      <c r="BJ175" s="647" t="e">
        <f>IF(#REF!="","", IF(#REF!="Yes", TRUE, FALSE))</f>
        <v>#REF!</v>
      </c>
    </row>
    <row r="176" spans="30:62" x14ac:dyDescent="0.35">
      <c r="AD176" s="647">
        <v>167</v>
      </c>
      <c r="AE176" s="646" t="e">
        <f>IF(#REF!="","", IF(#REF!="Yes", TRUE, FALSE))</f>
        <v>#REF!</v>
      </c>
      <c r="AJ176" s="628"/>
      <c r="BH176" s="647" t="str">
        <f>IF('C-1 On-Site WaterC'' Baseline'!AU176="","", IF('C-1 On-Site WaterC'' Baseline'!AU176="Yes", TRUE, FALSE))</f>
        <v/>
      </c>
      <c r="BI176" s="647">
        <v>167</v>
      </c>
      <c r="BJ176" s="647" t="e">
        <f>IF(#REF!="","", IF(#REF!="Yes", TRUE, FALSE))</f>
        <v>#REF!</v>
      </c>
    </row>
    <row r="177" spans="30:62" x14ac:dyDescent="0.35">
      <c r="AD177" s="647">
        <v>168</v>
      </c>
      <c r="AE177" s="646" t="e">
        <f>IF(#REF!="","", IF(#REF!="Yes", TRUE, FALSE))</f>
        <v>#REF!</v>
      </c>
      <c r="AJ177" s="628"/>
      <c r="BH177" s="647" t="str">
        <f>IF('C-1 On-Site WaterC'' Baseline'!AU177="","", IF('C-1 On-Site WaterC'' Baseline'!AU177="Yes", TRUE, FALSE))</f>
        <v/>
      </c>
      <c r="BI177" s="647">
        <v>168</v>
      </c>
      <c r="BJ177" s="647" t="e">
        <f>IF(#REF!="","", IF(#REF!="Yes", TRUE, FALSE))</f>
        <v>#REF!</v>
      </c>
    </row>
    <row r="178" spans="30:62" x14ac:dyDescent="0.35">
      <c r="AD178" s="647">
        <v>169</v>
      </c>
      <c r="AE178" s="646" t="e">
        <f>IF(#REF!="","", IF(#REF!="Yes", TRUE, FALSE))</f>
        <v>#REF!</v>
      </c>
      <c r="AJ178" s="628"/>
      <c r="BH178" s="647" t="str">
        <f>IF('C-1 On-Site WaterC'' Baseline'!AU178="","", IF('C-1 On-Site WaterC'' Baseline'!AU178="Yes", TRUE, FALSE))</f>
        <v/>
      </c>
      <c r="BI178" s="647">
        <v>169</v>
      </c>
      <c r="BJ178" s="647" t="e">
        <f>IF(#REF!="","", IF(#REF!="Yes", TRUE, FALSE))</f>
        <v>#REF!</v>
      </c>
    </row>
    <row r="179" spans="30:62" x14ac:dyDescent="0.35">
      <c r="AD179" s="647">
        <v>170</v>
      </c>
      <c r="AE179" s="646" t="e">
        <f>IF(#REF!="","", IF(#REF!="Yes", TRUE, FALSE))</f>
        <v>#REF!</v>
      </c>
      <c r="AJ179" s="628"/>
      <c r="BH179" s="647" t="str">
        <f>IF('C-1 On-Site WaterC'' Baseline'!AU179="","", IF('C-1 On-Site WaterC'' Baseline'!AU179="Yes", TRUE, FALSE))</f>
        <v/>
      </c>
      <c r="BI179" s="647">
        <v>170</v>
      </c>
      <c r="BJ179" s="647" t="e">
        <f>IF(#REF!="","", IF(#REF!="Yes", TRUE, FALSE))</f>
        <v>#REF!</v>
      </c>
    </row>
    <row r="180" spans="30:62" x14ac:dyDescent="0.35">
      <c r="AD180" s="647">
        <v>171</v>
      </c>
      <c r="AE180" s="646" t="e">
        <f>IF(#REF!="","", IF(#REF!="Yes", TRUE, FALSE))</f>
        <v>#REF!</v>
      </c>
      <c r="AJ180" s="628"/>
      <c r="BH180" s="647" t="str">
        <f>IF('C-1 On-Site WaterC'' Baseline'!AU180="","", IF('C-1 On-Site WaterC'' Baseline'!AU180="Yes", TRUE, FALSE))</f>
        <v/>
      </c>
      <c r="BI180" s="647">
        <v>171</v>
      </c>
      <c r="BJ180" s="647" t="e">
        <f>IF(#REF!="","", IF(#REF!="Yes", TRUE, FALSE))</f>
        <v>#REF!</v>
      </c>
    </row>
    <row r="181" spans="30:62" x14ac:dyDescent="0.35">
      <c r="AD181" s="647">
        <v>172</v>
      </c>
      <c r="AE181" s="646" t="e">
        <f>IF(#REF!="","", IF(#REF!="Yes", TRUE, FALSE))</f>
        <v>#REF!</v>
      </c>
      <c r="AJ181" s="628"/>
      <c r="BH181" s="647" t="str">
        <f>IF('C-1 On-Site WaterC'' Baseline'!AU181="","", IF('C-1 On-Site WaterC'' Baseline'!AU181="Yes", TRUE, FALSE))</f>
        <v/>
      </c>
      <c r="BI181" s="647">
        <v>172</v>
      </c>
      <c r="BJ181" s="647" t="e">
        <f>IF(#REF!="","", IF(#REF!="Yes", TRUE, FALSE))</f>
        <v>#REF!</v>
      </c>
    </row>
    <row r="182" spans="30:62" x14ac:dyDescent="0.35">
      <c r="AD182" s="647">
        <v>173</v>
      </c>
      <c r="AE182" s="646" t="e">
        <f>IF(#REF!="","", IF(#REF!="Yes", TRUE, FALSE))</f>
        <v>#REF!</v>
      </c>
      <c r="AJ182" s="628"/>
      <c r="BH182" s="647" t="str">
        <f>IF('C-1 On-Site WaterC'' Baseline'!AU182="","", IF('C-1 On-Site WaterC'' Baseline'!AU182="Yes", TRUE, FALSE))</f>
        <v/>
      </c>
      <c r="BI182" s="647">
        <v>173</v>
      </c>
      <c r="BJ182" s="647" t="e">
        <f>IF(#REF!="","", IF(#REF!="Yes", TRUE, FALSE))</f>
        <v>#REF!</v>
      </c>
    </row>
    <row r="183" spans="30:62" x14ac:dyDescent="0.35">
      <c r="AD183" s="647">
        <v>174</v>
      </c>
      <c r="AE183" s="646" t="e">
        <f>IF(#REF!="","", IF(#REF!="Yes", TRUE, FALSE))</f>
        <v>#REF!</v>
      </c>
      <c r="AJ183" s="628"/>
      <c r="BH183" s="647" t="str">
        <f>IF('C-1 On-Site WaterC'' Baseline'!AU183="","", IF('C-1 On-Site WaterC'' Baseline'!AU183="Yes", TRUE, FALSE))</f>
        <v/>
      </c>
      <c r="BI183" s="647">
        <v>174</v>
      </c>
      <c r="BJ183" s="647" t="e">
        <f>IF(#REF!="","", IF(#REF!="Yes", TRUE, FALSE))</f>
        <v>#REF!</v>
      </c>
    </row>
    <row r="184" spans="30:62" x14ac:dyDescent="0.35">
      <c r="AD184" s="647">
        <v>175</v>
      </c>
      <c r="AE184" s="646" t="e">
        <f>IF(#REF!="","", IF(#REF!="Yes", TRUE, FALSE))</f>
        <v>#REF!</v>
      </c>
      <c r="AJ184" s="628"/>
      <c r="BH184" s="647" t="str">
        <f>IF('C-1 On-Site WaterC'' Baseline'!AU184="","", IF('C-1 On-Site WaterC'' Baseline'!AU184="Yes", TRUE, FALSE))</f>
        <v/>
      </c>
      <c r="BI184" s="647">
        <v>175</v>
      </c>
      <c r="BJ184" s="647" t="e">
        <f>IF(#REF!="","", IF(#REF!="Yes", TRUE, FALSE))</f>
        <v>#REF!</v>
      </c>
    </row>
    <row r="185" spans="30:62" x14ac:dyDescent="0.35">
      <c r="AD185" s="647">
        <v>176</v>
      </c>
      <c r="AE185" s="646" t="e">
        <f>IF(#REF!="","", IF(#REF!="Yes", TRUE, FALSE))</f>
        <v>#REF!</v>
      </c>
      <c r="AJ185" s="628"/>
      <c r="BH185" s="647" t="str">
        <f>IF('C-1 On-Site WaterC'' Baseline'!AU185="","", IF('C-1 On-Site WaterC'' Baseline'!AU185="Yes", TRUE, FALSE))</f>
        <v/>
      </c>
      <c r="BI185" s="647">
        <v>176</v>
      </c>
      <c r="BJ185" s="647" t="e">
        <f>IF(#REF!="","", IF(#REF!="Yes", TRUE, FALSE))</f>
        <v>#REF!</v>
      </c>
    </row>
    <row r="186" spans="30:62" x14ac:dyDescent="0.35">
      <c r="AD186" s="647">
        <v>177</v>
      </c>
      <c r="AE186" s="646" t="e">
        <f>IF(#REF!="","", IF(#REF!="Yes", TRUE, FALSE))</f>
        <v>#REF!</v>
      </c>
      <c r="AJ186" s="628"/>
      <c r="BH186" s="647" t="str">
        <f>IF('C-1 On-Site WaterC'' Baseline'!AU186="","", IF('C-1 On-Site WaterC'' Baseline'!AU186="Yes", TRUE, FALSE))</f>
        <v/>
      </c>
      <c r="BI186" s="647">
        <v>177</v>
      </c>
      <c r="BJ186" s="647" t="e">
        <f>IF(#REF!="","", IF(#REF!="Yes", TRUE, FALSE))</f>
        <v>#REF!</v>
      </c>
    </row>
    <row r="187" spans="30:62" x14ac:dyDescent="0.35">
      <c r="AD187" s="647">
        <v>178</v>
      </c>
      <c r="AE187" s="646" t="e">
        <f>IF(#REF!="","", IF(#REF!="Yes", TRUE, FALSE))</f>
        <v>#REF!</v>
      </c>
      <c r="AJ187" s="628"/>
      <c r="BH187" s="647" t="str">
        <f>IF('C-1 On-Site WaterC'' Baseline'!AU187="","", IF('C-1 On-Site WaterC'' Baseline'!AU187="Yes", TRUE, FALSE))</f>
        <v/>
      </c>
      <c r="BI187" s="647">
        <v>178</v>
      </c>
      <c r="BJ187" s="647" t="e">
        <f>IF(#REF!="","", IF(#REF!="Yes", TRUE, FALSE))</f>
        <v>#REF!</v>
      </c>
    </row>
    <row r="188" spans="30:62" x14ac:dyDescent="0.35">
      <c r="AD188" s="647">
        <v>179</v>
      </c>
      <c r="AE188" s="646" t="e">
        <f>IF(#REF!="","", IF(#REF!="Yes", TRUE, FALSE))</f>
        <v>#REF!</v>
      </c>
      <c r="AJ188" s="628"/>
      <c r="BH188" s="647" t="str">
        <f>IF('C-1 On-Site WaterC'' Baseline'!AU188="","", IF('C-1 On-Site WaterC'' Baseline'!AU188="Yes", TRUE, FALSE))</f>
        <v/>
      </c>
      <c r="BI188" s="647">
        <v>179</v>
      </c>
      <c r="BJ188" s="647" t="e">
        <f>IF(#REF!="","", IF(#REF!="Yes", TRUE, FALSE))</f>
        <v>#REF!</v>
      </c>
    </row>
    <row r="189" spans="30:62" x14ac:dyDescent="0.35">
      <c r="AD189" s="647">
        <v>180</v>
      </c>
      <c r="AE189" s="646" t="e">
        <f>IF(#REF!="","", IF(#REF!="Yes", TRUE, FALSE))</f>
        <v>#REF!</v>
      </c>
      <c r="AJ189" s="628"/>
      <c r="BH189" s="647" t="str">
        <f>IF('C-1 On-Site WaterC'' Baseline'!AU189="","", IF('C-1 On-Site WaterC'' Baseline'!AU189="Yes", TRUE, FALSE))</f>
        <v/>
      </c>
      <c r="BI189" s="647">
        <v>180</v>
      </c>
      <c r="BJ189" s="647" t="e">
        <f>IF(#REF!="","", IF(#REF!="Yes", TRUE, FALSE))</f>
        <v>#REF!</v>
      </c>
    </row>
    <row r="190" spans="30:62" x14ac:dyDescent="0.35">
      <c r="AD190" s="647">
        <v>181</v>
      </c>
      <c r="AE190" s="646" t="e">
        <f>IF(#REF!="","", IF(#REF!="Yes", TRUE, FALSE))</f>
        <v>#REF!</v>
      </c>
      <c r="AJ190" s="628"/>
      <c r="BH190" s="647" t="str">
        <f>IF('C-1 On-Site WaterC'' Baseline'!AU190="","", IF('C-1 On-Site WaterC'' Baseline'!AU190="Yes", TRUE, FALSE))</f>
        <v/>
      </c>
      <c r="BI190" s="647">
        <v>181</v>
      </c>
      <c r="BJ190" s="647" t="e">
        <f>IF(#REF!="","", IF(#REF!="Yes", TRUE, FALSE))</f>
        <v>#REF!</v>
      </c>
    </row>
    <row r="191" spans="30:62" x14ac:dyDescent="0.35">
      <c r="AD191" s="647">
        <v>182</v>
      </c>
      <c r="AE191" s="646" t="e">
        <f>IF(#REF!="","", IF(#REF!="Yes", TRUE, FALSE))</f>
        <v>#REF!</v>
      </c>
      <c r="AJ191" s="628"/>
      <c r="BH191" s="647" t="str">
        <f>IF('C-1 On-Site WaterC'' Baseline'!AU191="","", IF('C-1 On-Site WaterC'' Baseline'!AU191="Yes", TRUE, FALSE))</f>
        <v/>
      </c>
      <c r="BI191" s="647">
        <v>182</v>
      </c>
      <c r="BJ191" s="647" t="e">
        <f>IF(#REF!="","", IF(#REF!="Yes", TRUE, FALSE))</f>
        <v>#REF!</v>
      </c>
    </row>
    <row r="192" spans="30:62" x14ac:dyDescent="0.35">
      <c r="AD192" s="647">
        <v>183</v>
      </c>
      <c r="AE192" s="646" t="e">
        <f>IF(#REF!="","", IF(#REF!="Yes", TRUE, FALSE))</f>
        <v>#REF!</v>
      </c>
      <c r="AJ192" s="628"/>
      <c r="BH192" s="647" t="str">
        <f>IF('C-1 On-Site WaterC'' Baseline'!AU192="","", IF('C-1 On-Site WaterC'' Baseline'!AU192="Yes", TRUE, FALSE))</f>
        <v/>
      </c>
      <c r="BI192" s="647">
        <v>183</v>
      </c>
      <c r="BJ192" s="647" t="e">
        <f>IF(#REF!="","", IF(#REF!="Yes", TRUE, FALSE))</f>
        <v>#REF!</v>
      </c>
    </row>
    <row r="193" spans="30:62" x14ac:dyDescent="0.35">
      <c r="AD193" s="647">
        <v>184</v>
      </c>
      <c r="AE193" s="646" t="e">
        <f>IF(#REF!="","", IF(#REF!="Yes", TRUE, FALSE))</f>
        <v>#REF!</v>
      </c>
      <c r="AJ193" s="628"/>
      <c r="BH193" s="647" t="str">
        <f>IF('C-1 On-Site WaterC'' Baseline'!AU193="","", IF('C-1 On-Site WaterC'' Baseline'!AU193="Yes", TRUE, FALSE))</f>
        <v/>
      </c>
      <c r="BI193" s="647">
        <v>184</v>
      </c>
      <c r="BJ193" s="647" t="e">
        <f>IF(#REF!="","", IF(#REF!="Yes", TRUE, FALSE))</f>
        <v>#REF!</v>
      </c>
    </row>
    <row r="194" spans="30:62" x14ac:dyDescent="0.35">
      <c r="AD194" s="647">
        <v>185</v>
      </c>
      <c r="AE194" s="646" t="e">
        <f>IF(#REF!="","", IF(#REF!="Yes", TRUE, FALSE))</f>
        <v>#REF!</v>
      </c>
      <c r="AJ194" s="628"/>
      <c r="BH194" s="647" t="str">
        <f>IF('C-1 On-Site WaterC'' Baseline'!AU194="","", IF('C-1 On-Site WaterC'' Baseline'!AU194="Yes", TRUE, FALSE))</f>
        <v/>
      </c>
      <c r="BI194" s="647">
        <v>185</v>
      </c>
      <c r="BJ194" s="647" t="e">
        <f>IF(#REF!="","", IF(#REF!="Yes", TRUE, FALSE))</f>
        <v>#REF!</v>
      </c>
    </row>
    <row r="195" spans="30:62" x14ac:dyDescent="0.35">
      <c r="AD195" s="647">
        <v>186</v>
      </c>
      <c r="AE195" s="646" t="e">
        <f>IF(#REF!="","", IF(#REF!="Yes", TRUE, FALSE))</f>
        <v>#REF!</v>
      </c>
      <c r="AJ195" s="628"/>
      <c r="BH195" s="647" t="str">
        <f>IF('C-1 On-Site WaterC'' Baseline'!AU195="","", IF('C-1 On-Site WaterC'' Baseline'!AU195="Yes", TRUE, FALSE))</f>
        <v/>
      </c>
      <c r="BI195" s="647">
        <v>186</v>
      </c>
      <c r="BJ195" s="647" t="e">
        <f>IF(#REF!="","", IF(#REF!="Yes", TRUE, FALSE))</f>
        <v>#REF!</v>
      </c>
    </row>
    <row r="196" spans="30:62" x14ac:dyDescent="0.35">
      <c r="AD196" s="647">
        <v>187</v>
      </c>
      <c r="AE196" s="646" t="e">
        <f>IF(#REF!="","", IF(#REF!="Yes", TRUE, FALSE))</f>
        <v>#REF!</v>
      </c>
      <c r="AJ196" s="628"/>
      <c r="BH196" s="647" t="str">
        <f>IF('C-1 On-Site WaterC'' Baseline'!AU196="","", IF('C-1 On-Site WaterC'' Baseline'!AU196="Yes", TRUE, FALSE))</f>
        <v/>
      </c>
      <c r="BI196" s="647">
        <v>187</v>
      </c>
      <c r="BJ196" s="647" t="e">
        <f>IF(#REF!="","", IF(#REF!="Yes", TRUE, FALSE))</f>
        <v>#REF!</v>
      </c>
    </row>
    <row r="197" spans="30:62" x14ac:dyDescent="0.35">
      <c r="AD197" s="647">
        <v>188</v>
      </c>
      <c r="AE197" s="646" t="e">
        <f>IF(#REF!="","", IF(#REF!="Yes", TRUE, FALSE))</f>
        <v>#REF!</v>
      </c>
      <c r="AJ197" s="628"/>
      <c r="BH197" s="647" t="str">
        <f>IF('C-1 On-Site WaterC'' Baseline'!AU197="","", IF('C-1 On-Site WaterC'' Baseline'!AU197="Yes", TRUE, FALSE))</f>
        <v/>
      </c>
      <c r="BI197" s="647">
        <v>188</v>
      </c>
      <c r="BJ197" s="647" t="e">
        <f>IF(#REF!="","", IF(#REF!="Yes", TRUE, FALSE))</f>
        <v>#REF!</v>
      </c>
    </row>
    <row r="198" spans="30:62" x14ac:dyDescent="0.35">
      <c r="AD198" s="647">
        <v>189</v>
      </c>
      <c r="AE198" s="646" t="e">
        <f>IF(#REF!="","", IF(#REF!="Yes", TRUE, FALSE))</f>
        <v>#REF!</v>
      </c>
      <c r="AJ198" s="628"/>
      <c r="BH198" s="647" t="str">
        <f>IF('C-1 On-Site WaterC'' Baseline'!AU198="","", IF('C-1 On-Site WaterC'' Baseline'!AU198="Yes", TRUE, FALSE))</f>
        <v/>
      </c>
      <c r="BI198" s="647">
        <v>189</v>
      </c>
      <c r="BJ198" s="647" t="e">
        <f>IF(#REF!="","", IF(#REF!="Yes", TRUE, FALSE))</f>
        <v>#REF!</v>
      </c>
    </row>
    <row r="199" spans="30:62" x14ac:dyDescent="0.35">
      <c r="AD199" s="647">
        <v>190</v>
      </c>
      <c r="AE199" s="646" t="e">
        <f>IF(#REF!="","", IF(#REF!="Yes", TRUE, FALSE))</f>
        <v>#REF!</v>
      </c>
      <c r="AJ199" s="628"/>
      <c r="BH199" s="647" t="str">
        <f>IF('C-1 On-Site WaterC'' Baseline'!AU199="","", IF('C-1 On-Site WaterC'' Baseline'!AU199="Yes", TRUE, FALSE))</f>
        <v/>
      </c>
      <c r="BI199" s="647">
        <v>190</v>
      </c>
      <c r="BJ199" s="647" t="e">
        <f>IF(#REF!="","", IF(#REF!="Yes", TRUE, FALSE))</f>
        <v>#REF!</v>
      </c>
    </row>
    <row r="200" spans="30:62" x14ac:dyDescent="0.35">
      <c r="AD200" s="647">
        <v>191</v>
      </c>
      <c r="AE200" s="646" t="e">
        <f>IF(#REF!="","", IF(#REF!="Yes", TRUE, FALSE))</f>
        <v>#REF!</v>
      </c>
      <c r="AJ200" s="628"/>
      <c r="BH200" s="647" t="str">
        <f>IF('C-1 On-Site WaterC'' Baseline'!AU200="","", IF('C-1 On-Site WaterC'' Baseline'!AU200="Yes", TRUE, FALSE))</f>
        <v/>
      </c>
      <c r="BI200" s="647">
        <v>191</v>
      </c>
      <c r="BJ200" s="647" t="e">
        <f>IF(#REF!="","", IF(#REF!="Yes", TRUE, FALSE))</f>
        <v>#REF!</v>
      </c>
    </row>
    <row r="201" spans="30:62" x14ac:dyDescent="0.35">
      <c r="AD201" s="647">
        <v>192</v>
      </c>
      <c r="AE201" s="646" t="e">
        <f>IF(#REF!="","", IF(#REF!="Yes", TRUE, FALSE))</f>
        <v>#REF!</v>
      </c>
      <c r="AJ201" s="628"/>
      <c r="BH201" s="647" t="str">
        <f>IF('C-1 On-Site WaterC'' Baseline'!AU201="","", IF('C-1 On-Site WaterC'' Baseline'!AU201="Yes", TRUE, FALSE))</f>
        <v/>
      </c>
      <c r="BI201" s="647">
        <v>192</v>
      </c>
      <c r="BJ201" s="647" t="e">
        <f>IF(#REF!="","", IF(#REF!="Yes", TRUE, FALSE))</f>
        <v>#REF!</v>
      </c>
    </row>
    <row r="202" spans="30:62" x14ac:dyDescent="0.35">
      <c r="AD202" s="647">
        <v>193</v>
      </c>
      <c r="AE202" s="646" t="e">
        <f>IF(#REF!="","", IF(#REF!="Yes", TRUE, FALSE))</f>
        <v>#REF!</v>
      </c>
      <c r="AJ202" s="628"/>
      <c r="BH202" s="647" t="str">
        <f>IF('C-1 On-Site WaterC'' Baseline'!AU202="","", IF('C-1 On-Site WaterC'' Baseline'!AU202="Yes", TRUE, FALSE))</f>
        <v/>
      </c>
      <c r="BI202" s="647">
        <v>193</v>
      </c>
      <c r="BJ202" s="647" t="e">
        <f>IF(#REF!="","", IF(#REF!="Yes", TRUE, FALSE))</f>
        <v>#REF!</v>
      </c>
    </row>
    <row r="203" spans="30:62" x14ac:dyDescent="0.35">
      <c r="AD203" s="647">
        <v>194</v>
      </c>
      <c r="AE203" s="646" t="e">
        <f>IF(#REF!="","", IF(#REF!="Yes", TRUE, FALSE))</f>
        <v>#REF!</v>
      </c>
      <c r="AJ203" s="628"/>
      <c r="BH203" s="647" t="str">
        <f>IF('C-1 On-Site WaterC'' Baseline'!AU203="","", IF('C-1 On-Site WaterC'' Baseline'!AU203="Yes", TRUE, FALSE))</f>
        <v/>
      </c>
      <c r="BI203" s="647">
        <v>194</v>
      </c>
      <c r="BJ203" s="647" t="e">
        <f>IF(#REF!="","", IF(#REF!="Yes", TRUE, FALSE))</f>
        <v>#REF!</v>
      </c>
    </row>
    <row r="204" spans="30:62" x14ac:dyDescent="0.35">
      <c r="AD204" s="647">
        <v>195</v>
      </c>
      <c r="AE204" s="646" t="e">
        <f>IF(#REF!="","", IF(#REF!="Yes", TRUE, FALSE))</f>
        <v>#REF!</v>
      </c>
      <c r="AJ204" s="628"/>
      <c r="BH204" s="647" t="str">
        <f>IF('C-1 On-Site WaterC'' Baseline'!AU204="","", IF('C-1 On-Site WaterC'' Baseline'!AU204="Yes", TRUE, FALSE))</f>
        <v/>
      </c>
      <c r="BI204" s="647">
        <v>195</v>
      </c>
      <c r="BJ204" s="647" t="e">
        <f>IF(#REF!="","", IF(#REF!="Yes", TRUE, FALSE))</f>
        <v>#REF!</v>
      </c>
    </row>
    <row r="205" spans="30:62" x14ac:dyDescent="0.35">
      <c r="AD205" s="647">
        <v>196</v>
      </c>
      <c r="AE205" s="646" t="e">
        <f>IF(#REF!="","", IF(#REF!="Yes", TRUE, FALSE))</f>
        <v>#REF!</v>
      </c>
      <c r="AJ205" s="628"/>
      <c r="BH205" s="647" t="str">
        <f>IF('C-1 On-Site WaterC'' Baseline'!AU205="","", IF('C-1 On-Site WaterC'' Baseline'!AU205="Yes", TRUE, FALSE))</f>
        <v/>
      </c>
      <c r="BI205" s="647">
        <v>196</v>
      </c>
      <c r="BJ205" s="647" t="e">
        <f>IF(#REF!="","", IF(#REF!="Yes", TRUE, FALSE))</f>
        <v>#REF!</v>
      </c>
    </row>
    <row r="206" spans="30:62" x14ac:dyDescent="0.35">
      <c r="AD206" s="647">
        <v>197</v>
      </c>
      <c r="AE206" s="646" t="e">
        <f>IF(#REF!="","", IF(#REF!="Yes", TRUE, FALSE))</f>
        <v>#REF!</v>
      </c>
      <c r="AJ206" s="628"/>
      <c r="BH206" s="647" t="str">
        <f>IF('C-1 On-Site WaterC'' Baseline'!AU206="","", IF('C-1 On-Site WaterC'' Baseline'!AU206="Yes", TRUE, FALSE))</f>
        <v/>
      </c>
      <c r="BI206" s="647">
        <v>197</v>
      </c>
      <c r="BJ206" s="647" t="e">
        <f>IF(#REF!="","", IF(#REF!="Yes", TRUE, FALSE))</f>
        <v>#REF!</v>
      </c>
    </row>
    <row r="207" spans="30:62" x14ac:dyDescent="0.35">
      <c r="AD207" s="647">
        <v>198</v>
      </c>
      <c r="AE207" s="646" t="e">
        <f>IF(#REF!="","", IF(#REF!="Yes", TRUE, FALSE))</f>
        <v>#REF!</v>
      </c>
      <c r="AJ207" s="628"/>
      <c r="BH207" s="647" t="str">
        <f>IF('C-1 On-Site WaterC'' Baseline'!AU207="","", IF('C-1 On-Site WaterC'' Baseline'!AU207="Yes", TRUE, FALSE))</f>
        <v/>
      </c>
      <c r="BI207" s="647">
        <v>198</v>
      </c>
      <c r="BJ207" s="647" t="e">
        <f>IF(#REF!="","", IF(#REF!="Yes", TRUE, FALSE))</f>
        <v>#REF!</v>
      </c>
    </row>
    <row r="208" spans="30:62" x14ac:dyDescent="0.35">
      <c r="AD208" s="647">
        <v>199</v>
      </c>
      <c r="AE208" s="646" t="e">
        <f>IF(#REF!="","", IF(#REF!="Yes", TRUE, FALSE))</f>
        <v>#REF!</v>
      </c>
      <c r="AJ208" s="628"/>
      <c r="BH208" s="647" t="str">
        <f>IF('C-1 On-Site WaterC'' Baseline'!AU208="","", IF('C-1 On-Site WaterC'' Baseline'!AU208="Yes", TRUE, FALSE))</f>
        <v/>
      </c>
      <c r="BI208" s="647">
        <v>199</v>
      </c>
      <c r="BJ208" s="647" t="e">
        <f>IF(#REF!="","", IF(#REF!="Yes", TRUE, FALSE))</f>
        <v>#REF!</v>
      </c>
    </row>
    <row r="209" spans="30:62" x14ac:dyDescent="0.35">
      <c r="AD209" s="647">
        <v>200</v>
      </c>
      <c r="AE209" s="646" t="e">
        <f>IF(#REF!="","", IF(#REF!="Yes", TRUE, FALSE))</f>
        <v>#REF!</v>
      </c>
      <c r="AJ209" s="628"/>
      <c r="BH209" s="647" t="str">
        <f>IF('C-1 On-Site WaterC'' Baseline'!AU209="","", IF('C-1 On-Site WaterC'' Baseline'!AU209="Yes", TRUE, FALSE))</f>
        <v/>
      </c>
      <c r="BI209" s="647">
        <v>200</v>
      </c>
      <c r="BJ209" s="647" t="e">
        <f>IF(#REF!="","", IF(#REF!="Yes", TRUE, FALSE))</f>
        <v>#REF!</v>
      </c>
    </row>
    <row r="210" spans="30:62" x14ac:dyDescent="0.35">
      <c r="AD210" s="647">
        <v>201</v>
      </c>
      <c r="AE210" s="646" t="e">
        <f>IF(#REF!="","", IF(#REF!="Yes", TRUE, FALSE))</f>
        <v>#REF!</v>
      </c>
      <c r="AJ210" s="628"/>
      <c r="BH210" s="647" t="str">
        <f>IF('C-1 On-Site WaterC'' Baseline'!AU210="","", IF('C-1 On-Site WaterC'' Baseline'!AU210="Yes", TRUE, FALSE))</f>
        <v/>
      </c>
      <c r="BI210" s="647">
        <v>201</v>
      </c>
      <c r="BJ210" s="647" t="e">
        <f>IF(#REF!="","", IF(#REF!="Yes", TRUE, FALSE))</f>
        <v>#REF!</v>
      </c>
    </row>
    <row r="211" spans="30:62" x14ac:dyDescent="0.35">
      <c r="AD211" s="647">
        <v>202</v>
      </c>
      <c r="AE211" s="646" t="e">
        <f>IF(#REF!="","", IF(#REF!="Yes", TRUE, FALSE))</f>
        <v>#REF!</v>
      </c>
      <c r="AJ211" s="628"/>
      <c r="BH211" s="647" t="str">
        <f>IF('C-1 On-Site WaterC'' Baseline'!AU211="","", IF('C-1 On-Site WaterC'' Baseline'!AU211="Yes", TRUE, FALSE))</f>
        <v/>
      </c>
      <c r="BI211" s="647">
        <v>202</v>
      </c>
      <c r="BJ211" s="647" t="e">
        <f>IF(#REF!="","", IF(#REF!="Yes", TRUE, FALSE))</f>
        <v>#REF!</v>
      </c>
    </row>
    <row r="212" spans="30:62" x14ac:dyDescent="0.35">
      <c r="AD212" s="647">
        <v>203</v>
      </c>
      <c r="AE212" s="646" t="e">
        <f>IF(#REF!="","", IF(#REF!="Yes", TRUE, FALSE))</f>
        <v>#REF!</v>
      </c>
      <c r="AJ212" s="628"/>
      <c r="BH212" s="647" t="str">
        <f>IF('C-1 On-Site WaterC'' Baseline'!AU212="","", IF('C-1 On-Site WaterC'' Baseline'!AU212="Yes", TRUE, FALSE))</f>
        <v/>
      </c>
      <c r="BI212" s="647">
        <v>203</v>
      </c>
      <c r="BJ212" s="647" t="e">
        <f>IF(#REF!="","", IF(#REF!="Yes", TRUE, FALSE))</f>
        <v>#REF!</v>
      </c>
    </row>
    <row r="213" spans="30:62" x14ac:dyDescent="0.35">
      <c r="AD213" s="647">
        <v>204</v>
      </c>
      <c r="AE213" s="646" t="e">
        <f>IF(#REF!="","", IF(#REF!="Yes", TRUE, FALSE))</f>
        <v>#REF!</v>
      </c>
      <c r="AJ213" s="628"/>
      <c r="BH213" s="647" t="str">
        <f>IF('C-1 On-Site WaterC'' Baseline'!AU213="","", IF('C-1 On-Site WaterC'' Baseline'!AU213="Yes", TRUE, FALSE))</f>
        <v/>
      </c>
      <c r="BI213" s="647">
        <v>204</v>
      </c>
      <c r="BJ213" s="647" t="e">
        <f>IF(#REF!="","", IF(#REF!="Yes", TRUE, FALSE))</f>
        <v>#REF!</v>
      </c>
    </row>
    <row r="214" spans="30:62" x14ac:dyDescent="0.35">
      <c r="AD214" s="647">
        <v>205</v>
      </c>
      <c r="AE214" s="646" t="e">
        <f>IF(#REF!="","", IF(#REF!="Yes", TRUE, FALSE))</f>
        <v>#REF!</v>
      </c>
      <c r="AJ214" s="628"/>
      <c r="BH214" s="647" t="str">
        <f>IF('C-1 On-Site WaterC'' Baseline'!AU214="","", IF('C-1 On-Site WaterC'' Baseline'!AU214="Yes", TRUE, FALSE))</f>
        <v/>
      </c>
      <c r="BI214" s="647">
        <v>205</v>
      </c>
      <c r="BJ214" s="647" t="e">
        <f>IF(#REF!="","", IF(#REF!="Yes", TRUE, FALSE))</f>
        <v>#REF!</v>
      </c>
    </row>
    <row r="215" spans="30:62" x14ac:dyDescent="0.35">
      <c r="AD215" s="647">
        <v>206</v>
      </c>
      <c r="AE215" s="646" t="e">
        <f>IF(#REF!="","", IF(#REF!="Yes", TRUE, FALSE))</f>
        <v>#REF!</v>
      </c>
      <c r="AJ215" s="628"/>
      <c r="BH215" s="647" t="str">
        <f>IF('C-1 On-Site WaterC'' Baseline'!AU215="","", IF('C-1 On-Site WaterC'' Baseline'!AU215="Yes", TRUE, FALSE))</f>
        <v/>
      </c>
      <c r="BI215" s="647">
        <v>206</v>
      </c>
      <c r="BJ215" s="647" t="e">
        <f>IF(#REF!="","", IF(#REF!="Yes", TRUE, FALSE))</f>
        <v>#REF!</v>
      </c>
    </row>
    <row r="216" spans="30:62" x14ac:dyDescent="0.35">
      <c r="AD216" s="647">
        <v>207</v>
      </c>
      <c r="AE216" s="646" t="e">
        <f>IF(#REF!="","", IF(#REF!="Yes", TRUE, FALSE))</f>
        <v>#REF!</v>
      </c>
      <c r="AJ216" s="628"/>
      <c r="BH216" s="647" t="str">
        <f>IF('C-1 On-Site WaterC'' Baseline'!AU216="","", IF('C-1 On-Site WaterC'' Baseline'!AU216="Yes", TRUE, FALSE))</f>
        <v/>
      </c>
      <c r="BI216" s="647">
        <v>207</v>
      </c>
      <c r="BJ216" s="647" t="e">
        <f>IF(#REF!="","", IF(#REF!="Yes", TRUE, FALSE))</f>
        <v>#REF!</v>
      </c>
    </row>
    <row r="217" spans="30:62" x14ac:dyDescent="0.35">
      <c r="AD217" s="647">
        <v>208</v>
      </c>
      <c r="AE217" s="646" t="e">
        <f>IF(#REF!="","", IF(#REF!="Yes", TRUE, FALSE))</f>
        <v>#REF!</v>
      </c>
      <c r="AJ217" s="628"/>
      <c r="BH217" s="647" t="str">
        <f>IF('C-1 On-Site WaterC'' Baseline'!AU217="","", IF('C-1 On-Site WaterC'' Baseline'!AU217="Yes", TRUE, FALSE))</f>
        <v/>
      </c>
      <c r="BI217" s="647">
        <v>208</v>
      </c>
      <c r="BJ217" s="647" t="e">
        <f>IF(#REF!="","", IF(#REF!="Yes", TRUE, FALSE))</f>
        <v>#REF!</v>
      </c>
    </row>
    <row r="218" spans="30:62" x14ac:dyDescent="0.35">
      <c r="AD218" s="647">
        <v>209</v>
      </c>
      <c r="AE218" s="646" t="e">
        <f>IF(#REF!="","", IF(#REF!="Yes", TRUE, FALSE))</f>
        <v>#REF!</v>
      </c>
      <c r="AJ218" s="628"/>
      <c r="BH218" s="647" t="str">
        <f>IF('C-1 On-Site WaterC'' Baseline'!AU218="","", IF('C-1 On-Site WaterC'' Baseline'!AU218="Yes", TRUE, FALSE))</f>
        <v/>
      </c>
      <c r="BI218" s="647">
        <v>209</v>
      </c>
      <c r="BJ218" s="647" t="e">
        <f>IF(#REF!="","", IF(#REF!="Yes", TRUE, FALSE))</f>
        <v>#REF!</v>
      </c>
    </row>
    <row r="219" spans="30:62" x14ac:dyDescent="0.35">
      <c r="AD219" s="647">
        <v>210</v>
      </c>
      <c r="AE219" s="646" t="e">
        <f>IF(#REF!="","", IF(#REF!="Yes", TRUE, FALSE))</f>
        <v>#REF!</v>
      </c>
      <c r="AJ219" s="628"/>
      <c r="BH219" s="647" t="str">
        <f>IF('C-1 On-Site WaterC'' Baseline'!AU219="","", IF('C-1 On-Site WaterC'' Baseline'!AU219="Yes", TRUE, FALSE))</f>
        <v/>
      </c>
      <c r="BI219" s="647">
        <v>210</v>
      </c>
      <c r="BJ219" s="647" t="e">
        <f>IF(#REF!="","", IF(#REF!="Yes", TRUE, FALSE))</f>
        <v>#REF!</v>
      </c>
    </row>
    <row r="220" spans="30:62" x14ac:dyDescent="0.35">
      <c r="AD220" s="647">
        <v>211</v>
      </c>
      <c r="AE220" s="646" t="e">
        <f>IF(#REF!="","", IF(#REF!="Yes", TRUE, FALSE))</f>
        <v>#REF!</v>
      </c>
      <c r="AJ220" s="628"/>
      <c r="BH220" s="647" t="str">
        <f>IF('C-1 On-Site WaterC'' Baseline'!AU220="","", IF('C-1 On-Site WaterC'' Baseline'!AU220="Yes", TRUE, FALSE))</f>
        <v/>
      </c>
      <c r="BI220" s="647">
        <v>211</v>
      </c>
      <c r="BJ220" s="647" t="e">
        <f>IF(#REF!="","", IF(#REF!="Yes", TRUE, FALSE))</f>
        <v>#REF!</v>
      </c>
    </row>
    <row r="221" spans="30:62" x14ac:dyDescent="0.35">
      <c r="AD221" s="647">
        <v>212</v>
      </c>
      <c r="AE221" s="646" t="e">
        <f>IF(#REF!="","", IF(#REF!="Yes", TRUE, FALSE))</f>
        <v>#REF!</v>
      </c>
      <c r="AJ221" s="628"/>
      <c r="BH221" s="647" t="str">
        <f>IF('C-1 On-Site WaterC'' Baseline'!AU221="","", IF('C-1 On-Site WaterC'' Baseline'!AU221="Yes", TRUE, FALSE))</f>
        <v/>
      </c>
      <c r="BI221" s="647">
        <v>212</v>
      </c>
      <c r="BJ221" s="647" t="e">
        <f>IF(#REF!="","", IF(#REF!="Yes", TRUE, FALSE))</f>
        <v>#REF!</v>
      </c>
    </row>
    <row r="222" spans="30:62" x14ac:dyDescent="0.35">
      <c r="AD222" s="647">
        <v>213</v>
      </c>
      <c r="AE222" s="646" t="e">
        <f>IF(#REF!="","", IF(#REF!="Yes", TRUE, FALSE))</f>
        <v>#REF!</v>
      </c>
      <c r="AJ222" s="628"/>
      <c r="BH222" s="647" t="str">
        <f>IF('C-1 On-Site WaterC'' Baseline'!AU222="","", IF('C-1 On-Site WaterC'' Baseline'!AU222="Yes", TRUE, FALSE))</f>
        <v/>
      </c>
      <c r="BI222" s="647">
        <v>213</v>
      </c>
      <c r="BJ222" s="647" t="e">
        <f>IF(#REF!="","", IF(#REF!="Yes", TRUE, FALSE))</f>
        <v>#REF!</v>
      </c>
    </row>
    <row r="223" spans="30:62" x14ac:dyDescent="0.35">
      <c r="AD223" s="647">
        <v>214</v>
      </c>
      <c r="AE223" s="646" t="e">
        <f>IF(#REF!="","", IF(#REF!="Yes", TRUE, FALSE))</f>
        <v>#REF!</v>
      </c>
      <c r="AJ223" s="628"/>
      <c r="BH223" s="647" t="str">
        <f>IF('C-1 On-Site WaterC'' Baseline'!AU223="","", IF('C-1 On-Site WaterC'' Baseline'!AU223="Yes", TRUE, FALSE))</f>
        <v/>
      </c>
      <c r="BI223" s="647">
        <v>214</v>
      </c>
      <c r="BJ223" s="647" t="e">
        <f>IF(#REF!="","", IF(#REF!="Yes", TRUE, FALSE))</f>
        <v>#REF!</v>
      </c>
    </row>
    <row r="224" spans="30:62" x14ac:dyDescent="0.35">
      <c r="AD224" s="647">
        <v>215</v>
      </c>
      <c r="AE224" s="646" t="e">
        <f>IF(#REF!="","", IF(#REF!="Yes", TRUE, FALSE))</f>
        <v>#REF!</v>
      </c>
      <c r="AJ224" s="628"/>
      <c r="BH224" s="647" t="str">
        <f>IF('C-1 On-Site WaterC'' Baseline'!AU224="","", IF('C-1 On-Site WaterC'' Baseline'!AU224="Yes", TRUE, FALSE))</f>
        <v/>
      </c>
      <c r="BI224" s="647">
        <v>215</v>
      </c>
      <c r="BJ224" s="647" t="e">
        <f>IF(#REF!="","", IF(#REF!="Yes", TRUE, FALSE))</f>
        <v>#REF!</v>
      </c>
    </row>
    <row r="225" spans="30:62" x14ac:dyDescent="0.35">
      <c r="AD225" s="647">
        <v>216</v>
      </c>
      <c r="AE225" s="646" t="e">
        <f>IF(#REF!="","", IF(#REF!="Yes", TRUE, FALSE))</f>
        <v>#REF!</v>
      </c>
      <c r="AJ225" s="628"/>
      <c r="BH225" s="647" t="str">
        <f>IF('C-1 On-Site WaterC'' Baseline'!AU225="","", IF('C-1 On-Site WaterC'' Baseline'!AU225="Yes", TRUE, FALSE))</f>
        <v/>
      </c>
      <c r="BI225" s="647">
        <v>216</v>
      </c>
      <c r="BJ225" s="647" t="e">
        <f>IF(#REF!="","", IF(#REF!="Yes", TRUE, FALSE))</f>
        <v>#REF!</v>
      </c>
    </row>
    <row r="226" spans="30:62" x14ac:dyDescent="0.35">
      <c r="AD226" s="647">
        <v>217</v>
      </c>
      <c r="AE226" s="646" t="e">
        <f>IF(#REF!="","", IF(#REF!="Yes", TRUE, FALSE))</f>
        <v>#REF!</v>
      </c>
      <c r="AJ226" s="628"/>
      <c r="BH226" s="647" t="str">
        <f>IF('C-1 On-Site WaterC'' Baseline'!AU226="","", IF('C-1 On-Site WaterC'' Baseline'!AU226="Yes", TRUE, FALSE))</f>
        <v/>
      </c>
      <c r="BI226" s="647">
        <v>217</v>
      </c>
      <c r="BJ226" s="647" t="e">
        <f>IF(#REF!="","", IF(#REF!="Yes", TRUE, FALSE))</f>
        <v>#REF!</v>
      </c>
    </row>
    <row r="227" spans="30:62" x14ac:dyDescent="0.35">
      <c r="AD227" s="647">
        <v>218</v>
      </c>
      <c r="AE227" s="646" t="e">
        <f>IF(#REF!="","", IF(#REF!="Yes", TRUE, FALSE))</f>
        <v>#REF!</v>
      </c>
      <c r="AJ227" s="628"/>
      <c r="BH227" s="647" t="str">
        <f>IF('C-1 On-Site WaterC'' Baseline'!AU227="","", IF('C-1 On-Site WaterC'' Baseline'!AU227="Yes", TRUE, FALSE))</f>
        <v/>
      </c>
      <c r="BI227" s="647">
        <v>218</v>
      </c>
      <c r="BJ227" s="647" t="e">
        <f>IF(#REF!="","", IF(#REF!="Yes", TRUE, FALSE))</f>
        <v>#REF!</v>
      </c>
    </row>
    <row r="228" spans="30:62" x14ac:dyDescent="0.35">
      <c r="AD228" s="647">
        <v>219</v>
      </c>
      <c r="AE228" s="646" t="e">
        <f>IF(#REF!="","", IF(#REF!="Yes", TRUE, FALSE))</f>
        <v>#REF!</v>
      </c>
      <c r="AJ228" s="628"/>
      <c r="BH228" s="647" t="str">
        <f>IF('C-1 On-Site WaterC'' Baseline'!AU228="","", IF('C-1 On-Site WaterC'' Baseline'!AU228="Yes", TRUE, FALSE))</f>
        <v/>
      </c>
      <c r="BI228" s="647">
        <v>219</v>
      </c>
      <c r="BJ228" s="647" t="e">
        <f>IF(#REF!="","", IF(#REF!="Yes", TRUE, FALSE))</f>
        <v>#REF!</v>
      </c>
    </row>
    <row r="229" spans="30:62" x14ac:dyDescent="0.35">
      <c r="AD229" s="647">
        <v>220</v>
      </c>
      <c r="AE229" s="646" t="e">
        <f>IF(#REF!="","", IF(#REF!="Yes", TRUE, FALSE))</f>
        <v>#REF!</v>
      </c>
      <c r="AJ229" s="628"/>
      <c r="BH229" s="647" t="str">
        <f>IF('C-1 On-Site WaterC'' Baseline'!AU229="","", IF('C-1 On-Site WaterC'' Baseline'!AU229="Yes", TRUE, FALSE))</f>
        <v/>
      </c>
      <c r="BI229" s="647">
        <v>220</v>
      </c>
      <c r="BJ229" s="647" t="e">
        <f>IF(#REF!="","", IF(#REF!="Yes", TRUE, FALSE))</f>
        <v>#REF!</v>
      </c>
    </row>
    <row r="230" spans="30:62" x14ac:dyDescent="0.35">
      <c r="AD230" s="647">
        <v>221</v>
      </c>
      <c r="AE230" s="646" t="e">
        <f>IF(#REF!="","", IF(#REF!="Yes", TRUE, FALSE))</f>
        <v>#REF!</v>
      </c>
      <c r="AJ230" s="628"/>
      <c r="BH230" s="647" t="str">
        <f>IF('C-1 On-Site WaterC'' Baseline'!AU230="","", IF('C-1 On-Site WaterC'' Baseline'!AU230="Yes", TRUE, FALSE))</f>
        <v/>
      </c>
      <c r="BI230" s="647">
        <v>221</v>
      </c>
      <c r="BJ230" s="647" t="e">
        <f>IF(#REF!="","", IF(#REF!="Yes", TRUE, FALSE))</f>
        <v>#REF!</v>
      </c>
    </row>
    <row r="231" spans="30:62" x14ac:dyDescent="0.35">
      <c r="AD231" s="647">
        <v>222</v>
      </c>
      <c r="AE231" s="646" t="e">
        <f>IF(#REF!="","", IF(#REF!="Yes", TRUE, FALSE))</f>
        <v>#REF!</v>
      </c>
      <c r="AJ231" s="628"/>
      <c r="BH231" s="647" t="str">
        <f>IF('C-1 On-Site WaterC'' Baseline'!AU231="","", IF('C-1 On-Site WaterC'' Baseline'!AU231="Yes", TRUE, FALSE))</f>
        <v/>
      </c>
      <c r="BI231" s="647">
        <v>222</v>
      </c>
      <c r="BJ231" s="647" t="e">
        <f>IF(#REF!="","", IF(#REF!="Yes", TRUE, FALSE))</f>
        <v>#REF!</v>
      </c>
    </row>
    <row r="232" spans="30:62" x14ac:dyDescent="0.35">
      <c r="AD232" s="647">
        <v>223</v>
      </c>
      <c r="AE232" s="646" t="e">
        <f>IF(#REF!="","", IF(#REF!="Yes", TRUE, FALSE))</f>
        <v>#REF!</v>
      </c>
      <c r="AJ232" s="628"/>
      <c r="BH232" s="647" t="str">
        <f>IF('C-1 On-Site WaterC'' Baseline'!AU232="","", IF('C-1 On-Site WaterC'' Baseline'!AU232="Yes", TRUE, FALSE))</f>
        <v/>
      </c>
      <c r="BI232" s="647">
        <v>223</v>
      </c>
      <c r="BJ232" s="647" t="e">
        <f>IF(#REF!="","", IF(#REF!="Yes", TRUE, FALSE))</f>
        <v>#REF!</v>
      </c>
    </row>
    <row r="233" spans="30:62" x14ac:dyDescent="0.35">
      <c r="AD233" s="647">
        <v>224</v>
      </c>
      <c r="AE233" s="646" t="e">
        <f>IF(#REF!="","", IF(#REF!="Yes", TRUE, FALSE))</f>
        <v>#REF!</v>
      </c>
      <c r="AJ233" s="628"/>
      <c r="BH233" s="647" t="str">
        <f>IF('C-1 On-Site WaterC'' Baseline'!AU233="","", IF('C-1 On-Site WaterC'' Baseline'!AU233="Yes", TRUE, FALSE))</f>
        <v/>
      </c>
      <c r="BI233" s="647">
        <v>224</v>
      </c>
      <c r="BJ233" s="647" t="e">
        <f>IF(#REF!="","", IF(#REF!="Yes", TRUE, FALSE))</f>
        <v>#REF!</v>
      </c>
    </row>
    <row r="234" spans="30:62" x14ac:dyDescent="0.35">
      <c r="AD234" s="647">
        <v>225</v>
      </c>
      <c r="AE234" s="646" t="e">
        <f>IF(#REF!="","", IF(#REF!="Yes", TRUE, FALSE))</f>
        <v>#REF!</v>
      </c>
      <c r="AJ234" s="628"/>
      <c r="BH234" s="647" t="str">
        <f>IF('C-1 On-Site WaterC'' Baseline'!AU234="","", IF('C-1 On-Site WaterC'' Baseline'!AU234="Yes", TRUE, FALSE))</f>
        <v/>
      </c>
      <c r="BI234" s="647">
        <v>225</v>
      </c>
      <c r="BJ234" s="647" t="e">
        <f>IF(#REF!="","", IF(#REF!="Yes", TRUE, FALSE))</f>
        <v>#REF!</v>
      </c>
    </row>
    <row r="235" spans="30:62" x14ac:dyDescent="0.35">
      <c r="AD235" s="647">
        <v>226</v>
      </c>
      <c r="AE235" s="646" t="e">
        <f>IF(#REF!="","", IF(#REF!="Yes", TRUE, FALSE))</f>
        <v>#REF!</v>
      </c>
      <c r="AJ235" s="628"/>
      <c r="BH235" s="647" t="str">
        <f>IF('C-1 On-Site WaterC'' Baseline'!AU235="","", IF('C-1 On-Site WaterC'' Baseline'!AU235="Yes", TRUE, FALSE))</f>
        <v/>
      </c>
      <c r="BI235" s="647">
        <v>226</v>
      </c>
      <c r="BJ235" s="647" t="e">
        <f>IF(#REF!="","", IF(#REF!="Yes", TRUE, FALSE))</f>
        <v>#REF!</v>
      </c>
    </row>
    <row r="236" spans="30:62" x14ac:dyDescent="0.35">
      <c r="AD236" s="647">
        <v>227</v>
      </c>
      <c r="AE236" s="646" t="e">
        <f>IF(#REF!="","", IF(#REF!="Yes", TRUE, FALSE))</f>
        <v>#REF!</v>
      </c>
      <c r="AJ236" s="628"/>
      <c r="BH236" s="647" t="str">
        <f>IF('C-1 On-Site WaterC'' Baseline'!AU236="","", IF('C-1 On-Site WaterC'' Baseline'!AU236="Yes", TRUE, FALSE))</f>
        <v/>
      </c>
      <c r="BI236" s="647">
        <v>227</v>
      </c>
      <c r="BJ236" s="647" t="e">
        <f>IF(#REF!="","", IF(#REF!="Yes", TRUE, FALSE))</f>
        <v>#REF!</v>
      </c>
    </row>
    <row r="237" spans="30:62" x14ac:dyDescent="0.35">
      <c r="AD237" s="647">
        <v>228</v>
      </c>
      <c r="AE237" s="646" t="e">
        <f>IF(#REF!="","", IF(#REF!="Yes", TRUE, FALSE))</f>
        <v>#REF!</v>
      </c>
      <c r="AJ237" s="628"/>
      <c r="BH237" s="647" t="str">
        <f>IF('C-1 On-Site WaterC'' Baseline'!AU237="","", IF('C-1 On-Site WaterC'' Baseline'!AU237="Yes", TRUE, FALSE))</f>
        <v/>
      </c>
      <c r="BI237" s="647">
        <v>228</v>
      </c>
      <c r="BJ237" s="647" t="e">
        <f>IF(#REF!="","", IF(#REF!="Yes", TRUE, FALSE))</f>
        <v>#REF!</v>
      </c>
    </row>
    <row r="238" spans="30:62" x14ac:dyDescent="0.35">
      <c r="AD238" s="647">
        <v>229</v>
      </c>
      <c r="AE238" s="646" t="e">
        <f>IF(#REF!="","", IF(#REF!="Yes", TRUE, FALSE))</f>
        <v>#REF!</v>
      </c>
      <c r="AJ238" s="628"/>
      <c r="BH238" s="647" t="str">
        <f>IF('C-1 On-Site WaterC'' Baseline'!AU238="","", IF('C-1 On-Site WaterC'' Baseline'!AU238="Yes", TRUE, FALSE))</f>
        <v/>
      </c>
      <c r="BI238" s="647">
        <v>229</v>
      </c>
      <c r="BJ238" s="647" t="e">
        <f>IF(#REF!="","", IF(#REF!="Yes", TRUE, FALSE))</f>
        <v>#REF!</v>
      </c>
    </row>
    <row r="239" spans="30:62" x14ac:dyDescent="0.35">
      <c r="AD239" s="647">
        <v>230</v>
      </c>
      <c r="AE239" s="646" t="e">
        <f>IF(#REF!="","", IF(#REF!="Yes", TRUE, FALSE))</f>
        <v>#REF!</v>
      </c>
      <c r="AJ239" s="628"/>
      <c r="BH239" s="647" t="str">
        <f>IF('C-1 On-Site WaterC'' Baseline'!AU239="","", IF('C-1 On-Site WaterC'' Baseline'!AU239="Yes", TRUE, FALSE))</f>
        <v/>
      </c>
      <c r="BI239" s="647">
        <v>230</v>
      </c>
      <c r="BJ239" s="647" t="e">
        <f>IF(#REF!="","", IF(#REF!="Yes", TRUE, FALSE))</f>
        <v>#REF!</v>
      </c>
    </row>
    <row r="240" spans="30:62" x14ac:dyDescent="0.35">
      <c r="AD240" s="647">
        <v>231</v>
      </c>
      <c r="AE240" s="646" t="e">
        <f>IF(#REF!="","", IF(#REF!="Yes", TRUE, FALSE))</f>
        <v>#REF!</v>
      </c>
      <c r="AJ240" s="628"/>
      <c r="BH240" s="647" t="str">
        <f>IF('C-1 On-Site WaterC'' Baseline'!AU240="","", IF('C-1 On-Site WaterC'' Baseline'!AU240="Yes", TRUE, FALSE))</f>
        <v/>
      </c>
      <c r="BI240" s="647">
        <v>231</v>
      </c>
      <c r="BJ240" s="647" t="e">
        <f>IF(#REF!="","", IF(#REF!="Yes", TRUE, FALSE))</f>
        <v>#REF!</v>
      </c>
    </row>
    <row r="241" spans="30:62" x14ac:dyDescent="0.35">
      <c r="AD241" s="647">
        <v>232</v>
      </c>
      <c r="AE241" s="646" t="e">
        <f>IF(#REF!="","", IF(#REF!="Yes", TRUE, FALSE))</f>
        <v>#REF!</v>
      </c>
      <c r="AJ241" s="628"/>
      <c r="BH241" s="647" t="str">
        <f>IF('C-1 On-Site WaterC'' Baseline'!AU241="","", IF('C-1 On-Site WaterC'' Baseline'!AU241="Yes", TRUE, FALSE))</f>
        <v/>
      </c>
      <c r="BI241" s="647">
        <v>232</v>
      </c>
      <c r="BJ241" s="647" t="e">
        <f>IF(#REF!="","", IF(#REF!="Yes", TRUE, FALSE))</f>
        <v>#REF!</v>
      </c>
    </row>
    <row r="242" spans="30:62" x14ac:dyDescent="0.35">
      <c r="AD242" s="647">
        <v>233</v>
      </c>
      <c r="AE242" s="646" t="e">
        <f>IF(#REF!="","", IF(#REF!="Yes", TRUE, FALSE))</f>
        <v>#REF!</v>
      </c>
      <c r="AJ242" s="628"/>
      <c r="BH242" s="647" t="str">
        <f>IF('C-1 On-Site WaterC'' Baseline'!AU242="","", IF('C-1 On-Site WaterC'' Baseline'!AU242="Yes", TRUE, FALSE))</f>
        <v/>
      </c>
      <c r="BI242" s="647">
        <v>233</v>
      </c>
      <c r="BJ242" s="647" t="e">
        <f>IF(#REF!="","", IF(#REF!="Yes", TRUE, FALSE))</f>
        <v>#REF!</v>
      </c>
    </row>
    <row r="243" spans="30:62" x14ac:dyDescent="0.35">
      <c r="AD243" s="647">
        <v>234</v>
      </c>
      <c r="AE243" s="646" t="e">
        <f>IF(#REF!="","", IF(#REF!="Yes", TRUE, FALSE))</f>
        <v>#REF!</v>
      </c>
      <c r="AJ243" s="628"/>
      <c r="BH243" s="647" t="str">
        <f>IF('C-1 On-Site WaterC'' Baseline'!AU243="","", IF('C-1 On-Site WaterC'' Baseline'!AU243="Yes", TRUE, FALSE))</f>
        <v/>
      </c>
      <c r="BI243" s="647">
        <v>234</v>
      </c>
      <c r="BJ243" s="647" t="e">
        <f>IF(#REF!="","", IF(#REF!="Yes", TRUE, FALSE))</f>
        <v>#REF!</v>
      </c>
    </row>
    <row r="244" spans="30:62" x14ac:dyDescent="0.35">
      <c r="AD244" s="647">
        <v>235</v>
      </c>
      <c r="AE244" s="646" t="e">
        <f>IF(#REF!="","", IF(#REF!="Yes", TRUE, FALSE))</f>
        <v>#REF!</v>
      </c>
      <c r="AJ244" s="628"/>
      <c r="BH244" s="647" t="str">
        <f>IF('C-1 On-Site WaterC'' Baseline'!AU244="","", IF('C-1 On-Site WaterC'' Baseline'!AU244="Yes", TRUE, FALSE))</f>
        <v/>
      </c>
      <c r="BI244" s="647">
        <v>235</v>
      </c>
      <c r="BJ244" s="647" t="e">
        <f>IF(#REF!="","", IF(#REF!="Yes", TRUE, FALSE))</f>
        <v>#REF!</v>
      </c>
    </row>
    <row r="245" spans="30:62" x14ac:dyDescent="0.35">
      <c r="AD245" s="647">
        <v>236</v>
      </c>
      <c r="AE245" s="646" t="e">
        <f>IF(#REF!="","", IF(#REF!="Yes", TRUE, FALSE))</f>
        <v>#REF!</v>
      </c>
      <c r="AJ245" s="628"/>
      <c r="BH245" s="647" t="str">
        <f>IF('C-1 On-Site WaterC'' Baseline'!AU245="","", IF('C-1 On-Site WaterC'' Baseline'!AU245="Yes", TRUE, FALSE))</f>
        <v/>
      </c>
      <c r="BI245" s="647">
        <v>236</v>
      </c>
      <c r="BJ245" s="647" t="e">
        <f>IF(#REF!="","", IF(#REF!="Yes", TRUE, FALSE))</f>
        <v>#REF!</v>
      </c>
    </row>
    <row r="246" spans="30:62" x14ac:dyDescent="0.35">
      <c r="AD246" s="647">
        <v>237</v>
      </c>
      <c r="AE246" s="646" t="e">
        <f>IF(#REF!="","", IF(#REF!="Yes", TRUE, FALSE))</f>
        <v>#REF!</v>
      </c>
      <c r="AJ246" s="628"/>
      <c r="BH246" s="647" t="str">
        <f>IF('C-1 On-Site WaterC'' Baseline'!AU246="","", IF('C-1 On-Site WaterC'' Baseline'!AU246="Yes", TRUE, FALSE))</f>
        <v/>
      </c>
      <c r="BI246" s="647">
        <v>237</v>
      </c>
      <c r="BJ246" s="647" t="e">
        <f>IF(#REF!="","", IF(#REF!="Yes", TRUE, FALSE))</f>
        <v>#REF!</v>
      </c>
    </row>
    <row r="247" spans="30:62" x14ac:dyDescent="0.35">
      <c r="AD247" s="647">
        <v>238</v>
      </c>
      <c r="AE247" s="646" t="e">
        <f>IF(#REF!="","", IF(#REF!="Yes", TRUE, FALSE))</f>
        <v>#REF!</v>
      </c>
      <c r="AJ247" s="628"/>
      <c r="BH247" s="647" t="str">
        <f>IF('C-1 On-Site WaterC'' Baseline'!AU247="","", IF('C-1 On-Site WaterC'' Baseline'!AU247="Yes", TRUE, FALSE))</f>
        <v/>
      </c>
      <c r="BI247" s="647">
        <v>238</v>
      </c>
      <c r="BJ247" s="647" t="e">
        <f>IF(#REF!="","", IF(#REF!="Yes", TRUE, FALSE))</f>
        <v>#REF!</v>
      </c>
    </row>
    <row r="248" spans="30:62" x14ac:dyDescent="0.35">
      <c r="AD248" s="647">
        <v>239</v>
      </c>
      <c r="AE248" s="646" t="e">
        <f>IF(#REF!="","", IF(#REF!="Yes", TRUE, FALSE))</f>
        <v>#REF!</v>
      </c>
      <c r="AJ248" s="628"/>
      <c r="BH248" s="647" t="str">
        <f>IF('C-1 On-Site WaterC'' Baseline'!AU248="","", IF('C-1 On-Site WaterC'' Baseline'!AU248="Yes", TRUE, FALSE))</f>
        <v/>
      </c>
      <c r="BI248" s="647">
        <v>239</v>
      </c>
      <c r="BJ248" s="647" t="e">
        <f>IF(#REF!="","", IF(#REF!="Yes", TRUE, FALSE))</f>
        <v>#REF!</v>
      </c>
    </row>
    <row r="249" spans="30:62" x14ac:dyDescent="0.35">
      <c r="AD249" s="647">
        <v>240</v>
      </c>
      <c r="AE249" s="646" t="e">
        <f>IF(#REF!="","", IF(#REF!="Yes", TRUE, FALSE))</f>
        <v>#REF!</v>
      </c>
      <c r="AJ249" s="628"/>
      <c r="BH249" s="647" t="str">
        <f>IF('C-1 On-Site WaterC'' Baseline'!AU249="","", IF('C-1 On-Site WaterC'' Baseline'!AU249="Yes", TRUE, FALSE))</f>
        <v/>
      </c>
      <c r="BI249" s="647">
        <v>240</v>
      </c>
      <c r="BJ249" s="647" t="e">
        <f>IF(#REF!="","", IF(#REF!="Yes", TRUE, FALSE))</f>
        <v>#REF!</v>
      </c>
    </row>
    <row r="250" spans="30:62" x14ac:dyDescent="0.35">
      <c r="AD250" s="647">
        <v>241</v>
      </c>
      <c r="AE250" s="646" t="e">
        <f>IF(#REF!="","", IF(#REF!="Yes", TRUE, FALSE))</f>
        <v>#REF!</v>
      </c>
      <c r="AJ250" s="628"/>
      <c r="BH250" s="647" t="str">
        <f>IF('C-1 On-Site WaterC'' Baseline'!AU250="","", IF('C-1 On-Site WaterC'' Baseline'!AU250="Yes", TRUE, FALSE))</f>
        <v/>
      </c>
      <c r="BI250" s="647">
        <v>241</v>
      </c>
      <c r="BJ250" s="647" t="e">
        <f>IF(#REF!="","", IF(#REF!="Yes", TRUE, FALSE))</f>
        <v>#REF!</v>
      </c>
    </row>
    <row r="251" spans="30:62" x14ac:dyDescent="0.35">
      <c r="AD251" s="647">
        <v>242</v>
      </c>
      <c r="AE251" s="646" t="e">
        <f>IF(#REF!="","", IF(#REF!="Yes", TRUE, FALSE))</f>
        <v>#REF!</v>
      </c>
      <c r="AJ251" s="628"/>
      <c r="BH251" s="647" t="str">
        <f>IF('C-1 On-Site WaterC'' Baseline'!AU251="","", IF('C-1 On-Site WaterC'' Baseline'!AU251="Yes", TRUE, FALSE))</f>
        <v/>
      </c>
      <c r="BI251" s="647">
        <v>242</v>
      </c>
      <c r="BJ251" s="647" t="e">
        <f>IF(#REF!="","", IF(#REF!="Yes", TRUE, FALSE))</f>
        <v>#REF!</v>
      </c>
    </row>
    <row r="252" spans="30:62" x14ac:dyDescent="0.35">
      <c r="AD252" s="647">
        <v>243</v>
      </c>
      <c r="AE252" s="646" t="e">
        <f>IF(#REF!="","", IF(#REF!="Yes", TRUE, FALSE))</f>
        <v>#REF!</v>
      </c>
      <c r="AJ252" s="628"/>
      <c r="BH252" s="647" t="str">
        <f>IF('C-1 On-Site WaterC'' Baseline'!AU252="","", IF('C-1 On-Site WaterC'' Baseline'!AU252="Yes", TRUE, FALSE))</f>
        <v/>
      </c>
      <c r="BI252" s="647">
        <v>243</v>
      </c>
      <c r="BJ252" s="647" t="e">
        <f>IF(#REF!="","", IF(#REF!="Yes", TRUE, FALSE))</f>
        <v>#REF!</v>
      </c>
    </row>
    <row r="253" spans="30:62" x14ac:dyDescent="0.35">
      <c r="AD253" s="647">
        <v>244</v>
      </c>
      <c r="AE253" s="646" t="e">
        <f>IF(#REF!="","", IF(#REF!="Yes", TRUE, FALSE))</f>
        <v>#REF!</v>
      </c>
      <c r="AJ253" s="628"/>
      <c r="BH253" s="647" t="str">
        <f>IF('C-1 On-Site WaterC'' Baseline'!AU253="","", IF('C-1 On-Site WaterC'' Baseline'!AU253="Yes", TRUE, FALSE))</f>
        <v/>
      </c>
      <c r="BI253" s="647">
        <v>244</v>
      </c>
      <c r="BJ253" s="647" t="e">
        <f>IF(#REF!="","", IF(#REF!="Yes", TRUE, FALSE))</f>
        <v>#REF!</v>
      </c>
    </row>
    <row r="254" spans="30:62" x14ac:dyDescent="0.35">
      <c r="AD254" s="647">
        <v>245</v>
      </c>
      <c r="AE254" s="646" t="e">
        <f>IF(#REF!="","", IF(#REF!="Yes", TRUE, FALSE))</f>
        <v>#REF!</v>
      </c>
      <c r="AJ254" s="628"/>
      <c r="BH254" s="647" t="str">
        <f>IF('C-1 On-Site WaterC'' Baseline'!AU254="","", IF('C-1 On-Site WaterC'' Baseline'!AU254="Yes", TRUE, FALSE))</f>
        <v/>
      </c>
      <c r="BI254" s="647">
        <v>245</v>
      </c>
      <c r="BJ254" s="647" t="e">
        <f>IF(#REF!="","", IF(#REF!="Yes", TRUE, FALSE))</f>
        <v>#REF!</v>
      </c>
    </row>
    <row r="255" spans="30:62" x14ac:dyDescent="0.35">
      <c r="AD255" s="647">
        <v>246</v>
      </c>
      <c r="AE255" s="646" t="e">
        <f>IF(#REF!="","", IF(#REF!="Yes", TRUE, FALSE))</f>
        <v>#REF!</v>
      </c>
      <c r="AJ255" s="628"/>
      <c r="BH255" s="647" t="str">
        <f>IF('C-1 On-Site WaterC'' Baseline'!AU255="","", IF('C-1 On-Site WaterC'' Baseline'!AU255="Yes", TRUE, FALSE))</f>
        <v/>
      </c>
      <c r="BI255" s="647">
        <v>246</v>
      </c>
      <c r="BJ255" s="647" t="e">
        <f>IF(#REF!="","", IF(#REF!="Yes", TRUE, FALSE))</f>
        <v>#REF!</v>
      </c>
    </row>
    <row r="256" spans="30:62" x14ac:dyDescent="0.35">
      <c r="AD256" s="647">
        <v>247</v>
      </c>
      <c r="AE256" s="646" t="e">
        <f>IF(#REF!="","", IF(#REF!="Yes", TRUE, FALSE))</f>
        <v>#REF!</v>
      </c>
      <c r="AJ256" s="628"/>
      <c r="BH256" s="647" t="str">
        <f>IF('C-1 On-Site WaterC'' Baseline'!AU256="","", IF('C-1 On-Site WaterC'' Baseline'!AU256="Yes", TRUE, FALSE))</f>
        <v/>
      </c>
      <c r="BI256" s="647">
        <v>247</v>
      </c>
      <c r="BJ256" s="647" t="e">
        <f>IF(#REF!="","", IF(#REF!="Yes", TRUE, FALSE))</f>
        <v>#REF!</v>
      </c>
    </row>
    <row r="257" spans="30:62" x14ac:dyDescent="0.35">
      <c r="AD257" s="647">
        <v>248</v>
      </c>
      <c r="AE257" s="646" t="e">
        <f>IF(#REF!="","", IF(#REF!="Yes", TRUE, FALSE))</f>
        <v>#REF!</v>
      </c>
      <c r="AJ257" s="628"/>
      <c r="BH257" s="647" t="str">
        <f>IF('C-1 On-Site WaterC'' Baseline'!AU257="","", IF('C-1 On-Site WaterC'' Baseline'!AU257="Yes", TRUE, FALSE))</f>
        <v/>
      </c>
      <c r="BI257" s="647">
        <v>248</v>
      </c>
      <c r="BJ257" s="647" t="e">
        <f>IF(#REF!="","", IF(#REF!="Yes", TRUE, FALSE))</f>
        <v>#REF!</v>
      </c>
    </row>
    <row r="258" spans="30:62" x14ac:dyDescent="0.35">
      <c r="AD258" s="647">
        <v>249</v>
      </c>
      <c r="AE258" s="646" t="e">
        <f>IF(#REF!="","", IF(#REF!="Yes", TRUE, FALSE))</f>
        <v>#REF!</v>
      </c>
      <c r="AJ258" s="628"/>
      <c r="BH258" s="647" t="str">
        <f>IF('C-1 On-Site WaterC'' Baseline'!AU258="","", IF('C-1 On-Site WaterC'' Baseline'!AU258="Yes", TRUE, FALSE))</f>
        <v/>
      </c>
      <c r="BI258" s="647">
        <v>249</v>
      </c>
      <c r="BJ258" s="647" t="e">
        <f>IF(#REF!="","", IF(#REF!="Yes", TRUE, FALSE))</f>
        <v>#REF!</v>
      </c>
    </row>
    <row r="259" spans="30:62" x14ac:dyDescent="0.35">
      <c r="AD259" s="647">
        <v>250</v>
      </c>
      <c r="AE259" s="646" t="e">
        <f>IF(#REF!="","", IF(#REF!="Yes", TRUE, FALSE))</f>
        <v>#REF!</v>
      </c>
      <c r="AJ259" s="628"/>
      <c r="BH259" s="647" t="str">
        <f>IF('C-1 On-Site WaterC'' Baseline'!AU259="","", IF('C-1 On-Site WaterC'' Baseline'!AU259="Yes", TRUE, FALSE))</f>
        <v/>
      </c>
      <c r="BI259" s="647">
        <v>250</v>
      </c>
      <c r="BJ259" s="647" t="e">
        <f>IF(#REF!="","", IF(#REF!="Yes", TRUE, FALSE))</f>
        <v>#REF!</v>
      </c>
    </row>
    <row r="260" spans="30:62" x14ac:dyDescent="0.35">
      <c r="AJ260" s="628"/>
    </row>
    <row r="261" spans="30:62" x14ac:dyDescent="0.35">
      <c r="AJ261" s="628"/>
    </row>
    <row r="262" spans="30:62" x14ac:dyDescent="0.35">
      <c r="AJ262" s="628"/>
    </row>
    <row r="263" spans="30:62" x14ac:dyDescent="0.35">
      <c r="AJ263" s="628"/>
    </row>
    <row r="264" spans="30:62" x14ac:dyDescent="0.35">
      <c r="AJ264" s="628"/>
    </row>
    <row r="265" spans="30:62" x14ac:dyDescent="0.35">
      <c r="AJ265" s="628"/>
    </row>
    <row r="266" spans="30:62" x14ac:dyDescent="0.35">
      <c r="AJ266" s="628"/>
    </row>
    <row r="267" spans="30:62" x14ac:dyDescent="0.35">
      <c r="AJ267" s="628"/>
    </row>
    <row r="268" spans="30:62" x14ac:dyDescent="0.35">
      <c r="AJ268" s="628"/>
    </row>
    <row r="269" spans="30:62" x14ac:dyDescent="0.35">
      <c r="AJ269" s="628"/>
    </row>
    <row r="270" spans="30:62" x14ac:dyDescent="0.35">
      <c r="AJ270" s="628"/>
    </row>
    <row r="271" spans="30:62" x14ac:dyDescent="0.35">
      <c r="AJ271" s="628"/>
    </row>
    <row r="272" spans="30:62" x14ac:dyDescent="0.35">
      <c r="AJ272" s="628"/>
    </row>
    <row r="273" spans="36:36" x14ac:dyDescent="0.35">
      <c r="AJ273" s="628"/>
    </row>
    <row r="274" spans="36:36" x14ac:dyDescent="0.35">
      <c r="AJ274" s="628"/>
    </row>
    <row r="275" spans="36:36" x14ac:dyDescent="0.35">
      <c r="AJ275" s="628"/>
    </row>
    <row r="276" spans="36:36" x14ac:dyDescent="0.35">
      <c r="AJ276" s="628"/>
    </row>
    <row r="277" spans="36:36" x14ac:dyDescent="0.35">
      <c r="AJ277" s="628"/>
    </row>
    <row r="278" spans="36:36" x14ac:dyDescent="0.35">
      <c r="AJ278" s="628"/>
    </row>
    <row r="279" spans="36:36" x14ac:dyDescent="0.35">
      <c r="AJ279" s="628"/>
    </row>
    <row r="280" spans="36:36" x14ac:dyDescent="0.35">
      <c r="AJ280" s="628"/>
    </row>
    <row r="281" spans="36:36" x14ac:dyDescent="0.35">
      <c r="AJ281" s="628"/>
    </row>
    <row r="282" spans="36:36" x14ac:dyDescent="0.35">
      <c r="AJ282" s="628"/>
    </row>
    <row r="283" spans="36:36" x14ac:dyDescent="0.35">
      <c r="AJ283" s="628"/>
    </row>
    <row r="284" spans="36:36" x14ac:dyDescent="0.35">
      <c r="AJ284" s="628"/>
    </row>
    <row r="285" spans="36:36" x14ac:dyDescent="0.35">
      <c r="AJ285" s="628"/>
    </row>
    <row r="286" spans="36:36" x14ac:dyDescent="0.35">
      <c r="AJ286" s="628"/>
    </row>
  </sheetData>
  <sheetProtection algorithmName="SHA-512" hashValue="3T2mYSzqJxH2NA0Lic6q9lrk4BnrMzMbZ4HuuaJ37Mc7/u+cz5Unz6GHIsKXCht48JX+iXH5STGxgZ1dMmkcpA==" saltValue="1axfrsvknko+SSoFe5BRRQ==" spinCount="100000" sheet="1" objects="1" scenarios="1"/>
  <mergeCells count="623">
    <mergeCell ref="AM64:AO64"/>
    <mergeCell ref="AG2:BG3"/>
    <mergeCell ref="AG4:BG5"/>
    <mergeCell ref="AG35:BG36"/>
    <mergeCell ref="AG37:BG38"/>
    <mergeCell ref="AJ63:AL63"/>
    <mergeCell ref="AJ64:AL64"/>
    <mergeCell ref="AM42:AO42"/>
    <mergeCell ref="AM43:AO43"/>
    <mergeCell ref="AM44:AO44"/>
    <mergeCell ref="AM45:AO45"/>
    <mergeCell ref="AM46:AO46"/>
    <mergeCell ref="AM47:AO47"/>
    <mergeCell ref="AM48:AO48"/>
    <mergeCell ref="AM49:AO49"/>
    <mergeCell ref="AM50:AO50"/>
    <mergeCell ref="AM51:AO51"/>
    <mergeCell ref="AM52:AO52"/>
    <mergeCell ref="AM53:AO53"/>
    <mergeCell ref="AM54:AO54"/>
    <mergeCell ref="AM55:AO55"/>
    <mergeCell ref="AM56:AO56"/>
    <mergeCell ref="AM57:AO57"/>
    <mergeCell ref="AM58:AO58"/>
    <mergeCell ref="AM59:AO59"/>
    <mergeCell ref="AM60:AO60"/>
    <mergeCell ref="AM61:AO61"/>
    <mergeCell ref="AM62:AO62"/>
    <mergeCell ref="AM63:AO63"/>
    <mergeCell ref="AJ42:AL42"/>
    <mergeCell ref="AJ43:AL43"/>
    <mergeCell ref="AJ44:AL44"/>
    <mergeCell ref="AJ45:AL45"/>
    <mergeCell ref="AJ46:AL46"/>
    <mergeCell ref="AJ47:AL47"/>
    <mergeCell ref="AJ48:AL48"/>
    <mergeCell ref="AJ49:AL49"/>
    <mergeCell ref="AJ50:AL50"/>
    <mergeCell ref="E45:G45"/>
    <mergeCell ref="E46:G46"/>
    <mergeCell ref="H43:J43"/>
    <mergeCell ref="H44:J44"/>
    <mergeCell ref="H45:J45"/>
    <mergeCell ref="H46:J46"/>
    <mergeCell ref="E33:J33"/>
    <mergeCell ref="K42:L42"/>
    <mergeCell ref="M42:N42"/>
    <mergeCell ref="K43:L43"/>
    <mergeCell ref="M43:N43"/>
    <mergeCell ref="K45:L45"/>
    <mergeCell ref="M45:N45"/>
    <mergeCell ref="S30:T30"/>
    <mergeCell ref="E30:G30"/>
    <mergeCell ref="E31:G31"/>
    <mergeCell ref="H30:J30"/>
    <mergeCell ref="H31:J31"/>
    <mergeCell ref="K44:L44"/>
    <mergeCell ref="M44:N44"/>
    <mergeCell ref="E42:G42"/>
    <mergeCell ref="H42:J42"/>
    <mergeCell ref="E43:G43"/>
    <mergeCell ref="E44:G44"/>
    <mergeCell ref="O42:R42"/>
    <mergeCell ref="S42:T42"/>
    <mergeCell ref="O43:R43"/>
    <mergeCell ref="S43:T43"/>
    <mergeCell ref="O44:R44"/>
    <mergeCell ref="S44:T44"/>
    <mergeCell ref="K29:L29"/>
    <mergeCell ref="M29:N29"/>
    <mergeCell ref="O29:R29"/>
    <mergeCell ref="S29:T29"/>
    <mergeCell ref="K28:L28"/>
    <mergeCell ref="M28:N28"/>
    <mergeCell ref="O28:R28"/>
    <mergeCell ref="S28:T28"/>
    <mergeCell ref="E28:G28"/>
    <mergeCell ref="E29:G29"/>
    <mergeCell ref="H28:J28"/>
    <mergeCell ref="H29:J29"/>
    <mergeCell ref="K27:L27"/>
    <mergeCell ref="M27:N27"/>
    <mergeCell ref="O27:R27"/>
    <mergeCell ref="S27:T27"/>
    <mergeCell ref="K26:L26"/>
    <mergeCell ref="M26:N26"/>
    <mergeCell ref="O26:R26"/>
    <mergeCell ref="S26:T26"/>
    <mergeCell ref="E26:G26"/>
    <mergeCell ref="E27:G27"/>
    <mergeCell ref="H26:J26"/>
    <mergeCell ref="H27:J27"/>
    <mergeCell ref="K25:L25"/>
    <mergeCell ref="M25:N25"/>
    <mergeCell ref="O25:R25"/>
    <mergeCell ref="S25:T25"/>
    <mergeCell ref="K24:L24"/>
    <mergeCell ref="M24:N24"/>
    <mergeCell ref="O24:R24"/>
    <mergeCell ref="S24:T24"/>
    <mergeCell ref="E24:G24"/>
    <mergeCell ref="E25:G25"/>
    <mergeCell ref="H24:J24"/>
    <mergeCell ref="H25:J25"/>
    <mergeCell ref="K23:L23"/>
    <mergeCell ref="M23:N23"/>
    <mergeCell ref="O23:R23"/>
    <mergeCell ref="S23:T23"/>
    <mergeCell ref="K22:L22"/>
    <mergeCell ref="M22:N22"/>
    <mergeCell ref="O22:R22"/>
    <mergeCell ref="S22:T22"/>
    <mergeCell ref="E22:G22"/>
    <mergeCell ref="E23:G23"/>
    <mergeCell ref="H22:J22"/>
    <mergeCell ref="H23:J23"/>
    <mergeCell ref="K21:L21"/>
    <mergeCell ref="M21:N21"/>
    <mergeCell ref="O21:R21"/>
    <mergeCell ref="S21:T21"/>
    <mergeCell ref="K20:L20"/>
    <mergeCell ref="M20:N20"/>
    <mergeCell ref="O20:R20"/>
    <mergeCell ref="S20:T20"/>
    <mergeCell ref="E20:G20"/>
    <mergeCell ref="E21:G21"/>
    <mergeCell ref="H20:J20"/>
    <mergeCell ref="H21:J21"/>
    <mergeCell ref="K19:L19"/>
    <mergeCell ref="M19:N19"/>
    <mergeCell ref="O19:R19"/>
    <mergeCell ref="S19:T19"/>
    <mergeCell ref="K18:L18"/>
    <mergeCell ref="M18:N18"/>
    <mergeCell ref="O18:R18"/>
    <mergeCell ref="S18:T18"/>
    <mergeCell ref="E18:G18"/>
    <mergeCell ref="E19:G19"/>
    <mergeCell ref="H18:J18"/>
    <mergeCell ref="H19:J19"/>
    <mergeCell ref="K17:L17"/>
    <mergeCell ref="M17:N17"/>
    <mergeCell ref="O17:R17"/>
    <mergeCell ref="S17:T17"/>
    <mergeCell ref="K16:L16"/>
    <mergeCell ref="M16:N16"/>
    <mergeCell ref="O16:R16"/>
    <mergeCell ref="S16:T16"/>
    <mergeCell ref="E16:G16"/>
    <mergeCell ref="E17:G17"/>
    <mergeCell ref="H16:J16"/>
    <mergeCell ref="H17:J17"/>
    <mergeCell ref="K15:L15"/>
    <mergeCell ref="M15:N15"/>
    <mergeCell ref="O15:R15"/>
    <mergeCell ref="S15:T15"/>
    <mergeCell ref="K14:L14"/>
    <mergeCell ref="M14:N14"/>
    <mergeCell ref="O14:R14"/>
    <mergeCell ref="S14:T14"/>
    <mergeCell ref="E14:G14"/>
    <mergeCell ref="E15:G15"/>
    <mergeCell ref="H14:J14"/>
    <mergeCell ref="H15:J15"/>
    <mergeCell ref="K13:L13"/>
    <mergeCell ref="M13:N13"/>
    <mergeCell ref="O13:R13"/>
    <mergeCell ref="S13:T13"/>
    <mergeCell ref="K12:L12"/>
    <mergeCell ref="M12:N12"/>
    <mergeCell ref="O12:R12"/>
    <mergeCell ref="S12:T12"/>
    <mergeCell ref="E12:G12"/>
    <mergeCell ref="E13:G13"/>
    <mergeCell ref="H12:J12"/>
    <mergeCell ref="H13:J13"/>
    <mergeCell ref="K11:L11"/>
    <mergeCell ref="M11:N11"/>
    <mergeCell ref="O11:R11"/>
    <mergeCell ref="S11:T11"/>
    <mergeCell ref="K10:L10"/>
    <mergeCell ref="M10:N10"/>
    <mergeCell ref="O10:R10"/>
    <mergeCell ref="S10:T10"/>
    <mergeCell ref="E10:G10"/>
    <mergeCell ref="E11:G11"/>
    <mergeCell ref="H10:J10"/>
    <mergeCell ref="H11:J11"/>
    <mergeCell ref="K9:L9"/>
    <mergeCell ref="M9:N9"/>
    <mergeCell ref="O9:R9"/>
    <mergeCell ref="S9:T9"/>
    <mergeCell ref="AP9:AQ9"/>
    <mergeCell ref="AR9:AS9"/>
    <mergeCell ref="AT9:AW9"/>
    <mergeCell ref="AX9:AY9"/>
    <mergeCell ref="E9:G9"/>
    <mergeCell ref="H9:J9"/>
    <mergeCell ref="AJ9:AL9"/>
    <mergeCell ref="AM9:AO9"/>
    <mergeCell ref="AJ10:AL10"/>
    <mergeCell ref="AJ11:AL11"/>
    <mergeCell ref="AM10:AO10"/>
    <mergeCell ref="AM11:AO11"/>
    <mergeCell ref="AP12:AQ12"/>
    <mergeCell ref="AR12:AS12"/>
    <mergeCell ref="AT12:AW12"/>
    <mergeCell ref="AX12:AY12"/>
    <mergeCell ref="AZ12:BD12"/>
    <mergeCell ref="AP10:AQ10"/>
    <mergeCell ref="AR10:AS10"/>
    <mergeCell ref="AT10:AW10"/>
    <mergeCell ref="AX10:AY10"/>
    <mergeCell ref="AZ10:BD10"/>
    <mergeCell ref="AP11:AQ11"/>
    <mergeCell ref="AR11:AS11"/>
    <mergeCell ref="AT11:AW11"/>
    <mergeCell ref="AX11:AY11"/>
    <mergeCell ref="AZ11:BD11"/>
    <mergeCell ref="AP13:AQ13"/>
    <mergeCell ref="AR13:AS13"/>
    <mergeCell ref="AT13:AW13"/>
    <mergeCell ref="AX13:AY13"/>
    <mergeCell ref="AZ13:BD13"/>
    <mergeCell ref="AJ12:AL12"/>
    <mergeCell ref="AJ13:AL13"/>
    <mergeCell ref="AM12:AO12"/>
    <mergeCell ref="AM13:AO13"/>
    <mergeCell ref="AJ14:AL14"/>
    <mergeCell ref="AJ15:AL15"/>
    <mergeCell ref="AM14:AO14"/>
    <mergeCell ref="AM15:AO15"/>
    <mergeCell ref="AP16:AQ16"/>
    <mergeCell ref="AR16:AS16"/>
    <mergeCell ref="AT16:AW16"/>
    <mergeCell ref="AX16:AY16"/>
    <mergeCell ref="AZ16:BD16"/>
    <mergeCell ref="AP14:AQ14"/>
    <mergeCell ref="AR14:AS14"/>
    <mergeCell ref="AT14:AW14"/>
    <mergeCell ref="AX14:AY14"/>
    <mergeCell ref="AZ14:BD14"/>
    <mergeCell ref="AP15:AQ15"/>
    <mergeCell ref="AR15:AS15"/>
    <mergeCell ref="AT15:AW15"/>
    <mergeCell ref="AX15:AY15"/>
    <mergeCell ref="AZ15:BD15"/>
    <mergeCell ref="AP17:AQ17"/>
    <mergeCell ref="AR17:AS17"/>
    <mergeCell ref="AT17:AW17"/>
    <mergeCell ref="AX17:AY17"/>
    <mergeCell ref="AZ17:BD17"/>
    <mergeCell ref="AJ16:AL16"/>
    <mergeCell ref="AJ17:AL17"/>
    <mergeCell ref="AM16:AO16"/>
    <mergeCell ref="AM17:AO17"/>
    <mergeCell ref="AJ18:AL18"/>
    <mergeCell ref="AJ19:AL19"/>
    <mergeCell ref="AM18:AO18"/>
    <mergeCell ref="AM19:AO19"/>
    <mergeCell ref="AP20:AQ20"/>
    <mergeCell ref="AR20:AS20"/>
    <mergeCell ref="AT20:AW20"/>
    <mergeCell ref="AX20:AY20"/>
    <mergeCell ref="AZ20:BD20"/>
    <mergeCell ref="AP18:AQ18"/>
    <mergeCell ref="AR18:AS18"/>
    <mergeCell ref="AT18:AW18"/>
    <mergeCell ref="AX18:AY18"/>
    <mergeCell ref="AZ18:BD18"/>
    <mergeCell ref="AP19:AQ19"/>
    <mergeCell ref="AR19:AS19"/>
    <mergeCell ref="AT19:AW19"/>
    <mergeCell ref="AX19:AY19"/>
    <mergeCell ref="AZ19:BD19"/>
    <mergeCell ref="AP21:AQ21"/>
    <mergeCell ref="AR21:AS21"/>
    <mergeCell ref="AT21:AW21"/>
    <mergeCell ref="AX21:AY21"/>
    <mergeCell ref="AZ21:BD21"/>
    <mergeCell ref="AJ20:AL20"/>
    <mergeCell ref="AJ21:AL21"/>
    <mergeCell ref="AM20:AO20"/>
    <mergeCell ref="AM21:AO21"/>
    <mergeCell ref="AJ22:AL22"/>
    <mergeCell ref="AJ23:AL23"/>
    <mergeCell ref="AM22:AO22"/>
    <mergeCell ref="AM23:AO23"/>
    <mergeCell ref="AP24:AQ24"/>
    <mergeCell ref="AR24:AS24"/>
    <mergeCell ref="AT24:AW24"/>
    <mergeCell ref="AX24:AY24"/>
    <mergeCell ref="AZ24:BD24"/>
    <mergeCell ref="AP22:AQ22"/>
    <mergeCell ref="AR22:AS22"/>
    <mergeCell ref="AT22:AW22"/>
    <mergeCell ref="AX22:AY22"/>
    <mergeCell ref="AZ22:BD22"/>
    <mergeCell ref="AP23:AQ23"/>
    <mergeCell ref="AR23:AS23"/>
    <mergeCell ref="AT23:AW23"/>
    <mergeCell ref="AX23:AY23"/>
    <mergeCell ref="AZ23:BD23"/>
    <mergeCell ref="AP25:AQ25"/>
    <mergeCell ref="AR25:AS25"/>
    <mergeCell ref="AT25:AW25"/>
    <mergeCell ref="AX25:AY25"/>
    <mergeCell ref="AZ25:BD25"/>
    <mergeCell ref="AJ24:AL24"/>
    <mergeCell ref="AJ25:AL25"/>
    <mergeCell ref="AM24:AO24"/>
    <mergeCell ref="AM25:AO25"/>
    <mergeCell ref="AJ26:AL26"/>
    <mergeCell ref="AJ27:AL27"/>
    <mergeCell ref="AM26:AO26"/>
    <mergeCell ref="AM27:AO27"/>
    <mergeCell ref="AP28:AQ28"/>
    <mergeCell ref="AR28:AS28"/>
    <mergeCell ref="AT28:AW28"/>
    <mergeCell ref="AX28:AY28"/>
    <mergeCell ref="AZ28:BD28"/>
    <mergeCell ref="AP26:AQ26"/>
    <mergeCell ref="AR26:AS26"/>
    <mergeCell ref="AT26:AW26"/>
    <mergeCell ref="AX26:AY26"/>
    <mergeCell ref="AZ26:BD26"/>
    <mergeCell ref="AP27:AQ27"/>
    <mergeCell ref="AR27:AS27"/>
    <mergeCell ref="AT27:AW27"/>
    <mergeCell ref="AX27:AY27"/>
    <mergeCell ref="AZ27:BD27"/>
    <mergeCell ref="AP29:AQ29"/>
    <mergeCell ref="AR29:AS29"/>
    <mergeCell ref="AT29:AW29"/>
    <mergeCell ref="AX29:AY29"/>
    <mergeCell ref="AZ29:BD29"/>
    <mergeCell ref="AJ28:AL28"/>
    <mergeCell ref="AJ29:AL29"/>
    <mergeCell ref="AM28:AO28"/>
    <mergeCell ref="AM29:AO29"/>
    <mergeCell ref="AP32:AQ32"/>
    <mergeCell ref="K33:L33"/>
    <mergeCell ref="AP30:AQ30"/>
    <mergeCell ref="AR30:AS30"/>
    <mergeCell ref="AT30:AW30"/>
    <mergeCell ref="AX30:AY30"/>
    <mergeCell ref="AZ30:BD30"/>
    <mergeCell ref="AP31:AQ31"/>
    <mergeCell ref="AR31:AS31"/>
    <mergeCell ref="AT31:AW31"/>
    <mergeCell ref="AX31:AY31"/>
    <mergeCell ref="AZ31:BD31"/>
    <mergeCell ref="K32:L32"/>
    <mergeCell ref="AJ30:AL30"/>
    <mergeCell ref="AJ31:AL31"/>
    <mergeCell ref="AM30:AO30"/>
    <mergeCell ref="AM31:AO31"/>
    <mergeCell ref="K31:L31"/>
    <mergeCell ref="M31:N31"/>
    <mergeCell ref="O31:R31"/>
    <mergeCell ref="S31:T31"/>
    <mergeCell ref="K30:L30"/>
    <mergeCell ref="M30:N30"/>
    <mergeCell ref="O30:R30"/>
    <mergeCell ref="O45:R45"/>
    <mergeCell ref="S45:T45"/>
    <mergeCell ref="K46:L46"/>
    <mergeCell ref="M46:N46"/>
    <mergeCell ref="O46:R46"/>
    <mergeCell ref="S46:T46"/>
    <mergeCell ref="K47:L47"/>
    <mergeCell ref="M47:N47"/>
    <mergeCell ref="O47:R47"/>
    <mergeCell ref="S47:T47"/>
    <mergeCell ref="K48:L48"/>
    <mergeCell ref="M48:N48"/>
    <mergeCell ref="O48:R48"/>
    <mergeCell ref="S48:T48"/>
    <mergeCell ref="E47:G47"/>
    <mergeCell ref="E48:G48"/>
    <mergeCell ref="H47:J47"/>
    <mergeCell ref="H48:J48"/>
    <mergeCell ref="K49:L49"/>
    <mergeCell ref="M49:N49"/>
    <mergeCell ref="O49:R49"/>
    <mergeCell ref="S49:T49"/>
    <mergeCell ref="K50:L50"/>
    <mergeCell ref="M50:N50"/>
    <mergeCell ref="O50:R50"/>
    <mergeCell ref="S50:T50"/>
    <mergeCell ref="E49:G49"/>
    <mergeCell ref="E50:G50"/>
    <mergeCell ref="H49:J49"/>
    <mergeCell ref="H50:J50"/>
    <mergeCell ref="K51:L51"/>
    <mergeCell ref="M51:N51"/>
    <mergeCell ref="O51:R51"/>
    <mergeCell ref="S51:T51"/>
    <mergeCell ref="K52:L52"/>
    <mergeCell ref="M52:N52"/>
    <mergeCell ref="O52:R52"/>
    <mergeCell ref="S52:T52"/>
    <mergeCell ref="E51:G51"/>
    <mergeCell ref="E52:G52"/>
    <mergeCell ref="H51:J51"/>
    <mergeCell ref="H52:J52"/>
    <mergeCell ref="K53:L53"/>
    <mergeCell ref="M53:N53"/>
    <mergeCell ref="O53:R53"/>
    <mergeCell ref="S53:T53"/>
    <mergeCell ref="K54:L54"/>
    <mergeCell ref="M54:N54"/>
    <mergeCell ref="O54:R54"/>
    <mergeCell ref="S54:T54"/>
    <mergeCell ref="E53:G53"/>
    <mergeCell ref="E54:G54"/>
    <mergeCell ref="H53:J53"/>
    <mergeCell ref="H54:J54"/>
    <mergeCell ref="E57:G57"/>
    <mergeCell ref="E58:G58"/>
    <mergeCell ref="H57:J57"/>
    <mergeCell ref="H58:J58"/>
    <mergeCell ref="K55:L55"/>
    <mergeCell ref="M55:N55"/>
    <mergeCell ref="O55:R55"/>
    <mergeCell ref="S55:T55"/>
    <mergeCell ref="K56:L56"/>
    <mergeCell ref="M56:N56"/>
    <mergeCell ref="O56:R56"/>
    <mergeCell ref="S56:T56"/>
    <mergeCell ref="E55:G55"/>
    <mergeCell ref="E56:G56"/>
    <mergeCell ref="H55:J55"/>
    <mergeCell ref="H56:J56"/>
    <mergeCell ref="H60:J60"/>
    <mergeCell ref="K57:L57"/>
    <mergeCell ref="M57:N57"/>
    <mergeCell ref="O57:R57"/>
    <mergeCell ref="S57:T57"/>
    <mergeCell ref="K58:L58"/>
    <mergeCell ref="M58:N58"/>
    <mergeCell ref="O58:R58"/>
    <mergeCell ref="S58:T58"/>
    <mergeCell ref="H59:J59"/>
    <mergeCell ref="K64:L64"/>
    <mergeCell ref="M64:N64"/>
    <mergeCell ref="O64:R64"/>
    <mergeCell ref="S64:T64"/>
    <mergeCell ref="E63:G63"/>
    <mergeCell ref="E64:G64"/>
    <mergeCell ref="H63:J63"/>
    <mergeCell ref="H64:J64"/>
    <mergeCell ref="K61:L61"/>
    <mergeCell ref="M61:N61"/>
    <mergeCell ref="O61:R61"/>
    <mergeCell ref="S61:T61"/>
    <mergeCell ref="K62:L62"/>
    <mergeCell ref="M62:N62"/>
    <mergeCell ref="O62:R62"/>
    <mergeCell ref="S62:T62"/>
    <mergeCell ref="E61:G61"/>
    <mergeCell ref="E62:G62"/>
    <mergeCell ref="H61:J61"/>
    <mergeCell ref="H62:J62"/>
    <mergeCell ref="E65:J65"/>
    <mergeCell ref="K65:L65"/>
    <mergeCell ref="AP42:AQ42"/>
    <mergeCell ref="AR42:AS42"/>
    <mergeCell ref="AT42:AW42"/>
    <mergeCell ref="AP45:AQ45"/>
    <mergeCell ref="AR45:AS45"/>
    <mergeCell ref="AT45:AW45"/>
    <mergeCell ref="AP48:AQ48"/>
    <mergeCell ref="AR48:AS48"/>
    <mergeCell ref="AT48:AW48"/>
    <mergeCell ref="AP51:AQ51"/>
    <mergeCell ref="AR51:AS51"/>
    <mergeCell ref="AT51:AW51"/>
    <mergeCell ref="AP53:AQ53"/>
    <mergeCell ref="AR53:AS53"/>
    <mergeCell ref="AT53:AW53"/>
    <mergeCell ref="AP55:AQ55"/>
    <mergeCell ref="AR55:AS55"/>
    <mergeCell ref="AT55:AW55"/>
    <mergeCell ref="K63:L63"/>
    <mergeCell ref="M63:N63"/>
    <mergeCell ref="O63:R63"/>
    <mergeCell ref="S63:T63"/>
    <mergeCell ref="AX42:AY42"/>
    <mergeCell ref="AP43:AQ43"/>
    <mergeCell ref="AR43:AS43"/>
    <mergeCell ref="AT43:AW43"/>
    <mergeCell ref="AX43:AY43"/>
    <mergeCell ref="AZ43:BD43"/>
    <mergeCell ref="AP44:AQ44"/>
    <mergeCell ref="AR44:AS44"/>
    <mergeCell ref="AT44:AW44"/>
    <mergeCell ref="AX44:AY44"/>
    <mergeCell ref="AZ44:BD44"/>
    <mergeCell ref="AX45:AY45"/>
    <mergeCell ref="AZ45:BD45"/>
    <mergeCell ref="AP46:AQ46"/>
    <mergeCell ref="AR46:AS46"/>
    <mergeCell ref="AT46:AW46"/>
    <mergeCell ref="AX46:AY46"/>
    <mergeCell ref="AZ46:BD46"/>
    <mergeCell ref="AP47:AQ47"/>
    <mergeCell ref="AR47:AS47"/>
    <mergeCell ref="AT47:AW47"/>
    <mergeCell ref="AX47:AY47"/>
    <mergeCell ref="AZ47:BD47"/>
    <mergeCell ref="AX48:AY48"/>
    <mergeCell ref="AZ48:BD48"/>
    <mergeCell ref="AP49:AQ49"/>
    <mergeCell ref="AR49:AS49"/>
    <mergeCell ref="AT49:AW49"/>
    <mergeCell ref="AX49:AY49"/>
    <mergeCell ref="AZ49:BD49"/>
    <mergeCell ref="AP50:AQ50"/>
    <mergeCell ref="AR50:AS50"/>
    <mergeCell ref="AT50:AW50"/>
    <mergeCell ref="AX50:AY50"/>
    <mergeCell ref="AZ50:BD50"/>
    <mergeCell ref="AX51:AY51"/>
    <mergeCell ref="AZ51:BD51"/>
    <mergeCell ref="AP52:AQ52"/>
    <mergeCell ref="AR52:AS52"/>
    <mergeCell ref="AT52:AW52"/>
    <mergeCell ref="AX52:AY52"/>
    <mergeCell ref="AZ52:BD52"/>
    <mergeCell ref="AJ51:AL51"/>
    <mergeCell ref="AJ52:AL52"/>
    <mergeCell ref="AX53:AY53"/>
    <mergeCell ref="AZ53:BD53"/>
    <mergeCell ref="AP54:AQ54"/>
    <mergeCell ref="AR54:AS54"/>
    <mergeCell ref="AT54:AW54"/>
    <mergeCell ref="AX54:AY54"/>
    <mergeCell ref="AZ54:BD54"/>
    <mergeCell ref="AJ53:AL53"/>
    <mergeCell ref="AJ54:AL54"/>
    <mergeCell ref="AT58:AW58"/>
    <mergeCell ref="AX58:AY58"/>
    <mergeCell ref="AZ58:BD58"/>
    <mergeCell ref="AX55:AY55"/>
    <mergeCell ref="AZ55:BD55"/>
    <mergeCell ref="AP56:AQ56"/>
    <mergeCell ref="AR56:AS56"/>
    <mergeCell ref="AT56:AW56"/>
    <mergeCell ref="AX56:AY56"/>
    <mergeCell ref="AZ56:BD56"/>
    <mergeCell ref="AX62:AY62"/>
    <mergeCell ref="AZ62:BD62"/>
    <mergeCell ref="AJ57:AL57"/>
    <mergeCell ref="AJ58:AL58"/>
    <mergeCell ref="AP59:AQ59"/>
    <mergeCell ref="AR59:AS59"/>
    <mergeCell ref="AT59:AW59"/>
    <mergeCell ref="AX59:AY59"/>
    <mergeCell ref="AZ59:BD59"/>
    <mergeCell ref="AP60:AQ60"/>
    <mergeCell ref="AR60:AS60"/>
    <mergeCell ref="AT60:AW60"/>
    <mergeCell ref="AX60:AY60"/>
    <mergeCell ref="AZ60:BD60"/>
    <mergeCell ref="AJ59:AL59"/>
    <mergeCell ref="AJ60:AL60"/>
    <mergeCell ref="AP57:AQ57"/>
    <mergeCell ref="AR57:AS57"/>
    <mergeCell ref="AT57:AW57"/>
    <mergeCell ref="AX57:AY57"/>
    <mergeCell ref="AZ57:BD57"/>
    <mergeCell ref="AP58:AQ58"/>
    <mergeCell ref="AZ61:BD61"/>
    <mergeCell ref="AR58:AS58"/>
    <mergeCell ref="B2:AB3"/>
    <mergeCell ref="B4:AB5"/>
    <mergeCell ref="B35:AB36"/>
    <mergeCell ref="B37:AB38"/>
    <mergeCell ref="AP63:AQ63"/>
    <mergeCell ref="AR63:AS63"/>
    <mergeCell ref="B32:B33"/>
    <mergeCell ref="AP61:AQ61"/>
    <mergeCell ref="AR61:AS61"/>
    <mergeCell ref="AP62:AQ62"/>
    <mergeCell ref="AR62:AS62"/>
    <mergeCell ref="AJ55:AL55"/>
    <mergeCell ref="AJ56:AL56"/>
    <mergeCell ref="K59:L59"/>
    <mergeCell ref="M59:N59"/>
    <mergeCell ref="O59:R59"/>
    <mergeCell ref="S59:T59"/>
    <mergeCell ref="K60:L60"/>
    <mergeCell ref="M60:N60"/>
    <mergeCell ref="O60:R60"/>
    <mergeCell ref="S60:T60"/>
    <mergeCell ref="E59:G59"/>
    <mergeCell ref="E60:G60"/>
    <mergeCell ref="U10:Y10"/>
    <mergeCell ref="E66:J66"/>
    <mergeCell ref="K66:L66"/>
    <mergeCell ref="B65:D66"/>
    <mergeCell ref="M65:AB66"/>
    <mergeCell ref="AR32:BG32"/>
    <mergeCell ref="AJ32:AO32"/>
    <mergeCell ref="AR65:BG65"/>
    <mergeCell ref="AJ65:AO65"/>
    <mergeCell ref="AT63:AW63"/>
    <mergeCell ref="AX63:AY63"/>
    <mergeCell ref="AZ63:BD63"/>
    <mergeCell ref="AP64:AQ64"/>
    <mergeCell ref="AR64:AS64"/>
    <mergeCell ref="AT64:AW64"/>
    <mergeCell ref="AX64:AY64"/>
    <mergeCell ref="AZ64:BD64"/>
    <mergeCell ref="E32:J32"/>
    <mergeCell ref="M32:AB33"/>
    <mergeCell ref="AJ61:AL61"/>
    <mergeCell ref="AJ62:AL62"/>
    <mergeCell ref="AP65:AQ65"/>
    <mergeCell ref="AT61:AW61"/>
    <mergeCell ref="AX61:AY61"/>
    <mergeCell ref="AT62:AW62"/>
  </mergeCells>
  <conditionalFormatting sqref="B10:D31">
    <cfRule type="containsText" dxfId="418" priority="38" operator="containsText" text="Area">
      <formula>NOT(ISERROR(SEARCH("Area",B10)))</formula>
    </cfRule>
    <cfRule type="containsText" dxfId="417" priority="39" operator="containsText" text="Watercourses">
      <formula>NOT(ISERROR(SEARCH("Watercourses",B10)))</formula>
    </cfRule>
    <cfRule type="containsText" dxfId="416" priority="40" operator="containsText" text="Hedgerows">
      <formula>NOT(ISERROR(SEARCH("Hedgerows",B10)))</formula>
    </cfRule>
  </conditionalFormatting>
  <conditionalFormatting sqref="M10:M31">
    <cfRule type="expression" dxfId="415" priority="36">
      <formula>B10="Hedgerows"</formula>
    </cfRule>
    <cfRule type="expression" dxfId="414" priority="37">
      <formula>B10="Watercourses"</formula>
    </cfRule>
  </conditionalFormatting>
  <conditionalFormatting sqref="B10:D31">
    <cfRule type="containsBlanks" priority="35">
      <formula>LEN(TRIM(B10))=0</formula>
    </cfRule>
  </conditionalFormatting>
  <conditionalFormatting sqref="K10:L31">
    <cfRule type="expression" dxfId="413" priority="34">
      <formula>B10="Area habitats"</formula>
    </cfRule>
  </conditionalFormatting>
  <conditionalFormatting sqref="AC10:AC33">
    <cfRule type="containsText" dxfId="412" priority="33" operator="containsText" text="Please">
      <formula>NOT(ISERROR(SEARCH("Please",AC10)))</formula>
    </cfRule>
  </conditionalFormatting>
  <conditionalFormatting sqref="AG10:AI31">
    <cfRule type="containsText" dxfId="411" priority="29" operator="containsText" text="Area">
      <formula>NOT(ISERROR(SEARCH("Area",AG10)))</formula>
    </cfRule>
    <cfRule type="containsText" dxfId="410" priority="30" operator="containsText" text="Watercourses">
      <formula>NOT(ISERROR(SEARCH("Watercourses",AG10)))</formula>
    </cfRule>
    <cfRule type="containsText" dxfId="409" priority="31" operator="containsText" text="Hedgerows">
      <formula>NOT(ISERROR(SEARCH("Hedgerows",AG10)))</formula>
    </cfRule>
  </conditionalFormatting>
  <conditionalFormatting sqref="AR11:AS31 AR10">
    <cfRule type="expression" dxfId="408" priority="27">
      <formula>AG10="Hedgerows"</formula>
    </cfRule>
    <cfRule type="expression" dxfId="407" priority="28">
      <formula>AG10="Watercourses"</formula>
    </cfRule>
  </conditionalFormatting>
  <conditionalFormatting sqref="AG10:AI31">
    <cfRule type="containsBlanks" priority="26">
      <formula>LEN(TRIM(AG10))=0</formula>
    </cfRule>
  </conditionalFormatting>
  <conditionalFormatting sqref="AP10:AQ31">
    <cfRule type="expression" dxfId="406" priority="25">
      <formula>AG10="Area habitats"</formula>
    </cfRule>
  </conditionalFormatting>
  <conditionalFormatting sqref="U11:Y31">
    <cfRule type="containsText" dxfId="405" priority="23" operator="containsText" text="Yes">
      <formula>NOT(ISERROR(SEARCH("Yes",U11)))</formula>
    </cfRule>
    <cfRule type="containsText" dxfId="404" priority="24" operator="containsText" text="No">
      <formula>NOT(ISERROR(SEARCH("No",U11)))</formula>
    </cfRule>
  </conditionalFormatting>
  <conditionalFormatting sqref="AZ10:BD31">
    <cfRule type="containsText" dxfId="403" priority="21" operator="containsText" text="No">
      <formula>NOT(ISERROR(SEARCH("No",AZ10)))</formula>
    </cfRule>
    <cfRule type="containsText" dxfId="402" priority="22" operator="containsText" text="Yes">
      <formula>NOT(ISERROR(SEARCH("Yes",AZ10)))</formula>
    </cfRule>
  </conditionalFormatting>
  <conditionalFormatting sqref="B43:D64">
    <cfRule type="containsText" dxfId="401" priority="18" operator="containsText" text="Area">
      <formula>NOT(ISERROR(SEARCH("Area",B43)))</formula>
    </cfRule>
    <cfRule type="containsText" dxfId="400" priority="19" operator="containsText" text="Watercourses">
      <formula>NOT(ISERROR(SEARCH("Watercourses",B43)))</formula>
    </cfRule>
    <cfRule type="containsText" dxfId="399" priority="20" operator="containsText" text="Hedgerows">
      <formula>NOT(ISERROR(SEARCH("Hedgerows",B43)))</formula>
    </cfRule>
  </conditionalFormatting>
  <conditionalFormatting sqref="M43:M64">
    <cfRule type="expression" dxfId="398" priority="16">
      <formula>B43="Hedgerows"</formula>
    </cfRule>
    <cfRule type="expression" dxfId="397" priority="17">
      <formula>B43="Watercourses"</formula>
    </cfRule>
  </conditionalFormatting>
  <conditionalFormatting sqref="B43:D64">
    <cfRule type="containsBlanks" priority="15">
      <formula>LEN(TRIM(B43))=0</formula>
    </cfRule>
  </conditionalFormatting>
  <conditionalFormatting sqref="K43:L64">
    <cfRule type="expression" dxfId="396" priority="14">
      <formula>B43="Area habitats"</formula>
    </cfRule>
  </conditionalFormatting>
  <conditionalFormatting sqref="U43:Y64">
    <cfRule type="containsText" dxfId="395" priority="12" operator="containsText" text="Yes">
      <formula>NOT(ISERROR(SEARCH("Yes",U43)))</formula>
    </cfRule>
    <cfRule type="containsText" dxfId="394" priority="13" operator="containsText" text="No">
      <formula>NOT(ISERROR(SEARCH("No",U43)))</formula>
    </cfRule>
  </conditionalFormatting>
  <conditionalFormatting sqref="AG43:AI64">
    <cfRule type="containsText" dxfId="393" priority="9" operator="containsText" text="Area">
      <formula>NOT(ISERROR(SEARCH("Area",AG43)))</formula>
    </cfRule>
    <cfRule type="containsText" dxfId="392" priority="10" operator="containsText" text="Watercourses">
      <formula>NOT(ISERROR(SEARCH("Watercourses",AG43)))</formula>
    </cfRule>
    <cfRule type="containsText" dxfId="391" priority="11" operator="containsText" text="Hedgerows">
      <formula>NOT(ISERROR(SEARCH("Hedgerows",AG43)))</formula>
    </cfRule>
  </conditionalFormatting>
  <conditionalFormatting sqref="AR44:AS64 AR43">
    <cfRule type="expression" dxfId="390" priority="7">
      <formula>AG43="Hedgerows"</formula>
    </cfRule>
    <cfRule type="expression" dxfId="389" priority="8">
      <formula>AG43="Watercourses"</formula>
    </cfRule>
  </conditionalFormatting>
  <conditionalFormatting sqref="AG43:AI64">
    <cfRule type="containsBlanks" priority="6">
      <formula>LEN(TRIM(AG43))=0</formula>
    </cfRule>
  </conditionalFormatting>
  <conditionalFormatting sqref="AP43:AQ64">
    <cfRule type="expression" dxfId="388" priority="5">
      <formula>AG43="Area habitats"</formula>
    </cfRule>
  </conditionalFormatting>
  <conditionalFormatting sqref="AZ43:BD64">
    <cfRule type="containsText" dxfId="387" priority="3" operator="containsText" text="No">
      <formula>NOT(ISERROR(SEARCH("No",AZ43)))</formula>
    </cfRule>
    <cfRule type="containsText" dxfId="386" priority="4" operator="containsText" text="Yes">
      <formula>NOT(ISERROR(SEARCH("Yes",AZ43)))</formula>
    </cfRule>
  </conditionalFormatting>
  <conditionalFormatting sqref="U10:Y10">
    <cfRule type="containsText" dxfId="385" priority="1" operator="containsText" text="No">
      <formula>NOT(ISERROR(SEARCH("No",U10)))</formula>
    </cfRule>
    <cfRule type="containsText" dxfId="384" priority="2" operator="containsText" text="Yes">
      <formula>NOT(ISERROR(SEARCH("Yes",U10)))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006600"/>
  </sheetPr>
  <dimension ref="A1:BA275"/>
  <sheetViews>
    <sheetView topLeftCell="D1" zoomScale="80" zoomScaleNormal="80" workbookViewId="0">
      <pane ySplit="10" topLeftCell="A11" activePane="bottomLeft" state="frozen"/>
      <selection activeCell="D11" sqref="D11"/>
      <selection pane="bottomLeft" activeCell="K17" sqref="K17"/>
    </sheetView>
  </sheetViews>
  <sheetFormatPr defaultColWidth="0" defaultRowHeight="14" zeroHeight="1" x14ac:dyDescent="0.3"/>
  <cols>
    <col min="1" max="1" width="9.1796875" style="20" hidden="1" customWidth="1"/>
    <col min="2" max="2" width="12.453125" style="20" hidden="1" customWidth="1"/>
    <col min="3" max="3" width="14.453125" style="20" hidden="1" customWidth="1"/>
    <col min="4" max="4" width="5.26953125" style="22" customWidth="1"/>
    <col min="5" max="5" width="24.26953125" style="22" customWidth="1"/>
    <col min="6" max="6" width="72.81640625" style="22" customWidth="1"/>
    <col min="7" max="7" width="25.453125" style="21" customWidth="1"/>
    <col min="8" max="8" width="14.1796875" style="22" customWidth="1"/>
    <col min="9" max="9" width="17.7265625" style="22" customWidth="1"/>
    <col min="10" max="10" width="7.453125" style="22" customWidth="1"/>
    <col min="11" max="11" width="17.1796875" style="22" customWidth="1"/>
    <col min="12" max="12" width="11.81640625" style="22" customWidth="1"/>
    <col min="13" max="13" width="41.7265625" style="22" customWidth="1"/>
    <col min="14" max="14" width="17.453125" style="22" customWidth="1"/>
    <col min="15" max="15" width="17.1796875" style="22" customWidth="1"/>
    <col min="16" max="16" width="30.7265625" style="22" customWidth="1"/>
    <col min="17" max="17" width="18" style="22" bestFit="1" customWidth="1"/>
    <col min="18" max="18" width="6" style="20" customWidth="1"/>
    <col min="19" max="19" width="10.1796875" style="22" customWidth="1"/>
    <col min="20" max="20" width="11.453125" style="22" customWidth="1"/>
    <col min="21" max="21" width="13.1796875" style="22" customWidth="1"/>
    <col min="22" max="22" width="11.7265625" style="22" bestFit="1" customWidth="1"/>
    <col min="23" max="23" width="14.453125" style="22" customWidth="1"/>
    <col min="24" max="24" width="17" style="22" customWidth="1"/>
    <col min="25" max="25" width="32.1796875" style="22" customWidth="1"/>
    <col min="26" max="26" width="50.1796875" style="22" customWidth="1"/>
    <col min="27" max="27" width="41.7265625" style="22" customWidth="1"/>
    <col min="28" max="28" width="20.7265625" style="22" customWidth="1"/>
    <col min="29" max="50" width="8.7265625" style="20" hidden="1" customWidth="1"/>
    <col min="51" max="53" width="4.26953125" style="20" customWidth="1"/>
    <col min="54" max="16384" width="4.26953125" style="20" hidden="1"/>
  </cols>
  <sheetData>
    <row r="1" spans="1:50" ht="14.5" thickBot="1" x14ac:dyDescent="0.35"/>
    <row r="2" spans="1:50" ht="18" thickBot="1" x14ac:dyDescent="0.4">
      <c r="D2" s="1145" t="str">
        <f>CONCATENATE("Project Name:", " ", Start!F12, "     ", "Map Reference:", " ", Start!F55)</f>
        <v xml:space="preserve">Project Name: Gain Site 2 for Digital     Map Reference: </v>
      </c>
      <c r="E2" s="1146"/>
      <c r="F2" s="1147"/>
      <c r="I2" s="1118" t="s">
        <v>130</v>
      </c>
      <c r="J2" s="1119"/>
      <c r="K2" s="1119"/>
      <c r="L2" s="1119"/>
      <c r="M2" s="1120"/>
      <c r="Q2" s="1135" t="str" cm="1">
        <f t="array" ref="Q2">IF(OR(K11:K258 = "Fairly Good", K11:K258 = "Fairly Poor"),"A 'Fairly' Category has been used - check evidence to ensure this is appropriate ⚠", "")</f>
        <v/>
      </c>
      <c r="R2" s="1135"/>
      <c r="S2" s="1135"/>
      <c r="T2" s="1135"/>
      <c r="U2" s="1135"/>
      <c r="V2" s="1135"/>
      <c r="W2" s="1135"/>
      <c r="X2" s="1135"/>
    </row>
    <row r="3" spans="1:50" ht="15.65" customHeight="1" x14ac:dyDescent="0.3">
      <c r="D3" s="1139" t="str">
        <f ca="1">MID(CELL("filename",C1),FIND("]",CELL("filename",C1))+1,256)</f>
        <v>A-1 On-Site Habitat Baseline</v>
      </c>
      <c r="E3" s="1140"/>
      <c r="F3" s="1141"/>
      <c r="I3" s="1154" t="s">
        <v>131</v>
      </c>
      <c r="J3" s="1155"/>
      <c r="K3" s="1155"/>
      <c r="L3" s="1148" t="e">
        <f>#REF!</f>
        <v>#REF!</v>
      </c>
      <c r="M3" s="1149"/>
      <c r="N3" s="503"/>
      <c r="Q3" s="1135"/>
      <c r="R3" s="1135"/>
      <c r="S3" s="1135"/>
      <c r="T3" s="1135"/>
      <c r="U3" s="1135"/>
      <c r="V3" s="1135"/>
      <c r="W3" s="1135"/>
      <c r="X3" s="1135"/>
      <c r="AC3" s="20" t="s">
        <v>132</v>
      </c>
      <c r="AD3" s="20" t="s">
        <v>132</v>
      </c>
      <c r="AE3" s="20" t="s">
        <v>132</v>
      </c>
      <c r="AF3" s="20" t="s">
        <v>132</v>
      </c>
      <c r="AG3" s="20" t="s">
        <v>132</v>
      </c>
      <c r="AH3" s="20" t="s">
        <v>132</v>
      </c>
      <c r="AI3" s="20" t="s">
        <v>132</v>
      </c>
      <c r="AJ3" s="20" t="s">
        <v>132</v>
      </c>
      <c r="AK3" s="20" t="s">
        <v>132</v>
      </c>
      <c r="AL3" s="20" t="s">
        <v>132</v>
      </c>
      <c r="AM3" s="20" t="s">
        <v>132</v>
      </c>
      <c r="AN3" s="20" t="s">
        <v>132</v>
      </c>
    </row>
    <row r="4" spans="1:50" ht="15" customHeight="1" thickBot="1" x14ac:dyDescent="0.35">
      <c r="D4" s="1142"/>
      <c r="E4" s="1143"/>
      <c r="F4" s="1144"/>
      <c r="I4" s="1156" t="s">
        <v>133</v>
      </c>
      <c r="J4" s="1157"/>
      <c r="K4" s="1157"/>
      <c r="L4" s="1150" t="e">
        <f>#REF!</f>
        <v>#REF!</v>
      </c>
      <c r="M4" s="1151"/>
      <c r="N4" s="503"/>
      <c r="Q4" s="1135"/>
      <c r="R4" s="1135"/>
      <c r="S4" s="1135"/>
      <c r="T4" s="1135"/>
      <c r="U4" s="1135"/>
      <c r="V4" s="1135"/>
      <c r="W4" s="1135"/>
      <c r="X4" s="1135"/>
      <c r="AF4" s="20" t="s">
        <v>134</v>
      </c>
      <c r="AG4" s="20" t="s">
        <v>134</v>
      </c>
      <c r="AH4" s="20" t="s">
        <v>134</v>
      </c>
      <c r="AI4" s="20" t="s">
        <v>134</v>
      </c>
      <c r="AJ4" s="20" t="s">
        <v>134</v>
      </c>
      <c r="AK4" s="20" t="s">
        <v>134</v>
      </c>
      <c r="AL4" s="20" t="s">
        <v>134</v>
      </c>
      <c r="AM4" s="20" t="s">
        <v>134</v>
      </c>
      <c r="AN4" s="20" t="s">
        <v>134</v>
      </c>
    </row>
    <row r="5" spans="1:50" ht="15.65" customHeight="1" thickBot="1" x14ac:dyDescent="0.35">
      <c r="I5" s="1158" t="s">
        <v>135</v>
      </c>
      <c r="J5" s="1152"/>
      <c r="K5" s="1152"/>
      <c r="L5" s="1152" t="e" cm="1">
        <f t="array" ref="L5">IF(OR(#REF!="No ▲"), "No - check trading summaries ▲", "Yes ✓")</f>
        <v>#REF!</v>
      </c>
      <c r="M5" s="1153"/>
      <c r="N5" s="503"/>
      <c r="Q5" s="1135"/>
      <c r="R5" s="1135"/>
      <c r="S5" s="1135"/>
      <c r="T5" s="1135"/>
      <c r="U5" s="1135"/>
      <c r="V5" s="1135"/>
      <c r="W5" s="1135"/>
      <c r="X5" s="1135"/>
    </row>
    <row r="6" spans="1:50" ht="16.149999999999999" customHeight="1" x14ac:dyDescent="0.3">
      <c r="I6" s="1129" t="str" cm="1">
        <f t="array" ref="I6">IF(OR(E11:E258="watercourse footprint"),"Please ensure the watercourse details for any watercourse footprints recorded are included in the watercourse tabs ⚠","")</f>
        <v/>
      </c>
      <c r="J6" s="1129"/>
      <c r="K6" s="1129"/>
      <c r="L6" s="1129"/>
      <c r="M6" s="1129"/>
    </row>
    <row r="7" spans="1:50" x14ac:dyDescent="0.3">
      <c r="I7" s="939"/>
      <c r="J7" s="939"/>
      <c r="K7" s="939"/>
      <c r="L7" s="939"/>
      <c r="M7" s="939"/>
    </row>
    <row r="8" spans="1:50" ht="31.15" customHeight="1" thickBot="1" x14ac:dyDescent="0.35">
      <c r="D8" s="23"/>
      <c r="E8" s="23"/>
      <c r="F8" s="23"/>
      <c r="I8" s="1130"/>
      <c r="J8" s="1130"/>
      <c r="K8" s="1130"/>
      <c r="L8" s="1130"/>
      <c r="M8" s="1130"/>
    </row>
    <row r="9" spans="1:50" ht="29.5" customHeight="1" thickBot="1" x14ac:dyDescent="0.35">
      <c r="D9" s="23"/>
      <c r="E9" s="1124" t="s">
        <v>136</v>
      </c>
      <c r="F9" s="1125"/>
      <c r="G9" s="1125"/>
      <c r="H9" s="1126"/>
      <c r="I9" s="1124" t="s">
        <v>137</v>
      </c>
      <c r="J9" s="1126"/>
      <c r="K9" s="1124" t="s">
        <v>138</v>
      </c>
      <c r="L9" s="1126"/>
      <c r="M9" s="1124" t="s">
        <v>139</v>
      </c>
      <c r="N9" s="1125"/>
      <c r="O9" s="1126"/>
      <c r="P9" s="1127" t="s">
        <v>140</v>
      </c>
      <c r="Q9" s="492" t="s">
        <v>141</v>
      </c>
      <c r="R9" s="24"/>
      <c r="S9" s="1121" t="s">
        <v>142</v>
      </c>
      <c r="T9" s="1122"/>
      <c r="U9" s="1122"/>
      <c r="V9" s="1122"/>
      <c r="W9" s="1122"/>
      <c r="X9" s="1123"/>
      <c r="Y9" s="1127" t="s">
        <v>1527</v>
      </c>
      <c r="Z9" s="1121" t="s">
        <v>144</v>
      </c>
      <c r="AA9" s="1122"/>
      <c r="AB9" s="1123"/>
      <c r="AC9" s="20" t="s">
        <v>134</v>
      </c>
      <c r="AD9" s="20" t="s">
        <v>134</v>
      </c>
      <c r="AF9" s="25" t="s">
        <v>145</v>
      </c>
      <c r="AG9" s="25"/>
      <c r="AH9" s="25"/>
      <c r="AI9" s="25"/>
      <c r="AJ9" s="25"/>
      <c r="AK9" s="25" t="s">
        <v>146</v>
      </c>
      <c r="AL9" s="25"/>
      <c r="AM9" s="25"/>
      <c r="AN9" s="25"/>
      <c r="AQ9" s="22" t="s">
        <v>147</v>
      </c>
    </row>
    <row r="10" spans="1:50" ht="84.65" customHeight="1" thickBot="1" x14ac:dyDescent="0.35">
      <c r="B10" s="26" t="s">
        <v>148</v>
      </c>
      <c r="D10" s="29" t="s">
        <v>149</v>
      </c>
      <c r="E10" s="384" t="s">
        <v>150</v>
      </c>
      <c r="F10" s="385" t="s">
        <v>151</v>
      </c>
      <c r="G10" s="497" t="s">
        <v>1495</v>
      </c>
      <c r="H10" s="28" t="s">
        <v>153</v>
      </c>
      <c r="I10" s="29" t="s">
        <v>137</v>
      </c>
      <c r="J10" s="28" t="s">
        <v>154</v>
      </c>
      <c r="K10" s="29" t="s">
        <v>138</v>
      </c>
      <c r="L10" s="28" t="s">
        <v>154</v>
      </c>
      <c r="M10" s="29" t="s">
        <v>139</v>
      </c>
      <c r="N10" s="243" t="s">
        <v>139</v>
      </c>
      <c r="O10" s="28" t="s">
        <v>155</v>
      </c>
      <c r="P10" s="1128"/>
      <c r="Q10" s="27" t="s">
        <v>156</v>
      </c>
      <c r="R10" s="24"/>
      <c r="S10" s="30" t="s">
        <v>157</v>
      </c>
      <c r="T10" s="31" t="s">
        <v>158</v>
      </c>
      <c r="U10" s="32" t="s">
        <v>159</v>
      </c>
      <c r="V10" s="32" t="s">
        <v>160</v>
      </c>
      <c r="W10" s="32" t="s">
        <v>161</v>
      </c>
      <c r="X10" s="33" t="s">
        <v>162</v>
      </c>
      <c r="Y10" s="1128"/>
      <c r="Z10" s="34" t="s">
        <v>163</v>
      </c>
      <c r="AA10" s="417" t="s">
        <v>164</v>
      </c>
      <c r="AB10" s="33" t="s">
        <v>1539</v>
      </c>
      <c r="AC10" s="501" t="s">
        <v>166</v>
      </c>
      <c r="AD10" s="501" t="s">
        <v>167</v>
      </c>
      <c r="AF10" s="25" t="s">
        <v>168</v>
      </c>
      <c r="AG10" s="25" t="s">
        <v>169</v>
      </c>
      <c r="AH10" s="25" t="s">
        <v>170</v>
      </c>
      <c r="AI10" s="25" t="s">
        <v>171</v>
      </c>
      <c r="AJ10" s="25"/>
      <c r="AK10" s="25" t="s">
        <v>168</v>
      </c>
      <c r="AL10" s="25" t="s">
        <v>169</v>
      </c>
      <c r="AM10" s="25" t="s">
        <v>170</v>
      </c>
      <c r="AN10" s="25"/>
      <c r="AV10" s="497" t="s">
        <v>152</v>
      </c>
    </row>
    <row r="11" spans="1:50" ht="14.5" thickBot="1" x14ac:dyDescent="0.35">
      <c r="A11" s="20" t="str">
        <f>IFERROR(INDEX('G-1 All Habitats'!$AG$3:$AG$17,MATCH(E11,'G-1 All Habitats'!$AF$3:$AF$17,0)),"")</f>
        <v/>
      </c>
      <c r="B11" s="20" t="str">
        <f>IFERROR(INDEX('G-8 Condition Look up'!$I$4:$I$135,MATCH(AV11,'G-8 Condition Look up'!$A$4:$A$135,0)),"")</f>
        <v/>
      </c>
      <c r="D11" s="539">
        <v>1</v>
      </c>
      <c r="E11" s="563"/>
      <c r="F11" s="36"/>
      <c r="G11" s="673"/>
      <c r="H11" s="541"/>
      <c r="I11" s="363" t="str">
        <f>IF(AV11="","",VLOOKUP(AV11,'G-1 All Habitats'!$B$2:$M$135,10,FALSE))</f>
        <v/>
      </c>
      <c r="J11" s="542" t="str">
        <f>IFERROR(VLOOKUP(I11,'G-1 All Habitats'!$V$3:$W$7,2,FALSE),"")</f>
        <v/>
      </c>
      <c r="K11" s="543"/>
      <c r="L11" s="542" t="str">
        <f>IFERROR(INDEX('G-8 Condition Look up'!$A$3:$H$135,MATCH(AV11,'G-8 Condition Look up'!$A$3:$A$135,0),MATCH(K11,'G-8 Condition Look up'!$A$3:$H$3,0)),"")</f>
        <v/>
      </c>
      <c r="M11" s="38"/>
      <c r="N11" s="295" t="str">
        <f>IF(M11="","",IF(VLOOKUP(M11,'G-3 Multipliers'!$L$3:$N$6,2,FALSE)=0,"Spatial Data Missing",VLOOKUP(M11,'G-3 Multipliers'!$L$3:$N$6,2,FALSE)))</f>
        <v/>
      </c>
      <c r="O11" s="544" t="str">
        <f>IF(M11="","",IF(VLOOKUP(M11,'G-3 Multipliers'!$L$3:$N$6,3,FALSE)=0,"Spatial Data Missing ▲",VLOOKUP(M11,'G-3 Multipliers'!$L$3:$N$6,3,FALSE)))</f>
        <v/>
      </c>
      <c r="P11" s="545" t="str">
        <f>(IF(G11="Yes","Bespoke compensation likely to be required 🛠",(IFERROR(VLOOKUP(AV11,'G-1 All Habitats'!$B$2:$M$135,12,FALSE),""))))</f>
        <v/>
      </c>
      <c r="Q11" s="304" t="str">
        <f>IFERROR(IF(AND(E11="Individual trees",T11&gt;0), "Error - you cannot enhance individual trees ▲", (IF(AND(U11="Irreplaceable habitat - no units generated ⚠",(S11+T11)&lt;H11, OR(Y11="No", Y11="")),"Any Loss Unacceptable ⚠", (IF(U11="Irreplaceable habitat - no units generated ⚠", T11*J11*L11*O11, IF(AND(P11='G-1 All Habitats'!$X$3, AC11&gt;0, S11&lt;=0, T11&lt;=0, OR(Y11="No", Y11="")),"Any Loss Unacceptable ⚠", IF(AND(P11='G-1 All Habitats'!$X$3, AC11&gt;0, S11&lt;=0, T11&lt;=0, Y11="Yes"), 0, (IF(AND(P11='G-1 All Habitats'!$X$3,(S11+T11)&lt;H11, OR(Y11="No", Y11="")),"Any Loss Unacceptable ⚠", (IF(P11="","",IF(AND(P11='G-1 All Habitats'!$X$3,T11&gt;0),U11+V11,IF(AND(P11='G-1 All Habitats'!$X$3,S11&gt;0),U11+V11,H11*J11*L11*O11))))))))))))),"Check Data ▲")</f>
        <v/>
      </c>
      <c r="R11" s="21"/>
      <c r="S11" s="543"/>
      <c r="T11" s="552"/>
      <c r="U11" s="553" t="str">
        <f>IFERROR(IF(G11="Yes","Irreplaceable habitat - no units generated ⚠", (S11*J11*L11*O11)),"")</f>
        <v/>
      </c>
      <c r="V11" s="553" t="str">
        <f>IFERROR(IF(AND(E11="Individual trees",T11&gt;0), "Error - ▲", (T11*J11*L11*O11)),"")</f>
        <v/>
      </c>
      <c r="W11" s="553" t="str">
        <f>IF(E11="","",IF(H11&lt;S11+T11,"Error in Areas ▲",IF(P11&lt;&gt;'G-1 All Habitats'!$X$3,H11-S11-T11,IF(AND(P11='G-1 All Habitats'!$X$3,Y11="No"),AC11,IF(AND(P11='G-1 All Habitats'!$X$3,Y11=""),AC11,IF(AND(P11='G-1 All Habitats'!$X$3,AC11="None"),AC11,IF(AND(P11='G-1 All Habitats'!$X$3,AC11&gt;0),H11-S11-T11)))))))</f>
        <v/>
      </c>
      <c r="X11" s="554" t="str">
        <f>IFERROR(IF(H11="","",IF(H11-S11-T11=0&lt;0,"Error in Areas ▲",IF(S11+T11&gt;H11,"Error in Areas ▲",IF(AND(P11='G-1 All Habitats'!$X$3,Y11="Yes"),"Alternative Compensation ✓",IF(W11=0,0,IF(P11='G-1 All Habitats'!$X$3,"Any Loss Unacceptable ▲",Q11-U11-V11)))))),"Check Data ▲")</f>
        <v/>
      </c>
      <c r="Y11" s="552"/>
      <c r="Z11" s="40"/>
      <c r="AA11" s="418"/>
      <c r="AB11" s="118"/>
      <c r="AC11" s="495" t="str">
        <f>IF(OR(P11="", Y11="Yes"),"", IF(P11='G-1 All Habitats'!$X$3,H11-S11-T11,"None"))</f>
        <v/>
      </c>
      <c r="AD11" s="496" t="str">
        <f>IF(P11="","", IF(P11='G-1 All Habitats'!$X$3, AC11*J11*L11*O11,"None"))</f>
        <v/>
      </c>
      <c r="AE11" s="20" t="str">
        <f>IF(Y11="Yes","Yes ✓",IF(Y11="No","No ▲",""))</f>
        <v/>
      </c>
      <c r="AF11" s="25" t="str">
        <f>IF(AV11="","",IF(S11&gt;0,TRUE,FALSE))</f>
        <v/>
      </c>
      <c r="AG11" s="25" t="str">
        <f t="shared" ref="AG11:AG74" si="0">IF(H11="","",IF(T11&gt;0,TRUE,FALSE))</f>
        <v/>
      </c>
      <c r="AH11" s="25" t="str">
        <f>IF(I11="","",IF(#REF!&gt;0,TRUE,FALSE))</f>
        <v/>
      </c>
      <c r="AI11" s="25">
        <v>1</v>
      </c>
      <c r="AJ11" s="25"/>
      <c r="AK11" s="25" t="str">
        <f t="array" ref="AK11">IFERROR(INDEX($AI$11:$AI$259, MATCH(0, IF(TRUE=$AF$11:$AF$259, COUNTIF($AK$10:$AK10, $AI$11:$AI$259), ""), 0)),"")</f>
        <v/>
      </c>
      <c r="AL11" s="25" t="str" cm="1">
        <f t="array" ref="AL11">IFERROR(INDEX($AI$11:$AI$259, MATCH(0, IF(TRUE=$AG$11:$AG$259, COUNTIF($AL$10:$AL10, $AI$11:$AI$259), ""), 0)),"")</f>
        <v/>
      </c>
      <c r="AM11" s="25" t="str">
        <f t="array" ref="AM11">IFERROR(INDEX($AI$11:$AI$259, MATCH(0, IF(TRUE=$AH$11:$AH$259, COUNTIF($AM$10:$AM10, $AI$11:$AI$259), ""), 0)),"")</f>
        <v/>
      </c>
      <c r="AN11" s="25"/>
      <c r="AQ11" s="20">
        <f>IF(X11="Any Loss Unacceptable ▲",1,0)</f>
        <v>0</v>
      </c>
      <c r="AV11" s="540" t="str">
        <f>IFERROR(INDEX('G-1 All Habitats'!$B$3:$B$135,MATCH(F11,'G-1 All Habitats'!$A$3:$A$135,0)),"")</f>
        <v/>
      </c>
      <c r="AW11" s="20" t="str">
        <f>IF(AV11="","",VLOOKUP(AV11,'G-1 All Habitats'!$B$1:$T$135,19,FALSE))</f>
        <v/>
      </c>
      <c r="AX11" s="20" t="s">
        <v>30</v>
      </c>
    </row>
    <row r="12" spans="1:50" ht="14.5" thickBot="1" x14ac:dyDescent="0.35">
      <c r="A12" s="20" t="str">
        <f>IFERROR(INDEX('G-1 All Habitats'!$AG$3:$AG$17,MATCH(E12,'G-1 All Habitats'!$AF$3:$AF$17,0)),"")</f>
        <v/>
      </c>
      <c r="B12" s="20" t="str">
        <f>IFERROR(INDEX('G-8 Condition Look up'!$I$4:$I$135,MATCH(AV12,'G-8 Condition Look up'!$A$4:$A$135,0)),"")</f>
        <v/>
      </c>
      <c r="D12" s="238">
        <v>2</v>
      </c>
      <c r="E12" s="602"/>
      <c r="F12" s="45"/>
      <c r="G12" s="272"/>
      <c r="H12" s="37"/>
      <c r="I12" s="290" t="str">
        <f>IF(AV12="","",VLOOKUP(AV12,'G-1 All Habitats'!$B$2:$M$135,10,FALSE))</f>
        <v/>
      </c>
      <c r="J12" s="291" t="str">
        <f>IFERROR(VLOOKUP(I12,'G-1 All Habitats'!$V$3:$W$7,2,FALSE),"")</f>
        <v/>
      </c>
      <c r="K12" s="38"/>
      <c r="L12" s="291" t="str">
        <f>IFERROR(INDEX('G-8 Condition Look up'!$A$3:$H$135,MATCH(AV12,'G-8 Condition Look up'!$A$3:$A$135,0),MATCH(K12,'G-8 Condition Look up'!$A$3:$H$3,0)),"")</f>
        <v/>
      </c>
      <c r="M12" s="38"/>
      <c r="N12" s="310" t="str">
        <f>IF(M12="","",IF(VLOOKUP(M12,'G-3 Multipliers'!$L$3:$N$6,2,FALSE)=0,"Spatial Data Missing",VLOOKUP(M12,'G-3 Multipliers'!$L$3:$N$6,2,FALSE)))</f>
        <v/>
      </c>
      <c r="O12" s="296" t="str">
        <f>IF(M12="","",IF(VLOOKUP(M12,'G-3 Multipliers'!$L$3:$N$6,3,FALSE)=0,"Spatial Data Missing ▲",VLOOKUP(M12,'G-3 Multipliers'!$L$3:$N$6,3,FALSE)))</f>
        <v/>
      </c>
      <c r="P12" s="297" t="str">
        <f>(IF(G12="Yes","Bespoke compensation likely to be required 🛠",(IFERROR(VLOOKUP(AV12,'G-1 All Habitats'!$B$2:$M$135,12,FALSE),""))))</f>
        <v/>
      </c>
      <c r="Q12" s="304" t="str">
        <f>IFERROR(IF(AND(E12="Individual trees",T12&gt;0), "Error - you cannot enhance individual trees ▲", (IF(AND(U12="Irreplaceable habitat - no units generated ⚠",(S12+T12)&lt;H12, OR(Y12="No", Y12="")),"Any Loss Unacceptable ⚠", (IF(U12="Irreplaceable habitat - no units generated ⚠", T12*J12*L12*O12, IF(AND(P12='G-1 All Habitats'!$X$3, AC12&gt;0, S12&lt;=0, T12&lt;=0, OR(Y12="No", Y12="")),"Any Loss Unacceptable ⚠", IF(AND(P12='G-1 All Habitats'!$X$3, AC12&gt;0, S12&lt;=0, T12&lt;=0, Y12="Yes"), 0, (IF(AND(P12='G-1 All Habitats'!$X$3,(S12+T12)&lt;H12, OR(Y12="No", Y12="")),"Any Loss Unacceptable ⚠", (IF(P12="","",IF(AND(P12='G-1 All Habitats'!$X$3,T12&gt;0),U12+V12,IF(AND(P12='G-1 All Habitats'!$X$3,S12&gt;0),U12+V12,H12*J12*L12*O12))))))))))))),"Check Data ▲")</f>
        <v/>
      </c>
      <c r="R12" s="23"/>
      <c r="S12" s="38"/>
      <c r="T12" s="39"/>
      <c r="U12" s="302" t="str">
        <f t="shared" ref="U12:U75" si="1">IFERROR(IF(G12="Yes","Irreplaceable habitat - no units generated ⚠", (S12*J12*L12*O12)),"")</f>
        <v/>
      </c>
      <c r="V12" s="302" t="str">
        <f t="shared" ref="V12:V75" si="2">IFERROR(IF(AND(E12="Individual trees",T12&gt;0), "Error - ▲", (T12*J12*L12*O12)),"")</f>
        <v/>
      </c>
      <c r="W12" s="302" t="str">
        <f>IF(E12="","",IF(H12&lt;S12+T12,"Error in Areas ▲",IF(P12&lt;&gt;'G-1 All Habitats'!$X$3,H12-S12-T12,IF(AND(P12='G-1 All Habitats'!$X$3,Y12="No"),AC12,IF(AND(P12='G-1 All Habitats'!$X$3,Y12=""),AC12,IF(AND(P12='G-1 All Habitats'!$X$3,AC12="None"),AC12,IF(AND(P12='G-1 All Habitats'!$X$3,AC12&gt;0),H12-S12-T12)))))))</f>
        <v/>
      </c>
      <c r="X12" s="306" t="str">
        <f>IFERROR(IF(H12="","",IF(H12-S12-T12=0&lt;0,"Error in Areas ▲",IF(S12+T12&gt;H12,"Error in Areas ▲",IF(AND(P12='G-1 All Habitats'!$X$3,Y12="Yes"),"Alternative Compensation ✓",IF(W12=0,0,IF(P12='G-1 All Habitats'!$X$3,"Any Loss Unacceptable ▲",Q12-U12-V12)))))),"Check Data ▲")</f>
        <v/>
      </c>
      <c r="Y12" s="39"/>
      <c r="Z12" s="46"/>
      <c r="AA12" s="419"/>
      <c r="AB12" s="101"/>
      <c r="AC12" s="495" t="str">
        <f>IF(OR(P12="", Y12="Yes"),"", IF(P12='G-1 All Habitats'!$X$3,H12-S12-T12,"None"))</f>
        <v/>
      </c>
      <c r="AD12" s="496" t="str">
        <f>IF(P12="","", IF(P12='G-1 All Habitats'!$X$3, AC12*J12*L12*O12,"None"))</f>
        <v/>
      </c>
      <c r="AE12" s="20" t="str">
        <f t="shared" ref="AE12:AE75" si="3">IF(Y12="Yes","Yes ✓",IF(Y12="No","No ▲",""))</f>
        <v/>
      </c>
      <c r="AF12" s="25" t="str">
        <f t="shared" ref="AF12:AF75" si="4">IF(AV12="","",IF(S12&gt;0,TRUE,FALSE))</f>
        <v/>
      </c>
      <c r="AG12" s="25" t="str">
        <f t="shared" si="0"/>
        <v/>
      </c>
      <c r="AH12" s="25" t="str">
        <f>IF(I12="","",IF(#REF!&gt;0,TRUE,FALSE))</f>
        <v/>
      </c>
      <c r="AI12" s="25">
        <v>2</v>
      </c>
      <c r="AJ12" s="25"/>
      <c r="AK12" s="25" t="str">
        <f t="array" ref="AK12">IFERROR(INDEX($AI$11:$AI$259, MATCH(0, IF(TRUE=$AF$11:$AF$259, COUNTIF($AK$10:$AK11, $AI$11:$AI$259), ""), 0)),"")</f>
        <v/>
      </c>
      <c r="AL12" s="25" t="str" cm="1">
        <f t="array" ref="AL12">IFERROR(INDEX($AI$11:$AI$259, MATCH(0, IF(TRUE=$AG$11:$AG$259, COUNTIF($AL$10:$AL11, $AI$11:$AI$259), ""), 0)),"")</f>
        <v/>
      </c>
      <c r="AM12" s="25" t="str">
        <f t="array" ref="AM12">IFERROR(INDEX($AI$11:$AI$259, MATCH(0, IF(TRUE=$AH$11:$AH$259, COUNTIF($AM$10:$AM11, $AI$11:$AI$259), ""), 0)),"")</f>
        <v/>
      </c>
      <c r="AN12" s="25"/>
      <c r="AQ12" s="20">
        <f t="shared" ref="AQ12:AQ75" si="5">IF(X12="Any Loss Unacceptable ▲",1,0)</f>
        <v>0</v>
      </c>
      <c r="AV12" s="540" t="str">
        <f>IFERROR(INDEX('G-1 All Habitats'!$B$3:$B$135,MATCH(F12,'G-1 All Habitats'!$A$3:$A$135,0)),"")</f>
        <v/>
      </c>
      <c r="AW12" s="20" t="str">
        <f>IF(AV12="","",VLOOKUP(AV12,'G-1 All Habitats'!$B$1:$T$135,19,FALSE))</f>
        <v/>
      </c>
      <c r="AX12" s="20" t="s">
        <v>32</v>
      </c>
    </row>
    <row r="13" spans="1:50" ht="14.5" thickBot="1" x14ac:dyDescent="0.35">
      <c r="A13" s="20" t="str">
        <f>IFERROR(INDEX('G-1 All Habitats'!$AG$3:$AG$17,MATCH(E13,'G-1 All Habitats'!$AF$3:$AF$17,0)),"")</f>
        <v/>
      </c>
      <c r="B13" s="20" t="str">
        <f>IFERROR(INDEX('G-8 Condition Look up'!$I$4:$I$135,MATCH(AV13,'G-8 Condition Look up'!$A$4:$A$135,0)),"")</f>
        <v/>
      </c>
      <c r="D13" s="238">
        <v>3</v>
      </c>
      <c r="E13" s="223"/>
      <c r="F13" s="45"/>
      <c r="G13" s="272"/>
      <c r="H13" s="37"/>
      <c r="I13" s="290" t="str">
        <f>IF(AV13="","",VLOOKUP(AV13,'G-1 All Habitats'!$B$2:$M$135,10,FALSE))</f>
        <v/>
      </c>
      <c r="J13" s="291" t="str">
        <f>IFERROR(VLOOKUP(I13,'G-1 All Habitats'!$V$3:$W$7,2,FALSE),"")</f>
        <v/>
      </c>
      <c r="K13" s="38"/>
      <c r="L13" s="291" t="str">
        <f>IFERROR(INDEX('G-8 Condition Look up'!$A$3:$H$135,MATCH(AV13,'G-8 Condition Look up'!$A$3:$A$135,0),MATCH(K13,'G-8 Condition Look up'!$A$3:$H$3,0)),"")</f>
        <v/>
      </c>
      <c r="M13" s="38"/>
      <c r="N13" s="310" t="str">
        <f>IF(M13="","",IF(VLOOKUP(M13,'G-3 Multipliers'!$L$3:$N$6,2,FALSE)=0,"Spatial Data Missing",VLOOKUP(M13,'G-3 Multipliers'!$L$3:$N$6,2,FALSE)))</f>
        <v/>
      </c>
      <c r="O13" s="296" t="str">
        <f>IF(M13="","",IF(VLOOKUP(M13,'G-3 Multipliers'!$L$3:$N$6,3,FALSE)=0,"Spatial Data Missing ▲",VLOOKUP(M13,'G-3 Multipliers'!$L$3:$N$6,3,FALSE)))</f>
        <v/>
      </c>
      <c r="P13" s="297" t="str">
        <f>(IF(G13="Yes","Bespoke compensation likely to be required 🛠",(IFERROR(VLOOKUP(AV13,'G-1 All Habitats'!$B$2:$M$135,12,FALSE),""))))</f>
        <v/>
      </c>
      <c r="Q13" s="304" t="str">
        <f>IFERROR(IF(AND(E13="Individual trees",T13&gt;0), "Error - you cannot enhance individual trees ▲", (IF(AND(U13="Irreplaceable habitat - no units generated ⚠",(S13+T13)&lt;H13, OR(Y13="No", Y13="")),"Any Loss Unacceptable ⚠", (IF(U13="Irreplaceable habitat - no units generated ⚠", T13*J13*L13*O13, IF(AND(P13='G-1 All Habitats'!$X$3, AC13&gt;0, S13&lt;=0, T13&lt;=0, OR(Y13="No", Y13="")),"Any Loss Unacceptable ⚠", IF(AND(P13='G-1 All Habitats'!$X$3, AC13&gt;0, S13&lt;=0, T13&lt;=0, Y13="Yes"), 0, (IF(AND(P13='G-1 All Habitats'!$X$3,(S13+T13)&lt;H13, OR(Y13="No", Y13="")),"Any Loss Unacceptable ⚠", (IF(P13="","",IF(AND(P13='G-1 All Habitats'!$X$3,T13&gt;0),U13+V13,IF(AND(P13='G-1 All Habitats'!$X$3,S13&gt;0),U13+V13,H13*J13*L13*O13))))))))))))),"Check Data ▲")</f>
        <v/>
      </c>
      <c r="R13" s="23"/>
      <c r="S13" s="38"/>
      <c r="T13" s="39"/>
      <c r="U13" s="302" t="str">
        <f t="shared" si="1"/>
        <v/>
      </c>
      <c r="V13" s="302" t="str">
        <f t="shared" si="2"/>
        <v/>
      </c>
      <c r="W13" s="302" t="str">
        <f>IF(E13="","",IF(H13&lt;S13+T13,"Error in Areas ▲",IF(P13&lt;&gt;'G-1 All Habitats'!$X$3,H13-S13-T13,IF(AND(P13='G-1 All Habitats'!$X$3,Y13="No"),AC13,IF(AND(P13='G-1 All Habitats'!$X$3,Y13=""),AC13,IF(AND(P13='G-1 All Habitats'!$X$3,AC13="None"),AC13,IF(AND(P13='G-1 All Habitats'!$X$3,AC13&gt;0),H13-S13-T13)))))))</f>
        <v/>
      </c>
      <c r="X13" s="306" t="str">
        <f>IFERROR(IF(H13="","",IF(H13-S13-T13=0&lt;0,"Error in Areas ▲",IF(S13+T13&gt;H13,"Error in Areas ▲",IF(AND(P13='G-1 All Habitats'!$X$3,Y13="Yes"),"Alternative Compensation ✓",IF(W13=0,0,IF(P13='G-1 All Habitats'!$X$3,"Any Loss Unacceptable ▲",Q13-U13-V13)))))),"Check Data ▲")</f>
        <v/>
      </c>
      <c r="Y13" s="39"/>
      <c r="Z13" s="46"/>
      <c r="AA13" s="419"/>
      <c r="AB13" s="101"/>
      <c r="AC13" s="495" t="str">
        <f>IF(OR(P13="", Y13="Yes"),"", IF(P13='G-1 All Habitats'!$X$3,H13-S13-T13,"None"))</f>
        <v/>
      </c>
      <c r="AD13" s="496" t="str">
        <f>IF(P13="","", IF(P13='G-1 All Habitats'!$X$3, AC13*J13*L13*O13,"None"))</f>
        <v/>
      </c>
      <c r="AE13" s="20" t="str">
        <f t="shared" si="3"/>
        <v/>
      </c>
      <c r="AF13" s="25" t="str">
        <f t="shared" si="4"/>
        <v/>
      </c>
      <c r="AG13" s="25" t="str">
        <f t="shared" si="0"/>
        <v/>
      </c>
      <c r="AH13" s="25" t="str">
        <f>IF(I13="","",IF(#REF!&gt;0,TRUE,FALSE))</f>
        <v/>
      </c>
      <c r="AI13" s="25">
        <v>3</v>
      </c>
      <c r="AJ13" s="25"/>
      <c r="AK13" s="25" t="str">
        <f t="array" ref="AK13">IFERROR(INDEX($AI$11:$AI$259, MATCH(0, IF(TRUE=$AF$11:$AF$259, COUNTIF($AK$10:$AK12, $AI$11:$AI$259), ""), 0)),"")</f>
        <v/>
      </c>
      <c r="AL13" s="25" t="str">
        <f t="array" ref="AL13">IFERROR(INDEX($AI$11:$AI$259, MATCH(0, IF(TRUE=$AG$11:$AG$259, COUNTIF($AL$10:$AL12, $AI$11:$AI$259), ""), 0)),"")</f>
        <v/>
      </c>
      <c r="AM13" s="25" t="str">
        <f t="array" ref="AM13">IFERROR(INDEX($AI$11:$AI$259, MATCH(0, IF(TRUE=$AH$11:$AH$259, COUNTIF($AM$10:$AM12, $AI$11:$AI$259), ""), 0)),"")</f>
        <v/>
      </c>
      <c r="AN13" s="25"/>
      <c r="AQ13" s="20">
        <f t="shared" si="5"/>
        <v>0</v>
      </c>
      <c r="AV13" s="540" t="str">
        <f>IFERROR(INDEX('G-1 All Habitats'!$B$3:$B$135,MATCH(F13,'G-1 All Habitats'!$A$3:$A$135,0)),"")</f>
        <v/>
      </c>
      <c r="AW13" s="20" t="str">
        <f>IF(AV13="","",VLOOKUP(AV13,'G-1 All Habitats'!$B$1:$T$135,19,FALSE))</f>
        <v/>
      </c>
    </row>
    <row r="14" spans="1:50" ht="14.5" thickBot="1" x14ac:dyDescent="0.35">
      <c r="A14" s="20" t="str">
        <f>IFERROR(INDEX('G-1 All Habitats'!$AG$3:$AG$17,MATCH(E14,'G-1 All Habitats'!$AF$3:$AF$17,0)),"")</f>
        <v/>
      </c>
      <c r="B14" s="20" t="str">
        <f>IFERROR(INDEX('G-8 Condition Look up'!$I$4:$I$135,MATCH(AV14,'G-8 Condition Look up'!$A$4:$A$135,0)),"")</f>
        <v/>
      </c>
      <c r="D14" s="238">
        <v>4</v>
      </c>
      <c r="E14" s="223"/>
      <c r="F14" s="45"/>
      <c r="G14" s="272"/>
      <c r="H14" s="37"/>
      <c r="I14" s="290" t="str">
        <f>IF(AV14="","",VLOOKUP(AV14,'G-1 All Habitats'!$B$2:$M$135,10,FALSE))</f>
        <v/>
      </c>
      <c r="J14" s="291" t="str">
        <f>IFERROR(VLOOKUP(I14,'G-1 All Habitats'!$V$3:$W$7,2,FALSE),"")</f>
        <v/>
      </c>
      <c r="K14" s="38"/>
      <c r="L14" s="291" t="str">
        <f>IFERROR(INDEX('G-8 Condition Look up'!$A$3:$H$135,MATCH(AV14,'G-8 Condition Look up'!$A$3:$A$135,0),MATCH(K14,'G-8 Condition Look up'!$A$3:$H$3,0)),"")</f>
        <v/>
      </c>
      <c r="M14" s="38"/>
      <c r="N14" s="310" t="str">
        <f>IF(M14="","",IF(VLOOKUP(M14,'G-3 Multipliers'!$L$3:$N$6,2,FALSE)=0,"Spatial Data Missing",VLOOKUP(M14,'G-3 Multipliers'!$L$3:$N$6,2,FALSE)))</f>
        <v/>
      </c>
      <c r="O14" s="296" t="str">
        <f>IF(M14="","",IF(VLOOKUP(M14,'G-3 Multipliers'!$L$3:$N$6,3,FALSE)=0,"Spatial Data Missing ▲",VLOOKUP(M14,'G-3 Multipliers'!$L$3:$N$6,3,FALSE)))</f>
        <v/>
      </c>
      <c r="P14" s="297" t="str">
        <f>(IF(G14="Yes","Bespoke compensation likely to be required 🛠",(IFERROR(VLOOKUP(AV14,'G-1 All Habitats'!$B$2:$M$135,12,FALSE),""))))</f>
        <v/>
      </c>
      <c r="Q14" s="304" t="str">
        <f>IFERROR(IF(AND(E14="Individual trees",T14&gt;0), "Error - you cannot enhance individual trees ▲", (IF(AND(U14="Irreplaceable habitat - no units generated ⚠",(S14+T14)&lt;H14, OR(Y14="No", Y14="")),"Any Loss Unacceptable ⚠", (IF(U14="Irreplaceable habitat - no units generated ⚠", T14*J14*L14*O14, IF(AND(P14='G-1 All Habitats'!$X$3, AC14&gt;0, S14&lt;=0, T14&lt;=0, OR(Y14="No", Y14="")),"Any Loss Unacceptable ⚠", IF(AND(P14='G-1 All Habitats'!$X$3, AC14&gt;0, S14&lt;=0, T14&lt;=0, Y14="Yes"), 0, (IF(AND(P14='G-1 All Habitats'!$X$3,(S14+T14)&lt;H14, OR(Y14="No", Y14="")),"Any Loss Unacceptable ⚠", (IF(P14="","",IF(AND(P14='G-1 All Habitats'!$X$3,T14&gt;0),U14+V14,IF(AND(P14='G-1 All Habitats'!$X$3,S14&gt;0),U14+V14,H14*J14*L14*O14))))))))))))),"Check Data ▲")</f>
        <v/>
      </c>
      <c r="R14" s="23"/>
      <c r="S14" s="38"/>
      <c r="T14" s="39"/>
      <c r="U14" s="302" t="str">
        <f t="shared" si="1"/>
        <v/>
      </c>
      <c r="V14" s="302" t="str">
        <f t="shared" si="2"/>
        <v/>
      </c>
      <c r="W14" s="302" t="str">
        <f>IF(E14="","",IF(H14&lt;S14+T14,"Error in Areas ▲",IF(P14&lt;&gt;'G-1 All Habitats'!$X$3,H14-S14-T14,IF(AND(P14='G-1 All Habitats'!$X$3,Y14="No"),AC14,IF(AND(P14='G-1 All Habitats'!$X$3,Y14=""),AC14,IF(AND(P14='G-1 All Habitats'!$X$3,AC14="None"),AC14,IF(AND(P14='G-1 All Habitats'!$X$3,AC14&gt;0),H14-S14-T14)))))))</f>
        <v/>
      </c>
      <c r="X14" s="306" t="str">
        <f>IFERROR(IF(H14="","",IF(H14-S14-T14=0&lt;0,"Error in Areas ▲",IF(S14+T14&gt;H14,"Error in Areas ▲",IF(AND(P14='G-1 All Habitats'!$X$3,Y14="Yes"),"Alternative Compensation ✓",IF(W14=0,0,IF(P14='G-1 All Habitats'!$X$3,"Any Loss Unacceptable ▲",Q14-U14-V14)))))),"Check Data ▲")</f>
        <v/>
      </c>
      <c r="Y14" s="39"/>
      <c r="Z14" s="46"/>
      <c r="AA14" s="419"/>
      <c r="AB14" s="101"/>
      <c r="AC14" s="495" t="str">
        <f>IF(OR(P14="", Y14="Yes"),"", IF(P14='G-1 All Habitats'!$X$3,H14-S14-T14,"None"))</f>
        <v/>
      </c>
      <c r="AD14" s="496" t="str">
        <f>IF(P14="","", IF(P14='G-1 All Habitats'!$X$3, AC14*J14*L14*O14,"None"))</f>
        <v/>
      </c>
      <c r="AE14" s="20" t="str">
        <f t="shared" si="3"/>
        <v/>
      </c>
      <c r="AF14" s="25" t="str">
        <f t="shared" si="4"/>
        <v/>
      </c>
      <c r="AG14" s="25" t="str">
        <f t="shared" si="0"/>
        <v/>
      </c>
      <c r="AH14" s="25" t="str">
        <f>IF(I14="","",IF(#REF!&gt;0,TRUE,FALSE))</f>
        <v/>
      </c>
      <c r="AI14" s="25">
        <v>4</v>
      </c>
      <c r="AJ14" s="25"/>
      <c r="AK14" s="25" t="str">
        <f t="array" ref="AK14">IFERROR(INDEX($AI$11:$AI$259, MATCH(0, IF(TRUE=$AF$11:$AF$259, COUNTIF($AK$10:$AK13, $AI$11:$AI$259), ""), 0)),"")</f>
        <v/>
      </c>
      <c r="AL14" s="25" t="str">
        <f t="array" ref="AL14">IFERROR(INDEX($AI$11:$AI$259, MATCH(0, IF(TRUE=$AG$11:$AG$259, COUNTIF($AL$10:$AL13, $AI$11:$AI$259), ""), 0)),"")</f>
        <v/>
      </c>
      <c r="AM14" s="25" t="str">
        <f t="array" ref="AM14">IFERROR(INDEX($AI$11:$AI$259, MATCH(0, IF(TRUE=$AH$11:$AH$259, COUNTIF($AM$10:$AM13, $AI$11:$AI$259), ""), 0)),"")</f>
        <v/>
      </c>
      <c r="AN14" s="25"/>
      <c r="AQ14" s="20">
        <f t="shared" si="5"/>
        <v>0</v>
      </c>
      <c r="AV14" s="540" t="str">
        <f>IFERROR(INDEX('G-1 All Habitats'!$B$3:$B$135,MATCH(F14,'G-1 All Habitats'!$A$3:$A$135,0)),"")</f>
        <v/>
      </c>
      <c r="AW14" s="20" t="str">
        <f>IF(AV14="","",VLOOKUP(AV14,'G-1 All Habitats'!$B$1:$T$135,19,FALSE))</f>
        <v/>
      </c>
    </row>
    <row r="15" spans="1:50" ht="14.5" thickBot="1" x14ac:dyDescent="0.35">
      <c r="A15" s="20" t="str">
        <f>IFERROR(INDEX('G-1 All Habitats'!$AG$3:$AG$17,MATCH(E15,'G-1 All Habitats'!$AF$3:$AF$17,0)),"")</f>
        <v/>
      </c>
      <c r="B15" s="20" t="str">
        <f>IFERROR(INDEX('G-8 Condition Look up'!$I$4:$I$135,MATCH(AV15,'G-8 Condition Look up'!$A$4:$A$135,0)),"")</f>
        <v/>
      </c>
      <c r="D15" s="238">
        <v>5</v>
      </c>
      <c r="E15" s="223"/>
      <c r="F15" s="45"/>
      <c r="G15" s="272"/>
      <c r="H15" s="37"/>
      <c r="I15" s="290" t="str">
        <f>IF(AV15="","",VLOOKUP(AV15,'G-1 All Habitats'!$B$2:$M$135,10,FALSE))</f>
        <v/>
      </c>
      <c r="J15" s="291" t="str">
        <f>IFERROR(VLOOKUP(I15,'G-1 All Habitats'!$V$3:$W$7,2,FALSE),"")</f>
        <v/>
      </c>
      <c r="K15" s="38"/>
      <c r="L15" s="291" t="str">
        <f>IFERROR(INDEX('G-8 Condition Look up'!$A$3:$H$135,MATCH(AV15,'G-8 Condition Look up'!$A$3:$A$135,0),MATCH(K15,'G-8 Condition Look up'!$A$3:$H$3,0)),"")</f>
        <v/>
      </c>
      <c r="M15" s="38"/>
      <c r="N15" s="310" t="str">
        <f>IF(M15="","",IF(VLOOKUP(M15,'G-3 Multipliers'!$L$3:$N$6,2,FALSE)=0,"Spatial Data Missing",VLOOKUP(M15,'G-3 Multipliers'!$L$3:$N$6,2,FALSE)))</f>
        <v/>
      </c>
      <c r="O15" s="296" t="str">
        <f>IF(M15="","",IF(VLOOKUP(M15,'G-3 Multipliers'!$L$3:$N$6,3,FALSE)=0,"Spatial Data Missing ▲",VLOOKUP(M15,'G-3 Multipliers'!$L$3:$N$6,3,FALSE)))</f>
        <v/>
      </c>
      <c r="P15" s="297" t="str">
        <f>(IF(G15="Yes","Bespoke compensation likely to be required 🛠",(IFERROR(VLOOKUP(AV15,'G-1 All Habitats'!$B$2:$M$135,12,FALSE),""))))</f>
        <v/>
      </c>
      <c r="Q15" s="304" t="str">
        <f>IFERROR(IF(AND(E15="Individual trees",T15&gt;0), "Error - you cannot enhance individual trees ▲", (IF(AND(U15="Irreplaceable habitat - no units generated ⚠",(S15+T15)&lt;H15, OR(Y15="No", Y15="")),"Any Loss Unacceptable ⚠", (IF(U15="Irreplaceable habitat - no units generated ⚠", T15*J15*L15*O15, IF(AND(P15='G-1 All Habitats'!$X$3, AC15&gt;0, S15&lt;=0, T15&lt;=0, OR(Y15="No", Y15="")),"Any Loss Unacceptable ⚠", IF(AND(P15='G-1 All Habitats'!$X$3, AC15&gt;0, S15&lt;=0, T15&lt;=0, Y15="Yes"), 0, (IF(AND(P15='G-1 All Habitats'!$X$3,(S15+T15)&lt;H15, OR(Y15="No", Y15="")),"Any Loss Unacceptable ⚠", (IF(P15="","",IF(AND(P15='G-1 All Habitats'!$X$3,T15&gt;0),U15+V15,IF(AND(P15='G-1 All Habitats'!$X$3,S15&gt;0),U15+V15,H15*J15*L15*O15))))))))))))),"Check Data ▲")</f>
        <v/>
      </c>
      <c r="R15" s="23"/>
      <c r="S15" s="38"/>
      <c r="T15" s="39"/>
      <c r="U15" s="302" t="str">
        <f t="shared" si="1"/>
        <v/>
      </c>
      <c r="V15" s="302" t="str">
        <f t="shared" si="2"/>
        <v/>
      </c>
      <c r="W15" s="302" t="str">
        <f>IF(E15="","",IF(H15&lt;S15+T15,"Error in Areas ▲",IF(P15&lt;&gt;'G-1 All Habitats'!$X$3,H15-S15-T15,IF(AND(P15='G-1 All Habitats'!$X$3,Y15="No"),AC15,IF(AND(P15='G-1 All Habitats'!$X$3,Y15=""),AC15,IF(AND(P15='G-1 All Habitats'!$X$3,AC15="None"),AC15,IF(AND(P15='G-1 All Habitats'!$X$3,AC15&gt;0),H15-S15-T15)))))))</f>
        <v/>
      </c>
      <c r="X15" s="306" t="str">
        <f>IFERROR(IF(H15="","",IF(H15-S15-T15=0&lt;0,"Error in Areas ▲",IF(S15+T15&gt;H15,"Error in Areas ▲",IF(AND(P15='G-1 All Habitats'!$X$3,Y15="Yes"),"Alternative Compensation ✓",IF(W15=0,0,IF(P15='G-1 All Habitats'!$X$3,"Any Loss Unacceptable ▲",Q15-U15-V15)))))),"Check Data ▲")</f>
        <v/>
      </c>
      <c r="Y15" s="39"/>
      <c r="Z15" s="46"/>
      <c r="AA15" s="419"/>
      <c r="AB15" s="101"/>
      <c r="AC15" s="495" t="str">
        <f>IF(OR(P15="", Y15="Yes"),"", IF(P15='G-1 All Habitats'!$X$3,H15-S15-T15,"None"))</f>
        <v/>
      </c>
      <c r="AD15" s="496" t="str">
        <f>IF(P15="","", IF(P15='G-1 All Habitats'!$X$3, AC15*J15*L15*O15,"None"))</f>
        <v/>
      </c>
      <c r="AE15" s="20" t="str">
        <f t="shared" si="3"/>
        <v/>
      </c>
      <c r="AF15" s="25" t="str">
        <f t="shared" si="4"/>
        <v/>
      </c>
      <c r="AG15" s="25" t="str">
        <f t="shared" si="0"/>
        <v/>
      </c>
      <c r="AH15" s="25" t="str">
        <f>IF(I15="","",IF(#REF!&gt;0,TRUE,FALSE))</f>
        <v/>
      </c>
      <c r="AI15" s="25">
        <v>5</v>
      </c>
      <c r="AJ15" s="25"/>
      <c r="AK15" s="25" t="str">
        <f t="array" ref="AK15">IFERROR(INDEX($AI$11:$AI$259, MATCH(0, IF(TRUE=$AF$11:$AF$259, COUNTIF($AK$10:$AK14, $AI$11:$AI$259), ""), 0)),"")</f>
        <v/>
      </c>
      <c r="AL15" s="25" t="str">
        <f t="array" ref="AL15">IFERROR(INDEX($AI$11:$AI$259, MATCH(0, IF(TRUE=$AG$11:$AG$259, COUNTIF($AL$10:$AL14, $AI$11:$AI$259), ""), 0)),"")</f>
        <v/>
      </c>
      <c r="AM15" s="25" t="str">
        <f t="array" ref="AM15">IFERROR(INDEX($AI$11:$AI$259, MATCH(0, IF(TRUE=$AH$11:$AH$259, COUNTIF($AM$10:$AM14, $AI$11:$AI$259), ""), 0)),"")</f>
        <v/>
      </c>
      <c r="AN15" s="25"/>
      <c r="AQ15" s="20">
        <f t="shared" si="5"/>
        <v>0</v>
      </c>
      <c r="AV15" s="540" t="str">
        <f>IFERROR(INDEX('G-1 All Habitats'!$B$3:$B$135,MATCH(F15,'G-1 All Habitats'!$A$3:$A$135,0)),"")</f>
        <v/>
      </c>
      <c r="AW15" s="20" t="str">
        <f>IF(AV15="","",VLOOKUP(AV15,'G-1 All Habitats'!$B$1:$T$135,19,FALSE))</f>
        <v/>
      </c>
    </row>
    <row r="16" spans="1:50" ht="14.5" thickBot="1" x14ac:dyDescent="0.35">
      <c r="A16" s="20" t="str">
        <f>IFERROR(INDEX('G-1 All Habitats'!$AG$3:$AG$17,MATCH(E16,'G-1 All Habitats'!$AF$3:$AF$17,0)),"")</f>
        <v/>
      </c>
      <c r="B16" s="20" t="str">
        <f>IFERROR(INDEX('G-8 Condition Look up'!$I$4:$I$135,MATCH(AV16,'G-8 Condition Look up'!$A$4:$A$135,0)),"")</f>
        <v/>
      </c>
      <c r="D16" s="238">
        <v>6</v>
      </c>
      <c r="E16" s="223"/>
      <c r="F16" s="45"/>
      <c r="G16" s="272"/>
      <c r="H16" s="37"/>
      <c r="I16" s="290" t="str">
        <f>IF(AV16="","",VLOOKUP(AV16,'G-1 All Habitats'!$B$2:$M$135,10,FALSE))</f>
        <v/>
      </c>
      <c r="J16" s="291" t="str">
        <f>IFERROR(VLOOKUP(I16,'G-1 All Habitats'!$V$3:$W$7,2,FALSE),"")</f>
        <v/>
      </c>
      <c r="K16" s="38"/>
      <c r="L16" s="291" t="str">
        <f>IFERROR(INDEX('G-8 Condition Look up'!$A$3:$H$135,MATCH(AV16,'G-8 Condition Look up'!$A$3:$A$135,0),MATCH(K16,'G-8 Condition Look up'!$A$3:$H$3,0)),"")</f>
        <v/>
      </c>
      <c r="M16" s="38"/>
      <c r="N16" s="310" t="str">
        <f>IF(M16="","",IF(VLOOKUP(M16,'G-3 Multipliers'!$L$3:$N$6,2,FALSE)=0,"Spatial Data Missing",VLOOKUP(M16,'G-3 Multipliers'!$L$3:$N$6,2,FALSE)))</f>
        <v/>
      </c>
      <c r="O16" s="296" t="str">
        <f>IF(M16="","",IF(VLOOKUP(M16,'G-3 Multipliers'!$L$3:$N$6,3,FALSE)=0,"Spatial Data Missing ▲",VLOOKUP(M16,'G-3 Multipliers'!$L$3:$N$6,3,FALSE)))</f>
        <v/>
      </c>
      <c r="P16" s="297" t="str">
        <f>(IF(G16="Yes","Bespoke compensation likely to be required 🛠",(IFERROR(VLOOKUP(AV16,'G-1 All Habitats'!$B$2:$M$135,12,FALSE),""))))</f>
        <v/>
      </c>
      <c r="Q16" s="304" t="str">
        <f>IFERROR(IF(AND(E16="Individual trees",T16&gt;0), "Error - you cannot enhance individual trees ▲", (IF(AND(U16="Irreplaceable habitat - no units generated ⚠",(S16+T16)&lt;H16, OR(Y16="No", Y16="")),"Any Loss Unacceptable ⚠", (IF(U16="Irreplaceable habitat - no units generated ⚠", T16*J16*L16*O16, IF(AND(P16='G-1 All Habitats'!$X$3, AC16&gt;0, S16&lt;=0, T16&lt;=0, OR(Y16="No", Y16="")),"Any Loss Unacceptable ⚠", IF(AND(P16='G-1 All Habitats'!$X$3, AC16&gt;0, S16&lt;=0, T16&lt;=0, Y16="Yes"), 0, (IF(AND(P16='G-1 All Habitats'!$X$3,(S16+T16)&lt;H16, OR(Y16="No", Y16="")),"Any Loss Unacceptable ⚠", (IF(P16="","",IF(AND(P16='G-1 All Habitats'!$X$3,T16&gt;0),U16+V16,IF(AND(P16='G-1 All Habitats'!$X$3,S16&gt;0),U16+V16,H16*J16*L16*O16))))))))))))),"Check Data ▲")</f>
        <v/>
      </c>
      <c r="R16" s="23"/>
      <c r="S16" s="38"/>
      <c r="T16" s="39"/>
      <c r="U16" s="302" t="str">
        <f t="shared" si="1"/>
        <v/>
      </c>
      <c r="V16" s="302" t="str">
        <f t="shared" si="2"/>
        <v/>
      </c>
      <c r="W16" s="302" t="str">
        <f>IF(E16="","",IF(H16&lt;S16+T16,"Error in Areas ▲",IF(P16&lt;&gt;'G-1 All Habitats'!$X$3,H16-S16-T16,IF(AND(P16='G-1 All Habitats'!$X$3,Y16="No"),AC16,IF(AND(P16='G-1 All Habitats'!$X$3,Y16=""),AC16,IF(AND(P16='G-1 All Habitats'!$X$3,AC16="None"),AC16,IF(AND(P16='G-1 All Habitats'!$X$3,AC16&gt;0),H16-S16-T16)))))))</f>
        <v/>
      </c>
      <c r="X16" s="306" t="str">
        <f>IFERROR(IF(H16="","",IF(H16-S16-T16=0&lt;0,"Error in Areas ▲",IF(S16+T16&gt;H16,"Error in Areas ▲",IF(AND(P16='G-1 All Habitats'!$X$3,Y16="Yes"),"Alternative Compensation ✓",IF(W16=0,0,IF(P16='G-1 All Habitats'!$X$3,"Any Loss Unacceptable ▲",Q16-U16-V16)))))),"Check Data ▲")</f>
        <v/>
      </c>
      <c r="Y16" s="39"/>
      <c r="Z16" s="46"/>
      <c r="AA16" s="419"/>
      <c r="AB16" s="101"/>
      <c r="AC16" s="495" t="str">
        <f>IF(OR(P16="", Y16="Yes"),"", IF(P16='G-1 All Habitats'!$X$3,H16-S16-T16,"None"))</f>
        <v/>
      </c>
      <c r="AD16" s="496" t="str">
        <f>IF(P16="","", IF(P16='G-1 All Habitats'!$X$3, AC16*J16*L16*O16,"None"))</f>
        <v/>
      </c>
      <c r="AE16" s="20" t="str">
        <f t="shared" si="3"/>
        <v/>
      </c>
      <c r="AF16" s="25" t="str">
        <f t="shared" si="4"/>
        <v/>
      </c>
      <c r="AG16" s="25" t="str">
        <f t="shared" si="0"/>
        <v/>
      </c>
      <c r="AH16" s="25" t="str">
        <f>IF(I16="","",IF(#REF!&gt;0,TRUE,FALSE))</f>
        <v/>
      </c>
      <c r="AI16" s="25">
        <v>6</v>
      </c>
      <c r="AJ16" s="25"/>
      <c r="AK16" s="25" t="str">
        <f t="array" ref="AK16">IFERROR(INDEX($AI$11:$AI$259, MATCH(0, IF(TRUE=$AF$11:$AF$259, COUNTIF($AK$10:$AK15, $AI$11:$AI$259), ""), 0)),"")</f>
        <v/>
      </c>
      <c r="AL16" s="25" t="str">
        <f t="array" ref="AL16">IFERROR(INDEX($AI$11:$AI$259, MATCH(0, IF(TRUE=$AG$11:$AG$259, COUNTIF($AL$10:$AL15, $AI$11:$AI$259), ""), 0)),"")</f>
        <v/>
      </c>
      <c r="AM16" s="25" t="str">
        <f t="array" ref="AM16">IFERROR(INDEX($AI$11:$AI$259, MATCH(0, IF(TRUE=$AH$11:$AH$259, COUNTIF($AM$10:$AM15, $AI$11:$AI$259), ""), 0)),"")</f>
        <v/>
      </c>
      <c r="AN16" s="25"/>
      <c r="AQ16" s="20">
        <f t="shared" si="5"/>
        <v>0</v>
      </c>
      <c r="AV16" s="540" t="str">
        <f>IFERROR(INDEX('G-1 All Habitats'!$B$3:$B$135,MATCH(F16,'G-1 All Habitats'!$A$3:$A$135,0)),"")</f>
        <v/>
      </c>
      <c r="AW16" s="20" t="str">
        <f>IF(AV16="","",VLOOKUP(AV16,'G-1 All Habitats'!$B$1:$T$135,19,FALSE))</f>
        <v/>
      </c>
    </row>
    <row r="17" spans="1:49" ht="14.5" thickBot="1" x14ac:dyDescent="0.35">
      <c r="A17" s="20" t="str">
        <f>IFERROR(INDEX('G-1 All Habitats'!$AG$3:$AG$17,MATCH(E17,'G-1 All Habitats'!$AF$3:$AF$17,0)),"")</f>
        <v/>
      </c>
      <c r="B17" s="20" t="str">
        <f>IFERROR(INDEX('G-8 Condition Look up'!$I$4:$I$135,MATCH(AV17,'G-8 Condition Look up'!$A$4:$A$135,0)),"")</f>
        <v/>
      </c>
      <c r="D17" s="238">
        <v>7</v>
      </c>
      <c r="E17" s="223"/>
      <c r="F17" s="45"/>
      <c r="G17" s="272"/>
      <c r="H17" s="37"/>
      <c r="I17" s="290" t="str">
        <f>IF(AV17="","",VLOOKUP(AV17,'G-1 All Habitats'!$B$2:$M$135,10,FALSE))</f>
        <v/>
      </c>
      <c r="J17" s="291" t="str">
        <f>IFERROR(VLOOKUP(I17,'G-1 All Habitats'!$V$3:$W$7,2,FALSE),"")</f>
        <v/>
      </c>
      <c r="K17" s="38"/>
      <c r="L17" s="291" t="str">
        <f>IFERROR(INDEX('G-8 Condition Look up'!$A$3:$H$135,MATCH(AV17,'G-8 Condition Look up'!$A$3:$A$135,0),MATCH(K17,'G-8 Condition Look up'!$A$3:$H$3,0)),"")</f>
        <v/>
      </c>
      <c r="M17" s="38"/>
      <c r="N17" s="310" t="str">
        <f>IF(M17="","",IF(VLOOKUP(M17,'G-3 Multipliers'!$L$3:$N$6,2,FALSE)=0,"Spatial Data Missing",VLOOKUP(M17,'G-3 Multipliers'!$L$3:$N$6,2,FALSE)))</f>
        <v/>
      </c>
      <c r="O17" s="296" t="str">
        <f>IF(M17="","",IF(VLOOKUP(M17,'G-3 Multipliers'!$L$3:$N$6,3,FALSE)=0,"Spatial Data Missing ▲",VLOOKUP(M17,'G-3 Multipliers'!$L$3:$N$6,3,FALSE)))</f>
        <v/>
      </c>
      <c r="P17" s="297" t="str">
        <f>(IF(G17="Yes","Bespoke compensation likely to be required 🛠",(IFERROR(VLOOKUP(AV17,'G-1 All Habitats'!$B$2:$M$135,12,FALSE),""))))</f>
        <v/>
      </c>
      <c r="Q17" s="304" t="str">
        <f>IFERROR(IF(AND(E17="Individual trees",T17&gt;0), "Error - you cannot enhance individual trees ▲", (IF(AND(U17="Irreplaceable habitat - no units generated ⚠",(S17+T17)&lt;H17, OR(Y17="No", Y17="")),"Any Loss Unacceptable ⚠", (IF(U17="Irreplaceable habitat - no units generated ⚠", T17*J17*L17*O17, IF(AND(P17='G-1 All Habitats'!$X$3, AC17&gt;0, S17&lt;=0, T17&lt;=0, OR(Y17="No", Y17="")),"Any Loss Unacceptable ⚠", IF(AND(P17='G-1 All Habitats'!$X$3, AC17&gt;0, S17&lt;=0, T17&lt;=0, Y17="Yes"), 0, (IF(AND(P17='G-1 All Habitats'!$X$3,(S17+T17)&lt;H17, OR(Y17="No", Y17="")),"Any Loss Unacceptable ⚠", (IF(P17="","",IF(AND(P17='G-1 All Habitats'!$X$3,T17&gt;0),U17+V17,IF(AND(P17='G-1 All Habitats'!$X$3,S17&gt;0),U17+V17,H17*J17*L17*O17))))))))))))),"Check Data ▲")</f>
        <v/>
      </c>
      <c r="R17" s="23"/>
      <c r="S17" s="38"/>
      <c r="T17" s="39"/>
      <c r="U17" s="302" t="str">
        <f t="shared" si="1"/>
        <v/>
      </c>
      <c r="V17" s="302" t="str">
        <f t="shared" si="2"/>
        <v/>
      </c>
      <c r="W17" s="302" t="str">
        <f>IF(E17="","",IF(H17&lt;S17+T17,"Error in Areas ▲",IF(P17&lt;&gt;'G-1 All Habitats'!$X$3,H17-S17-T17,IF(AND(P17='G-1 All Habitats'!$X$3,Y17="No"),AC17,IF(AND(P17='G-1 All Habitats'!$X$3,Y17=""),AC17,IF(AND(P17='G-1 All Habitats'!$X$3,AC17="None"),AC17,IF(AND(P17='G-1 All Habitats'!$X$3,AC17&gt;0),H17-S17-T17)))))))</f>
        <v/>
      </c>
      <c r="X17" s="306" t="str">
        <f>IFERROR(IF(H17="","",IF(H17-S17-T17=0&lt;0,"Error in Areas ▲",IF(S17+T17&gt;H17,"Error in Areas ▲",IF(AND(P17='G-1 All Habitats'!$X$3,Y17="Yes"),"Alternative Compensation ✓",IF(W17=0,0,IF(P17='G-1 All Habitats'!$X$3,"Any Loss Unacceptable ▲",Q17-U17-V17)))))),"Check Data ▲")</f>
        <v/>
      </c>
      <c r="Y17" s="39"/>
      <c r="Z17" s="46"/>
      <c r="AA17" s="419"/>
      <c r="AB17" s="101"/>
      <c r="AC17" s="495" t="str">
        <f>IF(OR(P17="", Y17="Yes"),"", IF(P17='G-1 All Habitats'!$X$3,H17-S17-T17,"None"))</f>
        <v/>
      </c>
      <c r="AD17" s="496" t="str">
        <f>IF(P17="","", IF(P17='G-1 All Habitats'!$X$3, AC17*J17*L17*O17,"None"))</f>
        <v/>
      </c>
      <c r="AE17" s="20" t="str">
        <f t="shared" si="3"/>
        <v/>
      </c>
      <c r="AF17" s="25" t="str">
        <f t="shared" si="4"/>
        <v/>
      </c>
      <c r="AG17" s="25" t="str">
        <f t="shared" si="0"/>
        <v/>
      </c>
      <c r="AH17" s="25" t="str">
        <f>IF(I17="","",IF(#REF!&gt;0,TRUE,FALSE))</f>
        <v/>
      </c>
      <c r="AI17" s="25">
        <v>7</v>
      </c>
      <c r="AJ17" s="25"/>
      <c r="AK17" s="25" t="str">
        <f t="array" ref="AK17">IFERROR(INDEX($AI$11:$AI$259, MATCH(0, IF(TRUE=$AF$11:$AF$259, COUNTIF($AK$10:$AK16, $AI$11:$AI$259), ""), 0)),"")</f>
        <v/>
      </c>
      <c r="AL17" s="25" t="str">
        <f t="array" ref="AL17">IFERROR(INDEX($AI$11:$AI$259, MATCH(0, IF(TRUE=$AG$11:$AG$259, COUNTIF($AL$10:$AL16, $AI$11:$AI$259), ""), 0)),"")</f>
        <v/>
      </c>
      <c r="AM17" s="25" t="str">
        <f t="array" ref="AM17">IFERROR(INDEX($AI$11:$AI$259, MATCH(0, IF(TRUE=$AH$11:$AH$259, COUNTIF($AM$10:$AM16, $AI$11:$AI$259), ""), 0)),"")</f>
        <v/>
      </c>
      <c r="AN17" s="25"/>
      <c r="AQ17" s="20">
        <f t="shared" si="5"/>
        <v>0</v>
      </c>
      <c r="AV17" s="540" t="str">
        <f>IFERROR(INDEX('G-1 All Habitats'!$B$3:$B$135,MATCH(F17,'G-1 All Habitats'!$A$3:$A$135,0)),"")</f>
        <v/>
      </c>
      <c r="AW17" s="20" t="str">
        <f>IF(AV17="","",VLOOKUP(AV17,'G-1 All Habitats'!$B$1:$T$135,19,FALSE))</f>
        <v/>
      </c>
    </row>
    <row r="18" spans="1:49" ht="14.5" thickBot="1" x14ac:dyDescent="0.35">
      <c r="A18" s="20" t="str">
        <f>IFERROR(INDEX('G-1 All Habitats'!$AG$3:$AG$17,MATCH(E18,'G-1 All Habitats'!$AF$3:$AF$17,0)),"")</f>
        <v/>
      </c>
      <c r="B18" s="20" t="str">
        <f>IFERROR(INDEX('G-8 Condition Look up'!$I$4:$I$135,MATCH(AV18,'G-8 Condition Look up'!$A$4:$A$135,0)),"")</f>
        <v/>
      </c>
      <c r="D18" s="238">
        <v>8</v>
      </c>
      <c r="E18" s="223"/>
      <c r="F18" s="45"/>
      <c r="G18" s="272"/>
      <c r="H18" s="37"/>
      <c r="I18" s="290" t="str">
        <f>IF(AV18="","",VLOOKUP(AV18,'G-1 All Habitats'!$B$2:$M$135,10,FALSE))</f>
        <v/>
      </c>
      <c r="J18" s="291" t="str">
        <f>IFERROR(VLOOKUP(I18,'G-1 All Habitats'!$V$3:$W$7,2,FALSE),"")</f>
        <v/>
      </c>
      <c r="K18" s="38"/>
      <c r="L18" s="291" t="str">
        <f>IFERROR(INDEX('G-8 Condition Look up'!$A$3:$H$135,MATCH(AV18,'G-8 Condition Look up'!$A$3:$A$135,0),MATCH(K18,'G-8 Condition Look up'!$A$3:$H$3,0)),"")</f>
        <v/>
      </c>
      <c r="M18" s="38"/>
      <c r="N18" s="310" t="str">
        <f>IF(M18="","",IF(VLOOKUP(M18,'G-3 Multipliers'!$L$3:$N$6,2,FALSE)=0,"Spatial Data Missing",VLOOKUP(M18,'G-3 Multipliers'!$L$3:$N$6,2,FALSE)))</f>
        <v/>
      </c>
      <c r="O18" s="296" t="str">
        <f>IF(M18="","",IF(VLOOKUP(M18,'G-3 Multipliers'!$L$3:$N$6,3,FALSE)=0,"Spatial Data Missing ▲",VLOOKUP(M18,'G-3 Multipliers'!$L$3:$N$6,3,FALSE)))</f>
        <v/>
      </c>
      <c r="P18" s="297" t="str">
        <f>(IF(G18="Yes","Bespoke compensation likely to be required 🛠",(IFERROR(VLOOKUP(AV18,'G-1 All Habitats'!$B$2:$M$135,12,FALSE),""))))</f>
        <v/>
      </c>
      <c r="Q18" s="304" t="str">
        <f>IFERROR(IF(AND(E18="Individual trees",T18&gt;0), "Error - you cannot enhance individual trees ▲", (IF(AND(U18="Irreplaceable habitat - no units generated ⚠",(S18+T18)&lt;H18, OR(Y18="No", Y18="")),"Any Loss Unacceptable ⚠", (IF(U18="Irreplaceable habitat - no units generated ⚠", T18*J18*L18*O18, IF(AND(P18='G-1 All Habitats'!$X$3, AC18&gt;0, S18&lt;=0, T18&lt;=0, OR(Y18="No", Y18="")),"Any Loss Unacceptable ⚠", IF(AND(P18='G-1 All Habitats'!$X$3, AC18&gt;0, S18&lt;=0, T18&lt;=0, Y18="Yes"), 0, (IF(AND(P18='G-1 All Habitats'!$X$3,(S18+T18)&lt;H18, OR(Y18="No", Y18="")),"Any Loss Unacceptable ⚠", (IF(P18="","",IF(AND(P18='G-1 All Habitats'!$X$3,T18&gt;0),U18+V18,IF(AND(P18='G-1 All Habitats'!$X$3,S18&gt;0),U18+V18,H18*J18*L18*O18))))))))))))),"Check Data ▲")</f>
        <v/>
      </c>
      <c r="R18" s="23"/>
      <c r="S18" s="38"/>
      <c r="T18" s="39"/>
      <c r="U18" s="302" t="str">
        <f t="shared" si="1"/>
        <v/>
      </c>
      <c r="V18" s="302" t="str">
        <f t="shared" si="2"/>
        <v/>
      </c>
      <c r="W18" s="302" t="str">
        <f>IF(E18="","",IF(H18&lt;S18+T18,"Error in Areas ▲",IF(P18&lt;&gt;'G-1 All Habitats'!$X$3,H18-S18-T18,IF(AND(P18='G-1 All Habitats'!$X$3,Y18="No"),AC18,IF(AND(P18='G-1 All Habitats'!$X$3,Y18=""),AC18,IF(AND(P18='G-1 All Habitats'!$X$3,AC18="None"),AC18,IF(AND(P18='G-1 All Habitats'!$X$3,AC18&gt;0),H18-S18-T18)))))))</f>
        <v/>
      </c>
      <c r="X18" s="306" t="str">
        <f>IFERROR(IF(H18="","",IF(H18-S18-T18=0&lt;0,"Error in Areas ▲",IF(S18+T18&gt;H18,"Error in Areas ▲",IF(AND(P18='G-1 All Habitats'!$X$3,Y18="Yes"),"Alternative Compensation ✓",IF(W18=0,0,IF(P18='G-1 All Habitats'!$X$3,"Any Loss Unacceptable ▲",Q18-U18-V18)))))),"Check Data ▲")</f>
        <v/>
      </c>
      <c r="Y18" s="39"/>
      <c r="Z18" s="46"/>
      <c r="AA18" s="419"/>
      <c r="AB18" s="101"/>
      <c r="AC18" s="495" t="str">
        <f>IF(OR(P18="", Y18="Yes"),"", IF(P18='G-1 All Habitats'!$X$3,H18-S18-T18,"None"))</f>
        <v/>
      </c>
      <c r="AD18" s="496" t="str">
        <f>IF(P18="","", IF(P18='G-1 All Habitats'!$X$3, AC18*J18*L18*O18,"None"))</f>
        <v/>
      </c>
      <c r="AE18" s="20" t="str">
        <f t="shared" si="3"/>
        <v/>
      </c>
      <c r="AF18" s="25" t="str">
        <f t="shared" si="4"/>
        <v/>
      </c>
      <c r="AG18" s="25" t="str">
        <f t="shared" si="0"/>
        <v/>
      </c>
      <c r="AH18" s="25" t="str">
        <f>IF(I18="","",IF(#REF!&gt;0,TRUE,FALSE))</f>
        <v/>
      </c>
      <c r="AI18" s="25">
        <v>8</v>
      </c>
      <c r="AJ18" s="25"/>
      <c r="AK18" s="25" t="str">
        <f t="array" ref="AK18">IFERROR(INDEX($AI$11:$AI$259, MATCH(0, IF(TRUE=$AF$11:$AF$259, COUNTIF($AK$10:$AK17, $AI$11:$AI$259), ""), 0)),"")</f>
        <v/>
      </c>
      <c r="AL18" s="25" t="str">
        <f t="array" ref="AL18">IFERROR(INDEX($AI$11:$AI$259, MATCH(0, IF(TRUE=$AG$11:$AG$259, COUNTIF($AL$10:$AL17, $AI$11:$AI$259), ""), 0)),"")</f>
        <v/>
      </c>
      <c r="AM18" s="25" t="str">
        <f t="array" ref="AM18">IFERROR(INDEX($AI$11:$AI$259, MATCH(0, IF(TRUE=$AH$11:$AH$259, COUNTIF($AM$10:$AM17, $AI$11:$AI$259), ""), 0)),"")</f>
        <v/>
      </c>
      <c r="AN18" s="25"/>
      <c r="AQ18" s="20">
        <f t="shared" si="5"/>
        <v>0</v>
      </c>
      <c r="AV18" s="540" t="str">
        <f>IFERROR(INDEX('G-1 All Habitats'!$B$3:$B$135,MATCH(F18,'G-1 All Habitats'!$A$3:$A$135,0)),"")</f>
        <v/>
      </c>
      <c r="AW18" s="20" t="str">
        <f>IF(AV18="","",VLOOKUP(AV18,'G-1 All Habitats'!$B$1:$T$135,19,FALSE))</f>
        <v/>
      </c>
    </row>
    <row r="19" spans="1:49" ht="14.5" thickBot="1" x14ac:dyDescent="0.35">
      <c r="A19" s="20" t="str">
        <f>IFERROR(INDEX('G-1 All Habitats'!$AG$3:$AG$17,MATCH(E19,'G-1 All Habitats'!$AF$3:$AF$17,0)),"")</f>
        <v/>
      </c>
      <c r="B19" s="20" t="str">
        <f>IFERROR(INDEX('G-8 Condition Look up'!$I$4:$I$135,MATCH(AV19,'G-8 Condition Look up'!$A$4:$A$135,0)),"")</f>
        <v/>
      </c>
      <c r="D19" s="238">
        <v>9</v>
      </c>
      <c r="E19" s="223"/>
      <c r="F19" s="45"/>
      <c r="G19" s="272"/>
      <c r="H19" s="37"/>
      <c r="I19" s="290" t="str">
        <f>IF(AV19="","",VLOOKUP(AV19,'G-1 All Habitats'!$B$2:$M$135,10,FALSE))</f>
        <v/>
      </c>
      <c r="J19" s="291" t="str">
        <f>IFERROR(VLOOKUP(I19,'G-1 All Habitats'!$V$3:$W$7,2,FALSE),"")</f>
        <v/>
      </c>
      <c r="K19" s="38"/>
      <c r="L19" s="291" t="str">
        <f>IFERROR(INDEX('G-8 Condition Look up'!$A$3:$H$135,MATCH(AV19,'G-8 Condition Look up'!$A$3:$A$135,0),MATCH(K19,'G-8 Condition Look up'!$A$3:$H$3,0)),"")</f>
        <v/>
      </c>
      <c r="M19" s="38"/>
      <c r="N19" s="310" t="str">
        <f>IF(M19="","",IF(VLOOKUP(M19,'G-3 Multipliers'!$L$3:$N$6,2,FALSE)=0,"Spatial Data Missing",VLOOKUP(M19,'G-3 Multipliers'!$L$3:$N$6,2,FALSE)))</f>
        <v/>
      </c>
      <c r="O19" s="296" t="str">
        <f>IF(M19="","",IF(VLOOKUP(M19,'G-3 Multipliers'!$L$3:$N$6,3,FALSE)=0,"Spatial Data Missing ▲",VLOOKUP(M19,'G-3 Multipliers'!$L$3:$N$6,3,FALSE)))</f>
        <v/>
      </c>
      <c r="P19" s="297" t="str">
        <f>(IF(G19="Yes","Bespoke compensation likely to be required 🛠",(IFERROR(VLOOKUP(AV19,'G-1 All Habitats'!$B$2:$M$135,12,FALSE),""))))</f>
        <v/>
      </c>
      <c r="Q19" s="304" t="str">
        <f>IFERROR(IF(AND(E19="Individual trees",T19&gt;0), "Error - you cannot enhance individual trees ▲", (IF(AND(U19="Irreplaceable habitat - no units generated ⚠",(S19+T19)&lt;H19, OR(Y19="No", Y19="")),"Any Loss Unacceptable ⚠", (IF(U19="Irreplaceable habitat - no units generated ⚠", T19*J19*L19*O19, IF(AND(P19='G-1 All Habitats'!$X$3, AC19&gt;0, S19&lt;=0, T19&lt;=0, OR(Y19="No", Y19="")),"Any Loss Unacceptable ⚠", IF(AND(P19='G-1 All Habitats'!$X$3, AC19&gt;0, S19&lt;=0, T19&lt;=0, Y19="Yes"), 0, (IF(AND(P19='G-1 All Habitats'!$X$3,(S19+T19)&lt;H19, OR(Y19="No", Y19="")),"Any Loss Unacceptable ⚠", (IF(P19="","",IF(AND(P19='G-1 All Habitats'!$X$3,T19&gt;0),U19+V19,IF(AND(P19='G-1 All Habitats'!$X$3,S19&gt;0),U19+V19,H19*J19*L19*O19))))))))))))),"Check Data ▲")</f>
        <v/>
      </c>
      <c r="R19" s="23"/>
      <c r="S19" s="38"/>
      <c r="T19" s="39"/>
      <c r="U19" s="302" t="str">
        <f t="shared" si="1"/>
        <v/>
      </c>
      <c r="V19" s="302" t="str">
        <f t="shared" si="2"/>
        <v/>
      </c>
      <c r="W19" s="302" t="str">
        <f>IF(E19="","",IF(H19&lt;S19+T19,"Error in Areas ▲",IF(P19&lt;&gt;'G-1 All Habitats'!$X$3,H19-S19-T19,IF(AND(P19='G-1 All Habitats'!$X$3,Y19="No"),AC19,IF(AND(P19='G-1 All Habitats'!$X$3,Y19=""),AC19,IF(AND(P19='G-1 All Habitats'!$X$3,AC19="None"),AC19,IF(AND(P19='G-1 All Habitats'!$X$3,AC19&gt;0),H19-S19-T19)))))))</f>
        <v/>
      </c>
      <c r="X19" s="306" t="str">
        <f>IFERROR(IF(H19="","",IF(H19-S19-T19=0&lt;0,"Error in Areas ▲",IF(S19+T19&gt;H19,"Error in Areas ▲",IF(AND(P19='G-1 All Habitats'!$X$3,Y19="Yes"),"Alternative Compensation ✓",IF(W19=0,0,IF(P19='G-1 All Habitats'!$X$3,"Any Loss Unacceptable ▲",Q19-U19-V19)))))),"Check Data ▲")</f>
        <v/>
      </c>
      <c r="Y19" s="39"/>
      <c r="Z19" s="46"/>
      <c r="AA19" s="419"/>
      <c r="AB19" s="101"/>
      <c r="AC19" s="495" t="str">
        <f>IF(OR(P19="", Y19="Yes"),"", IF(P19='G-1 All Habitats'!$X$3,H19-S19-T19,"None"))</f>
        <v/>
      </c>
      <c r="AD19" s="496" t="str">
        <f>IF(P19="","", IF(P19='G-1 All Habitats'!$X$3, AC19*J19*L19*O19,"None"))</f>
        <v/>
      </c>
      <c r="AE19" s="20" t="str">
        <f t="shared" si="3"/>
        <v/>
      </c>
      <c r="AF19" s="25" t="str">
        <f t="shared" si="4"/>
        <v/>
      </c>
      <c r="AG19" s="25" t="str">
        <f t="shared" si="0"/>
        <v/>
      </c>
      <c r="AH19" s="25" t="str">
        <f>IF(I19="","",IF(#REF!&gt;0,TRUE,FALSE))</f>
        <v/>
      </c>
      <c r="AI19" s="25">
        <v>9</v>
      </c>
      <c r="AJ19" s="25"/>
      <c r="AK19" s="25" t="str">
        <f t="array" ref="AK19">IFERROR(INDEX($AI$11:$AI$259, MATCH(0, IF(TRUE=$AF$11:$AF$259, COUNTIF($AK$10:$AK18, $AI$11:$AI$259), ""), 0)),"")</f>
        <v/>
      </c>
      <c r="AL19" s="25" t="str">
        <f t="array" ref="AL19">IFERROR(INDEX($AI$11:$AI$259, MATCH(0, IF(TRUE=$AG$11:$AG$259, COUNTIF($AL$10:$AL18, $AI$11:$AI$259), ""), 0)),"")</f>
        <v/>
      </c>
      <c r="AM19" s="25" t="str">
        <f t="array" ref="AM19">IFERROR(INDEX($AI$11:$AI$259, MATCH(0, IF(TRUE=$AH$11:$AH$259, COUNTIF($AM$10:$AM18, $AI$11:$AI$259), ""), 0)),"")</f>
        <v/>
      </c>
      <c r="AN19" s="25"/>
      <c r="AQ19" s="20">
        <f t="shared" si="5"/>
        <v>0</v>
      </c>
      <c r="AV19" s="540" t="str">
        <f>IFERROR(INDEX('G-1 All Habitats'!$B$3:$B$135,MATCH(F19,'G-1 All Habitats'!$A$3:$A$135,0)),"")</f>
        <v/>
      </c>
      <c r="AW19" s="20" t="str">
        <f>IF(AV19="","",VLOOKUP(AV19,'G-1 All Habitats'!$B$1:$T$135,19,FALSE))</f>
        <v/>
      </c>
    </row>
    <row r="20" spans="1:49" ht="14.5" thickBot="1" x14ac:dyDescent="0.35">
      <c r="A20" s="20" t="str">
        <f>IFERROR(INDEX('G-1 All Habitats'!$AG$3:$AG$17,MATCH(E20,'G-1 All Habitats'!$AF$3:$AF$17,0)),"")</f>
        <v/>
      </c>
      <c r="B20" s="20" t="str">
        <f>IFERROR(INDEX('G-8 Condition Look up'!$I$4:$I$135,MATCH(AV20,'G-8 Condition Look up'!$A$4:$A$135,0)),"")</f>
        <v/>
      </c>
      <c r="D20" s="238">
        <v>10</v>
      </c>
      <c r="E20" s="223"/>
      <c r="F20" s="45"/>
      <c r="G20" s="272"/>
      <c r="H20" s="37"/>
      <c r="I20" s="290" t="str">
        <f>IF(AV20="","",VLOOKUP(AV20,'G-1 All Habitats'!$B$2:$M$135,10,FALSE))</f>
        <v/>
      </c>
      <c r="J20" s="291" t="str">
        <f>IFERROR(VLOOKUP(I20,'G-1 All Habitats'!$V$3:$W$7,2,FALSE),"")</f>
        <v/>
      </c>
      <c r="K20" s="38"/>
      <c r="L20" s="291" t="str">
        <f>IFERROR(INDEX('G-8 Condition Look up'!$A$3:$H$135,MATCH(AV20,'G-8 Condition Look up'!$A$3:$A$135,0),MATCH(K20,'G-8 Condition Look up'!$A$3:$H$3,0)),"")</f>
        <v/>
      </c>
      <c r="M20" s="38"/>
      <c r="N20" s="310" t="str">
        <f>IF(M20="","",IF(VLOOKUP(M20,'G-3 Multipliers'!$L$3:$N$6,2,FALSE)=0,"Spatial Data Missing",VLOOKUP(M20,'G-3 Multipliers'!$L$3:$N$6,2,FALSE)))</f>
        <v/>
      </c>
      <c r="O20" s="296" t="str">
        <f>IF(M20="","",IF(VLOOKUP(M20,'G-3 Multipliers'!$L$3:$N$6,3,FALSE)=0,"Spatial Data Missing ▲",VLOOKUP(M20,'G-3 Multipliers'!$L$3:$N$6,3,FALSE)))</f>
        <v/>
      </c>
      <c r="P20" s="297" t="str">
        <f>(IF(G20="Yes","Bespoke compensation likely to be required 🛠",(IFERROR(VLOOKUP(AV20,'G-1 All Habitats'!$B$2:$M$135,12,FALSE),""))))</f>
        <v/>
      </c>
      <c r="Q20" s="304" t="str">
        <f>IFERROR(IF(AND(E20="Individual trees",T20&gt;0), "Error - you cannot enhance individual trees ▲", (IF(AND(U20="Irreplaceable habitat - no units generated ⚠",(S20+T20)&lt;H20, OR(Y20="No", Y20="")),"Any Loss Unacceptable ⚠", (IF(U20="Irreplaceable habitat - no units generated ⚠", T20*J20*L20*O20, IF(AND(P20='G-1 All Habitats'!$X$3, AC20&gt;0, S20&lt;=0, T20&lt;=0, OR(Y20="No", Y20="")),"Any Loss Unacceptable ⚠", IF(AND(P20='G-1 All Habitats'!$X$3, AC20&gt;0, S20&lt;=0, T20&lt;=0, Y20="Yes"), 0, (IF(AND(P20='G-1 All Habitats'!$X$3,(S20+T20)&lt;H20, OR(Y20="No", Y20="")),"Any Loss Unacceptable ⚠", (IF(P20="","",IF(AND(P20='G-1 All Habitats'!$X$3,T20&gt;0),U20+V20,IF(AND(P20='G-1 All Habitats'!$X$3,S20&gt;0),U20+V20,H20*J20*L20*O20))))))))))))),"Check Data ▲")</f>
        <v/>
      </c>
      <c r="R20" s="23"/>
      <c r="S20" s="38"/>
      <c r="T20" s="39"/>
      <c r="U20" s="302" t="str">
        <f t="shared" si="1"/>
        <v/>
      </c>
      <c r="V20" s="302" t="str">
        <f t="shared" si="2"/>
        <v/>
      </c>
      <c r="W20" s="302" t="str">
        <f>IF(E20="","",IF(H20&lt;S20+T20,"Error in Areas ▲",IF(P20&lt;&gt;'G-1 All Habitats'!$X$3,H20-S20-T20,IF(AND(P20='G-1 All Habitats'!$X$3,Y20="No"),AC20,IF(AND(P20='G-1 All Habitats'!$X$3,Y20=""),AC20,IF(AND(P20='G-1 All Habitats'!$X$3,AC20="None"),AC20,IF(AND(P20='G-1 All Habitats'!$X$3,AC20&gt;0),H20-S20-T20)))))))</f>
        <v/>
      </c>
      <c r="X20" s="306" t="str">
        <f>IFERROR(IF(H20="","",IF(H20-S20-T20=0&lt;0,"Error in Areas ▲",IF(S20+T20&gt;H20,"Error in Areas ▲",IF(AND(P20='G-1 All Habitats'!$X$3,Y20="Yes"),"Alternative Compensation ✓",IF(W20=0,0,IF(P20='G-1 All Habitats'!$X$3,"Any Loss Unacceptable ▲",Q20-U20-V20)))))),"Check Data ▲")</f>
        <v/>
      </c>
      <c r="Y20" s="39"/>
      <c r="Z20" s="46"/>
      <c r="AA20" s="419"/>
      <c r="AB20" s="101"/>
      <c r="AC20" s="495" t="str">
        <f>IF(OR(P20="", Y20="Yes"),"", IF(P20='G-1 All Habitats'!$X$3,H20-S20-T20,"None"))</f>
        <v/>
      </c>
      <c r="AD20" s="496" t="str">
        <f>IF(P20="","", IF(P20='G-1 All Habitats'!$X$3, AC20*J20*L20*O20,"None"))</f>
        <v/>
      </c>
      <c r="AE20" s="20" t="str">
        <f t="shared" si="3"/>
        <v/>
      </c>
      <c r="AF20" s="25" t="str">
        <f t="shared" si="4"/>
        <v/>
      </c>
      <c r="AG20" s="25" t="str">
        <f t="shared" si="0"/>
        <v/>
      </c>
      <c r="AH20" s="25" t="str">
        <f>IF(I20="","",IF(#REF!&gt;0,TRUE,FALSE))</f>
        <v/>
      </c>
      <c r="AI20" s="25">
        <v>10</v>
      </c>
      <c r="AJ20" s="25"/>
      <c r="AK20" s="25" t="str">
        <f t="array" ref="AK20">IFERROR(INDEX($AI$11:$AI$259, MATCH(0, IF(TRUE=$AF$11:$AF$259, COUNTIF($AK$10:$AK19, $AI$11:$AI$259), ""), 0)),"")</f>
        <v/>
      </c>
      <c r="AL20" s="25" t="str">
        <f t="array" ref="AL20">IFERROR(INDEX($AI$11:$AI$259, MATCH(0, IF(TRUE=$AG$11:$AG$259, COUNTIF($AL$10:$AL19, $AI$11:$AI$259), ""), 0)),"")</f>
        <v/>
      </c>
      <c r="AM20" s="25" t="str">
        <f t="array" ref="AM20">IFERROR(INDEX($AI$11:$AI$259, MATCH(0, IF(TRUE=$AH$11:$AH$259, COUNTIF($AM$10:$AM19, $AI$11:$AI$259), ""), 0)),"")</f>
        <v/>
      </c>
      <c r="AN20" s="25"/>
      <c r="AQ20" s="20">
        <f t="shared" si="5"/>
        <v>0</v>
      </c>
      <c r="AV20" s="540" t="str">
        <f>IFERROR(INDEX('G-1 All Habitats'!$B$3:$B$135,MATCH(F20,'G-1 All Habitats'!$A$3:$A$135,0)),"")</f>
        <v/>
      </c>
      <c r="AW20" s="20" t="str">
        <f>IF(AV20="","",VLOOKUP(AV20,'G-1 All Habitats'!$B$1:$T$135,19,FALSE))</f>
        <v/>
      </c>
    </row>
    <row r="21" spans="1:49" ht="14.5" thickBot="1" x14ac:dyDescent="0.35">
      <c r="A21" s="20" t="str">
        <f>IFERROR(INDEX('G-1 All Habitats'!$AG$3:$AG$17,MATCH(E21,'G-1 All Habitats'!$AF$3:$AF$17,0)),"")</f>
        <v/>
      </c>
      <c r="B21" s="20" t="str">
        <f>IFERROR(INDEX('G-8 Condition Look up'!$I$4:$I$135,MATCH(AV21,'G-8 Condition Look up'!$A$4:$A$135,0)),"")</f>
        <v/>
      </c>
      <c r="D21" s="238">
        <v>11</v>
      </c>
      <c r="E21" s="223"/>
      <c r="F21" s="45"/>
      <c r="G21" s="272"/>
      <c r="H21" s="37"/>
      <c r="I21" s="290" t="str">
        <f>IF(AV21="","",VLOOKUP(AV21,'G-1 All Habitats'!$B$2:$M$135,10,FALSE))</f>
        <v/>
      </c>
      <c r="J21" s="291" t="str">
        <f>IFERROR(VLOOKUP(I21,'G-1 All Habitats'!$V$3:$W$7,2,FALSE),"")</f>
        <v/>
      </c>
      <c r="K21" s="38"/>
      <c r="L21" s="291" t="str">
        <f>IFERROR(INDEX('G-8 Condition Look up'!$A$3:$H$135,MATCH(AV21,'G-8 Condition Look up'!$A$3:$A$135,0),MATCH(K21,'G-8 Condition Look up'!$A$3:$H$3,0)),"")</f>
        <v/>
      </c>
      <c r="M21" s="38"/>
      <c r="N21" s="310" t="str">
        <f>IF(M21="","",IF(VLOOKUP(M21,'G-3 Multipliers'!$L$3:$N$6,2,FALSE)=0,"Spatial Data Missing",VLOOKUP(M21,'G-3 Multipliers'!$L$3:$N$6,2,FALSE)))</f>
        <v/>
      </c>
      <c r="O21" s="296" t="str">
        <f>IF(M21="","",IF(VLOOKUP(M21,'G-3 Multipliers'!$L$3:$N$6,3,FALSE)=0,"Spatial Data Missing ▲",VLOOKUP(M21,'G-3 Multipliers'!$L$3:$N$6,3,FALSE)))</f>
        <v/>
      </c>
      <c r="P21" s="297" t="str">
        <f>(IF(G21="Yes","Bespoke compensation likely to be required 🛠",(IFERROR(VLOOKUP(AV21,'G-1 All Habitats'!$B$2:$M$135,12,FALSE),""))))</f>
        <v/>
      </c>
      <c r="Q21" s="304" t="str">
        <f>IFERROR(IF(AND(E21="Individual trees",T21&gt;0), "Error - you cannot enhance individual trees ▲", (IF(AND(U21="Irreplaceable habitat - no units generated ⚠",(S21+T21)&lt;H21, OR(Y21="No", Y21="")),"Any Loss Unacceptable ⚠", (IF(U21="Irreplaceable habitat - no units generated ⚠", T21*J21*L21*O21, IF(AND(P21='G-1 All Habitats'!$X$3, AC21&gt;0, S21&lt;=0, T21&lt;=0, OR(Y21="No", Y21="")),"Any Loss Unacceptable ⚠", IF(AND(P21='G-1 All Habitats'!$X$3, AC21&gt;0, S21&lt;=0, T21&lt;=0, Y21="Yes"), 0, (IF(AND(P21='G-1 All Habitats'!$X$3,(S21+T21)&lt;H21, OR(Y21="No", Y21="")),"Any Loss Unacceptable ⚠", (IF(P21="","",IF(AND(P21='G-1 All Habitats'!$X$3,T21&gt;0),U21+V21,IF(AND(P21='G-1 All Habitats'!$X$3,S21&gt;0),U21+V21,H21*J21*L21*O21))))))))))))),"Check Data ▲")</f>
        <v/>
      </c>
      <c r="R21" s="23"/>
      <c r="S21" s="38"/>
      <c r="T21" s="39"/>
      <c r="U21" s="302" t="str">
        <f t="shared" si="1"/>
        <v/>
      </c>
      <c r="V21" s="302" t="str">
        <f t="shared" si="2"/>
        <v/>
      </c>
      <c r="W21" s="302" t="str">
        <f>IF(E21="","",IF(H21&lt;S21+T21,"Error in Areas ▲",IF(P21&lt;&gt;'G-1 All Habitats'!$X$3,H21-S21-T21,IF(AND(P21='G-1 All Habitats'!$X$3,Y21="No"),AC21,IF(AND(P21='G-1 All Habitats'!$X$3,Y21=""),AC21,IF(AND(P21='G-1 All Habitats'!$X$3,AC21="None"),AC21,IF(AND(P21='G-1 All Habitats'!$X$3,AC21&gt;0),H21-S21-T21)))))))</f>
        <v/>
      </c>
      <c r="X21" s="306" t="str">
        <f>IFERROR(IF(H21="","",IF(H21-S21-T21=0&lt;0,"Error in Areas ▲",IF(S21+T21&gt;H21,"Error in Areas ▲",IF(AND(P21='G-1 All Habitats'!$X$3,Y21="Yes"),"Alternative Compensation ✓",IF(W21=0,0,IF(P21='G-1 All Habitats'!$X$3,"Any Loss Unacceptable ▲",Q21-U21-V21)))))),"Check Data ▲")</f>
        <v/>
      </c>
      <c r="Y21" s="39"/>
      <c r="Z21" s="46"/>
      <c r="AA21" s="419"/>
      <c r="AB21" s="101"/>
      <c r="AC21" s="495" t="str">
        <f>IF(OR(P21="", Y21="Yes"),"", IF(P21='G-1 All Habitats'!$X$3,H21-S21-T21,"None"))</f>
        <v/>
      </c>
      <c r="AD21" s="496" t="str">
        <f>IF(P21="","", IF(P21='G-1 All Habitats'!$X$3, AC21*J21*L21*O21,"None"))</f>
        <v/>
      </c>
      <c r="AE21" s="20" t="str">
        <f t="shared" si="3"/>
        <v/>
      </c>
      <c r="AF21" s="25" t="str">
        <f t="shared" si="4"/>
        <v/>
      </c>
      <c r="AG21" s="25" t="str">
        <f t="shared" si="0"/>
        <v/>
      </c>
      <c r="AH21" s="25" t="str">
        <f>IF(I21="","",IF(#REF!&gt;0,TRUE,FALSE))</f>
        <v/>
      </c>
      <c r="AI21" s="25">
        <v>11</v>
      </c>
      <c r="AJ21" s="25"/>
      <c r="AK21" s="25" t="str">
        <f t="array" ref="AK21">IFERROR(INDEX($AI$11:$AI$259, MATCH(0, IF(TRUE=$AF$11:$AF$259, COUNTIF($AK$10:$AK20, $AI$11:$AI$259), ""), 0)),"")</f>
        <v/>
      </c>
      <c r="AL21" s="25" t="str">
        <f t="array" ref="AL21">IFERROR(INDEX($AI$11:$AI$259, MATCH(0, IF(TRUE=$AG$11:$AG$259, COUNTIF($AL$10:$AL20, $AI$11:$AI$259), ""), 0)),"")</f>
        <v/>
      </c>
      <c r="AM21" s="25" t="str">
        <f t="array" ref="AM21">IFERROR(INDEX($AI$11:$AI$259, MATCH(0, IF(TRUE=$AH$11:$AH$259, COUNTIF($AM$10:$AM20, $AI$11:$AI$259), ""), 0)),"")</f>
        <v/>
      </c>
      <c r="AN21" s="25"/>
      <c r="AQ21" s="20">
        <f t="shared" si="5"/>
        <v>0</v>
      </c>
      <c r="AV21" s="540" t="str">
        <f>IFERROR(INDEX('G-1 All Habitats'!$B$3:$B$135,MATCH(F21,'G-1 All Habitats'!$A$3:$A$135,0)),"")</f>
        <v/>
      </c>
      <c r="AW21" s="20" t="str">
        <f>IF(AV21="","",VLOOKUP(AV21,'G-1 All Habitats'!$B$1:$T$135,19,FALSE))</f>
        <v/>
      </c>
    </row>
    <row r="22" spans="1:49" ht="14.5" thickBot="1" x14ac:dyDescent="0.35">
      <c r="A22" s="20" t="str">
        <f>IFERROR(INDEX('G-1 All Habitats'!$AG$3:$AG$17,MATCH(E22,'G-1 All Habitats'!$AF$3:$AF$17,0)),"")</f>
        <v/>
      </c>
      <c r="B22" s="20" t="str">
        <f>IFERROR(INDEX('G-8 Condition Look up'!$I$4:$I$135,MATCH(AV22,'G-8 Condition Look up'!$A$4:$A$135,0)),"")</f>
        <v/>
      </c>
      <c r="D22" s="238">
        <v>12</v>
      </c>
      <c r="E22" s="223"/>
      <c r="F22" s="45"/>
      <c r="G22" s="272"/>
      <c r="H22" s="37"/>
      <c r="I22" s="290" t="str">
        <f>IF(AV22="","",VLOOKUP(AV22,'G-1 All Habitats'!$B$2:$M$135,10,FALSE))</f>
        <v/>
      </c>
      <c r="J22" s="291" t="str">
        <f>IFERROR(VLOOKUP(I22,'G-1 All Habitats'!$V$3:$W$7,2,FALSE),"")</f>
        <v/>
      </c>
      <c r="K22" s="38"/>
      <c r="L22" s="291" t="str">
        <f>IFERROR(INDEX('G-8 Condition Look up'!$A$3:$H$135,MATCH(AV22,'G-8 Condition Look up'!$A$3:$A$135,0),MATCH(K22,'G-8 Condition Look up'!$A$3:$H$3,0)),"")</f>
        <v/>
      </c>
      <c r="M22" s="38"/>
      <c r="N22" s="310" t="str">
        <f>IF(M22="","",IF(VLOOKUP(M22,'G-3 Multipliers'!$L$3:$N$6,2,FALSE)=0,"Spatial Data Missing",VLOOKUP(M22,'G-3 Multipliers'!$L$3:$N$6,2,FALSE)))</f>
        <v/>
      </c>
      <c r="O22" s="296" t="str">
        <f>IF(M22="","",IF(VLOOKUP(M22,'G-3 Multipliers'!$L$3:$N$6,3,FALSE)=0,"Spatial Data Missing ▲",VLOOKUP(M22,'G-3 Multipliers'!$L$3:$N$6,3,FALSE)))</f>
        <v/>
      </c>
      <c r="P22" s="297" t="str">
        <f>(IF(G22="Yes","Bespoke compensation likely to be required 🛠",(IFERROR(VLOOKUP(AV22,'G-1 All Habitats'!$B$2:$M$135,12,FALSE),""))))</f>
        <v/>
      </c>
      <c r="Q22" s="304" t="str">
        <f>IFERROR(IF(AND(E22="Individual trees",T22&gt;0), "Error - you cannot enhance individual trees ▲", (IF(AND(U22="Irreplaceable habitat - no units generated ⚠",(S22+T22)&lt;H22, OR(Y22="No", Y22="")),"Any Loss Unacceptable ⚠", (IF(U22="Irreplaceable habitat - no units generated ⚠", T22*J22*L22*O22, IF(AND(P22='G-1 All Habitats'!$X$3, AC22&gt;0, S22&lt;=0, T22&lt;=0, OR(Y22="No", Y22="")),"Any Loss Unacceptable ⚠", IF(AND(P22='G-1 All Habitats'!$X$3, AC22&gt;0, S22&lt;=0, T22&lt;=0, Y22="Yes"), 0, (IF(AND(P22='G-1 All Habitats'!$X$3,(S22+T22)&lt;H22, OR(Y22="No", Y22="")),"Any Loss Unacceptable ⚠", (IF(P22="","",IF(AND(P22='G-1 All Habitats'!$X$3,T22&gt;0),U22+V22,IF(AND(P22='G-1 All Habitats'!$X$3,S22&gt;0),U22+V22,H22*J22*L22*O22))))))))))))),"Check Data ▲")</f>
        <v/>
      </c>
      <c r="R22" s="23"/>
      <c r="S22" s="38"/>
      <c r="T22" s="39"/>
      <c r="U22" s="302" t="str">
        <f t="shared" si="1"/>
        <v/>
      </c>
      <c r="V22" s="302" t="str">
        <f t="shared" si="2"/>
        <v/>
      </c>
      <c r="W22" s="302" t="str">
        <f>IF(E22="","",IF(H22&lt;S22+T22,"Error in Areas ▲",IF(P22&lt;&gt;'G-1 All Habitats'!$X$3,H22-S22-T22,IF(AND(P22='G-1 All Habitats'!$X$3,Y22="No"),AC22,IF(AND(P22='G-1 All Habitats'!$X$3,Y22=""),AC22,IF(AND(P22='G-1 All Habitats'!$X$3,AC22="None"),AC22,IF(AND(P22='G-1 All Habitats'!$X$3,AC22&gt;0),H22-S22-T22)))))))</f>
        <v/>
      </c>
      <c r="X22" s="306" t="str">
        <f>IFERROR(IF(H22="","",IF(H22-S22-T22=0&lt;0,"Error in Areas ▲",IF(S22+T22&gt;H22,"Error in Areas ▲",IF(AND(P22='G-1 All Habitats'!$X$3,Y22="Yes"),"Alternative Compensation ✓",IF(W22=0,0,IF(P22='G-1 All Habitats'!$X$3,"Any Loss Unacceptable ▲",Q22-U22-V22)))))),"Check Data ▲")</f>
        <v/>
      </c>
      <c r="Y22" s="39"/>
      <c r="Z22" s="46"/>
      <c r="AA22" s="419"/>
      <c r="AB22" s="101"/>
      <c r="AC22" s="495" t="str">
        <f>IF(OR(P22="", Y22="Yes"),"", IF(P22='G-1 All Habitats'!$X$3,H22-S22-T22,"None"))</f>
        <v/>
      </c>
      <c r="AD22" s="496" t="str">
        <f>IF(P22="","", IF(P22='G-1 All Habitats'!$X$3, AC22*J22*L22*O22,"None"))</f>
        <v/>
      </c>
      <c r="AE22" s="20" t="str">
        <f t="shared" si="3"/>
        <v/>
      </c>
      <c r="AF22" s="25" t="str">
        <f t="shared" si="4"/>
        <v/>
      </c>
      <c r="AG22" s="25" t="str">
        <f t="shared" si="0"/>
        <v/>
      </c>
      <c r="AH22" s="25" t="str">
        <f>IF(I22="","",IF(#REF!&gt;0,TRUE,FALSE))</f>
        <v/>
      </c>
      <c r="AI22" s="25">
        <v>12</v>
      </c>
      <c r="AJ22" s="25"/>
      <c r="AK22" s="25" t="str">
        <f t="array" ref="AK22">IFERROR(INDEX($AI$11:$AI$259, MATCH(0, IF(TRUE=$AF$11:$AF$259, COUNTIF($AK$10:$AK21, $AI$11:$AI$259), ""), 0)),"")</f>
        <v/>
      </c>
      <c r="AL22" s="25" t="str">
        <f t="array" ref="AL22">IFERROR(INDEX($AI$11:$AI$259, MATCH(0, IF(TRUE=$AG$11:$AG$259, COUNTIF($AL$10:$AL21, $AI$11:$AI$259), ""), 0)),"")</f>
        <v/>
      </c>
      <c r="AM22" s="25" t="str">
        <f t="array" ref="AM22">IFERROR(INDEX($AI$11:$AI$259, MATCH(0, IF(TRUE=$AH$11:$AH$259, COUNTIF($AM$10:$AM21, $AI$11:$AI$259), ""), 0)),"")</f>
        <v/>
      </c>
      <c r="AN22" s="25"/>
      <c r="AQ22" s="20">
        <f t="shared" si="5"/>
        <v>0</v>
      </c>
      <c r="AV22" s="540" t="str">
        <f>IFERROR(INDEX('G-1 All Habitats'!$B$3:$B$135,MATCH(F22,'G-1 All Habitats'!$A$3:$A$135,0)),"")</f>
        <v/>
      </c>
      <c r="AW22" s="20" t="str">
        <f>IF(AV22="","",VLOOKUP(AV22,'G-1 All Habitats'!$B$1:$T$135,19,FALSE))</f>
        <v/>
      </c>
    </row>
    <row r="23" spans="1:49" ht="14.5" thickBot="1" x14ac:dyDescent="0.35">
      <c r="A23" s="20" t="str">
        <f>IFERROR(INDEX('G-1 All Habitats'!$AG$3:$AG$17,MATCH(E23,'G-1 All Habitats'!$AF$3:$AF$17,0)),"")</f>
        <v/>
      </c>
      <c r="B23" s="20" t="str">
        <f>IFERROR(INDEX('G-8 Condition Look up'!$I$4:$I$135,MATCH(AV23,'G-8 Condition Look up'!$A$4:$A$135,0)),"")</f>
        <v/>
      </c>
      <c r="D23" s="238">
        <v>13</v>
      </c>
      <c r="E23" s="223"/>
      <c r="F23" s="45"/>
      <c r="G23" s="272"/>
      <c r="H23" s="37"/>
      <c r="I23" s="290" t="str">
        <f>IF(AV23="","",VLOOKUP(AV23,'G-1 All Habitats'!$B$2:$M$135,10,FALSE))</f>
        <v/>
      </c>
      <c r="J23" s="291" t="str">
        <f>IFERROR(VLOOKUP(I23,'G-1 All Habitats'!$V$3:$W$7,2,FALSE),"")</f>
        <v/>
      </c>
      <c r="K23" s="38"/>
      <c r="L23" s="291" t="str">
        <f>IFERROR(INDEX('G-8 Condition Look up'!$A$3:$H$135,MATCH(AV23,'G-8 Condition Look up'!$A$3:$A$135,0),MATCH(K23,'G-8 Condition Look up'!$A$3:$H$3,0)),"")</f>
        <v/>
      </c>
      <c r="M23" s="38"/>
      <c r="N23" s="310" t="str">
        <f>IF(M23="","",IF(VLOOKUP(M23,'G-3 Multipliers'!$L$3:$N$6,2,FALSE)=0,"Spatial Data Missing",VLOOKUP(M23,'G-3 Multipliers'!$L$3:$N$6,2,FALSE)))</f>
        <v/>
      </c>
      <c r="O23" s="296" t="str">
        <f>IF(M23="","",IF(VLOOKUP(M23,'G-3 Multipliers'!$L$3:$N$6,3,FALSE)=0,"Spatial Data Missing ▲",VLOOKUP(M23,'G-3 Multipliers'!$L$3:$N$6,3,FALSE)))</f>
        <v/>
      </c>
      <c r="P23" s="297" t="str">
        <f>(IF(G23="Yes","Bespoke compensation likely to be required 🛠",(IFERROR(VLOOKUP(AV23,'G-1 All Habitats'!$B$2:$M$135,12,FALSE),""))))</f>
        <v/>
      </c>
      <c r="Q23" s="304" t="str">
        <f>IFERROR(IF(AND(E23="Individual trees",T23&gt;0), "Error - you cannot enhance individual trees ▲", (IF(AND(U23="Irreplaceable habitat - no units generated ⚠",(S23+T23)&lt;H23, OR(Y23="No", Y23="")),"Any Loss Unacceptable ⚠", (IF(U23="Irreplaceable habitat - no units generated ⚠", T23*J23*L23*O23, IF(AND(P23='G-1 All Habitats'!$X$3, AC23&gt;0, S23&lt;=0, T23&lt;=0, OR(Y23="No", Y23="")),"Any Loss Unacceptable ⚠", IF(AND(P23='G-1 All Habitats'!$X$3, AC23&gt;0, S23&lt;=0, T23&lt;=0, Y23="Yes"), 0, (IF(AND(P23='G-1 All Habitats'!$X$3,(S23+T23)&lt;H23, OR(Y23="No", Y23="")),"Any Loss Unacceptable ⚠", (IF(P23="","",IF(AND(P23='G-1 All Habitats'!$X$3,T23&gt;0),U23+V23,IF(AND(P23='G-1 All Habitats'!$X$3,S23&gt;0),U23+V23,H23*J23*L23*O23))))))))))))),"Check Data ▲")</f>
        <v/>
      </c>
      <c r="R23" s="23"/>
      <c r="S23" s="38"/>
      <c r="T23" s="39"/>
      <c r="U23" s="302" t="str">
        <f t="shared" si="1"/>
        <v/>
      </c>
      <c r="V23" s="302" t="str">
        <f t="shared" si="2"/>
        <v/>
      </c>
      <c r="W23" s="302" t="str">
        <f>IF(E23="","",IF(H23&lt;S23+T23,"Error in Areas ▲",IF(P23&lt;&gt;'G-1 All Habitats'!$X$3,H23-S23-T23,IF(AND(P23='G-1 All Habitats'!$X$3,Y23="No"),AC23,IF(AND(P23='G-1 All Habitats'!$X$3,Y23=""),AC23,IF(AND(P23='G-1 All Habitats'!$X$3,AC23="None"),AC23,IF(AND(P23='G-1 All Habitats'!$X$3,AC23&gt;0),H23-S23-T23)))))))</f>
        <v/>
      </c>
      <c r="X23" s="306" t="str">
        <f>IFERROR(IF(H23="","",IF(H23-S23-T23=0&lt;0,"Error in Areas ▲",IF(S23+T23&gt;H23,"Error in Areas ▲",IF(AND(P23='G-1 All Habitats'!$X$3,Y23="Yes"),"Alternative Compensation ✓",IF(W23=0,0,IF(P23='G-1 All Habitats'!$X$3,"Any Loss Unacceptable ▲",Q23-U23-V23)))))),"Check Data ▲")</f>
        <v/>
      </c>
      <c r="Y23" s="39"/>
      <c r="Z23" s="46"/>
      <c r="AA23" s="419"/>
      <c r="AB23" s="101"/>
      <c r="AC23" s="495" t="str">
        <f>IF(OR(P23="", Y23="Yes"),"", IF(P23='G-1 All Habitats'!$X$3,H23-S23-T23,"None"))</f>
        <v/>
      </c>
      <c r="AD23" s="496" t="str">
        <f>IF(P23="","", IF(P23='G-1 All Habitats'!$X$3, AC23*J23*L23*O23,"None"))</f>
        <v/>
      </c>
      <c r="AE23" s="20" t="str">
        <f t="shared" si="3"/>
        <v/>
      </c>
      <c r="AF23" s="25" t="str">
        <f t="shared" si="4"/>
        <v/>
      </c>
      <c r="AG23" s="25" t="str">
        <f t="shared" si="0"/>
        <v/>
      </c>
      <c r="AH23" s="25" t="str">
        <f>IF(I23="","",IF(#REF!&gt;0,TRUE,FALSE))</f>
        <v/>
      </c>
      <c r="AI23" s="25">
        <v>13</v>
      </c>
      <c r="AJ23" s="25"/>
      <c r="AK23" s="25" t="str">
        <f t="array" ref="AK23">IFERROR(INDEX($AI$11:$AI$259, MATCH(0, IF(TRUE=$AF$11:$AF$259, COUNTIF($AK$10:$AK22, $AI$11:$AI$259), ""), 0)),"")</f>
        <v/>
      </c>
      <c r="AL23" s="25" t="str">
        <f t="array" ref="AL23">IFERROR(INDEX($AI$11:$AI$259, MATCH(0, IF(TRUE=$AG$11:$AG$259, COUNTIF($AL$10:$AL22, $AI$11:$AI$259), ""), 0)),"")</f>
        <v/>
      </c>
      <c r="AM23" s="25" t="str">
        <f t="array" ref="AM23">IFERROR(INDEX($AI$11:$AI$259, MATCH(0, IF(TRUE=$AH$11:$AH$259, COUNTIF($AM$10:$AM22, $AI$11:$AI$259), ""), 0)),"")</f>
        <v/>
      </c>
      <c r="AN23" s="25"/>
      <c r="AQ23" s="20">
        <f t="shared" si="5"/>
        <v>0</v>
      </c>
      <c r="AV23" s="540" t="str">
        <f>IFERROR(INDEX('G-1 All Habitats'!$B$3:$B$135,MATCH(F23,'G-1 All Habitats'!$A$3:$A$135,0)),"")</f>
        <v/>
      </c>
      <c r="AW23" s="20" t="str">
        <f>IF(AV23="","",VLOOKUP(AV23,'G-1 All Habitats'!$B$1:$T$135,19,FALSE))</f>
        <v/>
      </c>
    </row>
    <row r="24" spans="1:49" ht="14.5" thickBot="1" x14ac:dyDescent="0.35">
      <c r="A24" s="20" t="str">
        <f>IFERROR(INDEX('G-1 All Habitats'!$AG$3:$AG$17,MATCH(E24,'G-1 All Habitats'!$AF$3:$AF$17,0)),"")</f>
        <v/>
      </c>
      <c r="B24" s="20" t="str">
        <f>IFERROR(INDEX('G-8 Condition Look up'!$I$4:$I$135,MATCH(AV24,'G-8 Condition Look up'!$A$4:$A$135,0)),"")</f>
        <v/>
      </c>
      <c r="D24" s="238">
        <v>14</v>
      </c>
      <c r="E24" s="223"/>
      <c r="F24" s="45"/>
      <c r="G24" s="272"/>
      <c r="H24" s="37"/>
      <c r="I24" s="290" t="str">
        <f>IF(AV24="","",VLOOKUP(AV24,'G-1 All Habitats'!$B$2:$M$135,10,FALSE))</f>
        <v/>
      </c>
      <c r="J24" s="291" t="str">
        <f>IFERROR(VLOOKUP(I24,'G-1 All Habitats'!$V$3:$W$7,2,FALSE),"")</f>
        <v/>
      </c>
      <c r="K24" s="38"/>
      <c r="L24" s="291" t="str">
        <f>IFERROR(INDEX('G-8 Condition Look up'!$A$3:$H$135,MATCH(AV24,'G-8 Condition Look up'!$A$3:$A$135,0),MATCH(K24,'G-8 Condition Look up'!$A$3:$H$3,0)),"")</f>
        <v/>
      </c>
      <c r="M24" s="38"/>
      <c r="N24" s="310" t="str">
        <f>IF(M24="","",IF(VLOOKUP(M24,'G-3 Multipliers'!$L$3:$N$6,2,FALSE)=0,"Spatial Data Missing",VLOOKUP(M24,'G-3 Multipliers'!$L$3:$N$6,2,FALSE)))</f>
        <v/>
      </c>
      <c r="O24" s="296" t="str">
        <f>IF(M24="","",IF(VLOOKUP(M24,'G-3 Multipliers'!$L$3:$N$6,3,FALSE)=0,"Spatial Data Missing ▲",VLOOKUP(M24,'G-3 Multipliers'!$L$3:$N$6,3,FALSE)))</f>
        <v/>
      </c>
      <c r="P24" s="297" t="str">
        <f>(IF(G24="Yes","Bespoke compensation likely to be required 🛠",(IFERROR(VLOOKUP(AV24,'G-1 All Habitats'!$B$2:$M$135,12,FALSE),""))))</f>
        <v/>
      </c>
      <c r="Q24" s="304" t="str">
        <f>IFERROR(IF(AND(E24="Individual trees",T24&gt;0), "Error - you cannot enhance individual trees ▲", (IF(AND(U24="Irreplaceable habitat - no units generated ⚠",(S24+T24)&lt;H24, OR(Y24="No", Y24="")),"Any Loss Unacceptable ⚠", (IF(U24="Irreplaceable habitat - no units generated ⚠", T24*J24*L24*O24, IF(AND(P24='G-1 All Habitats'!$X$3, AC24&gt;0, S24&lt;=0, T24&lt;=0, OR(Y24="No", Y24="")),"Any Loss Unacceptable ⚠", IF(AND(P24='G-1 All Habitats'!$X$3, AC24&gt;0, S24&lt;=0, T24&lt;=0, Y24="Yes"), 0, (IF(AND(P24='G-1 All Habitats'!$X$3,(S24+T24)&lt;H24, OR(Y24="No", Y24="")),"Any Loss Unacceptable ⚠", (IF(P24="","",IF(AND(P24='G-1 All Habitats'!$X$3,T24&gt;0),U24+V24,IF(AND(P24='G-1 All Habitats'!$X$3,S24&gt;0),U24+V24,H24*J24*L24*O24))))))))))))),"Check Data ▲")</f>
        <v/>
      </c>
      <c r="R24" s="23"/>
      <c r="S24" s="38"/>
      <c r="T24" s="39"/>
      <c r="U24" s="302" t="str">
        <f t="shared" si="1"/>
        <v/>
      </c>
      <c r="V24" s="302" t="str">
        <f t="shared" si="2"/>
        <v/>
      </c>
      <c r="W24" s="302" t="str">
        <f>IF(E24="","",IF(H24&lt;S24+T24,"Error in Areas ▲",IF(P24&lt;&gt;'G-1 All Habitats'!$X$3,H24-S24-T24,IF(AND(P24='G-1 All Habitats'!$X$3,Y24="No"),AC24,IF(AND(P24='G-1 All Habitats'!$X$3,Y24=""),AC24,IF(AND(P24='G-1 All Habitats'!$X$3,AC24="None"),AC24,IF(AND(P24='G-1 All Habitats'!$X$3,AC24&gt;0),H24-S24-T24)))))))</f>
        <v/>
      </c>
      <c r="X24" s="306" t="str">
        <f>IFERROR(IF(H24="","",IF(H24-S24-T24=0&lt;0,"Error in Areas ▲",IF(S24+T24&gt;H24,"Error in Areas ▲",IF(AND(P24='G-1 All Habitats'!$X$3,Y24="Yes"),"Alternative Compensation ✓",IF(W24=0,0,IF(P24='G-1 All Habitats'!$X$3,"Any Loss Unacceptable ▲",Q24-U24-V24)))))),"Check Data ▲")</f>
        <v/>
      </c>
      <c r="Y24" s="39"/>
      <c r="Z24" s="46"/>
      <c r="AA24" s="419"/>
      <c r="AB24" s="101"/>
      <c r="AC24" s="495" t="str">
        <f>IF(OR(P24="", Y24="Yes"),"", IF(P24='G-1 All Habitats'!$X$3,H24-S24-T24,"None"))</f>
        <v/>
      </c>
      <c r="AD24" s="496" t="str">
        <f>IF(P24="","", IF(P24='G-1 All Habitats'!$X$3, AC24*J24*L24*O24,"None"))</f>
        <v/>
      </c>
      <c r="AE24" s="20" t="str">
        <f t="shared" si="3"/>
        <v/>
      </c>
      <c r="AF24" s="25" t="str">
        <f t="shared" si="4"/>
        <v/>
      </c>
      <c r="AG24" s="25" t="str">
        <f t="shared" si="0"/>
        <v/>
      </c>
      <c r="AH24" s="25" t="str">
        <f>IF(I24="","",IF(#REF!&gt;0,TRUE,FALSE))</f>
        <v/>
      </c>
      <c r="AI24" s="25">
        <v>14</v>
      </c>
      <c r="AJ24" s="25"/>
      <c r="AK24" s="25" t="str">
        <f t="array" ref="AK24">IFERROR(INDEX($AI$11:$AI$259, MATCH(0, IF(TRUE=$AF$11:$AF$259, COUNTIF($AK$10:$AK23, $AI$11:$AI$259), ""), 0)),"")</f>
        <v/>
      </c>
      <c r="AL24" s="25" t="str">
        <f t="array" ref="AL24">IFERROR(INDEX($AI$11:$AI$259, MATCH(0, IF(TRUE=$AG$11:$AG$259, COUNTIF($AL$10:$AL23, $AI$11:$AI$259), ""), 0)),"")</f>
        <v/>
      </c>
      <c r="AM24" s="25" t="str">
        <f t="array" ref="AM24">IFERROR(INDEX($AI$11:$AI$259, MATCH(0, IF(TRUE=$AH$11:$AH$259, COUNTIF($AM$10:$AM23, $AI$11:$AI$259), ""), 0)),"")</f>
        <v/>
      </c>
      <c r="AN24" s="25"/>
      <c r="AQ24" s="20">
        <f t="shared" si="5"/>
        <v>0</v>
      </c>
      <c r="AV24" s="540" t="str">
        <f>IFERROR(INDEX('G-1 All Habitats'!$B$3:$B$135,MATCH(F24,'G-1 All Habitats'!$A$3:$A$135,0)),"")</f>
        <v/>
      </c>
      <c r="AW24" s="20" t="str">
        <f>IF(AV24="","",VLOOKUP(AV24,'G-1 All Habitats'!$B$1:$T$135,19,FALSE))</f>
        <v/>
      </c>
    </row>
    <row r="25" spans="1:49" ht="14.5" thickBot="1" x14ac:dyDescent="0.35">
      <c r="A25" s="20" t="str">
        <f>IFERROR(INDEX('G-1 All Habitats'!$AG$3:$AG$17,MATCH(E25,'G-1 All Habitats'!$AF$3:$AF$17,0)),"")</f>
        <v/>
      </c>
      <c r="B25" s="20" t="str">
        <f>IFERROR(INDEX('G-8 Condition Look up'!$I$4:$I$135,MATCH(AV25,'G-8 Condition Look up'!$A$4:$A$135,0)),"")</f>
        <v/>
      </c>
      <c r="D25" s="238">
        <v>15</v>
      </c>
      <c r="E25" s="223"/>
      <c r="F25" s="45"/>
      <c r="G25" s="272"/>
      <c r="H25" s="37"/>
      <c r="I25" s="290" t="str">
        <f>IF(AV25="","",VLOOKUP(AV25,'G-1 All Habitats'!$B$2:$M$135,10,FALSE))</f>
        <v/>
      </c>
      <c r="J25" s="291" t="str">
        <f>IFERROR(VLOOKUP(I25,'G-1 All Habitats'!$V$3:$W$7,2,FALSE),"")</f>
        <v/>
      </c>
      <c r="K25" s="38"/>
      <c r="L25" s="291" t="str">
        <f>IFERROR(INDEX('G-8 Condition Look up'!$A$3:$H$135,MATCH(AV25,'G-8 Condition Look up'!$A$3:$A$135,0),MATCH(K25,'G-8 Condition Look up'!$A$3:$H$3,0)),"")</f>
        <v/>
      </c>
      <c r="M25" s="38"/>
      <c r="N25" s="310" t="str">
        <f>IF(M25="","",IF(VLOOKUP(M25,'G-3 Multipliers'!$L$3:$N$6,2,FALSE)=0,"Spatial Data Missing",VLOOKUP(M25,'G-3 Multipliers'!$L$3:$N$6,2,FALSE)))</f>
        <v/>
      </c>
      <c r="O25" s="296" t="str">
        <f>IF(M25="","",IF(VLOOKUP(M25,'G-3 Multipliers'!$L$3:$N$6,3,FALSE)=0,"Spatial Data Missing ▲",VLOOKUP(M25,'G-3 Multipliers'!$L$3:$N$6,3,FALSE)))</f>
        <v/>
      </c>
      <c r="P25" s="297" t="str">
        <f>(IF(G25="Yes","Bespoke compensation likely to be required 🛠",(IFERROR(VLOOKUP(AV25,'G-1 All Habitats'!$B$2:$M$135,12,FALSE),""))))</f>
        <v/>
      </c>
      <c r="Q25" s="304" t="str">
        <f>IFERROR(IF(AND(E25="Individual trees",T25&gt;0), "Error - you cannot enhance individual trees ▲", (IF(AND(U25="Irreplaceable habitat - no units generated ⚠",(S25+T25)&lt;H25, OR(Y25="No", Y25="")),"Any Loss Unacceptable ⚠", (IF(U25="Irreplaceable habitat - no units generated ⚠", T25*J25*L25*O25, IF(AND(P25='G-1 All Habitats'!$X$3, AC25&gt;0, S25&lt;=0, T25&lt;=0, OR(Y25="No", Y25="")),"Any Loss Unacceptable ⚠", IF(AND(P25='G-1 All Habitats'!$X$3, AC25&gt;0, S25&lt;=0, T25&lt;=0, Y25="Yes"), 0, (IF(AND(P25='G-1 All Habitats'!$X$3,(S25+T25)&lt;H25, OR(Y25="No", Y25="")),"Any Loss Unacceptable ⚠", (IF(P25="","",IF(AND(P25='G-1 All Habitats'!$X$3,T25&gt;0),U25+V25,IF(AND(P25='G-1 All Habitats'!$X$3,S25&gt;0),U25+V25,H25*J25*L25*O25))))))))))))),"Check Data ▲")</f>
        <v/>
      </c>
      <c r="R25" s="23"/>
      <c r="S25" s="38"/>
      <c r="T25" s="39"/>
      <c r="U25" s="302" t="str">
        <f t="shared" si="1"/>
        <v/>
      </c>
      <c r="V25" s="302" t="str">
        <f t="shared" si="2"/>
        <v/>
      </c>
      <c r="W25" s="302" t="str">
        <f>IF(E25="","",IF(H25&lt;S25+T25,"Error in Areas ▲",IF(P25&lt;&gt;'G-1 All Habitats'!$X$3,H25-S25-T25,IF(AND(P25='G-1 All Habitats'!$X$3,Y25="No"),AC25,IF(AND(P25='G-1 All Habitats'!$X$3,Y25=""),AC25,IF(AND(P25='G-1 All Habitats'!$X$3,AC25="None"),AC25,IF(AND(P25='G-1 All Habitats'!$X$3,AC25&gt;0),H25-S25-T25)))))))</f>
        <v/>
      </c>
      <c r="X25" s="306" t="str">
        <f>IFERROR(IF(H25="","",IF(H25-S25-T25=0&lt;0,"Error in Areas ▲",IF(S25+T25&gt;H25,"Error in Areas ▲",IF(AND(P25='G-1 All Habitats'!$X$3,Y25="Yes"),"Alternative Compensation ✓",IF(W25=0,0,IF(P25='G-1 All Habitats'!$X$3,"Any Loss Unacceptable ▲",Q25-U25-V25)))))),"Check Data ▲")</f>
        <v/>
      </c>
      <c r="Y25" s="39"/>
      <c r="Z25" s="46"/>
      <c r="AA25" s="419"/>
      <c r="AB25" s="101"/>
      <c r="AC25" s="495" t="str">
        <f>IF(OR(P25="", Y25="Yes"),"", IF(P25='G-1 All Habitats'!$X$3,H25-S25-T25,"None"))</f>
        <v/>
      </c>
      <c r="AD25" s="496" t="str">
        <f>IF(P25="","", IF(P25='G-1 All Habitats'!$X$3, AC25*J25*L25*O25,"None"))</f>
        <v/>
      </c>
      <c r="AE25" s="20" t="str">
        <f t="shared" si="3"/>
        <v/>
      </c>
      <c r="AF25" s="25" t="str">
        <f t="shared" si="4"/>
        <v/>
      </c>
      <c r="AG25" s="25" t="str">
        <f t="shared" si="0"/>
        <v/>
      </c>
      <c r="AH25" s="25" t="str">
        <f>IF(I25="","",IF(#REF!&gt;0,TRUE,FALSE))</f>
        <v/>
      </c>
      <c r="AI25" s="25">
        <v>15</v>
      </c>
      <c r="AJ25" s="25"/>
      <c r="AK25" s="25" t="str">
        <f t="array" ref="AK25">IFERROR(INDEX($AI$11:$AI$259, MATCH(0, IF(TRUE=$AF$11:$AF$259, COUNTIF($AK$10:$AK24, $AI$11:$AI$259), ""), 0)),"")</f>
        <v/>
      </c>
      <c r="AL25" s="25" t="str">
        <f t="array" ref="AL25">IFERROR(INDEX($AI$11:$AI$259, MATCH(0, IF(TRUE=$AG$11:$AG$259, COUNTIF($AL$10:$AL24, $AI$11:$AI$259), ""), 0)),"")</f>
        <v/>
      </c>
      <c r="AM25" s="25" t="str">
        <f t="array" ref="AM25">IFERROR(INDEX($AI$11:$AI$259, MATCH(0, IF(TRUE=$AH$11:$AH$259, COUNTIF($AM$10:$AM24, $AI$11:$AI$259), ""), 0)),"")</f>
        <v/>
      </c>
      <c r="AN25" s="25"/>
      <c r="AQ25" s="20">
        <f t="shared" si="5"/>
        <v>0</v>
      </c>
      <c r="AV25" s="540" t="str">
        <f>IFERROR(INDEX('G-1 All Habitats'!$B$3:$B$135,MATCH(F25,'G-1 All Habitats'!$A$3:$A$135,0)),"")</f>
        <v/>
      </c>
      <c r="AW25" s="20" t="str">
        <f>IF(AV25="","",VLOOKUP(AV25,'G-1 All Habitats'!$B$1:$T$135,19,FALSE))</f>
        <v/>
      </c>
    </row>
    <row r="26" spans="1:49" ht="14.5" thickBot="1" x14ac:dyDescent="0.35">
      <c r="A26" s="20" t="str">
        <f>IFERROR(INDEX('G-1 All Habitats'!$AG$3:$AG$17,MATCH(E26,'G-1 All Habitats'!$AF$3:$AF$17,0)),"")</f>
        <v/>
      </c>
      <c r="B26" s="20" t="str">
        <f>IFERROR(INDEX('G-8 Condition Look up'!$I$4:$I$135,MATCH(AV26,'G-8 Condition Look up'!$A$4:$A$135,0)),"")</f>
        <v/>
      </c>
      <c r="D26" s="238">
        <v>16</v>
      </c>
      <c r="E26" s="223"/>
      <c r="F26" s="45"/>
      <c r="G26" s="272"/>
      <c r="H26" s="37"/>
      <c r="I26" s="290" t="str">
        <f>IF(AV26="","",VLOOKUP(AV26,'G-1 All Habitats'!$B$2:$M$135,10,FALSE))</f>
        <v/>
      </c>
      <c r="J26" s="291" t="str">
        <f>IFERROR(VLOOKUP(I26,'G-1 All Habitats'!$V$3:$W$7,2,FALSE),"")</f>
        <v/>
      </c>
      <c r="K26" s="38"/>
      <c r="L26" s="291" t="str">
        <f>IFERROR(INDEX('G-8 Condition Look up'!$A$3:$H$135,MATCH(AV26,'G-8 Condition Look up'!$A$3:$A$135,0),MATCH(K26,'G-8 Condition Look up'!$A$3:$H$3,0)),"")</f>
        <v/>
      </c>
      <c r="M26" s="38"/>
      <c r="N26" s="310" t="str">
        <f>IF(M26="","",IF(VLOOKUP(M26,'G-3 Multipliers'!$L$3:$N$6,2,FALSE)=0,"Spatial Data Missing",VLOOKUP(M26,'G-3 Multipliers'!$L$3:$N$6,2,FALSE)))</f>
        <v/>
      </c>
      <c r="O26" s="296" t="str">
        <f>IF(M26="","",IF(VLOOKUP(M26,'G-3 Multipliers'!$L$3:$N$6,3,FALSE)=0,"Spatial Data Missing ▲",VLOOKUP(M26,'G-3 Multipliers'!$L$3:$N$6,3,FALSE)))</f>
        <v/>
      </c>
      <c r="P26" s="297" t="str">
        <f>(IF(G26="Yes","Bespoke compensation likely to be required 🛠",(IFERROR(VLOOKUP(AV26,'G-1 All Habitats'!$B$2:$M$135,12,FALSE),""))))</f>
        <v/>
      </c>
      <c r="Q26" s="304" t="str">
        <f>IFERROR(IF(AND(E26="Individual trees",T26&gt;0), "Error - you cannot enhance individual trees ▲", (IF(AND(U26="Irreplaceable habitat - no units generated ⚠",(S26+T26)&lt;H26, OR(Y26="No", Y26="")),"Any Loss Unacceptable ⚠", (IF(U26="Irreplaceable habitat - no units generated ⚠", T26*J26*L26*O26, IF(AND(P26='G-1 All Habitats'!$X$3, AC26&gt;0, S26&lt;=0, T26&lt;=0, OR(Y26="No", Y26="")),"Any Loss Unacceptable ⚠", IF(AND(P26='G-1 All Habitats'!$X$3, AC26&gt;0, S26&lt;=0, T26&lt;=0, Y26="Yes"), 0, (IF(AND(P26='G-1 All Habitats'!$X$3,(S26+T26)&lt;H26, OR(Y26="No", Y26="")),"Any Loss Unacceptable ⚠", (IF(P26="","",IF(AND(P26='G-1 All Habitats'!$X$3,T26&gt;0),U26+V26,IF(AND(P26='G-1 All Habitats'!$X$3,S26&gt;0),U26+V26,H26*J26*L26*O26))))))))))))),"Check Data ▲")</f>
        <v/>
      </c>
      <c r="R26" s="23"/>
      <c r="S26" s="38"/>
      <c r="T26" s="39"/>
      <c r="U26" s="302" t="str">
        <f t="shared" si="1"/>
        <v/>
      </c>
      <c r="V26" s="302" t="str">
        <f t="shared" si="2"/>
        <v/>
      </c>
      <c r="W26" s="302" t="str">
        <f>IF(E26="","",IF(H26&lt;S26+T26,"Error in Areas ▲",IF(P26&lt;&gt;'G-1 All Habitats'!$X$3,H26-S26-T26,IF(AND(P26='G-1 All Habitats'!$X$3,Y26="No"),AC26,IF(AND(P26='G-1 All Habitats'!$X$3,Y26=""),AC26,IF(AND(P26='G-1 All Habitats'!$X$3,AC26="None"),AC26,IF(AND(P26='G-1 All Habitats'!$X$3,AC26&gt;0),H26-S26-T26)))))))</f>
        <v/>
      </c>
      <c r="X26" s="306" t="str">
        <f>IFERROR(IF(H26="","",IF(H26-S26-T26=0&lt;0,"Error in Areas ▲",IF(S26+T26&gt;H26,"Error in Areas ▲",IF(AND(P26='G-1 All Habitats'!$X$3,Y26="Yes"),"Alternative Compensation ✓",IF(W26=0,0,IF(P26='G-1 All Habitats'!$X$3,"Any Loss Unacceptable ▲",Q26-U26-V26)))))),"Check Data ▲")</f>
        <v/>
      </c>
      <c r="Y26" s="39"/>
      <c r="Z26" s="46"/>
      <c r="AA26" s="419"/>
      <c r="AB26" s="101"/>
      <c r="AC26" s="495" t="str">
        <f>IF(OR(P26="", Y26="Yes"),"", IF(P26='G-1 All Habitats'!$X$3,H26-S26-T26,"None"))</f>
        <v/>
      </c>
      <c r="AD26" s="496" t="str">
        <f>IF(P26="","", IF(P26='G-1 All Habitats'!$X$3, AC26*J26*L26*O26,"None"))</f>
        <v/>
      </c>
      <c r="AE26" s="20" t="str">
        <f t="shared" si="3"/>
        <v/>
      </c>
      <c r="AF26" s="25" t="str">
        <f t="shared" si="4"/>
        <v/>
      </c>
      <c r="AG26" s="25" t="str">
        <f t="shared" si="0"/>
        <v/>
      </c>
      <c r="AH26" s="25" t="str">
        <f>IF(I26="","",IF(#REF!&gt;0,TRUE,FALSE))</f>
        <v/>
      </c>
      <c r="AI26" s="25">
        <v>16</v>
      </c>
      <c r="AJ26" s="25"/>
      <c r="AK26" s="25" t="str">
        <f t="array" ref="AK26">IFERROR(INDEX($AI$11:$AI$259, MATCH(0, IF(TRUE=$AF$11:$AF$259, COUNTIF($AK$10:$AK25, $AI$11:$AI$259), ""), 0)),"")</f>
        <v/>
      </c>
      <c r="AL26" s="25" t="str">
        <f t="array" ref="AL26">IFERROR(INDEX($AI$11:$AI$259, MATCH(0, IF(TRUE=$AG$11:$AG$259, COUNTIF($AL$10:$AL25, $AI$11:$AI$259), ""), 0)),"")</f>
        <v/>
      </c>
      <c r="AM26" s="25" t="str">
        <f t="array" ref="AM26">IFERROR(INDEX($AI$11:$AI$259, MATCH(0, IF(TRUE=$AH$11:$AH$259, COUNTIF($AM$10:$AM25, $AI$11:$AI$259), ""), 0)),"")</f>
        <v/>
      </c>
      <c r="AN26" s="25"/>
      <c r="AQ26" s="20">
        <f t="shared" si="5"/>
        <v>0</v>
      </c>
      <c r="AV26" s="540" t="str">
        <f>IFERROR(INDEX('G-1 All Habitats'!$B$3:$B$135,MATCH(F26,'G-1 All Habitats'!$A$3:$A$135,0)),"")</f>
        <v/>
      </c>
      <c r="AW26" s="20" t="str">
        <f>IF(AV26="","",VLOOKUP(AV26,'G-1 All Habitats'!$B$1:$T$135,19,FALSE))</f>
        <v/>
      </c>
    </row>
    <row r="27" spans="1:49" ht="14.5" thickBot="1" x14ac:dyDescent="0.35">
      <c r="A27" s="20" t="str">
        <f>IFERROR(INDEX('G-1 All Habitats'!$AG$3:$AG$17,MATCH(E27,'G-1 All Habitats'!$AF$3:$AF$17,0)),"")</f>
        <v/>
      </c>
      <c r="B27" s="20" t="str">
        <f>IFERROR(INDEX('G-8 Condition Look up'!$I$4:$I$135,MATCH(AV27,'G-8 Condition Look up'!$A$4:$A$135,0)),"")</f>
        <v/>
      </c>
      <c r="D27" s="238">
        <v>17</v>
      </c>
      <c r="E27" s="223"/>
      <c r="F27" s="45"/>
      <c r="G27" s="272"/>
      <c r="H27" s="37"/>
      <c r="I27" s="290" t="str">
        <f>IF(AV27="","",VLOOKUP(AV27,'G-1 All Habitats'!$B$2:$M$135,10,FALSE))</f>
        <v/>
      </c>
      <c r="J27" s="291" t="str">
        <f>IFERROR(VLOOKUP(I27,'G-1 All Habitats'!$V$3:$W$7,2,FALSE),"")</f>
        <v/>
      </c>
      <c r="K27" s="38"/>
      <c r="L27" s="291" t="str">
        <f>IFERROR(INDEX('G-8 Condition Look up'!$A$3:$H$135,MATCH(AV27,'G-8 Condition Look up'!$A$3:$A$135,0),MATCH(K27,'G-8 Condition Look up'!$A$3:$H$3,0)),"")</f>
        <v/>
      </c>
      <c r="M27" s="38"/>
      <c r="N27" s="310" t="str">
        <f>IF(M27="","",IF(VLOOKUP(M27,'G-3 Multipliers'!$L$3:$N$6,2,FALSE)=0,"Spatial Data Missing",VLOOKUP(M27,'G-3 Multipliers'!$L$3:$N$6,2,FALSE)))</f>
        <v/>
      </c>
      <c r="O27" s="296" t="str">
        <f>IF(M27="","",IF(VLOOKUP(M27,'G-3 Multipliers'!$L$3:$N$6,3,FALSE)=0,"Spatial Data Missing ▲",VLOOKUP(M27,'G-3 Multipliers'!$L$3:$N$6,3,FALSE)))</f>
        <v/>
      </c>
      <c r="P27" s="297" t="str">
        <f>(IF(G27="Yes","Bespoke compensation likely to be required 🛠",(IFERROR(VLOOKUP(AV27,'G-1 All Habitats'!$B$2:$M$135,12,FALSE),""))))</f>
        <v/>
      </c>
      <c r="Q27" s="304" t="str">
        <f>IFERROR(IF(AND(E27="Individual trees",T27&gt;0), "Error - you cannot enhance individual trees ▲", (IF(AND(U27="Irreplaceable habitat - no units generated ⚠",(S27+T27)&lt;H27, OR(Y27="No", Y27="")),"Any Loss Unacceptable ⚠", (IF(U27="Irreplaceable habitat - no units generated ⚠", T27*J27*L27*O27, IF(AND(P27='G-1 All Habitats'!$X$3, AC27&gt;0, S27&lt;=0, T27&lt;=0, OR(Y27="No", Y27="")),"Any Loss Unacceptable ⚠", IF(AND(P27='G-1 All Habitats'!$X$3, AC27&gt;0, S27&lt;=0, T27&lt;=0, Y27="Yes"), 0, (IF(AND(P27='G-1 All Habitats'!$X$3,(S27+T27)&lt;H27, OR(Y27="No", Y27="")),"Any Loss Unacceptable ⚠", (IF(P27="","",IF(AND(P27='G-1 All Habitats'!$X$3,T27&gt;0),U27+V27,IF(AND(P27='G-1 All Habitats'!$X$3,S27&gt;0),U27+V27,H27*J27*L27*O27))))))))))))),"Check Data ▲")</f>
        <v/>
      </c>
      <c r="R27" s="23"/>
      <c r="S27" s="38"/>
      <c r="T27" s="39"/>
      <c r="U27" s="302" t="str">
        <f t="shared" si="1"/>
        <v/>
      </c>
      <c r="V27" s="302" t="str">
        <f t="shared" si="2"/>
        <v/>
      </c>
      <c r="W27" s="302" t="str">
        <f>IF(E27="","",IF(H27&lt;S27+T27,"Error in Areas ▲",IF(P27&lt;&gt;'G-1 All Habitats'!$X$3,H27-S27-T27,IF(AND(P27='G-1 All Habitats'!$X$3,Y27="No"),AC27,IF(AND(P27='G-1 All Habitats'!$X$3,Y27=""),AC27,IF(AND(P27='G-1 All Habitats'!$X$3,AC27="None"),AC27,IF(AND(P27='G-1 All Habitats'!$X$3,AC27&gt;0),H27-S27-T27)))))))</f>
        <v/>
      </c>
      <c r="X27" s="306" t="str">
        <f>IFERROR(IF(H27="","",IF(H27-S27-T27=0&lt;0,"Error in Areas ▲",IF(S27+T27&gt;H27,"Error in Areas ▲",IF(AND(P27='G-1 All Habitats'!$X$3,Y27="Yes"),"Alternative Compensation ✓",IF(W27=0,0,IF(P27='G-1 All Habitats'!$X$3,"Any Loss Unacceptable ▲",Q27-U27-V27)))))),"Check Data ▲")</f>
        <v/>
      </c>
      <c r="Y27" s="39"/>
      <c r="Z27" s="46"/>
      <c r="AA27" s="419"/>
      <c r="AB27" s="101"/>
      <c r="AC27" s="495" t="str">
        <f>IF(OR(P27="", Y27="Yes"),"", IF(P27='G-1 All Habitats'!$X$3,H27-S27-T27,"None"))</f>
        <v/>
      </c>
      <c r="AD27" s="496" t="str">
        <f>IF(P27="","", IF(P27='G-1 All Habitats'!$X$3, AC27*J27*L27*O27,"None"))</f>
        <v/>
      </c>
      <c r="AE27" s="20" t="str">
        <f t="shared" si="3"/>
        <v/>
      </c>
      <c r="AF27" s="25" t="str">
        <f t="shared" si="4"/>
        <v/>
      </c>
      <c r="AG27" s="25" t="str">
        <f t="shared" si="0"/>
        <v/>
      </c>
      <c r="AH27" s="25" t="str">
        <f>IF(I27="","",IF(#REF!&gt;0,TRUE,FALSE))</f>
        <v/>
      </c>
      <c r="AI27" s="25">
        <v>17</v>
      </c>
      <c r="AJ27" s="25"/>
      <c r="AK27" s="25" t="str">
        <f t="array" ref="AK27">IFERROR(INDEX($AI$11:$AI$259, MATCH(0, IF(TRUE=$AF$11:$AF$259, COUNTIF($AK$10:$AK26, $AI$11:$AI$259), ""), 0)),"")</f>
        <v/>
      </c>
      <c r="AL27" s="25" t="str">
        <f t="array" ref="AL27">IFERROR(INDEX($AI$11:$AI$259, MATCH(0, IF(TRUE=$AG$11:$AG$259, COUNTIF($AL$10:$AL26, $AI$11:$AI$259), ""), 0)),"")</f>
        <v/>
      </c>
      <c r="AM27" s="25" t="str">
        <f t="array" ref="AM27">IFERROR(INDEX($AI$11:$AI$259, MATCH(0, IF(TRUE=$AH$11:$AH$259, COUNTIF($AM$10:$AM26, $AI$11:$AI$259), ""), 0)),"")</f>
        <v/>
      </c>
      <c r="AN27" s="25"/>
      <c r="AQ27" s="20">
        <f t="shared" si="5"/>
        <v>0</v>
      </c>
      <c r="AV27" s="540" t="str">
        <f>IFERROR(INDEX('G-1 All Habitats'!$B$3:$B$135,MATCH(F27,'G-1 All Habitats'!$A$3:$A$135,0)),"")</f>
        <v/>
      </c>
      <c r="AW27" s="20" t="str">
        <f>IF(AV27="","",VLOOKUP(AV27,'G-1 All Habitats'!$B$1:$T$135,19,FALSE))</f>
        <v/>
      </c>
    </row>
    <row r="28" spans="1:49" ht="14.5" thickBot="1" x14ac:dyDescent="0.35">
      <c r="A28" s="20" t="str">
        <f>IFERROR(INDEX('G-1 All Habitats'!$AG$3:$AG$17,MATCH(E28,'G-1 All Habitats'!$AF$3:$AF$17,0)),"")</f>
        <v/>
      </c>
      <c r="B28" s="20" t="str">
        <f>IFERROR(INDEX('G-8 Condition Look up'!$I$4:$I$135,MATCH(AV28,'G-8 Condition Look up'!$A$4:$A$135,0)),"")</f>
        <v/>
      </c>
      <c r="D28" s="238">
        <v>18</v>
      </c>
      <c r="E28" s="223"/>
      <c r="F28" s="45"/>
      <c r="G28" s="272"/>
      <c r="H28" s="37"/>
      <c r="I28" s="290" t="str">
        <f>IF(AV28="","",VLOOKUP(AV28,'G-1 All Habitats'!$B$2:$M$135,10,FALSE))</f>
        <v/>
      </c>
      <c r="J28" s="291" t="str">
        <f>IFERROR(VLOOKUP(I28,'G-1 All Habitats'!$V$3:$W$7,2,FALSE),"")</f>
        <v/>
      </c>
      <c r="K28" s="38"/>
      <c r="L28" s="291" t="str">
        <f>IFERROR(INDEX('G-8 Condition Look up'!$A$3:$H$135,MATCH(AV28,'G-8 Condition Look up'!$A$3:$A$135,0),MATCH(K28,'G-8 Condition Look up'!$A$3:$H$3,0)),"")</f>
        <v/>
      </c>
      <c r="M28" s="38"/>
      <c r="N28" s="310" t="str">
        <f>IF(M28="","",IF(VLOOKUP(M28,'G-3 Multipliers'!$L$3:$N$6,2,FALSE)=0,"Spatial Data Missing",VLOOKUP(M28,'G-3 Multipliers'!$L$3:$N$6,2,FALSE)))</f>
        <v/>
      </c>
      <c r="O28" s="296" t="str">
        <f>IF(M28="","",IF(VLOOKUP(M28,'G-3 Multipliers'!$L$3:$N$6,3,FALSE)=0,"Spatial Data Missing ▲",VLOOKUP(M28,'G-3 Multipliers'!$L$3:$N$6,3,FALSE)))</f>
        <v/>
      </c>
      <c r="P28" s="297" t="str">
        <f>(IF(G28="Yes","Bespoke compensation likely to be required 🛠",(IFERROR(VLOOKUP(AV28,'G-1 All Habitats'!$B$2:$M$135,12,FALSE),""))))</f>
        <v/>
      </c>
      <c r="Q28" s="304" t="str">
        <f>IFERROR(IF(AND(E28="Individual trees",T28&gt;0), "Error - you cannot enhance individual trees ▲", (IF(AND(U28="Irreplaceable habitat - no units generated ⚠",(S28+T28)&lt;H28, OR(Y28="No", Y28="")),"Any Loss Unacceptable ⚠", (IF(U28="Irreplaceable habitat - no units generated ⚠", T28*J28*L28*O28, IF(AND(P28='G-1 All Habitats'!$X$3, AC28&gt;0, S28&lt;=0, T28&lt;=0, OR(Y28="No", Y28="")),"Any Loss Unacceptable ⚠", IF(AND(P28='G-1 All Habitats'!$X$3, AC28&gt;0, S28&lt;=0, T28&lt;=0, Y28="Yes"), 0, (IF(AND(P28='G-1 All Habitats'!$X$3,(S28+T28)&lt;H28, OR(Y28="No", Y28="")),"Any Loss Unacceptable ⚠", (IF(P28="","",IF(AND(P28='G-1 All Habitats'!$X$3,T28&gt;0),U28+V28,IF(AND(P28='G-1 All Habitats'!$X$3,S28&gt;0),U28+V28,H28*J28*L28*O28))))))))))))),"Check Data ▲")</f>
        <v/>
      </c>
      <c r="R28" s="23"/>
      <c r="S28" s="38"/>
      <c r="T28" s="39"/>
      <c r="U28" s="302" t="str">
        <f t="shared" si="1"/>
        <v/>
      </c>
      <c r="V28" s="302" t="str">
        <f t="shared" si="2"/>
        <v/>
      </c>
      <c r="W28" s="302" t="str">
        <f>IF(E28="","",IF(H28&lt;S28+T28,"Error in Areas ▲",IF(P28&lt;&gt;'G-1 All Habitats'!$X$3,H28-S28-T28,IF(AND(P28='G-1 All Habitats'!$X$3,Y28="No"),AC28,IF(AND(P28='G-1 All Habitats'!$X$3,Y28=""),AC28,IF(AND(P28='G-1 All Habitats'!$X$3,AC28="None"),AC28,IF(AND(P28='G-1 All Habitats'!$X$3,AC28&gt;0),H28-S28-T28)))))))</f>
        <v/>
      </c>
      <c r="X28" s="306" t="str">
        <f>IFERROR(IF(H28="","",IF(H28-S28-T28=0&lt;0,"Error in Areas ▲",IF(S28+T28&gt;H28,"Error in Areas ▲",IF(AND(P28='G-1 All Habitats'!$X$3,Y28="Yes"),"Alternative Compensation ✓",IF(W28=0,0,IF(P28='G-1 All Habitats'!$X$3,"Any Loss Unacceptable ▲",Q28-U28-V28)))))),"Check Data ▲")</f>
        <v/>
      </c>
      <c r="Y28" s="39"/>
      <c r="Z28" s="46"/>
      <c r="AA28" s="419"/>
      <c r="AB28" s="101"/>
      <c r="AC28" s="495" t="str">
        <f>IF(OR(P28="", Y28="Yes"),"", IF(P28='G-1 All Habitats'!$X$3,H28-S28-T28,"None"))</f>
        <v/>
      </c>
      <c r="AD28" s="496" t="str">
        <f>IF(P28="","", IF(P28='G-1 All Habitats'!$X$3, AC28*J28*L28*O28,"None"))</f>
        <v/>
      </c>
      <c r="AE28" s="20" t="str">
        <f t="shared" si="3"/>
        <v/>
      </c>
      <c r="AF28" s="25" t="str">
        <f t="shared" si="4"/>
        <v/>
      </c>
      <c r="AG28" s="25" t="str">
        <f t="shared" si="0"/>
        <v/>
      </c>
      <c r="AH28" s="25" t="str">
        <f>IF(I28="","",IF(#REF!&gt;0,TRUE,FALSE))</f>
        <v/>
      </c>
      <c r="AI28" s="25">
        <v>18</v>
      </c>
      <c r="AJ28" s="25"/>
      <c r="AK28" s="25" t="str">
        <f t="array" ref="AK28">IFERROR(INDEX($AI$11:$AI$259, MATCH(0, IF(TRUE=$AF$11:$AF$259, COUNTIF($AK$10:$AK27, $AI$11:$AI$259), ""), 0)),"")</f>
        <v/>
      </c>
      <c r="AL28" s="25" t="str">
        <f t="array" ref="AL28">IFERROR(INDEX($AI$11:$AI$259, MATCH(0, IF(TRUE=$AG$11:$AG$259, COUNTIF($AL$10:$AL27, $AI$11:$AI$259), ""), 0)),"")</f>
        <v/>
      </c>
      <c r="AM28" s="25" t="str">
        <f t="array" ref="AM28">IFERROR(INDEX($AI$11:$AI$259, MATCH(0, IF(TRUE=$AH$11:$AH$259, COUNTIF($AM$10:$AM27, $AI$11:$AI$259), ""), 0)),"")</f>
        <v/>
      </c>
      <c r="AN28" s="25"/>
      <c r="AQ28" s="20">
        <f t="shared" si="5"/>
        <v>0</v>
      </c>
      <c r="AV28" s="540" t="str">
        <f>IFERROR(INDEX('G-1 All Habitats'!$B$3:$B$135,MATCH(F28,'G-1 All Habitats'!$A$3:$A$135,0)),"")</f>
        <v/>
      </c>
      <c r="AW28" s="20" t="str">
        <f>IF(AV28="","",VLOOKUP(AV28,'G-1 All Habitats'!$B$1:$T$135,19,FALSE))</f>
        <v/>
      </c>
    </row>
    <row r="29" spans="1:49" ht="14.5" thickBot="1" x14ac:dyDescent="0.35">
      <c r="A29" s="20" t="str">
        <f>IFERROR(INDEX('G-1 All Habitats'!$AG$3:$AG$17,MATCH(E29,'G-1 All Habitats'!$AF$3:$AF$17,0)),"")</f>
        <v/>
      </c>
      <c r="B29" s="20" t="str">
        <f>IFERROR(INDEX('G-8 Condition Look up'!$I$4:$I$135,MATCH(AV29,'G-8 Condition Look up'!$A$4:$A$135,0)),"")</f>
        <v/>
      </c>
      <c r="D29" s="238">
        <v>19</v>
      </c>
      <c r="E29" s="223"/>
      <c r="F29" s="45"/>
      <c r="G29" s="272"/>
      <c r="H29" s="37"/>
      <c r="I29" s="290" t="str">
        <f>IF(AV29="","",VLOOKUP(AV29,'G-1 All Habitats'!$B$2:$M$135,10,FALSE))</f>
        <v/>
      </c>
      <c r="J29" s="291" t="str">
        <f>IFERROR(VLOOKUP(I29,'G-1 All Habitats'!$V$3:$W$7,2,FALSE),"")</f>
        <v/>
      </c>
      <c r="K29" s="38"/>
      <c r="L29" s="291" t="str">
        <f>IFERROR(INDEX('G-8 Condition Look up'!$A$3:$H$135,MATCH(AV29,'G-8 Condition Look up'!$A$3:$A$135,0),MATCH(K29,'G-8 Condition Look up'!$A$3:$H$3,0)),"")</f>
        <v/>
      </c>
      <c r="M29" s="38"/>
      <c r="N29" s="310" t="str">
        <f>IF(M29="","",IF(VLOOKUP(M29,'G-3 Multipliers'!$L$3:$N$6,2,FALSE)=0,"Spatial Data Missing",VLOOKUP(M29,'G-3 Multipliers'!$L$3:$N$6,2,FALSE)))</f>
        <v/>
      </c>
      <c r="O29" s="296" t="str">
        <f>IF(M29="","",IF(VLOOKUP(M29,'G-3 Multipliers'!$L$3:$N$6,3,FALSE)=0,"Spatial Data Missing ▲",VLOOKUP(M29,'G-3 Multipliers'!$L$3:$N$6,3,FALSE)))</f>
        <v/>
      </c>
      <c r="P29" s="297" t="str">
        <f>(IF(G29="Yes","Bespoke compensation likely to be required 🛠",(IFERROR(VLOOKUP(AV29,'G-1 All Habitats'!$B$2:$M$135,12,FALSE),""))))</f>
        <v/>
      </c>
      <c r="Q29" s="304" t="str">
        <f>IFERROR(IF(AND(E29="Individual trees",T29&gt;0), "Error - you cannot enhance individual trees ▲", (IF(AND(U29="Irreplaceable habitat - no units generated ⚠",(S29+T29)&lt;H29, OR(Y29="No", Y29="")),"Any Loss Unacceptable ⚠", (IF(U29="Irreplaceable habitat - no units generated ⚠", T29*J29*L29*O29, IF(AND(P29='G-1 All Habitats'!$X$3, AC29&gt;0, S29&lt;=0, T29&lt;=0, OR(Y29="No", Y29="")),"Any Loss Unacceptable ⚠", IF(AND(P29='G-1 All Habitats'!$X$3, AC29&gt;0, S29&lt;=0, T29&lt;=0, Y29="Yes"), 0, (IF(AND(P29='G-1 All Habitats'!$X$3,(S29+T29)&lt;H29, OR(Y29="No", Y29="")),"Any Loss Unacceptable ⚠", (IF(P29="","",IF(AND(P29='G-1 All Habitats'!$X$3,T29&gt;0),U29+V29,IF(AND(P29='G-1 All Habitats'!$X$3,S29&gt;0),U29+V29,H29*J29*L29*O29))))))))))))),"Check Data ▲")</f>
        <v/>
      </c>
      <c r="R29" s="23"/>
      <c r="S29" s="38"/>
      <c r="T29" s="39"/>
      <c r="U29" s="302" t="str">
        <f t="shared" si="1"/>
        <v/>
      </c>
      <c r="V29" s="302" t="str">
        <f t="shared" si="2"/>
        <v/>
      </c>
      <c r="W29" s="302" t="str">
        <f>IF(E29="","",IF(H29&lt;S29+T29,"Error in Areas ▲",IF(P29&lt;&gt;'G-1 All Habitats'!$X$3,H29-S29-T29,IF(AND(P29='G-1 All Habitats'!$X$3,Y29="No"),AC29,IF(AND(P29='G-1 All Habitats'!$X$3,Y29=""),AC29,IF(AND(P29='G-1 All Habitats'!$X$3,AC29="None"),AC29,IF(AND(P29='G-1 All Habitats'!$X$3,AC29&gt;0),H29-S29-T29)))))))</f>
        <v/>
      </c>
      <c r="X29" s="306" t="str">
        <f>IFERROR(IF(H29="","",IF(H29-S29-T29=0&lt;0,"Error in Areas ▲",IF(S29+T29&gt;H29,"Error in Areas ▲",IF(AND(P29='G-1 All Habitats'!$X$3,Y29="Yes"),"Alternative Compensation ✓",IF(W29=0,0,IF(P29='G-1 All Habitats'!$X$3,"Any Loss Unacceptable ▲",Q29-U29-V29)))))),"Check Data ▲")</f>
        <v/>
      </c>
      <c r="Y29" s="39"/>
      <c r="Z29" s="46"/>
      <c r="AA29" s="419"/>
      <c r="AB29" s="101"/>
      <c r="AC29" s="495" t="str">
        <f>IF(OR(P29="", Y29="Yes"),"", IF(P29='G-1 All Habitats'!$X$3,H29-S29-T29,"None"))</f>
        <v/>
      </c>
      <c r="AD29" s="496" t="str">
        <f>IF(P29="","", IF(P29='G-1 All Habitats'!$X$3, AC29*J29*L29*O29,"None"))</f>
        <v/>
      </c>
      <c r="AE29" s="20" t="str">
        <f t="shared" si="3"/>
        <v/>
      </c>
      <c r="AF29" s="25" t="str">
        <f t="shared" si="4"/>
        <v/>
      </c>
      <c r="AG29" s="25" t="str">
        <f t="shared" si="0"/>
        <v/>
      </c>
      <c r="AH29" s="25" t="str">
        <f>IF(I29="","",IF(#REF!&gt;0,TRUE,FALSE))</f>
        <v/>
      </c>
      <c r="AI29" s="25">
        <v>19</v>
      </c>
      <c r="AJ29" s="25"/>
      <c r="AK29" s="25" t="str">
        <f t="array" ref="AK29">IFERROR(INDEX($AI$11:$AI$259, MATCH(0, IF(TRUE=$AF$11:$AF$259, COUNTIF($AK$10:$AK28, $AI$11:$AI$259), ""), 0)),"")</f>
        <v/>
      </c>
      <c r="AL29" s="25" t="str">
        <f t="array" ref="AL29">IFERROR(INDEX($AI$11:$AI$259, MATCH(0, IF(TRUE=$AG$11:$AG$259, COUNTIF($AL$10:$AL28, $AI$11:$AI$259), ""), 0)),"")</f>
        <v/>
      </c>
      <c r="AM29" s="25" t="str">
        <f t="array" ref="AM29">IFERROR(INDEX($AI$11:$AI$259, MATCH(0, IF(TRUE=$AH$11:$AH$259, COUNTIF($AM$10:$AM28, $AI$11:$AI$259), ""), 0)),"")</f>
        <v/>
      </c>
      <c r="AN29" s="25"/>
      <c r="AQ29" s="20">
        <f t="shared" si="5"/>
        <v>0</v>
      </c>
      <c r="AV29" s="540" t="str">
        <f>IFERROR(INDEX('G-1 All Habitats'!$B$3:$B$135,MATCH(F29,'G-1 All Habitats'!$A$3:$A$135,0)),"")</f>
        <v/>
      </c>
      <c r="AW29" s="20" t="str">
        <f>IF(AV29="","",VLOOKUP(AV29,'G-1 All Habitats'!$B$1:$T$135,19,FALSE))</f>
        <v/>
      </c>
    </row>
    <row r="30" spans="1:49" ht="14.5" thickBot="1" x14ac:dyDescent="0.35">
      <c r="A30" s="20" t="str">
        <f>IFERROR(INDEX('G-1 All Habitats'!$AG$3:$AG$17,MATCH(E30,'G-1 All Habitats'!$AF$3:$AF$17,0)),"")</f>
        <v/>
      </c>
      <c r="B30" s="20" t="str">
        <f>IFERROR(INDEX('G-8 Condition Look up'!$I$4:$I$135,MATCH(AV30,'G-8 Condition Look up'!$A$4:$A$135,0)),"")</f>
        <v/>
      </c>
      <c r="D30" s="238">
        <v>20</v>
      </c>
      <c r="E30" s="223"/>
      <c r="F30" s="45"/>
      <c r="G30" s="272"/>
      <c r="H30" s="37"/>
      <c r="I30" s="290" t="str">
        <f>IF(AV30="","",VLOOKUP(AV30,'G-1 All Habitats'!$B$2:$M$135,10,FALSE))</f>
        <v/>
      </c>
      <c r="J30" s="291" t="str">
        <f>IFERROR(VLOOKUP(I30,'G-1 All Habitats'!$V$3:$W$7,2,FALSE),"")</f>
        <v/>
      </c>
      <c r="K30" s="38"/>
      <c r="L30" s="291" t="str">
        <f>IFERROR(INDEX('G-8 Condition Look up'!$A$3:$H$135,MATCH(AV30,'G-8 Condition Look up'!$A$3:$A$135,0),MATCH(K30,'G-8 Condition Look up'!$A$3:$H$3,0)),"")</f>
        <v/>
      </c>
      <c r="M30" s="38"/>
      <c r="N30" s="310" t="str">
        <f>IF(M30="","",IF(VLOOKUP(M30,'G-3 Multipliers'!$L$3:$N$6,2,FALSE)=0,"Spatial Data Missing",VLOOKUP(M30,'G-3 Multipliers'!$L$3:$N$6,2,FALSE)))</f>
        <v/>
      </c>
      <c r="O30" s="296" t="str">
        <f>IF(M30="","",IF(VLOOKUP(M30,'G-3 Multipliers'!$L$3:$N$6,3,FALSE)=0,"Spatial Data Missing ▲",VLOOKUP(M30,'G-3 Multipliers'!$L$3:$N$6,3,FALSE)))</f>
        <v/>
      </c>
      <c r="P30" s="297" t="str">
        <f>(IF(G30="Yes","Bespoke compensation likely to be required 🛠",(IFERROR(VLOOKUP(AV30,'G-1 All Habitats'!$B$2:$M$135,12,FALSE),""))))</f>
        <v/>
      </c>
      <c r="Q30" s="304" t="str">
        <f>IFERROR(IF(AND(E30="Individual trees",T30&gt;0), "Error - you cannot enhance individual trees ▲", (IF(AND(U30="Irreplaceable habitat - no units generated ⚠",(S30+T30)&lt;H30, OR(Y30="No", Y30="")),"Any Loss Unacceptable ⚠", (IF(U30="Irreplaceable habitat - no units generated ⚠", T30*J30*L30*O30, IF(AND(P30='G-1 All Habitats'!$X$3, AC30&gt;0, S30&lt;=0, T30&lt;=0, OR(Y30="No", Y30="")),"Any Loss Unacceptable ⚠", IF(AND(P30='G-1 All Habitats'!$X$3, AC30&gt;0, S30&lt;=0, T30&lt;=0, Y30="Yes"), 0, (IF(AND(P30='G-1 All Habitats'!$X$3,(S30+T30)&lt;H30, OR(Y30="No", Y30="")),"Any Loss Unacceptable ⚠", (IF(P30="","",IF(AND(P30='G-1 All Habitats'!$X$3,T30&gt;0),U30+V30,IF(AND(P30='G-1 All Habitats'!$X$3,S30&gt;0),U30+V30,H30*J30*L30*O30))))))))))))),"Check Data ▲")</f>
        <v/>
      </c>
      <c r="R30" s="23"/>
      <c r="S30" s="38"/>
      <c r="T30" s="39"/>
      <c r="U30" s="302" t="str">
        <f t="shared" si="1"/>
        <v/>
      </c>
      <c r="V30" s="302" t="str">
        <f t="shared" si="2"/>
        <v/>
      </c>
      <c r="W30" s="302" t="str">
        <f>IF(E30="","",IF(H30&lt;S30+T30,"Error in Areas ▲",IF(P30&lt;&gt;'G-1 All Habitats'!$X$3,H30-S30-T30,IF(AND(P30='G-1 All Habitats'!$X$3,Y30="No"),AC30,IF(AND(P30='G-1 All Habitats'!$X$3,Y30=""),AC30,IF(AND(P30='G-1 All Habitats'!$X$3,AC30="None"),AC30,IF(AND(P30='G-1 All Habitats'!$X$3,AC30&gt;0),H30-S30-T30)))))))</f>
        <v/>
      </c>
      <c r="X30" s="306" t="str">
        <f>IFERROR(IF(H30="","",IF(H30-S30-T30=0&lt;0,"Error in Areas ▲",IF(S30+T30&gt;H30,"Error in Areas ▲",IF(AND(P30='G-1 All Habitats'!$X$3,Y30="Yes"),"Alternative Compensation ✓",IF(W30=0,0,IF(P30='G-1 All Habitats'!$X$3,"Any Loss Unacceptable ▲",Q30-U30-V30)))))),"Check Data ▲")</f>
        <v/>
      </c>
      <c r="Y30" s="39"/>
      <c r="Z30" s="46"/>
      <c r="AA30" s="419"/>
      <c r="AB30" s="101"/>
      <c r="AC30" s="495" t="str">
        <f>IF(OR(P30="", Y30="Yes"),"", IF(P30='G-1 All Habitats'!$X$3,H30-S30-T30,"None"))</f>
        <v/>
      </c>
      <c r="AD30" s="496" t="str">
        <f>IF(P30="","", IF(P30='G-1 All Habitats'!$X$3, AC30*J30*L30*O30,"None"))</f>
        <v/>
      </c>
      <c r="AE30" s="20" t="str">
        <f t="shared" si="3"/>
        <v/>
      </c>
      <c r="AF30" s="25" t="str">
        <f t="shared" si="4"/>
        <v/>
      </c>
      <c r="AG30" s="25" t="str">
        <f t="shared" si="0"/>
        <v/>
      </c>
      <c r="AH30" s="25" t="str">
        <f>IF(I30="","",IF(#REF!&gt;0,TRUE,FALSE))</f>
        <v/>
      </c>
      <c r="AI30" s="25">
        <v>20</v>
      </c>
      <c r="AJ30" s="25"/>
      <c r="AK30" s="25" t="str">
        <f t="array" ref="AK30">IFERROR(INDEX($AI$11:$AI$259, MATCH(0, IF(TRUE=$AF$11:$AF$259, COUNTIF($AK$10:$AK29, $AI$11:$AI$259), ""), 0)),"")</f>
        <v/>
      </c>
      <c r="AL30" s="25" t="str">
        <f t="array" ref="AL30">IFERROR(INDEX($AI$11:$AI$259, MATCH(0, IF(TRUE=$AG$11:$AG$259, COUNTIF($AL$10:$AL29, $AI$11:$AI$259), ""), 0)),"")</f>
        <v/>
      </c>
      <c r="AM30" s="25" t="str">
        <f t="array" ref="AM30">IFERROR(INDEX($AI$11:$AI$259, MATCH(0, IF(TRUE=$AH$11:$AH$259, COUNTIF($AM$10:$AM29, $AI$11:$AI$259), ""), 0)),"")</f>
        <v/>
      </c>
      <c r="AN30" s="25"/>
      <c r="AQ30" s="20">
        <f t="shared" si="5"/>
        <v>0</v>
      </c>
      <c r="AV30" s="540" t="str">
        <f>IFERROR(INDEX('G-1 All Habitats'!$B$3:$B$135,MATCH(F30,'G-1 All Habitats'!$A$3:$A$135,0)),"")</f>
        <v/>
      </c>
      <c r="AW30" s="20" t="str">
        <f>IF(AV30="","",VLOOKUP(AV30,'G-1 All Habitats'!$B$1:$T$135,19,FALSE))</f>
        <v/>
      </c>
    </row>
    <row r="31" spans="1:49" ht="14.5" thickBot="1" x14ac:dyDescent="0.35">
      <c r="A31" s="20" t="str">
        <f>IFERROR(INDEX('G-1 All Habitats'!$AG$3:$AG$17,MATCH(E31,'G-1 All Habitats'!$AF$3:$AF$17,0)),"")</f>
        <v/>
      </c>
      <c r="B31" s="20" t="str">
        <f>IFERROR(INDEX('G-8 Condition Look up'!$I$4:$I$135,MATCH(AV31,'G-8 Condition Look up'!$A$4:$A$135,0)),"")</f>
        <v/>
      </c>
      <c r="D31" s="238">
        <v>21</v>
      </c>
      <c r="E31" s="223"/>
      <c r="F31" s="45"/>
      <c r="G31" s="272"/>
      <c r="H31" s="37"/>
      <c r="I31" s="290" t="str">
        <f>IF(AV31="","",VLOOKUP(AV31,'G-1 All Habitats'!$B$2:$M$135,10,FALSE))</f>
        <v/>
      </c>
      <c r="J31" s="291" t="str">
        <f>IFERROR(VLOOKUP(I31,'G-1 All Habitats'!$V$3:$W$7,2,FALSE),"")</f>
        <v/>
      </c>
      <c r="K31" s="38"/>
      <c r="L31" s="291" t="str">
        <f>IFERROR(INDEX('G-8 Condition Look up'!$A$3:$H$135,MATCH(AV31,'G-8 Condition Look up'!$A$3:$A$135,0),MATCH(K31,'G-8 Condition Look up'!$A$3:$H$3,0)),"")</f>
        <v/>
      </c>
      <c r="M31" s="38"/>
      <c r="N31" s="310" t="str">
        <f>IF(M31="","",IF(VLOOKUP(M31,'G-3 Multipliers'!$L$3:$N$6,2,FALSE)=0,"Spatial Data Missing",VLOOKUP(M31,'G-3 Multipliers'!$L$3:$N$6,2,FALSE)))</f>
        <v/>
      </c>
      <c r="O31" s="296" t="str">
        <f>IF(M31="","",IF(VLOOKUP(M31,'G-3 Multipliers'!$L$3:$N$6,3,FALSE)=0,"Spatial Data Missing ▲",VLOOKUP(M31,'G-3 Multipliers'!$L$3:$N$6,3,FALSE)))</f>
        <v/>
      </c>
      <c r="P31" s="297" t="str">
        <f>(IF(G31="Yes","Bespoke compensation likely to be required 🛠",(IFERROR(VLOOKUP(AV31,'G-1 All Habitats'!$B$2:$M$135,12,FALSE),""))))</f>
        <v/>
      </c>
      <c r="Q31" s="304" t="str">
        <f>IFERROR(IF(AND(E31="Individual trees",T31&gt;0), "Error - you cannot enhance individual trees ▲", (IF(AND(U31="Irreplaceable habitat - no units generated ⚠",(S31+T31)&lt;H31, OR(Y31="No", Y31="")),"Any Loss Unacceptable ⚠", (IF(U31="Irreplaceable habitat - no units generated ⚠", T31*J31*L31*O31, IF(AND(P31='G-1 All Habitats'!$X$3, AC31&gt;0, S31&lt;=0, T31&lt;=0, OR(Y31="No", Y31="")),"Any Loss Unacceptable ⚠", IF(AND(P31='G-1 All Habitats'!$X$3, AC31&gt;0, S31&lt;=0, T31&lt;=0, Y31="Yes"), 0, (IF(AND(P31='G-1 All Habitats'!$X$3,(S31+T31)&lt;H31, OR(Y31="No", Y31="")),"Any Loss Unacceptable ⚠", (IF(P31="","",IF(AND(P31='G-1 All Habitats'!$X$3,T31&gt;0),U31+V31,IF(AND(P31='G-1 All Habitats'!$X$3,S31&gt;0),U31+V31,H31*J31*L31*O31))))))))))))),"Check Data ▲")</f>
        <v/>
      </c>
      <c r="R31" s="23"/>
      <c r="S31" s="38"/>
      <c r="T31" s="39"/>
      <c r="U31" s="302" t="str">
        <f t="shared" si="1"/>
        <v/>
      </c>
      <c r="V31" s="302" t="str">
        <f t="shared" si="2"/>
        <v/>
      </c>
      <c r="W31" s="302" t="str">
        <f>IF(E31="","",IF(H31&lt;S31+T31,"Error in Areas ▲",IF(P31&lt;&gt;'G-1 All Habitats'!$X$3,H31-S31-T31,IF(AND(P31='G-1 All Habitats'!$X$3,Y31="No"),AC31,IF(AND(P31='G-1 All Habitats'!$X$3,Y31=""),AC31,IF(AND(P31='G-1 All Habitats'!$X$3,AC31="None"),AC31,IF(AND(P31='G-1 All Habitats'!$X$3,AC31&gt;0),H31-S31-T31)))))))</f>
        <v/>
      </c>
      <c r="X31" s="306" t="str">
        <f>IFERROR(IF(H31="","",IF(H31-S31-T31=0&lt;0,"Error in Areas ▲",IF(S31+T31&gt;H31,"Error in Areas ▲",IF(AND(P31='G-1 All Habitats'!$X$3,Y31="Yes"),"Alternative Compensation ✓",IF(W31=0,0,IF(P31='G-1 All Habitats'!$X$3,"Any Loss Unacceptable ▲",Q31-U31-V31)))))),"Check Data ▲")</f>
        <v/>
      </c>
      <c r="Y31" s="39"/>
      <c r="Z31" s="46"/>
      <c r="AA31" s="419"/>
      <c r="AB31" s="101"/>
      <c r="AC31" s="495" t="str">
        <f>IF(OR(P31="", Y31="Yes"),"", IF(P31='G-1 All Habitats'!$X$3,H31-S31-T31,"None"))</f>
        <v/>
      </c>
      <c r="AD31" s="496" t="str">
        <f>IF(P31="","", IF(P31='G-1 All Habitats'!$X$3, AC31*J31*L31*O31,"None"))</f>
        <v/>
      </c>
      <c r="AE31" s="20" t="str">
        <f t="shared" si="3"/>
        <v/>
      </c>
      <c r="AF31" s="25" t="str">
        <f t="shared" si="4"/>
        <v/>
      </c>
      <c r="AG31" s="25" t="str">
        <f t="shared" si="0"/>
        <v/>
      </c>
      <c r="AH31" s="25" t="str">
        <f>IF(I31="","",IF(#REF!&gt;0,TRUE,FALSE))</f>
        <v/>
      </c>
      <c r="AI31" s="25">
        <v>21</v>
      </c>
      <c r="AJ31" s="25"/>
      <c r="AK31" s="25" t="str">
        <f t="array" ref="AK31">IFERROR(INDEX($AI$11:$AI$259, MATCH(0, IF(TRUE=$AF$11:$AF$259, COUNTIF($AK$10:$AK30, $AI$11:$AI$259), ""), 0)),"")</f>
        <v/>
      </c>
      <c r="AL31" s="25" t="str">
        <f t="array" ref="AL31">IFERROR(INDEX($AI$11:$AI$259, MATCH(0, IF(TRUE=$AG$11:$AG$259, COUNTIF($AL$10:$AL30, $AI$11:$AI$259), ""), 0)),"")</f>
        <v/>
      </c>
      <c r="AM31" s="25" t="str">
        <f t="array" ref="AM31">IFERROR(INDEX($AI$11:$AI$259, MATCH(0, IF(TRUE=$AH$11:$AH$259, COUNTIF($AM$10:$AM30, $AI$11:$AI$259), ""), 0)),"")</f>
        <v/>
      </c>
      <c r="AN31" s="25"/>
      <c r="AQ31" s="20">
        <f t="shared" si="5"/>
        <v>0</v>
      </c>
      <c r="AV31" s="540" t="str">
        <f>IFERROR(INDEX('G-1 All Habitats'!$B$3:$B$135,MATCH(F31,'G-1 All Habitats'!$A$3:$A$135,0)),"")</f>
        <v/>
      </c>
      <c r="AW31" s="20" t="str">
        <f>IF(AV31="","",VLOOKUP(AV31,'G-1 All Habitats'!$B$1:$T$135,19,FALSE))</f>
        <v/>
      </c>
    </row>
    <row r="32" spans="1:49" ht="14.5" thickBot="1" x14ac:dyDescent="0.35">
      <c r="A32" s="20" t="str">
        <f>IFERROR(INDEX('G-1 All Habitats'!$AG$3:$AG$17,MATCH(E32,'G-1 All Habitats'!$AF$3:$AF$17,0)),"")</f>
        <v/>
      </c>
      <c r="B32" s="20" t="str">
        <f>IFERROR(INDEX('G-8 Condition Look up'!$I$4:$I$135,MATCH(AV32,'G-8 Condition Look up'!$A$4:$A$135,0)),"")</f>
        <v/>
      </c>
      <c r="D32" s="238">
        <v>22</v>
      </c>
      <c r="E32" s="223"/>
      <c r="F32" s="45"/>
      <c r="G32" s="272"/>
      <c r="H32" s="37"/>
      <c r="I32" s="290" t="str">
        <f>IF(AV32="","",VLOOKUP(AV32,'G-1 All Habitats'!$B$2:$M$135,10,FALSE))</f>
        <v/>
      </c>
      <c r="J32" s="291" t="str">
        <f>IFERROR(VLOOKUP(I32,'G-1 All Habitats'!$V$3:$W$7,2,FALSE),"")</f>
        <v/>
      </c>
      <c r="K32" s="38"/>
      <c r="L32" s="291" t="str">
        <f>IFERROR(INDEX('G-8 Condition Look up'!$A$3:$H$135,MATCH(AV32,'G-8 Condition Look up'!$A$3:$A$135,0),MATCH(K32,'G-8 Condition Look up'!$A$3:$H$3,0)),"")</f>
        <v/>
      </c>
      <c r="M32" s="38"/>
      <c r="N32" s="310" t="str">
        <f>IF(M32="","",IF(VLOOKUP(M32,'G-3 Multipliers'!$L$3:$N$6,2,FALSE)=0,"Spatial Data Missing",VLOOKUP(M32,'G-3 Multipliers'!$L$3:$N$6,2,FALSE)))</f>
        <v/>
      </c>
      <c r="O32" s="296" t="str">
        <f>IF(M32="","",IF(VLOOKUP(M32,'G-3 Multipliers'!$L$3:$N$6,3,FALSE)=0,"Spatial Data Missing ▲",VLOOKUP(M32,'G-3 Multipliers'!$L$3:$N$6,3,FALSE)))</f>
        <v/>
      </c>
      <c r="P32" s="297" t="str">
        <f>(IF(G32="Yes","Bespoke compensation likely to be required 🛠",(IFERROR(VLOOKUP(AV32,'G-1 All Habitats'!$B$2:$M$135,12,FALSE),""))))</f>
        <v/>
      </c>
      <c r="Q32" s="304" t="str">
        <f>IFERROR(IF(AND(E32="Individual trees",T32&gt;0), "Error - you cannot enhance individual trees ▲", (IF(AND(U32="Irreplaceable habitat - no units generated ⚠",(S32+T32)&lt;H32, OR(Y32="No", Y32="")),"Any Loss Unacceptable ⚠", (IF(U32="Irreplaceable habitat - no units generated ⚠", T32*J32*L32*O32, IF(AND(P32='G-1 All Habitats'!$X$3, AC32&gt;0, S32&lt;=0, T32&lt;=0, OR(Y32="No", Y32="")),"Any Loss Unacceptable ⚠", IF(AND(P32='G-1 All Habitats'!$X$3, AC32&gt;0, S32&lt;=0, T32&lt;=0, Y32="Yes"), 0, (IF(AND(P32='G-1 All Habitats'!$X$3,(S32+T32)&lt;H32, OR(Y32="No", Y32="")),"Any Loss Unacceptable ⚠", (IF(P32="","",IF(AND(P32='G-1 All Habitats'!$X$3,T32&gt;0),U32+V32,IF(AND(P32='G-1 All Habitats'!$X$3,S32&gt;0),U32+V32,H32*J32*L32*O32))))))))))))),"Check Data ▲")</f>
        <v/>
      </c>
      <c r="R32" s="23"/>
      <c r="S32" s="38"/>
      <c r="T32" s="39"/>
      <c r="U32" s="302" t="str">
        <f t="shared" si="1"/>
        <v/>
      </c>
      <c r="V32" s="302" t="str">
        <f t="shared" si="2"/>
        <v/>
      </c>
      <c r="W32" s="302" t="str">
        <f>IF(E32="","",IF(H32&lt;S32+T32,"Error in Areas ▲",IF(P32&lt;&gt;'G-1 All Habitats'!$X$3,H32-S32-T32,IF(AND(P32='G-1 All Habitats'!$X$3,Y32="No"),AC32,IF(AND(P32='G-1 All Habitats'!$X$3,Y32=""),AC32,IF(AND(P32='G-1 All Habitats'!$X$3,AC32="None"),AC32,IF(AND(P32='G-1 All Habitats'!$X$3,AC32&gt;0),H32-S32-T32)))))))</f>
        <v/>
      </c>
      <c r="X32" s="306" t="str">
        <f>IFERROR(IF(H32="","",IF(H32-S32-T32=0&lt;0,"Error in Areas ▲",IF(S32+T32&gt;H32,"Error in Areas ▲",IF(AND(P32='G-1 All Habitats'!$X$3,Y32="Yes"),"Alternative Compensation ✓",IF(W32=0,0,IF(P32='G-1 All Habitats'!$X$3,"Any Loss Unacceptable ▲",Q32-U32-V32)))))),"Check Data ▲")</f>
        <v/>
      </c>
      <c r="Y32" s="39"/>
      <c r="Z32" s="46"/>
      <c r="AA32" s="419"/>
      <c r="AB32" s="101"/>
      <c r="AC32" s="495" t="str">
        <f>IF(OR(P32="", Y32="Yes"),"", IF(P32='G-1 All Habitats'!$X$3,H32-S32-T32,"None"))</f>
        <v/>
      </c>
      <c r="AD32" s="496" t="str">
        <f>IF(P32="","", IF(P32='G-1 All Habitats'!$X$3, AC32*J32*L32*O32,"None"))</f>
        <v/>
      </c>
      <c r="AE32" s="20" t="str">
        <f t="shared" si="3"/>
        <v/>
      </c>
      <c r="AF32" s="25" t="str">
        <f t="shared" si="4"/>
        <v/>
      </c>
      <c r="AG32" s="25" t="str">
        <f t="shared" si="0"/>
        <v/>
      </c>
      <c r="AH32" s="25" t="str">
        <f>IF(I32="","",IF(#REF!&gt;0,TRUE,FALSE))</f>
        <v/>
      </c>
      <c r="AI32" s="25">
        <v>22</v>
      </c>
      <c r="AJ32" s="25"/>
      <c r="AK32" s="25" t="str">
        <f t="array" ref="AK32">IFERROR(INDEX($AI$11:$AI$259, MATCH(0, IF(TRUE=$AF$11:$AF$259, COUNTIF($AK$10:$AK31, $AI$11:$AI$259), ""), 0)),"")</f>
        <v/>
      </c>
      <c r="AL32" s="25" t="str">
        <f t="array" ref="AL32">IFERROR(INDEX($AI$11:$AI$259, MATCH(0, IF(TRUE=$AG$11:$AG$259, COUNTIF($AL$10:$AL31, $AI$11:$AI$259), ""), 0)),"")</f>
        <v/>
      </c>
      <c r="AM32" s="25" t="str">
        <f t="array" ref="AM32">IFERROR(INDEX($AI$11:$AI$259, MATCH(0, IF(TRUE=$AH$11:$AH$259, COUNTIF($AM$10:$AM31, $AI$11:$AI$259), ""), 0)),"")</f>
        <v/>
      </c>
      <c r="AN32" s="25"/>
      <c r="AQ32" s="20">
        <f t="shared" si="5"/>
        <v>0</v>
      </c>
      <c r="AV32" s="540" t="str">
        <f>IFERROR(INDEX('G-1 All Habitats'!$B$3:$B$135,MATCH(F32,'G-1 All Habitats'!$A$3:$A$135,0)),"")</f>
        <v/>
      </c>
      <c r="AW32" s="20" t="str">
        <f>IF(AV32="","",VLOOKUP(AV32,'G-1 All Habitats'!$B$1:$T$135,19,FALSE))</f>
        <v/>
      </c>
    </row>
    <row r="33" spans="1:49" ht="14.5" thickBot="1" x14ac:dyDescent="0.35">
      <c r="A33" s="20" t="str">
        <f>IFERROR(INDEX('G-1 All Habitats'!$AG$3:$AG$17,MATCH(E33,'G-1 All Habitats'!$AF$3:$AF$17,0)),"")</f>
        <v/>
      </c>
      <c r="B33" s="20" t="str">
        <f>IFERROR(INDEX('G-8 Condition Look up'!$I$4:$I$135,MATCH(AV33,'G-8 Condition Look up'!$A$4:$A$135,0)),"")</f>
        <v/>
      </c>
      <c r="D33" s="238">
        <v>23</v>
      </c>
      <c r="E33" s="223"/>
      <c r="F33" s="45"/>
      <c r="G33" s="272"/>
      <c r="H33" s="37"/>
      <c r="I33" s="290" t="str">
        <f>IF(AV33="","",VLOOKUP(AV33,'G-1 All Habitats'!$B$2:$M$135,10,FALSE))</f>
        <v/>
      </c>
      <c r="J33" s="291" t="str">
        <f>IFERROR(VLOOKUP(I33,'G-1 All Habitats'!$V$3:$W$7,2,FALSE),"")</f>
        <v/>
      </c>
      <c r="K33" s="38"/>
      <c r="L33" s="291" t="str">
        <f>IFERROR(INDEX('G-8 Condition Look up'!$A$3:$H$135,MATCH(AV33,'G-8 Condition Look up'!$A$3:$A$135,0),MATCH(K33,'G-8 Condition Look up'!$A$3:$H$3,0)),"")</f>
        <v/>
      </c>
      <c r="M33" s="38"/>
      <c r="N33" s="310" t="str">
        <f>IF(M33="","",IF(VLOOKUP(M33,'G-3 Multipliers'!$L$3:$N$6,2,FALSE)=0,"Spatial Data Missing",VLOOKUP(M33,'G-3 Multipliers'!$L$3:$N$6,2,FALSE)))</f>
        <v/>
      </c>
      <c r="O33" s="296" t="str">
        <f>IF(M33="","",IF(VLOOKUP(M33,'G-3 Multipliers'!$L$3:$N$6,3,FALSE)=0,"Spatial Data Missing ▲",VLOOKUP(M33,'G-3 Multipliers'!$L$3:$N$6,3,FALSE)))</f>
        <v/>
      </c>
      <c r="P33" s="297" t="str">
        <f>(IF(G33="Yes","Bespoke compensation likely to be required 🛠",(IFERROR(VLOOKUP(AV33,'G-1 All Habitats'!$B$2:$M$135,12,FALSE),""))))</f>
        <v/>
      </c>
      <c r="Q33" s="304" t="str">
        <f>IFERROR(IF(AND(E33="Individual trees",T33&gt;0), "Error - you cannot enhance individual trees ▲", (IF(AND(U33="Irreplaceable habitat - no units generated ⚠",(S33+T33)&lt;H33, OR(Y33="No", Y33="")),"Any Loss Unacceptable ⚠", (IF(U33="Irreplaceable habitat - no units generated ⚠", T33*J33*L33*O33, IF(AND(P33='G-1 All Habitats'!$X$3, AC33&gt;0, S33&lt;=0, T33&lt;=0, OR(Y33="No", Y33="")),"Any Loss Unacceptable ⚠", IF(AND(P33='G-1 All Habitats'!$X$3, AC33&gt;0, S33&lt;=0, T33&lt;=0, Y33="Yes"), 0, (IF(AND(P33='G-1 All Habitats'!$X$3,(S33+T33)&lt;H33, OR(Y33="No", Y33="")),"Any Loss Unacceptable ⚠", (IF(P33="","",IF(AND(P33='G-1 All Habitats'!$X$3,T33&gt;0),U33+V33,IF(AND(P33='G-1 All Habitats'!$X$3,S33&gt;0),U33+V33,H33*J33*L33*O33))))))))))))),"Check Data ▲")</f>
        <v/>
      </c>
      <c r="R33" s="23"/>
      <c r="S33" s="38"/>
      <c r="T33" s="39"/>
      <c r="U33" s="302" t="str">
        <f t="shared" si="1"/>
        <v/>
      </c>
      <c r="V33" s="302" t="str">
        <f t="shared" si="2"/>
        <v/>
      </c>
      <c r="W33" s="302" t="str">
        <f>IF(E33="","",IF(H33&lt;S33+T33,"Error in Areas ▲",IF(P33&lt;&gt;'G-1 All Habitats'!$X$3,H33-S33-T33,IF(AND(P33='G-1 All Habitats'!$X$3,Y33="No"),AC33,IF(AND(P33='G-1 All Habitats'!$X$3,Y33=""),AC33,IF(AND(P33='G-1 All Habitats'!$X$3,AC33="None"),AC33,IF(AND(P33='G-1 All Habitats'!$X$3,AC33&gt;0),H33-S33-T33)))))))</f>
        <v/>
      </c>
      <c r="X33" s="306" t="str">
        <f>IFERROR(IF(H33="","",IF(H33-S33-T33=0&lt;0,"Error in Areas ▲",IF(S33+T33&gt;H33,"Error in Areas ▲",IF(AND(P33='G-1 All Habitats'!$X$3,Y33="Yes"),"Alternative Compensation ✓",IF(W33=0,0,IF(P33='G-1 All Habitats'!$X$3,"Any Loss Unacceptable ▲",Q33-U33-V33)))))),"Check Data ▲")</f>
        <v/>
      </c>
      <c r="Y33" s="39"/>
      <c r="Z33" s="46"/>
      <c r="AA33" s="419"/>
      <c r="AB33" s="101"/>
      <c r="AC33" s="495" t="str">
        <f>IF(OR(P33="", Y33="Yes"),"", IF(P33='G-1 All Habitats'!$X$3,H33-S33-T33,"None"))</f>
        <v/>
      </c>
      <c r="AD33" s="496" t="str">
        <f>IF(P33="","", IF(P33='G-1 All Habitats'!$X$3, AC33*J33*L33*O33,"None"))</f>
        <v/>
      </c>
      <c r="AE33" s="20" t="str">
        <f t="shared" si="3"/>
        <v/>
      </c>
      <c r="AF33" s="25" t="str">
        <f t="shared" si="4"/>
        <v/>
      </c>
      <c r="AG33" s="25" t="str">
        <f t="shared" si="0"/>
        <v/>
      </c>
      <c r="AH33" s="25" t="str">
        <f>IF(I33="","",IF(#REF!&gt;0,TRUE,FALSE))</f>
        <v/>
      </c>
      <c r="AI33" s="25">
        <v>23</v>
      </c>
      <c r="AJ33" s="25"/>
      <c r="AK33" s="25" t="str">
        <f t="array" ref="AK33">IFERROR(INDEX($AI$11:$AI$259, MATCH(0, IF(TRUE=$AF$11:$AF$259, COUNTIF($AK$10:$AK32, $AI$11:$AI$259), ""), 0)),"")</f>
        <v/>
      </c>
      <c r="AL33" s="25" t="str">
        <f t="array" ref="AL33">IFERROR(INDEX($AI$11:$AI$259, MATCH(0, IF(TRUE=$AG$11:$AG$259, COUNTIF($AL$10:$AL32, $AI$11:$AI$259), ""), 0)),"")</f>
        <v/>
      </c>
      <c r="AM33" s="25" t="str">
        <f t="array" ref="AM33">IFERROR(INDEX($AI$11:$AI$259, MATCH(0, IF(TRUE=$AH$11:$AH$259, COUNTIF($AM$10:$AM32, $AI$11:$AI$259), ""), 0)),"")</f>
        <v/>
      </c>
      <c r="AN33" s="25"/>
      <c r="AQ33" s="20">
        <f t="shared" si="5"/>
        <v>0</v>
      </c>
      <c r="AV33" s="540" t="str">
        <f>IFERROR(INDEX('G-1 All Habitats'!$B$3:$B$135,MATCH(F33,'G-1 All Habitats'!$A$3:$A$135,0)),"")</f>
        <v/>
      </c>
      <c r="AW33" s="20" t="str">
        <f>IF(AV33="","",VLOOKUP(AV33,'G-1 All Habitats'!$B$1:$T$135,19,FALSE))</f>
        <v/>
      </c>
    </row>
    <row r="34" spans="1:49" ht="14.5" thickBot="1" x14ac:dyDescent="0.35">
      <c r="A34" s="20" t="str">
        <f>IFERROR(INDEX('G-1 All Habitats'!$AG$3:$AG$17,MATCH(E34,'G-1 All Habitats'!$AF$3:$AF$17,0)),"")</f>
        <v/>
      </c>
      <c r="B34" s="20" t="str">
        <f>IFERROR(INDEX('G-8 Condition Look up'!$I$4:$I$135,MATCH(AV34,'G-8 Condition Look up'!$A$4:$A$135,0)),"")</f>
        <v/>
      </c>
      <c r="D34" s="238">
        <v>24</v>
      </c>
      <c r="E34" s="223"/>
      <c r="F34" s="45"/>
      <c r="G34" s="272"/>
      <c r="H34" s="37"/>
      <c r="I34" s="290" t="str">
        <f>IF(AV34="","",VLOOKUP(AV34,'G-1 All Habitats'!$B$2:$M$135,10,FALSE))</f>
        <v/>
      </c>
      <c r="J34" s="291" t="str">
        <f>IFERROR(VLOOKUP(I34,'G-1 All Habitats'!$V$3:$W$7,2,FALSE),"")</f>
        <v/>
      </c>
      <c r="K34" s="38"/>
      <c r="L34" s="291" t="str">
        <f>IFERROR(INDEX('G-8 Condition Look up'!$A$3:$H$135,MATCH(AV34,'G-8 Condition Look up'!$A$3:$A$135,0),MATCH(K34,'G-8 Condition Look up'!$A$3:$H$3,0)),"")</f>
        <v/>
      </c>
      <c r="M34" s="38"/>
      <c r="N34" s="310" t="str">
        <f>IF(M34="","",IF(VLOOKUP(M34,'G-3 Multipliers'!$L$3:$N$6,2,FALSE)=0,"Spatial Data Missing",VLOOKUP(M34,'G-3 Multipliers'!$L$3:$N$6,2,FALSE)))</f>
        <v/>
      </c>
      <c r="O34" s="296" t="str">
        <f>IF(M34="","",IF(VLOOKUP(M34,'G-3 Multipliers'!$L$3:$N$6,3,FALSE)=0,"Spatial Data Missing ▲",VLOOKUP(M34,'G-3 Multipliers'!$L$3:$N$6,3,FALSE)))</f>
        <v/>
      </c>
      <c r="P34" s="297" t="str">
        <f>(IF(G34="Yes","Bespoke compensation likely to be required 🛠",(IFERROR(VLOOKUP(AV34,'G-1 All Habitats'!$B$2:$M$135,12,FALSE),""))))</f>
        <v/>
      </c>
      <c r="Q34" s="304" t="str">
        <f>IFERROR(IF(AND(E34="Individual trees",T34&gt;0), "Error - you cannot enhance individual trees ▲", (IF(AND(U34="Irreplaceable habitat - no units generated ⚠",(S34+T34)&lt;H34, OR(Y34="No", Y34="")),"Any Loss Unacceptable ⚠", (IF(U34="Irreplaceable habitat - no units generated ⚠", T34*J34*L34*O34, IF(AND(P34='G-1 All Habitats'!$X$3, AC34&gt;0, S34&lt;=0, T34&lt;=0, OR(Y34="No", Y34="")),"Any Loss Unacceptable ⚠", IF(AND(P34='G-1 All Habitats'!$X$3, AC34&gt;0, S34&lt;=0, T34&lt;=0, Y34="Yes"), 0, (IF(AND(P34='G-1 All Habitats'!$X$3,(S34+T34)&lt;H34, OR(Y34="No", Y34="")),"Any Loss Unacceptable ⚠", (IF(P34="","",IF(AND(P34='G-1 All Habitats'!$X$3,T34&gt;0),U34+V34,IF(AND(P34='G-1 All Habitats'!$X$3,S34&gt;0),U34+V34,H34*J34*L34*O34))))))))))))),"Check Data ▲")</f>
        <v/>
      </c>
      <c r="R34" s="23"/>
      <c r="S34" s="38"/>
      <c r="T34" s="39"/>
      <c r="U34" s="302" t="str">
        <f t="shared" si="1"/>
        <v/>
      </c>
      <c r="V34" s="302" t="str">
        <f t="shared" si="2"/>
        <v/>
      </c>
      <c r="W34" s="302" t="str">
        <f>IF(E34="","",IF(H34&lt;S34+T34,"Error in Areas ▲",IF(P34&lt;&gt;'G-1 All Habitats'!$X$3,H34-S34-T34,IF(AND(P34='G-1 All Habitats'!$X$3,Y34="No"),AC34,IF(AND(P34='G-1 All Habitats'!$X$3,Y34=""),AC34,IF(AND(P34='G-1 All Habitats'!$X$3,AC34="None"),AC34,IF(AND(P34='G-1 All Habitats'!$X$3,AC34&gt;0),H34-S34-T34)))))))</f>
        <v/>
      </c>
      <c r="X34" s="306" t="str">
        <f>IFERROR(IF(H34="","",IF(H34-S34-T34=0&lt;0,"Error in Areas ▲",IF(S34+T34&gt;H34,"Error in Areas ▲",IF(AND(P34='G-1 All Habitats'!$X$3,Y34="Yes"),"Alternative Compensation ✓",IF(W34=0,0,IF(P34='G-1 All Habitats'!$X$3,"Any Loss Unacceptable ▲",Q34-U34-V34)))))),"Check Data ▲")</f>
        <v/>
      </c>
      <c r="Y34" s="39"/>
      <c r="Z34" s="46"/>
      <c r="AA34" s="419"/>
      <c r="AB34" s="101"/>
      <c r="AC34" s="495" t="str">
        <f>IF(OR(P34="", Y34="Yes"),"", IF(P34='G-1 All Habitats'!$X$3,H34-S34-T34,"None"))</f>
        <v/>
      </c>
      <c r="AD34" s="496" t="str">
        <f>IF(P34="","", IF(P34='G-1 All Habitats'!$X$3, AC34*J34*L34*O34,"None"))</f>
        <v/>
      </c>
      <c r="AE34" s="20" t="str">
        <f t="shared" si="3"/>
        <v/>
      </c>
      <c r="AF34" s="25" t="str">
        <f t="shared" si="4"/>
        <v/>
      </c>
      <c r="AG34" s="25" t="str">
        <f t="shared" si="0"/>
        <v/>
      </c>
      <c r="AH34" s="25" t="str">
        <f>IF(I34="","",IF(#REF!&gt;0,TRUE,FALSE))</f>
        <v/>
      </c>
      <c r="AI34" s="25">
        <v>24</v>
      </c>
      <c r="AJ34" s="25"/>
      <c r="AK34" s="25" t="str">
        <f t="array" ref="AK34">IFERROR(INDEX($AI$11:$AI$259, MATCH(0, IF(TRUE=$AF$11:$AF$259, COUNTIF($AK$10:$AK33, $AI$11:$AI$259), ""), 0)),"")</f>
        <v/>
      </c>
      <c r="AL34" s="25" t="str">
        <f t="array" ref="AL34">IFERROR(INDEX($AI$11:$AI$259, MATCH(0, IF(TRUE=$AG$11:$AG$259, COUNTIF($AL$10:$AL33, $AI$11:$AI$259), ""), 0)),"")</f>
        <v/>
      </c>
      <c r="AM34" s="25" t="str">
        <f t="array" ref="AM34">IFERROR(INDEX($AI$11:$AI$259, MATCH(0, IF(TRUE=$AH$11:$AH$259, COUNTIF($AM$10:$AM33, $AI$11:$AI$259), ""), 0)),"")</f>
        <v/>
      </c>
      <c r="AN34" s="25"/>
      <c r="AQ34" s="20">
        <f t="shared" si="5"/>
        <v>0</v>
      </c>
      <c r="AV34" s="540" t="str">
        <f>IFERROR(INDEX('G-1 All Habitats'!$B$3:$B$135,MATCH(F34,'G-1 All Habitats'!$A$3:$A$135,0)),"")</f>
        <v/>
      </c>
      <c r="AW34" s="20" t="str">
        <f>IF(AV34="","",VLOOKUP(AV34,'G-1 All Habitats'!$B$1:$T$135,19,FALSE))</f>
        <v/>
      </c>
    </row>
    <row r="35" spans="1:49" ht="14.5" thickBot="1" x14ac:dyDescent="0.35">
      <c r="A35" s="20" t="str">
        <f>IFERROR(INDEX('G-1 All Habitats'!$AG$3:$AG$17,MATCH(E35,'G-1 All Habitats'!$AF$3:$AF$17,0)),"")</f>
        <v/>
      </c>
      <c r="B35" s="20" t="str">
        <f>IFERROR(INDEX('G-8 Condition Look up'!$I$4:$I$135,MATCH(AV35,'G-8 Condition Look up'!$A$4:$A$135,0)),"")</f>
        <v/>
      </c>
      <c r="D35" s="238">
        <v>25</v>
      </c>
      <c r="E35" s="223"/>
      <c r="F35" s="45"/>
      <c r="G35" s="272"/>
      <c r="H35" s="37"/>
      <c r="I35" s="290" t="str">
        <f>IF(AV35="","",VLOOKUP(AV35,'G-1 All Habitats'!$B$2:$M$135,10,FALSE))</f>
        <v/>
      </c>
      <c r="J35" s="291" t="str">
        <f>IFERROR(VLOOKUP(I35,'G-1 All Habitats'!$V$3:$W$7,2,FALSE),"")</f>
        <v/>
      </c>
      <c r="K35" s="38"/>
      <c r="L35" s="291" t="str">
        <f>IFERROR(INDEX('G-8 Condition Look up'!$A$3:$H$135,MATCH(AV35,'G-8 Condition Look up'!$A$3:$A$135,0),MATCH(K35,'G-8 Condition Look up'!$A$3:$H$3,0)),"")</f>
        <v/>
      </c>
      <c r="M35" s="38"/>
      <c r="N35" s="310" t="str">
        <f>IF(M35="","",IF(VLOOKUP(M35,'G-3 Multipliers'!$L$3:$N$6,2,FALSE)=0,"Spatial Data Missing",VLOOKUP(M35,'G-3 Multipliers'!$L$3:$N$6,2,FALSE)))</f>
        <v/>
      </c>
      <c r="O35" s="296" t="str">
        <f>IF(M35="","",IF(VLOOKUP(M35,'G-3 Multipliers'!$L$3:$N$6,3,FALSE)=0,"Spatial Data Missing ▲",VLOOKUP(M35,'G-3 Multipliers'!$L$3:$N$6,3,FALSE)))</f>
        <v/>
      </c>
      <c r="P35" s="297" t="str">
        <f>(IF(G35="Yes","Bespoke compensation likely to be required 🛠",(IFERROR(VLOOKUP(AV35,'G-1 All Habitats'!$B$2:$M$135,12,FALSE),""))))</f>
        <v/>
      </c>
      <c r="Q35" s="304" t="str">
        <f>IFERROR(IF(AND(E35="Individual trees",T35&gt;0), "Error - you cannot enhance individual trees ▲", (IF(AND(U35="Irreplaceable habitat - no units generated ⚠",(S35+T35)&lt;H35, OR(Y35="No", Y35="")),"Any Loss Unacceptable ⚠", (IF(U35="Irreplaceable habitat - no units generated ⚠", T35*J35*L35*O35, IF(AND(P35='G-1 All Habitats'!$X$3, AC35&gt;0, S35&lt;=0, T35&lt;=0, OR(Y35="No", Y35="")),"Any Loss Unacceptable ⚠", IF(AND(P35='G-1 All Habitats'!$X$3, AC35&gt;0, S35&lt;=0, T35&lt;=0, Y35="Yes"), 0, (IF(AND(P35='G-1 All Habitats'!$X$3,(S35+T35)&lt;H35, OR(Y35="No", Y35="")),"Any Loss Unacceptable ⚠", (IF(P35="","",IF(AND(P35='G-1 All Habitats'!$X$3,T35&gt;0),U35+V35,IF(AND(P35='G-1 All Habitats'!$X$3,S35&gt;0),U35+V35,H35*J35*L35*O35))))))))))))),"Check Data ▲")</f>
        <v/>
      </c>
      <c r="R35" s="23"/>
      <c r="S35" s="38"/>
      <c r="T35" s="39"/>
      <c r="U35" s="302" t="str">
        <f t="shared" si="1"/>
        <v/>
      </c>
      <c r="V35" s="302" t="str">
        <f t="shared" si="2"/>
        <v/>
      </c>
      <c r="W35" s="302" t="str">
        <f>IF(E35="","",IF(H35&lt;S35+T35,"Error in Areas ▲",IF(P35&lt;&gt;'G-1 All Habitats'!$X$3,H35-S35-T35,IF(AND(P35='G-1 All Habitats'!$X$3,Y35="No"),AC35,IF(AND(P35='G-1 All Habitats'!$X$3,Y35=""),AC35,IF(AND(P35='G-1 All Habitats'!$X$3,AC35="None"),AC35,IF(AND(P35='G-1 All Habitats'!$X$3,AC35&gt;0),H35-S35-T35)))))))</f>
        <v/>
      </c>
      <c r="X35" s="306" t="str">
        <f>IFERROR(IF(H35="","",IF(H35-S35-T35=0&lt;0,"Error in Areas ▲",IF(S35+T35&gt;H35,"Error in Areas ▲",IF(AND(P35='G-1 All Habitats'!$X$3,Y35="Yes"),"Alternative Compensation ✓",IF(W35=0,0,IF(P35='G-1 All Habitats'!$X$3,"Any Loss Unacceptable ▲",Q35-U35-V35)))))),"Check Data ▲")</f>
        <v/>
      </c>
      <c r="Y35" s="39"/>
      <c r="Z35" s="46"/>
      <c r="AA35" s="419"/>
      <c r="AB35" s="101"/>
      <c r="AC35" s="495" t="str">
        <f>IF(OR(P35="", Y35="Yes"),"", IF(P35='G-1 All Habitats'!$X$3,H35-S35-T35,"None"))</f>
        <v/>
      </c>
      <c r="AD35" s="496" t="str">
        <f>IF(P35="","", IF(P35='G-1 All Habitats'!$X$3, AC35*J35*L35*O35,"None"))</f>
        <v/>
      </c>
      <c r="AE35" s="20" t="str">
        <f t="shared" si="3"/>
        <v/>
      </c>
      <c r="AF35" s="25" t="str">
        <f t="shared" si="4"/>
        <v/>
      </c>
      <c r="AG35" s="25" t="str">
        <f t="shared" si="0"/>
        <v/>
      </c>
      <c r="AH35" s="25" t="str">
        <f>IF(I35="","",IF(#REF!&gt;0,TRUE,FALSE))</f>
        <v/>
      </c>
      <c r="AI35" s="25">
        <v>25</v>
      </c>
      <c r="AJ35" s="25"/>
      <c r="AK35" s="25" t="str">
        <f t="array" ref="AK35">IFERROR(INDEX($AI$11:$AI$259, MATCH(0, IF(TRUE=$AF$11:$AF$259, COUNTIF($AK$10:$AK34, $AI$11:$AI$259), ""), 0)),"")</f>
        <v/>
      </c>
      <c r="AL35" s="25" t="str">
        <f t="array" ref="AL35">IFERROR(INDEX($AI$11:$AI$259, MATCH(0, IF(TRUE=$AG$11:$AG$259, COUNTIF($AL$10:$AL34, $AI$11:$AI$259), ""), 0)),"")</f>
        <v/>
      </c>
      <c r="AM35" s="25" t="str">
        <f t="array" ref="AM35">IFERROR(INDEX($AI$11:$AI$259, MATCH(0, IF(TRUE=$AH$11:$AH$259, COUNTIF($AM$10:$AM34, $AI$11:$AI$259), ""), 0)),"")</f>
        <v/>
      </c>
      <c r="AN35" s="25"/>
      <c r="AQ35" s="20">
        <f t="shared" si="5"/>
        <v>0</v>
      </c>
      <c r="AV35" s="540" t="str">
        <f>IFERROR(INDEX('G-1 All Habitats'!$B$3:$B$135,MATCH(F35,'G-1 All Habitats'!$A$3:$A$135,0)),"")</f>
        <v/>
      </c>
      <c r="AW35" s="20" t="str">
        <f>IF(AV35="","",VLOOKUP(AV35,'G-1 All Habitats'!$B$1:$T$135,19,FALSE))</f>
        <v/>
      </c>
    </row>
    <row r="36" spans="1:49" ht="14.5" thickBot="1" x14ac:dyDescent="0.35">
      <c r="A36" s="20" t="str">
        <f>IFERROR(INDEX('G-1 All Habitats'!$AG$3:$AG$17,MATCH(E36,'G-1 All Habitats'!$AF$3:$AF$17,0)),"")</f>
        <v/>
      </c>
      <c r="B36" s="20" t="str">
        <f>IFERROR(INDEX('G-8 Condition Look up'!$I$4:$I$135,MATCH(AV36,'G-8 Condition Look up'!$A$4:$A$135,0)),"")</f>
        <v/>
      </c>
      <c r="D36" s="238">
        <v>26</v>
      </c>
      <c r="E36" s="223"/>
      <c r="F36" s="45"/>
      <c r="G36" s="272"/>
      <c r="H36" s="37"/>
      <c r="I36" s="290" t="str">
        <f>IF(AV36="","",VLOOKUP(AV36,'G-1 All Habitats'!$B$2:$M$135,10,FALSE))</f>
        <v/>
      </c>
      <c r="J36" s="291" t="str">
        <f>IFERROR(VLOOKUP(I36,'G-1 All Habitats'!$V$3:$W$7,2,FALSE),"")</f>
        <v/>
      </c>
      <c r="K36" s="38"/>
      <c r="L36" s="291" t="str">
        <f>IFERROR(INDEX('G-8 Condition Look up'!$A$3:$H$135,MATCH(AV36,'G-8 Condition Look up'!$A$3:$A$135,0),MATCH(K36,'G-8 Condition Look up'!$A$3:$H$3,0)),"")</f>
        <v/>
      </c>
      <c r="M36" s="38"/>
      <c r="N36" s="310" t="str">
        <f>IF(M36="","",IF(VLOOKUP(M36,'G-3 Multipliers'!$L$3:$N$6,2,FALSE)=0,"Spatial Data Missing",VLOOKUP(M36,'G-3 Multipliers'!$L$3:$N$6,2,FALSE)))</f>
        <v/>
      </c>
      <c r="O36" s="296" t="str">
        <f>IF(M36="","",IF(VLOOKUP(M36,'G-3 Multipliers'!$L$3:$N$6,3,FALSE)=0,"Spatial Data Missing ▲",VLOOKUP(M36,'G-3 Multipliers'!$L$3:$N$6,3,FALSE)))</f>
        <v/>
      </c>
      <c r="P36" s="297" t="str">
        <f>(IF(G36="Yes","Bespoke compensation likely to be required 🛠",(IFERROR(VLOOKUP(AV36,'G-1 All Habitats'!$B$2:$M$135,12,FALSE),""))))</f>
        <v/>
      </c>
      <c r="Q36" s="304" t="str">
        <f>IFERROR(IF(AND(E36="Individual trees",T36&gt;0), "Error - you cannot enhance individual trees ▲", (IF(AND(U36="Irreplaceable habitat - no units generated ⚠",(S36+T36)&lt;H36, OR(Y36="No", Y36="")),"Any Loss Unacceptable ⚠", (IF(U36="Irreplaceable habitat - no units generated ⚠", T36*J36*L36*O36, IF(AND(P36='G-1 All Habitats'!$X$3, AC36&gt;0, S36&lt;=0, T36&lt;=0, OR(Y36="No", Y36="")),"Any Loss Unacceptable ⚠", IF(AND(P36='G-1 All Habitats'!$X$3, AC36&gt;0, S36&lt;=0, T36&lt;=0, Y36="Yes"), 0, (IF(AND(P36='G-1 All Habitats'!$X$3,(S36+T36)&lt;H36, OR(Y36="No", Y36="")),"Any Loss Unacceptable ⚠", (IF(P36="","",IF(AND(P36='G-1 All Habitats'!$X$3,T36&gt;0),U36+V36,IF(AND(P36='G-1 All Habitats'!$X$3,S36&gt;0),U36+V36,H36*J36*L36*O36))))))))))))),"Check Data ▲")</f>
        <v/>
      </c>
      <c r="R36" s="23"/>
      <c r="S36" s="38"/>
      <c r="T36" s="39"/>
      <c r="U36" s="302" t="str">
        <f t="shared" si="1"/>
        <v/>
      </c>
      <c r="V36" s="302" t="str">
        <f t="shared" si="2"/>
        <v/>
      </c>
      <c r="W36" s="302" t="str">
        <f>IF(E36="","",IF(H36&lt;S36+T36,"Error in Areas ▲",IF(P36&lt;&gt;'G-1 All Habitats'!$X$3,H36-S36-T36,IF(AND(P36='G-1 All Habitats'!$X$3,Y36="No"),AC36,IF(AND(P36='G-1 All Habitats'!$X$3,Y36=""),AC36,IF(AND(P36='G-1 All Habitats'!$X$3,AC36="None"),AC36,IF(AND(P36='G-1 All Habitats'!$X$3,AC36&gt;0),H36-S36-T36)))))))</f>
        <v/>
      </c>
      <c r="X36" s="306" t="str">
        <f>IFERROR(IF(H36="","",IF(H36-S36-T36=0&lt;0,"Error in Areas ▲",IF(S36+T36&gt;H36,"Error in Areas ▲",IF(AND(P36='G-1 All Habitats'!$X$3,Y36="Yes"),"Alternative Compensation ✓",IF(W36=0,0,IF(P36='G-1 All Habitats'!$X$3,"Any Loss Unacceptable ▲",Q36-U36-V36)))))),"Check Data ▲")</f>
        <v/>
      </c>
      <c r="Y36" s="39"/>
      <c r="Z36" s="46"/>
      <c r="AA36" s="419"/>
      <c r="AB36" s="101"/>
      <c r="AC36" s="495" t="str">
        <f>IF(OR(P36="", Y36="Yes"),"", IF(P36='G-1 All Habitats'!$X$3,H36-S36-T36,"None"))</f>
        <v/>
      </c>
      <c r="AD36" s="496" t="str">
        <f>IF(P36="","", IF(P36='G-1 All Habitats'!$X$3, AC36*J36*L36*O36,"None"))</f>
        <v/>
      </c>
      <c r="AE36" s="20" t="str">
        <f t="shared" si="3"/>
        <v/>
      </c>
      <c r="AF36" s="25" t="str">
        <f t="shared" si="4"/>
        <v/>
      </c>
      <c r="AG36" s="25" t="str">
        <f t="shared" si="0"/>
        <v/>
      </c>
      <c r="AH36" s="25" t="str">
        <f>IF(I36="","",IF(#REF!&gt;0,TRUE,FALSE))</f>
        <v/>
      </c>
      <c r="AI36" s="25">
        <v>26</v>
      </c>
      <c r="AJ36" s="25"/>
      <c r="AK36" s="25" t="str">
        <f t="array" ref="AK36">IFERROR(INDEX($AI$11:$AI$259, MATCH(0, IF(TRUE=$AF$11:$AF$259, COUNTIF($AK$10:$AK35, $AI$11:$AI$259), ""), 0)),"")</f>
        <v/>
      </c>
      <c r="AL36" s="25" t="str">
        <f t="array" ref="AL36">IFERROR(INDEX($AI$11:$AI$259, MATCH(0, IF(TRUE=$AG$11:$AG$259, COUNTIF($AL$10:$AL35, $AI$11:$AI$259), ""), 0)),"")</f>
        <v/>
      </c>
      <c r="AM36" s="25" t="str">
        <f t="array" ref="AM36">IFERROR(INDEX($AI$11:$AI$259, MATCH(0, IF(TRUE=$AH$11:$AH$259, COUNTIF($AM$10:$AM35, $AI$11:$AI$259), ""), 0)),"")</f>
        <v/>
      </c>
      <c r="AN36" s="25"/>
      <c r="AQ36" s="20">
        <f t="shared" si="5"/>
        <v>0</v>
      </c>
      <c r="AV36" s="540" t="str">
        <f>IFERROR(INDEX('G-1 All Habitats'!$B$3:$B$135,MATCH(F36,'G-1 All Habitats'!$A$3:$A$135,0)),"")</f>
        <v/>
      </c>
      <c r="AW36" s="20" t="str">
        <f>IF(AV36="","",VLOOKUP(AV36,'G-1 All Habitats'!$B$1:$T$135,19,FALSE))</f>
        <v/>
      </c>
    </row>
    <row r="37" spans="1:49" ht="14.5" thickBot="1" x14ac:dyDescent="0.35">
      <c r="A37" s="20" t="str">
        <f>IFERROR(INDEX('G-1 All Habitats'!$AG$3:$AG$17,MATCH(E37,'G-1 All Habitats'!$AF$3:$AF$17,0)),"")</f>
        <v/>
      </c>
      <c r="B37" s="20" t="str">
        <f>IFERROR(INDEX('G-8 Condition Look up'!$I$4:$I$135,MATCH(AV37,'G-8 Condition Look up'!$A$4:$A$135,0)),"")</f>
        <v/>
      </c>
      <c r="D37" s="238">
        <v>27</v>
      </c>
      <c r="E37" s="223"/>
      <c r="F37" s="45"/>
      <c r="G37" s="272"/>
      <c r="H37" s="37"/>
      <c r="I37" s="290" t="str">
        <f>IF(AV37="","",VLOOKUP(AV37,'G-1 All Habitats'!$B$2:$M$135,10,FALSE))</f>
        <v/>
      </c>
      <c r="J37" s="291" t="str">
        <f>IFERROR(VLOOKUP(I37,'G-1 All Habitats'!$V$3:$W$7,2,FALSE),"")</f>
        <v/>
      </c>
      <c r="K37" s="38"/>
      <c r="L37" s="291" t="str">
        <f>IFERROR(INDEX('G-8 Condition Look up'!$A$3:$H$135,MATCH(AV37,'G-8 Condition Look up'!$A$3:$A$135,0),MATCH(K37,'G-8 Condition Look up'!$A$3:$H$3,0)),"")</f>
        <v/>
      </c>
      <c r="M37" s="38"/>
      <c r="N37" s="310" t="str">
        <f>IF(M37="","",IF(VLOOKUP(M37,'G-3 Multipliers'!$L$3:$N$6,2,FALSE)=0,"Spatial Data Missing",VLOOKUP(M37,'G-3 Multipliers'!$L$3:$N$6,2,FALSE)))</f>
        <v/>
      </c>
      <c r="O37" s="296" t="str">
        <f>IF(M37="","",IF(VLOOKUP(M37,'G-3 Multipliers'!$L$3:$N$6,3,FALSE)=0,"Spatial Data Missing ▲",VLOOKUP(M37,'G-3 Multipliers'!$L$3:$N$6,3,FALSE)))</f>
        <v/>
      </c>
      <c r="P37" s="297" t="str">
        <f>(IF(G37="Yes","Bespoke compensation likely to be required 🛠",(IFERROR(VLOOKUP(AV37,'G-1 All Habitats'!$B$2:$M$135,12,FALSE),""))))</f>
        <v/>
      </c>
      <c r="Q37" s="304" t="str">
        <f>IFERROR(IF(AND(E37="Individual trees",T37&gt;0), "Error - you cannot enhance individual trees ▲", (IF(AND(U37="Irreplaceable habitat - no units generated ⚠",(S37+T37)&lt;H37, OR(Y37="No", Y37="")),"Any Loss Unacceptable ⚠", (IF(U37="Irreplaceable habitat - no units generated ⚠", T37*J37*L37*O37, IF(AND(P37='G-1 All Habitats'!$X$3, AC37&gt;0, S37&lt;=0, T37&lt;=0, OR(Y37="No", Y37="")),"Any Loss Unacceptable ⚠", IF(AND(P37='G-1 All Habitats'!$X$3, AC37&gt;0, S37&lt;=0, T37&lt;=0, Y37="Yes"), 0, (IF(AND(P37='G-1 All Habitats'!$X$3,(S37+T37)&lt;H37, OR(Y37="No", Y37="")),"Any Loss Unacceptable ⚠", (IF(P37="","",IF(AND(P37='G-1 All Habitats'!$X$3,T37&gt;0),U37+V37,IF(AND(P37='G-1 All Habitats'!$X$3,S37&gt;0),U37+V37,H37*J37*L37*O37))))))))))))),"Check Data ▲")</f>
        <v/>
      </c>
      <c r="R37" s="23"/>
      <c r="S37" s="38"/>
      <c r="T37" s="39"/>
      <c r="U37" s="302" t="str">
        <f t="shared" si="1"/>
        <v/>
      </c>
      <c r="V37" s="302" t="str">
        <f t="shared" si="2"/>
        <v/>
      </c>
      <c r="W37" s="302" t="str">
        <f>IF(E37="","",IF(H37&lt;S37+T37,"Error in Areas ▲",IF(P37&lt;&gt;'G-1 All Habitats'!$X$3,H37-S37-T37,IF(AND(P37='G-1 All Habitats'!$X$3,Y37="No"),AC37,IF(AND(P37='G-1 All Habitats'!$X$3,Y37=""),AC37,IF(AND(P37='G-1 All Habitats'!$X$3,AC37="None"),AC37,IF(AND(P37='G-1 All Habitats'!$X$3,AC37&gt;0),H37-S37-T37)))))))</f>
        <v/>
      </c>
      <c r="X37" s="306" t="str">
        <f>IFERROR(IF(H37="","",IF(H37-S37-T37=0&lt;0,"Error in Areas ▲",IF(S37+T37&gt;H37,"Error in Areas ▲",IF(AND(P37='G-1 All Habitats'!$X$3,Y37="Yes"),"Alternative Compensation ✓",IF(W37=0,0,IF(P37='G-1 All Habitats'!$X$3,"Any Loss Unacceptable ▲",Q37-U37-V37)))))),"Check Data ▲")</f>
        <v/>
      </c>
      <c r="Y37" s="39"/>
      <c r="Z37" s="46"/>
      <c r="AA37" s="419"/>
      <c r="AB37" s="101"/>
      <c r="AC37" s="495" t="str">
        <f>IF(OR(P37="", Y37="Yes"),"", IF(P37='G-1 All Habitats'!$X$3,H37-S37-T37,"None"))</f>
        <v/>
      </c>
      <c r="AD37" s="496" t="str">
        <f>IF(P37="","", IF(P37='G-1 All Habitats'!$X$3, AC37*J37*L37*O37,"None"))</f>
        <v/>
      </c>
      <c r="AE37" s="20" t="str">
        <f t="shared" si="3"/>
        <v/>
      </c>
      <c r="AF37" s="25" t="str">
        <f t="shared" si="4"/>
        <v/>
      </c>
      <c r="AG37" s="25" t="str">
        <f t="shared" si="0"/>
        <v/>
      </c>
      <c r="AH37" s="25" t="str">
        <f>IF(I37="","",IF(#REF!&gt;0,TRUE,FALSE))</f>
        <v/>
      </c>
      <c r="AI37" s="25">
        <v>27</v>
      </c>
      <c r="AJ37" s="25"/>
      <c r="AK37" s="25" t="str">
        <f t="array" ref="AK37">IFERROR(INDEX($AI$11:$AI$259, MATCH(0, IF(TRUE=$AF$11:$AF$259, COUNTIF($AK$10:$AK36, $AI$11:$AI$259), ""), 0)),"")</f>
        <v/>
      </c>
      <c r="AL37" s="25" t="str">
        <f t="array" ref="AL37">IFERROR(INDEX($AI$11:$AI$259, MATCH(0, IF(TRUE=$AG$11:$AG$259, COUNTIF($AL$10:$AL36, $AI$11:$AI$259), ""), 0)),"")</f>
        <v/>
      </c>
      <c r="AM37" s="25" t="str">
        <f t="array" ref="AM37">IFERROR(INDEX($AI$11:$AI$259, MATCH(0, IF(TRUE=$AH$11:$AH$259, COUNTIF($AM$10:$AM36, $AI$11:$AI$259), ""), 0)),"")</f>
        <v/>
      </c>
      <c r="AN37" s="25"/>
      <c r="AQ37" s="20">
        <f t="shared" si="5"/>
        <v>0</v>
      </c>
      <c r="AV37" s="540" t="str">
        <f>IFERROR(INDEX('G-1 All Habitats'!$B$3:$B$135,MATCH(F37,'G-1 All Habitats'!$A$3:$A$135,0)),"")</f>
        <v/>
      </c>
      <c r="AW37" s="20" t="str">
        <f>IF(AV37="","",VLOOKUP(AV37,'G-1 All Habitats'!$B$1:$T$135,19,FALSE))</f>
        <v/>
      </c>
    </row>
    <row r="38" spans="1:49" ht="14.5" thickBot="1" x14ac:dyDescent="0.35">
      <c r="A38" s="20" t="str">
        <f>IFERROR(INDEX('G-1 All Habitats'!$AG$3:$AG$17,MATCH(E38,'G-1 All Habitats'!$AF$3:$AF$17,0)),"")</f>
        <v/>
      </c>
      <c r="B38" s="20" t="str">
        <f>IFERROR(INDEX('G-8 Condition Look up'!$I$4:$I$135,MATCH(AV38,'G-8 Condition Look up'!$A$4:$A$135,0)),"")</f>
        <v/>
      </c>
      <c r="D38" s="238">
        <v>28</v>
      </c>
      <c r="E38" s="223"/>
      <c r="F38" s="45"/>
      <c r="G38" s="272"/>
      <c r="H38" s="37"/>
      <c r="I38" s="290" t="str">
        <f>IF(AV38="","",VLOOKUP(AV38,'G-1 All Habitats'!$B$2:$M$135,10,FALSE))</f>
        <v/>
      </c>
      <c r="J38" s="291" t="str">
        <f>IFERROR(VLOOKUP(I38,'G-1 All Habitats'!$V$3:$W$7,2,FALSE),"")</f>
        <v/>
      </c>
      <c r="K38" s="38"/>
      <c r="L38" s="291" t="str">
        <f>IFERROR(INDEX('G-8 Condition Look up'!$A$3:$H$135,MATCH(AV38,'G-8 Condition Look up'!$A$3:$A$135,0),MATCH(K38,'G-8 Condition Look up'!$A$3:$H$3,0)),"")</f>
        <v/>
      </c>
      <c r="M38" s="38"/>
      <c r="N38" s="310" t="str">
        <f>IF(M38="","",IF(VLOOKUP(M38,'G-3 Multipliers'!$L$3:$N$6,2,FALSE)=0,"Spatial Data Missing",VLOOKUP(M38,'G-3 Multipliers'!$L$3:$N$6,2,FALSE)))</f>
        <v/>
      </c>
      <c r="O38" s="296" t="str">
        <f>IF(M38="","",IF(VLOOKUP(M38,'G-3 Multipliers'!$L$3:$N$6,3,FALSE)=0,"Spatial Data Missing ▲",VLOOKUP(M38,'G-3 Multipliers'!$L$3:$N$6,3,FALSE)))</f>
        <v/>
      </c>
      <c r="P38" s="297" t="str">
        <f>(IF(G38="Yes","Bespoke compensation likely to be required 🛠",(IFERROR(VLOOKUP(AV38,'G-1 All Habitats'!$B$2:$M$135,12,FALSE),""))))</f>
        <v/>
      </c>
      <c r="Q38" s="304" t="str">
        <f>IFERROR(IF(AND(E38="Individual trees",T38&gt;0), "Error - you cannot enhance individual trees ▲", (IF(AND(U38="Irreplaceable habitat - no units generated ⚠",(S38+T38)&lt;H38, OR(Y38="No", Y38="")),"Any Loss Unacceptable ⚠", (IF(U38="Irreplaceable habitat - no units generated ⚠", T38*J38*L38*O38, IF(AND(P38='G-1 All Habitats'!$X$3, AC38&gt;0, S38&lt;=0, T38&lt;=0, OR(Y38="No", Y38="")),"Any Loss Unacceptable ⚠", IF(AND(P38='G-1 All Habitats'!$X$3, AC38&gt;0, S38&lt;=0, T38&lt;=0, Y38="Yes"), 0, (IF(AND(P38='G-1 All Habitats'!$X$3,(S38+T38)&lt;H38, OR(Y38="No", Y38="")),"Any Loss Unacceptable ⚠", (IF(P38="","",IF(AND(P38='G-1 All Habitats'!$X$3,T38&gt;0),U38+V38,IF(AND(P38='G-1 All Habitats'!$X$3,S38&gt;0),U38+V38,H38*J38*L38*O38))))))))))))),"Check Data ▲")</f>
        <v/>
      </c>
      <c r="R38" s="23"/>
      <c r="S38" s="38"/>
      <c r="T38" s="39"/>
      <c r="U38" s="302" t="str">
        <f t="shared" si="1"/>
        <v/>
      </c>
      <c r="V38" s="302" t="str">
        <f t="shared" si="2"/>
        <v/>
      </c>
      <c r="W38" s="302" t="str">
        <f>IF(E38="","",IF(H38&lt;S38+T38,"Error in Areas ▲",IF(P38&lt;&gt;'G-1 All Habitats'!$X$3,H38-S38-T38,IF(AND(P38='G-1 All Habitats'!$X$3,Y38="No"),AC38,IF(AND(P38='G-1 All Habitats'!$X$3,Y38=""),AC38,IF(AND(P38='G-1 All Habitats'!$X$3,AC38="None"),AC38,IF(AND(P38='G-1 All Habitats'!$X$3,AC38&gt;0),H38-S38-T38)))))))</f>
        <v/>
      </c>
      <c r="X38" s="306" t="str">
        <f>IFERROR(IF(H38="","",IF(H38-S38-T38=0&lt;0,"Error in Areas ▲",IF(S38+T38&gt;H38,"Error in Areas ▲",IF(AND(P38='G-1 All Habitats'!$X$3,Y38="Yes"),"Alternative Compensation ✓",IF(W38=0,0,IF(P38='G-1 All Habitats'!$X$3,"Any Loss Unacceptable ▲",Q38-U38-V38)))))),"Check Data ▲")</f>
        <v/>
      </c>
      <c r="Y38" s="39"/>
      <c r="Z38" s="46"/>
      <c r="AA38" s="419"/>
      <c r="AB38" s="101"/>
      <c r="AC38" s="495" t="str">
        <f>IF(OR(P38="", Y38="Yes"),"", IF(P38='G-1 All Habitats'!$X$3,H38-S38-T38,"None"))</f>
        <v/>
      </c>
      <c r="AD38" s="496" t="str">
        <f>IF(P38="","", IF(P38='G-1 All Habitats'!$X$3, AC38*J38*L38*O38,"None"))</f>
        <v/>
      </c>
      <c r="AE38" s="20" t="str">
        <f t="shared" si="3"/>
        <v/>
      </c>
      <c r="AF38" s="25" t="str">
        <f t="shared" si="4"/>
        <v/>
      </c>
      <c r="AG38" s="25" t="str">
        <f t="shared" si="0"/>
        <v/>
      </c>
      <c r="AH38" s="25" t="str">
        <f>IF(I38="","",IF(#REF!&gt;0,TRUE,FALSE))</f>
        <v/>
      </c>
      <c r="AI38" s="25">
        <v>28</v>
      </c>
      <c r="AJ38" s="25"/>
      <c r="AK38" s="25" t="str">
        <f t="array" ref="AK38">IFERROR(INDEX($AI$11:$AI$259, MATCH(0, IF(TRUE=$AF$11:$AF$259, COUNTIF($AK$10:$AK37, $AI$11:$AI$259), ""), 0)),"")</f>
        <v/>
      </c>
      <c r="AL38" s="25" t="str">
        <f t="array" ref="AL38">IFERROR(INDEX($AI$11:$AI$259, MATCH(0, IF(TRUE=$AG$11:$AG$259, COUNTIF($AL$10:$AL37, $AI$11:$AI$259), ""), 0)),"")</f>
        <v/>
      </c>
      <c r="AM38" s="25" t="str">
        <f t="array" ref="AM38">IFERROR(INDEX($AI$11:$AI$259, MATCH(0, IF(TRUE=$AH$11:$AH$259, COUNTIF($AM$10:$AM37, $AI$11:$AI$259), ""), 0)),"")</f>
        <v/>
      </c>
      <c r="AN38" s="25"/>
      <c r="AQ38" s="20">
        <f t="shared" si="5"/>
        <v>0</v>
      </c>
      <c r="AV38" s="540" t="str">
        <f>IFERROR(INDEX('G-1 All Habitats'!$B$3:$B$135,MATCH(F38,'G-1 All Habitats'!$A$3:$A$135,0)),"")</f>
        <v/>
      </c>
      <c r="AW38" s="20" t="str">
        <f>IF(AV38="","",VLOOKUP(AV38,'G-1 All Habitats'!$B$1:$T$135,19,FALSE))</f>
        <v/>
      </c>
    </row>
    <row r="39" spans="1:49" ht="14.5" thickBot="1" x14ac:dyDescent="0.35">
      <c r="A39" s="20" t="str">
        <f>IFERROR(INDEX('G-1 All Habitats'!$AG$3:$AG$17,MATCH(E39,'G-1 All Habitats'!$AF$3:$AF$17,0)),"")</f>
        <v/>
      </c>
      <c r="B39" s="20" t="str">
        <f>IFERROR(INDEX('G-8 Condition Look up'!$I$4:$I$135,MATCH(AV39,'G-8 Condition Look up'!$A$4:$A$135,0)),"")</f>
        <v/>
      </c>
      <c r="D39" s="238">
        <v>29</v>
      </c>
      <c r="E39" s="223"/>
      <c r="F39" s="45"/>
      <c r="G39" s="272"/>
      <c r="H39" s="37"/>
      <c r="I39" s="290" t="str">
        <f>IF(AV39="","",VLOOKUP(AV39,'G-1 All Habitats'!$B$2:$M$135,10,FALSE))</f>
        <v/>
      </c>
      <c r="J39" s="291" t="str">
        <f>IFERROR(VLOOKUP(I39,'G-1 All Habitats'!$V$3:$W$7,2,FALSE),"")</f>
        <v/>
      </c>
      <c r="K39" s="38"/>
      <c r="L39" s="291" t="str">
        <f>IFERROR(INDEX('G-8 Condition Look up'!$A$3:$H$135,MATCH(AV39,'G-8 Condition Look up'!$A$3:$A$135,0),MATCH(K39,'G-8 Condition Look up'!$A$3:$H$3,0)),"")</f>
        <v/>
      </c>
      <c r="M39" s="38"/>
      <c r="N39" s="310" t="str">
        <f>IF(M39="","",IF(VLOOKUP(M39,'G-3 Multipliers'!$L$3:$N$6,2,FALSE)=0,"Spatial Data Missing",VLOOKUP(M39,'G-3 Multipliers'!$L$3:$N$6,2,FALSE)))</f>
        <v/>
      </c>
      <c r="O39" s="296" t="str">
        <f>IF(M39="","",IF(VLOOKUP(M39,'G-3 Multipliers'!$L$3:$N$6,3,FALSE)=0,"Spatial Data Missing ▲",VLOOKUP(M39,'G-3 Multipliers'!$L$3:$N$6,3,FALSE)))</f>
        <v/>
      </c>
      <c r="P39" s="297" t="str">
        <f>(IF(G39="Yes","Bespoke compensation likely to be required 🛠",(IFERROR(VLOOKUP(AV39,'G-1 All Habitats'!$B$2:$M$135,12,FALSE),""))))</f>
        <v/>
      </c>
      <c r="Q39" s="304" t="str">
        <f>IFERROR(IF(AND(E39="Individual trees",T39&gt;0), "Error - you cannot enhance individual trees ▲", (IF(AND(U39="Irreplaceable habitat - no units generated ⚠",(S39+T39)&lt;H39, OR(Y39="No", Y39="")),"Any Loss Unacceptable ⚠", (IF(U39="Irreplaceable habitat - no units generated ⚠", T39*J39*L39*O39, IF(AND(P39='G-1 All Habitats'!$X$3, AC39&gt;0, S39&lt;=0, T39&lt;=0, OR(Y39="No", Y39="")),"Any Loss Unacceptable ⚠", IF(AND(P39='G-1 All Habitats'!$X$3, AC39&gt;0, S39&lt;=0, T39&lt;=0, Y39="Yes"), 0, (IF(AND(P39='G-1 All Habitats'!$X$3,(S39+T39)&lt;H39, OR(Y39="No", Y39="")),"Any Loss Unacceptable ⚠", (IF(P39="","",IF(AND(P39='G-1 All Habitats'!$X$3,T39&gt;0),U39+V39,IF(AND(P39='G-1 All Habitats'!$X$3,S39&gt;0),U39+V39,H39*J39*L39*O39))))))))))))),"Check Data ▲")</f>
        <v/>
      </c>
      <c r="R39" s="23"/>
      <c r="S39" s="38"/>
      <c r="T39" s="39"/>
      <c r="U39" s="302" t="str">
        <f t="shared" si="1"/>
        <v/>
      </c>
      <c r="V39" s="302" t="str">
        <f t="shared" si="2"/>
        <v/>
      </c>
      <c r="W39" s="302" t="str">
        <f>IF(E39="","",IF(H39&lt;S39+T39,"Error in Areas ▲",IF(P39&lt;&gt;'G-1 All Habitats'!$X$3,H39-S39-T39,IF(AND(P39='G-1 All Habitats'!$X$3,Y39="No"),AC39,IF(AND(P39='G-1 All Habitats'!$X$3,Y39=""),AC39,IF(AND(P39='G-1 All Habitats'!$X$3,AC39="None"),AC39,IF(AND(P39='G-1 All Habitats'!$X$3,AC39&gt;0),H39-S39-T39)))))))</f>
        <v/>
      </c>
      <c r="X39" s="306" t="str">
        <f>IFERROR(IF(H39="","",IF(H39-S39-T39=0&lt;0,"Error in Areas ▲",IF(S39+T39&gt;H39,"Error in Areas ▲",IF(AND(P39='G-1 All Habitats'!$X$3,Y39="Yes"),"Alternative Compensation ✓",IF(W39=0,0,IF(P39='G-1 All Habitats'!$X$3,"Any Loss Unacceptable ▲",Q39-U39-V39)))))),"Check Data ▲")</f>
        <v/>
      </c>
      <c r="Y39" s="39"/>
      <c r="Z39" s="46"/>
      <c r="AA39" s="419"/>
      <c r="AB39" s="101"/>
      <c r="AC39" s="495" t="str">
        <f>IF(OR(P39="", Y39="Yes"),"", IF(P39='G-1 All Habitats'!$X$3,H39-S39-T39,"None"))</f>
        <v/>
      </c>
      <c r="AD39" s="496" t="str">
        <f>IF(P39="","", IF(P39='G-1 All Habitats'!$X$3, AC39*J39*L39*O39,"None"))</f>
        <v/>
      </c>
      <c r="AE39" s="20" t="str">
        <f t="shared" si="3"/>
        <v/>
      </c>
      <c r="AF39" s="25" t="str">
        <f t="shared" si="4"/>
        <v/>
      </c>
      <c r="AG39" s="25" t="str">
        <f t="shared" si="0"/>
        <v/>
      </c>
      <c r="AH39" s="25" t="str">
        <f>IF(I39="","",IF(#REF!&gt;0,TRUE,FALSE))</f>
        <v/>
      </c>
      <c r="AI39" s="25">
        <v>29</v>
      </c>
      <c r="AJ39" s="25"/>
      <c r="AK39" s="25" t="str">
        <f t="array" ref="AK39">IFERROR(INDEX($AI$11:$AI$259, MATCH(0, IF(TRUE=$AF$11:$AF$259, COUNTIF($AK$10:$AK38, $AI$11:$AI$259), ""), 0)),"")</f>
        <v/>
      </c>
      <c r="AL39" s="25" t="str">
        <f t="array" ref="AL39">IFERROR(INDEX($AI$11:$AI$259, MATCH(0, IF(TRUE=$AG$11:$AG$259, COUNTIF($AL$10:$AL38, $AI$11:$AI$259), ""), 0)),"")</f>
        <v/>
      </c>
      <c r="AM39" s="25" t="str">
        <f t="array" ref="AM39">IFERROR(INDEX($AI$11:$AI$259, MATCH(0, IF(TRUE=$AH$11:$AH$259, COUNTIF($AM$10:$AM38, $AI$11:$AI$259), ""), 0)),"")</f>
        <v/>
      </c>
      <c r="AN39" s="25"/>
      <c r="AQ39" s="20">
        <f t="shared" si="5"/>
        <v>0</v>
      </c>
      <c r="AV39" s="540" t="str">
        <f>IFERROR(INDEX('G-1 All Habitats'!$B$3:$B$135,MATCH(F39,'G-1 All Habitats'!$A$3:$A$135,0)),"")</f>
        <v/>
      </c>
      <c r="AW39" s="20" t="str">
        <f>IF(AV39="","",VLOOKUP(AV39,'G-1 All Habitats'!$B$1:$T$135,19,FALSE))</f>
        <v/>
      </c>
    </row>
    <row r="40" spans="1:49" ht="14.5" thickBot="1" x14ac:dyDescent="0.35">
      <c r="A40" s="20" t="str">
        <f>IFERROR(INDEX('G-1 All Habitats'!$AG$3:$AG$17,MATCH(E40,'G-1 All Habitats'!$AF$3:$AF$17,0)),"")</f>
        <v/>
      </c>
      <c r="B40" s="20" t="str">
        <f>IFERROR(INDEX('G-8 Condition Look up'!$I$4:$I$135,MATCH(AV40,'G-8 Condition Look up'!$A$4:$A$135,0)),"")</f>
        <v/>
      </c>
      <c r="D40" s="238">
        <v>30</v>
      </c>
      <c r="E40" s="223"/>
      <c r="F40" s="45"/>
      <c r="G40" s="272"/>
      <c r="H40" s="37"/>
      <c r="I40" s="290" t="str">
        <f>IF(AV40="","",VLOOKUP(AV40,'G-1 All Habitats'!$B$2:$M$135,10,FALSE))</f>
        <v/>
      </c>
      <c r="J40" s="291" t="str">
        <f>IFERROR(VLOOKUP(I40,'G-1 All Habitats'!$V$3:$W$7,2,FALSE),"")</f>
        <v/>
      </c>
      <c r="K40" s="38"/>
      <c r="L40" s="291" t="str">
        <f>IFERROR(INDEX('G-8 Condition Look up'!$A$3:$H$135,MATCH(AV40,'G-8 Condition Look up'!$A$3:$A$135,0),MATCH(K40,'G-8 Condition Look up'!$A$3:$H$3,0)),"")</f>
        <v/>
      </c>
      <c r="M40" s="38"/>
      <c r="N40" s="310" t="str">
        <f>IF(M40="","",IF(VLOOKUP(M40,'G-3 Multipliers'!$L$3:$N$6,2,FALSE)=0,"Spatial Data Missing",VLOOKUP(M40,'G-3 Multipliers'!$L$3:$N$6,2,FALSE)))</f>
        <v/>
      </c>
      <c r="O40" s="296" t="str">
        <f>IF(M40="","",IF(VLOOKUP(M40,'G-3 Multipliers'!$L$3:$N$6,3,FALSE)=0,"Spatial Data Missing ▲",VLOOKUP(M40,'G-3 Multipliers'!$L$3:$N$6,3,FALSE)))</f>
        <v/>
      </c>
      <c r="P40" s="297" t="str">
        <f>(IF(G40="Yes","Bespoke compensation likely to be required 🛠",(IFERROR(VLOOKUP(AV40,'G-1 All Habitats'!$B$2:$M$135,12,FALSE),""))))</f>
        <v/>
      </c>
      <c r="Q40" s="304" t="str">
        <f>IFERROR(IF(AND(E40="Individual trees",T40&gt;0), "Error - you cannot enhance individual trees ▲", (IF(AND(U40="Irreplaceable habitat - no units generated ⚠",(S40+T40)&lt;H40, OR(Y40="No", Y40="")),"Any Loss Unacceptable ⚠", (IF(U40="Irreplaceable habitat - no units generated ⚠", T40*J40*L40*O40, IF(AND(P40='G-1 All Habitats'!$X$3, AC40&gt;0, S40&lt;=0, T40&lt;=0, OR(Y40="No", Y40="")),"Any Loss Unacceptable ⚠", IF(AND(P40='G-1 All Habitats'!$X$3, AC40&gt;0, S40&lt;=0, T40&lt;=0, Y40="Yes"), 0, (IF(AND(P40='G-1 All Habitats'!$X$3,(S40+T40)&lt;H40, OR(Y40="No", Y40="")),"Any Loss Unacceptable ⚠", (IF(P40="","",IF(AND(P40='G-1 All Habitats'!$X$3,T40&gt;0),U40+V40,IF(AND(P40='G-1 All Habitats'!$X$3,S40&gt;0),U40+V40,H40*J40*L40*O40))))))))))))),"Check Data ▲")</f>
        <v/>
      </c>
      <c r="R40" s="23"/>
      <c r="S40" s="38"/>
      <c r="T40" s="39"/>
      <c r="U40" s="302" t="str">
        <f t="shared" si="1"/>
        <v/>
      </c>
      <c r="V40" s="302" t="str">
        <f t="shared" si="2"/>
        <v/>
      </c>
      <c r="W40" s="302" t="str">
        <f>IF(E40="","",IF(H40&lt;S40+T40,"Error in Areas ▲",IF(P40&lt;&gt;'G-1 All Habitats'!$X$3,H40-S40-T40,IF(AND(P40='G-1 All Habitats'!$X$3,Y40="No"),AC40,IF(AND(P40='G-1 All Habitats'!$X$3,Y40=""),AC40,IF(AND(P40='G-1 All Habitats'!$X$3,AC40="None"),AC40,IF(AND(P40='G-1 All Habitats'!$X$3,AC40&gt;0),H40-S40-T40)))))))</f>
        <v/>
      </c>
      <c r="X40" s="306" t="str">
        <f>IFERROR(IF(H40="","",IF(H40-S40-T40=0&lt;0,"Error in Areas ▲",IF(S40+T40&gt;H40,"Error in Areas ▲",IF(AND(P40='G-1 All Habitats'!$X$3,Y40="Yes"),"Alternative Compensation ✓",IF(W40=0,0,IF(P40='G-1 All Habitats'!$X$3,"Any Loss Unacceptable ▲",Q40-U40-V40)))))),"Check Data ▲")</f>
        <v/>
      </c>
      <c r="Y40" s="39"/>
      <c r="Z40" s="46"/>
      <c r="AA40" s="419"/>
      <c r="AB40" s="101"/>
      <c r="AC40" s="495" t="str">
        <f>IF(OR(P40="", Y40="Yes"),"", IF(P40='G-1 All Habitats'!$X$3,H40-S40-T40,"None"))</f>
        <v/>
      </c>
      <c r="AD40" s="496" t="str">
        <f>IF(P40="","", IF(P40='G-1 All Habitats'!$X$3, AC40*J40*L40*O40,"None"))</f>
        <v/>
      </c>
      <c r="AE40" s="20" t="str">
        <f t="shared" si="3"/>
        <v/>
      </c>
      <c r="AF40" s="25" t="str">
        <f t="shared" si="4"/>
        <v/>
      </c>
      <c r="AG40" s="25" t="str">
        <f t="shared" si="0"/>
        <v/>
      </c>
      <c r="AH40" s="25" t="str">
        <f>IF(I40="","",IF(#REF!&gt;0,TRUE,FALSE))</f>
        <v/>
      </c>
      <c r="AI40" s="25">
        <v>30</v>
      </c>
      <c r="AJ40" s="25"/>
      <c r="AK40" s="25" t="str">
        <f t="array" ref="AK40">IFERROR(INDEX($AI$11:$AI$259, MATCH(0, IF(TRUE=$AF$11:$AF$259, COUNTIF($AK$10:$AK39, $AI$11:$AI$259), ""), 0)),"")</f>
        <v/>
      </c>
      <c r="AL40" s="25" t="str">
        <f t="array" ref="AL40">IFERROR(INDEX($AI$11:$AI$259, MATCH(0, IF(TRUE=$AG$11:$AG$259, COUNTIF($AL$10:$AL39, $AI$11:$AI$259), ""), 0)),"")</f>
        <v/>
      </c>
      <c r="AM40" s="25" t="str">
        <f t="array" ref="AM40">IFERROR(INDEX($AI$11:$AI$259, MATCH(0, IF(TRUE=$AH$11:$AH$259, COUNTIF($AM$10:$AM39, $AI$11:$AI$259), ""), 0)),"")</f>
        <v/>
      </c>
      <c r="AN40" s="25"/>
      <c r="AQ40" s="20">
        <f t="shared" si="5"/>
        <v>0</v>
      </c>
      <c r="AV40" s="540" t="str">
        <f>IFERROR(INDEX('G-1 All Habitats'!$B$3:$B$135,MATCH(F40,'G-1 All Habitats'!$A$3:$A$135,0)),"")</f>
        <v/>
      </c>
      <c r="AW40" s="20" t="str">
        <f>IF(AV40="","",VLOOKUP(AV40,'G-1 All Habitats'!$B$1:$T$135,19,FALSE))</f>
        <v/>
      </c>
    </row>
    <row r="41" spans="1:49" ht="14.5" thickBot="1" x14ac:dyDescent="0.35">
      <c r="A41" s="20" t="str">
        <f>IFERROR(INDEX('G-1 All Habitats'!$AG$3:$AG$17,MATCH(E41,'G-1 All Habitats'!$AF$3:$AF$17,0)),"")</f>
        <v/>
      </c>
      <c r="B41" s="20" t="str">
        <f>IFERROR(INDEX('G-8 Condition Look up'!$I$4:$I$135,MATCH(AV41,'G-8 Condition Look up'!$A$4:$A$135,0)),"")</f>
        <v/>
      </c>
      <c r="D41" s="238">
        <v>31</v>
      </c>
      <c r="E41" s="223"/>
      <c r="F41" s="45"/>
      <c r="G41" s="272"/>
      <c r="H41" s="37"/>
      <c r="I41" s="290" t="str">
        <f>IF(AV41="","",VLOOKUP(AV41,'G-1 All Habitats'!$B$2:$M$135,10,FALSE))</f>
        <v/>
      </c>
      <c r="J41" s="291" t="str">
        <f>IFERROR(VLOOKUP(I41,'G-1 All Habitats'!$V$3:$W$7,2,FALSE),"")</f>
        <v/>
      </c>
      <c r="K41" s="38"/>
      <c r="L41" s="291" t="str">
        <f>IFERROR(INDEX('G-8 Condition Look up'!$A$3:$H$135,MATCH(AV41,'G-8 Condition Look up'!$A$3:$A$135,0),MATCH(K41,'G-8 Condition Look up'!$A$3:$H$3,0)),"")</f>
        <v/>
      </c>
      <c r="M41" s="38"/>
      <c r="N41" s="310" t="str">
        <f>IF(M41="","",IF(VLOOKUP(M41,'G-3 Multipliers'!$L$3:$N$6,2,FALSE)=0,"Spatial Data Missing",VLOOKUP(M41,'G-3 Multipliers'!$L$3:$N$6,2,FALSE)))</f>
        <v/>
      </c>
      <c r="O41" s="296" t="str">
        <f>IF(M41="","",IF(VLOOKUP(M41,'G-3 Multipliers'!$L$3:$N$6,3,FALSE)=0,"Spatial Data Missing ▲",VLOOKUP(M41,'G-3 Multipliers'!$L$3:$N$6,3,FALSE)))</f>
        <v/>
      </c>
      <c r="P41" s="297" t="str">
        <f>(IF(G41="Yes","Bespoke compensation likely to be required 🛠",(IFERROR(VLOOKUP(AV41,'G-1 All Habitats'!$B$2:$M$135,12,FALSE),""))))</f>
        <v/>
      </c>
      <c r="Q41" s="304" t="str">
        <f>IFERROR(IF(AND(E41="Individual trees",T41&gt;0), "Error - you cannot enhance individual trees ▲", (IF(AND(U41="Irreplaceable habitat - no units generated ⚠",(S41+T41)&lt;H41, OR(Y41="No", Y41="")),"Any Loss Unacceptable ⚠", (IF(U41="Irreplaceable habitat - no units generated ⚠", T41*J41*L41*O41, IF(AND(P41='G-1 All Habitats'!$X$3, AC41&gt;0, S41&lt;=0, T41&lt;=0, OR(Y41="No", Y41="")),"Any Loss Unacceptable ⚠", IF(AND(P41='G-1 All Habitats'!$X$3, AC41&gt;0, S41&lt;=0, T41&lt;=0, Y41="Yes"), 0, (IF(AND(P41='G-1 All Habitats'!$X$3,(S41+T41)&lt;H41, OR(Y41="No", Y41="")),"Any Loss Unacceptable ⚠", (IF(P41="","",IF(AND(P41='G-1 All Habitats'!$X$3,T41&gt;0),U41+V41,IF(AND(P41='G-1 All Habitats'!$X$3,S41&gt;0),U41+V41,H41*J41*L41*O41))))))))))))),"Check Data ▲")</f>
        <v/>
      </c>
      <c r="R41" s="23"/>
      <c r="S41" s="38"/>
      <c r="T41" s="39"/>
      <c r="U41" s="302" t="str">
        <f t="shared" si="1"/>
        <v/>
      </c>
      <c r="V41" s="302" t="str">
        <f t="shared" si="2"/>
        <v/>
      </c>
      <c r="W41" s="302" t="str">
        <f>IF(E41="","",IF(H41&lt;S41+T41,"Error in Areas ▲",IF(P41&lt;&gt;'G-1 All Habitats'!$X$3,H41-S41-T41,IF(AND(P41='G-1 All Habitats'!$X$3,Y41="No"),AC41,IF(AND(P41='G-1 All Habitats'!$X$3,Y41=""),AC41,IF(AND(P41='G-1 All Habitats'!$X$3,AC41="None"),AC41,IF(AND(P41='G-1 All Habitats'!$X$3,AC41&gt;0),H41-S41-T41)))))))</f>
        <v/>
      </c>
      <c r="X41" s="306" t="str">
        <f>IFERROR(IF(H41="","",IF(H41-S41-T41=0&lt;0,"Error in Areas ▲",IF(S41+T41&gt;H41,"Error in Areas ▲",IF(AND(P41='G-1 All Habitats'!$X$3,Y41="Yes"),"Alternative Compensation ✓",IF(W41=0,0,IF(P41='G-1 All Habitats'!$X$3,"Any Loss Unacceptable ▲",Q41-U41-V41)))))),"Check Data ▲")</f>
        <v/>
      </c>
      <c r="Y41" s="39"/>
      <c r="Z41" s="46"/>
      <c r="AA41" s="419"/>
      <c r="AB41" s="101"/>
      <c r="AC41" s="495" t="str">
        <f>IF(OR(P41="", Y41="Yes"),"", IF(P41='G-1 All Habitats'!$X$3,H41-S41-T41,"None"))</f>
        <v/>
      </c>
      <c r="AD41" s="496" t="str">
        <f>IF(P41="","", IF(P41='G-1 All Habitats'!$X$3, AC41*J41*L41*O41,"None"))</f>
        <v/>
      </c>
      <c r="AE41" s="20" t="str">
        <f t="shared" si="3"/>
        <v/>
      </c>
      <c r="AF41" s="25" t="str">
        <f t="shared" si="4"/>
        <v/>
      </c>
      <c r="AG41" s="25" t="str">
        <f t="shared" si="0"/>
        <v/>
      </c>
      <c r="AH41" s="25" t="str">
        <f>IF(I41="","",IF(#REF!&gt;0,TRUE,FALSE))</f>
        <v/>
      </c>
      <c r="AI41" s="25">
        <v>31</v>
      </c>
      <c r="AJ41" s="25"/>
      <c r="AK41" s="25" t="str">
        <f t="array" ref="AK41">IFERROR(INDEX($AI$11:$AI$259, MATCH(0, IF(TRUE=$AF$11:$AF$259, COUNTIF($AK$10:$AK40, $AI$11:$AI$259), ""), 0)),"")</f>
        <v/>
      </c>
      <c r="AL41" s="25" t="str">
        <f t="array" ref="AL41">IFERROR(INDEX($AI$11:$AI$259, MATCH(0, IF(TRUE=$AG$11:$AG$259, COUNTIF($AL$10:$AL40, $AI$11:$AI$259), ""), 0)),"")</f>
        <v/>
      </c>
      <c r="AM41" s="25" t="str">
        <f t="array" ref="AM41">IFERROR(INDEX($AI$11:$AI$259, MATCH(0, IF(TRUE=$AH$11:$AH$259, COUNTIF($AM$10:$AM40, $AI$11:$AI$259), ""), 0)),"")</f>
        <v/>
      </c>
      <c r="AN41" s="25"/>
      <c r="AQ41" s="20">
        <f t="shared" si="5"/>
        <v>0</v>
      </c>
      <c r="AV41" s="540" t="str">
        <f>IFERROR(INDEX('G-1 All Habitats'!$B$3:$B$135,MATCH(F41,'G-1 All Habitats'!$A$3:$A$135,0)),"")</f>
        <v/>
      </c>
      <c r="AW41" s="20" t="str">
        <f>IF(AV41="","",VLOOKUP(AV41,'G-1 All Habitats'!$B$1:$T$135,19,FALSE))</f>
        <v/>
      </c>
    </row>
    <row r="42" spans="1:49" ht="14.5" thickBot="1" x14ac:dyDescent="0.35">
      <c r="A42" s="20" t="str">
        <f>IFERROR(INDEX('G-1 All Habitats'!$AG$3:$AG$17,MATCH(E42,'G-1 All Habitats'!$AF$3:$AF$17,0)),"")</f>
        <v/>
      </c>
      <c r="B42" s="20" t="str">
        <f>IFERROR(INDEX('G-8 Condition Look up'!$I$4:$I$135,MATCH(AV42,'G-8 Condition Look up'!$A$4:$A$135,0)),"")</f>
        <v/>
      </c>
      <c r="D42" s="238">
        <v>32</v>
      </c>
      <c r="E42" s="223"/>
      <c r="F42" s="45"/>
      <c r="G42" s="272"/>
      <c r="H42" s="37"/>
      <c r="I42" s="290" t="str">
        <f>IF(AV42="","",VLOOKUP(AV42,'G-1 All Habitats'!$B$2:$M$135,10,FALSE))</f>
        <v/>
      </c>
      <c r="J42" s="291" t="str">
        <f>IFERROR(VLOOKUP(I42,'G-1 All Habitats'!$V$3:$W$7,2,FALSE),"")</f>
        <v/>
      </c>
      <c r="K42" s="38"/>
      <c r="L42" s="291" t="str">
        <f>IFERROR(INDEX('G-8 Condition Look up'!$A$3:$H$135,MATCH(AV42,'G-8 Condition Look up'!$A$3:$A$135,0),MATCH(K42,'G-8 Condition Look up'!$A$3:$H$3,0)),"")</f>
        <v/>
      </c>
      <c r="M42" s="38"/>
      <c r="N42" s="310" t="str">
        <f>IF(M42="","",IF(VLOOKUP(M42,'G-3 Multipliers'!$L$3:$N$6,2,FALSE)=0,"Spatial Data Missing",VLOOKUP(M42,'G-3 Multipliers'!$L$3:$N$6,2,FALSE)))</f>
        <v/>
      </c>
      <c r="O42" s="296" t="str">
        <f>IF(M42="","",IF(VLOOKUP(M42,'G-3 Multipliers'!$L$3:$N$6,3,FALSE)=0,"Spatial Data Missing ▲",VLOOKUP(M42,'G-3 Multipliers'!$L$3:$N$6,3,FALSE)))</f>
        <v/>
      </c>
      <c r="P42" s="297" t="str">
        <f>(IF(G42="Yes","Bespoke compensation likely to be required 🛠",(IFERROR(VLOOKUP(AV42,'G-1 All Habitats'!$B$2:$M$135,12,FALSE),""))))</f>
        <v/>
      </c>
      <c r="Q42" s="304" t="str">
        <f>IFERROR(IF(AND(E42="Individual trees",T42&gt;0), "Error - you cannot enhance individual trees ▲", (IF(AND(U42="Irreplaceable habitat - no units generated ⚠",(S42+T42)&lt;H42, OR(Y42="No", Y42="")),"Any Loss Unacceptable ⚠", (IF(U42="Irreplaceable habitat - no units generated ⚠", T42*J42*L42*O42, IF(AND(P42='G-1 All Habitats'!$X$3, AC42&gt;0, S42&lt;=0, T42&lt;=0, OR(Y42="No", Y42="")),"Any Loss Unacceptable ⚠", IF(AND(P42='G-1 All Habitats'!$X$3, AC42&gt;0, S42&lt;=0, T42&lt;=0, Y42="Yes"), 0, (IF(AND(P42='G-1 All Habitats'!$X$3,(S42+T42)&lt;H42, OR(Y42="No", Y42="")),"Any Loss Unacceptable ⚠", (IF(P42="","",IF(AND(P42='G-1 All Habitats'!$X$3,T42&gt;0),U42+V42,IF(AND(P42='G-1 All Habitats'!$X$3,S42&gt;0),U42+V42,H42*J42*L42*O42))))))))))))),"Check Data ▲")</f>
        <v/>
      </c>
      <c r="R42" s="23"/>
      <c r="S42" s="38"/>
      <c r="T42" s="39"/>
      <c r="U42" s="302" t="str">
        <f t="shared" si="1"/>
        <v/>
      </c>
      <c r="V42" s="302" t="str">
        <f t="shared" si="2"/>
        <v/>
      </c>
      <c r="W42" s="302" t="str">
        <f>IF(E42="","",IF(H42&lt;S42+T42,"Error in Areas ▲",IF(P42&lt;&gt;'G-1 All Habitats'!$X$3,H42-S42-T42,IF(AND(P42='G-1 All Habitats'!$X$3,Y42="No"),AC42,IF(AND(P42='G-1 All Habitats'!$X$3,Y42=""),AC42,IF(AND(P42='G-1 All Habitats'!$X$3,AC42="None"),AC42,IF(AND(P42='G-1 All Habitats'!$X$3,AC42&gt;0),H42-S42-T42)))))))</f>
        <v/>
      </c>
      <c r="X42" s="306" t="str">
        <f>IFERROR(IF(H42="","",IF(H42-S42-T42=0&lt;0,"Error in Areas ▲",IF(S42+T42&gt;H42,"Error in Areas ▲",IF(AND(P42='G-1 All Habitats'!$X$3,Y42="Yes"),"Alternative Compensation ✓",IF(W42=0,0,IF(P42='G-1 All Habitats'!$X$3,"Any Loss Unacceptable ▲",Q42-U42-V42)))))),"Check Data ▲")</f>
        <v/>
      </c>
      <c r="Y42" s="39"/>
      <c r="Z42" s="46"/>
      <c r="AA42" s="419"/>
      <c r="AB42" s="101"/>
      <c r="AC42" s="495" t="str">
        <f>IF(OR(P42="", Y42="Yes"),"", IF(P42='G-1 All Habitats'!$X$3,H42-S42-T42,"None"))</f>
        <v/>
      </c>
      <c r="AD42" s="496" t="str">
        <f>IF(P42="","", IF(P42='G-1 All Habitats'!$X$3, AC42*J42*L42*O42,"None"))</f>
        <v/>
      </c>
      <c r="AE42" s="20" t="str">
        <f t="shared" si="3"/>
        <v/>
      </c>
      <c r="AF42" s="25" t="str">
        <f t="shared" si="4"/>
        <v/>
      </c>
      <c r="AG42" s="25" t="str">
        <f t="shared" si="0"/>
        <v/>
      </c>
      <c r="AH42" s="25" t="str">
        <f>IF(I42="","",IF(#REF!&gt;0,TRUE,FALSE))</f>
        <v/>
      </c>
      <c r="AI42" s="25">
        <v>32</v>
      </c>
      <c r="AJ42" s="25"/>
      <c r="AK42" s="25" t="str">
        <f t="array" ref="AK42">IFERROR(INDEX($AI$11:$AI$259, MATCH(0, IF(TRUE=$AF$11:$AF$259, COUNTIF($AK$10:$AK41, $AI$11:$AI$259), ""), 0)),"")</f>
        <v/>
      </c>
      <c r="AL42" s="25" t="str">
        <f t="array" ref="AL42">IFERROR(INDEX($AI$11:$AI$259, MATCH(0, IF(TRUE=$AG$11:$AG$259, COUNTIF($AL$10:$AL41, $AI$11:$AI$259), ""), 0)),"")</f>
        <v/>
      </c>
      <c r="AM42" s="25" t="str">
        <f t="array" ref="AM42">IFERROR(INDEX($AI$11:$AI$259, MATCH(0, IF(TRUE=$AH$11:$AH$259, COUNTIF($AM$10:$AM41, $AI$11:$AI$259), ""), 0)),"")</f>
        <v/>
      </c>
      <c r="AN42" s="25"/>
      <c r="AQ42" s="20">
        <f t="shared" si="5"/>
        <v>0</v>
      </c>
      <c r="AV42" s="540" t="str">
        <f>IFERROR(INDEX('G-1 All Habitats'!$B$3:$B$135,MATCH(F42,'G-1 All Habitats'!$A$3:$A$135,0)),"")</f>
        <v/>
      </c>
      <c r="AW42" s="20" t="str">
        <f>IF(AV42="","",VLOOKUP(AV42,'G-1 All Habitats'!$B$1:$T$135,19,FALSE))</f>
        <v/>
      </c>
    </row>
    <row r="43" spans="1:49" ht="14.5" thickBot="1" x14ac:dyDescent="0.35">
      <c r="A43" s="20" t="str">
        <f>IFERROR(INDEX('G-1 All Habitats'!$AG$3:$AG$17,MATCH(E43,'G-1 All Habitats'!$AF$3:$AF$17,0)),"")</f>
        <v/>
      </c>
      <c r="B43" s="20" t="str">
        <f>IFERROR(INDEX('G-8 Condition Look up'!$I$4:$I$135,MATCH(AV43,'G-8 Condition Look up'!$A$4:$A$135,0)),"")</f>
        <v/>
      </c>
      <c r="D43" s="238">
        <v>33</v>
      </c>
      <c r="E43" s="223"/>
      <c r="F43" s="45"/>
      <c r="G43" s="272"/>
      <c r="H43" s="37"/>
      <c r="I43" s="290" t="str">
        <f>IF(AV43="","",VLOOKUP(AV43,'G-1 All Habitats'!$B$2:$M$135,10,FALSE))</f>
        <v/>
      </c>
      <c r="J43" s="291" t="str">
        <f>IFERROR(VLOOKUP(I43,'G-1 All Habitats'!$V$3:$W$7,2,FALSE),"")</f>
        <v/>
      </c>
      <c r="K43" s="38"/>
      <c r="L43" s="291" t="str">
        <f>IFERROR(INDEX('G-8 Condition Look up'!$A$3:$H$135,MATCH(AV43,'G-8 Condition Look up'!$A$3:$A$135,0),MATCH(K43,'G-8 Condition Look up'!$A$3:$H$3,0)),"")</f>
        <v/>
      </c>
      <c r="M43" s="38"/>
      <c r="N43" s="310" t="str">
        <f>IF(M43="","",IF(VLOOKUP(M43,'G-3 Multipliers'!$L$3:$N$6,2,FALSE)=0,"Spatial Data Missing",VLOOKUP(M43,'G-3 Multipliers'!$L$3:$N$6,2,FALSE)))</f>
        <v/>
      </c>
      <c r="O43" s="296" t="str">
        <f>IF(M43="","",IF(VLOOKUP(M43,'G-3 Multipliers'!$L$3:$N$6,3,FALSE)=0,"Spatial Data Missing ▲",VLOOKUP(M43,'G-3 Multipliers'!$L$3:$N$6,3,FALSE)))</f>
        <v/>
      </c>
      <c r="P43" s="297" t="str">
        <f>(IF(G43="Yes","Bespoke compensation likely to be required 🛠",(IFERROR(VLOOKUP(AV43,'G-1 All Habitats'!$B$2:$M$135,12,FALSE),""))))</f>
        <v/>
      </c>
      <c r="Q43" s="304" t="str">
        <f>IFERROR(IF(AND(E43="Individual trees",T43&gt;0), "Error - you cannot enhance individual trees ▲", (IF(AND(U43="Irreplaceable habitat - no units generated ⚠",(S43+T43)&lt;H43, OR(Y43="No", Y43="")),"Any Loss Unacceptable ⚠", (IF(U43="Irreplaceable habitat - no units generated ⚠", T43*J43*L43*O43, IF(AND(P43='G-1 All Habitats'!$X$3, AC43&gt;0, S43&lt;=0, T43&lt;=0, OR(Y43="No", Y43="")),"Any Loss Unacceptable ⚠", IF(AND(P43='G-1 All Habitats'!$X$3, AC43&gt;0, S43&lt;=0, T43&lt;=0, Y43="Yes"), 0, (IF(AND(P43='G-1 All Habitats'!$X$3,(S43+T43)&lt;H43, OR(Y43="No", Y43="")),"Any Loss Unacceptable ⚠", (IF(P43="","",IF(AND(P43='G-1 All Habitats'!$X$3,T43&gt;0),U43+V43,IF(AND(P43='G-1 All Habitats'!$X$3,S43&gt;0),U43+V43,H43*J43*L43*O43))))))))))))),"Check Data ▲")</f>
        <v/>
      </c>
      <c r="R43" s="23"/>
      <c r="S43" s="38"/>
      <c r="T43" s="39"/>
      <c r="U43" s="302" t="str">
        <f t="shared" si="1"/>
        <v/>
      </c>
      <c r="V43" s="302" t="str">
        <f t="shared" si="2"/>
        <v/>
      </c>
      <c r="W43" s="302" t="str">
        <f>IF(E43="","",IF(H43&lt;S43+T43,"Error in Areas ▲",IF(P43&lt;&gt;'G-1 All Habitats'!$X$3,H43-S43-T43,IF(AND(P43='G-1 All Habitats'!$X$3,Y43="No"),AC43,IF(AND(P43='G-1 All Habitats'!$X$3,Y43=""),AC43,IF(AND(P43='G-1 All Habitats'!$X$3,AC43="None"),AC43,IF(AND(P43='G-1 All Habitats'!$X$3,AC43&gt;0),H43-S43-T43)))))))</f>
        <v/>
      </c>
      <c r="X43" s="306" t="str">
        <f>IFERROR(IF(H43="","",IF(H43-S43-T43=0&lt;0,"Error in Areas ▲",IF(S43+T43&gt;H43,"Error in Areas ▲",IF(AND(P43='G-1 All Habitats'!$X$3,Y43="Yes"),"Alternative Compensation ✓",IF(W43=0,0,IF(P43='G-1 All Habitats'!$X$3,"Any Loss Unacceptable ▲",Q43-U43-V43)))))),"Check Data ▲")</f>
        <v/>
      </c>
      <c r="Y43" s="39"/>
      <c r="Z43" s="46"/>
      <c r="AA43" s="419"/>
      <c r="AB43" s="101"/>
      <c r="AC43" s="495" t="str">
        <f>IF(OR(P43="", Y43="Yes"),"", IF(P43='G-1 All Habitats'!$X$3,H43-S43-T43,"None"))</f>
        <v/>
      </c>
      <c r="AD43" s="496" t="str">
        <f>IF(P43="","", IF(P43='G-1 All Habitats'!$X$3, AC43*J43*L43*O43,"None"))</f>
        <v/>
      </c>
      <c r="AE43" s="20" t="str">
        <f t="shared" si="3"/>
        <v/>
      </c>
      <c r="AF43" s="25" t="str">
        <f t="shared" si="4"/>
        <v/>
      </c>
      <c r="AG43" s="25" t="str">
        <f t="shared" si="0"/>
        <v/>
      </c>
      <c r="AH43" s="25" t="str">
        <f>IF(I43="","",IF(#REF!&gt;0,TRUE,FALSE))</f>
        <v/>
      </c>
      <c r="AI43" s="25">
        <v>33</v>
      </c>
      <c r="AJ43" s="25"/>
      <c r="AK43" s="25" t="str">
        <f t="array" ref="AK43">IFERROR(INDEX($AI$11:$AI$259, MATCH(0, IF(TRUE=$AF$11:$AF$259, COUNTIF($AK$10:$AK42, $AI$11:$AI$259), ""), 0)),"")</f>
        <v/>
      </c>
      <c r="AL43" s="25" t="str">
        <f t="array" ref="AL43">IFERROR(INDEX($AI$11:$AI$259, MATCH(0, IF(TRUE=$AG$11:$AG$259, COUNTIF($AL$10:$AL42, $AI$11:$AI$259), ""), 0)),"")</f>
        <v/>
      </c>
      <c r="AM43" s="25" t="str">
        <f t="array" ref="AM43">IFERROR(INDEX($AI$11:$AI$259, MATCH(0, IF(TRUE=$AH$11:$AH$259, COUNTIF($AM$10:$AM42, $AI$11:$AI$259), ""), 0)),"")</f>
        <v/>
      </c>
      <c r="AN43" s="25"/>
      <c r="AQ43" s="20">
        <f t="shared" si="5"/>
        <v>0</v>
      </c>
      <c r="AV43" s="540" t="str">
        <f>IFERROR(INDEX('G-1 All Habitats'!$B$3:$B$135,MATCH(F43,'G-1 All Habitats'!$A$3:$A$135,0)),"")</f>
        <v/>
      </c>
      <c r="AW43" s="20" t="str">
        <f>IF(AV43="","",VLOOKUP(AV43,'G-1 All Habitats'!$B$1:$T$135,19,FALSE))</f>
        <v/>
      </c>
    </row>
    <row r="44" spans="1:49" ht="14.5" thickBot="1" x14ac:dyDescent="0.35">
      <c r="A44" s="20" t="str">
        <f>IFERROR(INDEX('G-1 All Habitats'!$AG$3:$AG$17,MATCH(E44,'G-1 All Habitats'!$AF$3:$AF$17,0)),"")</f>
        <v/>
      </c>
      <c r="B44" s="20" t="str">
        <f>IFERROR(INDEX('G-8 Condition Look up'!$I$4:$I$135,MATCH(AV44,'G-8 Condition Look up'!$A$4:$A$135,0)),"")</f>
        <v/>
      </c>
      <c r="D44" s="238">
        <v>34</v>
      </c>
      <c r="E44" s="223"/>
      <c r="F44" s="45"/>
      <c r="G44" s="272"/>
      <c r="H44" s="37"/>
      <c r="I44" s="290" t="str">
        <f>IF(AV44="","",VLOOKUP(AV44,'G-1 All Habitats'!$B$2:$M$135,10,FALSE))</f>
        <v/>
      </c>
      <c r="J44" s="291" t="str">
        <f>IFERROR(VLOOKUP(I44,'G-1 All Habitats'!$V$3:$W$7,2,FALSE),"")</f>
        <v/>
      </c>
      <c r="K44" s="38"/>
      <c r="L44" s="291" t="str">
        <f>IFERROR(INDEX('G-8 Condition Look up'!$A$3:$H$135,MATCH(AV44,'G-8 Condition Look up'!$A$3:$A$135,0),MATCH(K44,'G-8 Condition Look up'!$A$3:$H$3,0)),"")</f>
        <v/>
      </c>
      <c r="M44" s="38"/>
      <c r="N44" s="310" t="str">
        <f>IF(M44="","",IF(VLOOKUP(M44,'G-3 Multipliers'!$L$3:$N$6,2,FALSE)=0,"Spatial Data Missing",VLOOKUP(M44,'G-3 Multipliers'!$L$3:$N$6,2,FALSE)))</f>
        <v/>
      </c>
      <c r="O44" s="296" t="str">
        <f>IF(M44="","",IF(VLOOKUP(M44,'G-3 Multipliers'!$L$3:$N$6,3,FALSE)=0,"Spatial Data Missing ▲",VLOOKUP(M44,'G-3 Multipliers'!$L$3:$N$6,3,FALSE)))</f>
        <v/>
      </c>
      <c r="P44" s="297" t="str">
        <f>(IF(G44="Yes","Bespoke compensation likely to be required 🛠",(IFERROR(VLOOKUP(AV44,'G-1 All Habitats'!$B$2:$M$135,12,FALSE),""))))</f>
        <v/>
      </c>
      <c r="Q44" s="304" t="str">
        <f>IFERROR(IF(AND(E44="Individual trees",T44&gt;0), "Error - you cannot enhance individual trees ▲", (IF(AND(U44="Irreplaceable habitat - no units generated ⚠",(S44+T44)&lt;H44, OR(Y44="No", Y44="")),"Any Loss Unacceptable ⚠", (IF(U44="Irreplaceable habitat - no units generated ⚠", T44*J44*L44*O44, IF(AND(P44='G-1 All Habitats'!$X$3, AC44&gt;0, S44&lt;=0, T44&lt;=0, OR(Y44="No", Y44="")),"Any Loss Unacceptable ⚠", IF(AND(P44='G-1 All Habitats'!$X$3, AC44&gt;0, S44&lt;=0, T44&lt;=0, Y44="Yes"), 0, (IF(AND(P44='G-1 All Habitats'!$X$3,(S44+T44)&lt;H44, OR(Y44="No", Y44="")),"Any Loss Unacceptable ⚠", (IF(P44="","",IF(AND(P44='G-1 All Habitats'!$X$3,T44&gt;0),U44+V44,IF(AND(P44='G-1 All Habitats'!$X$3,S44&gt;0),U44+V44,H44*J44*L44*O44))))))))))))),"Check Data ▲")</f>
        <v/>
      </c>
      <c r="R44" s="23"/>
      <c r="S44" s="38"/>
      <c r="T44" s="39"/>
      <c r="U44" s="302" t="str">
        <f t="shared" si="1"/>
        <v/>
      </c>
      <c r="V44" s="302" t="str">
        <f t="shared" si="2"/>
        <v/>
      </c>
      <c r="W44" s="302" t="str">
        <f>IF(E44="","",IF(H44&lt;S44+T44,"Error in Areas ▲",IF(P44&lt;&gt;'G-1 All Habitats'!$X$3,H44-S44-T44,IF(AND(P44='G-1 All Habitats'!$X$3,Y44="No"),AC44,IF(AND(P44='G-1 All Habitats'!$X$3,Y44=""),AC44,IF(AND(P44='G-1 All Habitats'!$X$3,AC44="None"),AC44,IF(AND(P44='G-1 All Habitats'!$X$3,AC44&gt;0),H44-S44-T44)))))))</f>
        <v/>
      </c>
      <c r="X44" s="306" t="str">
        <f>IFERROR(IF(H44="","",IF(H44-S44-T44=0&lt;0,"Error in Areas ▲",IF(S44+T44&gt;H44,"Error in Areas ▲",IF(AND(P44='G-1 All Habitats'!$X$3,Y44="Yes"),"Alternative Compensation ✓",IF(W44=0,0,IF(P44='G-1 All Habitats'!$X$3,"Any Loss Unacceptable ▲",Q44-U44-V44)))))),"Check Data ▲")</f>
        <v/>
      </c>
      <c r="Y44" s="39"/>
      <c r="Z44" s="46"/>
      <c r="AA44" s="419"/>
      <c r="AB44" s="101"/>
      <c r="AC44" s="495" t="str">
        <f>IF(OR(P44="", Y44="Yes"),"", IF(P44='G-1 All Habitats'!$X$3,H44-S44-T44,"None"))</f>
        <v/>
      </c>
      <c r="AD44" s="496" t="str">
        <f>IF(P44="","", IF(P44='G-1 All Habitats'!$X$3, AC44*J44*L44*O44,"None"))</f>
        <v/>
      </c>
      <c r="AE44" s="20" t="str">
        <f t="shared" si="3"/>
        <v/>
      </c>
      <c r="AF44" s="25" t="str">
        <f t="shared" si="4"/>
        <v/>
      </c>
      <c r="AG44" s="25" t="str">
        <f t="shared" si="0"/>
        <v/>
      </c>
      <c r="AH44" s="25" t="str">
        <f>IF(I44="","",IF(#REF!&gt;0,TRUE,FALSE))</f>
        <v/>
      </c>
      <c r="AI44" s="25">
        <v>34</v>
      </c>
      <c r="AJ44" s="25"/>
      <c r="AK44" s="25" t="str">
        <f t="array" ref="AK44">IFERROR(INDEX($AI$11:$AI$259, MATCH(0, IF(TRUE=$AF$11:$AF$259, COUNTIF($AK$10:$AK43, $AI$11:$AI$259), ""), 0)),"")</f>
        <v/>
      </c>
      <c r="AL44" s="25" t="str">
        <f t="array" ref="AL44">IFERROR(INDEX($AI$11:$AI$259, MATCH(0, IF(TRUE=$AG$11:$AG$259, COUNTIF($AL$10:$AL43, $AI$11:$AI$259), ""), 0)),"")</f>
        <v/>
      </c>
      <c r="AM44" s="25" t="str">
        <f t="array" ref="AM44">IFERROR(INDEX($AI$11:$AI$259, MATCH(0, IF(TRUE=$AH$11:$AH$259, COUNTIF($AM$10:$AM43, $AI$11:$AI$259), ""), 0)),"")</f>
        <v/>
      </c>
      <c r="AN44" s="25"/>
      <c r="AQ44" s="20">
        <f t="shared" si="5"/>
        <v>0</v>
      </c>
      <c r="AV44" s="540" t="str">
        <f>IFERROR(INDEX('G-1 All Habitats'!$B$3:$B$135,MATCH(F44,'G-1 All Habitats'!$A$3:$A$135,0)),"")</f>
        <v/>
      </c>
      <c r="AW44" s="20" t="str">
        <f>IF(AV44="","",VLOOKUP(AV44,'G-1 All Habitats'!$B$1:$T$135,19,FALSE))</f>
        <v/>
      </c>
    </row>
    <row r="45" spans="1:49" ht="14.5" thickBot="1" x14ac:dyDescent="0.35">
      <c r="A45" s="20" t="str">
        <f>IFERROR(INDEX('G-1 All Habitats'!$AG$3:$AG$17,MATCH(E45,'G-1 All Habitats'!$AF$3:$AF$17,0)),"")</f>
        <v/>
      </c>
      <c r="B45" s="20" t="str">
        <f>IFERROR(INDEX('G-8 Condition Look up'!$I$4:$I$135,MATCH(AV45,'G-8 Condition Look up'!$A$4:$A$135,0)),"")</f>
        <v/>
      </c>
      <c r="D45" s="238">
        <v>35</v>
      </c>
      <c r="E45" s="223"/>
      <c r="F45" s="45"/>
      <c r="G45" s="272"/>
      <c r="H45" s="37"/>
      <c r="I45" s="290" t="str">
        <f>IF(AV45="","",VLOOKUP(AV45,'G-1 All Habitats'!$B$2:$M$135,10,FALSE))</f>
        <v/>
      </c>
      <c r="J45" s="291" t="str">
        <f>IFERROR(VLOOKUP(I45,'G-1 All Habitats'!$V$3:$W$7,2,FALSE),"")</f>
        <v/>
      </c>
      <c r="K45" s="38"/>
      <c r="L45" s="291" t="str">
        <f>IFERROR(INDEX('G-8 Condition Look up'!$A$3:$H$135,MATCH(AV45,'G-8 Condition Look up'!$A$3:$A$135,0),MATCH(K45,'G-8 Condition Look up'!$A$3:$H$3,0)),"")</f>
        <v/>
      </c>
      <c r="M45" s="38"/>
      <c r="N45" s="310" t="str">
        <f>IF(M45="","",IF(VLOOKUP(M45,'G-3 Multipliers'!$L$3:$N$6,2,FALSE)=0,"Spatial Data Missing",VLOOKUP(M45,'G-3 Multipliers'!$L$3:$N$6,2,FALSE)))</f>
        <v/>
      </c>
      <c r="O45" s="296" t="str">
        <f>IF(M45="","",IF(VLOOKUP(M45,'G-3 Multipliers'!$L$3:$N$6,3,FALSE)=0,"Spatial Data Missing ▲",VLOOKUP(M45,'G-3 Multipliers'!$L$3:$N$6,3,FALSE)))</f>
        <v/>
      </c>
      <c r="P45" s="297" t="str">
        <f>(IF(G45="Yes","Bespoke compensation likely to be required 🛠",(IFERROR(VLOOKUP(AV45,'G-1 All Habitats'!$B$2:$M$135,12,FALSE),""))))</f>
        <v/>
      </c>
      <c r="Q45" s="304" t="str">
        <f>IFERROR(IF(AND(E45="Individual trees",T45&gt;0), "Error - you cannot enhance individual trees ▲", (IF(AND(U45="Irreplaceable habitat - no units generated ⚠",(S45+T45)&lt;H45, OR(Y45="No", Y45="")),"Any Loss Unacceptable ⚠", (IF(U45="Irreplaceable habitat - no units generated ⚠", T45*J45*L45*O45, IF(AND(P45='G-1 All Habitats'!$X$3, AC45&gt;0, S45&lt;=0, T45&lt;=0, OR(Y45="No", Y45="")),"Any Loss Unacceptable ⚠", IF(AND(P45='G-1 All Habitats'!$X$3, AC45&gt;0, S45&lt;=0, T45&lt;=0, Y45="Yes"), 0, (IF(AND(P45='G-1 All Habitats'!$X$3,(S45+T45)&lt;H45, OR(Y45="No", Y45="")),"Any Loss Unacceptable ⚠", (IF(P45="","",IF(AND(P45='G-1 All Habitats'!$X$3,T45&gt;0),U45+V45,IF(AND(P45='G-1 All Habitats'!$X$3,S45&gt;0),U45+V45,H45*J45*L45*O45))))))))))))),"Check Data ▲")</f>
        <v/>
      </c>
      <c r="R45" s="23"/>
      <c r="S45" s="38"/>
      <c r="T45" s="39"/>
      <c r="U45" s="302" t="str">
        <f t="shared" si="1"/>
        <v/>
      </c>
      <c r="V45" s="302" t="str">
        <f t="shared" si="2"/>
        <v/>
      </c>
      <c r="W45" s="302" t="str">
        <f>IF(E45="","",IF(H45&lt;S45+T45,"Error in Areas ▲",IF(P45&lt;&gt;'G-1 All Habitats'!$X$3,H45-S45-T45,IF(AND(P45='G-1 All Habitats'!$X$3,Y45="No"),AC45,IF(AND(P45='G-1 All Habitats'!$X$3,Y45=""),AC45,IF(AND(P45='G-1 All Habitats'!$X$3,AC45="None"),AC45,IF(AND(P45='G-1 All Habitats'!$X$3,AC45&gt;0),H45-S45-T45)))))))</f>
        <v/>
      </c>
      <c r="X45" s="306" t="str">
        <f>IFERROR(IF(H45="","",IF(H45-S45-T45=0&lt;0,"Error in Areas ▲",IF(S45+T45&gt;H45,"Error in Areas ▲",IF(AND(P45='G-1 All Habitats'!$X$3,Y45="Yes"),"Alternative Compensation ✓",IF(W45=0,0,IF(P45='G-1 All Habitats'!$X$3,"Any Loss Unacceptable ▲",Q45-U45-V45)))))),"Check Data ▲")</f>
        <v/>
      </c>
      <c r="Y45" s="39"/>
      <c r="Z45" s="46"/>
      <c r="AA45" s="419"/>
      <c r="AB45" s="101"/>
      <c r="AC45" s="495" t="str">
        <f>IF(OR(P45="", Y45="Yes"),"", IF(P45='G-1 All Habitats'!$X$3,H45-S45-T45,"None"))</f>
        <v/>
      </c>
      <c r="AD45" s="496" t="str">
        <f>IF(P45="","", IF(P45='G-1 All Habitats'!$X$3, AC45*J45*L45*O45,"None"))</f>
        <v/>
      </c>
      <c r="AE45" s="20" t="str">
        <f t="shared" si="3"/>
        <v/>
      </c>
      <c r="AF45" s="25" t="str">
        <f t="shared" si="4"/>
        <v/>
      </c>
      <c r="AG45" s="25" t="str">
        <f t="shared" si="0"/>
        <v/>
      </c>
      <c r="AH45" s="25" t="str">
        <f>IF(I45="","",IF(#REF!&gt;0,TRUE,FALSE))</f>
        <v/>
      </c>
      <c r="AI45" s="25">
        <v>35</v>
      </c>
      <c r="AJ45" s="25"/>
      <c r="AK45" s="25" t="str">
        <f t="array" ref="AK45">IFERROR(INDEX($AI$11:$AI$259, MATCH(0, IF(TRUE=$AF$11:$AF$259, COUNTIF($AK$10:$AK44, $AI$11:$AI$259), ""), 0)),"")</f>
        <v/>
      </c>
      <c r="AL45" s="25" t="str">
        <f t="array" ref="AL45">IFERROR(INDEX($AI$11:$AI$259, MATCH(0, IF(TRUE=$AG$11:$AG$259, COUNTIF($AL$10:$AL44, $AI$11:$AI$259), ""), 0)),"")</f>
        <v/>
      </c>
      <c r="AM45" s="25" t="str">
        <f t="array" ref="AM45">IFERROR(INDEX($AI$11:$AI$259, MATCH(0, IF(TRUE=$AH$11:$AH$259, COUNTIF($AM$10:$AM44, $AI$11:$AI$259), ""), 0)),"")</f>
        <v/>
      </c>
      <c r="AN45" s="25"/>
      <c r="AQ45" s="20">
        <f t="shared" si="5"/>
        <v>0</v>
      </c>
      <c r="AV45" s="540" t="str">
        <f>IFERROR(INDEX('G-1 All Habitats'!$B$3:$B$135,MATCH(F45,'G-1 All Habitats'!$A$3:$A$135,0)),"")</f>
        <v/>
      </c>
      <c r="AW45" s="20" t="str">
        <f>IF(AV45="","",VLOOKUP(AV45,'G-1 All Habitats'!$B$1:$T$135,19,FALSE))</f>
        <v/>
      </c>
    </row>
    <row r="46" spans="1:49" ht="14.5" thickBot="1" x14ac:dyDescent="0.35">
      <c r="A46" s="20" t="str">
        <f>IFERROR(INDEX('G-1 All Habitats'!$AG$3:$AG$17,MATCH(E46,'G-1 All Habitats'!$AF$3:$AF$17,0)),"")</f>
        <v/>
      </c>
      <c r="B46" s="20" t="str">
        <f>IFERROR(INDEX('G-8 Condition Look up'!$I$4:$I$135,MATCH(AV46,'G-8 Condition Look up'!$A$4:$A$135,0)),"")</f>
        <v/>
      </c>
      <c r="D46" s="238">
        <v>36</v>
      </c>
      <c r="E46" s="223"/>
      <c r="F46" s="45"/>
      <c r="G46" s="272"/>
      <c r="H46" s="37"/>
      <c r="I46" s="290" t="str">
        <f>IF(AV46="","",VLOOKUP(AV46,'G-1 All Habitats'!$B$2:$M$135,10,FALSE))</f>
        <v/>
      </c>
      <c r="J46" s="291" t="str">
        <f>IFERROR(VLOOKUP(I46,'G-1 All Habitats'!$V$3:$W$7,2,FALSE),"")</f>
        <v/>
      </c>
      <c r="K46" s="38"/>
      <c r="L46" s="291" t="str">
        <f>IFERROR(INDEX('G-8 Condition Look up'!$A$3:$H$135,MATCH(AV46,'G-8 Condition Look up'!$A$3:$A$135,0),MATCH(K46,'G-8 Condition Look up'!$A$3:$H$3,0)),"")</f>
        <v/>
      </c>
      <c r="M46" s="38"/>
      <c r="N46" s="310" t="str">
        <f>IF(M46="","",IF(VLOOKUP(M46,'G-3 Multipliers'!$L$3:$N$6,2,FALSE)=0,"Spatial Data Missing",VLOOKUP(M46,'G-3 Multipliers'!$L$3:$N$6,2,FALSE)))</f>
        <v/>
      </c>
      <c r="O46" s="296" t="str">
        <f>IF(M46="","",IF(VLOOKUP(M46,'G-3 Multipliers'!$L$3:$N$6,3,FALSE)=0,"Spatial Data Missing ▲",VLOOKUP(M46,'G-3 Multipliers'!$L$3:$N$6,3,FALSE)))</f>
        <v/>
      </c>
      <c r="P46" s="297" t="str">
        <f>(IF(G46="Yes","Bespoke compensation likely to be required 🛠",(IFERROR(VLOOKUP(AV46,'G-1 All Habitats'!$B$2:$M$135,12,FALSE),""))))</f>
        <v/>
      </c>
      <c r="Q46" s="304" t="str">
        <f>IFERROR(IF(AND(E46="Individual trees",T46&gt;0), "Error - you cannot enhance individual trees ▲", (IF(AND(U46="Irreplaceable habitat - no units generated ⚠",(S46+T46)&lt;H46, OR(Y46="No", Y46="")),"Any Loss Unacceptable ⚠", (IF(U46="Irreplaceable habitat - no units generated ⚠", T46*J46*L46*O46, IF(AND(P46='G-1 All Habitats'!$X$3, AC46&gt;0, S46&lt;=0, T46&lt;=0, OR(Y46="No", Y46="")),"Any Loss Unacceptable ⚠", IF(AND(P46='G-1 All Habitats'!$X$3, AC46&gt;0, S46&lt;=0, T46&lt;=0, Y46="Yes"), 0, (IF(AND(P46='G-1 All Habitats'!$X$3,(S46+T46)&lt;H46, OR(Y46="No", Y46="")),"Any Loss Unacceptable ⚠", (IF(P46="","",IF(AND(P46='G-1 All Habitats'!$X$3,T46&gt;0),U46+V46,IF(AND(P46='G-1 All Habitats'!$X$3,S46&gt;0),U46+V46,H46*J46*L46*O46))))))))))))),"Check Data ▲")</f>
        <v/>
      </c>
      <c r="R46" s="23"/>
      <c r="S46" s="38"/>
      <c r="T46" s="39"/>
      <c r="U46" s="302" t="str">
        <f t="shared" si="1"/>
        <v/>
      </c>
      <c r="V46" s="302" t="str">
        <f t="shared" si="2"/>
        <v/>
      </c>
      <c r="W46" s="302" t="str">
        <f>IF(E46="","",IF(H46&lt;S46+T46,"Error in Areas ▲",IF(P46&lt;&gt;'G-1 All Habitats'!$X$3,H46-S46-T46,IF(AND(P46='G-1 All Habitats'!$X$3,Y46="No"),AC46,IF(AND(P46='G-1 All Habitats'!$X$3,Y46=""),AC46,IF(AND(P46='G-1 All Habitats'!$X$3,AC46="None"),AC46,IF(AND(P46='G-1 All Habitats'!$X$3,AC46&gt;0),H46-S46-T46)))))))</f>
        <v/>
      </c>
      <c r="X46" s="306" t="str">
        <f>IFERROR(IF(H46="","",IF(H46-S46-T46=0&lt;0,"Error in Areas ▲",IF(S46+T46&gt;H46,"Error in Areas ▲",IF(AND(P46='G-1 All Habitats'!$X$3,Y46="Yes"),"Alternative Compensation ✓",IF(W46=0,0,IF(P46='G-1 All Habitats'!$X$3,"Any Loss Unacceptable ▲",Q46-U46-V46)))))),"Check Data ▲")</f>
        <v/>
      </c>
      <c r="Y46" s="39"/>
      <c r="Z46" s="46"/>
      <c r="AA46" s="419"/>
      <c r="AB46" s="101"/>
      <c r="AC46" s="495" t="str">
        <f>IF(OR(P46="", Y46="Yes"),"", IF(P46='G-1 All Habitats'!$X$3,H46-S46-T46,"None"))</f>
        <v/>
      </c>
      <c r="AD46" s="496" t="str">
        <f>IF(P46="","", IF(P46='G-1 All Habitats'!$X$3, AC46*J46*L46*O46,"None"))</f>
        <v/>
      </c>
      <c r="AE46" s="20" t="str">
        <f t="shared" si="3"/>
        <v/>
      </c>
      <c r="AF46" s="25" t="str">
        <f t="shared" si="4"/>
        <v/>
      </c>
      <c r="AG46" s="25" t="str">
        <f t="shared" si="0"/>
        <v/>
      </c>
      <c r="AH46" s="25" t="str">
        <f>IF(I46="","",IF(#REF!&gt;0,TRUE,FALSE))</f>
        <v/>
      </c>
      <c r="AI46" s="25">
        <v>36</v>
      </c>
      <c r="AJ46" s="25"/>
      <c r="AK46" s="25" t="str">
        <f t="array" ref="AK46">IFERROR(INDEX($AI$11:$AI$259, MATCH(0, IF(TRUE=$AF$11:$AF$259, COUNTIF($AK$10:$AK45, $AI$11:$AI$259), ""), 0)),"")</f>
        <v/>
      </c>
      <c r="AL46" s="25" t="str">
        <f t="array" ref="AL46">IFERROR(INDEX($AI$11:$AI$259, MATCH(0, IF(TRUE=$AG$11:$AG$259, COUNTIF($AL$10:$AL45, $AI$11:$AI$259), ""), 0)),"")</f>
        <v/>
      </c>
      <c r="AM46" s="25" t="str">
        <f t="array" ref="AM46">IFERROR(INDEX($AI$11:$AI$259, MATCH(0, IF(TRUE=$AH$11:$AH$259, COUNTIF($AM$10:$AM45, $AI$11:$AI$259), ""), 0)),"")</f>
        <v/>
      </c>
      <c r="AN46" s="25"/>
      <c r="AQ46" s="20">
        <f t="shared" si="5"/>
        <v>0</v>
      </c>
      <c r="AV46" s="540" t="str">
        <f>IFERROR(INDEX('G-1 All Habitats'!$B$3:$B$135,MATCH(F46,'G-1 All Habitats'!$A$3:$A$135,0)),"")</f>
        <v/>
      </c>
      <c r="AW46" s="20" t="str">
        <f>IF(AV46="","",VLOOKUP(AV46,'G-1 All Habitats'!$B$1:$T$135,19,FALSE))</f>
        <v/>
      </c>
    </row>
    <row r="47" spans="1:49" ht="14.5" thickBot="1" x14ac:dyDescent="0.35">
      <c r="A47" s="20" t="str">
        <f>IFERROR(INDEX('G-1 All Habitats'!$AG$3:$AG$17,MATCH(E47,'G-1 All Habitats'!$AF$3:$AF$17,0)),"")</f>
        <v/>
      </c>
      <c r="B47" s="20" t="str">
        <f>IFERROR(INDEX('G-8 Condition Look up'!$I$4:$I$135,MATCH(AV47,'G-8 Condition Look up'!$A$4:$A$135,0)),"")</f>
        <v/>
      </c>
      <c r="D47" s="238">
        <v>37</v>
      </c>
      <c r="E47" s="223"/>
      <c r="F47" s="45"/>
      <c r="G47" s="272"/>
      <c r="H47" s="37"/>
      <c r="I47" s="290" t="str">
        <f>IF(AV47="","",VLOOKUP(AV47,'G-1 All Habitats'!$B$2:$M$135,10,FALSE))</f>
        <v/>
      </c>
      <c r="J47" s="291" t="str">
        <f>IFERROR(VLOOKUP(I47,'G-1 All Habitats'!$V$3:$W$7,2,FALSE),"")</f>
        <v/>
      </c>
      <c r="K47" s="38"/>
      <c r="L47" s="291" t="str">
        <f>IFERROR(INDEX('G-8 Condition Look up'!$A$3:$H$135,MATCH(AV47,'G-8 Condition Look up'!$A$3:$A$135,0),MATCH(K47,'G-8 Condition Look up'!$A$3:$H$3,0)),"")</f>
        <v/>
      </c>
      <c r="M47" s="38"/>
      <c r="N47" s="310" t="str">
        <f>IF(M47="","",IF(VLOOKUP(M47,'G-3 Multipliers'!$L$3:$N$6,2,FALSE)=0,"Spatial Data Missing",VLOOKUP(M47,'G-3 Multipliers'!$L$3:$N$6,2,FALSE)))</f>
        <v/>
      </c>
      <c r="O47" s="296" t="str">
        <f>IF(M47="","",IF(VLOOKUP(M47,'G-3 Multipliers'!$L$3:$N$6,3,FALSE)=0,"Spatial Data Missing ▲",VLOOKUP(M47,'G-3 Multipliers'!$L$3:$N$6,3,FALSE)))</f>
        <v/>
      </c>
      <c r="P47" s="297" t="str">
        <f>(IF(G47="Yes","Bespoke compensation likely to be required 🛠",(IFERROR(VLOOKUP(AV47,'G-1 All Habitats'!$B$2:$M$135,12,FALSE),""))))</f>
        <v/>
      </c>
      <c r="Q47" s="304" t="str">
        <f>IFERROR(IF(AND(E47="Individual trees",T47&gt;0), "Error - you cannot enhance individual trees ▲", (IF(AND(U47="Irreplaceable habitat - no units generated ⚠",(S47+T47)&lt;H47, OR(Y47="No", Y47="")),"Any Loss Unacceptable ⚠", (IF(U47="Irreplaceable habitat - no units generated ⚠", T47*J47*L47*O47, IF(AND(P47='G-1 All Habitats'!$X$3, AC47&gt;0, S47&lt;=0, T47&lt;=0, OR(Y47="No", Y47="")),"Any Loss Unacceptable ⚠", IF(AND(P47='G-1 All Habitats'!$X$3, AC47&gt;0, S47&lt;=0, T47&lt;=0, Y47="Yes"), 0, (IF(AND(P47='G-1 All Habitats'!$X$3,(S47+T47)&lt;H47, OR(Y47="No", Y47="")),"Any Loss Unacceptable ⚠", (IF(P47="","",IF(AND(P47='G-1 All Habitats'!$X$3,T47&gt;0),U47+V47,IF(AND(P47='G-1 All Habitats'!$X$3,S47&gt;0),U47+V47,H47*J47*L47*O47))))))))))))),"Check Data ▲")</f>
        <v/>
      </c>
      <c r="R47" s="23"/>
      <c r="S47" s="38"/>
      <c r="T47" s="39"/>
      <c r="U47" s="302" t="str">
        <f t="shared" si="1"/>
        <v/>
      </c>
      <c r="V47" s="302" t="str">
        <f t="shared" si="2"/>
        <v/>
      </c>
      <c r="W47" s="302" t="str">
        <f>IF(E47="","",IF(H47&lt;S47+T47,"Error in Areas ▲",IF(P47&lt;&gt;'G-1 All Habitats'!$X$3,H47-S47-T47,IF(AND(P47='G-1 All Habitats'!$X$3,Y47="No"),AC47,IF(AND(P47='G-1 All Habitats'!$X$3,Y47=""),AC47,IF(AND(P47='G-1 All Habitats'!$X$3,AC47="None"),AC47,IF(AND(P47='G-1 All Habitats'!$X$3,AC47&gt;0),H47-S47-T47)))))))</f>
        <v/>
      </c>
      <c r="X47" s="306" t="str">
        <f>IFERROR(IF(H47="","",IF(H47-S47-T47=0&lt;0,"Error in Areas ▲",IF(S47+T47&gt;H47,"Error in Areas ▲",IF(AND(P47='G-1 All Habitats'!$X$3,Y47="Yes"),"Alternative Compensation ✓",IF(W47=0,0,IF(P47='G-1 All Habitats'!$X$3,"Any Loss Unacceptable ▲",Q47-U47-V47)))))),"Check Data ▲")</f>
        <v/>
      </c>
      <c r="Y47" s="39"/>
      <c r="Z47" s="46"/>
      <c r="AA47" s="419"/>
      <c r="AB47" s="101"/>
      <c r="AC47" s="495" t="str">
        <f>IF(OR(P47="", Y47="Yes"),"", IF(P47='G-1 All Habitats'!$X$3,H47-S47-T47,"None"))</f>
        <v/>
      </c>
      <c r="AD47" s="496" t="str">
        <f>IF(P47="","", IF(P47='G-1 All Habitats'!$X$3, AC47*J47*L47*O47,"None"))</f>
        <v/>
      </c>
      <c r="AE47" s="20" t="str">
        <f t="shared" si="3"/>
        <v/>
      </c>
      <c r="AF47" s="25" t="str">
        <f t="shared" si="4"/>
        <v/>
      </c>
      <c r="AG47" s="25" t="str">
        <f t="shared" si="0"/>
        <v/>
      </c>
      <c r="AH47" s="25" t="str">
        <f>IF(I47="","",IF(#REF!&gt;0,TRUE,FALSE))</f>
        <v/>
      </c>
      <c r="AI47" s="25">
        <v>37</v>
      </c>
      <c r="AJ47" s="25"/>
      <c r="AK47" s="25" t="str">
        <f t="array" ref="AK47">IFERROR(INDEX($AI$11:$AI$259, MATCH(0, IF(TRUE=$AF$11:$AF$259, COUNTIF($AK$10:$AK46, $AI$11:$AI$259), ""), 0)),"")</f>
        <v/>
      </c>
      <c r="AL47" s="25" t="str">
        <f t="array" ref="AL47">IFERROR(INDEX($AI$11:$AI$259, MATCH(0, IF(TRUE=$AG$11:$AG$259, COUNTIF($AL$10:$AL46, $AI$11:$AI$259), ""), 0)),"")</f>
        <v/>
      </c>
      <c r="AM47" s="25" t="str">
        <f t="array" ref="AM47">IFERROR(INDEX($AI$11:$AI$259, MATCH(0, IF(TRUE=$AH$11:$AH$259, COUNTIF($AM$10:$AM46, $AI$11:$AI$259), ""), 0)),"")</f>
        <v/>
      </c>
      <c r="AN47" s="25"/>
      <c r="AQ47" s="20">
        <f t="shared" si="5"/>
        <v>0</v>
      </c>
      <c r="AV47" s="540" t="str">
        <f>IFERROR(INDEX('G-1 All Habitats'!$B$3:$B$135,MATCH(F47,'G-1 All Habitats'!$A$3:$A$135,0)),"")</f>
        <v/>
      </c>
      <c r="AW47" s="20" t="str">
        <f>IF(AV47="","",VLOOKUP(AV47,'G-1 All Habitats'!$B$1:$T$135,19,FALSE))</f>
        <v/>
      </c>
    </row>
    <row r="48" spans="1:49" ht="14.5" thickBot="1" x14ac:dyDescent="0.35">
      <c r="A48" s="20" t="str">
        <f>IFERROR(INDEX('G-1 All Habitats'!$AG$3:$AG$17,MATCH(E48,'G-1 All Habitats'!$AF$3:$AF$17,0)),"")</f>
        <v/>
      </c>
      <c r="B48" s="20" t="str">
        <f>IFERROR(INDEX('G-8 Condition Look up'!$I$4:$I$135,MATCH(AV48,'G-8 Condition Look up'!$A$4:$A$135,0)),"")</f>
        <v/>
      </c>
      <c r="D48" s="238">
        <v>38</v>
      </c>
      <c r="E48" s="223"/>
      <c r="F48" s="45"/>
      <c r="G48" s="272"/>
      <c r="H48" s="37"/>
      <c r="I48" s="290" t="str">
        <f>IF(AV48="","",VLOOKUP(AV48,'G-1 All Habitats'!$B$2:$M$135,10,FALSE))</f>
        <v/>
      </c>
      <c r="J48" s="291" t="str">
        <f>IFERROR(VLOOKUP(I48,'G-1 All Habitats'!$V$3:$W$7,2,FALSE),"")</f>
        <v/>
      </c>
      <c r="K48" s="38"/>
      <c r="L48" s="291" t="str">
        <f>IFERROR(INDEX('G-8 Condition Look up'!$A$3:$H$135,MATCH(AV48,'G-8 Condition Look up'!$A$3:$A$135,0),MATCH(K48,'G-8 Condition Look up'!$A$3:$H$3,0)),"")</f>
        <v/>
      </c>
      <c r="M48" s="38"/>
      <c r="N48" s="310" t="str">
        <f>IF(M48="","",IF(VLOOKUP(M48,'G-3 Multipliers'!$L$3:$N$6,2,FALSE)=0,"Spatial Data Missing",VLOOKUP(M48,'G-3 Multipliers'!$L$3:$N$6,2,FALSE)))</f>
        <v/>
      </c>
      <c r="O48" s="296" t="str">
        <f>IF(M48="","",IF(VLOOKUP(M48,'G-3 Multipliers'!$L$3:$N$6,3,FALSE)=0,"Spatial Data Missing ▲",VLOOKUP(M48,'G-3 Multipliers'!$L$3:$N$6,3,FALSE)))</f>
        <v/>
      </c>
      <c r="P48" s="297" t="str">
        <f>(IF(G48="Yes","Bespoke compensation likely to be required 🛠",(IFERROR(VLOOKUP(AV48,'G-1 All Habitats'!$B$2:$M$135,12,FALSE),""))))</f>
        <v/>
      </c>
      <c r="Q48" s="304" t="str">
        <f>IFERROR(IF(AND(E48="Individual trees",T48&gt;0), "Error - you cannot enhance individual trees ▲", (IF(AND(U48="Irreplaceable habitat - no units generated ⚠",(S48+T48)&lt;H48, OR(Y48="No", Y48="")),"Any Loss Unacceptable ⚠", (IF(U48="Irreplaceable habitat - no units generated ⚠", T48*J48*L48*O48, IF(AND(P48='G-1 All Habitats'!$X$3, AC48&gt;0, S48&lt;=0, T48&lt;=0, OR(Y48="No", Y48="")),"Any Loss Unacceptable ⚠", IF(AND(P48='G-1 All Habitats'!$X$3, AC48&gt;0, S48&lt;=0, T48&lt;=0, Y48="Yes"), 0, (IF(AND(P48='G-1 All Habitats'!$X$3,(S48+T48)&lt;H48, OR(Y48="No", Y48="")),"Any Loss Unacceptable ⚠", (IF(P48="","",IF(AND(P48='G-1 All Habitats'!$X$3,T48&gt;0),U48+V48,IF(AND(P48='G-1 All Habitats'!$X$3,S48&gt;0),U48+V48,H48*J48*L48*O48))))))))))))),"Check Data ▲")</f>
        <v/>
      </c>
      <c r="R48" s="23"/>
      <c r="S48" s="38"/>
      <c r="T48" s="39"/>
      <c r="U48" s="302" t="str">
        <f t="shared" si="1"/>
        <v/>
      </c>
      <c r="V48" s="302" t="str">
        <f t="shared" si="2"/>
        <v/>
      </c>
      <c r="W48" s="302" t="str">
        <f>IF(E48="","",IF(H48&lt;S48+T48,"Error in Areas ▲",IF(P48&lt;&gt;'G-1 All Habitats'!$X$3,H48-S48-T48,IF(AND(P48='G-1 All Habitats'!$X$3,Y48="No"),AC48,IF(AND(P48='G-1 All Habitats'!$X$3,Y48=""),AC48,IF(AND(P48='G-1 All Habitats'!$X$3,AC48="None"),AC48,IF(AND(P48='G-1 All Habitats'!$X$3,AC48&gt;0),H48-S48-T48)))))))</f>
        <v/>
      </c>
      <c r="X48" s="306" t="str">
        <f>IFERROR(IF(H48="","",IF(H48-S48-T48=0&lt;0,"Error in Areas ▲",IF(S48+T48&gt;H48,"Error in Areas ▲",IF(AND(P48='G-1 All Habitats'!$X$3,Y48="Yes"),"Alternative Compensation ✓",IF(W48=0,0,IF(P48='G-1 All Habitats'!$X$3,"Any Loss Unacceptable ▲",Q48-U48-V48)))))),"Check Data ▲")</f>
        <v/>
      </c>
      <c r="Y48" s="39"/>
      <c r="Z48" s="46"/>
      <c r="AA48" s="419"/>
      <c r="AB48" s="101"/>
      <c r="AC48" s="495" t="str">
        <f>IF(OR(P48="", Y48="Yes"),"", IF(P48='G-1 All Habitats'!$X$3,H48-S48-T48,"None"))</f>
        <v/>
      </c>
      <c r="AD48" s="496" t="str">
        <f>IF(P48="","", IF(P48='G-1 All Habitats'!$X$3, AC48*J48*L48*O48,"None"))</f>
        <v/>
      </c>
      <c r="AE48" s="20" t="str">
        <f t="shared" si="3"/>
        <v/>
      </c>
      <c r="AF48" s="25" t="str">
        <f t="shared" si="4"/>
        <v/>
      </c>
      <c r="AG48" s="25" t="str">
        <f t="shared" si="0"/>
        <v/>
      </c>
      <c r="AH48" s="25" t="str">
        <f>IF(I48="","",IF(#REF!&gt;0,TRUE,FALSE))</f>
        <v/>
      </c>
      <c r="AI48" s="25">
        <v>38</v>
      </c>
      <c r="AJ48" s="25"/>
      <c r="AK48" s="25" t="str">
        <f t="array" ref="AK48">IFERROR(INDEX($AI$11:$AI$259, MATCH(0, IF(TRUE=$AF$11:$AF$259, COUNTIF($AK$10:$AK47, $AI$11:$AI$259), ""), 0)),"")</f>
        <v/>
      </c>
      <c r="AL48" s="25" t="str">
        <f t="array" ref="AL48">IFERROR(INDEX($AI$11:$AI$259, MATCH(0, IF(TRUE=$AG$11:$AG$259, COUNTIF($AL$10:$AL47, $AI$11:$AI$259), ""), 0)),"")</f>
        <v/>
      </c>
      <c r="AM48" s="25" t="str">
        <f t="array" ref="AM48">IFERROR(INDEX($AI$11:$AI$259, MATCH(0, IF(TRUE=$AH$11:$AH$259, COUNTIF($AM$10:$AM47, $AI$11:$AI$259), ""), 0)),"")</f>
        <v/>
      </c>
      <c r="AN48" s="25"/>
      <c r="AQ48" s="20">
        <f t="shared" si="5"/>
        <v>0</v>
      </c>
      <c r="AV48" s="540" t="str">
        <f>IFERROR(INDEX('G-1 All Habitats'!$B$3:$B$135,MATCH(F48,'G-1 All Habitats'!$A$3:$A$135,0)),"")</f>
        <v/>
      </c>
      <c r="AW48" s="20" t="str">
        <f>IF(AV48="","",VLOOKUP(AV48,'G-1 All Habitats'!$B$1:$T$135,19,FALSE))</f>
        <v/>
      </c>
    </row>
    <row r="49" spans="1:49" ht="14.5" thickBot="1" x14ac:dyDescent="0.35">
      <c r="A49" s="20" t="str">
        <f>IFERROR(INDEX('G-1 All Habitats'!$AG$3:$AG$17,MATCH(E49,'G-1 All Habitats'!$AF$3:$AF$17,0)),"")</f>
        <v/>
      </c>
      <c r="B49" s="20" t="str">
        <f>IFERROR(INDEX('G-8 Condition Look up'!$I$4:$I$135,MATCH(AV49,'G-8 Condition Look up'!$A$4:$A$135,0)),"")</f>
        <v/>
      </c>
      <c r="D49" s="238">
        <v>39</v>
      </c>
      <c r="E49" s="223"/>
      <c r="F49" s="45"/>
      <c r="G49" s="272"/>
      <c r="H49" s="37"/>
      <c r="I49" s="290" t="str">
        <f>IF(AV49="","",VLOOKUP(AV49,'G-1 All Habitats'!$B$2:$M$135,10,FALSE))</f>
        <v/>
      </c>
      <c r="J49" s="291" t="str">
        <f>IFERROR(VLOOKUP(I49,'G-1 All Habitats'!$V$3:$W$7,2,FALSE),"")</f>
        <v/>
      </c>
      <c r="K49" s="38"/>
      <c r="L49" s="291" t="str">
        <f>IFERROR(INDEX('G-8 Condition Look up'!$A$3:$H$135,MATCH(AV49,'G-8 Condition Look up'!$A$3:$A$135,0),MATCH(K49,'G-8 Condition Look up'!$A$3:$H$3,0)),"")</f>
        <v/>
      </c>
      <c r="M49" s="38"/>
      <c r="N49" s="310" t="str">
        <f>IF(M49="","",IF(VLOOKUP(M49,'G-3 Multipliers'!$L$3:$N$6,2,FALSE)=0,"Spatial Data Missing",VLOOKUP(M49,'G-3 Multipliers'!$L$3:$N$6,2,FALSE)))</f>
        <v/>
      </c>
      <c r="O49" s="296" t="str">
        <f>IF(M49="","",IF(VLOOKUP(M49,'G-3 Multipliers'!$L$3:$N$6,3,FALSE)=0,"Spatial Data Missing ▲",VLOOKUP(M49,'G-3 Multipliers'!$L$3:$N$6,3,FALSE)))</f>
        <v/>
      </c>
      <c r="P49" s="297" t="str">
        <f>(IF(G49="Yes","Bespoke compensation likely to be required 🛠",(IFERROR(VLOOKUP(AV49,'G-1 All Habitats'!$B$2:$M$135,12,FALSE),""))))</f>
        <v/>
      </c>
      <c r="Q49" s="304" t="str">
        <f>IFERROR(IF(AND(E49="Individual trees",T49&gt;0), "Error - you cannot enhance individual trees ▲", (IF(AND(U49="Irreplaceable habitat - no units generated ⚠",(S49+T49)&lt;H49, OR(Y49="No", Y49="")),"Any Loss Unacceptable ⚠", (IF(U49="Irreplaceable habitat - no units generated ⚠", T49*J49*L49*O49, IF(AND(P49='G-1 All Habitats'!$X$3, AC49&gt;0, S49&lt;=0, T49&lt;=0, OR(Y49="No", Y49="")),"Any Loss Unacceptable ⚠", IF(AND(P49='G-1 All Habitats'!$X$3, AC49&gt;0, S49&lt;=0, T49&lt;=0, Y49="Yes"), 0, (IF(AND(P49='G-1 All Habitats'!$X$3,(S49+T49)&lt;H49, OR(Y49="No", Y49="")),"Any Loss Unacceptable ⚠", (IF(P49="","",IF(AND(P49='G-1 All Habitats'!$X$3,T49&gt;0),U49+V49,IF(AND(P49='G-1 All Habitats'!$X$3,S49&gt;0),U49+V49,H49*J49*L49*O49))))))))))))),"Check Data ▲")</f>
        <v/>
      </c>
      <c r="R49" s="23"/>
      <c r="S49" s="38"/>
      <c r="T49" s="39"/>
      <c r="U49" s="302" t="str">
        <f t="shared" si="1"/>
        <v/>
      </c>
      <c r="V49" s="302" t="str">
        <f t="shared" si="2"/>
        <v/>
      </c>
      <c r="W49" s="302" t="str">
        <f>IF(E49="","",IF(H49&lt;S49+T49,"Error in Areas ▲",IF(P49&lt;&gt;'G-1 All Habitats'!$X$3,H49-S49-T49,IF(AND(P49='G-1 All Habitats'!$X$3,Y49="No"),AC49,IF(AND(P49='G-1 All Habitats'!$X$3,Y49=""),AC49,IF(AND(P49='G-1 All Habitats'!$X$3,AC49="None"),AC49,IF(AND(P49='G-1 All Habitats'!$X$3,AC49&gt;0),H49-S49-T49)))))))</f>
        <v/>
      </c>
      <c r="X49" s="306" t="str">
        <f>IFERROR(IF(H49="","",IF(H49-S49-T49=0&lt;0,"Error in Areas ▲",IF(S49+T49&gt;H49,"Error in Areas ▲",IF(AND(P49='G-1 All Habitats'!$X$3,Y49="Yes"),"Alternative Compensation ✓",IF(W49=0,0,IF(P49='G-1 All Habitats'!$X$3,"Any Loss Unacceptable ▲",Q49-U49-V49)))))),"Check Data ▲")</f>
        <v/>
      </c>
      <c r="Y49" s="39"/>
      <c r="Z49" s="46"/>
      <c r="AA49" s="419"/>
      <c r="AB49" s="101"/>
      <c r="AC49" s="495" t="str">
        <f>IF(OR(P49="", Y49="Yes"),"", IF(P49='G-1 All Habitats'!$X$3,H49-S49-T49,"None"))</f>
        <v/>
      </c>
      <c r="AD49" s="496" t="str">
        <f>IF(P49="","", IF(P49='G-1 All Habitats'!$X$3, AC49*J49*L49*O49,"None"))</f>
        <v/>
      </c>
      <c r="AE49" s="20" t="str">
        <f t="shared" si="3"/>
        <v/>
      </c>
      <c r="AF49" s="25" t="str">
        <f t="shared" si="4"/>
        <v/>
      </c>
      <c r="AG49" s="25" t="str">
        <f t="shared" si="0"/>
        <v/>
      </c>
      <c r="AH49" s="25" t="str">
        <f>IF(I49="","",IF(#REF!&gt;0,TRUE,FALSE))</f>
        <v/>
      </c>
      <c r="AI49" s="25">
        <v>39</v>
      </c>
      <c r="AJ49" s="25"/>
      <c r="AK49" s="25" t="str">
        <f t="array" ref="AK49">IFERROR(INDEX($AI$11:$AI$259, MATCH(0, IF(TRUE=$AF$11:$AF$259, COUNTIF($AK$10:$AK48, $AI$11:$AI$259), ""), 0)),"")</f>
        <v/>
      </c>
      <c r="AL49" s="25" t="str">
        <f t="array" ref="AL49">IFERROR(INDEX($AI$11:$AI$259, MATCH(0, IF(TRUE=$AG$11:$AG$259, COUNTIF($AL$10:$AL48, $AI$11:$AI$259), ""), 0)),"")</f>
        <v/>
      </c>
      <c r="AM49" s="25" t="str">
        <f t="array" ref="AM49">IFERROR(INDEX($AI$11:$AI$259, MATCH(0, IF(TRUE=$AH$11:$AH$259, COUNTIF($AM$10:$AM48, $AI$11:$AI$259), ""), 0)),"")</f>
        <v/>
      </c>
      <c r="AN49" s="25"/>
      <c r="AQ49" s="20">
        <f t="shared" si="5"/>
        <v>0</v>
      </c>
      <c r="AV49" s="540" t="str">
        <f>IFERROR(INDEX('G-1 All Habitats'!$B$3:$B$135,MATCH(F49,'G-1 All Habitats'!$A$3:$A$135,0)),"")</f>
        <v/>
      </c>
      <c r="AW49" s="20" t="str">
        <f>IF(AV49="","",VLOOKUP(AV49,'G-1 All Habitats'!$B$1:$T$135,19,FALSE))</f>
        <v/>
      </c>
    </row>
    <row r="50" spans="1:49" ht="14.5" thickBot="1" x14ac:dyDescent="0.35">
      <c r="A50" s="20" t="str">
        <f>IFERROR(INDEX('G-1 All Habitats'!$AG$3:$AG$17,MATCH(E50,'G-1 All Habitats'!$AF$3:$AF$17,0)),"")</f>
        <v/>
      </c>
      <c r="B50" s="20" t="str">
        <f>IFERROR(INDEX('G-8 Condition Look up'!$I$4:$I$135,MATCH(AV50,'G-8 Condition Look up'!$A$4:$A$135,0)),"")</f>
        <v/>
      </c>
      <c r="D50" s="238">
        <v>40</v>
      </c>
      <c r="E50" s="223"/>
      <c r="F50" s="45"/>
      <c r="G50" s="272"/>
      <c r="H50" s="37"/>
      <c r="I50" s="290" t="str">
        <f>IF(AV50="","",VLOOKUP(AV50,'G-1 All Habitats'!$B$2:$M$135,10,FALSE))</f>
        <v/>
      </c>
      <c r="J50" s="291" t="str">
        <f>IFERROR(VLOOKUP(I50,'G-1 All Habitats'!$V$3:$W$7,2,FALSE),"")</f>
        <v/>
      </c>
      <c r="K50" s="38"/>
      <c r="L50" s="291" t="str">
        <f>IFERROR(INDEX('G-8 Condition Look up'!$A$3:$H$135,MATCH(AV50,'G-8 Condition Look up'!$A$3:$A$135,0),MATCH(K50,'G-8 Condition Look up'!$A$3:$H$3,0)),"")</f>
        <v/>
      </c>
      <c r="M50" s="38"/>
      <c r="N50" s="310" t="str">
        <f>IF(M50="","",IF(VLOOKUP(M50,'G-3 Multipliers'!$L$3:$N$6,2,FALSE)=0,"Spatial Data Missing",VLOOKUP(M50,'G-3 Multipliers'!$L$3:$N$6,2,FALSE)))</f>
        <v/>
      </c>
      <c r="O50" s="296" t="str">
        <f>IF(M50="","",IF(VLOOKUP(M50,'G-3 Multipliers'!$L$3:$N$6,3,FALSE)=0,"Spatial Data Missing ▲",VLOOKUP(M50,'G-3 Multipliers'!$L$3:$N$6,3,FALSE)))</f>
        <v/>
      </c>
      <c r="P50" s="297" t="str">
        <f>(IF(G50="Yes","Bespoke compensation likely to be required 🛠",(IFERROR(VLOOKUP(AV50,'G-1 All Habitats'!$B$2:$M$135,12,FALSE),""))))</f>
        <v/>
      </c>
      <c r="Q50" s="304" t="str">
        <f>IFERROR(IF(AND(E50="Individual trees",T50&gt;0), "Error - you cannot enhance individual trees ▲", (IF(AND(U50="Irreplaceable habitat - no units generated ⚠",(S50+T50)&lt;H50, OR(Y50="No", Y50="")),"Any Loss Unacceptable ⚠", (IF(U50="Irreplaceable habitat - no units generated ⚠", T50*J50*L50*O50, IF(AND(P50='G-1 All Habitats'!$X$3, AC50&gt;0, S50&lt;=0, T50&lt;=0, OR(Y50="No", Y50="")),"Any Loss Unacceptable ⚠", IF(AND(P50='G-1 All Habitats'!$X$3, AC50&gt;0, S50&lt;=0, T50&lt;=0, Y50="Yes"), 0, (IF(AND(P50='G-1 All Habitats'!$X$3,(S50+T50)&lt;H50, OR(Y50="No", Y50="")),"Any Loss Unacceptable ⚠", (IF(P50="","",IF(AND(P50='G-1 All Habitats'!$X$3,T50&gt;0),U50+V50,IF(AND(P50='G-1 All Habitats'!$X$3,S50&gt;0),U50+V50,H50*J50*L50*O50))))))))))))),"Check Data ▲")</f>
        <v/>
      </c>
      <c r="R50" s="23"/>
      <c r="S50" s="38"/>
      <c r="T50" s="39"/>
      <c r="U50" s="302" t="str">
        <f t="shared" si="1"/>
        <v/>
      </c>
      <c r="V50" s="302" t="str">
        <f t="shared" si="2"/>
        <v/>
      </c>
      <c r="W50" s="302" t="str">
        <f>IF(E50="","",IF(H50&lt;S50+T50,"Error in Areas ▲",IF(P50&lt;&gt;'G-1 All Habitats'!$X$3,H50-S50-T50,IF(AND(P50='G-1 All Habitats'!$X$3,Y50="No"),AC50,IF(AND(P50='G-1 All Habitats'!$X$3,Y50=""),AC50,IF(AND(P50='G-1 All Habitats'!$X$3,AC50="None"),AC50,IF(AND(P50='G-1 All Habitats'!$X$3,AC50&gt;0),H50-S50-T50)))))))</f>
        <v/>
      </c>
      <c r="X50" s="306" t="str">
        <f>IFERROR(IF(H50="","",IF(H50-S50-T50=0&lt;0,"Error in Areas ▲",IF(S50+T50&gt;H50,"Error in Areas ▲",IF(AND(P50='G-1 All Habitats'!$X$3,Y50="Yes"),"Alternative Compensation ✓",IF(W50=0,0,IF(P50='G-1 All Habitats'!$X$3,"Any Loss Unacceptable ▲",Q50-U50-V50)))))),"Check Data ▲")</f>
        <v/>
      </c>
      <c r="Y50" s="39"/>
      <c r="Z50" s="46"/>
      <c r="AA50" s="419"/>
      <c r="AB50" s="101"/>
      <c r="AC50" s="495" t="str">
        <f>IF(OR(P50="", Y50="Yes"),"", IF(P50='G-1 All Habitats'!$X$3,H50-S50-T50,"None"))</f>
        <v/>
      </c>
      <c r="AD50" s="496" t="str">
        <f>IF(P50="","", IF(P50='G-1 All Habitats'!$X$3, AC50*J50*L50*O50,"None"))</f>
        <v/>
      </c>
      <c r="AE50" s="20" t="str">
        <f t="shared" si="3"/>
        <v/>
      </c>
      <c r="AF50" s="25" t="str">
        <f t="shared" si="4"/>
        <v/>
      </c>
      <c r="AG50" s="25" t="str">
        <f t="shared" si="0"/>
        <v/>
      </c>
      <c r="AH50" s="25" t="str">
        <f>IF(I50="","",IF(#REF!&gt;0,TRUE,FALSE))</f>
        <v/>
      </c>
      <c r="AI50" s="25">
        <v>40</v>
      </c>
      <c r="AJ50" s="25"/>
      <c r="AK50" s="25" t="str">
        <f t="array" ref="AK50">IFERROR(INDEX($AI$11:$AI$259, MATCH(0, IF(TRUE=$AF$11:$AF$259, COUNTIF($AK$10:$AK49, $AI$11:$AI$259), ""), 0)),"")</f>
        <v/>
      </c>
      <c r="AL50" s="25" t="str">
        <f t="array" ref="AL50">IFERROR(INDEX($AI$11:$AI$259, MATCH(0, IF(TRUE=$AG$11:$AG$259, COUNTIF($AL$10:$AL49, $AI$11:$AI$259), ""), 0)),"")</f>
        <v/>
      </c>
      <c r="AM50" s="25" t="str">
        <f t="array" ref="AM50">IFERROR(INDEX($AI$11:$AI$259, MATCH(0, IF(TRUE=$AH$11:$AH$259, COUNTIF($AM$10:$AM49, $AI$11:$AI$259), ""), 0)),"")</f>
        <v/>
      </c>
      <c r="AN50" s="25"/>
      <c r="AQ50" s="20">
        <f t="shared" si="5"/>
        <v>0</v>
      </c>
      <c r="AV50" s="540" t="str">
        <f>IFERROR(INDEX('G-1 All Habitats'!$B$3:$B$135,MATCH(F50,'G-1 All Habitats'!$A$3:$A$135,0)),"")</f>
        <v/>
      </c>
      <c r="AW50" s="20" t="str">
        <f>IF(AV50="","",VLOOKUP(AV50,'G-1 All Habitats'!$B$1:$T$135,19,FALSE))</f>
        <v/>
      </c>
    </row>
    <row r="51" spans="1:49" ht="14.5" thickBot="1" x14ac:dyDescent="0.35">
      <c r="A51" s="20" t="str">
        <f>IFERROR(INDEX('G-1 All Habitats'!$AG$3:$AG$17,MATCH(E51,'G-1 All Habitats'!$AF$3:$AF$17,0)),"")</f>
        <v/>
      </c>
      <c r="B51" s="20" t="str">
        <f>IFERROR(INDEX('G-8 Condition Look up'!$I$4:$I$135,MATCH(AV51,'G-8 Condition Look up'!$A$4:$A$135,0)),"")</f>
        <v/>
      </c>
      <c r="D51" s="238">
        <v>41</v>
      </c>
      <c r="E51" s="223"/>
      <c r="F51" s="45"/>
      <c r="G51" s="272"/>
      <c r="H51" s="37"/>
      <c r="I51" s="290" t="str">
        <f>IF(AV51="","",VLOOKUP(AV51,'G-1 All Habitats'!$B$2:$M$135,10,FALSE))</f>
        <v/>
      </c>
      <c r="J51" s="291" t="str">
        <f>IFERROR(VLOOKUP(I51,'G-1 All Habitats'!$V$3:$W$7,2,FALSE),"")</f>
        <v/>
      </c>
      <c r="K51" s="38"/>
      <c r="L51" s="291" t="str">
        <f>IFERROR(INDEX('G-8 Condition Look up'!$A$3:$H$135,MATCH(AV51,'G-8 Condition Look up'!$A$3:$A$135,0),MATCH(K51,'G-8 Condition Look up'!$A$3:$H$3,0)),"")</f>
        <v/>
      </c>
      <c r="M51" s="38"/>
      <c r="N51" s="310" t="str">
        <f>IF(M51="","",IF(VLOOKUP(M51,'G-3 Multipliers'!$L$3:$N$6,2,FALSE)=0,"Spatial Data Missing",VLOOKUP(M51,'G-3 Multipliers'!$L$3:$N$6,2,FALSE)))</f>
        <v/>
      </c>
      <c r="O51" s="296" t="str">
        <f>IF(M51="","",IF(VLOOKUP(M51,'G-3 Multipliers'!$L$3:$N$6,3,FALSE)=0,"Spatial Data Missing ▲",VLOOKUP(M51,'G-3 Multipliers'!$L$3:$N$6,3,FALSE)))</f>
        <v/>
      </c>
      <c r="P51" s="297" t="str">
        <f>(IF(G51="Yes","Bespoke compensation likely to be required 🛠",(IFERROR(VLOOKUP(AV51,'G-1 All Habitats'!$B$2:$M$135,12,FALSE),""))))</f>
        <v/>
      </c>
      <c r="Q51" s="304" t="str">
        <f>IFERROR(IF(AND(E51="Individual trees",T51&gt;0), "Error - you cannot enhance individual trees ▲", (IF(AND(U51="Irreplaceable habitat - no units generated ⚠",(S51+T51)&lt;H51, OR(Y51="No", Y51="")),"Any Loss Unacceptable ⚠", (IF(U51="Irreplaceable habitat - no units generated ⚠", T51*J51*L51*O51, IF(AND(P51='G-1 All Habitats'!$X$3, AC51&gt;0, S51&lt;=0, T51&lt;=0, OR(Y51="No", Y51="")),"Any Loss Unacceptable ⚠", IF(AND(P51='G-1 All Habitats'!$X$3, AC51&gt;0, S51&lt;=0, T51&lt;=0, Y51="Yes"), 0, (IF(AND(P51='G-1 All Habitats'!$X$3,(S51+T51)&lt;H51, OR(Y51="No", Y51="")),"Any Loss Unacceptable ⚠", (IF(P51="","",IF(AND(P51='G-1 All Habitats'!$X$3,T51&gt;0),U51+V51,IF(AND(P51='G-1 All Habitats'!$X$3,S51&gt;0),U51+V51,H51*J51*L51*O51))))))))))))),"Check Data ▲")</f>
        <v/>
      </c>
      <c r="R51" s="23"/>
      <c r="S51" s="38"/>
      <c r="T51" s="39"/>
      <c r="U51" s="302" t="str">
        <f t="shared" si="1"/>
        <v/>
      </c>
      <c r="V51" s="302" t="str">
        <f t="shared" si="2"/>
        <v/>
      </c>
      <c r="W51" s="302" t="str">
        <f>IF(E51="","",IF(H51&lt;S51+T51,"Error in Areas ▲",IF(P51&lt;&gt;'G-1 All Habitats'!$X$3,H51-S51-T51,IF(AND(P51='G-1 All Habitats'!$X$3,Y51="No"),AC51,IF(AND(P51='G-1 All Habitats'!$X$3,Y51=""),AC51,IF(AND(P51='G-1 All Habitats'!$X$3,AC51="None"),AC51,IF(AND(P51='G-1 All Habitats'!$X$3,AC51&gt;0),H51-S51-T51)))))))</f>
        <v/>
      </c>
      <c r="X51" s="306" t="str">
        <f>IFERROR(IF(H51="","",IF(H51-S51-T51=0&lt;0,"Error in Areas ▲",IF(S51+T51&gt;H51,"Error in Areas ▲",IF(AND(P51='G-1 All Habitats'!$X$3,Y51="Yes"),"Alternative Compensation ✓",IF(W51=0,0,IF(P51='G-1 All Habitats'!$X$3,"Any Loss Unacceptable ▲",Q51-U51-V51)))))),"Check Data ▲")</f>
        <v/>
      </c>
      <c r="Y51" s="39"/>
      <c r="Z51" s="46"/>
      <c r="AA51" s="419"/>
      <c r="AB51" s="101"/>
      <c r="AC51" s="495" t="str">
        <f>IF(OR(P51="", Y51="Yes"),"", IF(P51='G-1 All Habitats'!$X$3,H51-S51-T51,"None"))</f>
        <v/>
      </c>
      <c r="AD51" s="496" t="str">
        <f>IF(P51="","", IF(P51='G-1 All Habitats'!$X$3, AC51*J51*L51*O51,"None"))</f>
        <v/>
      </c>
      <c r="AE51" s="20" t="str">
        <f t="shared" si="3"/>
        <v/>
      </c>
      <c r="AF51" s="25" t="str">
        <f t="shared" si="4"/>
        <v/>
      </c>
      <c r="AG51" s="25" t="str">
        <f t="shared" si="0"/>
        <v/>
      </c>
      <c r="AH51" s="25" t="str">
        <f>IF(I51="","",IF(#REF!&gt;0,TRUE,FALSE))</f>
        <v/>
      </c>
      <c r="AI51" s="25">
        <v>41</v>
      </c>
      <c r="AJ51" s="25"/>
      <c r="AK51" s="25" t="str">
        <f t="array" ref="AK51">IFERROR(INDEX($AI$11:$AI$259, MATCH(0, IF(TRUE=$AF$11:$AF$259, COUNTIF($AK$10:$AK50, $AI$11:$AI$259), ""), 0)),"")</f>
        <v/>
      </c>
      <c r="AL51" s="25" t="str">
        <f t="array" ref="AL51">IFERROR(INDEX($AI$11:$AI$259, MATCH(0, IF(TRUE=$AG$11:$AG$259, COUNTIF($AL$10:$AL50, $AI$11:$AI$259), ""), 0)),"")</f>
        <v/>
      </c>
      <c r="AM51" s="25" t="str">
        <f t="array" ref="AM51">IFERROR(INDEX($AI$11:$AI$259, MATCH(0, IF(TRUE=$AH$11:$AH$259, COUNTIF($AM$10:$AM50, $AI$11:$AI$259), ""), 0)),"")</f>
        <v/>
      </c>
      <c r="AN51" s="25"/>
      <c r="AQ51" s="20">
        <f t="shared" si="5"/>
        <v>0</v>
      </c>
      <c r="AV51" s="540" t="str">
        <f>IFERROR(INDEX('G-1 All Habitats'!$B$3:$B$135,MATCH(F51,'G-1 All Habitats'!$A$3:$A$135,0)),"")</f>
        <v/>
      </c>
      <c r="AW51" s="20" t="str">
        <f>IF(AV51="","",VLOOKUP(AV51,'G-1 All Habitats'!$B$1:$T$135,19,FALSE))</f>
        <v/>
      </c>
    </row>
    <row r="52" spans="1:49" ht="14.5" thickBot="1" x14ac:dyDescent="0.35">
      <c r="A52" s="20" t="str">
        <f>IFERROR(INDEX('G-1 All Habitats'!$AG$3:$AG$17,MATCH(E52,'G-1 All Habitats'!$AF$3:$AF$17,0)),"")</f>
        <v/>
      </c>
      <c r="B52" s="20" t="str">
        <f>IFERROR(INDEX('G-8 Condition Look up'!$I$4:$I$135,MATCH(AV52,'G-8 Condition Look up'!$A$4:$A$135,0)),"")</f>
        <v/>
      </c>
      <c r="D52" s="238">
        <v>42</v>
      </c>
      <c r="E52" s="223"/>
      <c r="F52" s="45"/>
      <c r="G52" s="272"/>
      <c r="H52" s="37"/>
      <c r="I52" s="290" t="str">
        <f>IF(AV52="","",VLOOKUP(AV52,'G-1 All Habitats'!$B$2:$M$135,10,FALSE))</f>
        <v/>
      </c>
      <c r="J52" s="291" t="str">
        <f>IFERROR(VLOOKUP(I52,'G-1 All Habitats'!$V$3:$W$7,2,FALSE),"")</f>
        <v/>
      </c>
      <c r="K52" s="38"/>
      <c r="L52" s="291" t="str">
        <f>IFERROR(INDEX('G-8 Condition Look up'!$A$3:$H$135,MATCH(AV52,'G-8 Condition Look up'!$A$3:$A$135,0),MATCH(K52,'G-8 Condition Look up'!$A$3:$H$3,0)),"")</f>
        <v/>
      </c>
      <c r="M52" s="38"/>
      <c r="N52" s="310" t="str">
        <f>IF(M52="","",IF(VLOOKUP(M52,'G-3 Multipliers'!$L$3:$N$6,2,FALSE)=0,"Spatial Data Missing",VLOOKUP(M52,'G-3 Multipliers'!$L$3:$N$6,2,FALSE)))</f>
        <v/>
      </c>
      <c r="O52" s="296" t="str">
        <f>IF(M52="","",IF(VLOOKUP(M52,'G-3 Multipliers'!$L$3:$N$6,3,FALSE)=0,"Spatial Data Missing ▲",VLOOKUP(M52,'G-3 Multipliers'!$L$3:$N$6,3,FALSE)))</f>
        <v/>
      </c>
      <c r="P52" s="297" t="str">
        <f>(IF(G52="Yes","Bespoke compensation likely to be required 🛠",(IFERROR(VLOOKUP(AV52,'G-1 All Habitats'!$B$2:$M$135,12,FALSE),""))))</f>
        <v/>
      </c>
      <c r="Q52" s="304" t="str">
        <f>IFERROR(IF(AND(E52="Individual trees",T52&gt;0), "Error - you cannot enhance individual trees ▲", (IF(AND(U52="Irreplaceable habitat - no units generated ⚠",(S52+T52)&lt;H52, OR(Y52="No", Y52="")),"Any Loss Unacceptable ⚠", (IF(U52="Irreplaceable habitat - no units generated ⚠", T52*J52*L52*O52, IF(AND(P52='G-1 All Habitats'!$X$3, AC52&gt;0, S52&lt;=0, T52&lt;=0, OR(Y52="No", Y52="")),"Any Loss Unacceptable ⚠", IF(AND(P52='G-1 All Habitats'!$X$3, AC52&gt;0, S52&lt;=0, T52&lt;=0, Y52="Yes"), 0, (IF(AND(P52='G-1 All Habitats'!$X$3,(S52+T52)&lt;H52, OR(Y52="No", Y52="")),"Any Loss Unacceptable ⚠", (IF(P52="","",IF(AND(P52='G-1 All Habitats'!$X$3,T52&gt;0),U52+V52,IF(AND(P52='G-1 All Habitats'!$X$3,S52&gt;0),U52+V52,H52*J52*L52*O52))))))))))))),"Check Data ▲")</f>
        <v/>
      </c>
      <c r="R52" s="23"/>
      <c r="S52" s="38"/>
      <c r="T52" s="39"/>
      <c r="U52" s="302" t="str">
        <f t="shared" si="1"/>
        <v/>
      </c>
      <c r="V52" s="302" t="str">
        <f t="shared" si="2"/>
        <v/>
      </c>
      <c r="W52" s="302" t="str">
        <f>IF(E52="","",IF(H52&lt;S52+T52,"Error in Areas ▲",IF(P52&lt;&gt;'G-1 All Habitats'!$X$3,H52-S52-T52,IF(AND(P52='G-1 All Habitats'!$X$3,Y52="No"),AC52,IF(AND(P52='G-1 All Habitats'!$X$3,Y52=""),AC52,IF(AND(P52='G-1 All Habitats'!$X$3,AC52="None"),AC52,IF(AND(P52='G-1 All Habitats'!$X$3,AC52&gt;0),H52-S52-T52)))))))</f>
        <v/>
      </c>
      <c r="X52" s="306" t="str">
        <f>IFERROR(IF(H52="","",IF(H52-S52-T52=0&lt;0,"Error in Areas ▲",IF(S52+T52&gt;H52,"Error in Areas ▲",IF(AND(P52='G-1 All Habitats'!$X$3,Y52="Yes"),"Alternative Compensation ✓",IF(W52=0,0,IF(P52='G-1 All Habitats'!$X$3,"Any Loss Unacceptable ▲",Q52-U52-V52)))))),"Check Data ▲")</f>
        <v/>
      </c>
      <c r="Y52" s="39"/>
      <c r="Z52" s="46"/>
      <c r="AA52" s="419"/>
      <c r="AB52" s="101"/>
      <c r="AC52" s="495" t="str">
        <f>IF(OR(P52="", Y52="Yes"),"", IF(P52='G-1 All Habitats'!$X$3,H52-S52-T52,"None"))</f>
        <v/>
      </c>
      <c r="AD52" s="496" t="str">
        <f>IF(P52="","", IF(P52='G-1 All Habitats'!$X$3, AC52*J52*L52*O52,"None"))</f>
        <v/>
      </c>
      <c r="AE52" s="20" t="str">
        <f t="shared" si="3"/>
        <v/>
      </c>
      <c r="AF52" s="25" t="str">
        <f t="shared" si="4"/>
        <v/>
      </c>
      <c r="AG52" s="25" t="str">
        <f t="shared" si="0"/>
        <v/>
      </c>
      <c r="AH52" s="25" t="str">
        <f>IF(I52="","",IF(#REF!&gt;0,TRUE,FALSE))</f>
        <v/>
      </c>
      <c r="AI52" s="25">
        <v>42</v>
      </c>
      <c r="AJ52" s="25"/>
      <c r="AK52" s="25" t="str">
        <f t="array" ref="AK52">IFERROR(INDEX($AI$11:$AI$259, MATCH(0, IF(TRUE=$AF$11:$AF$259, COUNTIF($AK$10:$AK51, $AI$11:$AI$259), ""), 0)),"")</f>
        <v/>
      </c>
      <c r="AL52" s="25" t="str">
        <f t="array" ref="AL52">IFERROR(INDEX($AI$11:$AI$259, MATCH(0, IF(TRUE=$AG$11:$AG$259, COUNTIF($AL$10:$AL51, $AI$11:$AI$259), ""), 0)),"")</f>
        <v/>
      </c>
      <c r="AM52" s="25" t="str">
        <f t="array" ref="AM52">IFERROR(INDEX($AI$11:$AI$259, MATCH(0, IF(TRUE=$AH$11:$AH$259, COUNTIF($AM$10:$AM51, $AI$11:$AI$259), ""), 0)),"")</f>
        <v/>
      </c>
      <c r="AN52" s="25"/>
      <c r="AQ52" s="20">
        <f t="shared" si="5"/>
        <v>0</v>
      </c>
      <c r="AV52" s="540" t="str">
        <f>IFERROR(INDEX('G-1 All Habitats'!$B$3:$B$135,MATCH(F52,'G-1 All Habitats'!$A$3:$A$135,0)),"")</f>
        <v/>
      </c>
      <c r="AW52" s="20" t="str">
        <f>IF(AV52="","",VLOOKUP(AV52,'G-1 All Habitats'!$B$1:$T$135,19,FALSE))</f>
        <v/>
      </c>
    </row>
    <row r="53" spans="1:49" ht="14.5" thickBot="1" x14ac:dyDescent="0.35">
      <c r="A53" s="20" t="str">
        <f>IFERROR(INDEX('G-1 All Habitats'!$AG$3:$AG$17,MATCH(E53,'G-1 All Habitats'!$AF$3:$AF$17,0)),"")</f>
        <v/>
      </c>
      <c r="B53" s="20" t="str">
        <f>IFERROR(INDEX('G-8 Condition Look up'!$I$4:$I$135,MATCH(AV53,'G-8 Condition Look up'!$A$4:$A$135,0)),"")</f>
        <v/>
      </c>
      <c r="D53" s="238">
        <v>43</v>
      </c>
      <c r="E53" s="223"/>
      <c r="F53" s="45"/>
      <c r="G53" s="272"/>
      <c r="H53" s="37"/>
      <c r="I53" s="290" t="str">
        <f>IF(AV53="","",VLOOKUP(AV53,'G-1 All Habitats'!$B$2:$M$135,10,FALSE))</f>
        <v/>
      </c>
      <c r="J53" s="291" t="str">
        <f>IFERROR(VLOOKUP(I53,'G-1 All Habitats'!$V$3:$W$7,2,FALSE),"")</f>
        <v/>
      </c>
      <c r="K53" s="38"/>
      <c r="L53" s="291" t="str">
        <f>IFERROR(INDEX('G-8 Condition Look up'!$A$3:$H$135,MATCH(AV53,'G-8 Condition Look up'!$A$3:$A$135,0),MATCH(K53,'G-8 Condition Look up'!$A$3:$H$3,0)),"")</f>
        <v/>
      </c>
      <c r="M53" s="38"/>
      <c r="N53" s="310" t="str">
        <f>IF(M53="","",IF(VLOOKUP(M53,'G-3 Multipliers'!$L$3:$N$6,2,FALSE)=0,"Spatial Data Missing",VLOOKUP(M53,'G-3 Multipliers'!$L$3:$N$6,2,FALSE)))</f>
        <v/>
      </c>
      <c r="O53" s="296" t="str">
        <f>IF(M53="","",IF(VLOOKUP(M53,'G-3 Multipliers'!$L$3:$N$6,3,FALSE)=0,"Spatial Data Missing ▲",VLOOKUP(M53,'G-3 Multipliers'!$L$3:$N$6,3,FALSE)))</f>
        <v/>
      </c>
      <c r="P53" s="297" t="str">
        <f>(IF(G53="Yes","Bespoke compensation likely to be required 🛠",(IFERROR(VLOOKUP(AV53,'G-1 All Habitats'!$B$2:$M$135,12,FALSE),""))))</f>
        <v/>
      </c>
      <c r="Q53" s="304" t="str">
        <f>IFERROR(IF(AND(E53="Individual trees",T53&gt;0), "Error - you cannot enhance individual trees ▲", (IF(AND(U53="Irreplaceable habitat - no units generated ⚠",(S53+T53)&lt;H53, OR(Y53="No", Y53="")),"Any Loss Unacceptable ⚠", (IF(U53="Irreplaceable habitat - no units generated ⚠", T53*J53*L53*O53, IF(AND(P53='G-1 All Habitats'!$X$3, AC53&gt;0, S53&lt;=0, T53&lt;=0, OR(Y53="No", Y53="")),"Any Loss Unacceptable ⚠", IF(AND(P53='G-1 All Habitats'!$X$3, AC53&gt;0, S53&lt;=0, T53&lt;=0, Y53="Yes"), 0, (IF(AND(P53='G-1 All Habitats'!$X$3,(S53+T53)&lt;H53, OR(Y53="No", Y53="")),"Any Loss Unacceptable ⚠", (IF(P53="","",IF(AND(P53='G-1 All Habitats'!$X$3,T53&gt;0),U53+V53,IF(AND(P53='G-1 All Habitats'!$X$3,S53&gt;0),U53+V53,H53*J53*L53*O53))))))))))))),"Check Data ▲")</f>
        <v/>
      </c>
      <c r="R53" s="23"/>
      <c r="S53" s="38"/>
      <c r="T53" s="39"/>
      <c r="U53" s="302" t="str">
        <f t="shared" si="1"/>
        <v/>
      </c>
      <c r="V53" s="302" t="str">
        <f t="shared" si="2"/>
        <v/>
      </c>
      <c r="W53" s="302" t="str">
        <f>IF(E53="","",IF(H53&lt;S53+T53,"Error in Areas ▲",IF(P53&lt;&gt;'G-1 All Habitats'!$X$3,H53-S53-T53,IF(AND(P53='G-1 All Habitats'!$X$3,Y53="No"),AC53,IF(AND(P53='G-1 All Habitats'!$X$3,Y53=""),AC53,IF(AND(P53='G-1 All Habitats'!$X$3,AC53="None"),AC53,IF(AND(P53='G-1 All Habitats'!$X$3,AC53&gt;0),H53-S53-T53)))))))</f>
        <v/>
      </c>
      <c r="X53" s="306" t="str">
        <f>IFERROR(IF(H53="","",IF(H53-S53-T53=0&lt;0,"Error in Areas ▲",IF(S53+T53&gt;H53,"Error in Areas ▲",IF(AND(P53='G-1 All Habitats'!$X$3,Y53="Yes"),"Alternative Compensation ✓",IF(W53=0,0,IF(P53='G-1 All Habitats'!$X$3,"Any Loss Unacceptable ▲",Q53-U53-V53)))))),"Check Data ▲")</f>
        <v/>
      </c>
      <c r="Y53" s="39"/>
      <c r="Z53" s="46"/>
      <c r="AA53" s="419"/>
      <c r="AB53" s="101"/>
      <c r="AC53" s="495" t="str">
        <f>IF(OR(P53="", Y53="Yes"),"", IF(P53='G-1 All Habitats'!$X$3,H53-S53-T53,"None"))</f>
        <v/>
      </c>
      <c r="AD53" s="496" t="str">
        <f>IF(P53="","", IF(P53='G-1 All Habitats'!$X$3, AC53*J53*L53*O53,"None"))</f>
        <v/>
      </c>
      <c r="AE53" s="20" t="str">
        <f t="shared" si="3"/>
        <v/>
      </c>
      <c r="AF53" s="25" t="str">
        <f t="shared" si="4"/>
        <v/>
      </c>
      <c r="AG53" s="25" t="str">
        <f t="shared" si="0"/>
        <v/>
      </c>
      <c r="AH53" s="25" t="str">
        <f>IF(I53="","",IF(#REF!&gt;0,TRUE,FALSE))</f>
        <v/>
      </c>
      <c r="AI53" s="25">
        <v>43</v>
      </c>
      <c r="AJ53" s="25"/>
      <c r="AK53" s="25" t="str">
        <f t="array" ref="AK53">IFERROR(INDEX($AI$11:$AI$259, MATCH(0, IF(TRUE=$AF$11:$AF$259, COUNTIF($AK$10:$AK52, $AI$11:$AI$259), ""), 0)),"")</f>
        <v/>
      </c>
      <c r="AL53" s="25" t="str">
        <f t="array" ref="AL53">IFERROR(INDEX($AI$11:$AI$259, MATCH(0, IF(TRUE=$AG$11:$AG$259, COUNTIF($AL$10:$AL52, $AI$11:$AI$259), ""), 0)),"")</f>
        <v/>
      </c>
      <c r="AM53" s="25" t="str">
        <f t="array" ref="AM53">IFERROR(INDEX($AI$11:$AI$259, MATCH(0, IF(TRUE=$AH$11:$AH$259, COUNTIF($AM$10:$AM52, $AI$11:$AI$259), ""), 0)),"")</f>
        <v/>
      </c>
      <c r="AN53" s="25"/>
      <c r="AQ53" s="20">
        <f t="shared" si="5"/>
        <v>0</v>
      </c>
      <c r="AV53" s="540" t="str">
        <f>IFERROR(INDEX('G-1 All Habitats'!$B$3:$B$135,MATCH(F53,'G-1 All Habitats'!$A$3:$A$135,0)),"")</f>
        <v/>
      </c>
      <c r="AW53" s="20" t="str">
        <f>IF(AV53="","",VLOOKUP(AV53,'G-1 All Habitats'!$B$1:$T$135,19,FALSE))</f>
        <v/>
      </c>
    </row>
    <row r="54" spans="1:49" ht="14.5" thickBot="1" x14ac:dyDescent="0.35">
      <c r="A54" s="20" t="str">
        <f>IFERROR(INDEX('G-1 All Habitats'!$AG$3:$AG$17,MATCH(E54,'G-1 All Habitats'!$AF$3:$AF$17,0)),"")</f>
        <v/>
      </c>
      <c r="B54" s="20" t="str">
        <f>IFERROR(INDEX('G-8 Condition Look up'!$I$4:$I$135,MATCH(AV54,'G-8 Condition Look up'!$A$4:$A$135,0)),"")</f>
        <v/>
      </c>
      <c r="D54" s="238">
        <v>44</v>
      </c>
      <c r="E54" s="223"/>
      <c r="F54" s="45"/>
      <c r="G54" s="272"/>
      <c r="H54" s="37"/>
      <c r="I54" s="290" t="str">
        <f>IF(AV54="","",VLOOKUP(AV54,'G-1 All Habitats'!$B$2:$M$135,10,FALSE))</f>
        <v/>
      </c>
      <c r="J54" s="291" t="str">
        <f>IFERROR(VLOOKUP(I54,'G-1 All Habitats'!$V$3:$W$7,2,FALSE),"")</f>
        <v/>
      </c>
      <c r="K54" s="38"/>
      <c r="L54" s="291" t="str">
        <f>IFERROR(INDEX('G-8 Condition Look up'!$A$3:$H$135,MATCH(AV54,'G-8 Condition Look up'!$A$3:$A$135,0),MATCH(K54,'G-8 Condition Look up'!$A$3:$H$3,0)),"")</f>
        <v/>
      </c>
      <c r="M54" s="38"/>
      <c r="N54" s="310" t="str">
        <f>IF(M54="","",IF(VLOOKUP(M54,'G-3 Multipliers'!$L$3:$N$6,2,FALSE)=0,"Spatial Data Missing",VLOOKUP(M54,'G-3 Multipliers'!$L$3:$N$6,2,FALSE)))</f>
        <v/>
      </c>
      <c r="O54" s="296" t="str">
        <f>IF(M54="","",IF(VLOOKUP(M54,'G-3 Multipliers'!$L$3:$N$6,3,FALSE)=0,"Spatial Data Missing ▲",VLOOKUP(M54,'G-3 Multipliers'!$L$3:$N$6,3,FALSE)))</f>
        <v/>
      </c>
      <c r="P54" s="297" t="str">
        <f>(IF(G54="Yes","Bespoke compensation likely to be required 🛠",(IFERROR(VLOOKUP(AV54,'G-1 All Habitats'!$B$2:$M$135,12,FALSE),""))))</f>
        <v/>
      </c>
      <c r="Q54" s="304" t="str">
        <f>IFERROR(IF(AND(E54="Individual trees",T54&gt;0), "Error - you cannot enhance individual trees ▲", (IF(AND(U54="Irreplaceable habitat - no units generated ⚠",(S54+T54)&lt;H54, OR(Y54="No", Y54="")),"Any Loss Unacceptable ⚠", (IF(U54="Irreplaceable habitat - no units generated ⚠", T54*J54*L54*O54, IF(AND(P54='G-1 All Habitats'!$X$3, AC54&gt;0, S54&lt;=0, T54&lt;=0, OR(Y54="No", Y54="")),"Any Loss Unacceptable ⚠", IF(AND(P54='G-1 All Habitats'!$X$3, AC54&gt;0, S54&lt;=0, T54&lt;=0, Y54="Yes"), 0, (IF(AND(P54='G-1 All Habitats'!$X$3,(S54+T54)&lt;H54, OR(Y54="No", Y54="")),"Any Loss Unacceptable ⚠", (IF(P54="","",IF(AND(P54='G-1 All Habitats'!$X$3,T54&gt;0),U54+V54,IF(AND(P54='G-1 All Habitats'!$X$3,S54&gt;0),U54+V54,H54*J54*L54*O54))))))))))))),"Check Data ▲")</f>
        <v/>
      </c>
      <c r="R54" s="23"/>
      <c r="S54" s="38"/>
      <c r="T54" s="39"/>
      <c r="U54" s="302" t="str">
        <f t="shared" si="1"/>
        <v/>
      </c>
      <c r="V54" s="302" t="str">
        <f t="shared" si="2"/>
        <v/>
      </c>
      <c r="W54" s="302" t="str">
        <f>IF(E54="","",IF(H54&lt;S54+T54,"Error in Areas ▲",IF(P54&lt;&gt;'G-1 All Habitats'!$X$3,H54-S54-T54,IF(AND(P54='G-1 All Habitats'!$X$3,Y54="No"),AC54,IF(AND(P54='G-1 All Habitats'!$X$3,Y54=""),AC54,IF(AND(P54='G-1 All Habitats'!$X$3,AC54="None"),AC54,IF(AND(P54='G-1 All Habitats'!$X$3,AC54&gt;0),H54-S54-T54)))))))</f>
        <v/>
      </c>
      <c r="X54" s="306" t="str">
        <f>IFERROR(IF(H54="","",IF(H54-S54-T54=0&lt;0,"Error in Areas ▲",IF(S54+T54&gt;H54,"Error in Areas ▲",IF(AND(P54='G-1 All Habitats'!$X$3,Y54="Yes"),"Alternative Compensation ✓",IF(W54=0,0,IF(P54='G-1 All Habitats'!$X$3,"Any Loss Unacceptable ▲",Q54-U54-V54)))))),"Check Data ▲")</f>
        <v/>
      </c>
      <c r="Y54" s="39"/>
      <c r="Z54" s="46"/>
      <c r="AA54" s="419"/>
      <c r="AB54" s="101"/>
      <c r="AC54" s="495" t="str">
        <f>IF(OR(P54="", Y54="Yes"),"", IF(P54='G-1 All Habitats'!$X$3,H54-S54-T54,"None"))</f>
        <v/>
      </c>
      <c r="AD54" s="496" t="str">
        <f>IF(P54="","", IF(P54='G-1 All Habitats'!$X$3, AC54*J54*L54*O54,"None"))</f>
        <v/>
      </c>
      <c r="AE54" s="20" t="str">
        <f t="shared" si="3"/>
        <v/>
      </c>
      <c r="AF54" s="25" t="str">
        <f t="shared" si="4"/>
        <v/>
      </c>
      <c r="AG54" s="25" t="str">
        <f t="shared" si="0"/>
        <v/>
      </c>
      <c r="AH54" s="25" t="str">
        <f>IF(I54="","",IF(#REF!&gt;0,TRUE,FALSE))</f>
        <v/>
      </c>
      <c r="AI54" s="25">
        <v>44</v>
      </c>
      <c r="AJ54" s="25"/>
      <c r="AK54" s="25" t="str">
        <f t="array" ref="AK54">IFERROR(INDEX($AI$11:$AI$259, MATCH(0, IF(TRUE=$AF$11:$AF$259, COUNTIF($AK$10:$AK53, $AI$11:$AI$259), ""), 0)),"")</f>
        <v/>
      </c>
      <c r="AL54" s="25" t="str">
        <f t="array" ref="AL54">IFERROR(INDEX($AI$11:$AI$259, MATCH(0, IF(TRUE=$AG$11:$AG$259, COUNTIF($AL$10:$AL53, $AI$11:$AI$259), ""), 0)),"")</f>
        <v/>
      </c>
      <c r="AM54" s="25" t="str">
        <f t="array" ref="AM54">IFERROR(INDEX($AI$11:$AI$259, MATCH(0, IF(TRUE=$AH$11:$AH$259, COUNTIF($AM$10:$AM53, $AI$11:$AI$259), ""), 0)),"")</f>
        <v/>
      </c>
      <c r="AN54" s="25"/>
      <c r="AQ54" s="20">
        <f t="shared" si="5"/>
        <v>0</v>
      </c>
      <c r="AV54" s="540" t="str">
        <f>IFERROR(INDEX('G-1 All Habitats'!$B$3:$B$135,MATCH(F54,'G-1 All Habitats'!$A$3:$A$135,0)),"")</f>
        <v/>
      </c>
      <c r="AW54" s="20" t="str">
        <f>IF(AV54="","",VLOOKUP(AV54,'G-1 All Habitats'!$B$1:$T$135,19,FALSE))</f>
        <v/>
      </c>
    </row>
    <row r="55" spans="1:49" ht="14.5" thickBot="1" x14ac:dyDescent="0.35">
      <c r="A55" s="20" t="str">
        <f>IFERROR(INDEX('G-1 All Habitats'!$AG$3:$AG$17,MATCH(E55,'G-1 All Habitats'!$AF$3:$AF$17,0)),"")</f>
        <v/>
      </c>
      <c r="B55" s="20" t="str">
        <f>IFERROR(INDEX('G-8 Condition Look up'!$I$4:$I$135,MATCH(AV55,'G-8 Condition Look up'!$A$4:$A$135,0)),"")</f>
        <v/>
      </c>
      <c r="D55" s="238">
        <v>45</v>
      </c>
      <c r="E55" s="223"/>
      <c r="F55" s="45"/>
      <c r="G55" s="272"/>
      <c r="H55" s="37"/>
      <c r="I55" s="290" t="str">
        <f>IF(AV55="","",VLOOKUP(AV55,'G-1 All Habitats'!$B$2:$M$135,10,FALSE))</f>
        <v/>
      </c>
      <c r="J55" s="291" t="str">
        <f>IFERROR(VLOOKUP(I55,'G-1 All Habitats'!$V$3:$W$7,2,FALSE),"")</f>
        <v/>
      </c>
      <c r="K55" s="38"/>
      <c r="L55" s="291" t="str">
        <f>IFERROR(INDEX('G-8 Condition Look up'!$A$3:$H$135,MATCH(AV55,'G-8 Condition Look up'!$A$3:$A$135,0),MATCH(K55,'G-8 Condition Look up'!$A$3:$H$3,0)),"")</f>
        <v/>
      </c>
      <c r="M55" s="38"/>
      <c r="N55" s="310" t="str">
        <f>IF(M55="","",IF(VLOOKUP(M55,'G-3 Multipliers'!$L$3:$N$6,2,FALSE)=0,"Spatial Data Missing",VLOOKUP(M55,'G-3 Multipliers'!$L$3:$N$6,2,FALSE)))</f>
        <v/>
      </c>
      <c r="O55" s="296" t="str">
        <f>IF(M55="","",IF(VLOOKUP(M55,'G-3 Multipliers'!$L$3:$N$6,3,FALSE)=0,"Spatial Data Missing ▲",VLOOKUP(M55,'G-3 Multipliers'!$L$3:$N$6,3,FALSE)))</f>
        <v/>
      </c>
      <c r="P55" s="297" t="str">
        <f>(IF(G55="Yes","Bespoke compensation likely to be required 🛠",(IFERROR(VLOOKUP(AV55,'G-1 All Habitats'!$B$2:$M$135,12,FALSE),""))))</f>
        <v/>
      </c>
      <c r="Q55" s="304" t="str">
        <f>IFERROR(IF(AND(E55="Individual trees",T55&gt;0), "Error - you cannot enhance individual trees ▲", (IF(AND(U55="Irreplaceable habitat - no units generated ⚠",(S55+T55)&lt;H55, OR(Y55="No", Y55="")),"Any Loss Unacceptable ⚠", (IF(U55="Irreplaceable habitat - no units generated ⚠", T55*J55*L55*O55, IF(AND(P55='G-1 All Habitats'!$X$3, AC55&gt;0, S55&lt;=0, T55&lt;=0, OR(Y55="No", Y55="")),"Any Loss Unacceptable ⚠", IF(AND(P55='G-1 All Habitats'!$X$3, AC55&gt;0, S55&lt;=0, T55&lt;=0, Y55="Yes"), 0, (IF(AND(P55='G-1 All Habitats'!$X$3,(S55+T55)&lt;H55, OR(Y55="No", Y55="")),"Any Loss Unacceptable ⚠", (IF(P55="","",IF(AND(P55='G-1 All Habitats'!$X$3,T55&gt;0),U55+V55,IF(AND(P55='G-1 All Habitats'!$X$3,S55&gt;0),U55+V55,H55*J55*L55*O55))))))))))))),"Check Data ▲")</f>
        <v/>
      </c>
      <c r="R55" s="23"/>
      <c r="S55" s="38"/>
      <c r="T55" s="39"/>
      <c r="U55" s="302" t="str">
        <f t="shared" si="1"/>
        <v/>
      </c>
      <c r="V55" s="302" t="str">
        <f t="shared" si="2"/>
        <v/>
      </c>
      <c r="W55" s="302" t="str">
        <f>IF(E55="","",IF(H55&lt;S55+T55,"Error in Areas ▲",IF(P55&lt;&gt;'G-1 All Habitats'!$X$3,H55-S55-T55,IF(AND(P55='G-1 All Habitats'!$X$3,Y55="No"),AC55,IF(AND(P55='G-1 All Habitats'!$X$3,Y55=""),AC55,IF(AND(P55='G-1 All Habitats'!$X$3,AC55="None"),AC55,IF(AND(P55='G-1 All Habitats'!$X$3,AC55&gt;0),H55-S55-T55)))))))</f>
        <v/>
      </c>
      <c r="X55" s="306" t="str">
        <f>IFERROR(IF(H55="","",IF(H55-S55-T55=0&lt;0,"Error in Areas ▲",IF(S55+T55&gt;H55,"Error in Areas ▲",IF(AND(P55='G-1 All Habitats'!$X$3,Y55="Yes"),"Alternative Compensation ✓",IF(W55=0,0,IF(P55='G-1 All Habitats'!$X$3,"Any Loss Unacceptable ▲",Q55-U55-V55)))))),"Check Data ▲")</f>
        <v/>
      </c>
      <c r="Y55" s="39"/>
      <c r="Z55" s="46"/>
      <c r="AA55" s="419"/>
      <c r="AB55" s="101"/>
      <c r="AC55" s="495" t="str">
        <f>IF(OR(P55="", Y55="Yes"),"", IF(P55='G-1 All Habitats'!$X$3,H55-S55-T55,"None"))</f>
        <v/>
      </c>
      <c r="AD55" s="496" t="str">
        <f>IF(P55="","", IF(P55='G-1 All Habitats'!$X$3, AC55*J55*L55*O55,"None"))</f>
        <v/>
      </c>
      <c r="AE55" s="20" t="str">
        <f t="shared" si="3"/>
        <v/>
      </c>
      <c r="AF55" s="25" t="str">
        <f t="shared" si="4"/>
        <v/>
      </c>
      <c r="AG55" s="25" t="str">
        <f t="shared" si="0"/>
        <v/>
      </c>
      <c r="AH55" s="25" t="str">
        <f>IF(I55="","",IF(#REF!&gt;0,TRUE,FALSE))</f>
        <v/>
      </c>
      <c r="AI55" s="25">
        <v>45</v>
      </c>
      <c r="AJ55" s="25"/>
      <c r="AK55" s="25" t="str">
        <f t="array" ref="AK55">IFERROR(INDEX($AI$11:$AI$259, MATCH(0, IF(TRUE=$AF$11:$AF$259, COUNTIF($AK$10:$AK54, $AI$11:$AI$259), ""), 0)),"")</f>
        <v/>
      </c>
      <c r="AL55" s="25" t="str">
        <f t="array" ref="AL55">IFERROR(INDEX($AI$11:$AI$259, MATCH(0, IF(TRUE=$AG$11:$AG$259, COUNTIF($AL$10:$AL54, $AI$11:$AI$259), ""), 0)),"")</f>
        <v/>
      </c>
      <c r="AM55" s="25" t="str">
        <f t="array" ref="AM55">IFERROR(INDEX($AI$11:$AI$259, MATCH(0, IF(TRUE=$AH$11:$AH$259, COUNTIF($AM$10:$AM54, $AI$11:$AI$259), ""), 0)),"")</f>
        <v/>
      </c>
      <c r="AN55" s="25"/>
      <c r="AQ55" s="20">
        <f t="shared" si="5"/>
        <v>0</v>
      </c>
      <c r="AV55" s="540" t="str">
        <f>IFERROR(INDEX('G-1 All Habitats'!$B$3:$B$135,MATCH(F55,'G-1 All Habitats'!$A$3:$A$135,0)),"")</f>
        <v/>
      </c>
      <c r="AW55" s="20" t="str">
        <f>IF(AV55="","",VLOOKUP(AV55,'G-1 All Habitats'!$B$1:$T$135,19,FALSE))</f>
        <v/>
      </c>
    </row>
    <row r="56" spans="1:49" ht="14.5" thickBot="1" x14ac:dyDescent="0.35">
      <c r="A56" s="20" t="str">
        <f>IFERROR(INDEX('G-1 All Habitats'!$AG$3:$AG$17,MATCH(E56,'G-1 All Habitats'!$AF$3:$AF$17,0)),"")</f>
        <v/>
      </c>
      <c r="B56" s="20" t="str">
        <f>IFERROR(INDEX('G-8 Condition Look up'!$I$4:$I$135,MATCH(AV56,'G-8 Condition Look up'!$A$4:$A$135,0)),"")</f>
        <v/>
      </c>
      <c r="D56" s="238">
        <v>46</v>
      </c>
      <c r="E56" s="223"/>
      <c r="F56" s="45"/>
      <c r="G56" s="272"/>
      <c r="H56" s="37"/>
      <c r="I56" s="290" t="str">
        <f>IF(AV56="","",VLOOKUP(AV56,'G-1 All Habitats'!$B$2:$M$135,10,FALSE))</f>
        <v/>
      </c>
      <c r="J56" s="291" t="str">
        <f>IFERROR(VLOOKUP(I56,'G-1 All Habitats'!$V$3:$W$7,2,FALSE),"")</f>
        <v/>
      </c>
      <c r="K56" s="38"/>
      <c r="L56" s="291" t="str">
        <f>IFERROR(INDEX('G-8 Condition Look up'!$A$3:$H$135,MATCH(AV56,'G-8 Condition Look up'!$A$3:$A$135,0),MATCH(K56,'G-8 Condition Look up'!$A$3:$H$3,0)),"")</f>
        <v/>
      </c>
      <c r="M56" s="38"/>
      <c r="N56" s="310" t="str">
        <f>IF(M56="","",IF(VLOOKUP(M56,'G-3 Multipliers'!$L$3:$N$6,2,FALSE)=0,"Spatial Data Missing",VLOOKUP(M56,'G-3 Multipliers'!$L$3:$N$6,2,FALSE)))</f>
        <v/>
      </c>
      <c r="O56" s="296" t="str">
        <f>IF(M56="","",IF(VLOOKUP(M56,'G-3 Multipliers'!$L$3:$N$6,3,FALSE)=0,"Spatial Data Missing ▲",VLOOKUP(M56,'G-3 Multipliers'!$L$3:$N$6,3,FALSE)))</f>
        <v/>
      </c>
      <c r="P56" s="297" t="str">
        <f>(IF(G56="Yes","Bespoke compensation likely to be required 🛠",(IFERROR(VLOOKUP(AV56,'G-1 All Habitats'!$B$2:$M$135,12,FALSE),""))))</f>
        <v/>
      </c>
      <c r="Q56" s="304" t="str">
        <f>IFERROR(IF(AND(E56="Individual trees",T56&gt;0), "Error - you cannot enhance individual trees ▲", (IF(AND(U56="Irreplaceable habitat - no units generated ⚠",(S56+T56)&lt;H56, OR(Y56="No", Y56="")),"Any Loss Unacceptable ⚠", (IF(U56="Irreplaceable habitat - no units generated ⚠", T56*J56*L56*O56, IF(AND(P56='G-1 All Habitats'!$X$3, AC56&gt;0, S56&lt;=0, T56&lt;=0, OR(Y56="No", Y56="")),"Any Loss Unacceptable ⚠", IF(AND(P56='G-1 All Habitats'!$X$3, AC56&gt;0, S56&lt;=0, T56&lt;=0, Y56="Yes"), 0, (IF(AND(P56='G-1 All Habitats'!$X$3,(S56+T56)&lt;H56, OR(Y56="No", Y56="")),"Any Loss Unacceptable ⚠", (IF(P56="","",IF(AND(P56='G-1 All Habitats'!$X$3,T56&gt;0),U56+V56,IF(AND(P56='G-1 All Habitats'!$X$3,S56&gt;0),U56+V56,H56*J56*L56*O56))))))))))))),"Check Data ▲")</f>
        <v/>
      </c>
      <c r="R56" s="23"/>
      <c r="S56" s="38"/>
      <c r="T56" s="39"/>
      <c r="U56" s="302" t="str">
        <f t="shared" si="1"/>
        <v/>
      </c>
      <c r="V56" s="302" t="str">
        <f t="shared" si="2"/>
        <v/>
      </c>
      <c r="W56" s="302" t="str">
        <f>IF(E56="","",IF(H56&lt;S56+T56,"Error in Areas ▲",IF(P56&lt;&gt;'G-1 All Habitats'!$X$3,H56-S56-T56,IF(AND(P56='G-1 All Habitats'!$X$3,Y56="No"),AC56,IF(AND(P56='G-1 All Habitats'!$X$3,Y56=""),AC56,IF(AND(P56='G-1 All Habitats'!$X$3,AC56="None"),AC56,IF(AND(P56='G-1 All Habitats'!$X$3,AC56&gt;0),H56-S56-T56)))))))</f>
        <v/>
      </c>
      <c r="X56" s="306" t="str">
        <f>IFERROR(IF(H56="","",IF(H56-S56-T56=0&lt;0,"Error in Areas ▲",IF(S56+T56&gt;H56,"Error in Areas ▲",IF(AND(P56='G-1 All Habitats'!$X$3,Y56="Yes"),"Alternative Compensation ✓",IF(W56=0,0,IF(P56='G-1 All Habitats'!$X$3,"Any Loss Unacceptable ▲",Q56-U56-V56)))))),"Check Data ▲")</f>
        <v/>
      </c>
      <c r="Y56" s="39"/>
      <c r="Z56" s="46"/>
      <c r="AA56" s="419"/>
      <c r="AB56" s="101"/>
      <c r="AC56" s="495" t="str">
        <f>IF(OR(P56="", Y56="Yes"),"", IF(P56='G-1 All Habitats'!$X$3,H56-S56-T56,"None"))</f>
        <v/>
      </c>
      <c r="AD56" s="496" t="str">
        <f>IF(P56="","", IF(P56='G-1 All Habitats'!$X$3, AC56*J56*L56*O56,"None"))</f>
        <v/>
      </c>
      <c r="AE56" s="20" t="str">
        <f t="shared" si="3"/>
        <v/>
      </c>
      <c r="AF56" s="25" t="str">
        <f t="shared" si="4"/>
        <v/>
      </c>
      <c r="AG56" s="25" t="str">
        <f t="shared" si="0"/>
        <v/>
      </c>
      <c r="AH56" s="25" t="str">
        <f>IF(I56="","",IF(#REF!&gt;0,TRUE,FALSE))</f>
        <v/>
      </c>
      <c r="AI56" s="25">
        <v>46</v>
      </c>
      <c r="AJ56" s="25"/>
      <c r="AK56" s="25" t="str">
        <f t="array" ref="AK56">IFERROR(INDEX($AI$11:$AI$259, MATCH(0, IF(TRUE=$AF$11:$AF$259, COUNTIF($AK$10:$AK55, $AI$11:$AI$259), ""), 0)),"")</f>
        <v/>
      </c>
      <c r="AL56" s="25" t="str">
        <f t="array" ref="AL56">IFERROR(INDEX($AI$11:$AI$259, MATCH(0, IF(TRUE=$AG$11:$AG$259, COUNTIF($AL$10:$AL55, $AI$11:$AI$259), ""), 0)),"")</f>
        <v/>
      </c>
      <c r="AM56" s="25" t="str">
        <f t="array" ref="AM56">IFERROR(INDEX($AI$11:$AI$259, MATCH(0, IF(TRUE=$AH$11:$AH$259, COUNTIF($AM$10:$AM55, $AI$11:$AI$259), ""), 0)),"")</f>
        <v/>
      </c>
      <c r="AN56" s="25"/>
      <c r="AQ56" s="20">
        <f t="shared" si="5"/>
        <v>0</v>
      </c>
      <c r="AV56" s="540" t="str">
        <f>IFERROR(INDEX('G-1 All Habitats'!$B$3:$B$135,MATCH(F56,'G-1 All Habitats'!$A$3:$A$135,0)),"")</f>
        <v/>
      </c>
      <c r="AW56" s="20" t="str">
        <f>IF(AV56="","",VLOOKUP(AV56,'G-1 All Habitats'!$B$1:$T$135,19,FALSE))</f>
        <v/>
      </c>
    </row>
    <row r="57" spans="1:49" ht="14.5" thickBot="1" x14ac:dyDescent="0.35">
      <c r="A57" s="20" t="str">
        <f>IFERROR(INDEX('G-1 All Habitats'!$AG$3:$AG$17,MATCH(E57,'G-1 All Habitats'!$AF$3:$AF$17,0)),"")</f>
        <v/>
      </c>
      <c r="B57" s="20" t="str">
        <f>IFERROR(INDEX('G-8 Condition Look up'!$I$4:$I$135,MATCH(AV57,'G-8 Condition Look up'!$A$4:$A$135,0)),"")</f>
        <v/>
      </c>
      <c r="D57" s="238">
        <v>47</v>
      </c>
      <c r="E57" s="223"/>
      <c r="F57" s="45"/>
      <c r="G57" s="272"/>
      <c r="H57" s="37"/>
      <c r="I57" s="290" t="str">
        <f>IF(AV57="","",VLOOKUP(AV57,'G-1 All Habitats'!$B$2:$M$135,10,FALSE))</f>
        <v/>
      </c>
      <c r="J57" s="291" t="str">
        <f>IFERROR(VLOOKUP(I57,'G-1 All Habitats'!$V$3:$W$7,2,FALSE),"")</f>
        <v/>
      </c>
      <c r="K57" s="38"/>
      <c r="L57" s="291" t="str">
        <f>IFERROR(INDEX('G-8 Condition Look up'!$A$3:$H$135,MATCH(AV57,'G-8 Condition Look up'!$A$3:$A$135,0),MATCH(K57,'G-8 Condition Look up'!$A$3:$H$3,0)),"")</f>
        <v/>
      </c>
      <c r="M57" s="38"/>
      <c r="N57" s="310" t="str">
        <f>IF(M57="","",IF(VLOOKUP(M57,'G-3 Multipliers'!$L$3:$N$6,2,FALSE)=0,"Spatial Data Missing",VLOOKUP(M57,'G-3 Multipliers'!$L$3:$N$6,2,FALSE)))</f>
        <v/>
      </c>
      <c r="O57" s="296" t="str">
        <f>IF(M57="","",IF(VLOOKUP(M57,'G-3 Multipliers'!$L$3:$N$6,3,FALSE)=0,"Spatial Data Missing ▲",VLOOKUP(M57,'G-3 Multipliers'!$L$3:$N$6,3,FALSE)))</f>
        <v/>
      </c>
      <c r="P57" s="297" t="str">
        <f>(IF(G57="Yes","Bespoke compensation likely to be required 🛠",(IFERROR(VLOOKUP(AV57,'G-1 All Habitats'!$B$2:$M$135,12,FALSE),""))))</f>
        <v/>
      </c>
      <c r="Q57" s="304" t="str">
        <f>IFERROR(IF(AND(E57="Individual trees",T57&gt;0), "Error - you cannot enhance individual trees ▲", (IF(AND(U57="Irreplaceable habitat - no units generated ⚠",(S57+T57)&lt;H57, OR(Y57="No", Y57="")),"Any Loss Unacceptable ⚠", (IF(U57="Irreplaceable habitat - no units generated ⚠", T57*J57*L57*O57, IF(AND(P57='G-1 All Habitats'!$X$3, AC57&gt;0, S57&lt;=0, T57&lt;=0, OR(Y57="No", Y57="")),"Any Loss Unacceptable ⚠", IF(AND(P57='G-1 All Habitats'!$X$3, AC57&gt;0, S57&lt;=0, T57&lt;=0, Y57="Yes"), 0, (IF(AND(P57='G-1 All Habitats'!$X$3,(S57+T57)&lt;H57, OR(Y57="No", Y57="")),"Any Loss Unacceptable ⚠", (IF(P57="","",IF(AND(P57='G-1 All Habitats'!$X$3,T57&gt;0),U57+V57,IF(AND(P57='G-1 All Habitats'!$X$3,S57&gt;0),U57+V57,H57*J57*L57*O57))))))))))))),"Check Data ▲")</f>
        <v/>
      </c>
      <c r="R57" s="23"/>
      <c r="S57" s="38"/>
      <c r="T57" s="39"/>
      <c r="U57" s="302" t="str">
        <f t="shared" si="1"/>
        <v/>
      </c>
      <c r="V57" s="302" t="str">
        <f t="shared" si="2"/>
        <v/>
      </c>
      <c r="W57" s="302" t="str">
        <f>IF(E57="","",IF(H57&lt;S57+T57,"Error in Areas ▲",IF(P57&lt;&gt;'G-1 All Habitats'!$X$3,H57-S57-T57,IF(AND(P57='G-1 All Habitats'!$X$3,Y57="No"),AC57,IF(AND(P57='G-1 All Habitats'!$X$3,Y57=""),AC57,IF(AND(P57='G-1 All Habitats'!$X$3,AC57="None"),AC57,IF(AND(P57='G-1 All Habitats'!$X$3,AC57&gt;0),H57-S57-T57)))))))</f>
        <v/>
      </c>
      <c r="X57" s="306" t="str">
        <f>IFERROR(IF(H57="","",IF(H57-S57-T57=0&lt;0,"Error in Areas ▲",IF(S57+T57&gt;H57,"Error in Areas ▲",IF(AND(P57='G-1 All Habitats'!$X$3,Y57="Yes"),"Alternative Compensation ✓",IF(W57=0,0,IF(P57='G-1 All Habitats'!$X$3,"Any Loss Unacceptable ▲",Q57-U57-V57)))))),"Check Data ▲")</f>
        <v/>
      </c>
      <c r="Y57" s="39"/>
      <c r="Z57" s="46"/>
      <c r="AA57" s="419"/>
      <c r="AB57" s="101"/>
      <c r="AC57" s="495" t="str">
        <f>IF(OR(P57="", Y57="Yes"),"", IF(P57='G-1 All Habitats'!$X$3,H57-S57-T57,"None"))</f>
        <v/>
      </c>
      <c r="AD57" s="496" t="str">
        <f>IF(P57="","", IF(P57='G-1 All Habitats'!$X$3, AC57*J57*L57*O57,"None"))</f>
        <v/>
      </c>
      <c r="AE57" s="20" t="str">
        <f t="shared" si="3"/>
        <v/>
      </c>
      <c r="AF57" s="25" t="str">
        <f t="shared" si="4"/>
        <v/>
      </c>
      <c r="AG57" s="25" t="str">
        <f t="shared" si="0"/>
        <v/>
      </c>
      <c r="AH57" s="25" t="str">
        <f>IF(I57="","",IF(#REF!&gt;0,TRUE,FALSE))</f>
        <v/>
      </c>
      <c r="AI57" s="25">
        <v>47</v>
      </c>
      <c r="AJ57" s="25"/>
      <c r="AK57" s="25" t="str">
        <f t="array" ref="AK57">IFERROR(INDEX($AI$11:$AI$259, MATCH(0, IF(TRUE=$AF$11:$AF$259, COUNTIF($AK$10:$AK56, $AI$11:$AI$259), ""), 0)),"")</f>
        <v/>
      </c>
      <c r="AL57" s="25" t="str">
        <f t="array" ref="AL57">IFERROR(INDEX($AI$11:$AI$259, MATCH(0, IF(TRUE=$AG$11:$AG$259, COUNTIF($AL$10:$AL56, $AI$11:$AI$259), ""), 0)),"")</f>
        <v/>
      </c>
      <c r="AM57" s="25" t="str">
        <f t="array" ref="AM57">IFERROR(INDEX($AI$11:$AI$259, MATCH(0, IF(TRUE=$AH$11:$AH$259, COUNTIF($AM$10:$AM56, $AI$11:$AI$259), ""), 0)),"")</f>
        <v/>
      </c>
      <c r="AN57" s="25"/>
      <c r="AQ57" s="20">
        <f t="shared" si="5"/>
        <v>0</v>
      </c>
      <c r="AV57" s="540" t="str">
        <f>IFERROR(INDEX('G-1 All Habitats'!$B$3:$B$135,MATCH(F57,'G-1 All Habitats'!$A$3:$A$135,0)),"")</f>
        <v/>
      </c>
      <c r="AW57" s="20" t="str">
        <f>IF(AV57="","",VLOOKUP(AV57,'G-1 All Habitats'!$B$1:$T$135,19,FALSE))</f>
        <v/>
      </c>
    </row>
    <row r="58" spans="1:49" ht="14.5" thickBot="1" x14ac:dyDescent="0.35">
      <c r="A58" s="20" t="str">
        <f>IFERROR(INDEX('G-1 All Habitats'!$AG$3:$AG$17,MATCH(E58,'G-1 All Habitats'!$AF$3:$AF$17,0)),"")</f>
        <v/>
      </c>
      <c r="B58" s="20" t="str">
        <f>IFERROR(INDEX('G-8 Condition Look up'!$I$4:$I$135,MATCH(AV58,'G-8 Condition Look up'!$A$4:$A$135,0)),"")</f>
        <v/>
      </c>
      <c r="D58" s="238">
        <v>48</v>
      </c>
      <c r="E58" s="223"/>
      <c r="F58" s="45"/>
      <c r="G58" s="272"/>
      <c r="H58" s="37"/>
      <c r="I58" s="290" t="str">
        <f>IF(AV58="","",VLOOKUP(AV58,'G-1 All Habitats'!$B$2:$M$135,10,FALSE))</f>
        <v/>
      </c>
      <c r="J58" s="291" t="str">
        <f>IFERROR(VLOOKUP(I58,'G-1 All Habitats'!$V$3:$W$7,2,FALSE),"")</f>
        <v/>
      </c>
      <c r="K58" s="38"/>
      <c r="L58" s="291" t="str">
        <f>IFERROR(INDEX('G-8 Condition Look up'!$A$3:$H$135,MATCH(AV58,'G-8 Condition Look up'!$A$3:$A$135,0),MATCH(K58,'G-8 Condition Look up'!$A$3:$H$3,0)),"")</f>
        <v/>
      </c>
      <c r="M58" s="38"/>
      <c r="N58" s="310" t="str">
        <f>IF(M58="","",IF(VLOOKUP(M58,'G-3 Multipliers'!$L$3:$N$6,2,FALSE)=0,"Spatial Data Missing",VLOOKUP(M58,'G-3 Multipliers'!$L$3:$N$6,2,FALSE)))</f>
        <v/>
      </c>
      <c r="O58" s="296" t="str">
        <f>IF(M58="","",IF(VLOOKUP(M58,'G-3 Multipliers'!$L$3:$N$6,3,FALSE)=0,"Spatial Data Missing ▲",VLOOKUP(M58,'G-3 Multipliers'!$L$3:$N$6,3,FALSE)))</f>
        <v/>
      </c>
      <c r="P58" s="297" t="str">
        <f>(IF(G58="Yes","Bespoke compensation likely to be required 🛠",(IFERROR(VLOOKUP(AV58,'G-1 All Habitats'!$B$2:$M$135,12,FALSE),""))))</f>
        <v/>
      </c>
      <c r="Q58" s="304" t="str">
        <f>IFERROR(IF(AND(E58="Individual trees",T58&gt;0), "Error - you cannot enhance individual trees ▲", (IF(AND(U58="Irreplaceable habitat - no units generated ⚠",(S58+T58)&lt;H58, OR(Y58="No", Y58="")),"Any Loss Unacceptable ⚠", (IF(U58="Irreplaceable habitat - no units generated ⚠", T58*J58*L58*O58, IF(AND(P58='G-1 All Habitats'!$X$3, AC58&gt;0, S58&lt;=0, T58&lt;=0, OR(Y58="No", Y58="")),"Any Loss Unacceptable ⚠", IF(AND(P58='G-1 All Habitats'!$X$3, AC58&gt;0, S58&lt;=0, T58&lt;=0, Y58="Yes"), 0, (IF(AND(P58='G-1 All Habitats'!$X$3,(S58+T58)&lt;H58, OR(Y58="No", Y58="")),"Any Loss Unacceptable ⚠", (IF(P58="","",IF(AND(P58='G-1 All Habitats'!$X$3,T58&gt;0),U58+V58,IF(AND(P58='G-1 All Habitats'!$X$3,S58&gt;0),U58+V58,H58*J58*L58*O58))))))))))))),"Check Data ▲")</f>
        <v/>
      </c>
      <c r="R58" s="23"/>
      <c r="S58" s="38"/>
      <c r="T58" s="39"/>
      <c r="U58" s="302" t="str">
        <f t="shared" si="1"/>
        <v/>
      </c>
      <c r="V58" s="302" t="str">
        <f t="shared" si="2"/>
        <v/>
      </c>
      <c r="W58" s="302" t="str">
        <f>IF(E58="","",IF(H58&lt;S58+T58,"Error in Areas ▲",IF(P58&lt;&gt;'G-1 All Habitats'!$X$3,H58-S58-T58,IF(AND(P58='G-1 All Habitats'!$X$3,Y58="No"),AC58,IF(AND(P58='G-1 All Habitats'!$X$3,Y58=""),AC58,IF(AND(P58='G-1 All Habitats'!$X$3,AC58="None"),AC58,IF(AND(P58='G-1 All Habitats'!$X$3,AC58&gt;0),H58-S58-T58)))))))</f>
        <v/>
      </c>
      <c r="X58" s="306" t="str">
        <f>IFERROR(IF(H58="","",IF(H58-S58-T58=0&lt;0,"Error in Areas ▲",IF(S58+T58&gt;H58,"Error in Areas ▲",IF(AND(P58='G-1 All Habitats'!$X$3,Y58="Yes"),"Alternative Compensation ✓",IF(W58=0,0,IF(P58='G-1 All Habitats'!$X$3,"Any Loss Unacceptable ▲",Q58-U58-V58)))))),"Check Data ▲")</f>
        <v/>
      </c>
      <c r="Y58" s="39"/>
      <c r="Z58" s="46"/>
      <c r="AA58" s="419"/>
      <c r="AB58" s="101"/>
      <c r="AC58" s="495" t="str">
        <f>IF(OR(P58="", Y58="Yes"),"", IF(P58='G-1 All Habitats'!$X$3,H58-S58-T58,"None"))</f>
        <v/>
      </c>
      <c r="AD58" s="496" t="str">
        <f>IF(P58="","", IF(P58='G-1 All Habitats'!$X$3, AC58*J58*L58*O58,"None"))</f>
        <v/>
      </c>
      <c r="AE58" s="20" t="str">
        <f t="shared" si="3"/>
        <v/>
      </c>
      <c r="AF58" s="25" t="str">
        <f t="shared" si="4"/>
        <v/>
      </c>
      <c r="AG58" s="25" t="str">
        <f t="shared" si="0"/>
        <v/>
      </c>
      <c r="AH58" s="25" t="str">
        <f>IF(I58="","",IF(#REF!&gt;0,TRUE,FALSE))</f>
        <v/>
      </c>
      <c r="AI58" s="25">
        <v>48</v>
      </c>
      <c r="AJ58" s="25"/>
      <c r="AK58" s="25" t="str">
        <f t="array" ref="AK58">IFERROR(INDEX($AI$11:$AI$259, MATCH(0, IF(TRUE=$AF$11:$AF$259, COUNTIF($AK$10:$AK57, $AI$11:$AI$259), ""), 0)),"")</f>
        <v/>
      </c>
      <c r="AL58" s="25" t="str">
        <f t="array" ref="AL58">IFERROR(INDEX($AI$11:$AI$259, MATCH(0, IF(TRUE=$AG$11:$AG$259, COUNTIF($AL$10:$AL57, $AI$11:$AI$259), ""), 0)),"")</f>
        <v/>
      </c>
      <c r="AM58" s="25" t="str">
        <f t="array" ref="AM58">IFERROR(INDEX($AI$11:$AI$259, MATCH(0, IF(TRUE=$AH$11:$AH$259, COUNTIF($AM$10:$AM57, $AI$11:$AI$259), ""), 0)),"")</f>
        <v/>
      </c>
      <c r="AN58" s="25"/>
      <c r="AQ58" s="20">
        <f t="shared" si="5"/>
        <v>0</v>
      </c>
      <c r="AV58" s="540" t="str">
        <f>IFERROR(INDEX('G-1 All Habitats'!$B$3:$B$135,MATCH(F58,'G-1 All Habitats'!$A$3:$A$135,0)),"")</f>
        <v/>
      </c>
      <c r="AW58" s="20" t="str">
        <f>IF(AV58="","",VLOOKUP(AV58,'G-1 All Habitats'!$B$1:$T$135,19,FALSE))</f>
        <v/>
      </c>
    </row>
    <row r="59" spans="1:49" ht="14.5" thickBot="1" x14ac:dyDescent="0.35">
      <c r="A59" s="20" t="str">
        <f>IFERROR(INDEX('G-1 All Habitats'!$AG$3:$AG$17,MATCH(E59,'G-1 All Habitats'!$AF$3:$AF$17,0)),"")</f>
        <v/>
      </c>
      <c r="B59" s="20" t="str">
        <f>IFERROR(INDEX('G-8 Condition Look up'!$I$4:$I$135,MATCH(AV59,'G-8 Condition Look up'!$A$4:$A$135,0)),"")</f>
        <v/>
      </c>
      <c r="D59" s="238">
        <v>49</v>
      </c>
      <c r="E59" s="223"/>
      <c r="F59" s="45"/>
      <c r="G59" s="272"/>
      <c r="H59" s="37"/>
      <c r="I59" s="290" t="str">
        <f>IF(AV59="","",VLOOKUP(AV59,'G-1 All Habitats'!$B$2:$M$135,10,FALSE))</f>
        <v/>
      </c>
      <c r="J59" s="291" t="str">
        <f>IFERROR(VLOOKUP(I59,'G-1 All Habitats'!$V$3:$W$7,2,FALSE),"")</f>
        <v/>
      </c>
      <c r="K59" s="38"/>
      <c r="L59" s="291" t="str">
        <f>IFERROR(INDEX('G-8 Condition Look up'!$A$3:$H$135,MATCH(AV59,'G-8 Condition Look up'!$A$3:$A$135,0),MATCH(K59,'G-8 Condition Look up'!$A$3:$H$3,0)),"")</f>
        <v/>
      </c>
      <c r="M59" s="38"/>
      <c r="N59" s="310" t="str">
        <f>IF(M59="","",IF(VLOOKUP(M59,'G-3 Multipliers'!$L$3:$N$6,2,FALSE)=0,"Spatial Data Missing",VLOOKUP(M59,'G-3 Multipliers'!$L$3:$N$6,2,FALSE)))</f>
        <v/>
      </c>
      <c r="O59" s="296" t="str">
        <f>IF(M59="","",IF(VLOOKUP(M59,'G-3 Multipliers'!$L$3:$N$6,3,FALSE)=0,"Spatial Data Missing ▲",VLOOKUP(M59,'G-3 Multipliers'!$L$3:$N$6,3,FALSE)))</f>
        <v/>
      </c>
      <c r="P59" s="297" t="str">
        <f>(IF(G59="Yes","Bespoke compensation likely to be required 🛠",(IFERROR(VLOOKUP(AV59,'G-1 All Habitats'!$B$2:$M$135,12,FALSE),""))))</f>
        <v/>
      </c>
      <c r="Q59" s="304" t="str">
        <f>IFERROR(IF(AND(E59="Individual trees",T59&gt;0), "Error - you cannot enhance individual trees ▲", (IF(AND(U59="Irreplaceable habitat - no units generated ⚠",(S59+T59)&lt;H59, OR(Y59="No", Y59="")),"Any Loss Unacceptable ⚠", (IF(U59="Irreplaceable habitat - no units generated ⚠", T59*J59*L59*O59, IF(AND(P59='G-1 All Habitats'!$X$3, AC59&gt;0, S59&lt;=0, T59&lt;=0, OR(Y59="No", Y59="")),"Any Loss Unacceptable ⚠", IF(AND(P59='G-1 All Habitats'!$X$3, AC59&gt;0, S59&lt;=0, T59&lt;=0, Y59="Yes"), 0, (IF(AND(P59='G-1 All Habitats'!$X$3,(S59+T59)&lt;H59, OR(Y59="No", Y59="")),"Any Loss Unacceptable ⚠", (IF(P59="","",IF(AND(P59='G-1 All Habitats'!$X$3,T59&gt;0),U59+V59,IF(AND(P59='G-1 All Habitats'!$X$3,S59&gt;0),U59+V59,H59*J59*L59*O59))))))))))))),"Check Data ▲")</f>
        <v/>
      </c>
      <c r="R59" s="23"/>
      <c r="S59" s="38"/>
      <c r="T59" s="39"/>
      <c r="U59" s="302" t="str">
        <f t="shared" si="1"/>
        <v/>
      </c>
      <c r="V59" s="302" t="str">
        <f t="shared" si="2"/>
        <v/>
      </c>
      <c r="W59" s="302" t="str">
        <f>IF(E59="","",IF(H59&lt;S59+T59,"Error in Areas ▲",IF(P59&lt;&gt;'G-1 All Habitats'!$X$3,H59-S59-T59,IF(AND(P59='G-1 All Habitats'!$X$3,Y59="No"),AC59,IF(AND(P59='G-1 All Habitats'!$X$3,Y59=""),AC59,IF(AND(P59='G-1 All Habitats'!$X$3,AC59="None"),AC59,IF(AND(P59='G-1 All Habitats'!$X$3,AC59&gt;0),H59-S59-T59)))))))</f>
        <v/>
      </c>
      <c r="X59" s="306" t="str">
        <f>IFERROR(IF(H59="","",IF(H59-S59-T59=0&lt;0,"Error in Areas ▲",IF(S59+T59&gt;H59,"Error in Areas ▲",IF(AND(P59='G-1 All Habitats'!$X$3,Y59="Yes"),"Alternative Compensation ✓",IF(W59=0,0,IF(P59='G-1 All Habitats'!$X$3,"Any Loss Unacceptable ▲",Q59-U59-V59)))))),"Check Data ▲")</f>
        <v/>
      </c>
      <c r="Y59" s="39"/>
      <c r="Z59" s="46"/>
      <c r="AA59" s="419"/>
      <c r="AB59" s="101"/>
      <c r="AC59" s="495" t="str">
        <f>IF(OR(P59="", Y59="Yes"),"", IF(P59='G-1 All Habitats'!$X$3,H59-S59-T59,"None"))</f>
        <v/>
      </c>
      <c r="AD59" s="496" t="str">
        <f>IF(P59="","", IF(P59='G-1 All Habitats'!$X$3, AC59*J59*L59*O59,"None"))</f>
        <v/>
      </c>
      <c r="AE59" s="20" t="str">
        <f t="shared" si="3"/>
        <v/>
      </c>
      <c r="AF59" s="25" t="str">
        <f t="shared" si="4"/>
        <v/>
      </c>
      <c r="AG59" s="25" t="str">
        <f t="shared" si="0"/>
        <v/>
      </c>
      <c r="AH59" s="25" t="str">
        <f>IF(I59="","",IF(#REF!&gt;0,TRUE,FALSE))</f>
        <v/>
      </c>
      <c r="AI59" s="25">
        <v>49</v>
      </c>
      <c r="AJ59" s="25"/>
      <c r="AK59" s="25" t="str">
        <f t="array" ref="AK59">IFERROR(INDEX($AI$11:$AI$259, MATCH(0, IF(TRUE=$AF$11:$AF$259, COUNTIF($AK$10:$AK58, $AI$11:$AI$259), ""), 0)),"")</f>
        <v/>
      </c>
      <c r="AL59" s="25" t="str">
        <f t="array" ref="AL59">IFERROR(INDEX($AI$11:$AI$259, MATCH(0, IF(TRUE=$AG$11:$AG$259, COUNTIF($AL$10:$AL58, $AI$11:$AI$259), ""), 0)),"")</f>
        <v/>
      </c>
      <c r="AM59" s="25" t="str">
        <f t="array" ref="AM59">IFERROR(INDEX($AI$11:$AI$259, MATCH(0, IF(TRUE=$AH$11:$AH$259, COUNTIF($AM$10:$AM58, $AI$11:$AI$259), ""), 0)),"")</f>
        <v/>
      </c>
      <c r="AN59" s="25"/>
      <c r="AQ59" s="20">
        <f t="shared" si="5"/>
        <v>0</v>
      </c>
      <c r="AV59" s="540" t="str">
        <f>IFERROR(INDEX('G-1 All Habitats'!$B$3:$B$135,MATCH(F59,'G-1 All Habitats'!$A$3:$A$135,0)),"")</f>
        <v/>
      </c>
      <c r="AW59" s="20" t="str">
        <f>IF(AV59="","",VLOOKUP(AV59,'G-1 All Habitats'!$B$1:$T$135,19,FALSE))</f>
        <v/>
      </c>
    </row>
    <row r="60" spans="1:49" ht="14.5" thickBot="1" x14ac:dyDescent="0.35">
      <c r="A60" s="20" t="str">
        <f>IFERROR(INDEX('G-1 All Habitats'!$AG$3:$AG$17,MATCH(E60,'G-1 All Habitats'!$AF$3:$AF$17,0)),"")</f>
        <v/>
      </c>
      <c r="B60" s="20" t="str">
        <f>IFERROR(INDEX('G-8 Condition Look up'!$I$4:$I$135,MATCH(AV60,'G-8 Condition Look up'!$A$4:$A$135,0)),"")</f>
        <v/>
      </c>
      <c r="D60" s="238">
        <v>50</v>
      </c>
      <c r="E60" s="223"/>
      <c r="F60" s="45"/>
      <c r="G60" s="272"/>
      <c r="H60" s="37"/>
      <c r="I60" s="290" t="str">
        <f>IF(AV60="","",VLOOKUP(AV60,'G-1 All Habitats'!$B$2:$M$135,10,FALSE))</f>
        <v/>
      </c>
      <c r="J60" s="291" t="str">
        <f>IFERROR(VLOOKUP(I60,'G-1 All Habitats'!$V$3:$W$7,2,FALSE),"")</f>
        <v/>
      </c>
      <c r="K60" s="38"/>
      <c r="L60" s="291" t="str">
        <f>IFERROR(INDEX('G-8 Condition Look up'!$A$3:$H$135,MATCH(AV60,'G-8 Condition Look up'!$A$3:$A$135,0),MATCH(K60,'G-8 Condition Look up'!$A$3:$H$3,0)),"")</f>
        <v/>
      </c>
      <c r="M60" s="38"/>
      <c r="N60" s="310" t="str">
        <f>IF(M60="","",IF(VLOOKUP(M60,'G-3 Multipliers'!$L$3:$N$6,2,FALSE)=0,"Spatial Data Missing",VLOOKUP(M60,'G-3 Multipliers'!$L$3:$N$6,2,FALSE)))</f>
        <v/>
      </c>
      <c r="O60" s="296" t="str">
        <f>IF(M60="","",IF(VLOOKUP(M60,'G-3 Multipliers'!$L$3:$N$6,3,FALSE)=0,"Spatial Data Missing ▲",VLOOKUP(M60,'G-3 Multipliers'!$L$3:$N$6,3,FALSE)))</f>
        <v/>
      </c>
      <c r="P60" s="297" t="str">
        <f>(IF(G60="Yes","Bespoke compensation likely to be required 🛠",(IFERROR(VLOOKUP(AV60,'G-1 All Habitats'!$B$2:$M$135,12,FALSE),""))))</f>
        <v/>
      </c>
      <c r="Q60" s="304" t="str">
        <f>IFERROR(IF(AND(E60="Individual trees",T60&gt;0), "Error - you cannot enhance individual trees ▲", (IF(AND(U60="Irreplaceable habitat - no units generated ⚠",(S60+T60)&lt;H60, OR(Y60="No", Y60="")),"Any Loss Unacceptable ⚠", (IF(U60="Irreplaceable habitat - no units generated ⚠", T60*J60*L60*O60, IF(AND(P60='G-1 All Habitats'!$X$3, AC60&gt;0, S60&lt;=0, T60&lt;=0, OR(Y60="No", Y60="")),"Any Loss Unacceptable ⚠", IF(AND(P60='G-1 All Habitats'!$X$3, AC60&gt;0, S60&lt;=0, T60&lt;=0, Y60="Yes"), 0, (IF(AND(P60='G-1 All Habitats'!$X$3,(S60+T60)&lt;H60, OR(Y60="No", Y60="")),"Any Loss Unacceptable ⚠", (IF(P60="","",IF(AND(P60='G-1 All Habitats'!$X$3,T60&gt;0),U60+V60,IF(AND(P60='G-1 All Habitats'!$X$3,S60&gt;0),U60+V60,H60*J60*L60*O60))))))))))))),"Check Data ▲")</f>
        <v/>
      </c>
      <c r="R60" s="23"/>
      <c r="S60" s="38"/>
      <c r="T60" s="39"/>
      <c r="U60" s="302" t="str">
        <f t="shared" si="1"/>
        <v/>
      </c>
      <c r="V60" s="302" t="str">
        <f t="shared" si="2"/>
        <v/>
      </c>
      <c r="W60" s="302" t="str">
        <f>IF(E60="","",IF(H60&lt;S60+T60,"Error in Areas ▲",IF(P60&lt;&gt;'G-1 All Habitats'!$X$3,H60-S60-T60,IF(AND(P60='G-1 All Habitats'!$X$3,Y60="No"),AC60,IF(AND(P60='G-1 All Habitats'!$X$3,Y60=""),AC60,IF(AND(P60='G-1 All Habitats'!$X$3,AC60="None"),AC60,IF(AND(P60='G-1 All Habitats'!$X$3,AC60&gt;0),H60-S60-T60)))))))</f>
        <v/>
      </c>
      <c r="X60" s="306" t="str">
        <f>IFERROR(IF(H60="","",IF(H60-S60-T60=0&lt;0,"Error in Areas ▲",IF(S60+T60&gt;H60,"Error in Areas ▲",IF(AND(P60='G-1 All Habitats'!$X$3,Y60="Yes"),"Alternative Compensation ✓",IF(W60=0,0,IF(P60='G-1 All Habitats'!$X$3,"Any Loss Unacceptable ▲",Q60-U60-V60)))))),"Check Data ▲")</f>
        <v/>
      </c>
      <c r="Y60" s="39"/>
      <c r="Z60" s="46"/>
      <c r="AA60" s="419"/>
      <c r="AB60" s="101"/>
      <c r="AC60" s="495" t="str">
        <f>IF(OR(P60="", Y60="Yes"),"", IF(P60='G-1 All Habitats'!$X$3,H60-S60-T60,"None"))</f>
        <v/>
      </c>
      <c r="AD60" s="496" t="str">
        <f>IF(P60="","", IF(P60='G-1 All Habitats'!$X$3, AC60*J60*L60*O60,"None"))</f>
        <v/>
      </c>
      <c r="AE60" s="20" t="str">
        <f t="shared" si="3"/>
        <v/>
      </c>
      <c r="AF60" s="25" t="str">
        <f t="shared" si="4"/>
        <v/>
      </c>
      <c r="AG60" s="25" t="str">
        <f t="shared" si="0"/>
        <v/>
      </c>
      <c r="AH60" s="25" t="str">
        <f>IF(I60="","",IF(#REF!&gt;0,TRUE,FALSE))</f>
        <v/>
      </c>
      <c r="AI60" s="25">
        <v>50</v>
      </c>
      <c r="AJ60" s="25"/>
      <c r="AK60" s="25" t="str">
        <f t="array" ref="AK60">IFERROR(INDEX($AI$11:$AI$259, MATCH(0, IF(TRUE=$AF$11:$AF$259, COUNTIF($AK$10:$AK59, $AI$11:$AI$259), ""), 0)),"")</f>
        <v/>
      </c>
      <c r="AL60" s="25" t="str">
        <f t="array" ref="AL60">IFERROR(INDEX($AI$11:$AI$259, MATCH(0, IF(TRUE=$AG$11:$AG$259, COUNTIF($AL$10:$AL59, $AI$11:$AI$259), ""), 0)),"")</f>
        <v/>
      </c>
      <c r="AM60" s="25" t="str">
        <f t="array" ref="AM60">IFERROR(INDEX($AI$11:$AI$259, MATCH(0, IF(TRUE=$AH$11:$AH$259, COUNTIF($AM$10:$AM59, $AI$11:$AI$259), ""), 0)),"")</f>
        <v/>
      </c>
      <c r="AN60" s="25"/>
      <c r="AQ60" s="20">
        <f t="shared" si="5"/>
        <v>0</v>
      </c>
      <c r="AV60" s="540" t="str">
        <f>IFERROR(INDEX('G-1 All Habitats'!$B$3:$B$135,MATCH(F60,'G-1 All Habitats'!$A$3:$A$135,0)),"")</f>
        <v/>
      </c>
      <c r="AW60" s="20" t="str">
        <f>IF(AV60="","",VLOOKUP(AV60,'G-1 All Habitats'!$B$1:$T$135,19,FALSE))</f>
        <v/>
      </c>
    </row>
    <row r="61" spans="1:49" ht="14.5" thickBot="1" x14ac:dyDescent="0.35">
      <c r="A61" s="20" t="str">
        <f>IFERROR(INDEX('G-1 All Habitats'!$AG$3:$AG$17,MATCH(E61,'G-1 All Habitats'!$AF$3:$AF$17,0)),"")</f>
        <v/>
      </c>
      <c r="B61" s="20" t="str">
        <f>IFERROR(INDEX('G-8 Condition Look up'!$I$4:$I$135,MATCH(AV61,'G-8 Condition Look up'!$A$4:$A$135,0)),"")</f>
        <v/>
      </c>
      <c r="D61" s="238">
        <v>51</v>
      </c>
      <c r="E61" s="223"/>
      <c r="F61" s="45"/>
      <c r="G61" s="272"/>
      <c r="H61" s="37"/>
      <c r="I61" s="290" t="str">
        <f>IF(AV61="","",VLOOKUP(AV61,'G-1 All Habitats'!$B$2:$M$135,10,FALSE))</f>
        <v/>
      </c>
      <c r="J61" s="291" t="str">
        <f>IFERROR(VLOOKUP(I61,'G-1 All Habitats'!$V$3:$W$7,2,FALSE),"")</f>
        <v/>
      </c>
      <c r="K61" s="38"/>
      <c r="L61" s="291" t="str">
        <f>IFERROR(INDEX('G-8 Condition Look up'!$A$3:$H$135,MATCH(AV61,'G-8 Condition Look up'!$A$3:$A$135,0),MATCH(K61,'G-8 Condition Look up'!$A$3:$H$3,0)),"")</f>
        <v/>
      </c>
      <c r="M61" s="38"/>
      <c r="N61" s="310" t="str">
        <f>IF(M61="","",IF(VLOOKUP(M61,'G-3 Multipliers'!$L$3:$N$6,2,FALSE)=0,"Spatial Data Missing",VLOOKUP(M61,'G-3 Multipliers'!$L$3:$N$6,2,FALSE)))</f>
        <v/>
      </c>
      <c r="O61" s="296" t="str">
        <f>IF(M61="","",IF(VLOOKUP(M61,'G-3 Multipliers'!$L$3:$N$6,3,FALSE)=0,"Spatial Data Missing ▲",VLOOKUP(M61,'G-3 Multipliers'!$L$3:$N$6,3,FALSE)))</f>
        <v/>
      </c>
      <c r="P61" s="297" t="str">
        <f>(IF(G61="Yes","Bespoke compensation likely to be required 🛠",(IFERROR(VLOOKUP(AV61,'G-1 All Habitats'!$B$2:$M$135,12,FALSE),""))))</f>
        <v/>
      </c>
      <c r="Q61" s="304" t="str">
        <f>IFERROR(IF(AND(E61="Individual trees",T61&gt;0), "Error - you cannot enhance individual trees ▲", (IF(AND(U61="Irreplaceable habitat - no units generated ⚠",(S61+T61)&lt;H61, OR(Y61="No", Y61="")),"Any Loss Unacceptable ⚠", (IF(U61="Irreplaceable habitat - no units generated ⚠", T61*J61*L61*O61, IF(AND(P61='G-1 All Habitats'!$X$3, AC61&gt;0, S61&lt;=0, T61&lt;=0, OR(Y61="No", Y61="")),"Any Loss Unacceptable ⚠", IF(AND(P61='G-1 All Habitats'!$X$3, AC61&gt;0, S61&lt;=0, T61&lt;=0, Y61="Yes"), 0, (IF(AND(P61='G-1 All Habitats'!$X$3,(S61+T61)&lt;H61, OR(Y61="No", Y61="")),"Any Loss Unacceptable ⚠", (IF(P61="","",IF(AND(P61='G-1 All Habitats'!$X$3,T61&gt;0),U61+V61,IF(AND(P61='G-1 All Habitats'!$X$3,S61&gt;0),U61+V61,H61*J61*L61*O61))))))))))))),"Check Data ▲")</f>
        <v/>
      </c>
      <c r="R61" s="23"/>
      <c r="S61" s="38"/>
      <c r="T61" s="39"/>
      <c r="U61" s="302" t="str">
        <f t="shared" si="1"/>
        <v/>
      </c>
      <c r="V61" s="302" t="str">
        <f t="shared" si="2"/>
        <v/>
      </c>
      <c r="W61" s="302" t="str">
        <f>IF(E61="","",IF(H61&lt;S61+T61,"Error in Areas ▲",IF(P61&lt;&gt;'G-1 All Habitats'!$X$3,H61-S61-T61,IF(AND(P61='G-1 All Habitats'!$X$3,Y61="No"),AC61,IF(AND(P61='G-1 All Habitats'!$X$3,Y61=""),AC61,IF(AND(P61='G-1 All Habitats'!$X$3,AC61="None"),AC61,IF(AND(P61='G-1 All Habitats'!$X$3,AC61&gt;0),H61-S61-T61)))))))</f>
        <v/>
      </c>
      <c r="X61" s="306" t="str">
        <f>IFERROR(IF(H61="","",IF(H61-S61-T61=0&lt;0,"Error in Areas ▲",IF(S61+T61&gt;H61,"Error in Areas ▲",IF(AND(P61='G-1 All Habitats'!$X$3,Y61="Yes"),"Alternative Compensation ✓",IF(W61=0,0,IF(P61='G-1 All Habitats'!$X$3,"Any Loss Unacceptable ▲",Q61-U61-V61)))))),"Check Data ▲")</f>
        <v/>
      </c>
      <c r="Y61" s="39"/>
      <c r="Z61" s="46"/>
      <c r="AA61" s="419"/>
      <c r="AB61" s="101"/>
      <c r="AC61" s="495" t="str">
        <f>IF(OR(P61="", Y61="Yes"),"", IF(P61='G-1 All Habitats'!$X$3,H61-S61-T61,"None"))</f>
        <v/>
      </c>
      <c r="AD61" s="496" t="str">
        <f>IF(P61="","", IF(P61='G-1 All Habitats'!$X$3, AC61*J61*L61*O61,"None"))</f>
        <v/>
      </c>
      <c r="AE61" s="20" t="str">
        <f t="shared" si="3"/>
        <v/>
      </c>
      <c r="AF61" s="25" t="str">
        <f t="shared" si="4"/>
        <v/>
      </c>
      <c r="AG61" s="25" t="str">
        <f t="shared" si="0"/>
        <v/>
      </c>
      <c r="AH61" s="25" t="str">
        <f>IF(I61="","",IF(#REF!&gt;0,TRUE,FALSE))</f>
        <v/>
      </c>
      <c r="AI61" s="25">
        <v>51</v>
      </c>
      <c r="AJ61" s="25"/>
      <c r="AK61" s="25" t="str">
        <f t="array" ref="AK61">IFERROR(INDEX($AI$11:$AI$259, MATCH(0, IF(TRUE=$AF$11:$AF$259, COUNTIF($AK$10:$AK60, $AI$11:$AI$259), ""), 0)),"")</f>
        <v/>
      </c>
      <c r="AL61" s="25" t="str">
        <f t="array" ref="AL61">IFERROR(INDEX($AI$11:$AI$259, MATCH(0, IF(TRUE=$AG$11:$AG$259, COUNTIF($AL$10:$AL60, $AI$11:$AI$259), ""), 0)),"")</f>
        <v/>
      </c>
      <c r="AM61" s="25" t="str">
        <f t="array" ref="AM61">IFERROR(INDEX($AI$11:$AI$259, MATCH(0, IF(TRUE=$AH$11:$AH$259, COUNTIF($AM$10:$AM60, $AI$11:$AI$259), ""), 0)),"")</f>
        <v/>
      </c>
      <c r="AN61" s="25"/>
      <c r="AQ61" s="20">
        <f t="shared" si="5"/>
        <v>0</v>
      </c>
      <c r="AV61" s="540" t="str">
        <f>IFERROR(INDEX('G-1 All Habitats'!$B$3:$B$135,MATCH(F61,'G-1 All Habitats'!$A$3:$A$135,0)),"")</f>
        <v/>
      </c>
      <c r="AW61" s="20" t="str">
        <f>IF(AV61="","",VLOOKUP(AV61,'G-1 All Habitats'!$B$1:$T$135,19,FALSE))</f>
        <v/>
      </c>
    </row>
    <row r="62" spans="1:49" ht="14.5" thickBot="1" x14ac:dyDescent="0.35">
      <c r="A62" s="20" t="str">
        <f>IFERROR(INDEX('G-1 All Habitats'!$AG$3:$AG$17,MATCH(E62,'G-1 All Habitats'!$AF$3:$AF$17,0)),"")</f>
        <v/>
      </c>
      <c r="B62" s="20" t="str">
        <f>IFERROR(INDEX('G-8 Condition Look up'!$I$4:$I$135,MATCH(AV62,'G-8 Condition Look up'!$A$4:$A$135,0)),"")</f>
        <v/>
      </c>
      <c r="D62" s="238">
        <v>52</v>
      </c>
      <c r="E62" s="223"/>
      <c r="F62" s="45"/>
      <c r="G62" s="272"/>
      <c r="H62" s="37"/>
      <c r="I62" s="290" t="str">
        <f>IF(AV62="","",VLOOKUP(AV62,'G-1 All Habitats'!$B$2:$M$135,10,FALSE))</f>
        <v/>
      </c>
      <c r="J62" s="291" t="str">
        <f>IFERROR(VLOOKUP(I62,'G-1 All Habitats'!$V$3:$W$7,2,FALSE),"")</f>
        <v/>
      </c>
      <c r="K62" s="38"/>
      <c r="L62" s="291" t="str">
        <f>IFERROR(INDEX('G-8 Condition Look up'!$A$3:$H$135,MATCH(AV62,'G-8 Condition Look up'!$A$3:$A$135,0),MATCH(K62,'G-8 Condition Look up'!$A$3:$H$3,0)),"")</f>
        <v/>
      </c>
      <c r="M62" s="38"/>
      <c r="N62" s="310" t="str">
        <f>IF(M62="","",IF(VLOOKUP(M62,'G-3 Multipliers'!$L$3:$N$6,2,FALSE)=0,"Spatial Data Missing",VLOOKUP(M62,'G-3 Multipliers'!$L$3:$N$6,2,FALSE)))</f>
        <v/>
      </c>
      <c r="O62" s="296" t="str">
        <f>IF(M62="","",IF(VLOOKUP(M62,'G-3 Multipliers'!$L$3:$N$6,3,FALSE)=0,"Spatial Data Missing ▲",VLOOKUP(M62,'G-3 Multipliers'!$L$3:$N$6,3,FALSE)))</f>
        <v/>
      </c>
      <c r="P62" s="297" t="str">
        <f>(IF(G62="Yes","Bespoke compensation likely to be required 🛠",(IFERROR(VLOOKUP(AV62,'G-1 All Habitats'!$B$2:$M$135,12,FALSE),""))))</f>
        <v/>
      </c>
      <c r="Q62" s="304" t="str">
        <f>IFERROR(IF(AND(E62="Individual trees",T62&gt;0), "Error - you cannot enhance individual trees ▲", (IF(AND(U62="Irreplaceable habitat - no units generated ⚠",(S62+T62)&lt;H62, OR(Y62="No", Y62="")),"Any Loss Unacceptable ⚠", (IF(U62="Irreplaceable habitat - no units generated ⚠", T62*J62*L62*O62, IF(AND(P62='G-1 All Habitats'!$X$3, AC62&gt;0, S62&lt;=0, T62&lt;=0, OR(Y62="No", Y62="")),"Any Loss Unacceptable ⚠", IF(AND(P62='G-1 All Habitats'!$X$3, AC62&gt;0, S62&lt;=0, T62&lt;=0, Y62="Yes"), 0, (IF(AND(P62='G-1 All Habitats'!$X$3,(S62+T62)&lt;H62, OR(Y62="No", Y62="")),"Any Loss Unacceptable ⚠", (IF(P62="","",IF(AND(P62='G-1 All Habitats'!$X$3,T62&gt;0),U62+V62,IF(AND(P62='G-1 All Habitats'!$X$3,S62&gt;0),U62+V62,H62*J62*L62*O62))))))))))))),"Check Data ▲")</f>
        <v/>
      </c>
      <c r="R62" s="23"/>
      <c r="S62" s="38"/>
      <c r="T62" s="39"/>
      <c r="U62" s="302" t="str">
        <f t="shared" si="1"/>
        <v/>
      </c>
      <c r="V62" s="302" t="str">
        <f t="shared" si="2"/>
        <v/>
      </c>
      <c r="W62" s="302" t="str">
        <f>IF(E62="","",IF(H62&lt;S62+T62,"Error in Areas ▲",IF(P62&lt;&gt;'G-1 All Habitats'!$X$3,H62-S62-T62,IF(AND(P62='G-1 All Habitats'!$X$3,Y62="No"),AC62,IF(AND(P62='G-1 All Habitats'!$X$3,Y62=""),AC62,IF(AND(P62='G-1 All Habitats'!$X$3,AC62="None"),AC62,IF(AND(P62='G-1 All Habitats'!$X$3,AC62&gt;0),H62-S62-T62)))))))</f>
        <v/>
      </c>
      <c r="X62" s="306" t="str">
        <f>IFERROR(IF(H62="","",IF(H62-S62-T62=0&lt;0,"Error in Areas ▲",IF(S62+T62&gt;H62,"Error in Areas ▲",IF(AND(P62='G-1 All Habitats'!$X$3,Y62="Yes"),"Alternative Compensation ✓",IF(W62=0,0,IF(P62='G-1 All Habitats'!$X$3,"Any Loss Unacceptable ▲",Q62-U62-V62)))))),"Check Data ▲")</f>
        <v/>
      </c>
      <c r="Y62" s="39"/>
      <c r="Z62" s="46"/>
      <c r="AA62" s="419"/>
      <c r="AB62" s="101"/>
      <c r="AC62" s="495" t="str">
        <f>IF(OR(P62="", Y62="Yes"),"", IF(P62='G-1 All Habitats'!$X$3,H62-S62-T62,"None"))</f>
        <v/>
      </c>
      <c r="AD62" s="496" t="str">
        <f>IF(P62="","", IF(P62='G-1 All Habitats'!$X$3, AC62*J62*L62*O62,"None"))</f>
        <v/>
      </c>
      <c r="AE62" s="20" t="str">
        <f t="shared" si="3"/>
        <v/>
      </c>
      <c r="AF62" s="25" t="str">
        <f t="shared" si="4"/>
        <v/>
      </c>
      <c r="AG62" s="25" t="str">
        <f t="shared" si="0"/>
        <v/>
      </c>
      <c r="AH62" s="25" t="str">
        <f>IF(I62="","",IF(#REF!&gt;0,TRUE,FALSE))</f>
        <v/>
      </c>
      <c r="AI62" s="25">
        <v>52</v>
      </c>
      <c r="AJ62" s="25"/>
      <c r="AK62" s="25" t="str">
        <f t="array" ref="AK62">IFERROR(INDEX($AI$11:$AI$259, MATCH(0, IF(TRUE=$AF$11:$AF$259, COUNTIF($AK$10:$AK61, $AI$11:$AI$259), ""), 0)),"")</f>
        <v/>
      </c>
      <c r="AL62" s="25" t="str">
        <f t="array" ref="AL62">IFERROR(INDEX($AI$11:$AI$259, MATCH(0, IF(TRUE=$AG$11:$AG$259, COUNTIF($AL$10:$AL61, $AI$11:$AI$259), ""), 0)),"")</f>
        <v/>
      </c>
      <c r="AM62" s="25" t="str">
        <f t="array" ref="AM62">IFERROR(INDEX($AI$11:$AI$259, MATCH(0, IF(TRUE=$AH$11:$AH$259, COUNTIF($AM$10:$AM61, $AI$11:$AI$259), ""), 0)),"")</f>
        <v/>
      </c>
      <c r="AN62" s="25"/>
      <c r="AQ62" s="20">
        <f t="shared" si="5"/>
        <v>0</v>
      </c>
      <c r="AV62" s="540" t="str">
        <f>IFERROR(INDEX('G-1 All Habitats'!$B$3:$B$135,MATCH(F62,'G-1 All Habitats'!$A$3:$A$135,0)),"")</f>
        <v/>
      </c>
      <c r="AW62" s="20" t="str">
        <f>IF(AV62="","",VLOOKUP(AV62,'G-1 All Habitats'!$B$1:$T$135,19,FALSE))</f>
        <v/>
      </c>
    </row>
    <row r="63" spans="1:49" ht="14.5" thickBot="1" x14ac:dyDescent="0.35">
      <c r="A63" s="20" t="str">
        <f>IFERROR(INDEX('G-1 All Habitats'!$AG$3:$AG$17,MATCH(E63,'G-1 All Habitats'!$AF$3:$AF$17,0)),"")</f>
        <v/>
      </c>
      <c r="B63" s="20" t="str">
        <f>IFERROR(INDEX('G-8 Condition Look up'!$I$4:$I$135,MATCH(AV63,'G-8 Condition Look up'!$A$4:$A$135,0)),"")</f>
        <v/>
      </c>
      <c r="D63" s="238">
        <v>53</v>
      </c>
      <c r="E63" s="223"/>
      <c r="F63" s="45"/>
      <c r="G63" s="272"/>
      <c r="H63" s="37"/>
      <c r="I63" s="290" t="str">
        <f>IF(AV63="","",VLOOKUP(AV63,'G-1 All Habitats'!$B$2:$M$135,10,FALSE))</f>
        <v/>
      </c>
      <c r="J63" s="291" t="str">
        <f>IFERROR(VLOOKUP(I63,'G-1 All Habitats'!$V$3:$W$7,2,FALSE),"")</f>
        <v/>
      </c>
      <c r="K63" s="38"/>
      <c r="L63" s="291" t="str">
        <f>IFERROR(INDEX('G-8 Condition Look up'!$A$3:$H$135,MATCH(AV63,'G-8 Condition Look up'!$A$3:$A$135,0),MATCH(K63,'G-8 Condition Look up'!$A$3:$H$3,0)),"")</f>
        <v/>
      </c>
      <c r="M63" s="38"/>
      <c r="N63" s="310" t="str">
        <f>IF(M63="","",IF(VLOOKUP(M63,'G-3 Multipliers'!$L$3:$N$6,2,FALSE)=0,"Spatial Data Missing",VLOOKUP(M63,'G-3 Multipliers'!$L$3:$N$6,2,FALSE)))</f>
        <v/>
      </c>
      <c r="O63" s="296" t="str">
        <f>IF(M63="","",IF(VLOOKUP(M63,'G-3 Multipliers'!$L$3:$N$6,3,FALSE)=0,"Spatial Data Missing ▲",VLOOKUP(M63,'G-3 Multipliers'!$L$3:$N$6,3,FALSE)))</f>
        <v/>
      </c>
      <c r="P63" s="297" t="str">
        <f>(IF(G63="Yes","Bespoke compensation likely to be required 🛠",(IFERROR(VLOOKUP(AV63,'G-1 All Habitats'!$B$2:$M$135,12,FALSE),""))))</f>
        <v/>
      </c>
      <c r="Q63" s="304" t="str">
        <f>IFERROR(IF(AND(E63="Individual trees",T63&gt;0), "Error - you cannot enhance individual trees ▲", (IF(AND(U63="Irreplaceable habitat - no units generated ⚠",(S63+T63)&lt;H63, OR(Y63="No", Y63="")),"Any Loss Unacceptable ⚠", (IF(U63="Irreplaceable habitat - no units generated ⚠", T63*J63*L63*O63, IF(AND(P63='G-1 All Habitats'!$X$3, AC63&gt;0, S63&lt;=0, T63&lt;=0, OR(Y63="No", Y63="")),"Any Loss Unacceptable ⚠", IF(AND(P63='G-1 All Habitats'!$X$3, AC63&gt;0, S63&lt;=0, T63&lt;=0, Y63="Yes"), 0, (IF(AND(P63='G-1 All Habitats'!$X$3,(S63+T63)&lt;H63, OR(Y63="No", Y63="")),"Any Loss Unacceptable ⚠", (IF(P63="","",IF(AND(P63='G-1 All Habitats'!$X$3,T63&gt;0),U63+V63,IF(AND(P63='G-1 All Habitats'!$X$3,S63&gt;0),U63+V63,H63*J63*L63*O63))))))))))))),"Check Data ▲")</f>
        <v/>
      </c>
      <c r="R63" s="23"/>
      <c r="S63" s="38"/>
      <c r="T63" s="39"/>
      <c r="U63" s="302" t="str">
        <f t="shared" si="1"/>
        <v/>
      </c>
      <c r="V63" s="302" t="str">
        <f t="shared" si="2"/>
        <v/>
      </c>
      <c r="W63" s="302" t="str">
        <f>IF(E63="","",IF(H63&lt;S63+T63,"Error in Areas ▲",IF(P63&lt;&gt;'G-1 All Habitats'!$X$3,H63-S63-T63,IF(AND(P63='G-1 All Habitats'!$X$3,Y63="No"),AC63,IF(AND(P63='G-1 All Habitats'!$X$3,Y63=""),AC63,IF(AND(P63='G-1 All Habitats'!$X$3,AC63="None"),AC63,IF(AND(P63='G-1 All Habitats'!$X$3,AC63&gt;0),H63-S63-T63)))))))</f>
        <v/>
      </c>
      <c r="X63" s="306" t="str">
        <f>IFERROR(IF(H63="","",IF(H63-S63-T63=0&lt;0,"Error in Areas ▲",IF(S63+T63&gt;H63,"Error in Areas ▲",IF(AND(P63='G-1 All Habitats'!$X$3,Y63="Yes"),"Alternative Compensation ✓",IF(W63=0,0,IF(P63='G-1 All Habitats'!$X$3,"Any Loss Unacceptable ▲",Q63-U63-V63)))))),"Check Data ▲")</f>
        <v/>
      </c>
      <c r="Y63" s="39"/>
      <c r="Z63" s="46"/>
      <c r="AA63" s="419"/>
      <c r="AB63" s="101"/>
      <c r="AC63" s="495" t="str">
        <f>IF(OR(P63="", Y63="Yes"),"", IF(P63='G-1 All Habitats'!$X$3,H63-S63-T63,"None"))</f>
        <v/>
      </c>
      <c r="AD63" s="496" t="str">
        <f>IF(P63="","", IF(P63='G-1 All Habitats'!$X$3, AC63*J63*L63*O63,"None"))</f>
        <v/>
      </c>
      <c r="AE63" s="20" t="str">
        <f t="shared" si="3"/>
        <v/>
      </c>
      <c r="AF63" s="25" t="str">
        <f t="shared" si="4"/>
        <v/>
      </c>
      <c r="AG63" s="25" t="str">
        <f t="shared" si="0"/>
        <v/>
      </c>
      <c r="AH63" s="25" t="str">
        <f>IF(I63="","",IF(#REF!&gt;0,TRUE,FALSE))</f>
        <v/>
      </c>
      <c r="AI63" s="25">
        <v>53</v>
      </c>
      <c r="AJ63" s="25"/>
      <c r="AK63" s="25" t="str">
        <f t="array" ref="AK63">IFERROR(INDEX($AI$11:$AI$259, MATCH(0, IF(TRUE=$AF$11:$AF$259, COUNTIF($AK$10:$AK62, $AI$11:$AI$259), ""), 0)),"")</f>
        <v/>
      </c>
      <c r="AL63" s="25" t="str">
        <f t="array" ref="AL63">IFERROR(INDEX($AI$11:$AI$259, MATCH(0, IF(TRUE=$AG$11:$AG$259, COUNTIF($AL$10:$AL62, $AI$11:$AI$259), ""), 0)),"")</f>
        <v/>
      </c>
      <c r="AM63" s="25" t="str">
        <f t="array" ref="AM63">IFERROR(INDEX($AI$11:$AI$259, MATCH(0, IF(TRUE=$AH$11:$AH$259, COUNTIF($AM$10:$AM62, $AI$11:$AI$259), ""), 0)),"")</f>
        <v/>
      </c>
      <c r="AN63" s="25"/>
      <c r="AQ63" s="20">
        <f t="shared" si="5"/>
        <v>0</v>
      </c>
      <c r="AV63" s="540" t="str">
        <f>IFERROR(INDEX('G-1 All Habitats'!$B$3:$B$135,MATCH(F63,'G-1 All Habitats'!$A$3:$A$135,0)),"")</f>
        <v/>
      </c>
      <c r="AW63" s="20" t="str">
        <f>IF(AV63="","",VLOOKUP(AV63,'G-1 All Habitats'!$B$1:$T$135,19,FALSE))</f>
        <v/>
      </c>
    </row>
    <row r="64" spans="1:49" ht="14.5" thickBot="1" x14ac:dyDescent="0.35">
      <c r="A64" s="20" t="str">
        <f>IFERROR(INDEX('G-1 All Habitats'!$AG$3:$AG$17,MATCH(E64,'G-1 All Habitats'!$AF$3:$AF$17,0)),"")</f>
        <v/>
      </c>
      <c r="B64" s="20" t="str">
        <f>IFERROR(INDEX('G-8 Condition Look up'!$I$4:$I$135,MATCH(AV64,'G-8 Condition Look up'!$A$4:$A$135,0)),"")</f>
        <v/>
      </c>
      <c r="D64" s="238">
        <v>54</v>
      </c>
      <c r="E64" s="223"/>
      <c r="F64" s="45"/>
      <c r="G64" s="272"/>
      <c r="H64" s="37"/>
      <c r="I64" s="290" t="str">
        <f>IF(AV64="","",VLOOKUP(AV64,'G-1 All Habitats'!$B$2:$M$135,10,FALSE))</f>
        <v/>
      </c>
      <c r="J64" s="291" t="str">
        <f>IFERROR(VLOOKUP(I64,'G-1 All Habitats'!$V$3:$W$7,2,FALSE),"")</f>
        <v/>
      </c>
      <c r="K64" s="38"/>
      <c r="L64" s="291" t="str">
        <f>IFERROR(INDEX('G-8 Condition Look up'!$A$3:$H$135,MATCH(AV64,'G-8 Condition Look up'!$A$3:$A$135,0),MATCH(K64,'G-8 Condition Look up'!$A$3:$H$3,0)),"")</f>
        <v/>
      </c>
      <c r="M64" s="38"/>
      <c r="N64" s="310" t="str">
        <f>IF(M64="","",IF(VLOOKUP(M64,'G-3 Multipliers'!$L$3:$N$6,2,FALSE)=0,"Spatial Data Missing",VLOOKUP(M64,'G-3 Multipliers'!$L$3:$N$6,2,FALSE)))</f>
        <v/>
      </c>
      <c r="O64" s="296" t="str">
        <f>IF(M64="","",IF(VLOOKUP(M64,'G-3 Multipliers'!$L$3:$N$6,3,FALSE)=0,"Spatial Data Missing ▲",VLOOKUP(M64,'G-3 Multipliers'!$L$3:$N$6,3,FALSE)))</f>
        <v/>
      </c>
      <c r="P64" s="297" t="str">
        <f>(IF(G64="Yes","Bespoke compensation likely to be required 🛠",(IFERROR(VLOOKUP(AV64,'G-1 All Habitats'!$B$2:$M$135,12,FALSE),""))))</f>
        <v/>
      </c>
      <c r="Q64" s="304" t="str">
        <f>IFERROR(IF(AND(E64="Individual trees",T64&gt;0), "Error - you cannot enhance individual trees ▲", (IF(AND(U64="Irreplaceable habitat - no units generated ⚠",(S64+T64)&lt;H64, OR(Y64="No", Y64="")),"Any Loss Unacceptable ⚠", (IF(U64="Irreplaceable habitat - no units generated ⚠", T64*J64*L64*O64, IF(AND(P64='G-1 All Habitats'!$X$3, AC64&gt;0, S64&lt;=0, T64&lt;=0, OR(Y64="No", Y64="")),"Any Loss Unacceptable ⚠", IF(AND(P64='G-1 All Habitats'!$X$3, AC64&gt;0, S64&lt;=0, T64&lt;=0, Y64="Yes"), 0, (IF(AND(P64='G-1 All Habitats'!$X$3,(S64+T64)&lt;H64, OR(Y64="No", Y64="")),"Any Loss Unacceptable ⚠", (IF(P64="","",IF(AND(P64='G-1 All Habitats'!$X$3,T64&gt;0),U64+V64,IF(AND(P64='G-1 All Habitats'!$X$3,S64&gt;0),U64+V64,H64*J64*L64*O64))))))))))))),"Check Data ▲")</f>
        <v/>
      </c>
      <c r="R64" s="23"/>
      <c r="S64" s="38"/>
      <c r="T64" s="39"/>
      <c r="U64" s="302" t="str">
        <f t="shared" si="1"/>
        <v/>
      </c>
      <c r="V64" s="302" t="str">
        <f t="shared" si="2"/>
        <v/>
      </c>
      <c r="W64" s="302" t="str">
        <f>IF(E64="","",IF(H64&lt;S64+T64,"Error in Areas ▲",IF(P64&lt;&gt;'G-1 All Habitats'!$X$3,H64-S64-T64,IF(AND(P64='G-1 All Habitats'!$X$3,Y64="No"),AC64,IF(AND(P64='G-1 All Habitats'!$X$3,Y64=""),AC64,IF(AND(P64='G-1 All Habitats'!$X$3,AC64="None"),AC64,IF(AND(P64='G-1 All Habitats'!$X$3,AC64&gt;0),H64-S64-T64)))))))</f>
        <v/>
      </c>
      <c r="X64" s="306" t="str">
        <f>IFERROR(IF(H64="","",IF(H64-S64-T64=0&lt;0,"Error in Areas ▲",IF(S64+T64&gt;H64,"Error in Areas ▲",IF(AND(P64='G-1 All Habitats'!$X$3,Y64="Yes"),"Alternative Compensation ✓",IF(W64=0,0,IF(P64='G-1 All Habitats'!$X$3,"Any Loss Unacceptable ▲",Q64-U64-V64)))))),"Check Data ▲")</f>
        <v/>
      </c>
      <c r="Y64" s="39"/>
      <c r="Z64" s="46"/>
      <c r="AA64" s="419"/>
      <c r="AB64" s="101"/>
      <c r="AC64" s="495" t="str">
        <f>IF(OR(P64="", Y64="Yes"),"", IF(P64='G-1 All Habitats'!$X$3,H64-S64-T64,"None"))</f>
        <v/>
      </c>
      <c r="AD64" s="496" t="str">
        <f>IF(P64="","", IF(P64='G-1 All Habitats'!$X$3, AC64*J64*L64*O64,"None"))</f>
        <v/>
      </c>
      <c r="AE64" s="20" t="str">
        <f t="shared" si="3"/>
        <v/>
      </c>
      <c r="AF64" s="25" t="str">
        <f t="shared" si="4"/>
        <v/>
      </c>
      <c r="AG64" s="25" t="str">
        <f t="shared" si="0"/>
        <v/>
      </c>
      <c r="AH64" s="25" t="str">
        <f>IF(I64="","",IF(#REF!&gt;0,TRUE,FALSE))</f>
        <v/>
      </c>
      <c r="AI64" s="25">
        <v>54</v>
      </c>
      <c r="AJ64" s="25"/>
      <c r="AK64" s="25" t="str">
        <f t="array" ref="AK64">IFERROR(INDEX($AI$11:$AI$259, MATCH(0, IF(TRUE=$AF$11:$AF$259, COUNTIF($AK$10:$AK63, $AI$11:$AI$259), ""), 0)),"")</f>
        <v/>
      </c>
      <c r="AL64" s="25" t="str">
        <f t="array" ref="AL64">IFERROR(INDEX($AI$11:$AI$259, MATCH(0, IF(TRUE=$AG$11:$AG$259, COUNTIF($AL$10:$AL63, $AI$11:$AI$259), ""), 0)),"")</f>
        <v/>
      </c>
      <c r="AM64" s="25" t="str">
        <f t="array" ref="AM64">IFERROR(INDEX($AI$11:$AI$259, MATCH(0, IF(TRUE=$AH$11:$AH$259, COUNTIF($AM$10:$AM63, $AI$11:$AI$259), ""), 0)),"")</f>
        <v/>
      </c>
      <c r="AN64" s="25"/>
      <c r="AQ64" s="20">
        <f t="shared" si="5"/>
        <v>0</v>
      </c>
      <c r="AV64" s="540" t="str">
        <f>IFERROR(INDEX('G-1 All Habitats'!$B$3:$B$135,MATCH(F64,'G-1 All Habitats'!$A$3:$A$135,0)),"")</f>
        <v/>
      </c>
      <c r="AW64" s="20" t="str">
        <f>IF(AV64="","",VLOOKUP(AV64,'G-1 All Habitats'!$B$1:$T$135,19,FALSE))</f>
        <v/>
      </c>
    </row>
    <row r="65" spans="1:49" ht="14.5" thickBot="1" x14ac:dyDescent="0.35">
      <c r="A65" s="20" t="str">
        <f>IFERROR(INDEX('G-1 All Habitats'!$AG$3:$AG$17,MATCH(E65,'G-1 All Habitats'!$AF$3:$AF$17,0)),"")</f>
        <v/>
      </c>
      <c r="B65" s="20" t="str">
        <f>IFERROR(INDEX('G-8 Condition Look up'!$I$4:$I$135,MATCH(AV65,'G-8 Condition Look up'!$A$4:$A$135,0)),"")</f>
        <v/>
      </c>
      <c r="D65" s="238">
        <v>55</v>
      </c>
      <c r="E65" s="223"/>
      <c r="F65" s="45"/>
      <c r="G65" s="272"/>
      <c r="H65" s="37"/>
      <c r="I65" s="290" t="str">
        <f>IF(AV65="","",VLOOKUP(AV65,'G-1 All Habitats'!$B$2:$M$135,10,FALSE))</f>
        <v/>
      </c>
      <c r="J65" s="291" t="str">
        <f>IFERROR(VLOOKUP(I65,'G-1 All Habitats'!$V$3:$W$7,2,FALSE),"")</f>
        <v/>
      </c>
      <c r="K65" s="38"/>
      <c r="L65" s="291" t="str">
        <f>IFERROR(INDEX('G-8 Condition Look up'!$A$3:$H$135,MATCH(AV65,'G-8 Condition Look up'!$A$3:$A$135,0),MATCH(K65,'G-8 Condition Look up'!$A$3:$H$3,0)),"")</f>
        <v/>
      </c>
      <c r="M65" s="38"/>
      <c r="N65" s="310" t="str">
        <f>IF(M65="","",IF(VLOOKUP(M65,'G-3 Multipliers'!$L$3:$N$6,2,FALSE)=0,"Spatial Data Missing",VLOOKUP(M65,'G-3 Multipliers'!$L$3:$N$6,2,FALSE)))</f>
        <v/>
      </c>
      <c r="O65" s="296" t="str">
        <f>IF(M65="","",IF(VLOOKUP(M65,'G-3 Multipliers'!$L$3:$N$6,3,FALSE)=0,"Spatial Data Missing ▲",VLOOKUP(M65,'G-3 Multipliers'!$L$3:$N$6,3,FALSE)))</f>
        <v/>
      </c>
      <c r="P65" s="297" t="str">
        <f>(IF(G65="Yes","Bespoke compensation likely to be required 🛠",(IFERROR(VLOOKUP(AV65,'G-1 All Habitats'!$B$2:$M$135,12,FALSE),""))))</f>
        <v/>
      </c>
      <c r="Q65" s="304" t="str">
        <f>IFERROR(IF(AND(E65="Individual trees",T65&gt;0), "Error - you cannot enhance individual trees ▲", (IF(AND(U65="Irreplaceable habitat - no units generated ⚠",(S65+T65)&lt;H65, OR(Y65="No", Y65="")),"Any Loss Unacceptable ⚠", (IF(U65="Irreplaceable habitat - no units generated ⚠", T65*J65*L65*O65, IF(AND(P65='G-1 All Habitats'!$X$3, AC65&gt;0, S65&lt;=0, T65&lt;=0, OR(Y65="No", Y65="")),"Any Loss Unacceptable ⚠", IF(AND(P65='G-1 All Habitats'!$X$3, AC65&gt;0, S65&lt;=0, T65&lt;=0, Y65="Yes"), 0, (IF(AND(P65='G-1 All Habitats'!$X$3,(S65+T65)&lt;H65, OR(Y65="No", Y65="")),"Any Loss Unacceptable ⚠", (IF(P65="","",IF(AND(P65='G-1 All Habitats'!$X$3,T65&gt;0),U65+V65,IF(AND(P65='G-1 All Habitats'!$X$3,S65&gt;0),U65+V65,H65*J65*L65*O65))))))))))))),"Check Data ▲")</f>
        <v/>
      </c>
      <c r="R65" s="23"/>
      <c r="S65" s="38"/>
      <c r="T65" s="39"/>
      <c r="U65" s="302" t="str">
        <f t="shared" si="1"/>
        <v/>
      </c>
      <c r="V65" s="302" t="str">
        <f t="shared" si="2"/>
        <v/>
      </c>
      <c r="W65" s="302" t="str">
        <f>IF(E65="","",IF(H65&lt;S65+T65,"Error in Areas ▲",IF(P65&lt;&gt;'G-1 All Habitats'!$X$3,H65-S65-T65,IF(AND(P65='G-1 All Habitats'!$X$3,Y65="No"),AC65,IF(AND(P65='G-1 All Habitats'!$X$3,Y65=""),AC65,IF(AND(P65='G-1 All Habitats'!$X$3,AC65="None"),AC65,IF(AND(P65='G-1 All Habitats'!$X$3,AC65&gt;0),H65-S65-T65)))))))</f>
        <v/>
      </c>
      <c r="X65" s="306" t="str">
        <f>IFERROR(IF(H65="","",IF(H65-S65-T65=0&lt;0,"Error in Areas ▲",IF(S65+T65&gt;H65,"Error in Areas ▲",IF(AND(P65='G-1 All Habitats'!$X$3,Y65="Yes"),"Alternative Compensation ✓",IF(W65=0,0,IF(P65='G-1 All Habitats'!$X$3,"Any Loss Unacceptable ▲",Q65-U65-V65)))))),"Check Data ▲")</f>
        <v/>
      </c>
      <c r="Y65" s="39"/>
      <c r="Z65" s="46"/>
      <c r="AA65" s="419"/>
      <c r="AB65" s="101"/>
      <c r="AC65" s="495" t="str">
        <f>IF(OR(P65="", Y65="Yes"),"", IF(P65='G-1 All Habitats'!$X$3,H65-S65-T65,"None"))</f>
        <v/>
      </c>
      <c r="AD65" s="496" t="str">
        <f>IF(P65="","", IF(P65='G-1 All Habitats'!$X$3, AC65*J65*L65*O65,"None"))</f>
        <v/>
      </c>
      <c r="AE65" s="20" t="str">
        <f t="shared" si="3"/>
        <v/>
      </c>
      <c r="AF65" s="25" t="str">
        <f t="shared" si="4"/>
        <v/>
      </c>
      <c r="AG65" s="25" t="str">
        <f t="shared" si="0"/>
        <v/>
      </c>
      <c r="AH65" s="25" t="str">
        <f>IF(I65="","",IF(#REF!&gt;0,TRUE,FALSE))</f>
        <v/>
      </c>
      <c r="AI65" s="25">
        <v>55</v>
      </c>
      <c r="AJ65" s="25"/>
      <c r="AK65" s="25" t="str">
        <f t="array" ref="AK65">IFERROR(INDEX($AI$11:$AI$259, MATCH(0, IF(TRUE=$AF$11:$AF$259, COUNTIF($AK$10:$AK64, $AI$11:$AI$259), ""), 0)),"")</f>
        <v/>
      </c>
      <c r="AL65" s="25" t="str">
        <f t="array" ref="AL65">IFERROR(INDEX($AI$11:$AI$259, MATCH(0, IF(TRUE=$AG$11:$AG$259, COUNTIF($AL$10:$AL64, $AI$11:$AI$259), ""), 0)),"")</f>
        <v/>
      </c>
      <c r="AM65" s="25" t="str">
        <f t="array" ref="AM65">IFERROR(INDEX($AI$11:$AI$259, MATCH(0, IF(TRUE=$AH$11:$AH$259, COUNTIF($AM$10:$AM64, $AI$11:$AI$259), ""), 0)),"")</f>
        <v/>
      </c>
      <c r="AN65" s="25"/>
      <c r="AQ65" s="20">
        <f t="shared" si="5"/>
        <v>0</v>
      </c>
      <c r="AV65" s="540" t="str">
        <f>IFERROR(INDEX('G-1 All Habitats'!$B$3:$B$135,MATCH(F65,'G-1 All Habitats'!$A$3:$A$135,0)),"")</f>
        <v/>
      </c>
      <c r="AW65" s="20" t="str">
        <f>IF(AV65="","",VLOOKUP(AV65,'G-1 All Habitats'!$B$1:$T$135,19,FALSE))</f>
        <v/>
      </c>
    </row>
    <row r="66" spans="1:49" ht="14.5" thickBot="1" x14ac:dyDescent="0.35">
      <c r="A66" s="20" t="str">
        <f>IFERROR(INDEX('G-1 All Habitats'!$AG$3:$AG$17,MATCH(E66,'G-1 All Habitats'!$AF$3:$AF$17,0)),"")</f>
        <v/>
      </c>
      <c r="B66" s="20" t="str">
        <f>IFERROR(INDEX('G-8 Condition Look up'!$I$4:$I$135,MATCH(AV66,'G-8 Condition Look up'!$A$4:$A$135,0)),"")</f>
        <v/>
      </c>
      <c r="D66" s="238">
        <v>56</v>
      </c>
      <c r="E66" s="223"/>
      <c r="F66" s="45"/>
      <c r="G66" s="272"/>
      <c r="H66" s="37"/>
      <c r="I66" s="290" t="str">
        <f>IF(AV66="","",VLOOKUP(AV66,'G-1 All Habitats'!$B$2:$M$135,10,FALSE))</f>
        <v/>
      </c>
      <c r="J66" s="291" t="str">
        <f>IFERROR(VLOOKUP(I66,'G-1 All Habitats'!$V$3:$W$7,2,FALSE),"")</f>
        <v/>
      </c>
      <c r="K66" s="38"/>
      <c r="L66" s="291" t="str">
        <f>IFERROR(INDEX('G-8 Condition Look up'!$A$3:$H$135,MATCH(AV66,'G-8 Condition Look up'!$A$3:$A$135,0),MATCH(K66,'G-8 Condition Look up'!$A$3:$H$3,0)),"")</f>
        <v/>
      </c>
      <c r="M66" s="38"/>
      <c r="N66" s="310" t="str">
        <f>IF(M66="","",IF(VLOOKUP(M66,'G-3 Multipliers'!$L$3:$N$6,2,FALSE)=0,"Spatial Data Missing",VLOOKUP(M66,'G-3 Multipliers'!$L$3:$N$6,2,FALSE)))</f>
        <v/>
      </c>
      <c r="O66" s="296" t="str">
        <f>IF(M66="","",IF(VLOOKUP(M66,'G-3 Multipliers'!$L$3:$N$6,3,FALSE)=0,"Spatial Data Missing ▲",VLOOKUP(M66,'G-3 Multipliers'!$L$3:$N$6,3,FALSE)))</f>
        <v/>
      </c>
      <c r="P66" s="297" t="str">
        <f>(IF(G66="Yes","Bespoke compensation likely to be required 🛠",(IFERROR(VLOOKUP(AV66,'G-1 All Habitats'!$B$2:$M$135,12,FALSE),""))))</f>
        <v/>
      </c>
      <c r="Q66" s="304" t="str">
        <f>IFERROR(IF(AND(E66="Individual trees",T66&gt;0), "Error - you cannot enhance individual trees ▲", (IF(AND(U66="Irreplaceable habitat - no units generated ⚠",(S66+T66)&lt;H66, OR(Y66="No", Y66="")),"Any Loss Unacceptable ⚠", (IF(U66="Irreplaceable habitat - no units generated ⚠", T66*J66*L66*O66, IF(AND(P66='G-1 All Habitats'!$X$3, AC66&gt;0, S66&lt;=0, T66&lt;=0, OR(Y66="No", Y66="")),"Any Loss Unacceptable ⚠", IF(AND(P66='G-1 All Habitats'!$X$3, AC66&gt;0, S66&lt;=0, T66&lt;=0, Y66="Yes"), 0, (IF(AND(P66='G-1 All Habitats'!$X$3,(S66+T66)&lt;H66, OR(Y66="No", Y66="")),"Any Loss Unacceptable ⚠", (IF(P66="","",IF(AND(P66='G-1 All Habitats'!$X$3,T66&gt;0),U66+V66,IF(AND(P66='G-1 All Habitats'!$X$3,S66&gt;0),U66+V66,H66*J66*L66*O66))))))))))))),"Check Data ▲")</f>
        <v/>
      </c>
      <c r="R66" s="23"/>
      <c r="S66" s="38"/>
      <c r="T66" s="39"/>
      <c r="U66" s="302" t="str">
        <f t="shared" si="1"/>
        <v/>
      </c>
      <c r="V66" s="302" t="str">
        <f t="shared" si="2"/>
        <v/>
      </c>
      <c r="W66" s="302" t="str">
        <f>IF(E66="","",IF(H66&lt;S66+T66,"Error in Areas ▲",IF(P66&lt;&gt;'G-1 All Habitats'!$X$3,H66-S66-T66,IF(AND(P66='G-1 All Habitats'!$X$3,Y66="No"),AC66,IF(AND(P66='G-1 All Habitats'!$X$3,Y66=""),AC66,IF(AND(P66='G-1 All Habitats'!$X$3,AC66="None"),AC66,IF(AND(P66='G-1 All Habitats'!$X$3,AC66&gt;0),H66-S66-T66)))))))</f>
        <v/>
      </c>
      <c r="X66" s="306" t="str">
        <f>IFERROR(IF(H66="","",IF(H66-S66-T66=0&lt;0,"Error in Areas ▲",IF(S66+T66&gt;H66,"Error in Areas ▲",IF(AND(P66='G-1 All Habitats'!$X$3,Y66="Yes"),"Alternative Compensation ✓",IF(W66=0,0,IF(P66='G-1 All Habitats'!$X$3,"Any Loss Unacceptable ▲",Q66-U66-V66)))))),"Check Data ▲")</f>
        <v/>
      </c>
      <c r="Y66" s="39"/>
      <c r="Z66" s="46"/>
      <c r="AA66" s="419"/>
      <c r="AB66" s="101"/>
      <c r="AC66" s="495" t="str">
        <f>IF(OR(P66="", Y66="Yes"),"", IF(P66='G-1 All Habitats'!$X$3,H66-S66-T66,"None"))</f>
        <v/>
      </c>
      <c r="AD66" s="496" t="str">
        <f>IF(P66="","", IF(P66='G-1 All Habitats'!$X$3, AC66*J66*L66*O66,"None"))</f>
        <v/>
      </c>
      <c r="AE66" s="20" t="str">
        <f t="shared" si="3"/>
        <v/>
      </c>
      <c r="AF66" s="25" t="str">
        <f t="shared" si="4"/>
        <v/>
      </c>
      <c r="AG66" s="25" t="str">
        <f t="shared" si="0"/>
        <v/>
      </c>
      <c r="AH66" s="25" t="str">
        <f>IF(I66="","",IF(#REF!&gt;0,TRUE,FALSE))</f>
        <v/>
      </c>
      <c r="AI66" s="25">
        <v>56</v>
      </c>
      <c r="AJ66" s="25"/>
      <c r="AK66" s="25" t="str">
        <f t="array" ref="AK66">IFERROR(INDEX($AI$11:$AI$259, MATCH(0, IF(TRUE=$AF$11:$AF$259, COUNTIF($AK$10:$AK65, $AI$11:$AI$259), ""), 0)),"")</f>
        <v/>
      </c>
      <c r="AL66" s="25" t="str">
        <f t="array" ref="AL66">IFERROR(INDEX($AI$11:$AI$259, MATCH(0, IF(TRUE=$AG$11:$AG$259, COUNTIF($AL$10:$AL65, $AI$11:$AI$259), ""), 0)),"")</f>
        <v/>
      </c>
      <c r="AM66" s="25" t="str">
        <f t="array" ref="AM66">IFERROR(INDEX($AI$11:$AI$259, MATCH(0, IF(TRUE=$AH$11:$AH$259, COUNTIF($AM$10:$AM65, $AI$11:$AI$259), ""), 0)),"")</f>
        <v/>
      </c>
      <c r="AN66" s="25"/>
      <c r="AQ66" s="20">
        <f t="shared" si="5"/>
        <v>0</v>
      </c>
      <c r="AV66" s="540" t="str">
        <f>IFERROR(INDEX('G-1 All Habitats'!$B$3:$B$135,MATCH(F66,'G-1 All Habitats'!$A$3:$A$135,0)),"")</f>
        <v/>
      </c>
      <c r="AW66" s="20" t="str">
        <f>IF(AV66="","",VLOOKUP(AV66,'G-1 All Habitats'!$B$1:$T$135,19,FALSE))</f>
        <v/>
      </c>
    </row>
    <row r="67" spans="1:49" ht="14.5" thickBot="1" x14ac:dyDescent="0.35">
      <c r="A67" s="20" t="str">
        <f>IFERROR(INDEX('G-1 All Habitats'!$AG$3:$AG$17,MATCH(E67,'G-1 All Habitats'!$AF$3:$AF$17,0)),"")</f>
        <v/>
      </c>
      <c r="B67" s="20" t="str">
        <f>IFERROR(INDEX('G-8 Condition Look up'!$I$4:$I$135,MATCH(AV67,'G-8 Condition Look up'!$A$4:$A$135,0)),"")</f>
        <v/>
      </c>
      <c r="D67" s="238">
        <v>57</v>
      </c>
      <c r="E67" s="223"/>
      <c r="F67" s="45"/>
      <c r="G67" s="272"/>
      <c r="H67" s="37"/>
      <c r="I67" s="290" t="str">
        <f>IF(AV67="","",VLOOKUP(AV67,'G-1 All Habitats'!$B$2:$M$135,10,FALSE))</f>
        <v/>
      </c>
      <c r="J67" s="291" t="str">
        <f>IFERROR(VLOOKUP(I67,'G-1 All Habitats'!$V$3:$W$7,2,FALSE),"")</f>
        <v/>
      </c>
      <c r="K67" s="38"/>
      <c r="L67" s="291" t="str">
        <f>IFERROR(INDEX('G-8 Condition Look up'!$A$3:$H$135,MATCH(AV67,'G-8 Condition Look up'!$A$3:$A$135,0),MATCH(K67,'G-8 Condition Look up'!$A$3:$H$3,0)),"")</f>
        <v/>
      </c>
      <c r="M67" s="38"/>
      <c r="N67" s="310" t="str">
        <f>IF(M67="","",IF(VLOOKUP(M67,'G-3 Multipliers'!$L$3:$N$6,2,FALSE)=0,"Spatial Data Missing",VLOOKUP(M67,'G-3 Multipliers'!$L$3:$N$6,2,FALSE)))</f>
        <v/>
      </c>
      <c r="O67" s="296" t="str">
        <f>IF(M67="","",IF(VLOOKUP(M67,'G-3 Multipliers'!$L$3:$N$6,3,FALSE)=0,"Spatial Data Missing ▲",VLOOKUP(M67,'G-3 Multipliers'!$L$3:$N$6,3,FALSE)))</f>
        <v/>
      </c>
      <c r="P67" s="297" t="str">
        <f>(IF(G67="Yes","Bespoke compensation likely to be required 🛠",(IFERROR(VLOOKUP(AV67,'G-1 All Habitats'!$B$2:$M$135,12,FALSE),""))))</f>
        <v/>
      </c>
      <c r="Q67" s="304" t="str">
        <f>IFERROR(IF(AND(E67="Individual trees",T67&gt;0), "Error - you cannot enhance individual trees ▲", (IF(AND(U67="Irreplaceable habitat - no units generated ⚠",(S67+T67)&lt;H67, OR(Y67="No", Y67="")),"Any Loss Unacceptable ⚠", (IF(U67="Irreplaceable habitat - no units generated ⚠", T67*J67*L67*O67, IF(AND(P67='G-1 All Habitats'!$X$3, AC67&gt;0, S67&lt;=0, T67&lt;=0, OR(Y67="No", Y67="")),"Any Loss Unacceptable ⚠", IF(AND(P67='G-1 All Habitats'!$X$3, AC67&gt;0, S67&lt;=0, T67&lt;=0, Y67="Yes"), 0, (IF(AND(P67='G-1 All Habitats'!$X$3,(S67+T67)&lt;H67, OR(Y67="No", Y67="")),"Any Loss Unacceptable ⚠", (IF(P67="","",IF(AND(P67='G-1 All Habitats'!$X$3,T67&gt;0),U67+V67,IF(AND(P67='G-1 All Habitats'!$X$3,S67&gt;0),U67+V67,H67*J67*L67*O67))))))))))))),"Check Data ▲")</f>
        <v/>
      </c>
      <c r="R67" s="23"/>
      <c r="S67" s="38"/>
      <c r="T67" s="39"/>
      <c r="U67" s="302" t="str">
        <f t="shared" si="1"/>
        <v/>
      </c>
      <c r="V67" s="302" t="str">
        <f t="shared" si="2"/>
        <v/>
      </c>
      <c r="W67" s="302" t="str">
        <f>IF(E67="","",IF(H67&lt;S67+T67,"Error in Areas ▲",IF(P67&lt;&gt;'G-1 All Habitats'!$X$3,H67-S67-T67,IF(AND(P67='G-1 All Habitats'!$X$3,Y67="No"),AC67,IF(AND(P67='G-1 All Habitats'!$X$3,Y67=""),AC67,IF(AND(P67='G-1 All Habitats'!$X$3,AC67="None"),AC67,IF(AND(P67='G-1 All Habitats'!$X$3,AC67&gt;0),H67-S67-T67)))))))</f>
        <v/>
      </c>
      <c r="X67" s="306" t="str">
        <f>IFERROR(IF(H67="","",IF(H67-S67-T67=0&lt;0,"Error in Areas ▲",IF(S67+T67&gt;H67,"Error in Areas ▲",IF(AND(P67='G-1 All Habitats'!$X$3,Y67="Yes"),"Alternative Compensation ✓",IF(W67=0,0,IF(P67='G-1 All Habitats'!$X$3,"Any Loss Unacceptable ▲",Q67-U67-V67)))))),"Check Data ▲")</f>
        <v/>
      </c>
      <c r="Y67" s="39"/>
      <c r="Z67" s="46"/>
      <c r="AA67" s="419"/>
      <c r="AB67" s="101"/>
      <c r="AC67" s="495" t="str">
        <f>IF(OR(P67="", Y67="Yes"),"", IF(P67='G-1 All Habitats'!$X$3,H67-S67-T67,"None"))</f>
        <v/>
      </c>
      <c r="AD67" s="496" t="str">
        <f>IF(P67="","", IF(P67='G-1 All Habitats'!$X$3, AC67*J67*L67*O67,"None"))</f>
        <v/>
      </c>
      <c r="AE67" s="20" t="str">
        <f t="shared" si="3"/>
        <v/>
      </c>
      <c r="AF67" s="25" t="str">
        <f t="shared" si="4"/>
        <v/>
      </c>
      <c r="AG67" s="25" t="str">
        <f t="shared" si="0"/>
        <v/>
      </c>
      <c r="AH67" s="25" t="str">
        <f>IF(I67="","",IF(#REF!&gt;0,TRUE,FALSE))</f>
        <v/>
      </c>
      <c r="AI67" s="25">
        <v>57</v>
      </c>
      <c r="AJ67" s="25"/>
      <c r="AK67" s="25" t="str">
        <f t="array" ref="AK67">IFERROR(INDEX($AI$11:$AI$259, MATCH(0, IF(TRUE=$AF$11:$AF$259, COUNTIF($AK$10:$AK66, $AI$11:$AI$259), ""), 0)),"")</f>
        <v/>
      </c>
      <c r="AL67" s="25" t="str">
        <f t="array" ref="AL67">IFERROR(INDEX($AI$11:$AI$259, MATCH(0, IF(TRUE=$AG$11:$AG$259, COUNTIF($AL$10:$AL66, $AI$11:$AI$259), ""), 0)),"")</f>
        <v/>
      </c>
      <c r="AM67" s="25" t="str">
        <f t="array" ref="AM67">IFERROR(INDEX($AI$11:$AI$259, MATCH(0, IF(TRUE=$AH$11:$AH$259, COUNTIF($AM$10:$AM66, $AI$11:$AI$259), ""), 0)),"")</f>
        <v/>
      </c>
      <c r="AN67" s="25"/>
      <c r="AQ67" s="20">
        <f t="shared" si="5"/>
        <v>0</v>
      </c>
      <c r="AV67" s="540" t="str">
        <f>IFERROR(INDEX('G-1 All Habitats'!$B$3:$B$135,MATCH(F67,'G-1 All Habitats'!$A$3:$A$135,0)),"")</f>
        <v/>
      </c>
      <c r="AW67" s="20" t="str">
        <f>IF(AV67="","",VLOOKUP(AV67,'G-1 All Habitats'!$B$1:$T$135,19,FALSE))</f>
        <v/>
      </c>
    </row>
    <row r="68" spans="1:49" ht="14.5" thickBot="1" x14ac:dyDescent="0.35">
      <c r="A68" s="20" t="str">
        <f>IFERROR(INDEX('G-1 All Habitats'!$AG$3:$AG$17,MATCH(E68,'G-1 All Habitats'!$AF$3:$AF$17,0)),"")</f>
        <v/>
      </c>
      <c r="B68" s="20" t="str">
        <f>IFERROR(INDEX('G-8 Condition Look up'!$I$4:$I$135,MATCH(AV68,'G-8 Condition Look up'!$A$4:$A$135,0)),"")</f>
        <v/>
      </c>
      <c r="D68" s="238">
        <v>58</v>
      </c>
      <c r="E68" s="223"/>
      <c r="F68" s="45"/>
      <c r="G68" s="272"/>
      <c r="H68" s="37"/>
      <c r="I68" s="290" t="str">
        <f>IF(AV68="","",VLOOKUP(AV68,'G-1 All Habitats'!$B$2:$M$135,10,FALSE))</f>
        <v/>
      </c>
      <c r="J68" s="291" t="str">
        <f>IFERROR(VLOOKUP(I68,'G-1 All Habitats'!$V$3:$W$7,2,FALSE),"")</f>
        <v/>
      </c>
      <c r="K68" s="38"/>
      <c r="L68" s="291" t="str">
        <f>IFERROR(INDEX('G-8 Condition Look up'!$A$3:$H$135,MATCH(AV68,'G-8 Condition Look up'!$A$3:$A$135,0),MATCH(K68,'G-8 Condition Look up'!$A$3:$H$3,0)),"")</f>
        <v/>
      </c>
      <c r="M68" s="38"/>
      <c r="N68" s="310" t="str">
        <f>IF(M68="","",IF(VLOOKUP(M68,'G-3 Multipliers'!$L$3:$N$6,2,FALSE)=0,"Spatial Data Missing",VLOOKUP(M68,'G-3 Multipliers'!$L$3:$N$6,2,FALSE)))</f>
        <v/>
      </c>
      <c r="O68" s="296" t="str">
        <f>IF(M68="","",IF(VLOOKUP(M68,'G-3 Multipliers'!$L$3:$N$6,3,FALSE)=0,"Spatial Data Missing ▲",VLOOKUP(M68,'G-3 Multipliers'!$L$3:$N$6,3,FALSE)))</f>
        <v/>
      </c>
      <c r="P68" s="297" t="str">
        <f>(IF(G68="Yes","Bespoke compensation likely to be required 🛠",(IFERROR(VLOOKUP(AV68,'G-1 All Habitats'!$B$2:$M$135,12,FALSE),""))))</f>
        <v/>
      </c>
      <c r="Q68" s="304" t="str">
        <f>IFERROR(IF(AND(E68="Individual trees",T68&gt;0), "Error - you cannot enhance individual trees ▲", (IF(AND(U68="Irreplaceable habitat - no units generated ⚠",(S68+T68)&lt;H68, OR(Y68="No", Y68="")),"Any Loss Unacceptable ⚠", (IF(U68="Irreplaceable habitat - no units generated ⚠", T68*J68*L68*O68, IF(AND(P68='G-1 All Habitats'!$X$3, AC68&gt;0, S68&lt;=0, T68&lt;=0, OR(Y68="No", Y68="")),"Any Loss Unacceptable ⚠", IF(AND(P68='G-1 All Habitats'!$X$3, AC68&gt;0, S68&lt;=0, T68&lt;=0, Y68="Yes"), 0, (IF(AND(P68='G-1 All Habitats'!$X$3,(S68+T68)&lt;H68, OR(Y68="No", Y68="")),"Any Loss Unacceptable ⚠", (IF(P68="","",IF(AND(P68='G-1 All Habitats'!$X$3,T68&gt;0),U68+V68,IF(AND(P68='G-1 All Habitats'!$X$3,S68&gt;0),U68+V68,H68*J68*L68*O68))))))))))))),"Check Data ▲")</f>
        <v/>
      </c>
      <c r="R68" s="23"/>
      <c r="S68" s="38"/>
      <c r="T68" s="39"/>
      <c r="U68" s="302" t="str">
        <f t="shared" si="1"/>
        <v/>
      </c>
      <c r="V68" s="302" t="str">
        <f t="shared" si="2"/>
        <v/>
      </c>
      <c r="W68" s="302" t="str">
        <f>IF(E68="","",IF(H68&lt;S68+T68,"Error in Areas ▲",IF(P68&lt;&gt;'G-1 All Habitats'!$X$3,H68-S68-T68,IF(AND(P68='G-1 All Habitats'!$X$3,Y68="No"),AC68,IF(AND(P68='G-1 All Habitats'!$X$3,Y68=""),AC68,IF(AND(P68='G-1 All Habitats'!$X$3,AC68="None"),AC68,IF(AND(P68='G-1 All Habitats'!$X$3,AC68&gt;0),H68-S68-T68)))))))</f>
        <v/>
      </c>
      <c r="X68" s="306" t="str">
        <f>IFERROR(IF(H68="","",IF(H68-S68-T68=0&lt;0,"Error in Areas ▲",IF(S68+T68&gt;H68,"Error in Areas ▲",IF(AND(P68='G-1 All Habitats'!$X$3,Y68="Yes"),"Alternative Compensation ✓",IF(W68=0,0,IF(P68='G-1 All Habitats'!$X$3,"Any Loss Unacceptable ▲",Q68-U68-V68)))))),"Check Data ▲")</f>
        <v/>
      </c>
      <c r="Y68" s="39"/>
      <c r="Z68" s="46"/>
      <c r="AA68" s="419"/>
      <c r="AB68" s="101"/>
      <c r="AC68" s="495" t="str">
        <f>IF(OR(P68="", Y68="Yes"),"", IF(P68='G-1 All Habitats'!$X$3,H68-S68-T68,"None"))</f>
        <v/>
      </c>
      <c r="AD68" s="496" t="str">
        <f>IF(P68="","", IF(P68='G-1 All Habitats'!$X$3, AC68*J68*L68*O68,"None"))</f>
        <v/>
      </c>
      <c r="AE68" s="20" t="str">
        <f t="shared" si="3"/>
        <v/>
      </c>
      <c r="AF68" s="25" t="str">
        <f t="shared" si="4"/>
        <v/>
      </c>
      <c r="AG68" s="25" t="str">
        <f t="shared" si="0"/>
        <v/>
      </c>
      <c r="AH68" s="25" t="str">
        <f>IF(I68="","",IF(#REF!&gt;0,TRUE,FALSE))</f>
        <v/>
      </c>
      <c r="AI68" s="25">
        <v>58</v>
      </c>
      <c r="AJ68" s="25"/>
      <c r="AK68" s="25" t="str">
        <f t="array" ref="AK68">IFERROR(INDEX($AI$11:$AI$259, MATCH(0, IF(TRUE=$AF$11:$AF$259, COUNTIF($AK$10:$AK67, $AI$11:$AI$259), ""), 0)),"")</f>
        <v/>
      </c>
      <c r="AL68" s="25" t="str">
        <f t="array" ref="AL68">IFERROR(INDEX($AI$11:$AI$259, MATCH(0, IF(TRUE=$AG$11:$AG$259, COUNTIF($AL$10:$AL67, $AI$11:$AI$259), ""), 0)),"")</f>
        <v/>
      </c>
      <c r="AM68" s="25" t="str">
        <f t="array" ref="AM68">IFERROR(INDEX($AI$11:$AI$259, MATCH(0, IF(TRUE=$AH$11:$AH$259, COUNTIF($AM$10:$AM67, $AI$11:$AI$259), ""), 0)),"")</f>
        <v/>
      </c>
      <c r="AN68" s="25"/>
      <c r="AQ68" s="20">
        <f t="shared" si="5"/>
        <v>0</v>
      </c>
      <c r="AV68" s="540" t="str">
        <f>IFERROR(INDEX('G-1 All Habitats'!$B$3:$B$135,MATCH(F68,'G-1 All Habitats'!$A$3:$A$135,0)),"")</f>
        <v/>
      </c>
      <c r="AW68" s="20" t="str">
        <f>IF(AV68="","",VLOOKUP(AV68,'G-1 All Habitats'!$B$1:$T$135,19,FALSE))</f>
        <v/>
      </c>
    </row>
    <row r="69" spans="1:49" ht="14.5" thickBot="1" x14ac:dyDescent="0.35">
      <c r="A69" s="20" t="str">
        <f>IFERROR(INDEX('G-1 All Habitats'!$AG$3:$AG$17,MATCH(E69,'G-1 All Habitats'!$AF$3:$AF$17,0)),"")</f>
        <v/>
      </c>
      <c r="B69" s="20" t="str">
        <f>IFERROR(INDEX('G-8 Condition Look up'!$I$4:$I$135,MATCH(AV69,'G-8 Condition Look up'!$A$4:$A$135,0)),"")</f>
        <v/>
      </c>
      <c r="D69" s="238">
        <v>59</v>
      </c>
      <c r="E69" s="223"/>
      <c r="F69" s="45"/>
      <c r="G69" s="272"/>
      <c r="H69" s="37"/>
      <c r="I69" s="290" t="str">
        <f>IF(AV69="","",VLOOKUP(AV69,'G-1 All Habitats'!$B$2:$M$135,10,FALSE))</f>
        <v/>
      </c>
      <c r="J69" s="291" t="str">
        <f>IFERROR(VLOOKUP(I69,'G-1 All Habitats'!$V$3:$W$7,2,FALSE),"")</f>
        <v/>
      </c>
      <c r="K69" s="38"/>
      <c r="L69" s="291" t="str">
        <f>IFERROR(INDEX('G-8 Condition Look up'!$A$3:$H$135,MATCH(AV69,'G-8 Condition Look up'!$A$3:$A$135,0),MATCH(K69,'G-8 Condition Look up'!$A$3:$H$3,0)),"")</f>
        <v/>
      </c>
      <c r="M69" s="38"/>
      <c r="N69" s="310" t="str">
        <f>IF(M69="","",IF(VLOOKUP(M69,'G-3 Multipliers'!$L$3:$N$6,2,FALSE)=0,"Spatial Data Missing",VLOOKUP(M69,'G-3 Multipliers'!$L$3:$N$6,2,FALSE)))</f>
        <v/>
      </c>
      <c r="O69" s="296" t="str">
        <f>IF(M69="","",IF(VLOOKUP(M69,'G-3 Multipliers'!$L$3:$N$6,3,FALSE)=0,"Spatial Data Missing ▲",VLOOKUP(M69,'G-3 Multipliers'!$L$3:$N$6,3,FALSE)))</f>
        <v/>
      </c>
      <c r="P69" s="297" t="str">
        <f>(IF(G69="Yes","Bespoke compensation likely to be required 🛠",(IFERROR(VLOOKUP(AV69,'G-1 All Habitats'!$B$2:$M$135,12,FALSE),""))))</f>
        <v/>
      </c>
      <c r="Q69" s="304" t="str">
        <f>IFERROR(IF(AND(E69="Individual trees",T69&gt;0), "Error - you cannot enhance individual trees ▲", (IF(AND(U69="Irreplaceable habitat - no units generated ⚠",(S69+T69)&lt;H69, OR(Y69="No", Y69="")),"Any Loss Unacceptable ⚠", (IF(U69="Irreplaceable habitat - no units generated ⚠", T69*J69*L69*O69, IF(AND(P69='G-1 All Habitats'!$X$3, AC69&gt;0, S69&lt;=0, T69&lt;=0, OR(Y69="No", Y69="")),"Any Loss Unacceptable ⚠", IF(AND(P69='G-1 All Habitats'!$X$3, AC69&gt;0, S69&lt;=0, T69&lt;=0, Y69="Yes"), 0, (IF(AND(P69='G-1 All Habitats'!$X$3,(S69+T69)&lt;H69, OR(Y69="No", Y69="")),"Any Loss Unacceptable ⚠", (IF(P69="","",IF(AND(P69='G-1 All Habitats'!$X$3,T69&gt;0),U69+V69,IF(AND(P69='G-1 All Habitats'!$X$3,S69&gt;0),U69+V69,H69*J69*L69*O69))))))))))))),"Check Data ▲")</f>
        <v/>
      </c>
      <c r="R69" s="23"/>
      <c r="S69" s="38"/>
      <c r="T69" s="39"/>
      <c r="U69" s="302" t="str">
        <f t="shared" si="1"/>
        <v/>
      </c>
      <c r="V69" s="302" t="str">
        <f t="shared" si="2"/>
        <v/>
      </c>
      <c r="W69" s="302" t="str">
        <f>IF(E69="","",IF(H69&lt;S69+T69,"Error in Areas ▲",IF(P69&lt;&gt;'G-1 All Habitats'!$X$3,H69-S69-T69,IF(AND(P69='G-1 All Habitats'!$X$3,Y69="No"),AC69,IF(AND(P69='G-1 All Habitats'!$X$3,Y69=""),AC69,IF(AND(P69='G-1 All Habitats'!$X$3,AC69="None"),AC69,IF(AND(P69='G-1 All Habitats'!$X$3,AC69&gt;0),H69-S69-T69)))))))</f>
        <v/>
      </c>
      <c r="X69" s="306" t="str">
        <f>IFERROR(IF(H69="","",IF(H69-S69-T69=0&lt;0,"Error in Areas ▲",IF(S69+T69&gt;H69,"Error in Areas ▲",IF(AND(P69='G-1 All Habitats'!$X$3,Y69="Yes"),"Alternative Compensation ✓",IF(W69=0,0,IF(P69='G-1 All Habitats'!$X$3,"Any Loss Unacceptable ▲",Q69-U69-V69)))))),"Check Data ▲")</f>
        <v/>
      </c>
      <c r="Y69" s="39"/>
      <c r="Z69" s="46"/>
      <c r="AA69" s="419"/>
      <c r="AB69" s="101"/>
      <c r="AC69" s="495" t="str">
        <f>IF(OR(P69="", Y69="Yes"),"", IF(P69='G-1 All Habitats'!$X$3,H69-S69-T69,"None"))</f>
        <v/>
      </c>
      <c r="AD69" s="496" t="str">
        <f>IF(P69="","", IF(P69='G-1 All Habitats'!$X$3, AC69*J69*L69*O69,"None"))</f>
        <v/>
      </c>
      <c r="AE69" s="20" t="str">
        <f t="shared" si="3"/>
        <v/>
      </c>
      <c r="AF69" s="25" t="str">
        <f t="shared" si="4"/>
        <v/>
      </c>
      <c r="AG69" s="25" t="str">
        <f t="shared" si="0"/>
        <v/>
      </c>
      <c r="AH69" s="25" t="str">
        <f>IF(I69="","",IF(#REF!&gt;0,TRUE,FALSE))</f>
        <v/>
      </c>
      <c r="AI69" s="25">
        <v>59</v>
      </c>
      <c r="AJ69" s="25"/>
      <c r="AK69" s="25" t="str">
        <f t="array" ref="AK69">IFERROR(INDEX($AI$11:$AI$259, MATCH(0, IF(TRUE=$AF$11:$AF$259, COUNTIF($AK$10:$AK68, $AI$11:$AI$259), ""), 0)),"")</f>
        <v/>
      </c>
      <c r="AL69" s="25" t="str">
        <f t="array" ref="AL69">IFERROR(INDEX($AI$11:$AI$259, MATCH(0, IF(TRUE=$AG$11:$AG$259, COUNTIF($AL$10:$AL68, $AI$11:$AI$259), ""), 0)),"")</f>
        <v/>
      </c>
      <c r="AM69" s="25" t="str">
        <f t="array" ref="AM69">IFERROR(INDEX($AI$11:$AI$259, MATCH(0, IF(TRUE=$AH$11:$AH$259, COUNTIF($AM$10:$AM68, $AI$11:$AI$259), ""), 0)),"")</f>
        <v/>
      </c>
      <c r="AN69" s="25"/>
      <c r="AQ69" s="20">
        <f t="shared" si="5"/>
        <v>0</v>
      </c>
      <c r="AV69" s="540" t="str">
        <f>IFERROR(INDEX('G-1 All Habitats'!$B$3:$B$135,MATCH(F69,'G-1 All Habitats'!$A$3:$A$135,0)),"")</f>
        <v/>
      </c>
      <c r="AW69" s="20" t="str">
        <f>IF(AV69="","",VLOOKUP(AV69,'G-1 All Habitats'!$B$1:$T$135,19,FALSE))</f>
        <v/>
      </c>
    </row>
    <row r="70" spans="1:49" ht="14.5" thickBot="1" x14ac:dyDescent="0.35">
      <c r="A70" s="20" t="str">
        <f>IFERROR(INDEX('G-1 All Habitats'!$AG$3:$AG$17,MATCH(E70,'G-1 All Habitats'!$AF$3:$AF$17,0)),"")</f>
        <v/>
      </c>
      <c r="B70" s="20" t="str">
        <f>IFERROR(INDEX('G-8 Condition Look up'!$I$4:$I$135,MATCH(AV70,'G-8 Condition Look up'!$A$4:$A$135,0)),"")</f>
        <v/>
      </c>
      <c r="D70" s="238">
        <v>60</v>
      </c>
      <c r="E70" s="223"/>
      <c r="F70" s="45"/>
      <c r="G70" s="272"/>
      <c r="H70" s="37"/>
      <c r="I70" s="290" t="str">
        <f>IF(AV70="","",VLOOKUP(AV70,'G-1 All Habitats'!$B$2:$M$135,10,FALSE))</f>
        <v/>
      </c>
      <c r="J70" s="291" t="str">
        <f>IFERROR(VLOOKUP(I70,'G-1 All Habitats'!$V$3:$W$7,2,FALSE),"")</f>
        <v/>
      </c>
      <c r="K70" s="38"/>
      <c r="L70" s="291" t="str">
        <f>IFERROR(INDEX('G-8 Condition Look up'!$A$3:$H$135,MATCH(AV70,'G-8 Condition Look up'!$A$3:$A$135,0),MATCH(K70,'G-8 Condition Look up'!$A$3:$H$3,0)),"")</f>
        <v/>
      </c>
      <c r="M70" s="38"/>
      <c r="N70" s="310" t="str">
        <f>IF(M70="","",IF(VLOOKUP(M70,'G-3 Multipliers'!$L$3:$N$6,2,FALSE)=0,"Spatial Data Missing",VLOOKUP(M70,'G-3 Multipliers'!$L$3:$N$6,2,FALSE)))</f>
        <v/>
      </c>
      <c r="O70" s="296" t="str">
        <f>IF(M70="","",IF(VLOOKUP(M70,'G-3 Multipliers'!$L$3:$N$6,3,FALSE)=0,"Spatial Data Missing ▲",VLOOKUP(M70,'G-3 Multipliers'!$L$3:$N$6,3,FALSE)))</f>
        <v/>
      </c>
      <c r="P70" s="297" t="str">
        <f>(IF(G70="Yes","Bespoke compensation likely to be required 🛠",(IFERROR(VLOOKUP(AV70,'G-1 All Habitats'!$B$2:$M$135,12,FALSE),""))))</f>
        <v/>
      </c>
      <c r="Q70" s="304" t="str">
        <f>IFERROR(IF(AND(E70="Individual trees",T70&gt;0), "Error - you cannot enhance individual trees ▲", (IF(AND(U70="Irreplaceable habitat - no units generated ⚠",(S70+T70)&lt;H70, OR(Y70="No", Y70="")),"Any Loss Unacceptable ⚠", (IF(U70="Irreplaceable habitat - no units generated ⚠", T70*J70*L70*O70, IF(AND(P70='G-1 All Habitats'!$X$3, AC70&gt;0, S70&lt;=0, T70&lt;=0, OR(Y70="No", Y70="")),"Any Loss Unacceptable ⚠", IF(AND(P70='G-1 All Habitats'!$X$3, AC70&gt;0, S70&lt;=0, T70&lt;=0, Y70="Yes"), 0, (IF(AND(P70='G-1 All Habitats'!$X$3,(S70+T70)&lt;H70, OR(Y70="No", Y70="")),"Any Loss Unacceptable ⚠", (IF(P70="","",IF(AND(P70='G-1 All Habitats'!$X$3,T70&gt;0),U70+V70,IF(AND(P70='G-1 All Habitats'!$X$3,S70&gt;0),U70+V70,H70*J70*L70*O70))))))))))))),"Check Data ▲")</f>
        <v/>
      </c>
      <c r="R70" s="23"/>
      <c r="S70" s="38"/>
      <c r="T70" s="39"/>
      <c r="U70" s="302" t="str">
        <f t="shared" si="1"/>
        <v/>
      </c>
      <c r="V70" s="302" t="str">
        <f t="shared" si="2"/>
        <v/>
      </c>
      <c r="W70" s="302" t="str">
        <f>IF(E70="","",IF(H70&lt;S70+T70,"Error in Areas ▲",IF(P70&lt;&gt;'G-1 All Habitats'!$X$3,H70-S70-T70,IF(AND(P70='G-1 All Habitats'!$X$3,Y70="No"),AC70,IF(AND(P70='G-1 All Habitats'!$X$3,Y70=""),AC70,IF(AND(P70='G-1 All Habitats'!$X$3,AC70="None"),AC70,IF(AND(P70='G-1 All Habitats'!$X$3,AC70&gt;0),H70-S70-T70)))))))</f>
        <v/>
      </c>
      <c r="X70" s="306" t="str">
        <f>IFERROR(IF(H70="","",IF(H70-S70-T70=0&lt;0,"Error in Areas ▲",IF(S70+T70&gt;H70,"Error in Areas ▲",IF(AND(P70='G-1 All Habitats'!$X$3,Y70="Yes"),"Alternative Compensation ✓",IF(W70=0,0,IF(P70='G-1 All Habitats'!$X$3,"Any Loss Unacceptable ▲",Q70-U70-V70)))))),"Check Data ▲")</f>
        <v/>
      </c>
      <c r="Y70" s="39"/>
      <c r="Z70" s="46"/>
      <c r="AA70" s="419"/>
      <c r="AB70" s="101"/>
      <c r="AC70" s="495" t="str">
        <f>IF(OR(P70="", Y70="Yes"),"", IF(P70='G-1 All Habitats'!$X$3,H70-S70-T70,"None"))</f>
        <v/>
      </c>
      <c r="AD70" s="496" t="str">
        <f>IF(P70="","", IF(P70='G-1 All Habitats'!$X$3, AC70*J70*L70*O70,"None"))</f>
        <v/>
      </c>
      <c r="AE70" s="20" t="str">
        <f t="shared" si="3"/>
        <v/>
      </c>
      <c r="AF70" s="25" t="str">
        <f t="shared" si="4"/>
        <v/>
      </c>
      <c r="AG70" s="25" t="str">
        <f t="shared" si="0"/>
        <v/>
      </c>
      <c r="AH70" s="25" t="str">
        <f>IF(I70="","",IF(#REF!&gt;0,TRUE,FALSE))</f>
        <v/>
      </c>
      <c r="AI70" s="25">
        <v>60</v>
      </c>
      <c r="AJ70" s="25"/>
      <c r="AK70" s="25" t="str">
        <f t="array" ref="AK70">IFERROR(INDEX($AI$11:$AI$259, MATCH(0, IF(TRUE=$AF$11:$AF$259, COUNTIF($AK$10:$AK69, $AI$11:$AI$259), ""), 0)),"")</f>
        <v/>
      </c>
      <c r="AL70" s="25" t="str">
        <f t="array" ref="AL70">IFERROR(INDEX($AI$11:$AI$259, MATCH(0, IF(TRUE=$AG$11:$AG$259, COUNTIF($AL$10:$AL69, $AI$11:$AI$259), ""), 0)),"")</f>
        <v/>
      </c>
      <c r="AM70" s="25" t="str">
        <f t="array" ref="AM70">IFERROR(INDEX($AI$11:$AI$259, MATCH(0, IF(TRUE=$AH$11:$AH$259, COUNTIF($AM$10:$AM69, $AI$11:$AI$259), ""), 0)),"")</f>
        <v/>
      </c>
      <c r="AN70" s="25"/>
      <c r="AQ70" s="20">
        <f t="shared" si="5"/>
        <v>0</v>
      </c>
      <c r="AV70" s="540" t="str">
        <f>IFERROR(INDEX('G-1 All Habitats'!$B$3:$B$135,MATCH(F70,'G-1 All Habitats'!$A$3:$A$135,0)),"")</f>
        <v/>
      </c>
      <c r="AW70" s="20" t="str">
        <f>IF(AV70="","",VLOOKUP(AV70,'G-1 All Habitats'!$B$1:$T$135,19,FALSE))</f>
        <v/>
      </c>
    </row>
    <row r="71" spans="1:49" ht="14.5" thickBot="1" x14ac:dyDescent="0.35">
      <c r="A71" s="20" t="str">
        <f>IFERROR(INDEX('G-1 All Habitats'!$AG$3:$AG$17,MATCH(E71,'G-1 All Habitats'!$AF$3:$AF$17,0)),"")</f>
        <v/>
      </c>
      <c r="B71" s="20" t="str">
        <f>IFERROR(INDEX('G-8 Condition Look up'!$I$4:$I$135,MATCH(AV71,'G-8 Condition Look up'!$A$4:$A$135,0)),"")</f>
        <v/>
      </c>
      <c r="D71" s="238">
        <v>61</v>
      </c>
      <c r="E71" s="223"/>
      <c r="F71" s="45"/>
      <c r="G71" s="272"/>
      <c r="H71" s="37"/>
      <c r="I71" s="290" t="str">
        <f>IF(AV71="","",VLOOKUP(AV71,'G-1 All Habitats'!$B$2:$M$135,10,FALSE))</f>
        <v/>
      </c>
      <c r="J71" s="291" t="str">
        <f>IFERROR(VLOOKUP(I71,'G-1 All Habitats'!$V$3:$W$7,2,FALSE),"")</f>
        <v/>
      </c>
      <c r="K71" s="38"/>
      <c r="L71" s="291" t="str">
        <f>IFERROR(INDEX('G-8 Condition Look up'!$A$3:$H$135,MATCH(AV71,'G-8 Condition Look up'!$A$3:$A$135,0),MATCH(K71,'G-8 Condition Look up'!$A$3:$H$3,0)),"")</f>
        <v/>
      </c>
      <c r="M71" s="38"/>
      <c r="N71" s="310" t="str">
        <f>IF(M71="","",IF(VLOOKUP(M71,'G-3 Multipliers'!$L$3:$N$6,2,FALSE)=0,"Spatial Data Missing",VLOOKUP(M71,'G-3 Multipliers'!$L$3:$N$6,2,FALSE)))</f>
        <v/>
      </c>
      <c r="O71" s="296" t="str">
        <f>IF(M71="","",IF(VLOOKUP(M71,'G-3 Multipliers'!$L$3:$N$6,3,FALSE)=0,"Spatial Data Missing ▲",VLOOKUP(M71,'G-3 Multipliers'!$L$3:$N$6,3,FALSE)))</f>
        <v/>
      </c>
      <c r="P71" s="297" t="str">
        <f>(IF(G71="Yes","Bespoke compensation likely to be required 🛠",(IFERROR(VLOOKUP(AV71,'G-1 All Habitats'!$B$2:$M$135,12,FALSE),""))))</f>
        <v/>
      </c>
      <c r="Q71" s="304" t="str">
        <f>IFERROR(IF(AND(E71="Individual trees",T71&gt;0), "Error - you cannot enhance individual trees ▲", (IF(AND(U71="Irreplaceable habitat - no units generated ⚠",(S71+T71)&lt;H71, OR(Y71="No", Y71="")),"Any Loss Unacceptable ⚠", (IF(U71="Irreplaceable habitat - no units generated ⚠", T71*J71*L71*O71, IF(AND(P71='G-1 All Habitats'!$X$3, AC71&gt;0, S71&lt;=0, T71&lt;=0, OR(Y71="No", Y71="")),"Any Loss Unacceptable ⚠", IF(AND(P71='G-1 All Habitats'!$X$3, AC71&gt;0, S71&lt;=0, T71&lt;=0, Y71="Yes"), 0, (IF(AND(P71='G-1 All Habitats'!$X$3,(S71+T71)&lt;H71, OR(Y71="No", Y71="")),"Any Loss Unacceptable ⚠", (IF(P71="","",IF(AND(P71='G-1 All Habitats'!$X$3,T71&gt;0),U71+V71,IF(AND(P71='G-1 All Habitats'!$X$3,S71&gt;0),U71+V71,H71*J71*L71*O71))))))))))))),"Check Data ▲")</f>
        <v/>
      </c>
      <c r="R71" s="23"/>
      <c r="S71" s="38"/>
      <c r="T71" s="39"/>
      <c r="U71" s="302" t="str">
        <f t="shared" si="1"/>
        <v/>
      </c>
      <c r="V71" s="302" t="str">
        <f t="shared" si="2"/>
        <v/>
      </c>
      <c r="W71" s="302" t="str">
        <f>IF(E71="","",IF(H71&lt;S71+T71,"Error in Areas ▲",IF(P71&lt;&gt;'G-1 All Habitats'!$X$3,H71-S71-T71,IF(AND(P71='G-1 All Habitats'!$X$3,Y71="No"),AC71,IF(AND(P71='G-1 All Habitats'!$X$3,Y71=""),AC71,IF(AND(P71='G-1 All Habitats'!$X$3,AC71="None"),AC71,IF(AND(P71='G-1 All Habitats'!$X$3,AC71&gt;0),H71-S71-T71)))))))</f>
        <v/>
      </c>
      <c r="X71" s="306" t="str">
        <f>IFERROR(IF(H71="","",IF(H71-S71-T71=0&lt;0,"Error in Areas ▲",IF(S71+T71&gt;H71,"Error in Areas ▲",IF(AND(P71='G-1 All Habitats'!$X$3,Y71="Yes"),"Alternative Compensation ✓",IF(W71=0,0,IF(P71='G-1 All Habitats'!$X$3,"Any Loss Unacceptable ▲",Q71-U71-V71)))))),"Check Data ▲")</f>
        <v/>
      </c>
      <c r="Y71" s="39"/>
      <c r="Z71" s="46"/>
      <c r="AA71" s="419"/>
      <c r="AB71" s="101"/>
      <c r="AC71" s="495" t="str">
        <f>IF(OR(P71="", Y71="Yes"),"", IF(P71='G-1 All Habitats'!$X$3,H71-S71-T71,"None"))</f>
        <v/>
      </c>
      <c r="AD71" s="496" t="str">
        <f>IF(P71="","", IF(P71='G-1 All Habitats'!$X$3, AC71*J71*L71*O71,"None"))</f>
        <v/>
      </c>
      <c r="AE71" s="20" t="str">
        <f t="shared" si="3"/>
        <v/>
      </c>
      <c r="AF71" s="25" t="str">
        <f t="shared" si="4"/>
        <v/>
      </c>
      <c r="AG71" s="25" t="str">
        <f t="shared" si="0"/>
        <v/>
      </c>
      <c r="AH71" s="25" t="str">
        <f>IF(I71="","",IF(#REF!&gt;0,TRUE,FALSE))</f>
        <v/>
      </c>
      <c r="AI71" s="25">
        <v>61</v>
      </c>
      <c r="AJ71" s="25"/>
      <c r="AK71" s="25" t="str">
        <f t="array" ref="AK71">IFERROR(INDEX($AI$11:$AI$259, MATCH(0, IF(TRUE=$AF$11:$AF$259, COUNTIF($AK$10:$AK70, $AI$11:$AI$259), ""), 0)),"")</f>
        <v/>
      </c>
      <c r="AL71" s="25" t="str">
        <f t="array" ref="AL71">IFERROR(INDEX($AI$11:$AI$259, MATCH(0, IF(TRUE=$AG$11:$AG$259, COUNTIF($AL$10:$AL70, $AI$11:$AI$259), ""), 0)),"")</f>
        <v/>
      </c>
      <c r="AM71" s="25" t="str">
        <f t="array" ref="AM71">IFERROR(INDEX($AI$11:$AI$259, MATCH(0, IF(TRUE=$AH$11:$AH$259, COUNTIF($AM$10:$AM70, $AI$11:$AI$259), ""), 0)),"")</f>
        <v/>
      </c>
      <c r="AN71" s="25"/>
      <c r="AQ71" s="20">
        <f t="shared" si="5"/>
        <v>0</v>
      </c>
      <c r="AV71" s="540" t="str">
        <f>IFERROR(INDEX('G-1 All Habitats'!$B$3:$B$135,MATCH(F71,'G-1 All Habitats'!$A$3:$A$135,0)),"")</f>
        <v/>
      </c>
      <c r="AW71" s="20" t="str">
        <f>IF(AV71="","",VLOOKUP(AV71,'G-1 All Habitats'!$B$1:$T$135,19,FALSE))</f>
        <v/>
      </c>
    </row>
    <row r="72" spans="1:49" ht="14.5" thickBot="1" x14ac:dyDescent="0.35">
      <c r="A72" s="20" t="str">
        <f>IFERROR(INDEX('G-1 All Habitats'!$AG$3:$AG$17,MATCH(E72,'G-1 All Habitats'!$AF$3:$AF$17,0)),"")</f>
        <v/>
      </c>
      <c r="B72" s="20" t="str">
        <f>IFERROR(INDEX('G-8 Condition Look up'!$I$4:$I$135,MATCH(AV72,'G-8 Condition Look up'!$A$4:$A$135,0)),"")</f>
        <v/>
      </c>
      <c r="D72" s="238">
        <v>62</v>
      </c>
      <c r="E72" s="223"/>
      <c r="F72" s="45"/>
      <c r="G72" s="272"/>
      <c r="H72" s="37"/>
      <c r="I72" s="290" t="str">
        <f>IF(AV72="","",VLOOKUP(AV72,'G-1 All Habitats'!$B$2:$M$135,10,FALSE))</f>
        <v/>
      </c>
      <c r="J72" s="291" t="str">
        <f>IFERROR(VLOOKUP(I72,'G-1 All Habitats'!$V$3:$W$7,2,FALSE),"")</f>
        <v/>
      </c>
      <c r="K72" s="38"/>
      <c r="L72" s="291" t="str">
        <f>IFERROR(INDEX('G-8 Condition Look up'!$A$3:$H$135,MATCH(AV72,'G-8 Condition Look up'!$A$3:$A$135,0),MATCH(K72,'G-8 Condition Look up'!$A$3:$H$3,0)),"")</f>
        <v/>
      </c>
      <c r="M72" s="38"/>
      <c r="N72" s="310" t="str">
        <f>IF(M72="","",IF(VLOOKUP(M72,'G-3 Multipliers'!$L$3:$N$6,2,FALSE)=0,"Spatial Data Missing",VLOOKUP(M72,'G-3 Multipliers'!$L$3:$N$6,2,FALSE)))</f>
        <v/>
      </c>
      <c r="O72" s="296" t="str">
        <f>IF(M72="","",IF(VLOOKUP(M72,'G-3 Multipliers'!$L$3:$N$6,3,FALSE)=0,"Spatial Data Missing ▲",VLOOKUP(M72,'G-3 Multipliers'!$L$3:$N$6,3,FALSE)))</f>
        <v/>
      </c>
      <c r="P72" s="297" t="str">
        <f>(IF(G72="Yes","Bespoke compensation likely to be required 🛠",(IFERROR(VLOOKUP(AV72,'G-1 All Habitats'!$B$2:$M$135,12,FALSE),""))))</f>
        <v/>
      </c>
      <c r="Q72" s="304" t="str">
        <f>IFERROR(IF(AND(E72="Individual trees",T72&gt;0), "Error - you cannot enhance individual trees ▲", (IF(AND(U72="Irreplaceable habitat - no units generated ⚠",(S72+T72)&lt;H72, OR(Y72="No", Y72="")),"Any Loss Unacceptable ⚠", (IF(U72="Irreplaceable habitat - no units generated ⚠", T72*J72*L72*O72, IF(AND(P72='G-1 All Habitats'!$X$3, AC72&gt;0, S72&lt;=0, T72&lt;=0, OR(Y72="No", Y72="")),"Any Loss Unacceptable ⚠", IF(AND(P72='G-1 All Habitats'!$X$3, AC72&gt;0, S72&lt;=0, T72&lt;=0, Y72="Yes"), 0, (IF(AND(P72='G-1 All Habitats'!$X$3,(S72+T72)&lt;H72, OR(Y72="No", Y72="")),"Any Loss Unacceptable ⚠", (IF(P72="","",IF(AND(P72='G-1 All Habitats'!$X$3,T72&gt;0),U72+V72,IF(AND(P72='G-1 All Habitats'!$X$3,S72&gt;0),U72+V72,H72*J72*L72*O72))))))))))))),"Check Data ▲")</f>
        <v/>
      </c>
      <c r="R72" s="23"/>
      <c r="S72" s="38"/>
      <c r="T72" s="39"/>
      <c r="U72" s="302" t="str">
        <f t="shared" si="1"/>
        <v/>
      </c>
      <c r="V72" s="302" t="str">
        <f t="shared" si="2"/>
        <v/>
      </c>
      <c r="W72" s="302" t="str">
        <f>IF(E72="","",IF(H72&lt;S72+T72,"Error in Areas ▲",IF(P72&lt;&gt;'G-1 All Habitats'!$X$3,H72-S72-T72,IF(AND(P72='G-1 All Habitats'!$X$3,Y72="No"),AC72,IF(AND(P72='G-1 All Habitats'!$X$3,Y72=""),AC72,IF(AND(P72='G-1 All Habitats'!$X$3,AC72="None"),AC72,IF(AND(P72='G-1 All Habitats'!$X$3,AC72&gt;0),H72-S72-T72)))))))</f>
        <v/>
      </c>
      <c r="X72" s="306" t="str">
        <f>IFERROR(IF(H72="","",IF(H72-S72-T72=0&lt;0,"Error in Areas ▲",IF(S72+T72&gt;H72,"Error in Areas ▲",IF(AND(P72='G-1 All Habitats'!$X$3,Y72="Yes"),"Alternative Compensation ✓",IF(W72=0,0,IF(P72='G-1 All Habitats'!$X$3,"Any Loss Unacceptable ▲",Q72-U72-V72)))))),"Check Data ▲")</f>
        <v/>
      </c>
      <c r="Y72" s="39"/>
      <c r="Z72" s="46"/>
      <c r="AA72" s="419"/>
      <c r="AB72" s="101"/>
      <c r="AC72" s="495" t="str">
        <f>IF(OR(P72="", Y72="Yes"),"", IF(P72='G-1 All Habitats'!$X$3,H72-S72-T72,"None"))</f>
        <v/>
      </c>
      <c r="AD72" s="496" t="str">
        <f>IF(P72="","", IF(P72='G-1 All Habitats'!$X$3, AC72*J72*L72*O72,"None"))</f>
        <v/>
      </c>
      <c r="AE72" s="20" t="str">
        <f t="shared" si="3"/>
        <v/>
      </c>
      <c r="AF72" s="25" t="str">
        <f t="shared" si="4"/>
        <v/>
      </c>
      <c r="AG72" s="25" t="str">
        <f t="shared" si="0"/>
        <v/>
      </c>
      <c r="AH72" s="25" t="str">
        <f>IF(I72="","",IF(#REF!&gt;0,TRUE,FALSE))</f>
        <v/>
      </c>
      <c r="AI72" s="25">
        <v>62</v>
      </c>
      <c r="AJ72" s="25"/>
      <c r="AK72" s="25" t="str">
        <f t="array" ref="AK72">IFERROR(INDEX($AI$11:$AI$259, MATCH(0, IF(TRUE=$AF$11:$AF$259, COUNTIF($AK$10:$AK71, $AI$11:$AI$259), ""), 0)),"")</f>
        <v/>
      </c>
      <c r="AL72" s="25" t="str">
        <f t="array" ref="AL72">IFERROR(INDEX($AI$11:$AI$259, MATCH(0, IF(TRUE=$AG$11:$AG$259, COUNTIF($AL$10:$AL71, $AI$11:$AI$259), ""), 0)),"")</f>
        <v/>
      </c>
      <c r="AM72" s="25" t="str">
        <f t="array" ref="AM72">IFERROR(INDEX($AI$11:$AI$259, MATCH(0, IF(TRUE=$AH$11:$AH$259, COUNTIF($AM$10:$AM71, $AI$11:$AI$259), ""), 0)),"")</f>
        <v/>
      </c>
      <c r="AN72" s="25"/>
      <c r="AQ72" s="20">
        <f t="shared" si="5"/>
        <v>0</v>
      </c>
      <c r="AV72" s="540" t="str">
        <f>IFERROR(INDEX('G-1 All Habitats'!$B$3:$B$135,MATCH(F72,'G-1 All Habitats'!$A$3:$A$135,0)),"")</f>
        <v/>
      </c>
      <c r="AW72" s="20" t="str">
        <f>IF(AV72="","",VLOOKUP(AV72,'G-1 All Habitats'!$B$1:$T$135,19,FALSE))</f>
        <v/>
      </c>
    </row>
    <row r="73" spans="1:49" ht="14.5" thickBot="1" x14ac:dyDescent="0.35">
      <c r="A73" s="20" t="str">
        <f>IFERROR(INDEX('G-1 All Habitats'!$AG$3:$AG$17,MATCH(E73,'G-1 All Habitats'!$AF$3:$AF$17,0)),"")</f>
        <v/>
      </c>
      <c r="B73" s="20" t="str">
        <f>IFERROR(INDEX('G-8 Condition Look up'!$I$4:$I$135,MATCH(AV73,'G-8 Condition Look up'!$A$4:$A$135,0)),"")</f>
        <v/>
      </c>
      <c r="D73" s="238">
        <v>63</v>
      </c>
      <c r="E73" s="223"/>
      <c r="F73" s="45"/>
      <c r="G73" s="272"/>
      <c r="H73" s="37"/>
      <c r="I73" s="290" t="str">
        <f>IF(AV73="","",VLOOKUP(AV73,'G-1 All Habitats'!$B$2:$M$135,10,FALSE))</f>
        <v/>
      </c>
      <c r="J73" s="291" t="str">
        <f>IFERROR(VLOOKUP(I73,'G-1 All Habitats'!$V$3:$W$7,2,FALSE),"")</f>
        <v/>
      </c>
      <c r="K73" s="38"/>
      <c r="L73" s="291" t="str">
        <f>IFERROR(INDEX('G-8 Condition Look up'!$A$3:$H$135,MATCH(AV73,'G-8 Condition Look up'!$A$3:$A$135,0),MATCH(K73,'G-8 Condition Look up'!$A$3:$H$3,0)),"")</f>
        <v/>
      </c>
      <c r="M73" s="38"/>
      <c r="N73" s="310" t="str">
        <f>IF(M73="","",IF(VLOOKUP(M73,'G-3 Multipliers'!$L$3:$N$6,2,FALSE)=0,"Spatial Data Missing",VLOOKUP(M73,'G-3 Multipliers'!$L$3:$N$6,2,FALSE)))</f>
        <v/>
      </c>
      <c r="O73" s="296" t="str">
        <f>IF(M73="","",IF(VLOOKUP(M73,'G-3 Multipliers'!$L$3:$N$6,3,FALSE)=0,"Spatial Data Missing ▲",VLOOKUP(M73,'G-3 Multipliers'!$L$3:$N$6,3,FALSE)))</f>
        <v/>
      </c>
      <c r="P73" s="297" t="str">
        <f>(IF(G73="Yes","Bespoke compensation likely to be required 🛠",(IFERROR(VLOOKUP(AV73,'G-1 All Habitats'!$B$2:$M$135,12,FALSE),""))))</f>
        <v/>
      </c>
      <c r="Q73" s="304" t="str">
        <f>IFERROR(IF(AND(E73="Individual trees",T73&gt;0), "Error - you cannot enhance individual trees ▲", (IF(AND(U73="Irreplaceable habitat - no units generated ⚠",(S73+T73)&lt;H73, OR(Y73="No", Y73="")),"Any Loss Unacceptable ⚠", (IF(U73="Irreplaceable habitat - no units generated ⚠", T73*J73*L73*O73, IF(AND(P73='G-1 All Habitats'!$X$3, AC73&gt;0, S73&lt;=0, T73&lt;=0, OR(Y73="No", Y73="")),"Any Loss Unacceptable ⚠", IF(AND(P73='G-1 All Habitats'!$X$3, AC73&gt;0, S73&lt;=0, T73&lt;=0, Y73="Yes"), 0, (IF(AND(P73='G-1 All Habitats'!$X$3,(S73+T73)&lt;H73, OR(Y73="No", Y73="")),"Any Loss Unacceptable ⚠", (IF(P73="","",IF(AND(P73='G-1 All Habitats'!$X$3,T73&gt;0),U73+V73,IF(AND(P73='G-1 All Habitats'!$X$3,S73&gt;0),U73+V73,H73*J73*L73*O73))))))))))))),"Check Data ▲")</f>
        <v/>
      </c>
      <c r="R73" s="23"/>
      <c r="S73" s="38"/>
      <c r="T73" s="39"/>
      <c r="U73" s="302" t="str">
        <f t="shared" si="1"/>
        <v/>
      </c>
      <c r="V73" s="302" t="str">
        <f t="shared" si="2"/>
        <v/>
      </c>
      <c r="W73" s="302" t="str">
        <f>IF(E73="","",IF(H73&lt;S73+T73,"Error in Areas ▲",IF(P73&lt;&gt;'G-1 All Habitats'!$X$3,H73-S73-T73,IF(AND(P73='G-1 All Habitats'!$X$3,Y73="No"),AC73,IF(AND(P73='G-1 All Habitats'!$X$3,Y73=""),AC73,IF(AND(P73='G-1 All Habitats'!$X$3,AC73="None"),AC73,IF(AND(P73='G-1 All Habitats'!$X$3,AC73&gt;0),H73-S73-T73)))))))</f>
        <v/>
      </c>
      <c r="X73" s="306" t="str">
        <f>IFERROR(IF(H73="","",IF(H73-S73-T73=0&lt;0,"Error in Areas ▲",IF(S73+T73&gt;H73,"Error in Areas ▲",IF(AND(P73='G-1 All Habitats'!$X$3,Y73="Yes"),"Alternative Compensation ✓",IF(W73=0,0,IF(P73='G-1 All Habitats'!$X$3,"Any Loss Unacceptable ▲",Q73-U73-V73)))))),"Check Data ▲")</f>
        <v/>
      </c>
      <c r="Y73" s="39"/>
      <c r="Z73" s="46"/>
      <c r="AA73" s="419"/>
      <c r="AB73" s="101"/>
      <c r="AC73" s="495" t="str">
        <f>IF(OR(P73="", Y73="Yes"),"", IF(P73='G-1 All Habitats'!$X$3,H73-S73-T73,"None"))</f>
        <v/>
      </c>
      <c r="AD73" s="496" t="str">
        <f>IF(P73="","", IF(P73='G-1 All Habitats'!$X$3, AC73*J73*L73*O73,"None"))</f>
        <v/>
      </c>
      <c r="AE73" s="20" t="str">
        <f t="shared" si="3"/>
        <v/>
      </c>
      <c r="AF73" s="25" t="str">
        <f t="shared" si="4"/>
        <v/>
      </c>
      <c r="AG73" s="25" t="str">
        <f t="shared" si="0"/>
        <v/>
      </c>
      <c r="AH73" s="25" t="str">
        <f>IF(I73="","",IF(#REF!&gt;0,TRUE,FALSE))</f>
        <v/>
      </c>
      <c r="AI73" s="25">
        <v>63</v>
      </c>
      <c r="AJ73" s="25"/>
      <c r="AK73" s="25" t="str">
        <f t="array" ref="AK73">IFERROR(INDEX($AI$11:$AI$259, MATCH(0, IF(TRUE=$AF$11:$AF$259, COUNTIF($AK$10:$AK72, $AI$11:$AI$259), ""), 0)),"")</f>
        <v/>
      </c>
      <c r="AL73" s="25" t="str">
        <f t="array" ref="AL73">IFERROR(INDEX($AI$11:$AI$259, MATCH(0, IF(TRUE=$AG$11:$AG$259, COUNTIF($AL$10:$AL72, $AI$11:$AI$259), ""), 0)),"")</f>
        <v/>
      </c>
      <c r="AM73" s="25" t="str">
        <f t="array" ref="AM73">IFERROR(INDEX($AI$11:$AI$259, MATCH(0, IF(TRUE=$AH$11:$AH$259, COUNTIF($AM$10:$AM72, $AI$11:$AI$259), ""), 0)),"")</f>
        <v/>
      </c>
      <c r="AN73" s="25"/>
      <c r="AQ73" s="20">
        <f t="shared" si="5"/>
        <v>0</v>
      </c>
      <c r="AV73" s="540" t="str">
        <f>IFERROR(INDEX('G-1 All Habitats'!$B$3:$B$135,MATCH(F73,'G-1 All Habitats'!$A$3:$A$135,0)),"")</f>
        <v/>
      </c>
      <c r="AW73" s="20" t="str">
        <f>IF(AV73="","",VLOOKUP(AV73,'G-1 All Habitats'!$B$1:$T$135,19,FALSE))</f>
        <v/>
      </c>
    </row>
    <row r="74" spans="1:49" ht="14.5" thickBot="1" x14ac:dyDescent="0.35">
      <c r="A74" s="20" t="str">
        <f>IFERROR(INDEX('G-1 All Habitats'!$AG$3:$AG$17,MATCH(E74,'G-1 All Habitats'!$AF$3:$AF$17,0)),"")</f>
        <v/>
      </c>
      <c r="B74" s="20" t="str">
        <f>IFERROR(INDEX('G-8 Condition Look up'!$I$4:$I$135,MATCH(AV74,'G-8 Condition Look up'!$A$4:$A$135,0)),"")</f>
        <v/>
      </c>
      <c r="D74" s="238">
        <v>64</v>
      </c>
      <c r="E74" s="223"/>
      <c r="F74" s="45"/>
      <c r="G74" s="272"/>
      <c r="H74" s="37"/>
      <c r="I74" s="290" t="str">
        <f>IF(AV74="","",VLOOKUP(AV74,'G-1 All Habitats'!$B$2:$M$135,10,FALSE))</f>
        <v/>
      </c>
      <c r="J74" s="291" t="str">
        <f>IFERROR(VLOOKUP(I74,'G-1 All Habitats'!$V$3:$W$7,2,FALSE),"")</f>
        <v/>
      </c>
      <c r="K74" s="38"/>
      <c r="L74" s="291" t="str">
        <f>IFERROR(INDEX('G-8 Condition Look up'!$A$3:$H$135,MATCH(AV74,'G-8 Condition Look up'!$A$3:$A$135,0),MATCH(K74,'G-8 Condition Look up'!$A$3:$H$3,0)),"")</f>
        <v/>
      </c>
      <c r="M74" s="38"/>
      <c r="N74" s="310" t="str">
        <f>IF(M74="","",IF(VLOOKUP(M74,'G-3 Multipliers'!$L$3:$N$6,2,FALSE)=0,"Spatial Data Missing",VLOOKUP(M74,'G-3 Multipliers'!$L$3:$N$6,2,FALSE)))</f>
        <v/>
      </c>
      <c r="O74" s="296" t="str">
        <f>IF(M74="","",IF(VLOOKUP(M74,'G-3 Multipliers'!$L$3:$N$6,3,FALSE)=0,"Spatial Data Missing ▲",VLOOKUP(M74,'G-3 Multipliers'!$L$3:$N$6,3,FALSE)))</f>
        <v/>
      </c>
      <c r="P74" s="297" t="str">
        <f>(IF(G74="Yes","Bespoke compensation likely to be required 🛠",(IFERROR(VLOOKUP(AV74,'G-1 All Habitats'!$B$2:$M$135,12,FALSE),""))))</f>
        <v/>
      </c>
      <c r="Q74" s="304" t="str">
        <f>IFERROR(IF(AND(E74="Individual trees",T74&gt;0), "Error - you cannot enhance individual trees ▲", (IF(AND(U74="Irreplaceable habitat - no units generated ⚠",(S74+T74)&lt;H74, OR(Y74="No", Y74="")),"Any Loss Unacceptable ⚠", (IF(U74="Irreplaceable habitat - no units generated ⚠", T74*J74*L74*O74, IF(AND(P74='G-1 All Habitats'!$X$3, AC74&gt;0, S74&lt;=0, T74&lt;=0, OR(Y74="No", Y74="")),"Any Loss Unacceptable ⚠", IF(AND(P74='G-1 All Habitats'!$X$3, AC74&gt;0, S74&lt;=0, T74&lt;=0, Y74="Yes"), 0, (IF(AND(P74='G-1 All Habitats'!$X$3,(S74+T74)&lt;H74, OR(Y74="No", Y74="")),"Any Loss Unacceptable ⚠", (IF(P74="","",IF(AND(P74='G-1 All Habitats'!$X$3,T74&gt;0),U74+V74,IF(AND(P74='G-1 All Habitats'!$X$3,S74&gt;0),U74+V74,H74*J74*L74*O74))))))))))))),"Check Data ▲")</f>
        <v/>
      </c>
      <c r="R74" s="23"/>
      <c r="S74" s="38"/>
      <c r="T74" s="39"/>
      <c r="U74" s="302" t="str">
        <f t="shared" si="1"/>
        <v/>
      </c>
      <c r="V74" s="302" t="str">
        <f t="shared" si="2"/>
        <v/>
      </c>
      <c r="W74" s="302" t="str">
        <f>IF(E74="","",IF(H74&lt;S74+T74,"Error in Areas ▲",IF(P74&lt;&gt;'G-1 All Habitats'!$X$3,H74-S74-T74,IF(AND(P74='G-1 All Habitats'!$X$3,Y74="No"),AC74,IF(AND(P74='G-1 All Habitats'!$X$3,Y74=""),AC74,IF(AND(P74='G-1 All Habitats'!$X$3,AC74="None"),AC74,IF(AND(P74='G-1 All Habitats'!$X$3,AC74&gt;0),H74-S74-T74)))))))</f>
        <v/>
      </c>
      <c r="X74" s="306" t="str">
        <f>IFERROR(IF(H74="","",IF(H74-S74-T74=0&lt;0,"Error in Areas ▲",IF(S74+T74&gt;H74,"Error in Areas ▲",IF(AND(P74='G-1 All Habitats'!$X$3,Y74="Yes"),"Alternative Compensation ✓",IF(W74=0,0,IF(P74='G-1 All Habitats'!$X$3,"Any Loss Unacceptable ▲",Q74-U74-V74)))))),"Check Data ▲")</f>
        <v/>
      </c>
      <c r="Y74" s="39"/>
      <c r="Z74" s="46"/>
      <c r="AA74" s="419"/>
      <c r="AB74" s="101"/>
      <c r="AC74" s="495" t="str">
        <f>IF(OR(P74="", Y74="Yes"),"", IF(P74='G-1 All Habitats'!$X$3,H74-S74-T74,"None"))</f>
        <v/>
      </c>
      <c r="AD74" s="496" t="str">
        <f>IF(P74="","", IF(P74='G-1 All Habitats'!$X$3, AC74*J74*L74*O74,"None"))</f>
        <v/>
      </c>
      <c r="AE74" s="20" t="str">
        <f t="shared" si="3"/>
        <v/>
      </c>
      <c r="AF74" s="25" t="str">
        <f t="shared" si="4"/>
        <v/>
      </c>
      <c r="AG74" s="25" t="str">
        <f t="shared" si="0"/>
        <v/>
      </c>
      <c r="AH74" s="25" t="str">
        <f>IF(I74="","",IF(#REF!&gt;0,TRUE,FALSE))</f>
        <v/>
      </c>
      <c r="AI74" s="25">
        <v>64</v>
      </c>
      <c r="AJ74" s="25"/>
      <c r="AK74" s="25" t="str">
        <f t="array" ref="AK74">IFERROR(INDEX($AI$11:$AI$259, MATCH(0, IF(TRUE=$AF$11:$AF$259, COUNTIF($AK$10:$AK73, $AI$11:$AI$259), ""), 0)),"")</f>
        <v/>
      </c>
      <c r="AL74" s="25" t="str">
        <f t="array" ref="AL74">IFERROR(INDEX($AI$11:$AI$259, MATCH(0, IF(TRUE=$AG$11:$AG$259, COUNTIF($AL$10:$AL73, $AI$11:$AI$259), ""), 0)),"")</f>
        <v/>
      </c>
      <c r="AM74" s="25" t="str">
        <f t="array" ref="AM74">IFERROR(INDEX($AI$11:$AI$259, MATCH(0, IF(TRUE=$AH$11:$AH$259, COUNTIF($AM$10:$AM73, $AI$11:$AI$259), ""), 0)),"")</f>
        <v/>
      </c>
      <c r="AN74" s="25"/>
      <c r="AQ74" s="20">
        <f t="shared" si="5"/>
        <v>0</v>
      </c>
      <c r="AV74" s="540" t="str">
        <f>IFERROR(INDEX('G-1 All Habitats'!$B$3:$B$135,MATCH(F74,'G-1 All Habitats'!$A$3:$A$135,0)),"")</f>
        <v/>
      </c>
      <c r="AW74" s="20" t="str">
        <f>IF(AV74="","",VLOOKUP(AV74,'G-1 All Habitats'!$B$1:$T$135,19,FALSE))</f>
        <v/>
      </c>
    </row>
    <row r="75" spans="1:49" ht="14.5" thickBot="1" x14ac:dyDescent="0.35">
      <c r="A75" s="20" t="str">
        <f>IFERROR(INDEX('G-1 All Habitats'!$AG$3:$AG$17,MATCH(E75,'G-1 All Habitats'!$AF$3:$AF$17,0)),"")</f>
        <v/>
      </c>
      <c r="B75" s="20" t="str">
        <f>IFERROR(INDEX('G-8 Condition Look up'!$I$4:$I$135,MATCH(AV75,'G-8 Condition Look up'!$A$4:$A$135,0)),"")</f>
        <v/>
      </c>
      <c r="D75" s="238">
        <v>65</v>
      </c>
      <c r="E75" s="223"/>
      <c r="F75" s="45"/>
      <c r="G75" s="272"/>
      <c r="H75" s="37"/>
      <c r="I75" s="290" t="str">
        <f>IF(AV75="","",VLOOKUP(AV75,'G-1 All Habitats'!$B$2:$M$135,10,FALSE))</f>
        <v/>
      </c>
      <c r="J75" s="291" t="str">
        <f>IFERROR(VLOOKUP(I75,'G-1 All Habitats'!$V$3:$W$7,2,FALSE),"")</f>
        <v/>
      </c>
      <c r="K75" s="38"/>
      <c r="L75" s="291" t="str">
        <f>IFERROR(INDEX('G-8 Condition Look up'!$A$3:$H$135,MATCH(AV75,'G-8 Condition Look up'!$A$3:$A$135,0),MATCH(K75,'G-8 Condition Look up'!$A$3:$H$3,0)),"")</f>
        <v/>
      </c>
      <c r="M75" s="38"/>
      <c r="N75" s="310" t="str">
        <f>IF(M75="","",IF(VLOOKUP(M75,'G-3 Multipliers'!$L$3:$N$6,2,FALSE)=0,"Spatial Data Missing",VLOOKUP(M75,'G-3 Multipliers'!$L$3:$N$6,2,FALSE)))</f>
        <v/>
      </c>
      <c r="O75" s="296" t="str">
        <f>IF(M75="","",IF(VLOOKUP(M75,'G-3 Multipliers'!$L$3:$N$6,3,FALSE)=0,"Spatial Data Missing ▲",VLOOKUP(M75,'G-3 Multipliers'!$L$3:$N$6,3,FALSE)))</f>
        <v/>
      </c>
      <c r="P75" s="297" t="str">
        <f>(IF(G75="Yes","Bespoke compensation likely to be required 🛠",(IFERROR(VLOOKUP(AV75,'G-1 All Habitats'!$B$2:$M$135,12,FALSE),""))))</f>
        <v/>
      </c>
      <c r="Q75" s="304" t="str">
        <f>IFERROR(IF(AND(E75="Individual trees",T75&gt;0), "Error - you cannot enhance individual trees ▲", (IF(AND(U75="Irreplaceable habitat - no units generated ⚠",(S75+T75)&lt;H75, OR(Y75="No", Y75="")),"Any Loss Unacceptable ⚠", (IF(U75="Irreplaceable habitat - no units generated ⚠", T75*J75*L75*O75, IF(AND(P75='G-1 All Habitats'!$X$3, AC75&gt;0, S75&lt;=0, T75&lt;=0, OR(Y75="No", Y75="")),"Any Loss Unacceptable ⚠", IF(AND(P75='G-1 All Habitats'!$X$3, AC75&gt;0, S75&lt;=0, T75&lt;=0, Y75="Yes"), 0, (IF(AND(P75='G-1 All Habitats'!$X$3,(S75+T75)&lt;H75, OR(Y75="No", Y75="")),"Any Loss Unacceptable ⚠", (IF(P75="","",IF(AND(P75='G-1 All Habitats'!$X$3,T75&gt;0),U75+V75,IF(AND(P75='G-1 All Habitats'!$X$3,S75&gt;0),U75+V75,H75*J75*L75*O75))))))))))))),"Check Data ▲")</f>
        <v/>
      </c>
      <c r="R75" s="23"/>
      <c r="S75" s="38"/>
      <c r="T75" s="39"/>
      <c r="U75" s="302" t="str">
        <f t="shared" si="1"/>
        <v/>
      </c>
      <c r="V75" s="302" t="str">
        <f t="shared" si="2"/>
        <v/>
      </c>
      <c r="W75" s="302" t="str">
        <f>IF(E75="","",IF(H75&lt;S75+T75,"Error in Areas ▲",IF(P75&lt;&gt;'G-1 All Habitats'!$X$3,H75-S75-T75,IF(AND(P75='G-1 All Habitats'!$X$3,Y75="No"),AC75,IF(AND(P75='G-1 All Habitats'!$X$3,Y75=""),AC75,IF(AND(P75='G-1 All Habitats'!$X$3,AC75="None"),AC75,IF(AND(P75='G-1 All Habitats'!$X$3,AC75&gt;0),H75-S75-T75)))))))</f>
        <v/>
      </c>
      <c r="X75" s="306" t="str">
        <f>IFERROR(IF(H75="","",IF(H75-S75-T75=0&lt;0,"Error in Areas ▲",IF(S75+T75&gt;H75,"Error in Areas ▲",IF(AND(P75='G-1 All Habitats'!$X$3,Y75="Yes"),"Alternative Compensation ✓",IF(W75=0,0,IF(P75='G-1 All Habitats'!$X$3,"Any Loss Unacceptable ▲",Q75-U75-V75)))))),"Check Data ▲")</f>
        <v/>
      </c>
      <c r="Y75" s="39"/>
      <c r="Z75" s="46"/>
      <c r="AA75" s="419"/>
      <c r="AB75" s="101"/>
      <c r="AC75" s="495" t="str">
        <f>IF(OR(P75="", Y75="Yes"),"", IF(P75='G-1 All Habitats'!$X$3,H75-S75-T75,"None"))</f>
        <v/>
      </c>
      <c r="AD75" s="496" t="str">
        <f>IF(P75="","", IF(P75='G-1 All Habitats'!$X$3, AC75*J75*L75*O75,"None"))</f>
        <v/>
      </c>
      <c r="AE75" s="20" t="str">
        <f t="shared" si="3"/>
        <v/>
      </c>
      <c r="AF75" s="25" t="str">
        <f t="shared" si="4"/>
        <v/>
      </c>
      <c r="AG75" s="25" t="str">
        <f t="shared" ref="AG75:AG138" si="6">IF(H75="","",IF(T75&gt;0,TRUE,FALSE))</f>
        <v/>
      </c>
      <c r="AH75" s="25" t="str">
        <f>IF(I75="","",IF(#REF!&gt;0,TRUE,FALSE))</f>
        <v/>
      </c>
      <c r="AI75" s="25">
        <v>65</v>
      </c>
      <c r="AJ75" s="25"/>
      <c r="AK75" s="25" t="str">
        <f t="array" ref="AK75">IFERROR(INDEX($AI$11:$AI$259, MATCH(0, IF(TRUE=$AF$11:$AF$259, COUNTIF($AK$10:$AK74, $AI$11:$AI$259), ""), 0)),"")</f>
        <v/>
      </c>
      <c r="AL75" s="25" t="str">
        <f t="array" ref="AL75">IFERROR(INDEX($AI$11:$AI$259, MATCH(0, IF(TRUE=$AG$11:$AG$259, COUNTIF($AL$10:$AL74, $AI$11:$AI$259), ""), 0)),"")</f>
        <v/>
      </c>
      <c r="AM75" s="25" t="str">
        <f t="array" ref="AM75">IFERROR(INDEX($AI$11:$AI$259, MATCH(0, IF(TRUE=$AH$11:$AH$259, COUNTIF($AM$10:$AM74, $AI$11:$AI$259), ""), 0)),"")</f>
        <v/>
      </c>
      <c r="AN75" s="25"/>
      <c r="AQ75" s="20">
        <f t="shared" si="5"/>
        <v>0</v>
      </c>
      <c r="AV75" s="540" t="str">
        <f>IFERROR(INDEX('G-1 All Habitats'!$B$3:$B$135,MATCH(F75,'G-1 All Habitats'!$A$3:$A$135,0)),"")</f>
        <v/>
      </c>
      <c r="AW75" s="20" t="str">
        <f>IF(AV75="","",VLOOKUP(AV75,'G-1 All Habitats'!$B$1:$T$135,19,FALSE))</f>
        <v/>
      </c>
    </row>
    <row r="76" spans="1:49" ht="14.5" thickBot="1" x14ac:dyDescent="0.35">
      <c r="A76" s="20" t="str">
        <f>IFERROR(INDEX('G-1 All Habitats'!$AG$3:$AG$17,MATCH(E76,'G-1 All Habitats'!$AF$3:$AF$17,0)),"")</f>
        <v/>
      </c>
      <c r="B76" s="20" t="str">
        <f>IFERROR(INDEX('G-8 Condition Look up'!$I$4:$I$135,MATCH(AV76,'G-8 Condition Look up'!$A$4:$A$135,0)),"")</f>
        <v/>
      </c>
      <c r="D76" s="238">
        <v>66</v>
      </c>
      <c r="E76" s="223"/>
      <c r="F76" s="45"/>
      <c r="G76" s="272"/>
      <c r="H76" s="37"/>
      <c r="I76" s="290" t="str">
        <f>IF(AV76="","",VLOOKUP(AV76,'G-1 All Habitats'!$B$2:$M$135,10,FALSE))</f>
        <v/>
      </c>
      <c r="J76" s="291" t="str">
        <f>IFERROR(VLOOKUP(I76,'G-1 All Habitats'!$V$3:$W$7,2,FALSE),"")</f>
        <v/>
      </c>
      <c r="K76" s="38"/>
      <c r="L76" s="291" t="str">
        <f>IFERROR(INDEX('G-8 Condition Look up'!$A$3:$H$135,MATCH(AV76,'G-8 Condition Look up'!$A$3:$A$135,0),MATCH(K76,'G-8 Condition Look up'!$A$3:$H$3,0)),"")</f>
        <v/>
      </c>
      <c r="M76" s="38"/>
      <c r="N76" s="310" t="str">
        <f>IF(M76="","",IF(VLOOKUP(M76,'G-3 Multipliers'!$L$3:$N$6,2,FALSE)=0,"Spatial Data Missing",VLOOKUP(M76,'G-3 Multipliers'!$L$3:$N$6,2,FALSE)))</f>
        <v/>
      </c>
      <c r="O76" s="296" t="str">
        <f>IF(M76="","",IF(VLOOKUP(M76,'G-3 Multipliers'!$L$3:$N$6,3,FALSE)=0,"Spatial Data Missing ▲",VLOOKUP(M76,'G-3 Multipliers'!$L$3:$N$6,3,FALSE)))</f>
        <v/>
      </c>
      <c r="P76" s="297" t="str">
        <f>(IF(G76="Yes","Bespoke compensation likely to be required 🛠",(IFERROR(VLOOKUP(AV76,'G-1 All Habitats'!$B$2:$M$135,12,FALSE),""))))</f>
        <v/>
      </c>
      <c r="Q76" s="304" t="str">
        <f>IFERROR(IF(AND(E76="Individual trees",T76&gt;0), "Error - you cannot enhance individual trees ▲", (IF(AND(U76="Irreplaceable habitat - no units generated ⚠",(S76+T76)&lt;H76, OR(Y76="No", Y76="")),"Any Loss Unacceptable ⚠", (IF(U76="Irreplaceable habitat - no units generated ⚠", T76*J76*L76*O76, IF(AND(P76='G-1 All Habitats'!$X$3, AC76&gt;0, S76&lt;=0, T76&lt;=0, OR(Y76="No", Y76="")),"Any Loss Unacceptable ⚠", IF(AND(P76='G-1 All Habitats'!$X$3, AC76&gt;0, S76&lt;=0, T76&lt;=0, Y76="Yes"), 0, (IF(AND(P76='G-1 All Habitats'!$X$3,(S76+T76)&lt;H76, OR(Y76="No", Y76="")),"Any Loss Unacceptable ⚠", (IF(P76="","",IF(AND(P76='G-1 All Habitats'!$X$3,T76&gt;0),U76+V76,IF(AND(P76='G-1 All Habitats'!$X$3,S76&gt;0),U76+V76,H76*J76*L76*O76))))))))))))),"Check Data ▲")</f>
        <v/>
      </c>
      <c r="R76" s="23"/>
      <c r="S76" s="38"/>
      <c r="T76" s="39"/>
      <c r="U76" s="302" t="str">
        <f t="shared" ref="U76:U139" si="7">IFERROR(IF(G76="Yes","Irreplaceable habitat - no units generated ⚠", (S76*J76*L76*O76)),"")</f>
        <v/>
      </c>
      <c r="V76" s="302" t="str">
        <f t="shared" ref="V76:V139" si="8">IFERROR(IF(AND(E76="Individual trees",T76&gt;0), "Error - ▲", (T76*J76*L76*O76)),"")</f>
        <v/>
      </c>
      <c r="W76" s="302" t="str">
        <f>IF(E76="","",IF(H76&lt;S76+T76,"Error in Areas ▲",IF(P76&lt;&gt;'G-1 All Habitats'!$X$3,H76-S76-T76,IF(AND(P76='G-1 All Habitats'!$X$3,Y76="No"),AC76,IF(AND(P76='G-1 All Habitats'!$X$3,Y76=""),AC76,IF(AND(P76='G-1 All Habitats'!$X$3,AC76="None"),AC76,IF(AND(P76='G-1 All Habitats'!$X$3,AC76&gt;0),H76-S76-T76)))))))</f>
        <v/>
      </c>
      <c r="X76" s="306" t="str">
        <f>IFERROR(IF(H76="","",IF(H76-S76-T76=0&lt;0,"Error in Areas ▲",IF(S76+T76&gt;H76,"Error in Areas ▲",IF(AND(P76='G-1 All Habitats'!$X$3,Y76="Yes"),"Alternative Compensation ✓",IF(W76=0,0,IF(P76='G-1 All Habitats'!$X$3,"Any Loss Unacceptable ▲",Q76-U76-V76)))))),"Check Data ▲")</f>
        <v/>
      </c>
      <c r="Y76" s="39"/>
      <c r="Z76" s="46"/>
      <c r="AA76" s="419"/>
      <c r="AB76" s="101"/>
      <c r="AC76" s="495" t="str">
        <f>IF(OR(P76="", Y76="Yes"),"", IF(P76='G-1 All Habitats'!$X$3,H76-S76-T76,"None"))</f>
        <v/>
      </c>
      <c r="AD76" s="496" t="str">
        <f>IF(P76="","", IF(P76='G-1 All Habitats'!$X$3, AC76*J76*L76*O76,"None"))</f>
        <v/>
      </c>
      <c r="AE76" s="20" t="str">
        <f t="shared" ref="AE76:AE139" si="9">IF(Y76="Yes","Yes ✓",IF(Y76="No","No ▲",""))</f>
        <v/>
      </c>
      <c r="AF76" s="25" t="str">
        <f t="shared" ref="AF76:AF139" si="10">IF(AV76="","",IF(S76&gt;0,TRUE,FALSE))</f>
        <v/>
      </c>
      <c r="AG76" s="25" t="str">
        <f t="shared" si="6"/>
        <v/>
      </c>
      <c r="AH76" s="25" t="str">
        <f>IF(I76="","",IF(#REF!&gt;0,TRUE,FALSE))</f>
        <v/>
      </c>
      <c r="AI76" s="25">
        <v>66</v>
      </c>
      <c r="AJ76" s="25"/>
      <c r="AK76" s="25" t="str">
        <f t="array" ref="AK76">IFERROR(INDEX($AI$11:$AI$259, MATCH(0, IF(TRUE=$AF$11:$AF$259, COUNTIF($AK$10:$AK75, $AI$11:$AI$259), ""), 0)),"")</f>
        <v/>
      </c>
      <c r="AL76" s="25" t="str">
        <f t="array" ref="AL76">IFERROR(INDEX($AI$11:$AI$259, MATCH(0, IF(TRUE=$AG$11:$AG$259, COUNTIF($AL$10:$AL75, $AI$11:$AI$259), ""), 0)),"")</f>
        <v/>
      </c>
      <c r="AM76" s="25" t="str">
        <f t="array" ref="AM76">IFERROR(INDEX($AI$11:$AI$259, MATCH(0, IF(TRUE=$AH$11:$AH$259, COUNTIF($AM$10:$AM75, $AI$11:$AI$259), ""), 0)),"")</f>
        <v/>
      </c>
      <c r="AN76" s="25"/>
      <c r="AQ76" s="20">
        <f t="shared" ref="AQ76:AQ139" si="11">IF(X76="Any Loss Unacceptable ▲",1,0)</f>
        <v>0</v>
      </c>
      <c r="AV76" s="540" t="str">
        <f>IFERROR(INDEX('G-1 All Habitats'!$B$3:$B$135,MATCH(F76,'G-1 All Habitats'!$A$3:$A$135,0)),"")</f>
        <v/>
      </c>
      <c r="AW76" s="20" t="str">
        <f>IF(AV76="","",VLOOKUP(AV76,'G-1 All Habitats'!$B$1:$T$135,19,FALSE))</f>
        <v/>
      </c>
    </row>
    <row r="77" spans="1:49" ht="14.5" thickBot="1" x14ac:dyDescent="0.35">
      <c r="A77" s="20" t="str">
        <f>IFERROR(INDEX('G-1 All Habitats'!$AG$3:$AG$17,MATCH(E77,'G-1 All Habitats'!$AF$3:$AF$17,0)),"")</f>
        <v/>
      </c>
      <c r="B77" s="20" t="str">
        <f>IFERROR(INDEX('G-8 Condition Look up'!$I$4:$I$135,MATCH(AV77,'G-8 Condition Look up'!$A$4:$A$135,0)),"")</f>
        <v/>
      </c>
      <c r="D77" s="238">
        <v>67</v>
      </c>
      <c r="E77" s="223"/>
      <c r="F77" s="45"/>
      <c r="G77" s="272"/>
      <c r="H77" s="37"/>
      <c r="I77" s="290" t="str">
        <f>IF(AV77="","",VLOOKUP(AV77,'G-1 All Habitats'!$B$2:$M$135,10,FALSE))</f>
        <v/>
      </c>
      <c r="J77" s="291" t="str">
        <f>IFERROR(VLOOKUP(I77,'G-1 All Habitats'!$V$3:$W$7,2,FALSE),"")</f>
        <v/>
      </c>
      <c r="K77" s="38"/>
      <c r="L77" s="291" t="str">
        <f>IFERROR(INDEX('G-8 Condition Look up'!$A$3:$H$135,MATCH(AV77,'G-8 Condition Look up'!$A$3:$A$135,0),MATCH(K77,'G-8 Condition Look up'!$A$3:$H$3,0)),"")</f>
        <v/>
      </c>
      <c r="M77" s="38"/>
      <c r="N77" s="310" t="str">
        <f>IF(M77="","",IF(VLOOKUP(M77,'G-3 Multipliers'!$L$3:$N$6,2,FALSE)=0,"Spatial Data Missing",VLOOKUP(M77,'G-3 Multipliers'!$L$3:$N$6,2,FALSE)))</f>
        <v/>
      </c>
      <c r="O77" s="296" t="str">
        <f>IF(M77="","",IF(VLOOKUP(M77,'G-3 Multipliers'!$L$3:$N$6,3,FALSE)=0,"Spatial Data Missing ▲",VLOOKUP(M77,'G-3 Multipliers'!$L$3:$N$6,3,FALSE)))</f>
        <v/>
      </c>
      <c r="P77" s="297" t="str">
        <f>(IF(G77="Yes","Bespoke compensation likely to be required 🛠",(IFERROR(VLOOKUP(AV77,'G-1 All Habitats'!$B$2:$M$135,12,FALSE),""))))</f>
        <v/>
      </c>
      <c r="Q77" s="304" t="str">
        <f>IFERROR(IF(AND(E77="Individual trees",T77&gt;0), "Error - you cannot enhance individual trees ▲", (IF(AND(U77="Irreplaceable habitat - no units generated ⚠",(S77+T77)&lt;H77, OR(Y77="No", Y77="")),"Any Loss Unacceptable ⚠", (IF(U77="Irreplaceable habitat - no units generated ⚠", T77*J77*L77*O77, IF(AND(P77='G-1 All Habitats'!$X$3, AC77&gt;0, S77&lt;=0, T77&lt;=0, OR(Y77="No", Y77="")),"Any Loss Unacceptable ⚠", IF(AND(P77='G-1 All Habitats'!$X$3, AC77&gt;0, S77&lt;=0, T77&lt;=0, Y77="Yes"), 0, (IF(AND(P77='G-1 All Habitats'!$X$3,(S77+T77)&lt;H77, OR(Y77="No", Y77="")),"Any Loss Unacceptable ⚠", (IF(P77="","",IF(AND(P77='G-1 All Habitats'!$X$3,T77&gt;0),U77+V77,IF(AND(P77='G-1 All Habitats'!$X$3,S77&gt;0),U77+V77,H77*J77*L77*O77))))))))))))),"Check Data ▲")</f>
        <v/>
      </c>
      <c r="R77" s="23"/>
      <c r="S77" s="38"/>
      <c r="T77" s="39"/>
      <c r="U77" s="302" t="str">
        <f t="shared" si="7"/>
        <v/>
      </c>
      <c r="V77" s="302" t="str">
        <f t="shared" si="8"/>
        <v/>
      </c>
      <c r="W77" s="302" t="str">
        <f>IF(E77="","",IF(H77&lt;S77+T77,"Error in Areas ▲",IF(P77&lt;&gt;'G-1 All Habitats'!$X$3,H77-S77-T77,IF(AND(P77='G-1 All Habitats'!$X$3,Y77="No"),AC77,IF(AND(P77='G-1 All Habitats'!$X$3,Y77=""),AC77,IF(AND(P77='G-1 All Habitats'!$X$3,AC77="None"),AC77,IF(AND(P77='G-1 All Habitats'!$X$3,AC77&gt;0),H77-S77-T77)))))))</f>
        <v/>
      </c>
      <c r="X77" s="306" t="str">
        <f>IFERROR(IF(H77="","",IF(H77-S77-T77=0&lt;0,"Error in Areas ▲",IF(S77+T77&gt;H77,"Error in Areas ▲",IF(AND(P77='G-1 All Habitats'!$X$3,Y77="Yes"),"Alternative Compensation ✓",IF(W77=0,0,IF(P77='G-1 All Habitats'!$X$3,"Any Loss Unacceptable ▲",Q77-U77-V77)))))),"Check Data ▲")</f>
        <v/>
      </c>
      <c r="Y77" s="39"/>
      <c r="Z77" s="46"/>
      <c r="AA77" s="419"/>
      <c r="AB77" s="101"/>
      <c r="AC77" s="495" t="str">
        <f>IF(OR(P77="", Y77="Yes"),"", IF(P77='G-1 All Habitats'!$X$3,H77-S77-T77,"None"))</f>
        <v/>
      </c>
      <c r="AD77" s="496" t="str">
        <f>IF(P77="","", IF(P77='G-1 All Habitats'!$X$3, AC77*J77*L77*O77,"None"))</f>
        <v/>
      </c>
      <c r="AE77" s="20" t="str">
        <f t="shared" si="9"/>
        <v/>
      </c>
      <c r="AF77" s="25" t="str">
        <f t="shared" si="10"/>
        <v/>
      </c>
      <c r="AG77" s="25" t="str">
        <f t="shared" si="6"/>
        <v/>
      </c>
      <c r="AH77" s="25" t="str">
        <f>IF(I77="","",IF(#REF!&gt;0,TRUE,FALSE))</f>
        <v/>
      </c>
      <c r="AI77" s="25">
        <v>67</v>
      </c>
      <c r="AJ77" s="25"/>
      <c r="AK77" s="25" t="str">
        <f t="array" ref="AK77">IFERROR(INDEX($AI$11:$AI$259, MATCH(0, IF(TRUE=$AF$11:$AF$259, COUNTIF($AK$10:$AK76, $AI$11:$AI$259), ""), 0)),"")</f>
        <v/>
      </c>
      <c r="AL77" s="25" t="str">
        <f t="array" ref="AL77">IFERROR(INDEX($AI$11:$AI$259, MATCH(0, IF(TRUE=$AG$11:$AG$259, COUNTIF($AL$10:$AL76, $AI$11:$AI$259), ""), 0)),"")</f>
        <v/>
      </c>
      <c r="AM77" s="25" t="str">
        <f t="array" ref="AM77">IFERROR(INDEX($AI$11:$AI$259, MATCH(0, IF(TRUE=$AH$11:$AH$259, COUNTIF($AM$10:$AM76, $AI$11:$AI$259), ""), 0)),"")</f>
        <v/>
      </c>
      <c r="AN77" s="25"/>
      <c r="AQ77" s="20">
        <f t="shared" si="11"/>
        <v>0</v>
      </c>
      <c r="AV77" s="540" t="str">
        <f>IFERROR(INDEX('G-1 All Habitats'!$B$3:$B$135,MATCH(F77,'G-1 All Habitats'!$A$3:$A$135,0)),"")</f>
        <v/>
      </c>
      <c r="AW77" s="20" t="str">
        <f>IF(AV77="","",VLOOKUP(AV77,'G-1 All Habitats'!$B$1:$T$135,19,FALSE))</f>
        <v/>
      </c>
    </row>
    <row r="78" spans="1:49" ht="14.5" thickBot="1" x14ac:dyDescent="0.35">
      <c r="A78" s="20" t="str">
        <f>IFERROR(INDEX('G-1 All Habitats'!$AG$3:$AG$17,MATCH(E78,'G-1 All Habitats'!$AF$3:$AF$17,0)),"")</f>
        <v/>
      </c>
      <c r="B78" s="20" t="str">
        <f>IFERROR(INDEX('G-8 Condition Look up'!$I$4:$I$135,MATCH(AV78,'G-8 Condition Look up'!$A$4:$A$135,0)),"")</f>
        <v/>
      </c>
      <c r="D78" s="238">
        <v>68</v>
      </c>
      <c r="E78" s="223"/>
      <c r="F78" s="45"/>
      <c r="G78" s="272"/>
      <c r="H78" s="37"/>
      <c r="I78" s="290" t="str">
        <f>IF(AV78="","",VLOOKUP(AV78,'G-1 All Habitats'!$B$2:$M$135,10,FALSE))</f>
        <v/>
      </c>
      <c r="J78" s="291" t="str">
        <f>IFERROR(VLOOKUP(I78,'G-1 All Habitats'!$V$3:$W$7,2,FALSE),"")</f>
        <v/>
      </c>
      <c r="K78" s="38"/>
      <c r="L78" s="291" t="str">
        <f>IFERROR(INDEX('G-8 Condition Look up'!$A$3:$H$135,MATCH(AV78,'G-8 Condition Look up'!$A$3:$A$135,0),MATCH(K78,'G-8 Condition Look up'!$A$3:$H$3,0)),"")</f>
        <v/>
      </c>
      <c r="M78" s="38"/>
      <c r="N78" s="310" t="str">
        <f>IF(M78="","",IF(VLOOKUP(M78,'G-3 Multipliers'!$L$3:$N$6,2,FALSE)=0,"Spatial Data Missing",VLOOKUP(M78,'G-3 Multipliers'!$L$3:$N$6,2,FALSE)))</f>
        <v/>
      </c>
      <c r="O78" s="296" t="str">
        <f>IF(M78="","",IF(VLOOKUP(M78,'G-3 Multipliers'!$L$3:$N$6,3,FALSE)=0,"Spatial Data Missing ▲",VLOOKUP(M78,'G-3 Multipliers'!$L$3:$N$6,3,FALSE)))</f>
        <v/>
      </c>
      <c r="P78" s="297" t="str">
        <f>(IF(G78="Yes","Bespoke compensation likely to be required 🛠",(IFERROR(VLOOKUP(AV78,'G-1 All Habitats'!$B$2:$M$135,12,FALSE),""))))</f>
        <v/>
      </c>
      <c r="Q78" s="304" t="str">
        <f>IFERROR(IF(AND(E78="Individual trees",T78&gt;0), "Error - you cannot enhance individual trees ▲", (IF(AND(U78="Irreplaceable habitat - no units generated ⚠",(S78+T78)&lt;H78, OR(Y78="No", Y78="")),"Any Loss Unacceptable ⚠", (IF(U78="Irreplaceable habitat - no units generated ⚠", T78*J78*L78*O78, IF(AND(P78='G-1 All Habitats'!$X$3, AC78&gt;0, S78&lt;=0, T78&lt;=0, OR(Y78="No", Y78="")),"Any Loss Unacceptable ⚠", IF(AND(P78='G-1 All Habitats'!$X$3, AC78&gt;0, S78&lt;=0, T78&lt;=0, Y78="Yes"), 0, (IF(AND(P78='G-1 All Habitats'!$X$3,(S78+T78)&lt;H78, OR(Y78="No", Y78="")),"Any Loss Unacceptable ⚠", (IF(P78="","",IF(AND(P78='G-1 All Habitats'!$X$3,T78&gt;0),U78+V78,IF(AND(P78='G-1 All Habitats'!$X$3,S78&gt;0),U78+V78,H78*J78*L78*O78))))))))))))),"Check Data ▲")</f>
        <v/>
      </c>
      <c r="R78" s="23"/>
      <c r="S78" s="38"/>
      <c r="T78" s="39"/>
      <c r="U78" s="302" t="str">
        <f t="shared" si="7"/>
        <v/>
      </c>
      <c r="V78" s="302" t="str">
        <f t="shared" si="8"/>
        <v/>
      </c>
      <c r="W78" s="302" t="str">
        <f>IF(E78="","",IF(H78&lt;S78+T78,"Error in Areas ▲",IF(P78&lt;&gt;'G-1 All Habitats'!$X$3,H78-S78-T78,IF(AND(P78='G-1 All Habitats'!$X$3,Y78="No"),AC78,IF(AND(P78='G-1 All Habitats'!$X$3,Y78=""),AC78,IF(AND(P78='G-1 All Habitats'!$X$3,AC78="None"),AC78,IF(AND(P78='G-1 All Habitats'!$X$3,AC78&gt;0),H78-S78-T78)))))))</f>
        <v/>
      </c>
      <c r="X78" s="306" t="str">
        <f>IFERROR(IF(H78="","",IF(H78-S78-T78=0&lt;0,"Error in Areas ▲",IF(S78+T78&gt;H78,"Error in Areas ▲",IF(AND(P78='G-1 All Habitats'!$X$3,Y78="Yes"),"Alternative Compensation ✓",IF(W78=0,0,IF(P78='G-1 All Habitats'!$X$3,"Any Loss Unacceptable ▲",Q78-U78-V78)))))),"Check Data ▲")</f>
        <v/>
      </c>
      <c r="Y78" s="39"/>
      <c r="Z78" s="46"/>
      <c r="AA78" s="419"/>
      <c r="AB78" s="101"/>
      <c r="AC78" s="495" t="str">
        <f>IF(OR(P78="", Y78="Yes"),"", IF(P78='G-1 All Habitats'!$X$3,H78-S78-T78,"None"))</f>
        <v/>
      </c>
      <c r="AD78" s="496" t="str">
        <f>IF(P78="","", IF(P78='G-1 All Habitats'!$X$3, AC78*J78*L78*O78,"None"))</f>
        <v/>
      </c>
      <c r="AE78" s="20" t="str">
        <f t="shared" si="9"/>
        <v/>
      </c>
      <c r="AF78" s="25" t="str">
        <f t="shared" si="10"/>
        <v/>
      </c>
      <c r="AG78" s="25" t="str">
        <f t="shared" si="6"/>
        <v/>
      </c>
      <c r="AH78" s="25" t="str">
        <f>IF(I78="","",IF(#REF!&gt;0,TRUE,FALSE))</f>
        <v/>
      </c>
      <c r="AI78" s="25">
        <v>68</v>
      </c>
      <c r="AJ78" s="25"/>
      <c r="AK78" s="25" t="str">
        <f t="array" ref="AK78">IFERROR(INDEX($AI$11:$AI$259, MATCH(0, IF(TRUE=$AF$11:$AF$259, COUNTIF($AK$10:$AK77, $AI$11:$AI$259), ""), 0)),"")</f>
        <v/>
      </c>
      <c r="AL78" s="25" t="str">
        <f t="array" ref="AL78">IFERROR(INDEX($AI$11:$AI$259, MATCH(0, IF(TRUE=$AG$11:$AG$259, COUNTIF($AL$10:$AL77, $AI$11:$AI$259), ""), 0)),"")</f>
        <v/>
      </c>
      <c r="AM78" s="25" t="str">
        <f t="array" ref="AM78">IFERROR(INDEX($AI$11:$AI$259, MATCH(0, IF(TRUE=$AH$11:$AH$259, COUNTIF($AM$10:$AM77, $AI$11:$AI$259), ""), 0)),"")</f>
        <v/>
      </c>
      <c r="AN78" s="25"/>
      <c r="AQ78" s="20">
        <f t="shared" si="11"/>
        <v>0</v>
      </c>
      <c r="AV78" s="540" t="str">
        <f>IFERROR(INDEX('G-1 All Habitats'!$B$3:$B$135,MATCH(F78,'G-1 All Habitats'!$A$3:$A$135,0)),"")</f>
        <v/>
      </c>
      <c r="AW78" s="20" t="str">
        <f>IF(AV78="","",VLOOKUP(AV78,'G-1 All Habitats'!$B$1:$T$135,19,FALSE))</f>
        <v/>
      </c>
    </row>
    <row r="79" spans="1:49" ht="14.5" thickBot="1" x14ac:dyDescent="0.35">
      <c r="A79" s="20" t="str">
        <f>IFERROR(INDEX('G-1 All Habitats'!$AG$3:$AG$17,MATCH(E79,'G-1 All Habitats'!$AF$3:$AF$17,0)),"")</f>
        <v/>
      </c>
      <c r="B79" s="20" t="str">
        <f>IFERROR(INDEX('G-8 Condition Look up'!$I$4:$I$135,MATCH(AV79,'G-8 Condition Look up'!$A$4:$A$135,0)),"")</f>
        <v/>
      </c>
      <c r="D79" s="238">
        <v>69</v>
      </c>
      <c r="E79" s="223"/>
      <c r="F79" s="45"/>
      <c r="G79" s="272"/>
      <c r="H79" s="37"/>
      <c r="I79" s="290" t="str">
        <f>IF(AV79="","",VLOOKUP(AV79,'G-1 All Habitats'!$B$2:$M$135,10,FALSE))</f>
        <v/>
      </c>
      <c r="J79" s="291" t="str">
        <f>IFERROR(VLOOKUP(I79,'G-1 All Habitats'!$V$3:$W$7,2,FALSE),"")</f>
        <v/>
      </c>
      <c r="K79" s="38"/>
      <c r="L79" s="291" t="str">
        <f>IFERROR(INDEX('G-8 Condition Look up'!$A$3:$H$135,MATCH(AV79,'G-8 Condition Look up'!$A$3:$A$135,0),MATCH(K79,'G-8 Condition Look up'!$A$3:$H$3,0)),"")</f>
        <v/>
      </c>
      <c r="M79" s="38"/>
      <c r="N79" s="310" t="str">
        <f>IF(M79="","",IF(VLOOKUP(M79,'G-3 Multipliers'!$L$3:$N$6,2,FALSE)=0,"Spatial Data Missing",VLOOKUP(M79,'G-3 Multipliers'!$L$3:$N$6,2,FALSE)))</f>
        <v/>
      </c>
      <c r="O79" s="296" t="str">
        <f>IF(M79="","",IF(VLOOKUP(M79,'G-3 Multipliers'!$L$3:$N$6,3,FALSE)=0,"Spatial Data Missing ▲",VLOOKUP(M79,'G-3 Multipliers'!$L$3:$N$6,3,FALSE)))</f>
        <v/>
      </c>
      <c r="P79" s="297" t="str">
        <f>(IF(G79="Yes","Bespoke compensation likely to be required 🛠",(IFERROR(VLOOKUP(AV79,'G-1 All Habitats'!$B$2:$M$135,12,FALSE),""))))</f>
        <v/>
      </c>
      <c r="Q79" s="304" t="str">
        <f>IFERROR(IF(AND(E79="Individual trees",T79&gt;0), "Error - you cannot enhance individual trees ▲", (IF(AND(U79="Irreplaceable habitat - no units generated ⚠",(S79+T79)&lt;H79, OR(Y79="No", Y79="")),"Any Loss Unacceptable ⚠", (IF(U79="Irreplaceable habitat - no units generated ⚠", T79*J79*L79*O79, IF(AND(P79='G-1 All Habitats'!$X$3, AC79&gt;0, S79&lt;=0, T79&lt;=0, OR(Y79="No", Y79="")),"Any Loss Unacceptable ⚠", IF(AND(P79='G-1 All Habitats'!$X$3, AC79&gt;0, S79&lt;=0, T79&lt;=0, Y79="Yes"), 0, (IF(AND(P79='G-1 All Habitats'!$X$3,(S79+T79)&lt;H79, OR(Y79="No", Y79="")),"Any Loss Unacceptable ⚠", (IF(P79="","",IF(AND(P79='G-1 All Habitats'!$X$3,T79&gt;0),U79+V79,IF(AND(P79='G-1 All Habitats'!$X$3,S79&gt;0),U79+V79,H79*J79*L79*O79))))))))))))),"Check Data ▲")</f>
        <v/>
      </c>
      <c r="R79" s="23"/>
      <c r="S79" s="38"/>
      <c r="T79" s="39"/>
      <c r="U79" s="302" t="str">
        <f t="shared" si="7"/>
        <v/>
      </c>
      <c r="V79" s="302" t="str">
        <f t="shared" si="8"/>
        <v/>
      </c>
      <c r="W79" s="302" t="str">
        <f>IF(E79="","",IF(H79&lt;S79+T79,"Error in Areas ▲",IF(P79&lt;&gt;'G-1 All Habitats'!$X$3,H79-S79-T79,IF(AND(P79='G-1 All Habitats'!$X$3,Y79="No"),AC79,IF(AND(P79='G-1 All Habitats'!$X$3,Y79=""),AC79,IF(AND(P79='G-1 All Habitats'!$X$3,AC79="None"),AC79,IF(AND(P79='G-1 All Habitats'!$X$3,AC79&gt;0),H79-S79-T79)))))))</f>
        <v/>
      </c>
      <c r="X79" s="306" t="str">
        <f>IFERROR(IF(H79="","",IF(H79-S79-T79=0&lt;0,"Error in Areas ▲",IF(S79+T79&gt;H79,"Error in Areas ▲",IF(AND(P79='G-1 All Habitats'!$X$3,Y79="Yes"),"Alternative Compensation ✓",IF(W79=0,0,IF(P79='G-1 All Habitats'!$X$3,"Any Loss Unacceptable ▲",Q79-U79-V79)))))),"Check Data ▲")</f>
        <v/>
      </c>
      <c r="Y79" s="39"/>
      <c r="Z79" s="46"/>
      <c r="AA79" s="419"/>
      <c r="AB79" s="101"/>
      <c r="AC79" s="495" t="str">
        <f>IF(OR(P79="", Y79="Yes"),"", IF(P79='G-1 All Habitats'!$X$3,H79-S79-T79,"None"))</f>
        <v/>
      </c>
      <c r="AD79" s="496" t="str">
        <f>IF(P79="","", IF(P79='G-1 All Habitats'!$X$3, AC79*J79*L79*O79,"None"))</f>
        <v/>
      </c>
      <c r="AE79" s="20" t="str">
        <f t="shared" si="9"/>
        <v/>
      </c>
      <c r="AF79" s="25" t="str">
        <f t="shared" si="10"/>
        <v/>
      </c>
      <c r="AG79" s="25" t="str">
        <f t="shared" si="6"/>
        <v/>
      </c>
      <c r="AH79" s="25" t="str">
        <f>IF(I79="","",IF(#REF!&gt;0,TRUE,FALSE))</f>
        <v/>
      </c>
      <c r="AI79" s="25">
        <v>69</v>
      </c>
      <c r="AJ79" s="25"/>
      <c r="AK79" s="25" t="str">
        <f t="array" ref="AK79">IFERROR(INDEX($AI$11:$AI$259, MATCH(0, IF(TRUE=$AF$11:$AF$259, COUNTIF($AK$10:$AK78, $AI$11:$AI$259), ""), 0)),"")</f>
        <v/>
      </c>
      <c r="AL79" s="25" t="str">
        <f t="array" ref="AL79">IFERROR(INDEX($AI$11:$AI$259, MATCH(0, IF(TRUE=$AG$11:$AG$259, COUNTIF($AL$10:$AL78, $AI$11:$AI$259), ""), 0)),"")</f>
        <v/>
      </c>
      <c r="AM79" s="25" t="str">
        <f t="array" ref="AM79">IFERROR(INDEX($AI$11:$AI$259, MATCH(0, IF(TRUE=$AH$11:$AH$259, COUNTIF($AM$10:$AM78, $AI$11:$AI$259), ""), 0)),"")</f>
        <v/>
      </c>
      <c r="AN79" s="25"/>
      <c r="AQ79" s="20">
        <f t="shared" si="11"/>
        <v>0</v>
      </c>
      <c r="AV79" s="540" t="str">
        <f>IFERROR(INDEX('G-1 All Habitats'!$B$3:$B$135,MATCH(F79,'G-1 All Habitats'!$A$3:$A$135,0)),"")</f>
        <v/>
      </c>
      <c r="AW79" s="20" t="str">
        <f>IF(AV79="","",VLOOKUP(AV79,'G-1 All Habitats'!$B$1:$T$135,19,FALSE))</f>
        <v/>
      </c>
    </row>
    <row r="80" spans="1:49" ht="14.5" thickBot="1" x14ac:dyDescent="0.35">
      <c r="A80" s="20" t="str">
        <f>IFERROR(INDEX('G-1 All Habitats'!$AG$3:$AG$17,MATCH(E80,'G-1 All Habitats'!$AF$3:$AF$17,0)),"")</f>
        <v/>
      </c>
      <c r="B80" s="20" t="str">
        <f>IFERROR(INDEX('G-8 Condition Look up'!$I$4:$I$135,MATCH(AV80,'G-8 Condition Look up'!$A$4:$A$135,0)),"")</f>
        <v/>
      </c>
      <c r="D80" s="238">
        <v>70</v>
      </c>
      <c r="E80" s="223"/>
      <c r="F80" s="45"/>
      <c r="G80" s="272"/>
      <c r="H80" s="37"/>
      <c r="I80" s="290" t="str">
        <f>IF(AV80="","",VLOOKUP(AV80,'G-1 All Habitats'!$B$2:$M$135,10,FALSE))</f>
        <v/>
      </c>
      <c r="J80" s="291" t="str">
        <f>IFERROR(VLOOKUP(I80,'G-1 All Habitats'!$V$3:$W$7,2,FALSE),"")</f>
        <v/>
      </c>
      <c r="K80" s="38"/>
      <c r="L80" s="291" t="str">
        <f>IFERROR(INDEX('G-8 Condition Look up'!$A$3:$H$135,MATCH(AV80,'G-8 Condition Look up'!$A$3:$A$135,0),MATCH(K80,'G-8 Condition Look up'!$A$3:$H$3,0)),"")</f>
        <v/>
      </c>
      <c r="M80" s="38"/>
      <c r="N80" s="310" t="str">
        <f>IF(M80="","",IF(VLOOKUP(M80,'G-3 Multipliers'!$L$3:$N$6,2,FALSE)=0,"Spatial Data Missing",VLOOKUP(M80,'G-3 Multipliers'!$L$3:$N$6,2,FALSE)))</f>
        <v/>
      </c>
      <c r="O80" s="296" t="str">
        <f>IF(M80="","",IF(VLOOKUP(M80,'G-3 Multipliers'!$L$3:$N$6,3,FALSE)=0,"Spatial Data Missing ▲",VLOOKUP(M80,'G-3 Multipliers'!$L$3:$N$6,3,FALSE)))</f>
        <v/>
      </c>
      <c r="P80" s="297" t="str">
        <f>(IF(G80="Yes","Bespoke compensation likely to be required 🛠",(IFERROR(VLOOKUP(AV80,'G-1 All Habitats'!$B$2:$M$135,12,FALSE),""))))</f>
        <v/>
      </c>
      <c r="Q80" s="304" t="str">
        <f>IFERROR(IF(AND(E80="Individual trees",T80&gt;0), "Error - you cannot enhance individual trees ▲", (IF(AND(U80="Irreplaceable habitat - no units generated ⚠",(S80+T80)&lt;H80, OR(Y80="No", Y80="")),"Any Loss Unacceptable ⚠", (IF(U80="Irreplaceable habitat - no units generated ⚠", T80*J80*L80*O80, IF(AND(P80='G-1 All Habitats'!$X$3, AC80&gt;0, S80&lt;=0, T80&lt;=0, OR(Y80="No", Y80="")),"Any Loss Unacceptable ⚠", IF(AND(P80='G-1 All Habitats'!$X$3, AC80&gt;0, S80&lt;=0, T80&lt;=0, Y80="Yes"), 0, (IF(AND(P80='G-1 All Habitats'!$X$3,(S80+T80)&lt;H80, OR(Y80="No", Y80="")),"Any Loss Unacceptable ⚠", (IF(P80="","",IF(AND(P80='G-1 All Habitats'!$X$3,T80&gt;0),U80+V80,IF(AND(P80='G-1 All Habitats'!$X$3,S80&gt;0),U80+V80,H80*J80*L80*O80))))))))))))),"Check Data ▲")</f>
        <v/>
      </c>
      <c r="R80" s="23"/>
      <c r="S80" s="38"/>
      <c r="T80" s="39"/>
      <c r="U80" s="302" t="str">
        <f t="shared" si="7"/>
        <v/>
      </c>
      <c r="V80" s="302" t="str">
        <f t="shared" si="8"/>
        <v/>
      </c>
      <c r="W80" s="302" t="str">
        <f>IF(E80="","",IF(H80&lt;S80+T80,"Error in Areas ▲",IF(P80&lt;&gt;'G-1 All Habitats'!$X$3,H80-S80-T80,IF(AND(P80='G-1 All Habitats'!$X$3,Y80="No"),AC80,IF(AND(P80='G-1 All Habitats'!$X$3,Y80=""),AC80,IF(AND(P80='G-1 All Habitats'!$X$3,AC80="None"),AC80,IF(AND(P80='G-1 All Habitats'!$X$3,AC80&gt;0),H80-S80-T80)))))))</f>
        <v/>
      </c>
      <c r="X80" s="306" t="str">
        <f>IFERROR(IF(H80="","",IF(H80-S80-T80=0&lt;0,"Error in Areas ▲",IF(S80+T80&gt;H80,"Error in Areas ▲",IF(AND(P80='G-1 All Habitats'!$X$3,Y80="Yes"),"Alternative Compensation ✓",IF(W80=0,0,IF(P80='G-1 All Habitats'!$X$3,"Any Loss Unacceptable ▲",Q80-U80-V80)))))),"Check Data ▲")</f>
        <v/>
      </c>
      <c r="Y80" s="39"/>
      <c r="Z80" s="46"/>
      <c r="AA80" s="419"/>
      <c r="AB80" s="101"/>
      <c r="AC80" s="495" t="str">
        <f>IF(OR(P80="", Y80="Yes"),"", IF(P80='G-1 All Habitats'!$X$3,H80-S80-T80,"None"))</f>
        <v/>
      </c>
      <c r="AD80" s="496" t="str">
        <f>IF(P80="","", IF(P80='G-1 All Habitats'!$X$3, AC80*J80*L80*O80,"None"))</f>
        <v/>
      </c>
      <c r="AE80" s="20" t="str">
        <f t="shared" si="9"/>
        <v/>
      </c>
      <c r="AF80" s="25" t="str">
        <f t="shared" si="10"/>
        <v/>
      </c>
      <c r="AG80" s="25" t="str">
        <f t="shared" si="6"/>
        <v/>
      </c>
      <c r="AH80" s="25" t="str">
        <f>IF(I80="","",IF(#REF!&gt;0,TRUE,FALSE))</f>
        <v/>
      </c>
      <c r="AI80" s="25">
        <v>70</v>
      </c>
      <c r="AJ80" s="25"/>
      <c r="AK80" s="25" t="str">
        <f t="array" ref="AK80">IFERROR(INDEX($AI$11:$AI$259, MATCH(0, IF(TRUE=$AF$11:$AF$259, COUNTIF($AK$10:$AK79, $AI$11:$AI$259), ""), 0)),"")</f>
        <v/>
      </c>
      <c r="AL80" s="25" t="str">
        <f t="array" ref="AL80">IFERROR(INDEX($AI$11:$AI$259, MATCH(0, IF(TRUE=$AG$11:$AG$259, COUNTIF($AL$10:$AL79, $AI$11:$AI$259), ""), 0)),"")</f>
        <v/>
      </c>
      <c r="AM80" s="25" t="str">
        <f t="array" ref="AM80">IFERROR(INDEX($AI$11:$AI$259, MATCH(0, IF(TRUE=$AH$11:$AH$259, COUNTIF($AM$10:$AM79, $AI$11:$AI$259), ""), 0)),"")</f>
        <v/>
      </c>
      <c r="AN80" s="25"/>
      <c r="AQ80" s="20">
        <f t="shared" si="11"/>
        <v>0</v>
      </c>
      <c r="AV80" s="540" t="str">
        <f>IFERROR(INDEX('G-1 All Habitats'!$B$3:$B$135,MATCH(F80,'G-1 All Habitats'!$A$3:$A$135,0)),"")</f>
        <v/>
      </c>
      <c r="AW80" s="20" t="str">
        <f>IF(AV80="","",VLOOKUP(AV80,'G-1 All Habitats'!$B$1:$T$135,19,FALSE))</f>
        <v/>
      </c>
    </row>
    <row r="81" spans="1:49" ht="14.5" thickBot="1" x14ac:dyDescent="0.35">
      <c r="A81" s="20" t="str">
        <f>IFERROR(INDEX('G-1 All Habitats'!$AG$3:$AG$17,MATCH(E81,'G-1 All Habitats'!$AF$3:$AF$17,0)),"")</f>
        <v/>
      </c>
      <c r="B81" s="20" t="str">
        <f>IFERROR(INDEX('G-8 Condition Look up'!$I$4:$I$135,MATCH(AV81,'G-8 Condition Look up'!$A$4:$A$135,0)),"")</f>
        <v/>
      </c>
      <c r="D81" s="238">
        <v>71</v>
      </c>
      <c r="E81" s="223"/>
      <c r="F81" s="45"/>
      <c r="G81" s="272"/>
      <c r="H81" s="37"/>
      <c r="I81" s="290" t="str">
        <f>IF(AV81="","",VLOOKUP(AV81,'G-1 All Habitats'!$B$2:$M$135,10,FALSE))</f>
        <v/>
      </c>
      <c r="J81" s="291" t="str">
        <f>IFERROR(VLOOKUP(I81,'G-1 All Habitats'!$V$3:$W$7,2,FALSE),"")</f>
        <v/>
      </c>
      <c r="K81" s="38"/>
      <c r="L81" s="291" t="str">
        <f>IFERROR(INDEX('G-8 Condition Look up'!$A$3:$H$135,MATCH(AV81,'G-8 Condition Look up'!$A$3:$A$135,0),MATCH(K81,'G-8 Condition Look up'!$A$3:$H$3,0)),"")</f>
        <v/>
      </c>
      <c r="M81" s="38"/>
      <c r="N81" s="310" t="str">
        <f>IF(M81="","",IF(VLOOKUP(M81,'G-3 Multipliers'!$L$3:$N$6,2,FALSE)=0,"Spatial Data Missing",VLOOKUP(M81,'G-3 Multipliers'!$L$3:$N$6,2,FALSE)))</f>
        <v/>
      </c>
      <c r="O81" s="296" t="str">
        <f>IF(M81="","",IF(VLOOKUP(M81,'G-3 Multipliers'!$L$3:$N$6,3,FALSE)=0,"Spatial Data Missing ▲",VLOOKUP(M81,'G-3 Multipliers'!$L$3:$N$6,3,FALSE)))</f>
        <v/>
      </c>
      <c r="P81" s="297" t="str">
        <f>(IF(G81="Yes","Bespoke compensation likely to be required 🛠",(IFERROR(VLOOKUP(AV81,'G-1 All Habitats'!$B$2:$M$135,12,FALSE),""))))</f>
        <v/>
      </c>
      <c r="Q81" s="304" t="str">
        <f>IFERROR(IF(AND(E81="Individual trees",T81&gt;0), "Error - you cannot enhance individual trees ▲", (IF(AND(U81="Irreplaceable habitat - no units generated ⚠",(S81+T81)&lt;H81, OR(Y81="No", Y81="")),"Any Loss Unacceptable ⚠", (IF(U81="Irreplaceable habitat - no units generated ⚠", T81*J81*L81*O81, IF(AND(P81='G-1 All Habitats'!$X$3, AC81&gt;0, S81&lt;=0, T81&lt;=0, OR(Y81="No", Y81="")),"Any Loss Unacceptable ⚠", IF(AND(P81='G-1 All Habitats'!$X$3, AC81&gt;0, S81&lt;=0, T81&lt;=0, Y81="Yes"), 0, (IF(AND(P81='G-1 All Habitats'!$X$3,(S81+T81)&lt;H81, OR(Y81="No", Y81="")),"Any Loss Unacceptable ⚠", (IF(P81="","",IF(AND(P81='G-1 All Habitats'!$X$3,T81&gt;0),U81+V81,IF(AND(P81='G-1 All Habitats'!$X$3,S81&gt;0),U81+V81,H81*J81*L81*O81))))))))))))),"Check Data ▲")</f>
        <v/>
      </c>
      <c r="R81" s="23"/>
      <c r="S81" s="38"/>
      <c r="T81" s="39"/>
      <c r="U81" s="302" t="str">
        <f t="shared" si="7"/>
        <v/>
      </c>
      <c r="V81" s="302" t="str">
        <f t="shared" si="8"/>
        <v/>
      </c>
      <c r="W81" s="302" t="str">
        <f>IF(E81="","",IF(H81&lt;S81+T81,"Error in Areas ▲",IF(P81&lt;&gt;'G-1 All Habitats'!$X$3,H81-S81-T81,IF(AND(P81='G-1 All Habitats'!$X$3,Y81="No"),AC81,IF(AND(P81='G-1 All Habitats'!$X$3,Y81=""),AC81,IF(AND(P81='G-1 All Habitats'!$X$3,AC81="None"),AC81,IF(AND(P81='G-1 All Habitats'!$X$3,AC81&gt;0),H81-S81-T81)))))))</f>
        <v/>
      </c>
      <c r="X81" s="306" t="str">
        <f>IFERROR(IF(H81="","",IF(H81-S81-T81=0&lt;0,"Error in Areas ▲",IF(S81+T81&gt;H81,"Error in Areas ▲",IF(AND(P81='G-1 All Habitats'!$X$3,Y81="Yes"),"Alternative Compensation ✓",IF(W81=0,0,IF(P81='G-1 All Habitats'!$X$3,"Any Loss Unacceptable ▲",Q81-U81-V81)))))),"Check Data ▲")</f>
        <v/>
      </c>
      <c r="Y81" s="39"/>
      <c r="Z81" s="46"/>
      <c r="AA81" s="419"/>
      <c r="AB81" s="101"/>
      <c r="AC81" s="495" t="str">
        <f>IF(OR(P81="", Y81="Yes"),"", IF(P81='G-1 All Habitats'!$X$3,H81-S81-T81,"None"))</f>
        <v/>
      </c>
      <c r="AD81" s="496" t="str">
        <f>IF(P81="","", IF(P81='G-1 All Habitats'!$X$3, AC81*J81*L81*O81,"None"))</f>
        <v/>
      </c>
      <c r="AE81" s="20" t="str">
        <f t="shared" si="9"/>
        <v/>
      </c>
      <c r="AF81" s="25" t="str">
        <f t="shared" si="10"/>
        <v/>
      </c>
      <c r="AG81" s="25" t="str">
        <f t="shared" si="6"/>
        <v/>
      </c>
      <c r="AH81" s="25" t="str">
        <f>IF(I81="","",IF(#REF!&gt;0,TRUE,FALSE))</f>
        <v/>
      </c>
      <c r="AI81" s="25">
        <v>71</v>
      </c>
      <c r="AJ81" s="25"/>
      <c r="AK81" s="25" t="str">
        <f t="array" ref="AK81">IFERROR(INDEX($AI$11:$AI$259, MATCH(0, IF(TRUE=$AF$11:$AF$259, COUNTIF($AK$10:$AK80, $AI$11:$AI$259), ""), 0)),"")</f>
        <v/>
      </c>
      <c r="AL81" s="25" t="str">
        <f t="array" ref="AL81">IFERROR(INDEX($AI$11:$AI$259, MATCH(0, IF(TRUE=$AG$11:$AG$259, COUNTIF($AL$10:$AL80, $AI$11:$AI$259), ""), 0)),"")</f>
        <v/>
      </c>
      <c r="AM81" s="25" t="str">
        <f t="array" ref="AM81">IFERROR(INDEX($AI$11:$AI$259, MATCH(0, IF(TRUE=$AH$11:$AH$259, COUNTIF($AM$10:$AM80, $AI$11:$AI$259), ""), 0)),"")</f>
        <v/>
      </c>
      <c r="AN81" s="25"/>
      <c r="AQ81" s="20">
        <f t="shared" si="11"/>
        <v>0</v>
      </c>
      <c r="AV81" s="540" t="str">
        <f>IFERROR(INDEX('G-1 All Habitats'!$B$3:$B$135,MATCH(F81,'G-1 All Habitats'!$A$3:$A$135,0)),"")</f>
        <v/>
      </c>
      <c r="AW81" s="20" t="str">
        <f>IF(AV81="","",VLOOKUP(AV81,'G-1 All Habitats'!$B$1:$T$135,19,FALSE))</f>
        <v/>
      </c>
    </row>
    <row r="82" spans="1:49" ht="14.5" thickBot="1" x14ac:dyDescent="0.35">
      <c r="A82" s="20" t="str">
        <f>IFERROR(INDEX('G-1 All Habitats'!$AG$3:$AG$17,MATCH(E82,'G-1 All Habitats'!$AF$3:$AF$17,0)),"")</f>
        <v/>
      </c>
      <c r="B82" s="20" t="str">
        <f>IFERROR(INDEX('G-8 Condition Look up'!$I$4:$I$135,MATCH(AV82,'G-8 Condition Look up'!$A$4:$A$135,0)),"")</f>
        <v/>
      </c>
      <c r="D82" s="238">
        <v>72</v>
      </c>
      <c r="E82" s="223"/>
      <c r="F82" s="45"/>
      <c r="G82" s="272"/>
      <c r="H82" s="37"/>
      <c r="I82" s="290" t="str">
        <f>IF(AV82="","",VLOOKUP(AV82,'G-1 All Habitats'!$B$2:$M$135,10,FALSE))</f>
        <v/>
      </c>
      <c r="J82" s="291" t="str">
        <f>IFERROR(VLOOKUP(I82,'G-1 All Habitats'!$V$3:$W$7,2,FALSE),"")</f>
        <v/>
      </c>
      <c r="K82" s="38"/>
      <c r="L82" s="291" t="str">
        <f>IFERROR(INDEX('G-8 Condition Look up'!$A$3:$H$135,MATCH(AV82,'G-8 Condition Look up'!$A$3:$A$135,0),MATCH(K82,'G-8 Condition Look up'!$A$3:$H$3,0)),"")</f>
        <v/>
      </c>
      <c r="M82" s="38"/>
      <c r="N82" s="310" t="str">
        <f>IF(M82="","",IF(VLOOKUP(M82,'G-3 Multipliers'!$L$3:$N$6,2,FALSE)=0,"Spatial Data Missing",VLOOKUP(M82,'G-3 Multipliers'!$L$3:$N$6,2,FALSE)))</f>
        <v/>
      </c>
      <c r="O82" s="296" t="str">
        <f>IF(M82="","",IF(VLOOKUP(M82,'G-3 Multipliers'!$L$3:$N$6,3,FALSE)=0,"Spatial Data Missing ▲",VLOOKUP(M82,'G-3 Multipliers'!$L$3:$N$6,3,FALSE)))</f>
        <v/>
      </c>
      <c r="P82" s="297" t="str">
        <f>(IF(G82="Yes","Bespoke compensation likely to be required 🛠",(IFERROR(VLOOKUP(AV82,'G-1 All Habitats'!$B$2:$M$135,12,FALSE),""))))</f>
        <v/>
      </c>
      <c r="Q82" s="304" t="str">
        <f>IFERROR(IF(AND(E82="Individual trees",T82&gt;0), "Error - you cannot enhance individual trees ▲", (IF(AND(U82="Irreplaceable habitat - no units generated ⚠",(S82+T82)&lt;H82, OR(Y82="No", Y82="")),"Any Loss Unacceptable ⚠", (IF(U82="Irreplaceable habitat - no units generated ⚠", T82*J82*L82*O82, IF(AND(P82='G-1 All Habitats'!$X$3, AC82&gt;0, S82&lt;=0, T82&lt;=0, OR(Y82="No", Y82="")),"Any Loss Unacceptable ⚠", IF(AND(P82='G-1 All Habitats'!$X$3, AC82&gt;0, S82&lt;=0, T82&lt;=0, Y82="Yes"), 0, (IF(AND(P82='G-1 All Habitats'!$X$3,(S82+T82)&lt;H82, OR(Y82="No", Y82="")),"Any Loss Unacceptable ⚠", (IF(P82="","",IF(AND(P82='G-1 All Habitats'!$X$3,T82&gt;0),U82+V82,IF(AND(P82='G-1 All Habitats'!$X$3,S82&gt;0),U82+V82,H82*J82*L82*O82))))))))))))),"Check Data ▲")</f>
        <v/>
      </c>
      <c r="R82" s="23"/>
      <c r="S82" s="38"/>
      <c r="T82" s="39"/>
      <c r="U82" s="302" t="str">
        <f t="shared" si="7"/>
        <v/>
      </c>
      <c r="V82" s="302" t="str">
        <f t="shared" si="8"/>
        <v/>
      </c>
      <c r="W82" s="302" t="str">
        <f>IF(E82="","",IF(H82&lt;S82+T82,"Error in Areas ▲",IF(P82&lt;&gt;'G-1 All Habitats'!$X$3,H82-S82-T82,IF(AND(P82='G-1 All Habitats'!$X$3,Y82="No"),AC82,IF(AND(P82='G-1 All Habitats'!$X$3,Y82=""),AC82,IF(AND(P82='G-1 All Habitats'!$X$3,AC82="None"),AC82,IF(AND(P82='G-1 All Habitats'!$X$3,AC82&gt;0),H82-S82-T82)))))))</f>
        <v/>
      </c>
      <c r="X82" s="306" t="str">
        <f>IFERROR(IF(H82="","",IF(H82-S82-T82=0&lt;0,"Error in Areas ▲",IF(S82+T82&gt;H82,"Error in Areas ▲",IF(AND(P82='G-1 All Habitats'!$X$3,Y82="Yes"),"Alternative Compensation ✓",IF(W82=0,0,IF(P82='G-1 All Habitats'!$X$3,"Any Loss Unacceptable ▲",Q82-U82-V82)))))),"Check Data ▲")</f>
        <v/>
      </c>
      <c r="Y82" s="39"/>
      <c r="Z82" s="46"/>
      <c r="AA82" s="419"/>
      <c r="AB82" s="101"/>
      <c r="AC82" s="495" t="str">
        <f>IF(OR(P82="", Y82="Yes"),"", IF(P82='G-1 All Habitats'!$X$3,H82-S82-T82,"None"))</f>
        <v/>
      </c>
      <c r="AD82" s="496" t="str">
        <f>IF(P82="","", IF(P82='G-1 All Habitats'!$X$3, AC82*J82*L82*O82,"None"))</f>
        <v/>
      </c>
      <c r="AE82" s="20" t="str">
        <f t="shared" si="9"/>
        <v/>
      </c>
      <c r="AF82" s="25" t="str">
        <f t="shared" si="10"/>
        <v/>
      </c>
      <c r="AG82" s="25" t="str">
        <f t="shared" si="6"/>
        <v/>
      </c>
      <c r="AH82" s="25" t="str">
        <f>IF(I82="","",IF(#REF!&gt;0,TRUE,FALSE))</f>
        <v/>
      </c>
      <c r="AI82" s="25">
        <v>72</v>
      </c>
      <c r="AJ82" s="25"/>
      <c r="AK82" s="25" t="str">
        <f t="array" ref="AK82">IFERROR(INDEX($AI$11:$AI$259, MATCH(0, IF(TRUE=$AF$11:$AF$259, COUNTIF($AK$10:$AK81, $AI$11:$AI$259), ""), 0)),"")</f>
        <v/>
      </c>
      <c r="AL82" s="25" t="str">
        <f t="array" ref="AL82">IFERROR(INDEX($AI$11:$AI$259, MATCH(0, IF(TRUE=$AG$11:$AG$259, COUNTIF($AL$10:$AL81, $AI$11:$AI$259), ""), 0)),"")</f>
        <v/>
      </c>
      <c r="AM82" s="25" t="str">
        <f t="array" ref="AM82">IFERROR(INDEX($AI$11:$AI$259, MATCH(0, IF(TRUE=$AH$11:$AH$259, COUNTIF($AM$10:$AM81, $AI$11:$AI$259), ""), 0)),"")</f>
        <v/>
      </c>
      <c r="AN82" s="25"/>
      <c r="AQ82" s="20">
        <f t="shared" si="11"/>
        <v>0</v>
      </c>
      <c r="AV82" s="540" t="str">
        <f>IFERROR(INDEX('G-1 All Habitats'!$B$3:$B$135,MATCH(F82,'G-1 All Habitats'!$A$3:$A$135,0)),"")</f>
        <v/>
      </c>
      <c r="AW82" s="20" t="str">
        <f>IF(AV82="","",VLOOKUP(AV82,'G-1 All Habitats'!$B$1:$T$135,19,FALSE))</f>
        <v/>
      </c>
    </row>
    <row r="83" spans="1:49" ht="14.5" thickBot="1" x14ac:dyDescent="0.35">
      <c r="A83" s="20" t="str">
        <f>IFERROR(INDEX('G-1 All Habitats'!$AG$3:$AG$17,MATCH(E83,'G-1 All Habitats'!$AF$3:$AF$17,0)),"")</f>
        <v/>
      </c>
      <c r="B83" s="20" t="str">
        <f>IFERROR(INDEX('G-8 Condition Look up'!$I$4:$I$135,MATCH(AV83,'G-8 Condition Look up'!$A$4:$A$135,0)),"")</f>
        <v/>
      </c>
      <c r="D83" s="238">
        <v>73</v>
      </c>
      <c r="E83" s="223"/>
      <c r="F83" s="45"/>
      <c r="G83" s="272"/>
      <c r="H83" s="37"/>
      <c r="I83" s="290" t="str">
        <f>IF(AV83="","",VLOOKUP(AV83,'G-1 All Habitats'!$B$2:$M$135,10,FALSE))</f>
        <v/>
      </c>
      <c r="J83" s="291" t="str">
        <f>IFERROR(VLOOKUP(I83,'G-1 All Habitats'!$V$3:$W$7,2,FALSE),"")</f>
        <v/>
      </c>
      <c r="K83" s="38"/>
      <c r="L83" s="291" t="str">
        <f>IFERROR(INDEX('G-8 Condition Look up'!$A$3:$H$135,MATCH(AV83,'G-8 Condition Look up'!$A$3:$A$135,0),MATCH(K83,'G-8 Condition Look up'!$A$3:$H$3,0)),"")</f>
        <v/>
      </c>
      <c r="M83" s="38"/>
      <c r="N83" s="310" t="str">
        <f>IF(M83="","",IF(VLOOKUP(M83,'G-3 Multipliers'!$L$3:$N$6,2,FALSE)=0,"Spatial Data Missing",VLOOKUP(M83,'G-3 Multipliers'!$L$3:$N$6,2,FALSE)))</f>
        <v/>
      </c>
      <c r="O83" s="296" t="str">
        <f>IF(M83="","",IF(VLOOKUP(M83,'G-3 Multipliers'!$L$3:$N$6,3,FALSE)=0,"Spatial Data Missing ▲",VLOOKUP(M83,'G-3 Multipliers'!$L$3:$N$6,3,FALSE)))</f>
        <v/>
      </c>
      <c r="P83" s="297" t="str">
        <f>(IF(G83="Yes","Bespoke compensation likely to be required 🛠",(IFERROR(VLOOKUP(AV83,'G-1 All Habitats'!$B$2:$M$135,12,FALSE),""))))</f>
        <v/>
      </c>
      <c r="Q83" s="304" t="str">
        <f>IFERROR(IF(AND(E83="Individual trees",T83&gt;0), "Error - you cannot enhance individual trees ▲", (IF(AND(U83="Irreplaceable habitat - no units generated ⚠",(S83+T83)&lt;H83, OR(Y83="No", Y83="")),"Any Loss Unacceptable ⚠", (IF(U83="Irreplaceable habitat - no units generated ⚠", T83*J83*L83*O83, IF(AND(P83='G-1 All Habitats'!$X$3, AC83&gt;0, S83&lt;=0, T83&lt;=0, OR(Y83="No", Y83="")),"Any Loss Unacceptable ⚠", IF(AND(P83='G-1 All Habitats'!$X$3, AC83&gt;0, S83&lt;=0, T83&lt;=0, Y83="Yes"), 0, (IF(AND(P83='G-1 All Habitats'!$X$3,(S83+T83)&lt;H83, OR(Y83="No", Y83="")),"Any Loss Unacceptable ⚠", (IF(P83="","",IF(AND(P83='G-1 All Habitats'!$X$3,T83&gt;0),U83+V83,IF(AND(P83='G-1 All Habitats'!$X$3,S83&gt;0),U83+V83,H83*J83*L83*O83))))))))))))),"Check Data ▲")</f>
        <v/>
      </c>
      <c r="R83" s="23"/>
      <c r="S83" s="38"/>
      <c r="T83" s="39"/>
      <c r="U83" s="302" t="str">
        <f t="shared" si="7"/>
        <v/>
      </c>
      <c r="V83" s="302" t="str">
        <f t="shared" si="8"/>
        <v/>
      </c>
      <c r="W83" s="302" t="str">
        <f>IF(E83="","",IF(H83&lt;S83+T83,"Error in Areas ▲",IF(P83&lt;&gt;'G-1 All Habitats'!$X$3,H83-S83-T83,IF(AND(P83='G-1 All Habitats'!$X$3,Y83="No"),AC83,IF(AND(P83='G-1 All Habitats'!$X$3,Y83=""),AC83,IF(AND(P83='G-1 All Habitats'!$X$3,AC83="None"),AC83,IF(AND(P83='G-1 All Habitats'!$X$3,AC83&gt;0),H83-S83-T83)))))))</f>
        <v/>
      </c>
      <c r="X83" s="306" t="str">
        <f>IFERROR(IF(H83="","",IF(H83-S83-T83=0&lt;0,"Error in Areas ▲",IF(S83+T83&gt;H83,"Error in Areas ▲",IF(AND(P83='G-1 All Habitats'!$X$3,Y83="Yes"),"Alternative Compensation ✓",IF(W83=0,0,IF(P83='G-1 All Habitats'!$X$3,"Any Loss Unacceptable ▲",Q83-U83-V83)))))),"Check Data ▲")</f>
        <v/>
      </c>
      <c r="Y83" s="39"/>
      <c r="Z83" s="46"/>
      <c r="AA83" s="419"/>
      <c r="AB83" s="101"/>
      <c r="AC83" s="495" t="str">
        <f>IF(OR(P83="", Y83="Yes"),"", IF(P83='G-1 All Habitats'!$X$3,H83-S83-T83,"None"))</f>
        <v/>
      </c>
      <c r="AD83" s="496" t="str">
        <f>IF(P83="","", IF(P83='G-1 All Habitats'!$X$3, AC83*J83*L83*O83,"None"))</f>
        <v/>
      </c>
      <c r="AE83" s="20" t="str">
        <f t="shared" si="9"/>
        <v/>
      </c>
      <c r="AF83" s="25" t="str">
        <f t="shared" si="10"/>
        <v/>
      </c>
      <c r="AG83" s="25" t="str">
        <f t="shared" si="6"/>
        <v/>
      </c>
      <c r="AH83" s="25" t="str">
        <f>IF(I83="","",IF(#REF!&gt;0,TRUE,FALSE))</f>
        <v/>
      </c>
      <c r="AI83" s="25">
        <v>73</v>
      </c>
      <c r="AJ83" s="25"/>
      <c r="AK83" s="25" t="str">
        <f t="array" ref="AK83">IFERROR(INDEX($AI$11:$AI$259, MATCH(0, IF(TRUE=$AF$11:$AF$259, COUNTIF($AK$10:$AK82, $AI$11:$AI$259), ""), 0)),"")</f>
        <v/>
      </c>
      <c r="AL83" s="25" t="str">
        <f t="array" ref="AL83">IFERROR(INDEX($AI$11:$AI$259, MATCH(0, IF(TRUE=$AG$11:$AG$259, COUNTIF($AL$10:$AL82, $AI$11:$AI$259), ""), 0)),"")</f>
        <v/>
      </c>
      <c r="AM83" s="25" t="str">
        <f t="array" ref="AM83">IFERROR(INDEX($AI$11:$AI$259, MATCH(0, IF(TRUE=$AH$11:$AH$259, COUNTIF($AM$10:$AM82, $AI$11:$AI$259), ""), 0)),"")</f>
        <v/>
      </c>
      <c r="AN83" s="25"/>
      <c r="AQ83" s="20">
        <f t="shared" si="11"/>
        <v>0</v>
      </c>
      <c r="AV83" s="540" t="str">
        <f>IFERROR(INDEX('G-1 All Habitats'!$B$3:$B$135,MATCH(F83,'G-1 All Habitats'!$A$3:$A$135,0)),"")</f>
        <v/>
      </c>
      <c r="AW83" s="20" t="str">
        <f>IF(AV83="","",VLOOKUP(AV83,'G-1 All Habitats'!$B$1:$T$135,19,FALSE))</f>
        <v/>
      </c>
    </row>
    <row r="84" spans="1:49" ht="14.5" thickBot="1" x14ac:dyDescent="0.35">
      <c r="A84" s="20" t="str">
        <f>IFERROR(INDEX('G-1 All Habitats'!$AG$3:$AG$17,MATCH(E84,'G-1 All Habitats'!$AF$3:$AF$17,0)),"")</f>
        <v/>
      </c>
      <c r="B84" s="20" t="str">
        <f>IFERROR(INDEX('G-8 Condition Look up'!$I$4:$I$135,MATCH(AV84,'G-8 Condition Look up'!$A$4:$A$135,0)),"")</f>
        <v/>
      </c>
      <c r="D84" s="238">
        <v>74</v>
      </c>
      <c r="E84" s="223"/>
      <c r="F84" s="45"/>
      <c r="G84" s="272"/>
      <c r="H84" s="37"/>
      <c r="I84" s="290" t="str">
        <f>IF(AV84="","",VLOOKUP(AV84,'G-1 All Habitats'!$B$2:$M$135,10,FALSE))</f>
        <v/>
      </c>
      <c r="J84" s="291" t="str">
        <f>IFERROR(VLOOKUP(I84,'G-1 All Habitats'!$V$3:$W$7,2,FALSE),"")</f>
        <v/>
      </c>
      <c r="K84" s="38"/>
      <c r="L84" s="291" t="str">
        <f>IFERROR(INDEX('G-8 Condition Look up'!$A$3:$H$135,MATCH(AV84,'G-8 Condition Look up'!$A$3:$A$135,0),MATCH(K84,'G-8 Condition Look up'!$A$3:$H$3,0)),"")</f>
        <v/>
      </c>
      <c r="M84" s="38"/>
      <c r="N84" s="310" t="str">
        <f>IF(M84="","",IF(VLOOKUP(M84,'G-3 Multipliers'!$L$3:$N$6,2,FALSE)=0,"Spatial Data Missing",VLOOKUP(M84,'G-3 Multipliers'!$L$3:$N$6,2,FALSE)))</f>
        <v/>
      </c>
      <c r="O84" s="296" t="str">
        <f>IF(M84="","",IF(VLOOKUP(M84,'G-3 Multipliers'!$L$3:$N$6,3,FALSE)=0,"Spatial Data Missing ▲",VLOOKUP(M84,'G-3 Multipliers'!$L$3:$N$6,3,FALSE)))</f>
        <v/>
      </c>
      <c r="P84" s="297" t="str">
        <f>(IF(G84="Yes","Bespoke compensation likely to be required 🛠",(IFERROR(VLOOKUP(AV84,'G-1 All Habitats'!$B$2:$M$135,12,FALSE),""))))</f>
        <v/>
      </c>
      <c r="Q84" s="304" t="str">
        <f>IFERROR(IF(AND(E84="Individual trees",T84&gt;0), "Error - you cannot enhance individual trees ▲", (IF(AND(U84="Irreplaceable habitat - no units generated ⚠",(S84+T84)&lt;H84, OR(Y84="No", Y84="")),"Any Loss Unacceptable ⚠", (IF(U84="Irreplaceable habitat - no units generated ⚠", T84*J84*L84*O84, IF(AND(P84='G-1 All Habitats'!$X$3, AC84&gt;0, S84&lt;=0, T84&lt;=0, OR(Y84="No", Y84="")),"Any Loss Unacceptable ⚠", IF(AND(P84='G-1 All Habitats'!$X$3, AC84&gt;0, S84&lt;=0, T84&lt;=0, Y84="Yes"), 0, (IF(AND(P84='G-1 All Habitats'!$X$3,(S84+T84)&lt;H84, OR(Y84="No", Y84="")),"Any Loss Unacceptable ⚠", (IF(P84="","",IF(AND(P84='G-1 All Habitats'!$X$3,T84&gt;0),U84+V84,IF(AND(P84='G-1 All Habitats'!$X$3,S84&gt;0),U84+V84,H84*J84*L84*O84))))))))))))),"Check Data ▲")</f>
        <v/>
      </c>
      <c r="R84" s="23"/>
      <c r="S84" s="38"/>
      <c r="T84" s="39"/>
      <c r="U84" s="302" t="str">
        <f t="shared" si="7"/>
        <v/>
      </c>
      <c r="V84" s="302" t="str">
        <f t="shared" si="8"/>
        <v/>
      </c>
      <c r="W84" s="302" t="str">
        <f>IF(E84="","",IF(H84&lt;S84+T84,"Error in Areas ▲",IF(P84&lt;&gt;'G-1 All Habitats'!$X$3,H84-S84-T84,IF(AND(P84='G-1 All Habitats'!$X$3,Y84="No"),AC84,IF(AND(P84='G-1 All Habitats'!$X$3,Y84=""),AC84,IF(AND(P84='G-1 All Habitats'!$X$3,AC84="None"),AC84,IF(AND(P84='G-1 All Habitats'!$X$3,AC84&gt;0),H84-S84-T84)))))))</f>
        <v/>
      </c>
      <c r="X84" s="306" t="str">
        <f>IFERROR(IF(H84="","",IF(H84-S84-T84=0&lt;0,"Error in Areas ▲",IF(S84+T84&gt;H84,"Error in Areas ▲",IF(AND(P84='G-1 All Habitats'!$X$3,Y84="Yes"),"Alternative Compensation ✓",IF(W84=0,0,IF(P84='G-1 All Habitats'!$X$3,"Any Loss Unacceptable ▲",Q84-U84-V84)))))),"Check Data ▲")</f>
        <v/>
      </c>
      <c r="Y84" s="39"/>
      <c r="Z84" s="46"/>
      <c r="AA84" s="419"/>
      <c r="AB84" s="101"/>
      <c r="AC84" s="495" t="str">
        <f>IF(OR(P84="", Y84="Yes"),"", IF(P84='G-1 All Habitats'!$X$3,H84-S84-T84,"None"))</f>
        <v/>
      </c>
      <c r="AD84" s="496" t="str">
        <f>IF(P84="","", IF(P84='G-1 All Habitats'!$X$3, AC84*J84*L84*O84,"None"))</f>
        <v/>
      </c>
      <c r="AE84" s="20" t="str">
        <f t="shared" si="9"/>
        <v/>
      </c>
      <c r="AF84" s="25" t="str">
        <f t="shared" si="10"/>
        <v/>
      </c>
      <c r="AG84" s="25" t="str">
        <f t="shared" si="6"/>
        <v/>
      </c>
      <c r="AH84" s="25" t="str">
        <f>IF(I84="","",IF(#REF!&gt;0,TRUE,FALSE))</f>
        <v/>
      </c>
      <c r="AI84" s="25">
        <v>74</v>
      </c>
      <c r="AJ84" s="25"/>
      <c r="AK84" s="25" t="str">
        <f t="array" ref="AK84">IFERROR(INDEX($AI$11:$AI$259, MATCH(0, IF(TRUE=$AF$11:$AF$259, COUNTIF($AK$10:$AK83, $AI$11:$AI$259), ""), 0)),"")</f>
        <v/>
      </c>
      <c r="AL84" s="25" t="str">
        <f t="array" ref="AL84">IFERROR(INDEX($AI$11:$AI$259, MATCH(0, IF(TRUE=$AG$11:$AG$259, COUNTIF($AL$10:$AL83, $AI$11:$AI$259), ""), 0)),"")</f>
        <v/>
      </c>
      <c r="AM84" s="25" t="str">
        <f t="array" ref="AM84">IFERROR(INDEX($AI$11:$AI$259, MATCH(0, IF(TRUE=$AH$11:$AH$259, COUNTIF($AM$10:$AM83, $AI$11:$AI$259), ""), 0)),"")</f>
        <v/>
      </c>
      <c r="AN84" s="25"/>
      <c r="AQ84" s="20">
        <f t="shared" si="11"/>
        <v>0</v>
      </c>
      <c r="AV84" s="540" t="str">
        <f>IFERROR(INDEX('G-1 All Habitats'!$B$3:$B$135,MATCH(F84,'G-1 All Habitats'!$A$3:$A$135,0)),"")</f>
        <v/>
      </c>
      <c r="AW84" s="20" t="str">
        <f>IF(AV84="","",VLOOKUP(AV84,'G-1 All Habitats'!$B$1:$T$135,19,FALSE))</f>
        <v/>
      </c>
    </row>
    <row r="85" spans="1:49" ht="14.5" thickBot="1" x14ac:dyDescent="0.35">
      <c r="A85" s="20" t="str">
        <f>IFERROR(INDEX('G-1 All Habitats'!$AG$3:$AG$17,MATCH(E85,'G-1 All Habitats'!$AF$3:$AF$17,0)),"")</f>
        <v/>
      </c>
      <c r="B85" s="20" t="str">
        <f>IFERROR(INDEX('G-8 Condition Look up'!$I$4:$I$135,MATCH(AV85,'G-8 Condition Look up'!$A$4:$A$135,0)),"")</f>
        <v/>
      </c>
      <c r="D85" s="238">
        <v>75</v>
      </c>
      <c r="E85" s="223"/>
      <c r="F85" s="45"/>
      <c r="G85" s="272"/>
      <c r="H85" s="37"/>
      <c r="I85" s="290" t="str">
        <f>IF(AV85="","",VLOOKUP(AV85,'G-1 All Habitats'!$B$2:$M$135,10,FALSE))</f>
        <v/>
      </c>
      <c r="J85" s="291" t="str">
        <f>IFERROR(VLOOKUP(I85,'G-1 All Habitats'!$V$3:$W$7,2,FALSE),"")</f>
        <v/>
      </c>
      <c r="K85" s="38"/>
      <c r="L85" s="291" t="str">
        <f>IFERROR(INDEX('G-8 Condition Look up'!$A$3:$H$135,MATCH(AV85,'G-8 Condition Look up'!$A$3:$A$135,0),MATCH(K85,'G-8 Condition Look up'!$A$3:$H$3,0)),"")</f>
        <v/>
      </c>
      <c r="M85" s="38"/>
      <c r="N85" s="310" t="str">
        <f>IF(M85="","",IF(VLOOKUP(M85,'G-3 Multipliers'!$L$3:$N$6,2,FALSE)=0,"Spatial Data Missing",VLOOKUP(M85,'G-3 Multipliers'!$L$3:$N$6,2,FALSE)))</f>
        <v/>
      </c>
      <c r="O85" s="296" t="str">
        <f>IF(M85="","",IF(VLOOKUP(M85,'G-3 Multipliers'!$L$3:$N$6,3,FALSE)=0,"Spatial Data Missing ▲",VLOOKUP(M85,'G-3 Multipliers'!$L$3:$N$6,3,FALSE)))</f>
        <v/>
      </c>
      <c r="P85" s="297" t="str">
        <f>(IF(G85="Yes","Bespoke compensation likely to be required 🛠",(IFERROR(VLOOKUP(AV85,'G-1 All Habitats'!$B$2:$M$135,12,FALSE),""))))</f>
        <v/>
      </c>
      <c r="Q85" s="304" t="str">
        <f>IFERROR(IF(AND(E85="Individual trees",T85&gt;0), "Error - you cannot enhance individual trees ▲", (IF(AND(U85="Irreplaceable habitat - no units generated ⚠",(S85+T85)&lt;H85, OR(Y85="No", Y85="")),"Any Loss Unacceptable ⚠", (IF(U85="Irreplaceable habitat - no units generated ⚠", T85*J85*L85*O85, IF(AND(P85='G-1 All Habitats'!$X$3, AC85&gt;0, S85&lt;=0, T85&lt;=0, OR(Y85="No", Y85="")),"Any Loss Unacceptable ⚠", IF(AND(P85='G-1 All Habitats'!$X$3, AC85&gt;0, S85&lt;=0, T85&lt;=0, Y85="Yes"), 0, (IF(AND(P85='G-1 All Habitats'!$X$3,(S85+T85)&lt;H85, OR(Y85="No", Y85="")),"Any Loss Unacceptable ⚠", (IF(P85="","",IF(AND(P85='G-1 All Habitats'!$X$3,T85&gt;0),U85+V85,IF(AND(P85='G-1 All Habitats'!$X$3,S85&gt;0),U85+V85,H85*J85*L85*O85))))))))))))),"Check Data ▲")</f>
        <v/>
      </c>
      <c r="R85" s="23"/>
      <c r="S85" s="38"/>
      <c r="T85" s="39"/>
      <c r="U85" s="302" t="str">
        <f t="shared" si="7"/>
        <v/>
      </c>
      <c r="V85" s="302" t="str">
        <f t="shared" si="8"/>
        <v/>
      </c>
      <c r="W85" s="302" t="str">
        <f>IF(E85="","",IF(H85&lt;S85+T85,"Error in Areas ▲",IF(P85&lt;&gt;'G-1 All Habitats'!$X$3,H85-S85-T85,IF(AND(P85='G-1 All Habitats'!$X$3,Y85="No"),AC85,IF(AND(P85='G-1 All Habitats'!$X$3,Y85=""),AC85,IF(AND(P85='G-1 All Habitats'!$X$3,AC85="None"),AC85,IF(AND(P85='G-1 All Habitats'!$X$3,AC85&gt;0),H85-S85-T85)))))))</f>
        <v/>
      </c>
      <c r="X85" s="306" t="str">
        <f>IFERROR(IF(H85="","",IF(H85-S85-T85=0&lt;0,"Error in Areas ▲",IF(S85+T85&gt;H85,"Error in Areas ▲",IF(AND(P85='G-1 All Habitats'!$X$3,Y85="Yes"),"Alternative Compensation ✓",IF(W85=0,0,IF(P85='G-1 All Habitats'!$X$3,"Any Loss Unacceptable ▲",Q85-U85-V85)))))),"Check Data ▲")</f>
        <v/>
      </c>
      <c r="Y85" s="39"/>
      <c r="Z85" s="46"/>
      <c r="AA85" s="419"/>
      <c r="AB85" s="101"/>
      <c r="AC85" s="495" t="str">
        <f>IF(OR(P85="", Y85="Yes"),"", IF(P85='G-1 All Habitats'!$X$3,H85-S85-T85,"None"))</f>
        <v/>
      </c>
      <c r="AD85" s="496" t="str">
        <f>IF(P85="","", IF(P85='G-1 All Habitats'!$X$3, AC85*J85*L85*O85,"None"))</f>
        <v/>
      </c>
      <c r="AE85" s="20" t="str">
        <f t="shared" si="9"/>
        <v/>
      </c>
      <c r="AF85" s="25" t="str">
        <f t="shared" si="10"/>
        <v/>
      </c>
      <c r="AG85" s="25" t="str">
        <f t="shared" si="6"/>
        <v/>
      </c>
      <c r="AH85" s="25" t="str">
        <f>IF(I85="","",IF(#REF!&gt;0,TRUE,FALSE))</f>
        <v/>
      </c>
      <c r="AI85" s="25">
        <v>75</v>
      </c>
      <c r="AJ85" s="25"/>
      <c r="AK85" s="25" t="str">
        <f t="array" ref="AK85">IFERROR(INDEX($AI$11:$AI$259, MATCH(0, IF(TRUE=$AF$11:$AF$259, COUNTIF($AK$10:$AK84, $AI$11:$AI$259), ""), 0)),"")</f>
        <v/>
      </c>
      <c r="AL85" s="25" t="str">
        <f t="array" ref="AL85">IFERROR(INDEX($AI$11:$AI$259, MATCH(0, IF(TRUE=$AG$11:$AG$259, COUNTIF($AL$10:$AL84, $AI$11:$AI$259), ""), 0)),"")</f>
        <v/>
      </c>
      <c r="AM85" s="25" t="str">
        <f t="array" ref="AM85">IFERROR(INDEX($AI$11:$AI$259, MATCH(0, IF(TRUE=$AH$11:$AH$259, COUNTIF($AM$10:$AM84, $AI$11:$AI$259), ""), 0)),"")</f>
        <v/>
      </c>
      <c r="AN85" s="25"/>
      <c r="AQ85" s="20">
        <f t="shared" si="11"/>
        <v>0</v>
      </c>
      <c r="AV85" s="540" t="str">
        <f>IFERROR(INDEX('G-1 All Habitats'!$B$3:$B$135,MATCH(F85,'G-1 All Habitats'!$A$3:$A$135,0)),"")</f>
        <v/>
      </c>
      <c r="AW85" s="20" t="str">
        <f>IF(AV85="","",VLOOKUP(AV85,'G-1 All Habitats'!$B$1:$T$135,19,FALSE))</f>
        <v/>
      </c>
    </row>
    <row r="86" spans="1:49" ht="14.5" thickBot="1" x14ac:dyDescent="0.35">
      <c r="A86" s="20" t="str">
        <f>IFERROR(INDEX('G-1 All Habitats'!$AG$3:$AG$17,MATCH(E86,'G-1 All Habitats'!$AF$3:$AF$17,0)),"")</f>
        <v/>
      </c>
      <c r="B86" s="20" t="str">
        <f>IFERROR(INDEX('G-8 Condition Look up'!$I$4:$I$135,MATCH(AV86,'G-8 Condition Look up'!$A$4:$A$135,0)),"")</f>
        <v/>
      </c>
      <c r="D86" s="238">
        <v>76</v>
      </c>
      <c r="E86" s="223"/>
      <c r="F86" s="45"/>
      <c r="G86" s="272"/>
      <c r="H86" s="37"/>
      <c r="I86" s="290" t="str">
        <f>IF(AV86="","",VLOOKUP(AV86,'G-1 All Habitats'!$B$2:$M$135,10,FALSE))</f>
        <v/>
      </c>
      <c r="J86" s="291" t="str">
        <f>IFERROR(VLOOKUP(I86,'G-1 All Habitats'!$V$3:$W$7,2,FALSE),"")</f>
        <v/>
      </c>
      <c r="K86" s="38"/>
      <c r="L86" s="291" t="str">
        <f>IFERROR(INDEX('G-8 Condition Look up'!$A$3:$H$135,MATCH(AV86,'G-8 Condition Look up'!$A$3:$A$135,0),MATCH(K86,'G-8 Condition Look up'!$A$3:$H$3,0)),"")</f>
        <v/>
      </c>
      <c r="M86" s="38"/>
      <c r="N86" s="310" t="str">
        <f>IF(M86="","",IF(VLOOKUP(M86,'G-3 Multipliers'!$L$3:$N$6,2,FALSE)=0,"Spatial Data Missing",VLOOKUP(M86,'G-3 Multipliers'!$L$3:$N$6,2,FALSE)))</f>
        <v/>
      </c>
      <c r="O86" s="296" t="str">
        <f>IF(M86="","",IF(VLOOKUP(M86,'G-3 Multipliers'!$L$3:$N$6,3,FALSE)=0,"Spatial Data Missing ▲",VLOOKUP(M86,'G-3 Multipliers'!$L$3:$N$6,3,FALSE)))</f>
        <v/>
      </c>
      <c r="P86" s="297" t="str">
        <f>(IF(G86="Yes","Bespoke compensation likely to be required 🛠",(IFERROR(VLOOKUP(AV86,'G-1 All Habitats'!$B$2:$M$135,12,FALSE),""))))</f>
        <v/>
      </c>
      <c r="Q86" s="304" t="str">
        <f>IFERROR(IF(AND(E86="Individual trees",T86&gt;0), "Error - you cannot enhance individual trees ▲", (IF(AND(U86="Irreplaceable habitat - no units generated ⚠",(S86+T86)&lt;H86, OR(Y86="No", Y86="")),"Any Loss Unacceptable ⚠", (IF(U86="Irreplaceable habitat - no units generated ⚠", T86*J86*L86*O86, IF(AND(P86='G-1 All Habitats'!$X$3, AC86&gt;0, S86&lt;=0, T86&lt;=0, OR(Y86="No", Y86="")),"Any Loss Unacceptable ⚠", IF(AND(P86='G-1 All Habitats'!$X$3, AC86&gt;0, S86&lt;=0, T86&lt;=0, Y86="Yes"), 0, (IF(AND(P86='G-1 All Habitats'!$X$3,(S86+T86)&lt;H86, OR(Y86="No", Y86="")),"Any Loss Unacceptable ⚠", (IF(P86="","",IF(AND(P86='G-1 All Habitats'!$X$3,T86&gt;0),U86+V86,IF(AND(P86='G-1 All Habitats'!$X$3,S86&gt;0),U86+V86,H86*J86*L86*O86))))))))))))),"Check Data ▲")</f>
        <v/>
      </c>
      <c r="R86" s="23"/>
      <c r="S86" s="38"/>
      <c r="T86" s="39"/>
      <c r="U86" s="302" t="str">
        <f t="shared" si="7"/>
        <v/>
      </c>
      <c r="V86" s="302" t="str">
        <f t="shared" si="8"/>
        <v/>
      </c>
      <c r="W86" s="302" t="str">
        <f>IF(E86="","",IF(H86&lt;S86+T86,"Error in Areas ▲",IF(P86&lt;&gt;'G-1 All Habitats'!$X$3,H86-S86-T86,IF(AND(P86='G-1 All Habitats'!$X$3,Y86="No"),AC86,IF(AND(P86='G-1 All Habitats'!$X$3,Y86=""),AC86,IF(AND(P86='G-1 All Habitats'!$X$3,AC86="None"),AC86,IF(AND(P86='G-1 All Habitats'!$X$3,AC86&gt;0),H86-S86-T86)))))))</f>
        <v/>
      </c>
      <c r="X86" s="306" t="str">
        <f>IFERROR(IF(H86="","",IF(H86-S86-T86=0&lt;0,"Error in Areas ▲",IF(S86+T86&gt;H86,"Error in Areas ▲",IF(AND(P86='G-1 All Habitats'!$X$3,Y86="Yes"),"Alternative Compensation ✓",IF(W86=0,0,IF(P86='G-1 All Habitats'!$X$3,"Any Loss Unacceptable ▲",Q86-U86-V86)))))),"Check Data ▲")</f>
        <v/>
      </c>
      <c r="Y86" s="39"/>
      <c r="Z86" s="46"/>
      <c r="AA86" s="419"/>
      <c r="AB86" s="101"/>
      <c r="AC86" s="495" t="str">
        <f>IF(OR(P86="", Y86="Yes"),"", IF(P86='G-1 All Habitats'!$X$3,H86-S86-T86,"None"))</f>
        <v/>
      </c>
      <c r="AD86" s="496" t="str">
        <f>IF(P86="","", IF(P86='G-1 All Habitats'!$X$3, AC86*J86*L86*O86,"None"))</f>
        <v/>
      </c>
      <c r="AE86" s="20" t="str">
        <f t="shared" si="9"/>
        <v/>
      </c>
      <c r="AF86" s="25" t="str">
        <f t="shared" si="10"/>
        <v/>
      </c>
      <c r="AG86" s="25" t="str">
        <f t="shared" si="6"/>
        <v/>
      </c>
      <c r="AH86" s="25" t="str">
        <f>IF(I86="","",IF(#REF!&gt;0,TRUE,FALSE))</f>
        <v/>
      </c>
      <c r="AI86" s="25">
        <v>76</v>
      </c>
      <c r="AJ86" s="25"/>
      <c r="AK86" s="25" t="str">
        <f t="array" ref="AK86">IFERROR(INDEX($AI$11:$AI$259, MATCH(0, IF(TRUE=$AF$11:$AF$259, COUNTIF($AK$10:$AK85, $AI$11:$AI$259), ""), 0)),"")</f>
        <v/>
      </c>
      <c r="AL86" s="25" t="str">
        <f t="array" ref="AL86">IFERROR(INDEX($AI$11:$AI$259, MATCH(0, IF(TRUE=$AG$11:$AG$259, COUNTIF($AL$10:$AL85, $AI$11:$AI$259), ""), 0)),"")</f>
        <v/>
      </c>
      <c r="AM86" s="25" t="str">
        <f t="array" ref="AM86">IFERROR(INDEX($AI$11:$AI$259, MATCH(0, IF(TRUE=$AH$11:$AH$259, COUNTIF($AM$10:$AM85, $AI$11:$AI$259), ""), 0)),"")</f>
        <v/>
      </c>
      <c r="AN86" s="25"/>
      <c r="AQ86" s="20">
        <f t="shared" si="11"/>
        <v>0</v>
      </c>
      <c r="AV86" s="540" t="str">
        <f>IFERROR(INDEX('G-1 All Habitats'!$B$3:$B$135,MATCH(F86,'G-1 All Habitats'!$A$3:$A$135,0)),"")</f>
        <v/>
      </c>
      <c r="AW86" s="20" t="str">
        <f>IF(AV86="","",VLOOKUP(AV86,'G-1 All Habitats'!$B$1:$T$135,19,FALSE))</f>
        <v/>
      </c>
    </row>
    <row r="87" spans="1:49" ht="14.5" thickBot="1" x14ac:dyDescent="0.35">
      <c r="A87" s="20" t="str">
        <f>IFERROR(INDEX('G-1 All Habitats'!$AG$3:$AG$17,MATCH(E87,'G-1 All Habitats'!$AF$3:$AF$17,0)),"")</f>
        <v/>
      </c>
      <c r="B87" s="20" t="str">
        <f>IFERROR(INDEX('G-8 Condition Look up'!$I$4:$I$135,MATCH(AV87,'G-8 Condition Look up'!$A$4:$A$135,0)),"")</f>
        <v/>
      </c>
      <c r="D87" s="238">
        <v>77</v>
      </c>
      <c r="E87" s="223"/>
      <c r="F87" s="45"/>
      <c r="G87" s="272"/>
      <c r="H87" s="37"/>
      <c r="I87" s="290" t="str">
        <f>IF(AV87="","",VLOOKUP(AV87,'G-1 All Habitats'!$B$2:$M$135,10,FALSE))</f>
        <v/>
      </c>
      <c r="J87" s="291" t="str">
        <f>IFERROR(VLOOKUP(I87,'G-1 All Habitats'!$V$3:$W$7,2,FALSE),"")</f>
        <v/>
      </c>
      <c r="K87" s="38"/>
      <c r="L87" s="291" t="str">
        <f>IFERROR(INDEX('G-8 Condition Look up'!$A$3:$H$135,MATCH(AV87,'G-8 Condition Look up'!$A$3:$A$135,0),MATCH(K87,'G-8 Condition Look up'!$A$3:$H$3,0)),"")</f>
        <v/>
      </c>
      <c r="M87" s="38"/>
      <c r="N87" s="310" t="str">
        <f>IF(M87="","",IF(VLOOKUP(M87,'G-3 Multipliers'!$L$3:$N$6,2,FALSE)=0,"Spatial Data Missing",VLOOKUP(M87,'G-3 Multipliers'!$L$3:$N$6,2,FALSE)))</f>
        <v/>
      </c>
      <c r="O87" s="296" t="str">
        <f>IF(M87="","",IF(VLOOKUP(M87,'G-3 Multipliers'!$L$3:$N$6,3,FALSE)=0,"Spatial Data Missing ▲",VLOOKUP(M87,'G-3 Multipliers'!$L$3:$N$6,3,FALSE)))</f>
        <v/>
      </c>
      <c r="P87" s="297" t="str">
        <f>(IF(G87="Yes","Bespoke compensation likely to be required 🛠",(IFERROR(VLOOKUP(AV87,'G-1 All Habitats'!$B$2:$M$135,12,FALSE),""))))</f>
        <v/>
      </c>
      <c r="Q87" s="304" t="str">
        <f>IFERROR(IF(AND(E87="Individual trees",T87&gt;0), "Error - you cannot enhance individual trees ▲", (IF(AND(U87="Irreplaceable habitat - no units generated ⚠",(S87+T87)&lt;H87, OR(Y87="No", Y87="")),"Any Loss Unacceptable ⚠", (IF(U87="Irreplaceable habitat - no units generated ⚠", T87*J87*L87*O87, IF(AND(P87='G-1 All Habitats'!$X$3, AC87&gt;0, S87&lt;=0, T87&lt;=0, OR(Y87="No", Y87="")),"Any Loss Unacceptable ⚠", IF(AND(P87='G-1 All Habitats'!$X$3, AC87&gt;0, S87&lt;=0, T87&lt;=0, Y87="Yes"), 0, (IF(AND(P87='G-1 All Habitats'!$X$3,(S87+T87)&lt;H87, OR(Y87="No", Y87="")),"Any Loss Unacceptable ⚠", (IF(P87="","",IF(AND(P87='G-1 All Habitats'!$X$3,T87&gt;0),U87+V87,IF(AND(P87='G-1 All Habitats'!$X$3,S87&gt;0),U87+V87,H87*J87*L87*O87))))))))))))),"Check Data ▲")</f>
        <v/>
      </c>
      <c r="R87" s="23"/>
      <c r="S87" s="38"/>
      <c r="T87" s="39"/>
      <c r="U87" s="302" t="str">
        <f t="shared" si="7"/>
        <v/>
      </c>
      <c r="V87" s="302" t="str">
        <f t="shared" si="8"/>
        <v/>
      </c>
      <c r="W87" s="302" t="str">
        <f>IF(E87="","",IF(H87&lt;S87+T87,"Error in Areas ▲",IF(P87&lt;&gt;'G-1 All Habitats'!$X$3,H87-S87-T87,IF(AND(P87='G-1 All Habitats'!$X$3,Y87="No"),AC87,IF(AND(P87='G-1 All Habitats'!$X$3,Y87=""),AC87,IF(AND(P87='G-1 All Habitats'!$X$3,AC87="None"),AC87,IF(AND(P87='G-1 All Habitats'!$X$3,AC87&gt;0),H87-S87-T87)))))))</f>
        <v/>
      </c>
      <c r="X87" s="306" t="str">
        <f>IFERROR(IF(H87="","",IF(H87-S87-T87=0&lt;0,"Error in Areas ▲",IF(S87+T87&gt;H87,"Error in Areas ▲",IF(AND(P87='G-1 All Habitats'!$X$3,Y87="Yes"),"Alternative Compensation ✓",IF(W87=0,0,IF(P87='G-1 All Habitats'!$X$3,"Any Loss Unacceptable ▲",Q87-U87-V87)))))),"Check Data ▲")</f>
        <v/>
      </c>
      <c r="Y87" s="39"/>
      <c r="Z87" s="46"/>
      <c r="AA87" s="419"/>
      <c r="AB87" s="101"/>
      <c r="AC87" s="495" t="str">
        <f>IF(OR(P87="", Y87="Yes"),"", IF(P87='G-1 All Habitats'!$X$3,H87-S87-T87,"None"))</f>
        <v/>
      </c>
      <c r="AD87" s="496" t="str">
        <f>IF(P87="","", IF(P87='G-1 All Habitats'!$X$3, AC87*J87*L87*O87,"None"))</f>
        <v/>
      </c>
      <c r="AE87" s="20" t="str">
        <f t="shared" si="9"/>
        <v/>
      </c>
      <c r="AF87" s="25" t="str">
        <f t="shared" si="10"/>
        <v/>
      </c>
      <c r="AG87" s="25" t="str">
        <f t="shared" si="6"/>
        <v/>
      </c>
      <c r="AH87" s="25" t="str">
        <f>IF(I87="","",IF(#REF!&gt;0,TRUE,FALSE))</f>
        <v/>
      </c>
      <c r="AI87" s="25">
        <v>77</v>
      </c>
      <c r="AJ87" s="25"/>
      <c r="AK87" s="25" t="str">
        <f t="array" ref="AK87">IFERROR(INDEX($AI$11:$AI$259, MATCH(0, IF(TRUE=$AF$11:$AF$259, COUNTIF($AK$10:$AK86, $AI$11:$AI$259), ""), 0)),"")</f>
        <v/>
      </c>
      <c r="AL87" s="25" t="str">
        <f t="array" ref="AL87">IFERROR(INDEX($AI$11:$AI$259, MATCH(0, IF(TRUE=$AG$11:$AG$259, COUNTIF($AL$10:$AL86, $AI$11:$AI$259), ""), 0)),"")</f>
        <v/>
      </c>
      <c r="AM87" s="25" t="str">
        <f t="array" ref="AM87">IFERROR(INDEX($AI$11:$AI$259, MATCH(0, IF(TRUE=$AH$11:$AH$259, COUNTIF($AM$10:$AM86, $AI$11:$AI$259), ""), 0)),"")</f>
        <v/>
      </c>
      <c r="AN87" s="25"/>
      <c r="AQ87" s="20">
        <f t="shared" si="11"/>
        <v>0</v>
      </c>
      <c r="AV87" s="540" t="str">
        <f>IFERROR(INDEX('G-1 All Habitats'!$B$3:$B$135,MATCH(F87,'G-1 All Habitats'!$A$3:$A$135,0)),"")</f>
        <v/>
      </c>
      <c r="AW87" s="20" t="str">
        <f>IF(AV87="","",VLOOKUP(AV87,'G-1 All Habitats'!$B$1:$T$135,19,FALSE))</f>
        <v/>
      </c>
    </row>
    <row r="88" spans="1:49" ht="14.5" thickBot="1" x14ac:dyDescent="0.35">
      <c r="A88" s="20" t="str">
        <f>IFERROR(INDEX('G-1 All Habitats'!$AG$3:$AG$17,MATCH(E88,'G-1 All Habitats'!$AF$3:$AF$17,0)),"")</f>
        <v/>
      </c>
      <c r="B88" s="20" t="str">
        <f>IFERROR(INDEX('G-8 Condition Look up'!$I$4:$I$135,MATCH(AV88,'G-8 Condition Look up'!$A$4:$A$135,0)),"")</f>
        <v/>
      </c>
      <c r="D88" s="238">
        <v>78</v>
      </c>
      <c r="E88" s="223"/>
      <c r="F88" s="45"/>
      <c r="G88" s="272"/>
      <c r="H88" s="37"/>
      <c r="I88" s="290" t="str">
        <f>IF(AV88="","",VLOOKUP(AV88,'G-1 All Habitats'!$B$2:$M$135,10,FALSE))</f>
        <v/>
      </c>
      <c r="J88" s="291" t="str">
        <f>IFERROR(VLOOKUP(I88,'G-1 All Habitats'!$V$3:$W$7,2,FALSE),"")</f>
        <v/>
      </c>
      <c r="K88" s="38"/>
      <c r="L88" s="291" t="str">
        <f>IFERROR(INDEX('G-8 Condition Look up'!$A$3:$H$135,MATCH(AV88,'G-8 Condition Look up'!$A$3:$A$135,0),MATCH(K88,'G-8 Condition Look up'!$A$3:$H$3,0)),"")</f>
        <v/>
      </c>
      <c r="M88" s="38"/>
      <c r="N88" s="310" t="str">
        <f>IF(M88="","",IF(VLOOKUP(M88,'G-3 Multipliers'!$L$3:$N$6,2,FALSE)=0,"Spatial Data Missing",VLOOKUP(M88,'G-3 Multipliers'!$L$3:$N$6,2,FALSE)))</f>
        <v/>
      </c>
      <c r="O88" s="296" t="str">
        <f>IF(M88="","",IF(VLOOKUP(M88,'G-3 Multipliers'!$L$3:$N$6,3,FALSE)=0,"Spatial Data Missing ▲",VLOOKUP(M88,'G-3 Multipliers'!$L$3:$N$6,3,FALSE)))</f>
        <v/>
      </c>
      <c r="P88" s="297" t="str">
        <f>(IF(G88="Yes","Bespoke compensation likely to be required 🛠",(IFERROR(VLOOKUP(AV88,'G-1 All Habitats'!$B$2:$M$135,12,FALSE),""))))</f>
        <v/>
      </c>
      <c r="Q88" s="304" t="str">
        <f>IFERROR(IF(AND(E88="Individual trees",T88&gt;0), "Error - you cannot enhance individual trees ▲", (IF(AND(U88="Irreplaceable habitat - no units generated ⚠",(S88+T88)&lt;H88, OR(Y88="No", Y88="")),"Any Loss Unacceptable ⚠", (IF(U88="Irreplaceable habitat - no units generated ⚠", T88*J88*L88*O88, IF(AND(P88='G-1 All Habitats'!$X$3, AC88&gt;0, S88&lt;=0, T88&lt;=0, OR(Y88="No", Y88="")),"Any Loss Unacceptable ⚠", IF(AND(P88='G-1 All Habitats'!$X$3, AC88&gt;0, S88&lt;=0, T88&lt;=0, Y88="Yes"), 0, (IF(AND(P88='G-1 All Habitats'!$X$3,(S88+T88)&lt;H88, OR(Y88="No", Y88="")),"Any Loss Unacceptable ⚠", (IF(P88="","",IF(AND(P88='G-1 All Habitats'!$X$3,T88&gt;0),U88+V88,IF(AND(P88='G-1 All Habitats'!$X$3,S88&gt;0),U88+V88,H88*J88*L88*O88))))))))))))),"Check Data ▲")</f>
        <v/>
      </c>
      <c r="R88" s="23"/>
      <c r="S88" s="38"/>
      <c r="T88" s="39"/>
      <c r="U88" s="302" t="str">
        <f t="shared" si="7"/>
        <v/>
      </c>
      <c r="V88" s="302" t="str">
        <f t="shared" si="8"/>
        <v/>
      </c>
      <c r="W88" s="302" t="str">
        <f>IF(E88="","",IF(H88&lt;S88+T88,"Error in Areas ▲",IF(P88&lt;&gt;'G-1 All Habitats'!$X$3,H88-S88-T88,IF(AND(P88='G-1 All Habitats'!$X$3,Y88="No"),AC88,IF(AND(P88='G-1 All Habitats'!$X$3,Y88=""),AC88,IF(AND(P88='G-1 All Habitats'!$X$3,AC88="None"),AC88,IF(AND(P88='G-1 All Habitats'!$X$3,AC88&gt;0),H88-S88-T88)))))))</f>
        <v/>
      </c>
      <c r="X88" s="306" t="str">
        <f>IFERROR(IF(H88="","",IF(H88-S88-T88=0&lt;0,"Error in Areas ▲",IF(S88+T88&gt;H88,"Error in Areas ▲",IF(AND(P88='G-1 All Habitats'!$X$3,Y88="Yes"),"Alternative Compensation ✓",IF(W88=0,0,IF(P88='G-1 All Habitats'!$X$3,"Any Loss Unacceptable ▲",Q88-U88-V88)))))),"Check Data ▲")</f>
        <v/>
      </c>
      <c r="Y88" s="39"/>
      <c r="Z88" s="46"/>
      <c r="AA88" s="419"/>
      <c r="AB88" s="101"/>
      <c r="AC88" s="495" t="str">
        <f>IF(OR(P88="", Y88="Yes"),"", IF(P88='G-1 All Habitats'!$X$3,H88-S88-T88,"None"))</f>
        <v/>
      </c>
      <c r="AD88" s="496" t="str">
        <f>IF(P88="","", IF(P88='G-1 All Habitats'!$X$3, AC88*J88*L88*O88,"None"))</f>
        <v/>
      </c>
      <c r="AE88" s="20" t="str">
        <f t="shared" si="9"/>
        <v/>
      </c>
      <c r="AF88" s="25" t="str">
        <f t="shared" si="10"/>
        <v/>
      </c>
      <c r="AG88" s="25" t="str">
        <f t="shared" si="6"/>
        <v/>
      </c>
      <c r="AH88" s="25" t="str">
        <f>IF(I88="","",IF(#REF!&gt;0,TRUE,FALSE))</f>
        <v/>
      </c>
      <c r="AI88" s="25">
        <v>78</v>
      </c>
      <c r="AJ88" s="25"/>
      <c r="AK88" s="25" t="str">
        <f t="array" ref="AK88">IFERROR(INDEX($AI$11:$AI$259, MATCH(0, IF(TRUE=$AF$11:$AF$259, COUNTIF($AK$10:$AK87, $AI$11:$AI$259), ""), 0)),"")</f>
        <v/>
      </c>
      <c r="AL88" s="25" t="str">
        <f t="array" ref="AL88">IFERROR(INDEX($AI$11:$AI$259, MATCH(0, IF(TRUE=$AG$11:$AG$259, COUNTIF($AL$10:$AL87, $AI$11:$AI$259), ""), 0)),"")</f>
        <v/>
      </c>
      <c r="AM88" s="25" t="str">
        <f t="array" ref="AM88">IFERROR(INDEX($AI$11:$AI$259, MATCH(0, IF(TRUE=$AH$11:$AH$259, COUNTIF($AM$10:$AM87, $AI$11:$AI$259), ""), 0)),"")</f>
        <v/>
      </c>
      <c r="AN88" s="25"/>
      <c r="AQ88" s="20">
        <f t="shared" si="11"/>
        <v>0</v>
      </c>
      <c r="AV88" s="540" t="str">
        <f>IFERROR(INDEX('G-1 All Habitats'!$B$3:$B$135,MATCH(F88,'G-1 All Habitats'!$A$3:$A$135,0)),"")</f>
        <v/>
      </c>
      <c r="AW88" s="20" t="str">
        <f>IF(AV88="","",VLOOKUP(AV88,'G-1 All Habitats'!$B$1:$T$135,19,FALSE))</f>
        <v/>
      </c>
    </row>
    <row r="89" spans="1:49" ht="14.5" thickBot="1" x14ac:dyDescent="0.35">
      <c r="A89" s="20" t="str">
        <f>IFERROR(INDEX('G-1 All Habitats'!$AG$3:$AG$17,MATCH(E89,'G-1 All Habitats'!$AF$3:$AF$17,0)),"")</f>
        <v/>
      </c>
      <c r="B89" s="20" t="str">
        <f>IFERROR(INDEX('G-8 Condition Look up'!$I$4:$I$135,MATCH(AV89,'G-8 Condition Look up'!$A$4:$A$135,0)),"")</f>
        <v/>
      </c>
      <c r="D89" s="238">
        <v>79</v>
      </c>
      <c r="E89" s="223"/>
      <c r="F89" s="45"/>
      <c r="G89" s="272"/>
      <c r="H89" s="37"/>
      <c r="I89" s="290" t="str">
        <f>IF(AV89="","",VLOOKUP(AV89,'G-1 All Habitats'!$B$2:$M$135,10,FALSE))</f>
        <v/>
      </c>
      <c r="J89" s="291" t="str">
        <f>IFERROR(VLOOKUP(I89,'G-1 All Habitats'!$V$3:$W$7,2,FALSE),"")</f>
        <v/>
      </c>
      <c r="K89" s="38"/>
      <c r="L89" s="291" t="str">
        <f>IFERROR(INDEX('G-8 Condition Look up'!$A$3:$H$135,MATCH(AV89,'G-8 Condition Look up'!$A$3:$A$135,0),MATCH(K89,'G-8 Condition Look up'!$A$3:$H$3,0)),"")</f>
        <v/>
      </c>
      <c r="M89" s="38"/>
      <c r="N89" s="310" t="str">
        <f>IF(M89="","",IF(VLOOKUP(M89,'G-3 Multipliers'!$L$3:$N$6,2,FALSE)=0,"Spatial Data Missing",VLOOKUP(M89,'G-3 Multipliers'!$L$3:$N$6,2,FALSE)))</f>
        <v/>
      </c>
      <c r="O89" s="296" t="str">
        <f>IF(M89="","",IF(VLOOKUP(M89,'G-3 Multipliers'!$L$3:$N$6,3,FALSE)=0,"Spatial Data Missing ▲",VLOOKUP(M89,'G-3 Multipliers'!$L$3:$N$6,3,FALSE)))</f>
        <v/>
      </c>
      <c r="P89" s="297" t="str">
        <f>(IF(G89="Yes","Bespoke compensation likely to be required 🛠",(IFERROR(VLOOKUP(AV89,'G-1 All Habitats'!$B$2:$M$135,12,FALSE),""))))</f>
        <v/>
      </c>
      <c r="Q89" s="304" t="str">
        <f>IFERROR(IF(AND(E89="Individual trees",T89&gt;0), "Error - you cannot enhance individual trees ▲", (IF(AND(U89="Irreplaceable habitat - no units generated ⚠",(S89+T89)&lt;H89, OR(Y89="No", Y89="")),"Any Loss Unacceptable ⚠", (IF(U89="Irreplaceable habitat - no units generated ⚠", T89*J89*L89*O89, IF(AND(P89='G-1 All Habitats'!$X$3, AC89&gt;0, S89&lt;=0, T89&lt;=0, OR(Y89="No", Y89="")),"Any Loss Unacceptable ⚠", IF(AND(P89='G-1 All Habitats'!$X$3, AC89&gt;0, S89&lt;=0, T89&lt;=0, Y89="Yes"), 0, (IF(AND(P89='G-1 All Habitats'!$X$3,(S89+T89)&lt;H89, OR(Y89="No", Y89="")),"Any Loss Unacceptable ⚠", (IF(P89="","",IF(AND(P89='G-1 All Habitats'!$X$3,T89&gt;0),U89+V89,IF(AND(P89='G-1 All Habitats'!$X$3,S89&gt;0),U89+V89,H89*J89*L89*O89))))))))))))),"Check Data ▲")</f>
        <v/>
      </c>
      <c r="R89" s="23"/>
      <c r="S89" s="38"/>
      <c r="T89" s="39"/>
      <c r="U89" s="302" t="str">
        <f t="shared" si="7"/>
        <v/>
      </c>
      <c r="V89" s="302" t="str">
        <f t="shared" si="8"/>
        <v/>
      </c>
      <c r="W89" s="302" t="str">
        <f>IF(E89="","",IF(H89&lt;S89+T89,"Error in Areas ▲",IF(P89&lt;&gt;'G-1 All Habitats'!$X$3,H89-S89-T89,IF(AND(P89='G-1 All Habitats'!$X$3,Y89="No"),AC89,IF(AND(P89='G-1 All Habitats'!$X$3,Y89=""),AC89,IF(AND(P89='G-1 All Habitats'!$X$3,AC89="None"),AC89,IF(AND(P89='G-1 All Habitats'!$X$3,AC89&gt;0),H89-S89-T89)))))))</f>
        <v/>
      </c>
      <c r="X89" s="306" t="str">
        <f>IFERROR(IF(H89="","",IF(H89-S89-T89=0&lt;0,"Error in Areas ▲",IF(S89+T89&gt;H89,"Error in Areas ▲",IF(AND(P89='G-1 All Habitats'!$X$3,Y89="Yes"),"Alternative Compensation ✓",IF(W89=0,0,IF(P89='G-1 All Habitats'!$X$3,"Any Loss Unacceptable ▲",Q89-U89-V89)))))),"Check Data ▲")</f>
        <v/>
      </c>
      <c r="Y89" s="39"/>
      <c r="Z89" s="46"/>
      <c r="AA89" s="419"/>
      <c r="AB89" s="101"/>
      <c r="AC89" s="495" t="str">
        <f>IF(OR(P89="", Y89="Yes"),"", IF(P89='G-1 All Habitats'!$X$3,H89-S89-T89,"None"))</f>
        <v/>
      </c>
      <c r="AD89" s="496" t="str">
        <f>IF(P89="","", IF(P89='G-1 All Habitats'!$X$3, AC89*J89*L89*O89,"None"))</f>
        <v/>
      </c>
      <c r="AE89" s="20" t="str">
        <f t="shared" si="9"/>
        <v/>
      </c>
      <c r="AF89" s="25" t="str">
        <f t="shared" si="10"/>
        <v/>
      </c>
      <c r="AG89" s="25" t="str">
        <f t="shared" si="6"/>
        <v/>
      </c>
      <c r="AH89" s="25" t="str">
        <f>IF(I89="","",IF(#REF!&gt;0,TRUE,FALSE))</f>
        <v/>
      </c>
      <c r="AI89" s="25">
        <v>79</v>
      </c>
      <c r="AJ89" s="25"/>
      <c r="AK89" s="25" t="str">
        <f t="array" ref="AK89">IFERROR(INDEX($AI$11:$AI$259, MATCH(0, IF(TRUE=$AF$11:$AF$259, COUNTIF($AK$10:$AK88, $AI$11:$AI$259), ""), 0)),"")</f>
        <v/>
      </c>
      <c r="AL89" s="25" t="str">
        <f t="array" ref="AL89">IFERROR(INDEX($AI$11:$AI$259, MATCH(0, IF(TRUE=$AG$11:$AG$259, COUNTIF($AL$10:$AL88, $AI$11:$AI$259), ""), 0)),"")</f>
        <v/>
      </c>
      <c r="AM89" s="25" t="str">
        <f t="array" ref="AM89">IFERROR(INDEX($AI$11:$AI$259, MATCH(0, IF(TRUE=$AH$11:$AH$259, COUNTIF($AM$10:$AM88, $AI$11:$AI$259), ""), 0)),"")</f>
        <v/>
      </c>
      <c r="AN89" s="25"/>
      <c r="AQ89" s="20">
        <f t="shared" si="11"/>
        <v>0</v>
      </c>
      <c r="AV89" s="540" t="str">
        <f>IFERROR(INDEX('G-1 All Habitats'!$B$3:$B$135,MATCH(F89,'G-1 All Habitats'!$A$3:$A$135,0)),"")</f>
        <v/>
      </c>
      <c r="AW89" s="20" t="str">
        <f>IF(AV89="","",VLOOKUP(AV89,'G-1 All Habitats'!$B$1:$T$135,19,FALSE))</f>
        <v/>
      </c>
    </row>
    <row r="90" spans="1:49" ht="14.5" thickBot="1" x14ac:dyDescent="0.35">
      <c r="A90" s="20" t="str">
        <f>IFERROR(INDEX('G-1 All Habitats'!$AG$3:$AG$17,MATCH(E90,'G-1 All Habitats'!$AF$3:$AF$17,0)),"")</f>
        <v/>
      </c>
      <c r="B90" s="20" t="str">
        <f>IFERROR(INDEX('G-8 Condition Look up'!$I$4:$I$135,MATCH(AV90,'G-8 Condition Look up'!$A$4:$A$135,0)),"")</f>
        <v/>
      </c>
      <c r="D90" s="238">
        <v>80</v>
      </c>
      <c r="E90" s="223"/>
      <c r="F90" s="45"/>
      <c r="G90" s="272"/>
      <c r="H90" s="37"/>
      <c r="I90" s="290" t="str">
        <f>IF(AV90="","",VLOOKUP(AV90,'G-1 All Habitats'!$B$2:$M$135,10,FALSE))</f>
        <v/>
      </c>
      <c r="J90" s="291" t="str">
        <f>IFERROR(VLOOKUP(I90,'G-1 All Habitats'!$V$3:$W$7,2,FALSE),"")</f>
        <v/>
      </c>
      <c r="K90" s="38"/>
      <c r="L90" s="291" t="str">
        <f>IFERROR(INDEX('G-8 Condition Look up'!$A$3:$H$135,MATCH(AV90,'G-8 Condition Look up'!$A$3:$A$135,0),MATCH(K90,'G-8 Condition Look up'!$A$3:$H$3,0)),"")</f>
        <v/>
      </c>
      <c r="M90" s="38"/>
      <c r="N90" s="310" t="str">
        <f>IF(M90="","",IF(VLOOKUP(M90,'G-3 Multipliers'!$L$3:$N$6,2,FALSE)=0,"Spatial Data Missing",VLOOKUP(M90,'G-3 Multipliers'!$L$3:$N$6,2,FALSE)))</f>
        <v/>
      </c>
      <c r="O90" s="296" t="str">
        <f>IF(M90="","",IF(VLOOKUP(M90,'G-3 Multipliers'!$L$3:$N$6,3,FALSE)=0,"Spatial Data Missing ▲",VLOOKUP(M90,'G-3 Multipliers'!$L$3:$N$6,3,FALSE)))</f>
        <v/>
      </c>
      <c r="P90" s="297" t="str">
        <f>(IF(G90="Yes","Bespoke compensation likely to be required 🛠",(IFERROR(VLOOKUP(AV90,'G-1 All Habitats'!$B$2:$M$135,12,FALSE),""))))</f>
        <v/>
      </c>
      <c r="Q90" s="304" t="str">
        <f>IFERROR(IF(AND(E90="Individual trees",T90&gt;0), "Error - you cannot enhance individual trees ▲", (IF(AND(U90="Irreplaceable habitat - no units generated ⚠",(S90+T90)&lt;H90, OR(Y90="No", Y90="")),"Any Loss Unacceptable ⚠", (IF(U90="Irreplaceable habitat - no units generated ⚠", T90*J90*L90*O90, IF(AND(P90='G-1 All Habitats'!$X$3, AC90&gt;0, S90&lt;=0, T90&lt;=0, OR(Y90="No", Y90="")),"Any Loss Unacceptable ⚠", IF(AND(P90='G-1 All Habitats'!$X$3, AC90&gt;0, S90&lt;=0, T90&lt;=0, Y90="Yes"), 0, (IF(AND(P90='G-1 All Habitats'!$X$3,(S90+T90)&lt;H90, OR(Y90="No", Y90="")),"Any Loss Unacceptable ⚠", (IF(P90="","",IF(AND(P90='G-1 All Habitats'!$X$3,T90&gt;0),U90+V90,IF(AND(P90='G-1 All Habitats'!$X$3,S90&gt;0),U90+V90,H90*J90*L90*O90))))))))))))),"Check Data ▲")</f>
        <v/>
      </c>
      <c r="R90" s="23"/>
      <c r="S90" s="38"/>
      <c r="T90" s="39"/>
      <c r="U90" s="302" t="str">
        <f t="shared" si="7"/>
        <v/>
      </c>
      <c r="V90" s="302" t="str">
        <f t="shared" si="8"/>
        <v/>
      </c>
      <c r="W90" s="302" t="str">
        <f>IF(E90="","",IF(H90&lt;S90+T90,"Error in Areas ▲",IF(P90&lt;&gt;'G-1 All Habitats'!$X$3,H90-S90-T90,IF(AND(P90='G-1 All Habitats'!$X$3,Y90="No"),AC90,IF(AND(P90='G-1 All Habitats'!$X$3,Y90=""),AC90,IF(AND(P90='G-1 All Habitats'!$X$3,AC90="None"),AC90,IF(AND(P90='G-1 All Habitats'!$X$3,AC90&gt;0),H90-S90-T90)))))))</f>
        <v/>
      </c>
      <c r="X90" s="306" t="str">
        <f>IFERROR(IF(H90="","",IF(H90-S90-T90=0&lt;0,"Error in Areas ▲",IF(S90+T90&gt;H90,"Error in Areas ▲",IF(AND(P90='G-1 All Habitats'!$X$3,Y90="Yes"),"Alternative Compensation ✓",IF(W90=0,0,IF(P90='G-1 All Habitats'!$X$3,"Any Loss Unacceptable ▲",Q90-U90-V90)))))),"Check Data ▲")</f>
        <v/>
      </c>
      <c r="Y90" s="39"/>
      <c r="Z90" s="46"/>
      <c r="AA90" s="419"/>
      <c r="AB90" s="101"/>
      <c r="AC90" s="495" t="str">
        <f>IF(OR(P90="", Y90="Yes"),"", IF(P90='G-1 All Habitats'!$X$3,H90-S90-T90,"None"))</f>
        <v/>
      </c>
      <c r="AD90" s="496" t="str">
        <f>IF(P90="","", IF(P90='G-1 All Habitats'!$X$3, AC90*J90*L90*O90,"None"))</f>
        <v/>
      </c>
      <c r="AE90" s="20" t="str">
        <f t="shared" si="9"/>
        <v/>
      </c>
      <c r="AF90" s="25" t="str">
        <f t="shared" si="10"/>
        <v/>
      </c>
      <c r="AG90" s="25" t="str">
        <f t="shared" si="6"/>
        <v/>
      </c>
      <c r="AH90" s="25" t="str">
        <f>IF(I90="","",IF(#REF!&gt;0,TRUE,FALSE))</f>
        <v/>
      </c>
      <c r="AI90" s="25">
        <v>80</v>
      </c>
      <c r="AJ90" s="25"/>
      <c r="AK90" s="25" t="str">
        <f t="array" ref="AK90">IFERROR(INDEX($AI$11:$AI$259, MATCH(0, IF(TRUE=$AF$11:$AF$259, COUNTIF($AK$10:$AK89, $AI$11:$AI$259), ""), 0)),"")</f>
        <v/>
      </c>
      <c r="AL90" s="25" t="str">
        <f t="array" ref="AL90">IFERROR(INDEX($AI$11:$AI$259, MATCH(0, IF(TRUE=$AG$11:$AG$259, COUNTIF($AL$10:$AL89, $AI$11:$AI$259), ""), 0)),"")</f>
        <v/>
      </c>
      <c r="AM90" s="25" t="str">
        <f t="array" ref="AM90">IFERROR(INDEX($AI$11:$AI$259, MATCH(0, IF(TRUE=$AH$11:$AH$259, COUNTIF($AM$10:$AM89, $AI$11:$AI$259), ""), 0)),"")</f>
        <v/>
      </c>
      <c r="AN90" s="25"/>
      <c r="AQ90" s="20">
        <f t="shared" si="11"/>
        <v>0</v>
      </c>
      <c r="AV90" s="540" t="str">
        <f>IFERROR(INDEX('G-1 All Habitats'!$B$3:$B$135,MATCH(F90,'G-1 All Habitats'!$A$3:$A$135,0)),"")</f>
        <v/>
      </c>
      <c r="AW90" s="20" t="str">
        <f>IF(AV90="","",VLOOKUP(AV90,'G-1 All Habitats'!$B$1:$T$135,19,FALSE))</f>
        <v/>
      </c>
    </row>
    <row r="91" spans="1:49" ht="14.5" thickBot="1" x14ac:dyDescent="0.35">
      <c r="A91" s="20" t="str">
        <f>IFERROR(INDEX('G-1 All Habitats'!$AG$3:$AG$17,MATCH(E91,'G-1 All Habitats'!$AF$3:$AF$17,0)),"")</f>
        <v/>
      </c>
      <c r="B91" s="20" t="str">
        <f>IFERROR(INDEX('G-8 Condition Look up'!$I$4:$I$135,MATCH(AV91,'G-8 Condition Look up'!$A$4:$A$135,0)),"")</f>
        <v/>
      </c>
      <c r="D91" s="238">
        <v>81</v>
      </c>
      <c r="E91" s="223"/>
      <c r="F91" s="45"/>
      <c r="G91" s="272"/>
      <c r="H91" s="37"/>
      <c r="I91" s="290" t="str">
        <f>IF(AV91="","",VLOOKUP(AV91,'G-1 All Habitats'!$B$2:$M$135,10,FALSE))</f>
        <v/>
      </c>
      <c r="J91" s="291" t="str">
        <f>IFERROR(VLOOKUP(I91,'G-1 All Habitats'!$V$3:$W$7,2,FALSE),"")</f>
        <v/>
      </c>
      <c r="K91" s="38"/>
      <c r="L91" s="291" t="str">
        <f>IFERROR(INDEX('G-8 Condition Look up'!$A$3:$H$135,MATCH(AV91,'G-8 Condition Look up'!$A$3:$A$135,0),MATCH(K91,'G-8 Condition Look up'!$A$3:$H$3,0)),"")</f>
        <v/>
      </c>
      <c r="M91" s="38"/>
      <c r="N91" s="310" t="str">
        <f>IF(M91="","",IF(VLOOKUP(M91,'G-3 Multipliers'!$L$3:$N$6,2,FALSE)=0,"Spatial Data Missing",VLOOKUP(M91,'G-3 Multipliers'!$L$3:$N$6,2,FALSE)))</f>
        <v/>
      </c>
      <c r="O91" s="296" t="str">
        <f>IF(M91="","",IF(VLOOKUP(M91,'G-3 Multipliers'!$L$3:$N$6,3,FALSE)=0,"Spatial Data Missing ▲",VLOOKUP(M91,'G-3 Multipliers'!$L$3:$N$6,3,FALSE)))</f>
        <v/>
      </c>
      <c r="P91" s="297" t="str">
        <f>(IF(G91="Yes","Bespoke compensation likely to be required 🛠",(IFERROR(VLOOKUP(AV91,'G-1 All Habitats'!$B$2:$M$135,12,FALSE),""))))</f>
        <v/>
      </c>
      <c r="Q91" s="304" t="str">
        <f>IFERROR(IF(AND(E91="Individual trees",T91&gt;0), "Error - you cannot enhance individual trees ▲", (IF(AND(U91="Irreplaceable habitat - no units generated ⚠",(S91+T91)&lt;H91, OR(Y91="No", Y91="")),"Any Loss Unacceptable ⚠", (IF(U91="Irreplaceable habitat - no units generated ⚠", T91*J91*L91*O91, IF(AND(P91='G-1 All Habitats'!$X$3, AC91&gt;0, S91&lt;=0, T91&lt;=0, OR(Y91="No", Y91="")),"Any Loss Unacceptable ⚠", IF(AND(P91='G-1 All Habitats'!$X$3, AC91&gt;0, S91&lt;=0, T91&lt;=0, Y91="Yes"), 0, (IF(AND(P91='G-1 All Habitats'!$X$3,(S91+T91)&lt;H91, OR(Y91="No", Y91="")),"Any Loss Unacceptable ⚠", (IF(P91="","",IF(AND(P91='G-1 All Habitats'!$X$3,T91&gt;0),U91+V91,IF(AND(P91='G-1 All Habitats'!$X$3,S91&gt;0),U91+V91,H91*J91*L91*O91))))))))))))),"Check Data ▲")</f>
        <v/>
      </c>
      <c r="R91" s="23"/>
      <c r="S91" s="38"/>
      <c r="T91" s="39"/>
      <c r="U91" s="302" t="str">
        <f t="shared" si="7"/>
        <v/>
      </c>
      <c r="V91" s="302" t="str">
        <f t="shared" si="8"/>
        <v/>
      </c>
      <c r="W91" s="302" t="str">
        <f>IF(E91="","",IF(H91&lt;S91+T91,"Error in Areas ▲",IF(P91&lt;&gt;'G-1 All Habitats'!$X$3,H91-S91-T91,IF(AND(P91='G-1 All Habitats'!$X$3,Y91="No"),AC91,IF(AND(P91='G-1 All Habitats'!$X$3,Y91=""),AC91,IF(AND(P91='G-1 All Habitats'!$X$3,AC91="None"),AC91,IF(AND(P91='G-1 All Habitats'!$X$3,AC91&gt;0),H91-S91-T91)))))))</f>
        <v/>
      </c>
      <c r="X91" s="306" t="str">
        <f>IFERROR(IF(H91="","",IF(H91-S91-T91=0&lt;0,"Error in Areas ▲",IF(S91+T91&gt;H91,"Error in Areas ▲",IF(AND(P91='G-1 All Habitats'!$X$3,Y91="Yes"),"Alternative Compensation ✓",IF(W91=0,0,IF(P91='G-1 All Habitats'!$X$3,"Any Loss Unacceptable ▲",Q91-U91-V91)))))),"Check Data ▲")</f>
        <v/>
      </c>
      <c r="Y91" s="39"/>
      <c r="Z91" s="46"/>
      <c r="AA91" s="419"/>
      <c r="AB91" s="101"/>
      <c r="AC91" s="495" t="str">
        <f>IF(OR(P91="", Y91="Yes"),"", IF(P91='G-1 All Habitats'!$X$3,H91-S91-T91,"None"))</f>
        <v/>
      </c>
      <c r="AD91" s="496" t="str">
        <f>IF(P91="","", IF(P91='G-1 All Habitats'!$X$3, AC91*J91*L91*O91,"None"))</f>
        <v/>
      </c>
      <c r="AE91" s="20" t="str">
        <f t="shared" si="9"/>
        <v/>
      </c>
      <c r="AF91" s="25" t="str">
        <f t="shared" si="10"/>
        <v/>
      </c>
      <c r="AG91" s="25" t="str">
        <f t="shared" si="6"/>
        <v/>
      </c>
      <c r="AH91" s="25" t="str">
        <f>IF(I91="","",IF(#REF!&gt;0,TRUE,FALSE))</f>
        <v/>
      </c>
      <c r="AI91" s="25">
        <v>81</v>
      </c>
      <c r="AJ91" s="25"/>
      <c r="AK91" s="25" t="str">
        <f t="array" ref="AK91">IFERROR(INDEX($AI$11:$AI$259, MATCH(0, IF(TRUE=$AF$11:$AF$259, COUNTIF($AK$10:$AK90, $AI$11:$AI$259), ""), 0)),"")</f>
        <v/>
      </c>
      <c r="AL91" s="25" t="str">
        <f t="array" ref="AL91">IFERROR(INDEX($AI$11:$AI$259, MATCH(0, IF(TRUE=$AG$11:$AG$259, COUNTIF($AL$10:$AL90, $AI$11:$AI$259), ""), 0)),"")</f>
        <v/>
      </c>
      <c r="AM91" s="25" t="str">
        <f t="array" ref="AM91">IFERROR(INDEX($AI$11:$AI$259, MATCH(0, IF(TRUE=$AH$11:$AH$259, COUNTIF($AM$10:$AM90, $AI$11:$AI$259), ""), 0)),"")</f>
        <v/>
      </c>
      <c r="AN91" s="25"/>
      <c r="AQ91" s="20">
        <f t="shared" si="11"/>
        <v>0</v>
      </c>
      <c r="AV91" s="540" t="str">
        <f>IFERROR(INDEX('G-1 All Habitats'!$B$3:$B$135,MATCH(F91,'G-1 All Habitats'!$A$3:$A$135,0)),"")</f>
        <v/>
      </c>
      <c r="AW91" s="20" t="str">
        <f>IF(AV91="","",VLOOKUP(AV91,'G-1 All Habitats'!$B$1:$T$135,19,FALSE))</f>
        <v/>
      </c>
    </row>
    <row r="92" spans="1:49" ht="14.5" thickBot="1" x14ac:dyDescent="0.35">
      <c r="A92" s="20" t="str">
        <f>IFERROR(INDEX('G-1 All Habitats'!$AG$3:$AG$17,MATCH(E92,'G-1 All Habitats'!$AF$3:$AF$17,0)),"")</f>
        <v/>
      </c>
      <c r="B92" s="20" t="str">
        <f>IFERROR(INDEX('G-8 Condition Look up'!$I$4:$I$135,MATCH(AV92,'G-8 Condition Look up'!$A$4:$A$135,0)),"")</f>
        <v/>
      </c>
      <c r="D92" s="238">
        <v>82</v>
      </c>
      <c r="E92" s="223"/>
      <c r="F92" s="45"/>
      <c r="G92" s="272"/>
      <c r="H92" s="37"/>
      <c r="I92" s="290" t="str">
        <f>IF(AV92="","",VLOOKUP(AV92,'G-1 All Habitats'!$B$2:$M$135,10,FALSE))</f>
        <v/>
      </c>
      <c r="J92" s="291" t="str">
        <f>IFERROR(VLOOKUP(I92,'G-1 All Habitats'!$V$3:$W$7,2,FALSE),"")</f>
        <v/>
      </c>
      <c r="K92" s="38"/>
      <c r="L92" s="291" t="str">
        <f>IFERROR(INDEX('G-8 Condition Look up'!$A$3:$H$135,MATCH(AV92,'G-8 Condition Look up'!$A$3:$A$135,0),MATCH(K92,'G-8 Condition Look up'!$A$3:$H$3,0)),"")</f>
        <v/>
      </c>
      <c r="M92" s="38"/>
      <c r="N92" s="310" t="str">
        <f>IF(M92="","",IF(VLOOKUP(M92,'G-3 Multipliers'!$L$3:$N$6,2,FALSE)=0,"Spatial Data Missing",VLOOKUP(M92,'G-3 Multipliers'!$L$3:$N$6,2,FALSE)))</f>
        <v/>
      </c>
      <c r="O92" s="296" t="str">
        <f>IF(M92="","",IF(VLOOKUP(M92,'G-3 Multipliers'!$L$3:$N$6,3,FALSE)=0,"Spatial Data Missing ▲",VLOOKUP(M92,'G-3 Multipliers'!$L$3:$N$6,3,FALSE)))</f>
        <v/>
      </c>
      <c r="P92" s="297" t="str">
        <f>(IF(G92="Yes","Bespoke compensation likely to be required 🛠",(IFERROR(VLOOKUP(AV92,'G-1 All Habitats'!$B$2:$M$135,12,FALSE),""))))</f>
        <v/>
      </c>
      <c r="Q92" s="304" t="str">
        <f>IFERROR(IF(AND(E92="Individual trees",T92&gt;0), "Error - you cannot enhance individual trees ▲", (IF(AND(U92="Irreplaceable habitat - no units generated ⚠",(S92+T92)&lt;H92, OR(Y92="No", Y92="")),"Any Loss Unacceptable ⚠", (IF(U92="Irreplaceable habitat - no units generated ⚠", T92*J92*L92*O92, IF(AND(P92='G-1 All Habitats'!$X$3, AC92&gt;0, S92&lt;=0, T92&lt;=0, OR(Y92="No", Y92="")),"Any Loss Unacceptable ⚠", IF(AND(P92='G-1 All Habitats'!$X$3, AC92&gt;0, S92&lt;=0, T92&lt;=0, Y92="Yes"), 0, (IF(AND(P92='G-1 All Habitats'!$X$3,(S92+T92)&lt;H92, OR(Y92="No", Y92="")),"Any Loss Unacceptable ⚠", (IF(P92="","",IF(AND(P92='G-1 All Habitats'!$X$3,T92&gt;0),U92+V92,IF(AND(P92='G-1 All Habitats'!$X$3,S92&gt;0),U92+V92,H92*J92*L92*O92))))))))))))),"Check Data ▲")</f>
        <v/>
      </c>
      <c r="R92" s="23"/>
      <c r="S92" s="38"/>
      <c r="T92" s="39"/>
      <c r="U92" s="302" t="str">
        <f t="shared" si="7"/>
        <v/>
      </c>
      <c r="V92" s="302" t="str">
        <f t="shared" si="8"/>
        <v/>
      </c>
      <c r="W92" s="302" t="str">
        <f>IF(E92="","",IF(H92&lt;S92+T92,"Error in Areas ▲",IF(P92&lt;&gt;'G-1 All Habitats'!$X$3,H92-S92-T92,IF(AND(P92='G-1 All Habitats'!$X$3,Y92="No"),AC92,IF(AND(P92='G-1 All Habitats'!$X$3,Y92=""),AC92,IF(AND(P92='G-1 All Habitats'!$X$3,AC92="None"),AC92,IF(AND(P92='G-1 All Habitats'!$X$3,AC92&gt;0),H92-S92-T92)))))))</f>
        <v/>
      </c>
      <c r="X92" s="306" t="str">
        <f>IFERROR(IF(H92="","",IF(H92-S92-T92=0&lt;0,"Error in Areas ▲",IF(S92+T92&gt;H92,"Error in Areas ▲",IF(AND(P92='G-1 All Habitats'!$X$3,Y92="Yes"),"Alternative Compensation ✓",IF(W92=0,0,IF(P92='G-1 All Habitats'!$X$3,"Any Loss Unacceptable ▲",Q92-U92-V92)))))),"Check Data ▲")</f>
        <v/>
      </c>
      <c r="Y92" s="39"/>
      <c r="Z92" s="46"/>
      <c r="AA92" s="419"/>
      <c r="AB92" s="101"/>
      <c r="AC92" s="495" t="str">
        <f>IF(OR(P92="", Y92="Yes"),"", IF(P92='G-1 All Habitats'!$X$3,H92-S92-T92,"None"))</f>
        <v/>
      </c>
      <c r="AD92" s="496" t="str">
        <f>IF(P92="","", IF(P92='G-1 All Habitats'!$X$3, AC92*J92*L92*O92,"None"))</f>
        <v/>
      </c>
      <c r="AE92" s="20" t="str">
        <f t="shared" si="9"/>
        <v/>
      </c>
      <c r="AF92" s="25" t="str">
        <f t="shared" si="10"/>
        <v/>
      </c>
      <c r="AG92" s="25" t="str">
        <f t="shared" si="6"/>
        <v/>
      </c>
      <c r="AH92" s="25" t="str">
        <f>IF(I92="","",IF(#REF!&gt;0,TRUE,FALSE))</f>
        <v/>
      </c>
      <c r="AI92" s="25">
        <v>82</v>
      </c>
      <c r="AJ92" s="25"/>
      <c r="AK92" s="25" t="str">
        <f t="array" ref="AK92">IFERROR(INDEX($AI$11:$AI$259, MATCH(0, IF(TRUE=$AF$11:$AF$259, COUNTIF($AK$10:$AK91, $AI$11:$AI$259), ""), 0)),"")</f>
        <v/>
      </c>
      <c r="AL92" s="25" t="str">
        <f t="array" ref="AL92">IFERROR(INDEX($AI$11:$AI$259, MATCH(0, IF(TRUE=$AG$11:$AG$259, COUNTIF($AL$10:$AL91, $AI$11:$AI$259), ""), 0)),"")</f>
        <v/>
      </c>
      <c r="AM92" s="25" t="str">
        <f t="array" ref="AM92">IFERROR(INDEX($AI$11:$AI$259, MATCH(0, IF(TRUE=$AH$11:$AH$259, COUNTIF($AM$10:$AM91, $AI$11:$AI$259), ""), 0)),"")</f>
        <v/>
      </c>
      <c r="AN92" s="25"/>
      <c r="AQ92" s="20">
        <f t="shared" si="11"/>
        <v>0</v>
      </c>
      <c r="AV92" s="540" t="str">
        <f>IFERROR(INDEX('G-1 All Habitats'!$B$3:$B$135,MATCH(F92,'G-1 All Habitats'!$A$3:$A$135,0)),"")</f>
        <v/>
      </c>
      <c r="AW92" s="20" t="str">
        <f>IF(AV92="","",VLOOKUP(AV92,'G-1 All Habitats'!$B$1:$T$135,19,FALSE))</f>
        <v/>
      </c>
    </row>
    <row r="93" spans="1:49" ht="14.5" thickBot="1" x14ac:dyDescent="0.35">
      <c r="A93" s="20" t="str">
        <f>IFERROR(INDEX('G-1 All Habitats'!$AG$3:$AG$17,MATCH(E93,'G-1 All Habitats'!$AF$3:$AF$17,0)),"")</f>
        <v/>
      </c>
      <c r="B93" s="20" t="str">
        <f>IFERROR(INDEX('G-8 Condition Look up'!$I$4:$I$135,MATCH(AV93,'G-8 Condition Look up'!$A$4:$A$135,0)),"")</f>
        <v/>
      </c>
      <c r="D93" s="238">
        <v>83</v>
      </c>
      <c r="E93" s="223"/>
      <c r="F93" s="45"/>
      <c r="G93" s="272"/>
      <c r="H93" s="37"/>
      <c r="I93" s="290" t="str">
        <f>IF(AV93="","",VLOOKUP(AV93,'G-1 All Habitats'!$B$2:$M$135,10,FALSE))</f>
        <v/>
      </c>
      <c r="J93" s="291" t="str">
        <f>IFERROR(VLOOKUP(I93,'G-1 All Habitats'!$V$3:$W$7,2,FALSE),"")</f>
        <v/>
      </c>
      <c r="K93" s="38"/>
      <c r="L93" s="291" t="str">
        <f>IFERROR(INDEX('G-8 Condition Look up'!$A$3:$H$135,MATCH(AV93,'G-8 Condition Look up'!$A$3:$A$135,0),MATCH(K93,'G-8 Condition Look up'!$A$3:$H$3,0)),"")</f>
        <v/>
      </c>
      <c r="M93" s="38"/>
      <c r="N93" s="310" t="str">
        <f>IF(M93="","",IF(VLOOKUP(M93,'G-3 Multipliers'!$L$3:$N$6,2,FALSE)=0,"Spatial Data Missing",VLOOKUP(M93,'G-3 Multipliers'!$L$3:$N$6,2,FALSE)))</f>
        <v/>
      </c>
      <c r="O93" s="296" t="str">
        <f>IF(M93="","",IF(VLOOKUP(M93,'G-3 Multipliers'!$L$3:$N$6,3,FALSE)=0,"Spatial Data Missing ▲",VLOOKUP(M93,'G-3 Multipliers'!$L$3:$N$6,3,FALSE)))</f>
        <v/>
      </c>
      <c r="P93" s="297" t="str">
        <f>(IF(G93="Yes","Bespoke compensation likely to be required 🛠",(IFERROR(VLOOKUP(AV93,'G-1 All Habitats'!$B$2:$M$135,12,FALSE),""))))</f>
        <v/>
      </c>
      <c r="Q93" s="304" t="str">
        <f>IFERROR(IF(AND(E93="Individual trees",T93&gt;0), "Error - you cannot enhance individual trees ▲", (IF(AND(U93="Irreplaceable habitat - no units generated ⚠",(S93+T93)&lt;H93, OR(Y93="No", Y93="")),"Any Loss Unacceptable ⚠", (IF(U93="Irreplaceable habitat - no units generated ⚠", T93*J93*L93*O93, IF(AND(P93='G-1 All Habitats'!$X$3, AC93&gt;0, S93&lt;=0, T93&lt;=0, OR(Y93="No", Y93="")),"Any Loss Unacceptable ⚠", IF(AND(P93='G-1 All Habitats'!$X$3, AC93&gt;0, S93&lt;=0, T93&lt;=0, Y93="Yes"), 0, (IF(AND(P93='G-1 All Habitats'!$X$3,(S93+T93)&lt;H93, OR(Y93="No", Y93="")),"Any Loss Unacceptable ⚠", (IF(P93="","",IF(AND(P93='G-1 All Habitats'!$X$3,T93&gt;0),U93+V93,IF(AND(P93='G-1 All Habitats'!$X$3,S93&gt;0),U93+V93,H93*J93*L93*O93))))))))))))),"Check Data ▲")</f>
        <v/>
      </c>
      <c r="R93" s="23"/>
      <c r="S93" s="38"/>
      <c r="T93" s="39"/>
      <c r="U93" s="302" t="str">
        <f t="shared" si="7"/>
        <v/>
      </c>
      <c r="V93" s="302" t="str">
        <f t="shared" si="8"/>
        <v/>
      </c>
      <c r="W93" s="302" t="str">
        <f>IF(E93="","",IF(H93&lt;S93+T93,"Error in Areas ▲",IF(P93&lt;&gt;'G-1 All Habitats'!$X$3,H93-S93-T93,IF(AND(P93='G-1 All Habitats'!$X$3,Y93="No"),AC93,IF(AND(P93='G-1 All Habitats'!$X$3,Y93=""),AC93,IF(AND(P93='G-1 All Habitats'!$X$3,AC93="None"),AC93,IF(AND(P93='G-1 All Habitats'!$X$3,AC93&gt;0),H93-S93-T93)))))))</f>
        <v/>
      </c>
      <c r="X93" s="306" t="str">
        <f>IFERROR(IF(H93="","",IF(H93-S93-T93=0&lt;0,"Error in Areas ▲",IF(S93+T93&gt;H93,"Error in Areas ▲",IF(AND(P93='G-1 All Habitats'!$X$3,Y93="Yes"),"Alternative Compensation ✓",IF(W93=0,0,IF(P93='G-1 All Habitats'!$X$3,"Any Loss Unacceptable ▲",Q93-U93-V93)))))),"Check Data ▲")</f>
        <v/>
      </c>
      <c r="Y93" s="39"/>
      <c r="Z93" s="46"/>
      <c r="AA93" s="419"/>
      <c r="AB93" s="101"/>
      <c r="AC93" s="495" t="str">
        <f>IF(OR(P93="", Y93="Yes"),"", IF(P93='G-1 All Habitats'!$X$3,H93-S93-T93,"None"))</f>
        <v/>
      </c>
      <c r="AD93" s="496" t="str">
        <f>IF(P93="","", IF(P93='G-1 All Habitats'!$X$3, AC93*J93*L93*O93,"None"))</f>
        <v/>
      </c>
      <c r="AE93" s="20" t="str">
        <f t="shared" si="9"/>
        <v/>
      </c>
      <c r="AF93" s="25" t="str">
        <f t="shared" si="10"/>
        <v/>
      </c>
      <c r="AG93" s="25" t="str">
        <f t="shared" si="6"/>
        <v/>
      </c>
      <c r="AH93" s="25" t="str">
        <f>IF(I93="","",IF(#REF!&gt;0,TRUE,FALSE))</f>
        <v/>
      </c>
      <c r="AI93" s="25">
        <v>83</v>
      </c>
      <c r="AJ93" s="25"/>
      <c r="AK93" s="25" t="str">
        <f t="array" ref="AK93">IFERROR(INDEX($AI$11:$AI$259, MATCH(0, IF(TRUE=$AF$11:$AF$259, COUNTIF($AK$10:$AK92, $AI$11:$AI$259), ""), 0)),"")</f>
        <v/>
      </c>
      <c r="AL93" s="25" t="str">
        <f t="array" ref="AL93">IFERROR(INDEX($AI$11:$AI$259, MATCH(0, IF(TRUE=$AG$11:$AG$259, COUNTIF($AL$10:$AL92, $AI$11:$AI$259), ""), 0)),"")</f>
        <v/>
      </c>
      <c r="AM93" s="25" t="str">
        <f t="array" ref="AM93">IFERROR(INDEX($AI$11:$AI$259, MATCH(0, IF(TRUE=$AH$11:$AH$259, COUNTIF($AM$10:$AM92, $AI$11:$AI$259), ""), 0)),"")</f>
        <v/>
      </c>
      <c r="AN93" s="25"/>
      <c r="AQ93" s="20">
        <f t="shared" si="11"/>
        <v>0</v>
      </c>
      <c r="AV93" s="540" t="str">
        <f>IFERROR(INDEX('G-1 All Habitats'!$B$3:$B$135,MATCH(F93,'G-1 All Habitats'!$A$3:$A$135,0)),"")</f>
        <v/>
      </c>
      <c r="AW93" s="20" t="str">
        <f>IF(AV93="","",VLOOKUP(AV93,'G-1 All Habitats'!$B$1:$T$135,19,FALSE))</f>
        <v/>
      </c>
    </row>
    <row r="94" spans="1:49" ht="14.5" thickBot="1" x14ac:dyDescent="0.35">
      <c r="A94" s="20" t="str">
        <f>IFERROR(INDEX('G-1 All Habitats'!$AG$3:$AG$17,MATCH(E94,'G-1 All Habitats'!$AF$3:$AF$17,0)),"")</f>
        <v/>
      </c>
      <c r="B94" s="20" t="str">
        <f>IFERROR(INDEX('G-8 Condition Look up'!$I$4:$I$135,MATCH(AV94,'G-8 Condition Look up'!$A$4:$A$135,0)),"")</f>
        <v/>
      </c>
      <c r="D94" s="238">
        <v>84</v>
      </c>
      <c r="E94" s="223"/>
      <c r="F94" s="45"/>
      <c r="G94" s="272"/>
      <c r="H94" s="37"/>
      <c r="I94" s="290" t="str">
        <f>IF(AV94="","",VLOOKUP(AV94,'G-1 All Habitats'!$B$2:$M$135,10,FALSE))</f>
        <v/>
      </c>
      <c r="J94" s="291" t="str">
        <f>IFERROR(VLOOKUP(I94,'G-1 All Habitats'!$V$3:$W$7,2,FALSE),"")</f>
        <v/>
      </c>
      <c r="K94" s="38"/>
      <c r="L94" s="291" t="str">
        <f>IFERROR(INDEX('G-8 Condition Look up'!$A$3:$H$135,MATCH(AV94,'G-8 Condition Look up'!$A$3:$A$135,0),MATCH(K94,'G-8 Condition Look up'!$A$3:$H$3,0)),"")</f>
        <v/>
      </c>
      <c r="M94" s="38"/>
      <c r="N94" s="310" t="str">
        <f>IF(M94="","",IF(VLOOKUP(M94,'G-3 Multipliers'!$L$3:$N$6,2,FALSE)=0,"Spatial Data Missing",VLOOKUP(M94,'G-3 Multipliers'!$L$3:$N$6,2,FALSE)))</f>
        <v/>
      </c>
      <c r="O94" s="296" t="str">
        <f>IF(M94="","",IF(VLOOKUP(M94,'G-3 Multipliers'!$L$3:$N$6,3,FALSE)=0,"Spatial Data Missing ▲",VLOOKUP(M94,'G-3 Multipliers'!$L$3:$N$6,3,FALSE)))</f>
        <v/>
      </c>
      <c r="P94" s="297" t="str">
        <f>(IF(G94="Yes","Bespoke compensation likely to be required 🛠",(IFERROR(VLOOKUP(AV94,'G-1 All Habitats'!$B$2:$M$135,12,FALSE),""))))</f>
        <v/>
      </c>
      <c r="Q94" s="304" t="str">
        <f>IFERROR(IF(AND(E94="Individual trees",T94&gt;0), "Error - you cannot enhance individual trees ▲", (IF(AND(U94="Irreplaceable habitat - no units generated ⚠",(S94+T94)&lt;H94, OR(Y94="No", Y94="")),"Any Loss Unacceptable ⚠", (IF(U94="Irreplaceable habitat - no units generated ⚠", T94*J94*L94*O94, IF(AND(P94='G-1 All Habitats'!$X$3, AC94&gt;0, S94&lt;=0, T94&lt;=0, OR(Y94="No", Y94="")),"Any Loss Unacceptable ⚠", IF(AND(P94='G-1 All Habitats'!$X$3, AC94&gt;0, S94&lt;=0, T94&lt;=0, Y94="Yes"), 0, (IF(AND(P94='G-1 All Habitats'!$X$3,(S94+T94)&lt;H94, OR(Y94="No", Y94="")),"Any Loss Unacceptable ⚠", (IF(P94="","",IF(AND(P94='G-1 All Habitats'!$X$3,T94&gt;0),U94+V94,IF(AND(P94='G-1 All Habitats'!$X$3,S94&gt;0),U94+V94,H94*J94*L94*O94))))))))))))),"Check Data ▲")</f>
        <v/>
      </c>
      <c r="R94" s="23"/>
      <c r="S94" s="38"/>
      <c r="T94" s="39"/>
      <c r="U94" s="302" t="str">
        <f t="shared" si="7"/>
        <v/>
      </c>
      <c r="V94" s="302" t="str">
        <f t="shared" si="8"/>
        <v/>
      </c>
      <c r="W94" s="302" t="str">
        <f>IF(E94="","",IF(H94&lt;S94+T94,"Error in Areas ▲",IF(P94&lt;&gt;'G-1 All Habitats'!$X$3,H94-S94-T94,IF(AND(P94='G-1 All Habitats'!$X$3,Y94="No"),AC94,IF(AND(P94='G-1 All Habitats'!$X$3,Y94=""),AC94,IF(AND(P94='G-1 All Habitats'!$X$3,AC94="None"),AC94,IF(AND(P94='G-1 All Habitats'!$X$3,AC94&gt;0),H94-S94-T94)))))))</f>
        <v/>
      </c>
      <c r="X94" s="306" t="str">
        <f>IFERROR(IF(H94="","",IF(H94-S94-T94=0&lt;0,"Error in Areas ▲",IF(S94+T94&gt;H94,"Error in Areas ▲",IF(AND(P94='G-1 All Habitats'!$X$3,Y94="Yes"),"Alternative Compensation ✓",IF(W94=0,0,IF(P94='G-1 All Habitats'!$X$3,"Any Loss Unacceptable ▲",Q94-U94-V94)))))),"Check Data ▲")</f>
        <v/>
      </c>
      <c r="Y94" s="39"/>
      <c r="Z94" s="46"/>
      <c r="AA94" s="419"/>
      <c r="AB94" s="101"/>
      <c r="AC94" s="495" t="str">
        <f>IF(OR(P94="", Y94="Yes"),"", IF(P94='G-1 All Habitats'!$X$3,H94-S94-T94,"None"))</f>
        <v/>
      </c>
      <c r="AD94" s="496" t="str">
        <f>IF(P94="","", IF(P94='G-1 All Habitats'!$X$3, AC94*J94*L94*O94,"None"))</f>
        <v/>
      </c>
      <c r="AE94" s="20" t="str">
        <f t="shared" si="9"/>
        <v/>
      </c>
      <c r="AF94" s="25" t="str">
        <f t="shared" si="10"/>
        <v/>
      </c>
      <c r="AG94" s="25" t="str">
        <f t="shared" si="6"/>
        <v/>
      </c>
      <c r="AH94" s="25" t="str">
        <f>IF(I94="","",IF(#REF!&gt;0,TRUE,FALSE))</f>
        <v/>
      </c>
      <c r="AI94" s="25">
        <v>84</v>
      </c>
      <c r="AJ94" s="25"/>
      <c r="AK94" s="25" t="str">
        <f t="array" ref="AK94">IFERROR(INDEX($AI$11:$AI$259, MATCH(0, IF(TRUE=$AF$11:$AF$259, COUNTIF($AK$10:$AK93, $AI$11:$AI$259), ""), 0)),"")</f>
        <v/>
      </c>
      <c r="AL94" s="25" t="str">
        <f t="array" ref="AL94">IFERROR(INDEX($AI$11:$AI$259, MATCH(0, IF(TRUE=$AG$11:$AG$259, COUNTIF($AL$10:$AL93, $AI$11:$AI$259), ""), 0)),"")</f>
        <v/>
      </c>
      <c r="AM94" s="25" t="str">
        <f t="array" ref="AM94">IFERROR(INDEX($AI$11:$AI$259, MATCH(0, IF(TRUE=$AH$11:$AH$259, COUNTIF($AM$10:$AM93, $AI$11:$AI$259), ""), 0)),"")</f>
        <v/>
      </c>
      <c r="AN94" s="25"/>
      <c r="AQ94" s="20">
        <f t="shared" si="11"/>
        <v>0</v>
      </c>
      <c r="AV94" s="540" t="str">
        <f>IFERROR(INDEX('G-1 All Habitats'!$B$3:$B$135,MATCH(F94,'G-1 All Habitats'!$A$3:$A$135,0)),"")</f>
        <v/>
      </c>
      <c r="AW94" s="20" t="str">
        <f>IF(AV94="","",VLOOKUP(AV94,'G-1 All Habitats'!$B$1:$T$135,19,FALSE))</f>
        <v/>
      </c>
    </row>
    <row r="95" spans="1:49" ht="14.5" thickBot="1" x14ac:dyDescent="0.35">
      <c r="A95" s="20" t="str">
        <f>IFERROR(INDEX('G-1 All Habitats'!$AG$3:$AG$17,MATCH(E95,'G-1 All Habitats'!$AF$3:$AF$17,0)),"")</f>
        <v/>
      </c>
      <c r="B95" s="20" t="str">
        <f>IFERROR(INDEX('G-8 Condition Look up'!$I$4:$I$135,MATCH(AV95,'G-8 Condition Look up'!$A$4:$A$135,0)),"")</f>
        <v/>
      </c>
      <c r="D95" s="238">
        <v>85</v>
      </c>
      <c r="E95" s="223"/>
      <c r="F95" s="45"/>
      <c r="G95" s="272"/>
      <c r="H95" s="37"/>
      <c r="I95" s="290" t="str">
        <f>IF(AV95="","",VLOOKUP(AV95,'G-1 All Habitats'!$B$2:$M$135,10,FALSE))</f>
        <v/>
      </c>
      <c r="J95" s="291" t="str">
        <f>IFERROR(VLOOKUP(I95,'G-1 All Habitats'!$V$3:$W$7,2,FALSE),"")</f>
        <v/>
      </c>
      <c r="K95" s="38"/>
      <c r="L95" s="291" t="str">
        <f>IFERROR(INDEX('G-8 Condition Look up'!$A$3:$H$135,MATCH(AV95,'G-8 Condition Look up'!$A$3:$A$135,0),MATCH(K95,'G-8 Condition Look up'!$A$3:$H$3,0)),"")</f>
        <v/>
      </c>
      <c r="M95" s="38"/>
      <c r="N95" s="310" t="str">
        <f>IF(M95="","",IF(VLOOKUP(M95,'G-3 Multipliers'!$L$3:$N$6,2,FALSE)=0,"Spatial Data Missing",VLOOKUP(M95,'G-3 Multipliers'!$L$3:$N$6,2,FALSE)))</f>
        <v/>
      </c>
      <c r="O95" s="296" t="str">
        <f>IF(M95="","",IF(VLOOKUP(M95,'G-3 Multipliers'!$L$3:$N$6,3,FALSE)=0,"Spatial Data Missing ▲",VLOOKUP(M95,'G-3 Multipliers'!$L$3:$N$6,3,FALSE)))</f>
        <v/>
      </c>
      <c r="P95" s="297" t="str">
        <f>(IF(G95="Yes","Bespoke compensation likely to be required 🛠",(IFERROR(VLOOKUP(AV95,'G-1 All Habitats'!$B$2:$M$135,12,FALSE),""))))</f>
        <v/>
      </c>
      <c r="Q95" s="304" t="str">
        <f>IFERROR(IF(AND(E95="Individual trees",T95&gt;0), "Error - you cannot enhance individual trees ▲", (IF(AND(U95="Irreplaceable habitat - no units generated ⚠",(S95+T95)&lt;H95, OR(Y95="No", Y95="")),"Any Loss Unacceptable ⚠", (IF(U95="Irreplaceable habitat - no units generated ⚠", T95*J95*L95*O95, IF(AND(P95='G-1 All Habitats'!$X$3, AC95&gt;0, S95&lt;=0, T95&lt;=0, OR(Y95="No", Y95="")),"Any Loss Unacceptable ⚠", IF(AND(P95='G-1 All Habitats'!$X$3, AC95&gt;0, S95&lt;=0, T95&lt;=0, Y95="Yes"), 0, (IF(AND(P95='G-1 All Habitats'!$X$3,(S95+T95)&lt;H95, OR(Y95="No", Y95="")),"Any Loss Unacceptable ⚠", (IF(P95="","",IF(AND(P95='G-1 All Habitats'!$X$3,T95&gt;0),U95+V95,IF(AND(P95='G-1 All Habitats'!$X$3,S95&gt;0),U95+V95,H95*J95*L95*O95))))))))))))),"Check Data ▲")</f>
        <v/>
      </c>
      <c r="R95" s="23"/>
      <c r="S95" s="38"/>
      <c r="T95" s="39"/>
      <c r="U95" s="302" t="str">
        <f t="shared" si="7"/>
        <v/>
      </c>
      <c r="V95" s="302" t="str">
        <f t="shared" si="8"/>
        <v/>
      </c>
      <c r="W95" s="302" t="str">
        <f>IF(E95="","",IF(H95&lt;S95+T95,"Error in Areas ▲",IF(P95&lt;&gt;'G-1 All Habitats'!$X$3,H95-S95-T95,IF(AND(P95='G-1 All Habitats'!$X$3,Y95="No"),AC95,IF(AND(P95='G-1 All Habitats'!$X$3,Y95=""),AC95,IF(AND(P95='G-1 All Habitats'!$X$3,AC95="None"),AC95,IF(AND(P95='G-1 All Habitats'!$X$3,AC95&gt;0),H95-S95-T95)))))))</f>
        <v/>
      </c>
      <c r="X95" s="306" t="str">
        <f>IFERROR(IF(H95="","",IF(H95-S95-T95=0&lt;0,"Error in Areas ▲",IF(S95+T95&gt;H95,"Error in Areas ▲",IF(AND(P95='G-1 All Habitats'!$X$3,Y95="Yes"),"Alternative Compensation ✓",IF(W95=0,0,IF(P95='G-1 All Habitats'!$X$3,"Any Loss Unacceptable ▲",Q95-U95-V95)))))),"Check Data ▲")</f>
        <v/>
      </c>
      <c r="Y95" s="39"/>
      <c r="Z95" s="46"/>
      <c r="AA95" s="419"/>
      <c r="AB95" s="101"/>
      <c r="AC95" s="495" t="str">
        <f>IF(OR(P95="", Y95="Yes"),"", IF(P95='G-1 All Habitats'!$X$3,H95-S95-T95,"None"))</f>
        <v/>
      </c>
      <c r="AD95" s="496" t="str">
        <f>IF(P95="","", IF(P95='G-1 All Habitats'!$X$3, AC95*J95*L95*O95,"None"))</f>
        <v/>
      </c>
      <c r="AE95" s="20" t="str">
        <f t="shared" si="9"/>
        <v/>
      </c>
      <c r="AF95" s="25" t="str">
        <f t="shared" si="10"/>
        <v/>
      </c>
      <c r="AG95" s="25" t="str">
        <f t="shared" si="6"/>
        <v/>
      </c>
      <c r="AH95" s="25" t="str">
        <f>IF(I95="","",IF(#REF!&gt;0,TRUE,FALSE))</f>
        <v/>
      </c>
      <c r="AI95" s="25">
        <v>85</v>
      </c>
      <c r="AJ95" s="25"/>
      <c r="AK95" s="25" t="str">
        <f t="array" ref="AK95">IFERROR(INDEX($AI$11:$AI$259, MATCH(0, IF(TRUE=$AF$11:$AF$259, COUNTIF($AK$10:$AK94, $AI$11:$AI$259), ""), 0)),"")</f>
        <v/>
      </c>
      <c r="AL95" s="25" t="str">
        <f t="array" ref="AL95">IFERROR(INDEX($AI$11:$AI$259, MATCH(0, IF(TRUE=$AG$11:$AG$259, COUNTIF($AL$10:$AL94, $AI$11:$AI$259), ""), 0)),"")</f>
        <v/>
      </c>
      <c r="AM95" s="25" t="str">
        <f t="array" ref="AM95">IFERROR(INDEX($AI$11:$AI$259, MATCH(0, IF(TRUE=$AH$11:$AH$259, COUNTIF($AM$10:$AM94, $AI$11:$AI$259), ""), 0)),"")</f>
        <v/>
      </c>
      <c r="AN95" s="25"/>
      <c r="AQ95" s="20">
        <f t="shared" si="11"/>
        <v>0</v>
      </c>
      <c r="AV95" s="540" t="str">
        <f>IFERROR(INDEX('G-1 All Habitats'!$B$3:$B$135,MATCH(F95,'G-1 All Habitats'!$A$3:$A$135,0)),"")</f>
        <v/>
      </c>
      <c r="AW95" s="20" t="str">
        <f>IF(AV95="","",VLOOKUP(AV95,'G-1 All Habitats'!$B$1:$T$135,19,FALSE))</f>
        <v/>
      </c>
    </row>
    <row r="96" spans="1:49" ht="14.5" thickBot="1" x14ac:dyDescent="0.35">
      <c r="A96" s="20" t="str">
        <f>IFERROR(INDEX('G-1 All Habitats'!$AG$3:$AG$17,MATCH(E96,'G-1 All Habitats'!$AF$3:$AF$17,0)),"")</f>
        <v/>
      </c>
      <c r="B96" s="20" t="str">
        <f>IFERROR(INDEX('G-8 Condition Look up'!$I$4:$I$135,MATCH(AV96,'G-8 Condition Look up'!$A$4:$A$135,0)),"")</f>
        <v/>
      </c>
      <c r="D96" s="238">
        <v>86</v>
      </c>
      <c r="E96" s="223"/>
      <c r="F96" s="45"/>
      <c r="G96" s="272"/>
      <c r="H96" s="37"/>
      <c r="I96" s="290" t="str">
        <f>IF(AV96="","",VLOOKUP(AV96,'G-1 All Habitats'!$B$2:$M$135,10,FALSE))</f>
        <v/>
      </c>
      <c r="J96" s="291" t="str">
        <f>IFERROR(VLOOKUP(I96,'G-1 All Habitats'!$V$3:$W$7,2,FALSE),"")</f>
        <v/>
      </c>
      <c r="K96" s="38"/>
      <c r="L96" s="291" t="str">
        <f>IFERROR(INDEX('G-8 Condition Look up'!$A$3:$H$135,MATCH(AV96,'G-8 Condition Look up'!$A$3:$A$135,0),MATCH(K96,'G-8 Condition Look up'!$A$3:$H$3,0)),"")</f>
        <v/>
      </c>
      <c r="M96" s="38"/>
      <c r="N96" s="310" t="str">
        <f>IF(M96="","",IF(VLOOKUP(M96,'G-3 Multipliers'!$L$3:$N$6,2,FALSE)=0,"Spatial Data Missing",VLOOKUP(M96,'G-3 Multipliers'!$L$3:$N$6,2,FALSE)))</f>
        <v/>
      </c>
      <c r="O96" s="296" t="str">
        <f>IF(M96="","",IF(VLOOKUP(M96,'G-3 Multipliers'!$L$3:$N$6,3,FALSE)=0,"Spatial Data Missing ▲",VLOOKUP(M96,'G-3 Multipliers'!$L$3:$N$6,3,FALSE)))</f>
        <v/>
      </c>
      <c r="P96" s="297" t="str">
        <f>(IF(G96="Yes","Bespoke compensation likely to be required 🛠",(IFERROR(VLOOKUP(AV96,'G-1 All Habitats'!$B$2:$M$135,12,FALSE),""))))</f>
        <v/>
      </c>
      <c r="Q96" s="304" t="str">
        <f>IFERROR(IF(AND(E96="Individual trees",T96&gt;0), "Error - you cannot enhance individual trees ▲", (IF(AND(U96="Irreplaceable habitat - no units generated ⚠",(S96+T96)&lt;H96, OR(Y96="No", Y96="")),"Any Loss Unacceptable ⚠", (IF(U96="Irreplaceable habitat - no units generated ⚠", T96*J96*L96*O96, IF(AND(P96='G-1 All Habitats'!$X$3, AC96&gt;0, S96&lt;=0, T96&lt;=0, OR(Y96="No", Y96="")),"Any Loss Unacceptable ⚠", IF(AND(P96='G-1 All Habitats'!$X$3, AC96&gt;0, S96&lt;=0, T96&lt;=0, Y96="Yes"), 0, (IF(AND(P96='G-1 All Habitats'!$X$3,(S96+T96)&lt;H96, OR(Y96="No", Y96="")),"Any Loss Unacceptable ⚠", (IF(P96="","",IF(AND(P96='G-1 All Habitats'!$X$3,T96&gt;0),U96+V96,IF(AND(P96='G-1 All Habitats'!$X$3,S96&gt;0),U96+V96,H96*J96*L96*O96))))))))))))),"Check Data ▲")</f>
        <v/>
      </c>
      <c r="R96" s="23"/>
      <c r="S96" s="38"/>
      <c r="T96" s="39"/>
      <c r="U96" s="302" t="str">
        <f t="shared" si="7"/>
        <v/>
      </c>
      <c r="V96" s="302" t="str">
        <f t="shared" si="8"/>
        <v/>
      </c>
      <c r="W96" s="302" t="str">
        <f>IF(E96="","",IF(H96&lt;S96+T96,"Error in Areas ▲",IF(P96&lt;&gt;'G-1 All Habitats'!$X$3,H96-S96-T96,IF(AND(P96='G-1 All Habitats'!$X$3,Y96="No"),AC96,IF(AND(P96='G-1 All Habitats'!$X$3,Y96=""),AC96,IF(AND(P96='G-1 All Habitats'!$X$3,AC96="None"),AC96,IF(AND(P96='G-1 All Habitats'!$X$3,AC96&gt;0),H96-S96-T96)))))))</f>
        <v/>
      </c>
      <c r="X96" s="306" t="str">
        <f>IFERROR(IF(H96="","",IF(H96-S96-T96=0&lt;0,"Error in Areas ▲",IF(S96+T96&gt;H96,"Error in Areas ▲",IF(AND(P96='G-1 All Habitats'!$X$3,Y96="Yes"),"Alternative Compensation ✓",IF(W96=0,0,IF(P96='G-1 All Habitats'!$X$3,"Any Loss Unacceptable ▲",Q96-U96-V96)))))),"Check Data ▲")</f>
        <v/>
      </c>
      <c r="Y96" s="39"/>
      <c r="Z96" s="46"/>
      <c r="AA96" s="419"/>
      <c r="AB96" s="101"/>
      <c r="AC96" s="495" t="str">
        <f>IF(OR(P96="", Y96="Yes"),"", IF(P96='G-1 All Habitats'!$X$3,H96-S96-T96,"None"))</f>
        <v/>
      </c>
      <c r="AD96" s="496" t="str">
        <f>IF(P96="","", IF(P96='G-1 All Habitats'!$X$3, AC96*J96*L96*O96,"None"))</f>
        <v/>
      </c>
      <c r="AE96" s="20" t="str">
        <f t="shared" si="9"/>
        <v/>
      </c>
      <c r="AF96" s="25" t="str">
        <f t="shared" si="10"/>
        <v/>
      </c>
      <c r="AG96" s="25" t="str">
        <f t="shared" si="6"/>
        <v/>
      </c>
      <c r="AH96" s="25" t="str">
        <f>IF(I96="","",IF(#REF!&gt;0,TRUE,FALSE))</f>
        <v/>
      </c>
      <c r="AI96" s="25">
        <v>86</v>
      </c>
      <c r="AJ96" s="25"/>
      <c r="AK96" s="25" t="str">
        <f t="array" ref="AK96">IFERROR(INDEX($AI$11:$AI$259, MATCH(0, IF(TRUE=$AF$11:$AF$259, COUNTIF($AK$10:$AK95, $AI$11:$AI$259), ""), 0)),"")</f>
        <v/>
      </c>
      <c r="AL96" s="25" t="str">
        <f t="array" ref="AL96">IFERROR(INDEX($AI$11:$AI$259, MATCH(0, IF(TRUE=$AG$11:$AG$259, COUNTIF($AL$10:$AL95, $AI$11:$AI$259), ""), 0)),"")</f>
        <v/>
      </c>
      <c r="AM96" s="25" t="str">
        <f t="array" ref="AM96">IFERROR(INDEX($AI$11:$AI$259, MATCH(0, IF(TRUE=$AH$11:$AH$259, COUNTIF($AM$10:$AM95, $AI$11:$AI$259), ""), 0)),"")</f>
        <v/>
      </c>
      <c r="AN96" s="25"/>
      <c r="AQ96" s="20">
        <f t="shared" si="11"/>
        <v>0</v>
      </c>
      <c r="AV96" s="540" t="str">
        <f>IFERROR(INDEX('G-1 All Habitats'!$B$3:$B$135,MATCH(F96,'G-1 All Habitats'!$A$3:$A$135,0)),"")</f>
        <v/>
      </c>
      <c r="AW96" s="20" t="str">
        <f>IF(AV96="","",VLOOKUP(AV96,'G-1 All Habitats'!$B$1:$T$135,19,FALSE))</f>
        <v/>
      </c>
    </row>
    <row r="97" spans="1:49" ht="14.5" thickBot="1" x14ac:dyDescent="0.35">
      <c r="A97" s="20" t="str">
        <f>IFERROR(INDEX('G-1 All Habitats'!$AG$3:$AG$17,MATCH(E97,'G-1 All Habitats'!$AF$3:$AF$17,0)),"")</f>
        <v/>
      </c>
      <c r="B97" s="20" t="str">
        <f>IFERROR(INDEX('G-8 Condition Look up'!$I$4:$I$135,MATCH(AV97,'G-8 Condition Look up'!$A$4:$A$135,0)),"")</f>
        <v/>
      </c>
      <c r="D97" s="238">
        <v>87</v>
      </c>
      <c r="E97" s="223"/>
      <c r="F97" s="45"/>
      <c r="G97" s="272"/>
      <c r="H97" s="37"/>
      <c r="I97" s="290" t="str">
        <f>IF(AV97="","",VLOOKUP(AV97,'G-1 All Habitats'!$B$2:$M$135,10,FALSE))</f>
        <v/>
      </c>
      <c r="J97" s="291" t="str">
        <f>IFERROR(VLOOKUP(I97,'G-1 All Habitats'!$V$3:$W$7,2,FALSE),"")</f>
        <v/>
      </c>
      <c r="K97" s="38"/>
      <c r="L97" s="291" t="str">
        <f>IFERROR(INDEX('G-8 Condition Look up'!$A$3:$H$135,MATCH(AV97,'G-8 Condition Look up'!$A$3:$A$135,0),MATCH(K97,'G-8 Condition Look up'!$A$3:$H$3,0)),"")</f>
        <v/>
      </c>
      <c r="M97" s="38"/>
      <c r="N97" s="310" t="str">
        <f>IF(M97="","",IF(VLOOKUP(M97,'G-3 Multipliers'!$L$3:$N$6,2,FALSE)=0,"Spatial Data Missing",VLOOKUP(M97,'G-3 Multipliers'!$L$3:$N$6,2,FALSE)))</f>
        <v/>
      </c>
      <c r="O97" s="296" t="str">
        <f>IF(M97="","",IF(VLOOKUP(M97,'G-3 Multipliers'!$L$3:$N$6,3,FALSE)=0,"Spatial Data Missing ▲",VLOOKUP(M97,'G-3 Multipliers'!$L$3:$N$6,3,FALSE)))</f>
        <v/>
      </c>
      <c r="P97" s="297" t="str">
        <f>(IF(G97="Yes","Bespoke compensation likely to be required 🛠",(IFERROR(VLOOKUP(AV97,'G-1 All Habitats'!$B$2:$M$135,12,FALSE),""))))</f>
        <v/>
      </c>
      <c r="Q97" s="304" t="str">
        <f>IFERROR(IF(AND(E97="Individual trees",T97&gt;0), "Error - you cannot enhance individual trees ▲", (IF(AND(U97="Irreplaceable habitat - no units generated ⚠",(S97+T97)&lt;H97, OR(Y97="No", Y97="")),"Any Loss Unacceptable ⚠", (IF(U97="Irreplaceable habitat - no units generated ⚠", T97*J97*L97*O97, IF(AND(P97='G-1 All Habitats'!$X$3, AC97&gt;0, S97&lt;=0, T97&lt;=0, OR(Y97="No", Y97="")),"Any Loss Unacceptable ⚠", IF(AND(P97='G-1 All Habitats'!$X$3, AC97&gt;0, S97&lt;=0, T97&lt;=0, Y97="Yes"), 0, (IF(AND(P97='G-1 All Habitats'!$X$3,(S97+T97)&lt;H97, OR(Y97="No", Y97="")),"Any Loss Unacceptable ⚠", (IF(P97="","",IF(AND(P97='G-1 All Habitats'!$X$3,T97&gt;0),U97+V97,IF(AND(P97='G-1 All Habitats'!$X$3,S97&gt;0),U97+V97,H97*J97*L97*O97))))))))))))),"Check Data ▲")</f>
        <v/>
      </c>
      <c r="R97" s="23"/>
      <c r="S97" s="38"/>
      <c r="T97" s="39"/>
      <c r="U97" s="302" t="str">
        <f t="shared" si="7"/>
        <v/>
      </c>
      <c r="V97" s="302" t="str">
        <f t="shared" si="8"/>
        <v/>
      </c>
      <c r="W97" s="302" t="str">
        <f>IF(E97="","",IF(H97&lt;S97+T97,"Error in Areas ▲",IF(P97&lt;&gt;'G-1 All Habitats'!$X$3,H97-S97-T97,IF(AND(P97='G-1 All Habitats'!$X$3,Y97="No"),AC97,IF(AND(P97='G-1 All Habitats'!$X$3,Y97=""),AC97,IF(AND(P97='G-1 All Habitats'!$X$3,AC97="None"),AC97,IF(AND(P97='G-1 All Habitats'!$X$3,AC97&gt;0),H97-S97-T97)))))))</f>
        <v/>
      </c>
      <c r="X97" s="306" t="str">
        <f>IFERROR(IF(H97="","",IF(H97-S97-T97=0&lt;0,"Error in Areas ▲",IF(S97+T97&gt;H97,"Error in Areas ▲",IF(AND(P97='G-1 All Habitats'!$X$3,Y97="Yes"),"Alternative Compensation ✓",IF(W97=0,0,IF(P97='G-1 All Habitats'!$X$3,"Any Loss Unacceptable ▲",Q97-U97-V97)))))),"Check Data ▲")</f>
        <v/>
      </c>
      <c r="Y97" s="39"/>
      <c r="Z97" s="46"/>
      <c r="AA97" s="419"/>
      <c r="AB97" s="101"/>
      <c r="AC97" s="495" t="str">
        <f>IF(OR(P97="", Y97="Yes"),"", IF(P97='G-1 All Habitats'!$X$3,H97-S97-T97,"None"))</f>
        <v/>
      </c>
      <c r="AD97" s="496" t="str">
        <f>IF(P97="","", IF(P97='G-1 All Habitats'!$X$3, AC97*J97*L97*O97,"None"))</f>
        <v/>
      </c>
      <c r="AE97" s="20" t="str">
        <f t="shared" si="9"/>
        <v/>
      </c>
      <c r="AF97" s="25" t="str">
        <f t="shared" si="10"/>
        <v/>
      </c>
      <c r="AG97" s="25" t="str">
        <f t="shared" si="6"/>
        <v/>
      </c>
      <c r="AH97" s="25" t="str">
        <f>IF(I97="","",IF(#REF!&gt;0,TRUE,FALSE))</f>
        <v/>
      </c>
      <c r="AI97" s="25">
        <v>87</v>
      </c>
      <c r="AJ97" s="25"/>
      <c r="AK97" s="25" t="str">
        <f t="array" ref="AK97">IFERROR(INDEX($AI$11:$AI$259, MATCH(0, IF(TRUE=$AF$11:$AF$259, COUNTIF($AK$10:$AK96, $AI$11:$AI$259), ""), 0)),"")</f>
        <v/>
      </c>
      <c r="AL97" s="25" t="str">
        <f t="array" ref="AL97">IFERROR(INDEX($AI$11:$AI$259, MATCH(0, IF(TRUE=$AG$11:$AG$259, COUNTIF($AL$10:$AL96, $AI$11:$AI$259), ""), 0)),"")</f>
        <v/>
      </c>
      <c r="AM97" s="25" t="str">
        <f t="array" ref="AM97">IFERROR(INDEX($AI$11:$AI$259, MATCH(0, IF(TRUE=$AH$11:$AH$259, COUNTIF($AM$10:$AM96, $AI$11:$AI$259), ""), 0)),"")</f>
        <v/>
      </c>
      <c r="AN97" s="25"/>
      <c r="AQ97" s="20">
        <f t="shared" si="11"/>
        <v>0</v>
      </c>
      <c r="AV97" s="540" t="str">
        <f>IFERROR(INDEX('G-1 All Habitats'!$B$3:$B$135,MATCH(F97,'G-1 All Habitats'!$A$3:$A$135,0)),"")</f>
        <v/>
      </c>
      <c r="AW97" s="20" t="str">
        <f>IF(AV97="","",VLOOKUP(AV97,'G-1 All Habitats'!$B$1:$T$135,19,FALSE))</f>
        <v/>
      </c>
    </row>
    <row r="98" spans="1:49" ht="14.5" thickBot="1" x14ac:dyDescent="0.35">
      <c r="A98" s="20" t="str">
        <f>IFERROR(INDEX('G-1 All Habitats'!$AG$3:$AG$17,MATCH(E98,'G-1 All Habitats'!$AF$3:$AF$17,0)),"")</f>
        <v/>
      </c>
      <c r="B98" s="20" t="str">
        <f>IFERROR(INDEX('G-8 Condition Look up'!$I$4:$I$135,MATCH(AV98,'G-8 Condition Look up'!$A$4:$A$135,0)),"")</f>
        <v/>
      </c>
      <c r="D98" s="238">
        <v>88</v>
      </c>
      <c r="E98" s="223"/>
      <c r="F98" s="45"/>
      <c r="G98" s="272"/>
      <c r="H98" s="37"/>
      <c r="I98" s="290" t="str">
        <f>IF(AV98="","",VLOOKUP(AV98,'G-1 All Habitats'!$B$2:$M$135,10,FALSE))</f>
        <v/>
      </c>
      <c r="J98" s="291" t="str">
        <f>IFERROR(VLOOKUP(I98,'G-1 All Habitats'!$V$3:$W$7,2,FALSE),"")</f>
        <v/>
      </c>
      <c r="K98" s="38"/>
      <c r="L98" s="291" t="str">
        <f>IFERROR(INDEX('G-8 Condition Look up'!$A$3:$H$135,MATCH(AV98,'G-8 Condition Look up'!$A$3:$A$135,0),MATCH(K98,'G-8 Condition Look up'!$A$3:$H$3,0)),"")</f>
        <v/>
      </c>
      <c r="M98" s="38"/>
      <c r="N98" s="310" t="str">
        <f>IF(M98="","",IF(VLOOKUP(M98,'G-3 Multipliers'!$L$3:$N$6,2,FALSE)=0,"Spatial Data Missing",VLOOKUP(M98,'G-3 Multipliers'!$L$3:$N$6,2,FALSE)))</f>
        <v/>
      </c>
      <c r="O98" s="296" t="str">
        <f>IF(M98="","",IF(VLOOKUP(M98,'G-3 Multipliers'!$L$3:$N$6,3,FALSE)=0,"Spatial Data Missing ▲",VLOOKUP(M98,'G-3 Multipliers'!$L$3:$N$6,3,FALSE)))</f>
        <v/>
      </c>
      <c r="P98" s="297" t="str">
        <f>(IF(G98="Yes","Bespoke compensation likely to be required 🛠",(IFERROR(VLOOKUP(AV98,'G-1 All Habitats'!$B$2:$M$135,12,FALSE),""))))</f>
        <v/>
      </c>
      <c r="Q98" s="304" t="str">
        <f>IFERROR(IF(AND(E98="Individual trees",T98&gt;0), "Error - you cannot enhance individual trees ▲", (IF(AND(U98="Irreplaceable habitat - no units generated ⚠",(S98+T98)&lt;H98, OR(Y98="No", Y98="")),"Any Loss Unacceptable ⚠", (IF(U98="Irreplaceable habitat - no units generated ⚠", T98*J98*L98*O98, IF(AND(P98='G-1 All Habitats'!$X$3, AC98&gt;0, S98&lt;=0, T98&lt;=0, OR(Y98="No", Y98="")),"Any Loss Unacceptable ⚠", IF(AND(P98='G-1 All Habitats'!$X$3, AC98&gt;0, S98&lt;=0, T98&lt;=0, Y98="Yes"), 0, (IF(AND(P98='G-1 All Habitats'!$X$3,(S98+T98)&lt;H98, OR(Y98="No", Y98="")),"Any Loss Unacceptable ⚠", (IF(P98="","",IF(AND(P98='G-1 All Habitats'!$X$3,T98&gt;0),U98+V98,IF(AND(P98='G-1 All Habitats'!$X$3,S98&gt;0),U98+V98,H98*J98*L98*O98))))))))))))),"Check Data ▲")</f>
        <v/>
      </c>
      <c r="R98" s="23"/>
      <c r="S98" s="38"/>
      <c r="T98" s="39"/>
      <c r="U98" s="302" t="str">
        <f t="shared" si="7"/>
        <v/>
      </c>
      <c r="V98" s="302" t="str">
        <f t="shared" si="8"/>
        <v/>
      </c>
      <c r="W98" s="302" t="str">
        <f>IF(E98="","",IF(H98&lt;S98+T98,"Error in Areas ▲",IF(P98&lt;&gt;'G-1 All Habitats'!$X$3,H98-S98-T98,IF(AND(P98='G-1 All Habitats'!$X$3,Y98="No"),AC98,IF(AND(P98='G-1 All Habitats'!$X$3,Y98=""),AC98,IF(AND(P98='G-1 All Habitats'!$X$3,AC98="None"),AC98,IF(AND(P98='G-1 All Habitats'!$X$3,AC98&gt;0),H98-S98-T98)))))))</f>
        <v/>
      </c>
      <c r="X98" s="306" t="str">
        <f>IFERROR(IF(H98="","",IF(H98-S98-T98=0&lt;0,"Error in Areas ▲",IF(S98+T98&gt;H98,"Error in Areas ▲",IF(AND(P98='G-1 All Habitats'!$X$3,Y98="Yes"),"Alternative Compensation ✓",IF(W98=0,0,IF(P98='G-1 All Habitats'!$X$3,"Any Loss Unacceptable ▲",Q98-U98-V98)))))),"Check Data ▲")</f>
        <v/>
      </c>
      <c r="Y98" s="39"/>
      <c r="Z98" s="46"/>
      <c r="AA98" s="419"/>
      <c r="AB98" s="101"/>
      <c r="AC98" s="495" t="str">
        <f>IF(OR(P98="", Y98="Yes"),"", IF(P98='G-1 All Habitats'!$X$3,H98-S98-T98,"None"))</f>
        <v/>
      </c>
      <c r="AD98" s="496" t="str">
        <f>IF(P98="","", IF(P98='G-1 All Habitats'!$X$3, AC98*J98*L98*O98,"None"))</f>
        <v/>
      </c>
      <c r="AE98" s="20" t="str">
        <f t="shared" si="9"/>
        <v/>
      </c>
      <c r="AF98" s="25" t="str">
        <f t="shared" si="10"/>
        <v/>
      </c>
      <c r="AG98" s="25" t="str">
        <f t="shared" si="6"/>
        <v/>
      </c>
      <c r="AH98" s="25" t="str">
        <f>IF(I98="","",IF(#REF!&gt;0,TRUE,FALSE))</f>
        <v/>
      </c>
      <c r="AI98" s="25">
        <v>88</v>
      </c>
      <c r="AJ98" s="25"/>
      <c r="AK98" s="25" t="str">
        <f t="array" ref="AK98">IFERROR(INDEX($AI$11:$AI$259, MATCH(0, IF(TRUE=$AF$11:$AF$259, COUNTIF($AK$10:$AK97, $AI$11:$AI$259), ""), 0)),"")</f>
        <v/>
      </c>
      <c r="AL98" s="25" t="str">
        <f t="array" ref="AL98">IFERROR(INDEX($AI$11:$AI$259, MATCH(0, IF(TRUE=$AG$11:$AG$259, COUNTIF($AL$10:$AL97, $AI$11:$AI$259), ""), 0)),"")</f>
        <v/>
      </c>
      <c r="AM98" s="25" t="str">
        <f t="array" ref="AM98">IFERROR(INDEX($AI$11:$AI$259, MATCH(0, IF(TRUE=$AH$11:$AH$259, COUNTIF($AM$10:$AM97, $AI$11:$AI$259), ""), 0)),"")</f>
        <v/>
      </c>
      <c r="AN98" s="25"/>
      <c r="AQ98" s="20">
        <f t="shared" si="11"/>
        <v>0</v>
      </c>
      <c r="AV98" s="540" t="str">
        <f>IFERROR(INDEX('G-1 All Habitats'!$B$3:$B$135,MATCH(F98,'G-1 All Habitats'!$A$3:$A$135,0)),"")</f>
        <v/>
      </c>
      <c r="AW98" s="20" t="str">
        <f>IF(AV98="","",VLOOKUP(AV98,'G-1 All Habitats'!$B$1:$T$135,19,FALSE))</f>
        <v/>
      </c>
    </row>
    <row r="99" spans="1:49" ht="14.5" thickBot="1" x14ac:dyDescent="0.35">
      <c r="A99" s="20" t="str">
        <f>IFERROR(INDEX('G-1 All Habitats'!$AG$3:$AG$17,MATCH(E99,'G-1 All Habitats'!$AF$3:$AF$17,0)),"")</f>
        <v/>
      </c>
      <c r="B99" s="20" t="str">
        <f>IFERROR(INDEX('G-8 Condition Look up'!$I$4:$I$135,MATCH(AV99,'G-8 Condition Look up'!$A$4:$A$135,0)),"")</f>
        <v/>
      </c>
      <c r="D99" s="238">
        <v>89</v>
      </c>
      <c r="E99" s="223"/>
      <c r="F99" s="45"/>
      <c r="G99" s="272"/>
      <c r="H99" s="37"/>
      <c r="I99" s="290" t="str">
        <f>IF(AV99="","",VLOOKUP(AV99,'G-1 All Habitats'!$B$2:$M$135,10,FALSE))</f>
        <v/>
      </c>
      <c r="J99" s="291" t="str">
        <f>IFERROR(VLOOKUP(I99,'G-1 All Habitats'!$V$3:$W$7,2,FALSE),"")</f>
        <v/>
      </c>
      <c r="K99" s="38"/>
      <c r="L99" s="291" t="str">
        <f>IFERROR(INDEX('G-8 Condition Look up'!$A$3:$H$135,MATCH(AV99,'G-8 Condition Look up'!$A$3:$A$135,0),MATCH(K99,'G-8 Condition Look up'!$A$3:$H$3,0)),"")</f>
        <v/>
      </c>
      <c r="M99" s="38"/>
      <c r="N99" s="310" t="str">
        <f>IF(M99="","",IF(VLOOKUP(M99,'G-3 Multipliers'!$L$3:$N$6,2,FALSE)=0,"Spatial Data Missing",VLOOKUP(M99,'G-3 Multipliers'!$L$3:$N$6,2,FALSE)))</f>
        <v/>
      </c>
      <c r="O99" s="296" t="str">
        <f>IF(M99="","",IF(VLOOKUP(M99,'G-3 Multipliers'!$L$3:$N$6,3,FALSE)=0,"Spatial Data Missing ▲",VLOOKUP(M99,'G-3 Multipliers'!$L$3:$N$6,3,FALSE)))</f>
        <v/>
      </c>
      <c r="P99" s="297" t="str">
        <f>(IF(G99="Yes","Bespoke compensation likely to be required 🛠",(IFERROR(VLOOKUP(AV99,'G-1 All Habitats'!$B$2:$M$135,12,FALSE),""))))</f>
        <v/>
      </c>
      <c r="Q99" s="304" t="str">
        <f>IFERROR(IF(AND(E99="Individual trees",T99&gt;0), "Error - you cannot enhance individual trees ▲", (IF(AND(U99="Irreplaceable habitat - no units generated ⚠",(S99+T99)&lt;H99, OR(Y99="No", Y99="")),"Any Loss Unacceptable ⚠", (IF(U99="Irreplaceable habitat - no units generated ⚠", T99*J99*L99*O99, IF(AND(P99='G-1 All Habitats'!$X$3, AC99&gt;0, S99&lt;=0, T99&lt;=0, OR(Y99="No", Y99="")),"Any Loss Unacceptable ⚠", IF(AND(P99='G-1 All Habitats'!$X$3, AC99&gt;0, S99&lt;=0, T99&lt;=0, Y99="Yes"), 0, (IF(AND(P99='G-1 All Habitats'!$X$3,(S99+T99)&lt;H99, OR(Y99="No", Y99="")),"Any Loss Unacceptable ⚠", (IF(P99="","",IF(AND(P99='G-1 All Habitats'!$X$3,T99&gt;0),U99+V99,IF(AND(P99='G-1 All Habitats'!$X$3,S99&gt;0),U99+V99,H99*J99*L99*O99))))))))))))),"Check Data ▲")</f>
        <v/>
      </c>
      <c r="R99" s="23"/>
      <c r="S99" s="38"/>
      <c r="T99" s="39"/>
      <c r="U99" s="302" t="str">
        <f t="shared" si="7"/>
        <v/>
      </c>
      <c r="V99" s="302" t="str">
        <f t="shared" si="8"/>
        <v/>
      </c>
      <c r="W99" s="302" t="str">
        <f>IF(E99="","",IF(H99&lt;S99+T99,"Error in Areas ▲",IF(P99&lt;&gt;'G-1 All Habitats'!$X$3,H99-S99-T99,IF(AND(P99='G-1 All Habitats'!$X$3,Y99="No"),AC99,IF(AND(P99='G-1 All Habitats'!$X$3,Y99=""),AC99,IF(AND(P99='G-1 All Habitats'!$X$3,AC99="None"),AC99,IF(AND(P99='G-1 All Habitats'!$X$3,AC99&gt;0),H99-S99-T99)))))))</f>
        <v/>
      </c>
      <c r="X99" s="306" t="str">
        <f>IFERROR(IF(H99="","",IF(H99-S99-T99=0&lt;0,"Error in Areas ▲",IF(S99+T99&gt;H99,"Error in Areas ▲",IF(AND(P99='G-1 All Habitats'!$X$3,Y99="Yes"),"Alternative Compensation ✓",IF(W99=0,0,IF(P99='G-1 All Habitats'!$X$3,"Any Loss Unacceptable ▲",Q99-U99-V99)))))),"Check Data ▲")</f>
        <v/>
      </c>
      <c r="Y99" s="39"/>
      <c r="Z99" s="46"/>
      <c r="AA99" s="419"/>
      <c r="AB99" s="101"/>
      <c r="AC99" s="495" t="str">
        <f>IF(OR(P99="", Y99="Yes"),"", IF(P99='G-1 All Habitats'!$X$3,H99-S99-T99,"None"))</f>
        <v/>
      </c>
      <c r="AD99" s="496" t="str">
        <f>IF(P99="","", IF(P99='G-1 All Habitats'!$X$3, AC99*J99*L99*O99,"None"))</f>
        <v/>
      </c>
      <c r="AE99" s="20" t="str">
        <f t="shared" si="9"/>
        <v/>
      </c>
      <c r="AF99" s="25" t="str">
        <f t="shared" si="10"/>
        <v/>
      </c>
      <c r="AG99" s="25" t="str">
        <f t="shared" si="6"/>
        <v/>
      </c>
      <c r="AH99" s="25" t="str">
        <f>IF(I99="","",IF(#REF!&gt;0,TRUE,FALSE))</f>
        <v/>
      </c>
      <c r="AI99" s="25">
        <v>89</v>
      </c>
      <c r="AJ99" s="25"/>
      <c r="AK99" s="25" t="str">
        <f t="array" ref="AK99">IFERROR(INDEX($AI$11:$AI$259, MATCH(0, IF(TRUE=$AF$11:$AF$259, COUNTIF($AK$10:$AK98, $AI$11:$AI$259), ""), 0)),"")</f>
        <v/>
      </c>
      <c r="AL99" s="25" t="str">
        <f t="array" ref="AL99">IFERROR(INDEX($AI$11:$AI$259, MATCH(0, IF(TRUE=$AG$11:$AG$259, COUNTIF($AL$10:$AL98, $AI$11:$AI$259), ""), 0)),"")</f>
        <v/>
      </c>
      <c r="AM99" s="25" t="str">
        <f t="array" ref="AM99">IFERROR(INDEX($AI$11:$AI$259, MATCH(0, IF(TRUE=$AH$11:$AH$259, COUNTIF($AM$10:$AM98, $AI$11:$AI$259), ""), 0)),"")</f>
        <v/>
      </c>
      <c r="AN99" s="25"/>
      <c r="AQ99" s="20">
        <f t="shared" si="11"/>
        <v>0</v>
      </c>
      <c r="AV99" s="540" t="str">
        <f>IFERROR(INDEX('G-1 All Habitats'!$B$3:$B$135,MATCH(F99,'G-1 All Habitats'!$A$3:$A$135,0)),"")</f>
        <v/>
      </c>
      <c r="AW99" s="20" t="str">
        <f>IF(AV99="","",VLOOKUP(AV99,'G-1 All Habitats'!$B$1:$T$135,19,FALSE))</f>
        <v/>
      </c>
    </row>
    <row r="100" spans="1:49" ht="14.5" thickBot="1" x14ac:dyDescent="0.35">
      <c r="A100" s="20" t="str">
        <f>IFERROR(INDEX('G-1 All Habitats'!$AG$3:$AG$17,MATCH(E100,'G-1 All Habitats'!$AF$3:$AF$17,0)),"")</f>
        <v/>
      </c>
      <c r="B100" s="20" t="str">
        <f>IFERROR(INDEX('G-8 Condition Look up'!$I$4:$I$135,MATCH(AV100,'G-8 Condition Look up'!$A$4:$A$135,0)),"")</f>
        <v/>
      </c>
      <c r="D100" s="238">
        <v>90</v>
      </c>
      <c r="E100" s="223"/>
      <c r="F100" s="45"/>
      <c r="G100" s="272"/>
      <c r="H100" s="37"/>
      <c r="I100" s="290" t="str">
        <f>IF(AV100="","",VLOOKUP(AV100,'G-1 All Habitats'!$B$2:$M$135,10,FALSE))</f>
        <v/>
      </c>
      <c r="J100" s="291" t="str">
        <f>IFERROR(VLOOKUP(I100,'G-1 All Habitats'!$V$3:$W$7,2,FALSE),"")</f>
        <v/>
      </c>
      <c r="K100" s="38"/>
      <c r="L100" s="291" t="str">
        <f>IFERROR(INDEX('G-8 Condition Look up'!$A$3:$H$135,MATCH(AV100,'G-8 Condition Look up'!$A$3:$A$135,0),MATCH(K100,'G-8 Condition Look up'!$A$3:$H$3,0)),"")</f>
        <v/>
      </c>
      <c r="M100" s="38"/>
      <c r="N100" s="310" t="str">
        <f>IF(M100="","",IF(VLOOKUP(M100,'G-3 Multipliers'!$L$3:$N$6,2,FALSE)=0,"Spatial Data Missing",VLOOKUP(M100,'G-3 Multipliers'!$L$3:$N$6,2,FALSE)))</f>
        <v/>
      </c>
      <c r="O100" s="296" t="str">
        <f>IF(M100="","",IF(VLOOKUP(M100,'G-3 Multipliers'!$L$3:$N$6,3,FALSE)=0,"Spatial Data Missing ▲",VLOOKUP(M100,'G-3 Multipliers'!$L$3:$N$6,3,FALSE)))</f>
        <v/>
      </c>
      <c r="P100" s="297" t="str">
        <f>(IF(G100="Yes","Bespoke compensation likely to be required 🛠",(IFERROR(VLOOKUP(AV100,'G-1 All Habitats'!$B$2:$M$135,12,FALSE),""))))</f>
        <v/>
      </c>
      <c r="Q100" s="304" t="str">
        <f>IFERROR(IF(AND(E100="Individual trees",T100&gt;0), "Error - you cannot enhance individual trees ▲", (IF(AND(U100="Irreplaceable habitat - no units generated ⚠",(S100+T100)&lt;H100, OR(Y100="No", Y100="")),"Any Loss Unacceptable ⚠", (IF(U100="Irreplaceable habitat - no units generated ⚠", T100*J100*L100*O100, IF(AND(P100='G-1 All Habitats'!$X$3, AC100&gt;0, S100&lt;=0, T100&lt;=0, OR(Y100="No", Y100="")),"Any Loss Unacceptable ⚠", IF(AND(P100='G-1 All Habitats'!$X$3, AC100&gt;0, S100&lt;=0, T100&lt;=0, Y100="Yes"), 0, (IF(AND(P100='G-1 All Habitats'!$X$3,(S100+T100)&lt;H100, OR(Y100="No", Y100="")),"Any Loss Unacceptable ⚠", (IF(P100="","",IF(AND(P100='G-1 All Habitats'!$X$3,T100&gt;0),U100+V100,IF(AND(P100='G-1 All Habitats'!$X$3,S100&gt;0),U100+V100,H100*J100*L100*O100))))))))))))),"Check Data ▲")</f>
        <v/>
      </c>
      <c r="R100" s="23"/>
      <c r="S100" s="38"/>
      <c r="T100" s="39"/>
      <c r="U100" s="302" t="str">
        <f t="shared" si="7"/>
        <v/>
      </c>
      <c r="V100" s="302" t="str">
        <f t="shared" si="8"/>
        <v/>
      </c>
      <c r="W100" s="302" t="str">
        <f>IF(E100="","",IF(H100&lt;S100+T100,"Error in Areas ▲",IF(P100&lt;&gt;'G-1 All Habitats'!$X$3,H100-S100-T100,IF(AND(P100='G-1 All Habitats'!$X$3,Y100="No"),AC100,IF(AND(P100='G-1 All Habitats'!$X$3,Y100=""),AC100,IF(AND(P100='G-1 All Habitats'!$X$3,AC100="None"),AC100,IF(AND(P100='G-1 All Habitats'!$X$3,AC100&gt;0),H100-S100-T100)))))))</f>
        <v/>
      </c>
      <c r="X100" s="306" t="str">
        <f>IFERROR(IF(H100="","",IF(H100-S100-T100=0&lt;0,"Error in Areas ▲",IF(S100+T100&gt;H100,"Error in Areas ▲",IF(AND(P100='G-1 All Habitats'!$X$3,Y100="Yes"),"Alternative Compensation ✓",IF(W100=0,0,IF(P100='G-1 All Habitats'!$X$3,"Any Loss Unacceptable ▲",Q100-U100-V100)))))),"Check Data ▲")</f>
        <v/>
      </c>
      <c r="Y100" s="39"/>
      <c r="Z100" s="46"/>
      <c r="AA100" s="419"/>
      <c r="AB100" s="101"/>
      <c r="AC100" s="495" t="str">
        <f>IF(OR(P100="", Y100="Yes"),"", IF(P100='G-1 All Habitats'!$X$3,H100-S100-T100,"None"))</f>
        <v/>
      </c>
      <c r="AD100" s="496" t="str">
        <f>IF(P100="","", IF(P100='G-1 All Habitats'!$X$3, AC100*J100*L100*O100,"None"))</f>
        <v/>
      </c>
      <c r="AE100" s="20" t="str">
        <f t="shared" si="9"/>
        <v/>
      </c>
      <c r="AF100" s="25" t="str">
        <f t="shared" si="10"/>
        <v/>
      </c>
      <c r="AG100" s="25" t="str">
        <f t="shared" si="6"/>
        <v/>
      </c>
      <c r="AH100" s="25" t="str">
        <f>IF(I100="","",IF(#REF!&gt;0,TRUE,FALSE))</f>
        <v/>
      </c>
      <c r="AI100" s="25">
        <v>90</v>
      </c>
      <c r="AJ100" s="25"/>
      <c r="AK100" s="25" t="str">
        <f t="array" ref="AK100">IFERROR(INDEX($AI$11:$AI$259, MATCH(0, IF(TRUE=$AF$11:$AF$259, COUNTIF($AK$10:$AK99, $AI$11:$AI$259), ""), 0)),"")</f>
        <v/>
      </c>
      <c r="AL100" s="25" t="str">
        <f t="array" ref="AL100">IFERROR(INDEX($AI$11:$AI$259, MATCH(0, IF(TRUE=$AG$11:$AG$259, COUNTIF($AL$10:$AL99, $AI$11:$AI$259), ""), 0)),"")</f>
        <v/>
      </c>
      <c r="AM100" s="25" t="str">
        <f t="array" ref="AM100">IFERROR(INDEX($AI$11:$AI$259, MATCH(0, IF(TRUE=$AH$11:$AH$259, COUNTIF($AM$10:$AM99, $AI$11:$AI$259), ""), 0)),"")</f>
        <v/>
      </c>
      <c r="AN100" s="25"/>
      <c r="AQ100" s="20">
        <f t="shared" si="11"/>
        <v>0</v>
      </c>
      <c r="AV100" s="540" t="str">
        <f>IFERROR(INDEX('G-1 All Habitats'!$B$3:$B$135,MATCH(F100,'G-1 All Habitats'!$A$3:$A$135,0)),"")</f>
        <v/>
      </c>
      <c r="AW100" s="20" t="str">
        <f>IF(AV100="","",VLOOKUP(AV100,'G-1 All Habitats'!$B$1:$T$135,19,FALSE))</f>
        <v/>
      </c>
    </row>
    <row r="101" spans="1:49" ht="14.5" thickBot="1" x14ac:dyDescent="0.35">
      <c r="A101" s="20" t="str">
        <f>IFERROR(INDEX('G-1 All Habitats'!$AG$3:$AG$17,MATCH(E101,'G-1 All Habitats'!$AF$3:$AF$17,0)),"")</f>
        <v/>
      </c>
      <c r="B101" s="20" t="str">
        <f>IFERROR(INDEX('G-8 Condition Look up'!$I$4:$I$135,MATCH(AV101,'G-8 Condition Look up'!$A$4:$A$135,0)),"")</f>
        <v/>
      </c>
      <c r="D101" s="238">
        <v>91</v>
      </c>
      <c r="E101" s="223"/>
      <c r="F101" s="45"/>
      <c r="G101" s="272"/>
      <c r="H101" s="37"/>
      <c r="I101" s="290" t="str">
        <f>IF(AV101="","",VLOOKUP(AV101,'G-1 All Habitats'!$B$2:$M$135,10,FALSE))</f>
        <v/>
      </c>
      <c r="J101" s="291" t="str">
        <f>IFERROR(VLOOKUP(I101,'G-1 All Habitats'!$V$3:$W$7,2,FALSE),"")</f>
        <v/>
      </c>
      <c r="K101" s="38"/>
      <c r="L101" s="291" t="str">
        <f>IFERROR(INDEX('G-8 Condition Look up'!$A$3:$H$135,MATCH(AV101,'G-8 Condition Look up'!$A$3:$A$135,0),MATCH(K101,'G-8 Condition Look up'!$A$3:$H$3,0)),"")</f>
        <v/>
      </c>
      <c r="M101" s="38"/>
      <c r="N101" s="310" t="str">
        <f>IF(M101="","",IF(VLOOKUP(M101,'G-3 Multipliers'!$L$3:$N$6,2,FALSE)=0,"Spatial Data Missing",VLOOKUP(M101,'G-3 Multipliers'!$L$3:$N$6,2,FALSE)))</f>
        <v/>
      </c>
      <c r="O101" s="296" t="str">
        <f>IF(M101="","",IF(VLOOKUP(M101,'G-3 Multipliers'!$L$3:$N$6,3,FALSE)=0,"Spatial Data Missing ▲",VLOOKUP(M101,'G-3 Multipliers'!$L$3:$N$6,3,FALSE)))</f>
        <v/>
      </c>
      <c r="P101" s="297" t="str">
        <f>(IF(G101="Yes","Bespoke compensation likely to be required 🛠",(IFERROR(VLOOKUP(AV101,'G-1 All Habitats'!$B$2:$M$135,12,FALSE),""))))</f>
        <v/>
      </c>
      <c r="Q101" s="304" t="str">
        <f>IFERROR(IF(AND(E101="Individual trees",T101&gt;0), "Error - you cannot enhance individual trees ▲", (IF(AND(U101="Irreplaceable habitat - no units generated ⚠",(S101+T101)&lt;H101, OR(Y101="No", Y101="")),"Any Loss Unacceptable ⚠", (IF(U101="Irreplaceable habitat - no units generated ⚠", T101*J101*L101*O101, IF(AND(P101='G-1 All Habitats'!$X$3, AC101&gt;0, S101&lt;=0, T101&lt;=0, OR(Y101="No", Y101="")),"Any Loss Unacceptable ⚠", IF(AND(P101='G-1 All Habitats'!$X$3, AC101&gt;0, S101&lt;=0, T101&lt;=0, Y101="Yes"), 0, (IF(AND(P101='G-1 All Habitats'!$X$3,(S101+T101)&lt;H101, OR(Y101="No", Y101="")),"Any Loss Unacceptable ⚠", (IF(P101="","",IF(AND(P101='G-1 All Habitats'!$X$3,T101&gt;0),U101+V101,IF(AND(P101='G-1 All Habitats'!$X$3,S101&gt;0),U101+V101,H101*J101*L101*O101))))))))))))),"Check Data ▲")</f>
        <v/>
      </c>
      <c r="R101" s="23"/>
      <c r="S101" s="38"/>
      <c r="T101" s="39"/>
      <c r="U101" s="302" t="str">
        <f t="shared" si="7"/>
        <v/>
      </c>
      <c r="V101" s="302" t="str">
        <f t="shared" si="8"/>
        <v/>
      </c>
      <c r="W101" s="302" t="str">
        <f>IF(E101="","",IF(H101&lt;S101+T101,"Error in Areas ▲",IF(P101&lt;&gt;'G-1 All Habitats'!$X$3,H101-S101-T101,IF(AND(P101='G-1 All Habitats'!$X$3,Y101="No"),AC101,IF(AND(P101='G-1 All Habitats'!$X$3,Y101=""),AC101,IF(AND(P101='G-1 All Habitats'!$X$3,AC101="None"),AC101,IF(AND(P101='G-1 All Habitats'!$X$3,AC101&gt;0),H101-S101-T101)))))))</f>
        <v/>
      </c>
      <c r="X101" s="306" t="str">
        <f>IFERROR(IF(H101="","",IF(H101-S101-T101=0&lt;0,"Error in Areas ▲",IF(S101+T101&gt;H101,"Error in Areas ▲",IF(AND(P101='G-1 All Habitats'!$X$3,Y101="Yes"),"Alternative Compensation ✓",IF(W101=0,0,IF(P101='G-1 All Habitats'!$X$3,"Any Loss Unacceptable ▲",Q101-U101-V101)))))),"Check Data ▲")</f>
        <v/>
      </c>
      <c r="Y101" s="39"/>
      <c r="Z101" s="46"/>
      <c r="AA101" s="419"/>
      <c r="AB101" s="101"/>
      <c r="AC101" s="495" t="str">
        <f>IF(OR(P101="", Y101="Yes"),"", IF(P101='G-1 All Habitats'!$X$3,H101-S101-T101,"None"))</f>
        <v/>
      </c>
      <c r="AD101" s="496" t="str">
        <f>IF(P101="","", IF(P101='G-1 All Habitats'!$X$3, AC101*J101*L101*O101,"None"))</f>
        <v/>
      </c>
      <c r="AE101" s="20" t="str">
        <f t="shared" si="9"/>
        <v/>
      </c>
      <c r="AF101" s="25" t="str">
        <f t="shared" si="10"/>
        <v/>
      </c>
      <c r="AG101" s="25" t="str">
        <f t="shared" si="6"/>
        <v/>
      </c>
      <c r="AH101" s="25" t="str">
        <f>IF(I101="","",IF(#REF!&gt;0,TRUE,FALSE))</f>
        <v/>
      </c>
      <c r="AI101" s="25">
        <v>91</v>
      </c>
      <c r="AJ101" s="25"/>
      <c r="AK101" s="25" t="str">
        <f t="array" ref="AK101">IFERROR(INDEX($AI$11:$AI$259, MATCH(0, IF(TRUE=$AF$11:$AF$259, COUNTIF($AK$10:$AK100, $AI$11:$AI$259), ""), 0)),"")</f>
        <v/>
      </c>
      <c r="AL101" s="25" t="str">
        <f t="array" ref="AL101">IFERROR(INDEX($AI$11:$AI$259, MATCH(0, IF(TRUE=$AG$11:$AG$259, COUNTIF($AL$10:$AL100, $AI$11:$AI$259), ""), 0)),"")</f>
        <v/>
      </c>
      <c r="AM101" s="25" t="str">
        <f t="array" ref="AM101">IFERROR(INDEX($AI$11:$AI$259, MATCH(0, IF(TRUE=$AH$11:$AH$259, COUNTIF($AM$10:$AM100, $AI$11:$AI$259), ""), 0)),"")</f>
        <v/>
      </c>
      <c r="AN101" s="25"/>
      <c r="AQ101" s="20">
        <f t="shared" si="11"/>
        <v>0</v>
      </c>
      <c r="AV101" s="540" t="str">
        <f>IFERROR(INDEX('G-1 All Habitats'!$B$3:$B$135,MATCH(F101,'G-1 All Habitats'!$A$3:$A$135,0)),"")</f>
        <v/>
      </c>
      <c r="AW101" s="20" t="str">
        <f>IF(AV101="","",VLOOKUP(AV101,'G-1 All Habitats'!$B$1:$T$135,19,FALSE))</f>
        <v/>
      </c>
    </row>
    <row r="102" spans="1:49" ht="14.5" thickBot="1" x14ac:dyDescent="0.35">
      <c r="A102" s="20" t="str">
        <f>IFERROR(INDEX('G-1 All Habitats'!$AG$3:$AG$17,MATCH(E102,'G-1 All Habitats'!$AF$3:$AF$17,0)),"")</f>
        <v/>
      </c>
      <c r="B102" s="20" t="str">
        <f>IFERROR(INDEX('G-8 Condition Look up'!$I$4:$I$135,MATCH(AV102,'G-8 Condition Look up'!$A$4:$A$135,0)),"")</f>
        <v/>
      </c>
      <c r="D102" s="238">
        <v>92</v>
      </c>
      <c r="E102" s="223"/>
      <c r="F102" s="45"/>
      <c r="G102" s="272"/>
      <c r="H102" s="37"/>
      <c r="I102" s="290" t="str">
        <f>IF(AV102="","",VLOOKUP(AV102,'G-1 All Habitats'!$B$2:$M$135,10,FALSE))</f>
        <v/>
      </c>
      <c r="J102" s="291" t="str">
        <f>IFERROR(VLOOKUP(I102,'G-1 All Habitats'!$V$3:$W$7,2,FALSE),"")</f>
        <v/>
      </c>
      <c r="K102" s="38"/>
      <c r="L102" s="291" t="str">
        <f>IFERROR(INDEX('G-8 Condition Look up'!$A$3:$H$135,MATCH(AV102,'G-8 Condition Look up'!$A$3:$A$135,0),MATCH(K102,'G-8 Condition Look up'!$A$3:$H$3,0)),"")</f>
        <v/>
      </c>
      <c r="M102" s="38"/>
      <c r="N102" s="310" t="str">
        <f>IF(M102="","",IF(VLOOKUP(M102,'G-3 Multipliers'!$L$3:$N$6,2,FALSE)=0,"Spatial Data Missing",VLOOKUP(M102,'G-3 Multipliers'!$L$3:$N$6,2,FALSE)))</f>
        <v/>
      </c>
      <c r="O102" s="296" t="str">
        <f>IF(M102="","",IF(VLOOKUP(M102,'G-3 Multipliers'!$L$3:$N$6,3,FALSE)=0,"Spatial Data Missing ▲",VLOOKUP(M102,'G-3 Multipliers'!$L$3:$N$6,3,FALSE)))</f>
        <v/>
      </c>
      <c r="P102" s="297" t="str">
        <f>(IF(G102="Yes","Bespoke compensation likely to be required 🛠",(IFERROR(VLOOKUP(AV102,'G-1 All Habitats'!$B$2:$M$135,12,FALSE),""))))</f>
        <v/>
      </c>
      <c r="Q102" s="304" t="str">
        <f>IFERROR(IF(AND(E102="Individual trees",T102&gt;0), "Error - you cannot enhance individual trees ▲", (IF(AND(U102="Irreplaceable habitat - no units generated ⚠",(S102+T102)&lt;H102, OR(Y102="No", Y102="")),"Any Loss Unacceptable ⚠", (IF(U102="Irreplaceable habitat - no units generated ⚠", T102*J102*L102*O102, IF(AND(P102='G-1 All Habitats'!$X$3, AC102&gt;0, S102&lt;=0, T102&lt;=0, OR(Y102="No", Y102="")),"Any Loss Unacceptable ⚠", IF(AND(P102='G-1 All Habitats'!$X$3, AC102&gt;0, S102&lt;=0, T102&lt;=0, Y102="Yes"), 0, (IF(AND(P102='G-1 All Habitats'!$X$3,(S102+T102)&lt;H102, OR(Y102="No", Y102="")),"Any Loss Unacceptable ⚠", (IF(P102="","",IF(AND(P102='G-1 All Habitats'!$X$3,T102&gt;0),U102+V102,IF(AND(P102='G-1 All Habitats'!$X$3,S102&gt;0),U102+V102,H102*J102*L102*O102))))))))))))),"Check Data ▲")</f>
        <v/>
      </c>
      <c r="R102" s="23"/>
      <c r="S102" s="38"/>
      <c r="T102" s="39"/>
      <c r="U102" s="302" t="str">
        <f t="shared" si="7"/>
        <v/>
      </c>
      <c r="V102" s="302" t="str">
        <f t="shared" si="8"/>
        <v/>
      </c>
      <c r="W102" s="302" t="str">
        <f>IF(E102="","",IF(H102&lt;S102+T102,"Error in Areas ▲",IF(P102&lt;&gt;'G-1 All Habitats'!$X$3,H102-S102-T102,IF(AND(P102='G-1 All Habitats'!$X$3,Y102="No"),AC102,IF(AND(P102='G-1 All Habitats'!$X$3,Y102=""),AC102,IF(AND(P102='G-1 All Habitats'!$X$3,AC102="None"),AC102,IF(AND(P102='G-1 All Habitats'!$X$3,AC102&gt;0),H102-S102-T102)))))))</f>
        <v/>
      </c>
      <c r="X102" s="306" t="str">
        <f>IFERROR(IF(H102="","",IF(H102-S102-T102=0&lt;0,"Error in Areas ▲",IF(S102+T102&gt;H102,"Error in Areas ▲",IF(AND(P102='G-1 All Habitats'!$X$3,Y102="Yes"),"Alternative Compensation ✓",IF(W102=0,0,IF(P102='G-1 All Habitats'!$X$3,"Any Loss Unacceptable ▲",Q102-U102-V102)))))),"Check Data ▲")</f>
        <v/>
      </c>
      <c r="Y102" s="39"/>
      <c r="Z102" s="46"/>
      <c r="AA102" s="419"/>
      <c r="AB102" s="101"/>
      <c r="AC102" s="495" t="str">
        <f>IF(OR(P102="", Y102="Yes"),"", IF(P102='G-1 All Habitats'!$X$3,H102-S102-T102,"None"))</f>
        <v/>
      </c>
      <c r="AD102" s="496" t="str">
        <f>IF(P102="","", IF(P102='G-1 All Habitats'!$X$3, AC102*J102*L102*O102,"None"))</f>
        <v/>
      </c>
      <c r="AE102" s="20" t="str">
        <f t="shared" si="9"/>
        <v/>
      </c>
      <c r="AF102" s="25" t="str">
        <f t="shared" si="10"/>
        <v/>
      </c>
      <c r="AG102" s="25" t="str">
        <f t="shared" si="6"/>
        <v/>
      </c>
      <c r="AH102" s="25" t="str">
        <f>IF(I102="","",IF(#REF!&gt;0,TRUE,FALSE))</f>
        <v/>
      </c>
      <c r="AI102" s="25">
        <v>92</v>
      </c>
      <c r="AJ102" s="25"/>
      <c r="AK102" s="25" t="str">
        <f t="array" ref="AK102">IFERROR(INDEX($AI$11:$AI$259, MATCH(0, IF(TRUE=$AF$11:$AF$259, COUNTIF($AK$10:$AK101, $AI$11:$AI$259), ""), 0)),"")</f>
        <v/>
      </c>
      <c r="AL102" s="25" t="str">
        <f t="array" ref="AL102">IFERROR(INDEX($AI$11:$AI$259, MATCH(0, IF(TRUE=$AG$11:$AG$259, COUNTIF($AL$10:$AL101, $AI$11:$AI$259), ""), 0)),"")</f>
        <v/>
      </c>
      <c r="AM102" s="25" t="str">
        <f t="array" ref="AM102">IFERROR(INDEX($AI$11:$AI$259, MATCH(0, IF(TRUE=$AH$11:$AH$259, COUNTIF($AM$10:$AM101, $AI$11:$AI$259), ""), 0)),"")</f>
        <v/>
      </c>
      <c r="AN102" s="25"/>
      <c r="AQ102" s="20">
        <f t="shared" si="11"/>
        <v>0</v>
      </c>
      <c r="AV102" s="540" t="str">
        <f>IFERROR(INDEX('G-1 All Habitats'!$B$3:$B$135,MATCH(F102,'G-1 All Habitats'!$A$3:$A$135,0)),"")</f>
        <v/>
      </c>
      <c r="AW102" s="20" t="str">
        <f>IF(AV102="","",VLOOKUP(AV102,'G-1 All Habitats'!$B$1:$T$135,19,FALSE))</f>
        <v/>
      </c>
    </row>
    <row r="103" spans="1:49" ht="14.5" thickBot="1" x14ac:dyDescent="0.35">
      <c r="A103" s="20" t="str">
        <f>IFERROR(INDEX('G-1 All Habitats'!$AG$3:$AG$17,MATCH(E103,'G-1 All Habitats'!$AF$3:$AF$17,0)),"")</f>
        <v/>
      </c>
      <c r="B103" s="20" t="str">
        <f>IFERROR(INDEX('G-8 Condition Look up'!$I$4:$I$135,MATCH(AV103,'G-8 Condition Look up'!$A$4:$A$135,0)),"")</f>
        <v/>
      </c>
      <c r="D103" s="238">
        <v>93</v>
      </c>
      <c r="E103" s="223"/>
      <c r="F103" s="45"/>
      <c r="G103" s="272"/>
      <c r="H103" s="37"/>
      <c r="I103" s="290" t="str">
        <f>IF(AV103="","",VLOOKUP(AV103,'G-1 All Habitats'!$B$2:$M$135,10,FALSE))</f>
        <v/>
      </c>
      <c r="J103" s="291" t="str">
        <f>IFERROR(VLOOKUP(I103,'G-1 All Habitats'!$V$3:$W$7,2,FALSE),"")</f>
        <v/>
      </c>
      <c r="K103" s="38"/>
      <c r="L103" s="291" t="str">
        <f>IFERROR(INDEX('G-8 Condition Look up'!$A$3:$H$135,MATCH(AV103,'G-8 Condition Look up'!$A$3:$A$135,0),MATCH(K103,'G-8 Condition Look up'!$A$3:$H$3,0)),"")</f>
        <v/>
      </c>
      <c r="M103" s="38"/>
      <c r="N103" s="310" t="str">
        <f>IF(M103="","",IF(VLOOKUP(M103,'G-3 Multipliers'!$L$3:$N$6,2,FALSE)=0,"Spatial Data Missing",VLOOKUP(M103,'G-3 Multipliers'!$L$3:$N$6,2,FALSE)))</f>
        <v/>
      </c>
      <c r="O103" s="296" t="str">
        <f>IF(M103="","",IF(VLOOKUP(M103,'G-3 Multipliers'!$L$3:$N$6,3,FALSE)=0,"Spatial Data Missing ▲",VLOOKUP(M103,'G-3 Multipliers'!$L$3:$N$6,3,FALSE)))</f>
        <v/>
      </c>
      <c r="P103" s="297" t="str">
        <f>(IF(G103="Yes","Bespoke compensation likely to be required 🛠",(IFERROR(VLOOKUP(AV103,'G-1 All Habitats'!$B$2:$M$135,12,FALSE),""))))</f>
        <v/>
      </c>
      <c r="Q103" s="304" t="str">
        <f>IFERROR(IF(AND(E103="Individual trees",T103&gt;0), "Error - you cannot enhance individual trees ▲", (IF(AND(U103="Irreplaceable habitat - no units generated ⚠",(S103+T103)&lt;H103, OR(Y103="No", Y103="")),"Any Loss Unacceptable ⚠", (IF(U103="Irreplaceable habitat - no units generated ⚠", T103*J103*L103*O103, IF(AND(P103='G-1 All Habitats'!$X$3, AC103&gt;0, S103&lt;=0, T103&lt;=0, OR(Y103="No", Y103="")),"Any Loss Unacceptable ⚠", IF(AND(P103='G-1 All Habitats'!$X$3, AC103&gt;0, S103&lt;=0, T103&lt;=0, Y103="Yes"), 0, (IF(AND(P103='G-1 All Habitats'!$X$3,(S103+T103)&lt;H103, OR(Y103="No", Y103="")),"Any Loss Unacceptable ⚠", (IF(P103="","",IF(AND(P103='G-1 All Habitats'!$X$3,T103&gt;0),U103+V103,IF(AND(P103='G-1 All Habitats'!$X$3,S103&gt;0),U103+V103,H103*J103*L103*O103))))))))))))),"Check Data ▲")</f>
        <v/>
      </c>
      <c r="R103" s="23"/>
      <c r="S103" s="38"/>
      <c r="T103" s="39"/>
      <c r="U103" s="302" t="str">
        <f t="shared" si="7"/>
        <v/>
      </c>
      <c r="V103" s="302" t="str">
        <f t="shared" si="8"/>
        <v/>
      </c>
      <c r="W103" s="302" t="str">
        <f>IF(E103="","",IF(H103&lt;S103+T103,"Error in Areas ▲",IF(P103&lt;&gt;'G-1 All Habitats'!$X$3,H103-S103-T103,IF(AND(P103='G-1 All Habitats'!$X$3,Y103="No"),AC103,IF(AND(P103='G-1 All Habitats'!$X$3,Y103=""),AC103,IF(AND(P103='G-1 All Habitats'!$X$3,AC103="None"),AC103,IF(AND(P103='G-1 All Habitats'!$X$3,AC103&gt;0),H103-S103-T103)))))))</f>
        <v/>
      </c>
      <c r="X103" s="306" t="str">
        <f>IFERROR(IF(H103="","",IF(H103-S103-T103=0&lt;0,"Error in Areas ▲",IF(S103+T103&gt;H103,"Error in Areas ▲",IF(AND(P103='G-1 All Habitats'!$X$3,Y103="Yes"),"Alternative Compensation ✓",IF(W103=0,0,IF(P103='G-1 All Habitats'!$X$3,"Any Loss Unacceptable ▲",Q103-U103-V103)))))),"Check Data ▲")</f>
        <v/>
      </c>
      <c r="Y103" s="39"/>
      <c r="Z103" s="46"/>
      <c r="AA103" s="419"/>
      <c r="AB103" s="101"/>
      <c r="AC103" s="495" t="str">
        <f>IF(OR(P103="", Y103="Yes"),"", IF(P103='G-1 All Habitats'!$X$3,H103-S103-T103,"None"))</f>
        <v/>
      </c>
      <c r="AD103" s="496" t="str">
        <f>IF(P103="","", IF(P103='G-1 All Habitats'!$X$3, AC103*J103*L103*O103,"None"))</f>
        <v/>
      </c>
      <c r="AE103" s="20" t="str">
        <f t="shared" si="9"/>
        <v/>
      </c>
      <c r="AF103" s="25" t="str">
        <f t="shared" si="10"/>
        <v/>
      </c>
      <c r="AG103" s="25" t="str">
        <f t="shared" si="6"/>
        <v/>
      </c>
      <c r="AH103" s="25" t="str">
        <f>IF(I103="","",IF(#REF!&gt;0,TRUE,FALSE))</f>
        <v/>
      </c>
      <c r="AI103" s="25">
        <v>93</v>
      </c>
      <c r="AJ103" s="25"/>
      <c r="AK103" s="25" t="str">
        <f t="array" ref="AK103">IFERROR(INDEX($AI$11:$AI$259, MATCH(0, IF(TRUE=$AF$11:$AF$259, COUNTIF($AK$10:$AK102, $AI$11:$AI$259), ""), 0)),"")</f>
        <v/>
      </c>
      <c r="AL103" s="25" t="str">
        <f t="array" ref="AL103">IFERROR(INDEX($AI$11:$AI$259, MATCH(0, IF(TRUE=$AG$11:$AG$259, COUNTIF($AL$10:$AL102, $AI$11:$AI$259), ""), 0)),"")</f>
        <v/>
      </c>
      <c r="AM103" s="25" t="str">
        <f t="array" ref="AM103">IFERROR(INDEX($AI$11:$AI$259, MATCH(0, IF(TRUE=$AH$11:$AH$259, COUNTIF($AM$10:$AM102, $AI$11:$AI$259), ""), 0)),"")</f>
        <v/>
      </c>
      <c r="AN103" s="25"/>
      <c r="AQ103" s="20">
        <f t="shared" si="11"/>
        <v>0</v>
      </c>
      <c r="AV103" s="540" t="str">
        <f>IFERROR(INDEX('G-1 All Habitats'!$B$3:$B$135,MATCH(F103,'G-1 All Habitats'!$A$3:$A$135,0)),"")</f>
        <v/>
      </c>
      <c r="AW103" s="20" t="str">
        <f>IF(AV103="","",VLOOKUP(AV103,'G-1 All Habitats'!$B$1:$T$135,19,FALSE))</f>
        <v/>
      </c>
    </row>
    <row r="104" spans="1:49" ht="14.5" thickBot="1" x14ac:dyDescent="0.35">
      <c r="A104" s="20" t="str">
        <f>IFERROR(INDEX('G-1 All Habitats'!$AG$3:$AG$17,MATCH(E104,'G-1 All Habitats'!$AF$3:$AF$17,0)),"")</f>
        <v/>
      </c>
      <c r="B104" s="20" t="str">
        <f>IFERROR(INDEX('G-8 Condition Look up'!$I$4:$I$135,MATCH(AV104,'G-8 Condition Look up'!$A$4:$A$135,0)),"")</f>
        <v/>
      </c>
      <c r="D104" s="238">
        <v>94</v>
      </c>
      <c r="E104" s="223"/>
      <c r="F104" s="45"/>
      <c r="G104" s="272"/>
      <c r="H104" s="37"/>
      <c r="I104" s="290" t="str">
        <f>IF(AV104="","",VLOOKUP(AV104,'G-1 All Habitats'!$B$2:$M$135,10,FALSE))</f>
        <v/>
      </c>
      <c r="J104" s="291" t="str">
        <f>IFERROR(VLOOKUP(I104,'G-1 All Habitats'!$V$3:$W$7,2,FALSE),"")</f>
        <v/>
      </c>
      <c r="K104" s="38"/>
      <c r="L104" s="291" t="str">
        <f>IFERROR(INDEX('G-8 Condition Look up'!$A$3:$H$135,MATCH(AV104,'G-8 Condition Look up'!$A$3:$A$135,0),MATCH(K104,'G-8 Condition Look up'!$A$3:$H$3,0)),"")</f>
        <v/>
      </c>
      <c r="M104" s="38"/>
      <c r="N104" s="310" t="str">
        <f>IF(M104="","",IF(VLOOKUP(M104,'G-3 Multipliers'!$L$3:$N$6,2,FALSE)=0,"Spatial Data Missing",VLOOKUP(M104,'G-3 Multipliers'!$L$3:$N$6,2,FALSE)))</f>
        <v/>
      </c>
      <c r="O104" s="296" t="str">
        <f>IF(M104="","",IF(VLOOKUP(M104,'G-3 Multipliers'!$L$3:$N$6,3,FALSE)=0,"Spatial Data Missing ▲",VLOOKUP(M104,'G-3 Multipliers'!$L$3:$N$6,3,FALSE)))</f>
        <v/>
      </c>
      <c r="P104" s="297" t="str">
        <f>(IF(G104="Yes","Bespoke compensation likely to be required 🛠",(IFERROR(VLOOKUP(AV104,'G-1 All Habitats'!$B$2:$M$135,12,FALSE),""))))</f>
        <v/>
      </c>
      <c r="Q104" s="304" t="str">
        <f>IFERROR(IF(AND(E104="Individual trees",T104&gt;0), "Error - you cannot enhance individual trees ▲", (IF(AND(U104="Irreplaceable habitat - no units generated ⚠",(S104+T104)&lt;H104, OR(Y104="No", Y104="")),"Any Loss Unacceptable ⚠", (IF(U104="Irreplaceable habitat - no units generated ⚠", T104*J104*L104*O104, IF(AND(P104='G-1 All Habitats'!$X$3, AC104&gt;0, S104&lt;=0, T104&lt;=0, OR(Y104="No", Y104="")),"Any Loss Unacceptable ⚠", IF(AND(P104='G-1 All Habitats'!$X$3, AC104&gt;0, S104&lt;=0, T104&lt;=0, Y104="Yes"), 0, (IF(AND(P104='G-1 All Habitats'!$X$3,(S104+T104)&lt;H104, OR(Y104="No", Y104="")),"Any Loss Unacceptable ⚠", (IF(P104="","",IF(AND(P104='G-1 All Habitats'!$X$3,T104&gt;0),U104+V104,IF(AND(P104='G-1 All Habitats'!$X$3,S104&gt;0),U104+V104,H104*J104*L104*O104))))))))))))),"Check Data ▲")</f>
        <v/>
      </c>
      <c r="R104" s="23"/>
      <c r="S104" s="38"/>
      <c r="T104" s="39"/>
      <c r="U104" s="302" t="str">
        <f t="shared" si="7"/>
        <v/>
      </c>
      <c r="V104" s="302" t="str">
        <f t="shared" si="8"/>
        <v/>
      </c>
      <c r="W104" s="302" t="str">
        <f>IF(E104="","",IF(H104&lt;S104+T104,"Error in Areas ▲",IF(P104&lt;&gt;'G-1 All Habitats'!$X$3,H104-S104-T104,IF(AND(P104='G-1 All Habitats'!$X$3,Y104="No"),AC104,IF(AND(P104='G-1 All Habitats'!$X$3,Y104=""),AC104,IF(AND(P104='G-1 All Habitats'!$X$3,AC104="None"),AC104,IF(AND(P104='G-1 All Habitats'!$X$3,AC104&gt;0),H104-S104-T104)))))))</f>
        <v/>
      </c>
      <c r="X104" s="306" t="str">
        <f>IFERROR(IF(H104="","",IF(H104-S104-T104=0&lt;0,"Error in Areas ▲",IF(S104+T104&gt;H104,"Error in Areas ▲",IF(AND(P104='G-1 All Habitats'!$X$3,Y104="Yes"),"Alternative Compensation ✓",IF(W104=0,0,IF(P104='G-1 All Habitats'!$X$3,"Any Loss Unacceptable ▲",Q104-U104-V104)))))),"Check Data ▲")</f>
        <v/>
      </c>
      <c r="Y104" s="39"/>
      <c r="Z104" s="46"/>
      <c r="AA104" s="419"/>
      <c r="AB104" s="101"/>
      <c r="AC104" s="495" t="str">
        <f>IF(OR(P104="", Y104="Yes"),"", IF(P104='G-1 All Habitats'!$X$3,H104-S104-T104,"None"))</f>
        <v/>
      </c>
      <c r="AD104" s="496" t="str">
        <f>IF(P104="","", IF(P104='G-1 All Habitats'!$X$3, AC104*J104*L104*O104,"None"))</f>
        <v/>
      </c>
      <c r="AE104" s="20" t="str">
        <f t="shared" si="9"/>
        <v/>
      </c>
      <c r="AF104" s="25" t="str">
        <f t="shared" si="10"/>
        <v/>
      </c>
      <c r="AG104" s="25" t="str">
        <f t="shared" si="6"/>
        <v/>
      </c>
      <c r="AH104" s="25" t="str">
        <f>IF(I104="","",IF(#REF!&gt;0,TRUE,FALSE))</f>
        <v/>
      </c>
      <c r="AI104" s="25">
        <v>94</v>
      </c>
      <c r="AJ104" s="25"/>
      <c r="AK104" s="25" t="str">
        <f t="array" ref="AK104">IFERROR(INDEX($AI$11:$AI$259, MATCH(0, IF(TRUE=$AF$11:$AF$259, COUNTIF($AK$10:$AK103, $AI$11:$AI$259), ""), 0)),"")</f>
        <v/>
      </c>
      <c r="AL104" s="25" t="str">
        <f t="array" ref="AL104">IFERROR(INDEX($AI$11:$AI$259, MATCH(0, IF(TRUE=$AG$11:$AG$259, COUNTIF($AL$10:$AL103, $AI$11:$AI$259), ""), 0)),"")</f>
        <v/>
      </c>
      <c r="AM104" s="25" t="str">
        <f t="array" ref="AM104">IFERROR(INDEX($AI$11:$AI$259, MATCH(0, IF(TRUE=$AH$11:$AH$259, COUNTIF($AM$10:$AM103, $AI$11:$AI$259), ""), 0)),"")</f>
        <v/>
      </c>
      <c r="AN104" s="25"/>
      <c r="AQ104" s="20">
        <f t="shared" si="11"/>
        <v>0</v>
      </c>
      <c r="AV104" s="540" t="str">
        <f>IFERROR(INDEX('G-1 All Habitats'!$B$3:$B$135,MATCH(F104,'G-1 All Habitats'!$A$3:$A$135,0)),"")</f>
        <v/>
      </c>
      <c r="AW104" s="20" t="str">
        <f>IF(AV104="","",VLOOKUP(AV104,'G-1 All Habitats'!$B$1:$T$135,19,FALSE))</f>
        <v/>
      </c>
    </row>
    <row r="105" spans="1:49" ht="14.5" thickBot="1" x14ac:dyDescent="0.35">
      <c r="A105" s="20" t="str">
        <f>IFERROR(INDEX('G-1 All Habitats'!$AG$3:$AG$17,MATCH(E105,'G-1 All Habitats'!$AF$3:$AF$17,0)),"")</f>
        <v/>
      </c>
      <c r="B105" s="20" t="str">
        <f>IFERROR(INDEX('G-8 Condition Look up'!$I$4:$I$135,MATCH(AV105,'G-8 Condition Look up'!$A$4:$A$135,0)),"")</f>
        <v/>
      </c>
      <c r="D105" s="238">
        <v>95</v>
      </c>
      <c r="E105" s="223"/>
      <c r="F105" s="45"/>
      <c r="G105" s="272"/>
      <c r="H105" s="37"/>
      <c r="I105" s="290" t="str">
        <f>IF(AV105="","",VLOOKUP(AV105,'G-1 All Habitats'!$B$2:$M$135,10,FALSE))</f>
        <v/>
      </c>
      <c r="J105" s="291" t="str">
        <f>IFERROR(VLOOKUP(I105,'G-1 All Habitats'!$V$3:$W$7,2,FALSE),"")</f>
        <v/>
      </c>
      <c r="K105" s="38"/>
      <c r="L105" s="291" t="str">
        <f>IFERROR(INDEX('G-8 Condition Look up'!$A$3:$H$135,MATCH(AV105,'G-8 Condition Look up'!$A$3:$A$135,0),MATCH(K105,'G-8 Condition Look up'!$A$3:$H$3,0)),"")</f>
        <v/>
      </c>
      <c r="M105" s="38"/>
      <c r="N105" s="310" t="str">
        <f>IF(M105="","",IF(VLOOKUP(M105,'G-3 Multipliers'!$L$3:$N$6,2,FALSE)=0,"Spatial Data Missing",VLOOKUP(M105,'G-3 Multipliers'!$L$3:$N$6,2,FALSE)))</f>
        <v/>
      </c>
      <c r="O105" s="296" t="str">
        <f>IF(M105="","",IF(VLOOKUP(M105,'G-3 Multipliers'!$L$3:$N$6,3,FALSE)=0,"Spatial Data Missing ▲",VLOOKUP(M105,'G-3 Multipliers'!$L$3:$N$6,3,FALSE)))</f>
        <v/>
      </c>
      <c r="P105" s="297" t="str">
        <f>(IF(G105="Yes","Bespoke compensation likely to be required 🛠",(IFERROR(VLOOKUP(AV105,'G-1 All Habitats'!$B$2:$M$135,12,FALSE),""))))</f>
        <v/>
      </c>
      <c r="Q105" s="304" t="str">
        <f>IFERROR(IF(AND(E105="Individual trees",T105&gt;0), "Error - you cannot enhance individual trees ▲", (IF(AND(U105="Irreplaceable habitat - no units generated ⚠",(S105+T105)&lt;H105, OR(Y105="No", Y105="")),"Any Loss Unacceptable ⚠", (IF(U105="Irreplaceable habitat - no units generated ⚠", T105*J105*L105*O105, IF(AND(P105='G-1 All Habitats'!$X$3, AC105&gt;0, S105&lt;=0, T105&lt;=0, OR(Y105="No", Y105="")),"Any Loss Unacceptable ⚠", IF(AND(P105='G-1 All Habitats'!$X$3, AC105&gt;0, S105&lt;=0, T105&lt;=0, Y105="Yes"), 0, (IF(AND(P105='G-1 All Habitats'!$X$3,(S105+T105)&lt;H105, OR(Y105="No", Y105="")),"Any Loss Unacceptable ⚠", (IF(P105="","",IF(AND(P105='G-1 All Habitats'!$X$3,T105&gt;0),U105+V105,IF(AND(P105='G-1 All Habitats'!$X$3,S105&gt;0),U105+V105,H105*J105*L105*O105))))))))))))),"Check Data ▲")</f>
        <v/>
      </c>
      <c r="R105" s="23"/>
      <c r="S105" s="38"/>
      <c r="T105" s="39"/>
      <c r="U105" s="302" t="str">
        <f t="shared" si="7"/>
        <v/>
      </c>
      <c r="V105" s="302" t="str">
        <f t="shared" si="8"/>
        <v/>
      </c>
      <c r="W105" s="302" t="str">
        <f>IF(E105="","",IF(H105&lt;S105+T105,"Error in Areas ▲",IF(P105&lt;&gt;'G-1 All Habitats'!$X$3,H105-S105-T105,IF(AND(P105='G-1 All Habitats'!$X$3,Y105="No"),AC105,IF(AND(P105='G-1 All Habitats'!$X$3,Y105=""),AC105,IF(AND(P105='G-1 All Habitats'!$X$3,AC105="None"),AC105,IF(AND(P105='G-1 All Habitats'!$X$3,AC105&gt;0),H105-S105-T105)))))))</f>
        <v/>
      </c>
      <c r="X105" s="306" t="str">
        <f>IFERROR(IF(H105="","",IF(H105-S105-T105=0&lt;0,"Error in Areas ▲",IF(S105+T105&gt;H105,"Error in Areas ▲",IF(AND(P105='G-1 All Habitats'!$X$3,Y105="Yes"),"Alternative Compensation ✓",IF(W105=0,0,IF(P105='G-1 All Habitats'!$X$3,"Any Loss Unacceptable ▲",Q105-U105-V105)))))),"Check Data ▲")</f>
        <v/>
      </c>
      <c r="Y105" s="39"/>
      <c r="Z105" s="46"/>
      <c r="AA105" s="419"/>
      <c r="AB105" s="101"/>
      <c r="AC105" s="495" t="str">
        <f>IF(OR(P105="", Y105="Yes"),"", IF(P105='G-1 All Habitats'!$X$3,H105-S105-T105,"None"))</f>
        <v/>
      </c>
      <c r="AD105" s="496" t="str">
        <f>IF(P105="","", IF(P105='G-1 All Habitats'!$X$3, AC105*J105*L105*O105,"None"))</f>
        <v/>
      </c>
      <c r="AE105" s="20" t="str">
        <f t="shared" si="9"/>
        <v/>
      </c>
      <c r="AF105" s="25" t="str">
        <f t="shared" si="10"/>
        <v/>
      </c>
      <c r="AG105" s="25" t="str">
        <f t="shared" si="6"/>
        <v/>
      </c>
      <c r="AH105" s="25" t="str">
        <f>IF(I105="","",IF(#REF!&gt;0,TRUE,FALSE))</f>
        <v/>
      </c>
      <c r="AI105" s="25">
        <v>95</v>
      </c>
      <c r="AJ105" s="25"/>
      <c r="AK105" s="25" t="str">
        <f t="array" ref="AK105">IFERROR(INDEX($AI$11:$AI$259, MATCH(0, IF(TRUE=$AF$11:$AF$259, COUNTIF($AK$10:$AK104, $AI$11:$AI$259), ""), 0)),"")</f>
        <v/>
      </c>
      <c r="AL105" s="25" t="str">
        <f t="array" ref="AL105">IFERROR(INDEX($AI$11:$AI$259, MATCH(0, IF(TRUE=$AG$11:$AG$259, COUNTIF($AL$10:$AL104, $AI$11:$AI$259), ""), 0)),"")</f>
        <v/>
      </c>
      <c r="AM105" s="25" t="str">
        <f t="array" ref="AM105">IFERROR(INDEX($AI$11:$AI$259, MATCH(0, IF(TRUE=$AH$11:$AH$259, COUNTIF($AM$10:$AM104, $AI$11:$AI$259), ""), 0)),"")</f>
        <v/>
      </c>
      <c r="AN105" s="25"/>
      <c r="AQ105" s="20">
        <f t="shared" si="11"/>
        <v>0</v>
      </c>
      <c r="AV105" s="540" t="str">
        <f>IFERROR(INDEX('G-1 All Habitats'!$B$3:$B$135,MATCH(F105,'G-1 All Habitats'!$A$3:$A$135,0)),"")</f>
        <v/>
      </c>
      <c r="AW105" s="20" t="str">
        <f>IF(AV105="","",VLOOKUP(AV105,'G-1 All Habitats'!$B$1:$T$135,19,FALSE))</f>
        <v/>
      </c>
    </row>
    <row r="106" spans="1:49" ht="14.5" thickBot="1" x14ac:dyDescent="0.35">
      <c r="A106" s="20" t="str">
        <f>IFERROR(INDEX('G-1 All Habitats'!$AG$3:$AG$17,MATCH(E106,'G-1 All Habitats'!$AF$3:$AF$17,0)),"")</f>
        <v/>
      </c>
      <c r="B106" s="20" t="str">
        <f>IFERROR(INDEX('G-8 Condition Look up'!$I$4:$I$135,MATCH(AV106,'G-8 Condition Look up'!$A$4:$A$135,0)),"")</f>
        <v/>
      </c>
      <c r="D106" s="238">
        <v>96</v>
      </c>
      <c r="E106" s="223"/>
      <c r="F106" s="45"/>
      <c r="G106" s="272"/>
      <c r="H106" s="37"/>
      <c r="I106" s="290" t="str">
        <f>IF(AV106="","",VLOOKUP(AV106,'G-1 All Habitats'!$B$2:$M$135,10,FALSE))</f>
        <v/>
      </c>
      <c r="J106" s="291" t="str">
        <f>IFERROR(VLOOKUP(I106,'G-1 All Habitats'!$V$3:$W$7,2,FALSE),"")</f>
        <v/>
      </c>
      <c r="K106" s="38"/>
      <c r="L106" s="291" t="str">
        <f>IFERROR(INDEX('G-8 Condition Look up'!$A$3:$H$135,MATCH(AV106,'G-8 Condition Look up'!$A$3:$A$135,0),MATCH(K106,'G-8 Condition Look up'!$A$3:$H$3,0)),"")</f>
        <v/>
      </c>
      <c r="M106" s="38"/>
      <c r="N106" s="310" t="str">
        <f>IF(M106="","",IF(VLOOKUP(M106,'G-3 Multipliers'!$L$3:$N$6,2,FALSE)=0,"Spatial Data Missing",VLOOKUP(M106,'G-3 Multipliers'!$L$3:$N$6,2,FALSE)))</f>
        <v/>
      </c>
      <c r="O106" s="296" t="str">
        <f>IF(M106="","",IF(VLOOKUP(M106,'G-3 Multipliers'!$L$3:$N$6,3,FALSE)=0,"Spatial Data Missing ▲",VLOOKUP(M106,'G-3 Multipliers'!$L$3:$N$6,3,FALSE)))</f>
        <v/>
      </c>
      <c r="P106" s="297" t="str">
        <f>(IF(G106="Yes","Bespoke compensation likely to be required 🛠",(IFERROR(VLOOKUP(AV106,'G-1 All Habitats'!$B$2:$M$135,12,FALSE),""))))</f>
        <v/>
      </c>
      <c r="Q106" s="304" t="str">
        <f>IFERROR(IF(AND(E106="Individual trees",T106&gt;0), "Error - you cannot enhance individual trees ▲", (IF(AND(U106="Irreplaceable habitat - no units generated ⚠",(S106+T106)&lt;H106, OR(Y106="No", Y106="")),"Any Loss Unacceptable ⚠", (IF(U106="Irreplaceable habitat - no units generated ⚠", T106*J106*L106*O106, IF(AND(P106='G-1 All Habitats'!$X$3, AC106&gt;0, S106&lt;=0, T106&lt;=0, OR(Y106="No", Y106="")),"Any Loss Unacceptable ⚠", IF(AND(P106='G-1 All Habitats'!$X$3, AC106&gt;0, S106&lt;=0, T106&lt;=0, Y106="Yes"), 0, (IF(AND(P106='G-1 All Habitats'!$X$3,(S106+T106)&lt;H106, OR(Y106="No", Y106="")),"Any Loss Unacceptable ⚠", (IF(P106="","",IF(AND(P106='G-1 All Habitats'!$X$3,T106&gt;0),U106+V106,IF(AND(P106='G-1 All Habitats'!$X$3,S106&gt;0),U106+V106,H106*J106*L106*O106))))))))))))),"Check Data ▲")</f>
        <v/>
      </c>
      <c r="R106" s="23"/>
      <c r="S106" s="38"/>
      <c r="T106" s="39"/>
      <c r="U106" s="302" t="str">
        <f t="shared" si="7"/>
        <v/>
      </c>
      <c r="V106" s="302" t="str">
        <f t="shared" si="8"/>
        <v/>
      </c>
      <c r="W106" s="302" t="str">
        <f>IF(E106="","",IF(H106&lt;S106+T106,"Error in Areas ▲",IF(P106&lt;&gt;'G-1 All Habitats'!$X$3,H106-S106-T106,IF(AND(P106='G-1 All Habitats'!$X$3,Y106="No"),AC106,IF(AND(P106='G-1 All Habitats'!$X$3,Y106=""),AC106,IF(AND(P106='G-1 All Habitats'!$X$3,AC106="None"),AC106,IF(AND(P106='G-1 All Habitats'!$X$3,AC106&gt;0),H106-S106-T106)))))))</f>
        <v/>
      </c>
      <c r="X106" s="306" t="str">
        <f>IFERROR(IF(H106="","",IF(H106-S106-T106=0&lt;0,"Error in Areas ▲",IF(S106+T106&gt;H106,"Error in Areas ▲",IF(AND(P106='G-1 All Habitats'!$X$3,Y106="Yes"),"Alternative Compensation ✓",IF(W106=0,0,IF(P106='G-1 All Habitats'!$X$3,"Any Loss Unacceptable ▲",Q106-U106-V106)))))),"Check Data ▲")</f>
        <v/>
      </c>
      <c r="Y106" s="39"/>
      <c r="Z106" s="46"/>
      <c r="AA106" s="419"/>
      <c r="AB106" s="101"/>
      <c r="AC106" s="495" t="str">
        <f>IF(OR(P106="", Y106="Yes"),"", IF(P106='G-1 All Habitats'!$X$3,H106-S106-T106,"None"))</f>
        <v/>
      </c>
      <c r="AD106" s="496" t="str">
        <f>IF(P106="","", IF(P106='G-1 All Habitats'!$X$3, AC106*J106*L106*O106,"None"))</f>
        <v/>
      </c>
      <c r="AE106" s="20" t="str">
        <f t="shared" si="9"/>
        <v/>
      </c>
      <c r="AF106" s="25" t="str">
        <f t="shared" si="10"/>
        <v/>
      </c>
      <c r="AG106" s="25" t="str">
        <f t="shared" si="6"/>
        <v/>
      </c>
      <c r="AH106" s="25" t="str">
        <f>IF(I106="","",IF(#REF!&gt;0,TRUE,FALSE))</f>
        <v/>
      </c>
      <c r="AI106" s="25">
        <v>96</v>
      </c>
      <c r="AJ106" s="25"/>
      <c r="AK106" s="25" t="str">
        <f t="array" ref="AK106">IFERROR(INDEX($AI$11:$AI$259, MATCH(0, IF(TRUE=$AF$11:$AF$259, COUNTIF($AK$10:$AK105, $AI$11:$AI$259), ""), 0)),"")</f>
        <v/>
      </c>
      <c r="AL106" s="25" t="str">
        <f t="array" ref="AL106">IFERROR(INDEX($AI$11:$AI$259, MATCH(0, IF(TRUE=$AG$11:$AG$259, COUNTIF($AL$10:$AL105, $AI$11:$AI$259), ""), 0)),"")</f>
        <v/>
      </c>
      <c r="AM106" s="25" t="str">
        <f t="array" ref="AM106">IFERROR(INDEX($AI$11:$AI$259, MATCH(0, IF(TRUE=$AH$11:$AH$259, COUNTIF($AM$10:$AM105, $AI$11:$AI$259), ""), 0)),"")</f>
        <v/>
      </c>
      <c r="AN106" s="25"/>
      <c r="AQ106" s="20">
        <f t="shared" si="11"/>
        <v>0</v>
      </c>
      <c r="AV106" s="540" t="str">
        <f>IFERROR(INDEX('G-1 All Habitats'!$B$3:$B$135,MATCH(F106,'G-1 All Habitats'!$A$3:$A$135,0)),"")</f>
        <v/>
      </c>
      <c r="AW106" s="20" t="str">
        <f>IF(AV106="","",VLOOKUP(AV106,'G-1 All Habitats'!$B$1:$T$135,19,FALSE))</f>
        <v/>
      </c>
    </row>
    <row r="107" spans="1:49" ht="14.5" thickBot="1" x14ac:dyDescent="0.35">
      <c r="A107" s="20" t="str">
        <f>IFERROR(INDEX('G-1 All Habitats'!$AG$3:$AG$17,MATCH(E107,'G-1 All Habitats'!$AF$3:$AF$17,0)),"")</f>
        <v/>
      </c>
      <c r="B107" s="20" t="str">
        <f>IFERROR(INDEX('G-8 Condition Look up'!$I$4:$I$135,MATCH(AV107,'G-8 Condition Look up'!$A$4:$A$135,0)),"")</f>
        <v/>
      </c>
      <c r="D107" s="238">
        <v>97</v>
      </c>
      <c r="E107" s="223"/>
      <c r="F107" s="45"/>
      <c r="G107" s="272"/>
      <c r="H107" s="37"/>
      <c r="I107" s="290" t="str">
        <f>IF(AV107="","",VLOOKUP(AV107,'G-1 All Habitats'!$B$2:$M$135,10,FALSE))</f>
        <v/>
      </c>
      <c r="J107" s="291" t="str">
        <f>IFERROR(VLOOKUP(I107,'G-1 All Habitats'!$V$3:$W$7,2,FALSE),"")</f>
        <v/>
      </c>
      <c r="K107" s="38"/>
      <c r="L107" s="291" t="str">
        <f>IFERROR(INDEX('G-8 Condition Look up'!$A$3:$H$135,MATCH(AV107,'G-8 Condition Look up'!$A$3:$A$135,0),MATCH(K107,'G-8 Condition Look up'!$A$3:$H$3,0)),"")</f>
        <v/>
      </c>
      <c r="M107" s="38"/>
      <c r="N107" s="310" t="str">
        <f>IF(M107="","",IF(VLOOKUP(M107,'G-3 Multipliers'!$L$3:$N$6,2,FALSE)=0,"Spatial Data Missing",VLOOKUP(M107,'G-3 Multipliers'!$L$3:$N$6,2,FALSE)))</f>
        <v/>
      </c>
      <c r="O107" s="296" t="str">
        <f>IF(M107="","",IF(VLOOKUP(M107,'G-3 Multipliers'!$L$3:$N$6,3,FALSE)=0,"Spatial Data Missing ▲",VLOOKUP(M107,'G-3 Multipliers'!$L$3:$N$6,3,FALSE)))</f>
        <v/>
      </c>
      <c r="P107" s="297" t="str">
        <f>(IF(G107="Yes","Bespoke compensation likely to be required 🛠",(IFERROR(VLOOKUP(AV107,'G-1 All Habitats'!$B$2:$M$135,12,FALSE),""))))</f>
        <v/>
      </c>
      <c r="Q107" s="304" t="str">
        <f>IFERROR(IF(AND(E107="Individual trees",T107&gt;0), "Error - you cannot enhance individual trees ▲", (IF(AND(U107="Irreplaceable habitat - no units generated ⚠",(S107+T107)&lt;H107, OR(Y107="No", Y107="")),"Any Loss Unacceptable ⚠", (IF(U107="Irreplaceable habitat - no units generated ⚠", T107*J107*L107*O107, IF(AND(P107='G-1 All Habitats'!$X$3, AC107&gt;0, S107&lt;=0, T107&lt;=0, OR(Y107="No", Y107="")),"Any Loss Unacceptable ⚠", IF(AND(P107='G-1 All Habitats'!$X$3, AC107&gt;0, S107&lt;=0, T107&lt;=0, Y107="Yes"), 0, (IF(AND(P107='G-1 All Habitats'!$X$3,(S107+T107)&lt;H107, OR(Y107="No", Y107="")),"Any Loss Unacceptable ⚠", (IF(P107="","",IF(AND(P107='G-1 All Habitats'!$X$3,T107&gt;0),U107+V107,IF(AND(P107='G-1 All Habitats'!$X$3,S107&gt;0),U107+V107,H107*J107*L107*O107))))))))))))),"Check Data ▲")</f>
        <v/>
      </c>
      <c r="R107" s="23"/>
      <c r="S107" s="38"/>
      <c r="T107" s="39"/>
      <c r="U107" s="302" t="str">
        <f t="shared" si="7"/>
        <v/>
      </c>
      <c r="V107" s="302" t="str">
        <f t="shared" si="8"/>
        <v/>
      </c>
      <c r="W107" s="302" t="str">
        <f>IF(E107="","",IF(H107&lt;S107+T107,"Error in Areas ▲",IF(P107&lt;&gt;'G-1 All Habitats'!$X$3,H107-S107-T107,IF(AND(P107='G-1 All Habitats'!$X$3,Y107="No"),AC107,IF(AND(P107='G-1 All Habitats'!$X$3,Y107=""),AC107,IF(AND(P107='G-1 All Habitats'!$X$3,AC107="None"),AC107,IF(AND(P107='G-1 All Habitats'!$X$3,AC107&gt;0),H107-S107-T107)))))))</f>
        <v/>
      </c>
      <c r="X107" s="306" t="str">
        <f>IFERROR(IF(H107="","",IF(H107-S107-T107=0&lt;0,"Error in Areas ▲",IF(S107+T107&gt;H107,"Error in Areas ▲",IF(AND(P107='G-1 All Habitats'!$X$3,Y107="Yes"),"Alternative Compensation ✓",IF(W107=0,0,IF(P107='G-1 All Habitats'!$X$3,"Any Loss Unacceptable ▲",Q107-U107-V107)))))),"Check Data ▲")</f>
        <v/>
      </c>
      <c r="Y107" s="39"/>
      <c r="Z107" s="46"/>
      <c r="AA107" s="419"/>
      <c r="AB107" s="101"/>
      <c r="AC107" s="495" t="str">
        <f>IF(OR(P107="", Y107="Yes"),"", IF(P107='G-1 All Habitats'!$X$3,H107-S107-T107,"None"))</f>
        <v/>
      </c>
      <c r="AD107" s="496" t="str">
        <f>IF(P107="","", IF(P107='G-1 All Habitats'!$X$3, AC107*J107*L107*O107,"None"))</f>
        <v/>
      </c>
      <c r="AE107" s="20" t="str">
        <f t="shared" si="9"/>
        <v/>
      </c>
      <c r="AF107" s="25" t="str">
        <f t="shared" si="10"/>
        <v/>
      </c>
      <c r="AG107" s="25" t="str">
        <f t="shared" si="6"/>
        <v/>
      </c>
      <c r="AH107" s="25" t="str">
        <f>IF(I107="","",IF(#REF!&gt;0,TRUE,FALSE))</f>
        <v/>
      </c>
      <c r="AI107" s="25">
        <v>97</v>
      </c>
      <c r="AJ107" s="25"/>
      <c r="AK107" s="25" t="str">
        <f t="array" ref="AK107">IFERROR(INDEX($AI$11:$AI$259, MATCH(0, IF(TRUE=$AF$11:$AF$259, COUNTIF($AK$10:$AK106, $AI$11:$AI$259), ""), 0)),"")</f>
        <v/>
      </c>
      <c r="AL107" s="25" t="str">
        <f t="array" ref="AL107">IFERROR(INDEX($AI$11:$AI$259, MATCH(0, IF(TRUE=$AG$11:$AG$259, COUNTIF($AL$10:$AL106, $AI$11:$AI$259), ""), 0)),"")</f>
        <v/>
      </c>
      <c r="AM107" s="25" t="str">
        <f t="array" ref="AM107">IFERROR(INDEX($AI$11:$AI$259, MATCH(0, IF(TRUE=$AH$11:$AH$259, COUNTIF($AM$10:$AM106, $AI$11:$AI$259), ""), 0)),"")</f>
        <v/>
      </c>
      <c r="AN107" s="25"/>
      <c r="AQ107" s="20">
        <f t="shared" si="11"/>
        <v>0</v>
      </c>
      <c r="AV107" s="540" t="str">
        <f>IFERROR(INDEX('G-1 All Habitats'!$B$3:$B$135,MATCH(F107,'G-1 All Habitats'!$A$3:$A$135,0)),"")</f>
        <v/>
      </c>
      <c r="AW107" s="20" t="str">
        <f>IF(AV107="","",VLOOKUP(AV107,'G-1 All Habitats'!$B$1:$T$135,19,FALSE))</f>
        <v/>
      </c>
    </row>
    <row r="108" spans="1:49" ht="14.5" thickBot="1" x14ac:dyDescent="0.35">
      <c r="A108" s="20" t="str">
        <f>IFERROR(INDEX('G-1 All Habitats'!$AG$3:$AG$17,MATCH(E108,'G-1 All Habitats'!$AF$3:$AF$17,0)),"")</f>
        <v/>
      </c>
      <c r="B108" s="20" t="str">
        <f>IFERROR(INDEX('G-8 Condition Look up'!$I$4:$I$135,MATCH(AV108,'G-8 Condition Look up'!$A$4:$A$135,0)),"")</f>
        <v/>
      </c>
      <c r="D108" s="238">
        <v>98</v>
      </c>
      <c r="E108" s="223"/>
      <c r="F108" s="45"/>
      <c r="G108" s="272"/>
      <c r="H108" s="37"/>
      <c r="I108" s="290" t="str">
        <f>IF(AV108="","",VLOOKUP(AV108,'G-1 All Habitats'!$B$2:$M$135,10,FALSE))</f>
        <v/>
      </c>
      <c r="J108" s="291" t="str">
        <f>IFERROR(VLOOKUP(I108,'G-1 All Habitats'!$V$3:$W$7,2,FALSE),"")</f>
        <v/>
      </c>
      <c r="K108" s="38"/>
      <c r="L108" s="291" t="str">
        <f>IFERROR(INDEX('G-8 Condition Look up'!$A$3:$H$135,MATCH(AV108,'G-8 Condition Look up'!$A$3:$A$135,0),MATCH(K108,'G-8 Condition Look up'!$A$3:$H$3,0)),"")</f>
        <v/>
      </c>
      <c r="M108" s="38"/>
      <c r="N108" s="310" t="str">
        <f>IF(M108="","",IF(VLOOKUP(M108,'G-3 Multipliers'!$L$3:$N$6,2,FALSE)=0,"Spatial Data Missing",VLOOKUP(M108,'G-3 Multipliers'!$L$3:$N$6,2,FALSE)))</f>
        <v/>
      </c>
      <c r="O108" s="296" t="str">
        <f>IF(M108="","",IF(VLOOKUP(M108,'G-3 Multipliers'!$L$3:$N$6,3,FALSE)=0,"Spatial Data Missing ▲",VLOOKUP(M108,'G-3 Multipliers'!$L$3:$N$6,3,FALSE)))</f>
        <v/>
      </c>
      <c r="P108" s="297" t="str">
        <f>(IF(G108="Yes","Bespoke compensation likely to be required 🛠",(IFERROR(VLOOKUP(AV108,'G-1 All Habitats'!$B$2:$M$135,12,FALSE),""))))</f>
        <v/>
      </c>
      <c r="Q108" s="304" t="str">
        <f>IFERROR(IF(AND(E108="Individual trees",T108&gt;0), "Error - you cannot enhance individual trees ▲", (IF(AND(U108="Irreplaceable habitat - no units generated ⚠",(S108+T108)&lt;H108, OR(Y108="No", Y108="")),"Any Loss Unacceptable ⚠", (IF(U108="Irreplaceable habitat - no units generated ⚠", T108*J108*L108*O108, IF(AND(P108='G-1 All Habitats'!$X$3, AC108&gt;0, S108&lt;=0, T108&lt;=0, OR(Y108="No", Y108="")),"Any Loss Unacceptable ⚠", IF(AND(P108='G-1 All Habitats'!$X$3, AC108&gt;0, S108&lt;=0, T108&lt;=0, Y108="Yes"), 0, (IF(AND(P108='G-1 All Habitats'!$X$3,(S108+T108)&lt;H108, OR(Y108="No", Y108="")),"Any Loss Unacceptable ⚠", (IF(P108="","",IF(AND(P108='G-1 All Habitats'!$X$3,T108&gt;0),U108+V108,IF(AND(P108='G-1 All Habitats'!$X$3,S108&gt;0),U108+V108,H108*J108*L108*O108))))))))))))),"Check Data ▲")</f>
        <v/>
      </c>
      <c r="R108" s="23"/>
      <c r="S108" s="38"/>
      <c r="T108" s="39"/>
      <c r="U108" s="302" t="str">
        <f t="shared" si="7"/>
        <v/>
      </c>
      <c r="V108" s="302" t="str">
        <f t="shared" si="8"/>
        <v/>
      </c>
      <c r="W108" s="302" t="str">
        <f>IF(E108="","",IF(H108&lt;S108+T108,"Error in Areas ▲",IF(P108&lt;&gt;'G-1 All Habitats'!$X$3,H108-S108-T108,IF(AND(P108='G-1 All Habitats'!$X$3,Y108="No"),AC108,IF(AND(P108='G-1 All Habitats'!$X$3,Y108=""),AC108,IF(AND(P108='G-1 All Habitats'!$X$3,AC108="None"),AC108,IF(AND(P108='G-1 All Habitats'!$X$3,AC108&gt;0),H108-S108-T108)))))))</f>
        <v/>
      </c>
      <c r="X108" s="306" t="str">
        <f>IFERROR(IF(H108="","",IF(H108-S108-T108=0&lt;0,"Error in Areas ▲",IF(S108+T108&gt;H108,"Error in Areas ▲",IF(AND(P108='G-1 All Habitats'!$X$3,Y108="Yes"),"Alternative Compensation ✓",IF(W108=0,0,IF(P108='G-1 All Habitats'!$X$3,"Any Loss Unacceptable ▲",Q108-U108-V108)))))),"Check Data ▲")</f>
        <v/>
      </c>
      <c r="Y108" s="39"/>
      <c r="Z108" s="46"/>
      <c r="AA108" s="419"/>
      <c r="AB108" s="101"/>
      <c r="AC108" s="495" t="str">
        <f>IF(OR(P108="", Y108="Yes"),"", IF(P108='G-1 All Habitats'!$X$3,H108-S108-T108,"None"))</f>
        <v/>
      </c>
      <c r="AD108" s="496" t="str">
        <f>IF(P108="","", IF(P108='G-1 All Habitats'!$X$3, AC108*J108*L108*O108,"None"))</f>
        <v/>
      </c>
      <c r="AE108" s="20" t="str">
        <f t="shared" si="9"/>
        <v/>
      </c>
      <c r="AF108" s="25" t="str">
        <f t="shared" si="10"/>
        <v/>
      </c>
      <c r="AG108" s="25" t="str">
        <f t="shared" si="6"/>
        <v/>
      </c>
      <c r="AH108" s="25" t="str">
        <f>IF(I108="","",IF(#REF!&gt;0,TRUE,FALSE))</f>
        <v/>
      </c>
      <c r="AI108" s="25">
        <v>98</v>
      </c>
      <c r="AJ108" s="25"/>
      <c r="AK108" s="25" t="str">
        <f t="array" ref="AK108">IFERROR(INDEX($AI$11:$AI$259, MATCH(0, IF(TRUE=$AF$11:$AF$259, COUNTIF($AK$10:$AK107, $AI$11:$AI$259), ""), 0)),"")</f>
        <v/>
      </c>
      <c r="AL108" s="25" t="str">
        <f t="array" ref="AL108">IFERROR(INDEX($AI$11:$AI$259, MATCH(0, IF(TRUE=$AG$11:$AG$259, COUNTIF($AL$10:$AL107, $AI$11:$AI$259), ""), 0)),"")</f>
        <v/>
      </c>
      <c r="AM108" s="25" t="str">
        <f t="array" ref="AM108">IFERROR(INDEX($AI$11:$AI$259, MATCH(0, IF(TRUE=$AH$11:$AH$259, COUNTIF($AM$10:$AM107, $AI$11:$AI$259), ""), 0)),"")</f>
        <v/>
      </c>
      <c r="AN108" s="25"/>
      <c r="AQ108" s="20">
        <f t="shared" si="11"/>
        <v>0</v>
      </c>
      <c r="AV108" s="540" t="str">
        <f>IFERROR(INDEX('G-1 All Habitats'!$B$3:$B$135,MATCH(F108,'G-1 All Habitats'!$A$3:$A$135,0)),"")</f>
        <v/>
      </c>
      <c r="AW108" s="20" t="str">
        <f>IF(AV108="","",VLOOKUP(AV108,'G-1 All Habitats'!$B$1:$T$135,19,FALSE))</f>
        <v/>
      </c>
    </row>
    <row r="109" spans="1:49" ht="14.5" thickBot="1" x14ac:dyDescent="0.35">
      <c r="A109" s="20" t="str">
        <f>IFERROR(INDEX('G-1 All Habitats'!$AG$3:$AG$17,MATCH(E109,'G-1 All Habitats'!$AF$3:$AF$17,0)),"")</f>
        <v/>
      </c>
      <c r="B109" s="20" t="str">
        <f>IFERROR(INDEX('G-8 Condition Look up'!$I$4:$I$135,MATCH(AV109,'G-8 Condition Look up'!$A$4:$A$135,0)),"")</f>
        <v/>
      </c>
      <c r="D109" s="238">
        <v>99</v>
      </c>
      <c r="E109" s="223"/>
      <c r="F109" s="45"/>
      <c r="G109" s="272"/>
      <c r="H109" s="37"/>
      <c r="I109" s="290" t="str">
        <f>IF(AV109="","",VLOOKUP(AV109,'G-1 All Habitats'!$B$2:$M$135,10,FALSE))</f>
        <v/>
      </c>
      <c r="J109" s="291" t="str">
        <f>IFERROR(VLOOKUP(I109,'G-1 All Habitats'!$V$3:$W$7,2,FALSE),"")</f>
        <v/>
      </c>
      <c r="K109" s="38"/>
      <c r="L109" s="291" t="str">
        <f>IFERROR(INDEX('G-8 Condition Look up'!$A$3:$H$135,MATCH(AV109,'G-8 Condition Look up'!$A$3:$A$135,0),MATCH(K109,'G-8 Condition Look up'!$A$3:$H$3,0)),"")</f>
        <v/>
      </c>
      <c r="M109" s="38"/>
      <c r="N109" s="310" t="str">
        <f>IF(M109="","",IF(VLOOKUP(M109,'G-3 Multipliers'!$L$3:$N$6,2,FALSE)=0,"Spatial Data Missing",VLOOKUP(M109,'G-3 Multipliers'!$L$3:$N$6,2,FALSE)))</f>
        <v/>
      </c>
      <c r="O109" s="296" t="str">
        <f>IF(M109="","",IF(VLOOKUP(M109,'G-3 Multipliers'!$L$3:$N$6,3,FALSE)=0,"Spatial Data Missing ▲",VLOOKUP(M109,'G-3 Multipliers'!$L$3:$N$6,3,FALSE)))</f>
        <v/>
      </c>
      <c r="P109" s="297" t="str">
        <f>(IF(G109="Yes","Bespoke compensation likely to be required 🛠",(IFERROR(VLOOKUP(AV109,'G-1 All Habitats'!$B$2:$M$135,12,FALSE),""))))</f>
        <v/>
      </c>
      <c r="Q109" s="304" t="str">
        <f>IFERROR(IF(AND(E109="Individual trees",T109&gt;0), "Error - you cannot enhance individual trees ▲", (IF(AND(U109="Irreplaceable habitat - no units generated ⚠",(S109+T109)&lt;H109, OR(Y109="No", Y109="")),"Any Loss Unacceptable ⚠", (IF(U109="Irreplaceable habitat - no units generated ⚠", T109*J109*L109*O109, IF(AND(P109='G-1 All Habitats'!$X$3, AC109&gt;0, S109&lt;=0, T109&lt;=0, OR(Y109="No", Y109="")),"Any Loss Unacceptable ⚠", IF(AND(P109='G-1 All Habitats'!$X$3, AC109&gt;0, S109&lt;=0, T109&lt;=0, Y109="Yes"), 0, (IF(AND(P109='G-1 All Habitats'!$X$3,(S109+T109)&lt;H109, OR(Y109="No", Y109="")),"Any Loss Unacceptable ⚠", (IF(P109="","",IF(AND(P109='G-1 All Habitats'!$X$3,T109&gt;0),U109+V109,IF(AND(P109='G-1 All Habitats'!$X$3,S109&gt;0),U109+V109,H109*J109*L109*O109))))))))))))),"Check Data ▲")</f>
        <v/>
      </c>
      <c r="R109" s="23"/>
      <c r="S109" s="38"/>
      <c r="T109" s="39"/>
      <c r="U109" s="302" t="str">
        <f t="shared" si="7"/>
        <v/>
      </c>
      <c r="V109" s="302" t="str">
        <f t="shared" si="8"/>
        <v/>
      </c>
      <c r="W109" s="302" t="str">
        <f>IF(E109="","",IF(H109&lt;S109+T109,"Error in Areas ▲",IF(P109&lt;&gt;'G-1 All Habitats'!$X$3,H109-S109-T109,IF(AND(P109='G-1 All Habitats'!$X$3,Y109="No"),AC109,IF(AND(P109='G-1 All Habitats'!$X$3,Y109=""),AC109,IF(AND(P109='G-1 All Habitats'!$X$3,AC109="None"),AC109,IF(AND(P109='G-1 All Habitats'!$X$3,AC109&gt;0),H109-S109-T109)))))))</f>
        <v/>
      </c>
      <c r="X109" s="306" t="str">
        <f>IFERROR(IF(H109="","",IF(H109-S109-T109=0&lt;0,"Error in Areas ▲",IF(S109+T109&gt;H109,"Error in Areas ▲",IF(AND(P109='G-1 All Habitats'!$X$3,Y109="Yes"),"Alternative Compensation ✓",IF(W109=0,0,IF(P109='G-1 All Habitats'!$X$3,"Any Loss Unacceptable ▲",Q109-U109-V109)))))),"Check Data ▲")</f>
        <v/>
      </c>
      <c r="Y109" s="39"/>
      <c r="Z109" s="46"/>
      <c r="AA109" s="419"/>
      <c r="AB109" s="101"/>
      <c r="AC109" s="495" t="str">
        <f>IF(OR(P109="", Y109="Yes"),"", IF(P109='G-1 All Habitats'!$X$3,H109-S109-T109,"None"))</f>
        <v/>
      </c>
      <c r="AD109" s="496" t="str">
        <f>IF(P109="","", IF(P109='G-1 All Habitats'!$X$3, AC109*J109*L109*O109,"None"))</f>
        <v/>
      </c>
      <c r="AE109" s="20" t="str">
        <f t="shared" si="9"/>
        <v/>
      </c>
      <c r="AF109" s="25" t="str">
        <f t="shared" si="10"/>
        <v/>
      </c>
      <c r="AG109" s="25" t="str">
        <f t="shared" si="6"/>
        <v/>
      </c>
      <c r="AH109" s="25" t="str">
        <f>IF(I109="","",IF(#REF!&gt;0,TRUE,FALSE))</f>
        <v/>
      </c>
      <c r="AI109" s="25">
        <v>99</v>
      </c>
      <c r="AJ109" s="25"/>
      <c r="AK109" s="25" t="str">
        <f t="array" ref="AK109">IFERROR(INDEX($AI$11:$AI$259, MATCH(0, IF(TRUE=$AF$11:$AF$259, COUNTIF($AK$10:$AK108, $AI$11:$AI$259), ""), 0)),"")</f>
        <v/>
      </c>
      <c r="AL109" s="25" t="str">
        <f t="array" ref="AL109">IFERROR(INDEX($AI$11:$AI$259, MATCH(0, IF(TRUE=$AG$11:$AG$259, COUNTIF($AL$10:$AL108, $AI$11:$AI$259), ""), 0)),"")</f>
        <v/>
      </c>
      <c r="AM109" s="25" t="str">
        <f t="array" ref="AM109">IFERROR(INDEX($AI$11:$AI$259, MATCH(0, IF(TRUE=$AH$11:$AH$259, COUNTIF($AM$10:$AM108, $AI$11:$AI$259), ""), 0)),"")</f>
        <v/>
      </c>
      <c r="AN109" s="25"/>
      <c r="AQ109" s="20">
        <f t="shared" si="11"/>
        <v>0</v>
      </c>
      <c r="AV109" s="540" t="str">
        <f>IFERROR(INDEX('G-1 All Habitats'!$B$3:$B$135,MATCH(F109,'G-1 All Habitats'!$A$3:$A$135,0)),"")</f>
        <v/>
      </c>
      <c r="AW109" s="20" t="str">
        <f>IF(AV109="","",VLOOKUP(AV109,'G-1 All Habitats'!$B$1:$T$135,19,FALSE))</f>
        <v/>
      </c>
    </row>
    <row r="110" spans="1:49" ht="14.5" thickBot="1" x14ac:dyDescent="0.35">
      <c r="A110" s="20" t="str">
        <f>IFERROR(INDEX('G-1 All Habitats'!$AG$3:$AG$17,MATCH(E110,'G-1 All Habitats'!$AF$3:$AF$17,0)),"")</f>
        <v/>
      </c>
      <c r="B110" s="20" t="str">
        <f>IFERROR(INDEX('G-8 Condition Look up'!$I$4:$I$135,MATCH(AV110,'G-8 Condition Look up'!$A$4:$A$135,0)),"")</f>
        <v/>
      </c>
      <c r="D110" s="238">
        <v>100</v>
      </c>
      <c r="E110" s="223"/>
      <c r="F110" s="45"/>
      <c r="G110" s="272"/>
      <c r="H110" s="37"/>
      <c r="I110" s="290" t="str">
        <f>IF(AV110="","",VLOOKUP(AV110,'G-1 All Habitats'!$B$2:$M$135,10,FALSE))</f>
        <v/>
      </c>
      <c r="J110" s="291" t="str">
        <f>IFERROR(VLOOKUP(I110,'G-1 All Habitats'!$V$3:$W$7,2,FALSE),"")</f>
        <v/>
      </c>
      <c r="K110" s="38"/>
      <c r="L110" s="291" t="str">
        <f>IFERROR(INDEX('G-8 Condition Look up'!$A$3:$H$135,MATCH(AV110,'G-8 Condition Look up'!$A$3:$A$135,0),MATCH(K110,'G-8 Condition Look up'!$A$3:$H$3,0)),"")</f>
        <v/>
      </c>
      <c r="M110" s="38"/>
      <c r="N110" s="310" t="str">
        <f>IF(M110="","",IF(VLOOKUP(M110,'G-3 Multipliers'!$L$3:$N$6,2,FALSE)=0,"Spatial Data Missing",VLOOKUP(M110,'G-3 Multipliers'!$L$3:$N$6,2,FALSE)))</f>
        <v/>
      </c>
      <c r="O110" s="296" t="str">
        <f>IF(M110="","",IF(VLOOKUP(M110,'G-3 Multipliers'!$L$3:$N$6,3,FALSE)=0,"Spatial Data Missing ▲",VLOOKUP(M110,'G-3 Multipliers'!$L$3:$N$6,3,FALSE)))</f>
        <v/>
      </c>
      <c r="P110" s="297" t="str">
        <f>(IF(G110="Yes","Bespoke compensation likely to be required 🛠",(IFERROR(VLOOKUP(AV110,'G-1 All Habitats'!$B$2:$M$135,12,FALSE),""))))</f>
        <v/>
      </c>
      <c r="Q110" s="304" t="str">
        <f>IFERROR(IF(AND(E110="Individual trees",T110&gt;0), "Error - you cannot enhance individual trees ▲", (IF(AND(U110="Irreplaceable habitat - no units generated ⚠",(S110+T110)&lt;H110, OR(Y110="No", Y110="")),"Any Loss Unacceptable ⚠", (IF(U110="Irreplaceable habitat - no units generated ⚠", T110*J110*L110*O110, IF(AND(P110='G-1 All Habitats'!$X$3, AC110&gt;0, S110&lt;=0, T110&lt;=0, OR(Y110="No", Y110="")),"Any Loss Unacceptable ⚠", IF(AND(P110='G-1 All Habitats'!$X$3, AC110&gt;0, S110&lt;=0, T110&lt;=0, Y110="Yes"), 0, (IF(AND(P110='G-1 All Habitats'!$X$3,(S110+T110)&lt;H110, OR(Y110="No", Y110="")),"Any Loss Unacceptable ⚠", (IF(P110="","",IF(AND(P110='G-1 All Habitats'!$X$3,T110&gt;0),U110+V110,IF(AND(P110='G-1 All Habitats'!$X$3,S110&gt;0),U110+V110,H110*J110*L110*O110))))))))))))),"Check Data ▲")</f>
        <v/>
      </c>
      <c r="R110" s="23"/>
      <c r="S110" s="38"/>
      <c r="T110" s="39"/>
      <c r="U110" s="302" t="str">
        <f t="shared" si="7"/>
        <v/>
      </c>
      <c r="V110" s="302" t="str">
        <f t="shared" si="8"/>
        <v/>
      </c>
      <c r="W110" s="302" t="str">
        <f>IF(E110="","",IF(H110&lt;S110+T110,"Error in Areas ▲",IF(P110&lt;&gt;'G-1 All Habitats'!$X$3,H110-S110-T110,IF(AND(P110='G-1 All Habitats'!$X$3,Y110="No"),AC110,IF(AND(P110='G-1 All Habitats'!$X$3,Y110=""),AC110,IF(AND(P110='G-1 All Habitats'!$X$3,AC110="None"),AC110,IF(AND(P110='G-1 All Habitats'!$X$3,AC110&gt;0),H110-S110-T110)))))))</f>
        <v/>
      </c>
      <c r="X110" s="306" t="str">
        <f>IFERROR(IF(H110="","",IF(H110-S110-T110=0&lt;0,"Error in Areas ▲",IF(S110+T110&gt;H110,"Error in Areas ▲",IF(AND(P110='G-1 All Habitats'!$X$3,Y110="Yes"),"Alternative Compensation ✓",IF(W110=0,0,IF(P110='G-1 All Habitats'!$X$3,"Any Loss Unacceptable ▲",Q110-U110-V110)))))),"Check Data ▲")</f>
        <v/>
      </c>
      <c r="Y110" s="39"/>
      <c r="Z110" s="46"/>
      <c r="AA110" s="419"/>
      <c r="AB110" s="101"/>
      <c r="AC110" s="495" t="str">
        <f>IF(OR(P110="", Y110="Yes"),"", IF(P110='G-1 All Habitats'!$X$3,H110-S110-T110,"None"))</f>
        <v/>
      </c>
      <c r="AD110" s="496" t="str">
        <f>IF(P110="","", IF(P110='G-1 All Habitats'!$X$3, AC110*J110*L110*O110,"None"))</f>
        <v/>
      </c>
      <c r="AE110" s="20" t="str">
        <f t="shared" si="9"/>
        <v/>
      </c>
      <c r="AF110" s="25" t="str">
        <f t="shared" si="10"/>
        <v/>
      </c>
      <c r="AG110" s="25" t="str">
        <f t="shared" si="6"/>
        <v/>
      </c>
      <c r="AH110" s="25" t="str">
        <f>IF(I110="","",IF(#REF!&gt;0,TRUE,FALSE))</f>
        <v/>
      </c>
      <c r="AI110" s="25">
        <v>100</v>
      </c>
      <c r="AJ110" s="25"/>
      <c r="AK110" s="25" t="str">
        <f t="array" ref="AK110">IFERROR(INDEX($AI$11:$AI$259, MATCH(0, IF(TRUE=$AF$11:$AF$259, COUNTIF($AK$10:$AK109, $AI$11:$AI$259), ""), 0)),"")</f>
        <v/>
      </c>
      <c r="AL110" s="25" t="str">
        <f t="array" ref="AL110">IFERROR(INDEX($AI$11:$AI$259, MATCH(0, IF(TRUE=$AG$11:$AG$259, COUNTIF($AL$10:$AL109, $AI$11:$AI$259), ""), 0)),"")</f>
        <v/>
      </c>
      <c r="AM110" s="25" t="str">
        <f t="array" ref="AM110">IFERROR(INDEX($AI$11:$AI$259, MATCH(0, IF(TRUE=$AH$11:$AH$259, COUNTIF($AM$10:$AM109, $AI$11:$AI$259), ""), 0)),"")</f>
        <v/>
      </c>
      <c r="AN110" s="25"/>
      <c r="AQ110" s="20">
        <f t="shared" si="11"/>
        <v>0</v>
      </c>
      <c r="AV110" s="540" t="str">
        <f>IFERROR(INDEX('G-1 All Habitats'!$B$3:$B$135,MATCH(F110,'G-1 All Habitats'!$A$3:$A$135,0)),"")</f>
        <v/>
      </c>
      <c r="AW110" s="20" t="str">
        <f>IF(AV110="","",VLOOKUP(AV110,'G-1 All Habitats'!$B$1:$T$135,19,FALSE))</f>
        <v/>
      </c>
    </row>
    <row r="111" spans="1:49" ht="14.5" thickBot="1" x14ac:dyDescent="0.35">
      <c r="A111" s="20" t="str">
        <f>IFERROR(INDEX('G-1 All Habitats'!$AG$3:$AG$17,MATCH(E111,'G-1 All Habitats'!$AF$3:$AF$17,0)),"")</f>
        <v/>
      </c>
      <c r="B111" s="20" t="str">
        <f>IFERROR(INDEX('G-8 Condition Look up'!$I$4:$I$135,MATCH(AV111,'G-8 Condition Look up'!$A$4:$A$135,0)),"")</f>
        <v/>
      </c>
      <c r="D111" s="238">
        <v>101</v>
      </c>
      <c r="E111" s="223"/>
      <c r="F111" s="45"/>
      <c r="G111" s="272"/>
      <c r="H111" s="37"/>
      <c r="I111" s="290" t="str">
        <f>IF(AV111="","",VLOOKUP(AV111,'G-1 All Habitats'!$B$2:$M$135,10,FALSE))</f>
        <v/>
      </c>
      <c r="J111" s="291" t="str">
        <f>IFERROR(VLOOKUP(I111,'G-1 All Habitats'!$V$3:$W$7,2,FALSE),"")</f>
        <v/>
      </c>
      <c r="K111" s="38"/>
      <c r="L111" s="291" t="str">
        <f>IFERROR(INDEX('G-8 Condition Look up'!$A$3:$H$135,MATCH(AV111,'G-8 Condition Look up'!$A$3:$A$135,0),MATCH(K111,'G-8 Condition Look up'!$A$3:$H$3,0)),"")</f>
        <v/>
      </c>
      <c r="M111" s="38"/>
      <c r="N111" s="310" t="str">
        <f>IF(M111="","",IF(VLOOKUP(M111,'G-3 Multipliers'!$L$3:$N$6,2,FALSE)=0,"Spatial Data Missing",VLOOKUP(M111,'G-3 Multipliers'!$L$3:$N$6,2,FALSE)))</f>
        <v/>
      </c>
      <c r="O111" s="296" t="str">
        <f>IF(M111="","",IF(VLOOKUP(M111,'G-3 Multipliers'!$L$3:$N$6,3,FALSE)=0,"Spatial Data Missing ▲",VLOOKUP(M111,'G-3 Multipliers'!$L$3:$N$6,3,FALSE)))</f>
        <v/>
      </c>
      <c r="P111" s="297" t="str">
        <f>(IF(G111="Yes","Bespoke compensation likely to be required 🛠",(IFERROR(VLOOKUP(AV111,'G-1 All Habitats'!$B$2:$M$135,12,FALSE),""))))</f>
        <v/>
      </c>
      <c r="Q111" s="304" t="str">
        <f>IFERROR(IF(AND(E111="Individual trees",T111&gt;0), "Error - you cannot enhance individual trees ▲", (IF(AND(U111="Irreplaceable habitat - no units generated ⚠",(S111+T111)&lt;H111, OR(Y111="No", Y111="")),"Any Loss Unacceptable ⚠", (IF(U111="Irreplaceable habitat - no units generated ⚠", T111*J111*L111*O111, IF(AND(P111='G-1 All Habitats'!$X$3, AC111&gt;0, S111&lt;=0, T111&lt;=0, OR(Y111="No", Y111="")),"Any Loss Unacceptable ⚠", IF(AND(P111='G-1 All Habitats'!$X$3, AC111&gt;0, S111&lt;=0, T111&lt;=0, Y111="Yes"), 0, (IF(AND(P111='G-1 All Habitats'!$X$3,(S111+T111)&lt;H111, OR(Y111="No", Y111="")),"Any Loss Unacceptable ⚠", (IF(P111="","",IF(AND(P111='G-1 All Habitats'!$X$3,T111&gt;0),U111+V111,IF(AND(P111='G-1 All Habitats'!$X$3,S111&gt;0),U111+V111,H111*J111*L111*O111))))))))))))),"Check Data ▲")</f>
        <v/>
      </c>
      <c r="R111" s="23"/>
      <c r="S111" s="38"/>
      <c r="T111" s="39"/>
      <c r="U111" s="302" t="str">
        <f t="shared" si="7"/>
        <v/>
      </c>
      <c r="V111" s="302" t="str">
        <f t="shared" si="8"/>
        <v/>
      </c>
      <c r="W111" s="302" t="str">
        <f>IF(E111="","",IF(H111&lt;S111+T111,"Error in Areas ▲",IF(P111&lt;&gt;'G-1 All Habitats'!$X$3,H111-S111-T111,IF(AND(P111='G-1 All Habitats'!$X$3,Y111="No"),AC111,IF(AND(P111='G-1 All Habitats'!$X$3,Y111=""),AC111,IF(AND(P111='G-1 All Habitats'!$X$3,AC111="None"),AC111,IF(AND(P111='G-1 All Habitats'!$X$3,AC111&gt;0),H111-S111-T111)))))))</f>
        <v/>
      </c>
      <c r="X111" s="306" t="str">
        <f>IFERROR(IF(H111="","",IF(H111-S111-T111=0&lt;0,"Error in Areas ▲",IF(S111+T111&gt;H111,"Error in Areas ▲",IF(AND(P111='G-1 All Habitats'!$X$3,Y111="Yes"),"Alternative Compensation ✓",IF(W111=0,0,IF(P111='G-1 All Habitats'!$X$3,"Any Loss Unacceptable ▲",Q111-U111-V111)))))),"Check Data ▲")</f>
        <v/>
      </c>
      <c r="Y111" s="39"/>
      <c r="Z111" s="46"/>
      <c r="AA111" s="419"/>
      <c r="AB111" s="101"/>
      <c r="AC111" s="495" t="str">
        <f>IF(OR(P111="", Y111="Yes"),"", IF(P111='G-1 All Habitats'!$X$3,H111-S111-T111,"None"))</f>
        <v/>
      </c>
      <c r="AD111" s="496" t="str">
        <f>IF(P111="","", IF(P111='G-1 All Habitats'!$X$3, AC111*J111*L111*O111,"None"))</f>
        <v/>
      </c>
      <c r="AE111" s="20" t="str">
        <f t="shared" si="9"/>
        <v/>
      </c>
      <c r="AF111" s="25" t="str">
        <f t="shared" si="10"/>
        <v/>
      </c>
      <c r="AG111" s="25" t="str">
        <f t="shared" si="6"/>
        <v/>
      </c>
      <c r="AH111" s="25" t="str">
        <f>IF(I111="","",IF(#REF!&gt;0,TRUE,FALSE))</f>
        <v/>
      </c>
      <c r="AI111" s="25">
        <v>101</v>
      </c>
      <c r="AJ111" s="25"/>
      <c r="AK111" s="25" t="str">
        <f t="array" ref="AK111">IFERROR(INDEX($AI$11:$AI$259, MATCH(0, IF(TRUE=$AF$11:$AF$259, COUNTIF($AK$10:$AK110, $AI$11:$AI$259), ""), 0)),"")</f>
        <v/>
      </c>
      <c r="AL111" s="25" t="str">
        <f t="array" ref="AL111">IFERROR(INDEX($AI$11:$AI$259, MATCH(0, IF(TRUE=$AG$11:$AG$259, COUNTIF($AL$10:$AL110, $AI$11:$AI$259), ""), 0)),"")</f>
        <v/>
      </c>
      <c r="AM111" s="25" t="str">
        <f t="array" ref="AM111">IFERROR(INDEX($AI$11:$AI$259, MATCH(0, IF(TRUE=$AH$11:$AH$259, COUNTIF($AM$10:$AM110, $AI$11:$AI$259), ""), 0)),"")</f>
        <v/>
      </c>
      <c r="AN111" s="25"/>
      <c r="AQ111" s="20">
        <f t="shared" si="11"/>
        <v>0</v>
      </c>
      <c r="AV111" s="540" t="str">
        <f>IFERROR(INDEX('G-1 All Habitats'!$B$3:$B$135,MATCH(F111,'G-1 All Habitats'!$A$3:$A$135,0)),"")</f>
        <v/>
      </c>
      <c r="AW111" s="20" t="str">
        <f>IF(AV111="","",VLOOKUP(AV111,'G-1 All Habitats'!$B$1:$T$135,19,FALSE))</f>
        <v/>
      </c>
    </row>
    <row r="112" spans="1:49" ht="14.5" thickBot="1" x14ac:dyDescent="0.35">
      <c r="A112" s="20" t="str">
        <f>IFERROR(INDEX('G-1 All Habitats'!$AG$3:$AG$17,MATCH(E112,'G-1 All Habitats'!$AF$3:$AF$17,0)),"")</f>
        <v/>
      </c>
      <c r="B112" s="20" t="str">
        <f>IFERROR(INDEX('G-8 Condition Look up'!$I$4:$I$135,MATCH(AV112,'G-8 Condition Look up'!$A$4:$A$135,0)),"")</f>
        <v/>
      </c>
      <c r="D112" s="238">
        <v>102</v>
      </c>
      <c r="E112" s="223"/>
      <c r="F112" s="45"/>
      <c r="G112" s="272"/>
      <c r="H112" s="37"/>
      <c r="I112" s="290" t="str">
        <f>IF(AV112="","",VLOOKUP(AV112,'G-1 All Habitats'!$B$2:$M$135,10,FALSE))</f>
        <v/>
      </c>
      <c r="J112" s="291" t="str">
        <f>IFERROR(VLOOKUP(I112,'G-1 All Habitats'!$V$3:$W$7,2,FALSE),"")</f>
        <v/>
      </c>
      <c r="K112" s="38"/>
      <c r="L112" s="291" t="str">
        <f>IFERROR(INDEX('G-8 Condition Look up'!$A$3:$H$135,MATCH(AV112,'G-8 Condition Look up'!$A$3:$A$135,0),MATCH(K112,'G-8 Condition Look up'!$A$3:$H$3,0)),"")</f>
        <v/>
      </c>
      <c r="M112" s="38"/>
      <c r="N112" s="310" t="str">
        <f>IF(M112="","",IF(VLOOKUP(M112,'G-3 Multipliers'!$L$3:$N$6,2,FALSE)=0,"Spatial Data Missing",VLOOKUP(M112,'G-3 Multipliers'!$L$3:$N$6,2,FALSE)))</f>
        <v/>
      </c>
      <c r="O112" s="296" t="str">
        <f>IF(M112="","",IF(VLOOKUP(M112,'G-3 Multipliers'!$L$3:$N$6,3,FALSE)=0,"Spatial Data Missing ▲",VLOOKUP(M112,'G-3 Multipliers'!$L$3:$N$6,3,FALSE)))</f>
        <v/>
      </c>
      <c r="P112" s="297" t="str">
        <f>(IF(G112="Yes","Bespoke compensation likely to be required 🛠",(IFERROR(VLOOKUP(AV112,'G-1 All Habitats'!$B$2:$M$135,12,FALSE),""))))</f>
        <v/>
      </c>
      <c r="Q112" s="304" t="str">
        <f>IFERROR(IF(AND(E112="Individual trees",T112&gt;0), "Error - you cannot enhance individual trees ▲", (IF(AND(U112="Irreplaceable habitat - no units generated ⚠",(S112+T112)&lt;H112, OR(Y112="No", Y112="")),"Any Loss Unacceptable ⚠", (IF(U112="Irreplaceable habitat - no units generated ⚠", T112*J112*L112*O112, IF(AND(P112='G-1 All Habitats'!$X$3, AC112&gt;0, S112&lt;=0, T112&lt;=0, OR(Y112="No", Y112="")),"Any Loss Unacceptable ⚠", IF(AND(P112='G-1 All Habitats'!$X$3, AC112&gt;0, S112&lt;=0, T112&lt;=0, Y112="Yes"), 0, (IF(AND(P112='G-1 All Habitats'!$X$3,(S112+T112)&lt;H112, OR(Y112="No", Y112="")),"Any Loss Unacceptable ⚠", (IF(P112="","",IF(AND(P112='G-1 All Habitats'!$X$3,T112&gt;0),U112+V112,IF(AND(P112='G-1 All Habitats'!$X$3,S112&gt;0),U112+V112,H112*J112*L112*O112))))))))))))),"Check Data ▲")</f>
        <v/>
      </c>
      <c r="R112" s="23"/>
      <c r="S112" s="38"/>
      <c r="T112" s="39"/>
      <c r="U112" s="302" t="str">
        <f t="shared" si="7"/>
        <v/>
      </c>
      <c r="V112" s="302" t="str">
        <f t="shared" si="8"/>
        <v/>
      </c>
      <c r="W112" s="302" t="str">
        <f>IF(E112="","",IF(H112&lt;S112+T112,"Error in Areas ▲",IF(P112&lt;&gt;'G-1 All Habitats'!$X$3,H112-S112-T112,IF(AND(P112='G-1 All Habitats'!$X$3,Y112="No"),AC112,IF(AND(P112='G-1 All Habitats'!$X$3,Y112=""),AC112,IF(AND(P112='G-1 All Habitats'!$X$3,AC112="None"),AC112,IF(AND(P112='G-1 All Habitats'!$X$3,AC112&gt;0),H112-S112-T112)))))))</f>
        <v/>
      </c>
      <c r="X112" s="306" t="str">
        <f>IFERROR(IF(H112="","",IF(H112-S112-T112=0&lt;0,"Error in Areas ▲",IF(S112+T112&gt;H112,"Error in Areas ▲",IF(AND(P112='G-1 All Habitats'!$X$3,Y112="Yes"),"Alternative Compensation ✓",IF(W112=0,0,IF(P112='G-1 All Habitats'!$X$3,"Any Loss Unacceptable ▲",Q112-U112-V112)))))),"Check Data ▲")</f>
        <v/>
      </c>
      <c r="Y112" s="39"/>
      <c r="Z112" s="46"/>
      <c r="AA112" s="419"/>
      <c r="AB112" s="101"/>
      <c r="AC112" s="495" t="str">
        <f>IF(OR(P112="", Y112="Yes"),"", IF(P112='G-1 All Habitats'!$X$3,H112-S112-T112,"None"))</f>
        <v/>
      </c>
      <c r="AD112" s="496" t="str">
        <f>IF(P112="","", IF(P112='G-1 All Habitats'!$X$3, AC112*J112*L112*O112,"None"))</f>
        <v/>
      </c>
      <c r="AE112" s="20" t="str">
        <f t="shared" si="9"/>
        <v/>
      </c>
      <c r="AF112" s="25" t="str">
        <f t="shared" si="10"/>
        <v/>
      </c>
      <c r="AG112" s="25" t="str">
        <f t="shared" si="6"/>
        <v/>
      </c>
      <c r="AH112" s="25" t="str">
        <f>IF(I112="","",IF(#REF!&gt;0,TRUE,FALSE))</f>
        <v/>
      </c>
      <c r="AI112" s="25">
        <v>102</v>
      </c>
      <c r="AJ112" s="25"/>
      <c r="AK112" s="25" t="str">
        <f t="array" ref="AK112">IFERROR(INDEX($AI$11:$AI$259, MATCH(0, IF(TRUE=$AF$11:$AF$259, COUNTIF($AK$10:$AK111, $AI$11:$AI$259), ""), 0)),"")</f>
        <v/>
      </c>
      <c r="AL112" s="25" t="str">
        <f t="array" ref="AL112">IFERROR(INDEX($AI$11:$AI$259, MATCH(0, IF(TRUE=$AG$11:$AG$259, COUNTIF($AL$10:$AL111, $AI$11:$AI$259), ""), 0)),"")</f>
        <v/>
      </c>
      <c r="AM112" s="25" t="str">
        <f t="array" ref="AM112">IFERROR(INDEX($AI$11:$AI$259, MATCH(0, IF(TRUE=$AH$11:$AH$259, COUNTIF($AM$10:$AM111, $AI$11:$AI$259), ""), 0)),"")</f>
        <v/>
      </c>
      <c r="AN112" s="25"/>
      <c r="AQ112" s="20">
        <f t="shared" si="11"/>
        <v>0</v>
      </c>
      <c r="AV112" s="540" t="str">
        <f>IFERROR(INDEX('G-1 All Habitats'!$B$3:$B$135,MATCH(F112,'G-1 All Habitats'!$A$3:$A$135,0)),"")</f>
        <v/>
      </c>
      <c r="AW112" s="20" t="str">
        <f>IF(AV112="","",VLOOKUP(AV112,'G-1 All Habitats'!$B$1:$T$135,19,FALSE))</f>
        <v/>
      </c>
    </row>
    <row r="113" spans="1:49" ht="14.5" thickBot="1" x14ac:dyDescent="0.35">
      <c r="A113" s="20" t="str">
        <f>IFERROR(INDEX('G-1 All Habitats'!$AG$3:$AG$17,MATCH(E113,'G-1 All Habitats'!$AF$3:$AF$17,0)),"")</f>
        <v/>
      </c>
      <c r="B113" s="20" t="str">
        <f>IFERROR(INDEX('G-8 Condition Look up'!$I$4:$I$135,MATCH(AV113,'G-8 Condition Look up'!$A$4:$A$135,0)),"")</f>
        <v/>
      </c>
      <c r="D113" s="238">
        <v>103</v>
      </c>
      <c r="E113" s="223"/>
      <c r="F113" s="45"/>
      <c r="G113" s="272"/>
      <c r="H113" s="37"/>
      <c r="I113" s="290" t="str">
        <f>IF(AV113="","",VLOOKUP(AV113,'G-1 All Habitats'!$B$2:$M$135,10,FALSE))</f>
        <v/>
      </c>
      <c r="J113" s="291" t="str">
        <f>IFERROR(VLOOKUP(I113,'G-1 All Habitats'!$V$3:$W$7,2,FALSE),"")</f>
        <v/>
      </c>
      <c r="K113" s="38"/>
      <c r="L113" s="291" t="str">
        <f>IFERROR(INDEX('G-8 Condition Look up'!$A$3:$H$135,MATCH(AV113,'G-8 Condition Look up'!$A$3:$A$135,0),MATCH(K113,'G-8 Condition Look up'!$A$3:$H$3,0)),"")</f>
        <v/>
      </c>
      <c r="M113" s="38"/>
      <c r="N113" s="310" t="str">
        <f>IF(M113="","",IF(VLOOKUP(M113,'G-3 Multipliers'!$L$3:$N$6,2,FALSE)=0,"Spatial Data Missing",VLOOKUP(M113,'G-3 Multipliers'!$L$3:$N$6,2,FALSE)))</f>
        <v/>
      </c>
      <c r="O113" s="296" t="str">
        <f>IF(M113="","",IF(VLOOKUP(M113,'G-3 Multipliers'!$L$3:$N$6,3,FALSE)=0,"Spatial Data Missing ▲",VLOOKUP(M113,'G-3 Multipliers'!$L$3:$N$6,3,FALSE)))</f>
        <v/>
      </c>
      <c r="P113" s="297" t="str">
        <f>(IF(G113="Yes","Bespoke compensation likely to be required 🛠",(IFERROR(VLOOKUP(AV113,'G-1 All Habitats'!$B$2:$M$135,12,FALSE),""))))</f>
        <v/>
      </c>
      <c r="Q113" s="304" t="str">
        <f>IFERROR(IF(AND(E113="Individual trees",T113&gt;0), "Error - you cannot enhance individual trees ▲", (IF(AND(U113="Irreplaceable habitat - no units generated ⚠",(S113+T113)&lt;H113, OR(Y113="No", Y113="")),"Any Loss Unacceptable ⚠", (IF(U113="Irreplaceable habitat - no units generated ⚠", T113*J113*L113*O113, IF(AND(P113='G-1 All Habitats'!$X$3, AC113&gt;0, S113&lt;=0, T113&lt;=0, OR(Y113="No", Y113="")),"Any Loss Unacceptable ⚠", IF(AND(P113='G-1 All Habitats'!$X$3, AC113&gt;0, S113&lt;=0, T113&lt;=0, Y113="Yes"), 0, (IF(AND(P113='G-1 All Habitats'!$X$3,(S113+T113)&lt;H113, OR(Y113="No", Y113="")),"Any Loss Unacceptable ⚠", (IF(P113="","",IF(AND(P113='G-1 All Habitats'!$X$3,T113&gt;0),U113+V113,IF(AND(P113='G-1 All Habitats'!$X$3,S113&gt;0),U113+V113,H113*J113*L113*O113))))))))))))),"Check Data ▲")</f>
        <v/>
      </c>
      <c r="R113" s="23"/>
      <c r="S113" s="38"/>
      <c r="T113" s="39"/>
      <c r="U113" s="302" t="str">
        <f t="shared" si="7"/>
        <v/>
      </c>
      <c r="V113" s="302" t="str">
        <f t="shared" si="8"/>
        <v/>
      </c>
      <c r="W113" s="302" t="str">
        <f>IF(E113="","",IF(H113&lt;S113+T113,"Error in Areas ▲",IF(P113&lt;&gt;'G-1 All Habitats'!$X$3,H113-S113-T113,IF(AND(P113='G-1 All Habitats'!$X$3,Y113="No"),AC113,IF(AND(P113='G-1 All Habitats'!$X$3,Y113=""),AC113,IF(AND(P113='G-1 All Habitats'!$X$3,AC113="None"),AC113,IF(AND(P113='G-1 All Habitats'!$X$3,AC113&gt;0),H113-S113-T113)))))))</f>
        <v/>
      </c>
      <c r="X113" s="306" t="str">
        <f>IFERROR(IF(H113="","",IF(H113-S113-T113=0&lt;0,"Error in Areas ▲",IF(S113+T113&gt;H113,"Error in Areas ▲",IF(AND(P113='G-1 All Habitats'!$X$3,Y113="Yes"),"Alternative Compensation ✓",IF(W113=0,0,IF(P113='G-1 All Habitats'!$X$3,"Any Loss Unacceptable ▲",Q113-U113-V113)))))),"Check Data ▲")</f>
        <v/>
      </c>
      <c r="Y113" s="39"/>
      <c r="Z113" s="46"/>
      <c r="AA113" s="419"/>
      <c r="AB113" s="101"/>
      <c r="AC113" s="495" t="str">
        <f>IF(OR(P113="", Y113="Yes"),"", IF(P113='G-1 All Habitats'!$X$3,H113-S113-T113,"None"))</f>
        <v/>
      </c>
      <c r="AD113" s="496" t="str">
        <f>IF(P113="","", IF(P113='G-1 All Habitats'!$X$3, AC113*J113*L113*O113,"None"))</f>
        <v/>
      </c>
      <c r="AE113" s="20" t="str">
        <f t="shared" si="9"/>
        <v/>
      </c>
      <c r="AF113" s="25" t="str">
        <f t="shared" si="10"/>
        <v/>
      </c>
      <c r="AG113" s="25" t="str">
        <f t="shared" si="6"/>
        <v/>
      </c>
      <c r="AH113" s="25" t="str">
        <f>IF(I113="","",IF(#REF!&gt;0,TRUE,FALSE))</f>
        <v/>
      </c>
      <c r="AI113" s="25">
        <v>103</v>
      </c>
      <c r="AJ113" s="25"/>
      <c r="AK113" s="25" t="str">
        <f t="array" ref="AK113">IFERROR(INDEX($AI$11:$AI$259, MATCH(0, IF(TRUE=$AF$11:$AF$259, COUNTIF($AK$10:$AK112, $AI$11:$AI$259), ""), 0)),"")</f>
        <v/>
      </c>
      <c r="AL113" s="25" t="str">
        <f t="array" ref="AL113">IFERROR(INDEX($AI$11:$AI$259, MATCH(0, IF(TRUE=$AG$11:$AG$259, COUNTIF($AL$10:$AL112, $AI$11:$AI$259), ""), 0)),"")</f>
        <v/>
      </c>
      <c r="AM113" s="25" t="str">
        <f t="array" ref="AM113">IFERROR(INDEX($AI$11:$AI$259, MATCH(0, IF(TRUE=$AH$11:$AH$259, COUNTIF($AM$10:$AM112, $AI$11:$AI$259), ""), 0)),"")</f>
        <v/>
      </c>
      <c r="AN113" s="25"/>
      <c r="AQ113" s="20">
        <f t="shared" si="11"/>
        <v>0</v>
      </c>
      <c r="AV113" s="540" t="str">
        <f>IFERROR(INDEX('G-1 All Habitats'!$B$3:$B$135,MATCH(F113,'G-1 All Habitats'!$A$3:$A$135,0)),"")</f>
        <v/>
      </c>
      <c r="AW113" s="20" t="str">
        <f>IF(AV113="","",VLOOKUP(AV113,'G-1 All Habitats'!$B$1:$T$135,19,FALSE))</f>
        <v/>
      </c>
    </row>
    <row r="114" spans="1:49" ht="14.5" thickBot="1" x14ac:dyDescent="0.35">
      <c r="A114" s="20" t="str">
        <f>IFERROR(INDEX('G-1 All Habitats'!$AG$3:$AG$17,MATCH(E114,'G-1 All Habitats'!$AF$3:$AF$17,0)),"")</f>
        <v/>
      </c>
      <c r="B114" s="20" t="str">
        <f>IFERROR(INDEX('G-8 Condition Look up'!$I$4:$I$135,MATCH(AV114,'G-8 Condition Look up'!$A$4:$A$135,0)),"")</f>
        <v/>
      </c>
      <c r="D114" s="238">
        <v>104</v>
      </c>
      <c r="E114" s="223"/>
      <c r="F114" s="45"/>
      <c r="G114" s="272"/>
      <c r="H114" s="37"/>
      <c r="I114" s="290" t="str">
        <f>IF(AV114="","",VLOOKUP(AV114,'G-1 All Habitats'!$B$2:$M$135,10,FALSE))</f>
        <v/>
      </c>
      <c r="J114" s="291" t="str">
        <f>IFERROR(VLOOKUP(I114,'G-1 All Habitats'!$V$3:$W$7,2,FALSE),"")</f>
        <v/>
      </c>
      <c r="K114" s="38"/>
      <c r="L114" s="291" t="str">
        <f>IFERROR(INDEX('G-8 Condition Look up'!$A$3:$H$135,MATCH(AV114,'G-8 Condition Look up'!$A$3:$A$135,0),MATCH(K114,'G-8 Condition Look up'!$A$3:$H$3,0)),"")</f>
        <v/>
      </c>
      <c r="M114" s="38"/>
      <c r="N114" s="310" t="str">
        <f>IF(M114="","",IF(VLOOKUP(M114,'G-3 Multipliers'!$L$3:$N$6,2,FALSE)=0,"Spatial Data Missing",VLOOKUP(M114,'G-3 Multipliers'!$L$3:$N$6,2,FALSE)))</f>
        <v/>
      </c>
      <c r="O114" s="296" t="str">
        <f>IF(M114="","",IF(VLOOKUP(M114,'G-3 Multipliers'!$L$3:$N$6,3,FALSE)=0,"Spatial Data Missing ▲",VLOOKUP(M114,'G-3 Multipliers'!$L$3:$N$6,3,FALSE)))</f>
        <v/>
      </c>
      <c r="P114" s="297" t="str">
        <f>(IF(G114="Yes","Bespoke compensation likely to be required 🛠",(IFERROR(VLOOKUP(AV114,'G-1 All Habitats'!$B$2:$M$135,12,FALSE),""))))</f>
        <v/>
      </c>
      <c r="Q114" s="304" t="str">
        <f>IFERROR(IF(AND(E114="Individual trees",T114&gt;0), "Error - you cannot enhance individual trees ▲", (IF(AND(U114="Irreplaceable habitat - no units generated ⚠",(S114+T114)&lt;H114, OR(Y114="No", Y114="")),"Any Loss Unacceptable ⚠", (IF(U114="Irreplaceable habitat - no units generated ⚠", T114*J114*L114*O114, IF(AND(P114='G-1 All Habitats'!$X$3, AC114&gt;0, S114&lt;=0, T114&lt;=0, OR(Y114="No", Y114="")),"Any Loss Unacceptable ⚠", IF(AND(P114='G-1 All Habitats'!$X$3, AC114&gt;0, S114&lt;=0, T114&lt;=0, Y114="Yes"), 0, (IF(AND(P114='G-1 All Habitats'!$X$3,(S114+T114)&lt;H114, OR(Y114="No", Y114="")),"Any Loss Unacceptable ⚠", (IF(P114="","",IF(AND(P114='G-1 All Habitats'!$X$3,T114&gt;0),U114+V114,IF(AND(P114='G-1 All Habitats'!$X$3,S114&gt;0),U114+V114,H114*J114*L114*O114))))))))))))),"Check Data ▲")</f>
        <v/>
      </c>
      <c r="R114" s="23"/>
      <c r="S114" s="38"/>
      <c r="T114" s="39"/>
      <c r="U114" s="302" t="str">
        <f t="shared" si="7"/>
        <v/>
      </c>
      <c r="V114" s="302" t="str">
        <f t="shared" si="8"/>
        <v/>
      </c>
      <c r="W114" s="302" t="str">
        <f>IF(E114="","",IF(H114&lt;S114+T114,"Error in Areas ▲",IF(P114&lt;&gt;'G-1 All Habitats'!$X$3,H114-S114-T114,IF(AND(P114='G-1 All Habitats'!$X$3,Y114="No"),AC114,IF(AND(P114='G-1 All Habitats'!$X$3,Y114=""),AC114,IF(AND(P114='G-1 All Habitats'!$X$3,AC114="None"),AC114,IF(AND(P114='G-1 All Habitats'!$X$3,AC114&gt;0),H114-S114-T114)))))))</f>
        <v/>
      </c>
      <c r="X114" s="306" t="str">
        <f>IFERROR(IF(H114="","",IF(H114-S114-T114=0&lt;0,"Error in Areas ▲",IF(S114+T114&gt;H114,"Error in Areas ▲",IF(AND(P114='G-1 All Habitats'!$X$3,Y114="Yes"),"Alternative Compensation ✓",IF(W114=0,0,IF(P114='G-1 All Habitats'!$X$3,"Any Loss Unacceptable ▲",Q114-U114-V114)))))),"Check Data ▲")</f>
        <v/>
      </c>
      <c r="Y114" s="39"/>
      <c r="Z114" s="46"/>
      <c r="AA114" s="419"/>
      <c r="AB114" s="101"/>
      <c r="AC114" s="495" t="str">
        <f>IF(OR(P114="", Y114="Yes"),"", IF(P114='G-1 All Habitats'!$X$3,H114-S114-T114,"None"))</f>
        <v/>
      </c>
      <c r="AD114" s="496" t="str">
        <f>IF(P114="","", IF(P114='G-1 All Habitats'!$X$3, AC114*J114*L114*O114,"None"))</f>
        <v/>
      </c>
      <c r="AE114" s="20" t="str">
        <f t="shared" si="9"/>
        <v/>
      </c>
      <c r="AF114" s="25" t="str">
        <f t="shared" si="10"/>
        <v/>
      </c>
      <c r="AG114" s="25" t="str">
        <f t="shared" si="6"/>
        <v/>
      </c>
      <c r="AH114" s="25" t="str">
        <f>IF(I114="","",IF(#REF!&gt;0,TRUE,FALSE))</f>
        <v/>
      </c>
      <c r="AI114" s="25">
        <v>104</v>
      </c>
      <c r="AJ114" s="25"/>
      <c r="AK114" s="25" t="str">
        <f t="array" ref="AK114">IFERROR(INDEX($AI$11:$AI$259, MATCH(0, IF(TRUE=$AF$11:$AF$259, COUNTIF($AK$10:$AK113, $AI$11:$AI$259), ""), 0)),"")</f>
        <v/>
      </c>
      <c r="AL114" s="25" t="str">
        <f t="array" ref="AL114">IFERROR(INDEX($AI$11:$AI$259, MATCH(0, IF(TRUE=$AG$11:$AG$259, COUNTIF($AL$10:$AL113, $AI$11:$AI$259), ""), 0)),"")</f>
        <v/>
      </c>
      <c r="AM114" s="25" t="str">
        <f t="array" ref="AM114">IFERROR(INDEX($AI$11:$AI$259, MATCH(0, IF(TRUE=$AH$11:$AH$259, COUNTIF($AM$10:$AM113, $AI$11:$AI$259), ""), 0)),"")</f>
        <v/>
      </c>
      <c r="AN114" s="25"/>
      <c r="AQ114" s="20">
        <f t="shared" si="11"/>
        <v>0</v>
      </c>
      <c r="AV114" s="540" t="str">
        <f>IFERROR(INDEX('G-1 All Habitats'!$B$3:$B$135,MATCH(F114,'G-1 All Habitats'!$A$3:$A$135,0)),"")</f>
        <v/>
      </c>
      <c r="AW114" s="20" t="str">
        <f>IF(AV114="","",VLOOKUP(AV114,'G-1 All Habitats'!$B$1:$T$135,19,FALSE))</f>
        <v/>
      </c>
    </row>
    <row r="115" spans="1:49" ht="14.5" thickBot="1" x14ac:dyDescent="0.35">
      <c r="A115" s="20" t="str">
        <f>IFERROR(INDEX('G-1 All Habitats'!$AG$3:$AG$17,MATCH(E115,'G-1 All Habitats'!$AF$3:$AF$17,0)),"")</f>
        <v/>
      </c>
      <c r="B115" s="20" t="str">
        <f>IFERROR(INDEX('G-8 Condition Look up'!$I$4:$I$135,MATCH(AV115,'G-8 Condition Look up'!$A$4:$A$135,0)),"")</f>
        <v/>
      </c>
      <c r="D115" s="238">
        <v>105</v>
      </c>
      <c r="E115" s="223"/>
      <c r="F115" s="45"/>
      <c r="G115" s="272"/>
      <c r="H115" s="37"/>
      <c r="I115" s="290" t="str">
        <f>IF(AV115="","",VLOOKUP(AV115,'G-1 All Habitats'!$B$2:$M$135,10,FALSE))</f>
        <v/>
      </c>
      <c r="J115" s="291" t="str">
        <f>IFERROR(VLOOKUP(I115,'G-1 All Habitats'!$V$3:$W$7,2,FALSE),"")</f>
        <v/>
      </c>
      <c r="K115" s="38"/>
      <c r="L115" s="291" t="str">
        <f>IFERROR(INDEX('G-8 Condition Look up'!$A$3:$H$135,MATCH(AV115,'G-8 Condition Look up'!$A$3:$A$135,0),MATCH(K115,'G-8 Condition Look up'!$A$3:$H$3,0)),"")</f>
        <v/>
      </c>
      <c r="M115" s="38"/>
      <c r="N115" s="310" t="str">
        <f>IF(M115="","",IF(VLOOKUP(M115,'G-3 Multipliers'!$L$3:$N$6,2,FALSE)=0,"Spatial Data Missing",VLOOKUP(M115,'G-3 Multipliers'!$L$3:$N$6,2,FALSE)))</f>
        <v/>
      </c>
      <c r="O115" s="296" t="str">
        <f>IF(M115="","",IF(VLOOKUP(M115,'G-3 Multipliers'!$L$3:$N$6,3,FALSE)=0,"Spatial Data Missing ▲",VLOOKUP(M115,'G-3 Multipliers'!$L$3:$N$6,3,FALSE)))</f>
        <v/>
      </c>
      <c r="P115" s="297" t="str">
        <f>(IF(G115="Yes","Bespoke compensation likely to be required 🛠",(IFERROR(VLOOKUP(AV115,'G-1 All Habitats'!$B$2:$M$135,12,FALSE),""))))</f>
        <v/>
      </c>
      <c r="Q115" s="304" t="str">
        <f>IFERROR(IF(AND(E115="Individual trees",T115&gt;0), "Error - you cannot enhance individual trees ▲", (IF(AND(U115="Irreplaceable habitat - no units generated ⚠",(S115+T115)&lt;H115, OR(Y115="No", Y115="")),"Any Loss Unacceptable ⚠", (IF(U115="Irreplaceable habitat - no units generated ⚠", T115*J115*L115*O115, IF(AND(P115='G-1 All Habitats'!$X$3, AC115&gt;0, S115&lt;=0, T115&lt;=0, OR(Y115="No", Y115="")),"Any Loss Unacceptable ⚠", IF(AND(P115='G-1 All Habitats'!$X$3, AC115&gt;0, S115&lt;=0, T115&lt;=0, Y115="Yes"), 0, (IF(AND(P115='G-1 All Habitats'!$X$3,(S115+T115)&lt;H115, OR(Y115="No", Y115="")),"Any Loss Unacceptable ⚠", (IF(P115="","",IF(AND(P115='G-1 All Habitats'!$X$3,T115&gt;0),U115+V115,IF(AND(P115='G-1 All Habitats'!$X$3,S115&gt;0),U115+V115,H115*J115*L115*O115))))))))))))),"Check Data ▲")</f>
        <v/>
      </c>
      <c r="R115" s="23"/>
      <c r="S115" s="38"/>
      <c r="T115" s="39"/>
      <c r="U115" s="302" t="str">
        <f t="shared" si="7"/>
        <v/>
      </c>
      <c r="V115" s="302" t="str">
        <f t="shared" si="8"/>
        <v/>
      </c>
      <c r="W115" s="302" t="str">
        <f>IF(E115="","",IF(H115&lt;S115+T115,"Error in Areas ▲",IF(P115&lt;&gt;'G-1 All Habitats'!$X$3,H115-S115-T115,IF(AND(P115='G-1 All Habitats'!$X$3,Y115="No"),AC115,IF(AND(P115='G-1 All Habitats'!$X$3,Y115=""),AC115,IF(AND(P115='G-1 All Habitats'!$X$3,AC115="None"),AC115,IF(AND(P115='G-1 All Habitats'!$X$3,AC115&gt;0),H115-S115-T115)))))))</f>
        <v/>
      </c>
      <c r="X115" s="306" t="str">
        <f>IFERROR(IF(H115="","",IF(H115-S115-T115=0&lt;0,"Error in Areas ▲",IF(S115+T115&gt;H115,"Error in Areas ▲",IF(AND(P115='G-1 All Habitats'!$X$3,Y115="Yes"),"Alternative Compensation ✓",IF(W115=0,0,IF(P115='G-1 All Habitats'!$X$3,"Any Loss Unacceptable ▲",Q115-U115-V115)))))),"Check Data ▲")</f>
        <v/>
      </c>
      <c r="Y115" s="39"/>
      <c r="Z115" s="46"/>
      <c r="AA115" s="419"/>
      <c r="AB115" s="101"/>
      <c r="AC115" s="495" t="str">
        <f>IF(OR(P115="", Y115="Yes"),"", IF(P115='G-1 All Habitats'!$X$3,H115-S115-T115,"None"))</f>
        <v/>
      </c>
      <c r="AD115" s="496" t="str">
        <f>IF(P115="","", IF(P115='G-1 All Habitats'!$X$3, AC115*J115*L115*O115,"None"))</f>
        <v/>
      </c>
      <c r="AE115" s="20" t="str">
        <f t="shared" si="9"/>
        <v/>
      </c>
      <c r="AF115" s="25" t="str">
        <f t="shared" si="10"/>
        <v/>
      </c>
      <c r="AG115" s="25" t="str">
        <f t="shared" si="6"/>
        <v/>
      </c>
      <c r="AH115" s="25" t="str">
        <f>IF(I115="","",IF(#REF!&gt;0,TRUE,FALSE))</f>
        <v/>
      </c>
      <c r="AI115" s="25">
        <v>105</v>
      </c>
      <c r="AJ115" s="25"/>
      <c r="AK115" s="25" t="str">
        <f t="array" ref="AK115">IFERROR(INDEX($AI$11:$AI$259, MATCH(0, IF(TRUE=$AF$11:$AF$259, COUNTIF($AK$10:$AK114, $AI$11:$AI$259), ""), 0)),"")</f>
        <v/>
      </c>
      <c r="AL115" s="25" t="str">
        <f t="array" ref="AL115">IFERROR(INDEX($AI$11:$AI$259, MATCH(0, IF(TRUE=$AG$11:$AG$259, COUNTIF($AL$10:$AL114, $AI$11:$AI$259), ""), 0)),"")</f>
        <v/>
      </c>
      <c r="AM115" s="25" t="str">
        <f t="array" ref="AM115">IFERROR(INDEX($AI$11:$AI$259, MATCH(0, IF(TRUE=$AH$11:$AH$259, COUNTIF($AM$10:$AM114, $AI$11:$AI$259), ""), 0)),"")</f>
        <v/>
      </c>
      <c r="AN115" s="25"/>
      <c r="AQ115" s="20">
        <f t="shared" si="11"/>
        <v>0</v>
      </c>
      <c r="AV115" s="540" t="str">
        <f>IFERROR(INDEX('G-1 All Habitats'!$B$3:$B$135,MATCH(F115,'G-1 All Habitats'!$A$3:$A$135,0)),"")</f>
        <v/>
      </c>
      <c r="AW115" s="20" t="str">
        <f>IF(AV115="","",VLOOKUP(AV115,'G-1 All Habitats'!$B$1:$T$135,19,FALSE))</f>
        <v/>
      </c>
    </row>
    <row r="116" spans="1:49" ht="14.5" thickBot="1" x14ac:dyDescent="0.35">
      <c r="A116" s="20" t="str">
        <f>IFERROR(INDEX('G-1 All Habitats'!$AG$3:$AG$17,MATCH(E116,'G-1 All Habitats'!$AF$3:$AF$17,0)),"")</f>
        <v/>
      </c>
      <c r="B116" s="20" t="str">
        <f>IFERROR(INDEX('G-8 Condition Look up'!$I$4:$I$135,MATCH(AV116,'G-8 Condition Look up'!$A$4:$A$135,0)),"")</f>
        <v/>
      </c>
      <c r="D116" s="238">
        <v>106</v>
      </c>
      <c r="E116" s="223"/>
      <c r="F116" s="45"/>
      <c r="G116" s="272"/>
      <c r="H116" s="37"/>
      <c r="I116" s="290" t="str">
        <f>IF(AV116="","",VLOOKUP(AV116,'G-1 All Habitats'!$B$2:$M$135,10,FALSE))</f>
        <v/>
      </c>
      <c r="J116" s="291" t="str">
        <f>IFERROR(VLOOKUP(I116,'G-1 All Habitats'!$V$3:$W$7,2,FALSE),"")</f>
        <v/>
      </c>
      <c r="K116" s="38"/>
      <c r="L116" s="291" t="str">
        <f>IFERROR(INDEX('G-8 Condition Look up'!$A$3:$H$135,MATCH(AV116,'G-8 Condition Look up'!$A$3:$A$135,0),MATCH(K116,'G-8 Condition Look up'!$A$3:$H$3,0)),"")</f>
        <v/>
      </c>
      <c r="M116" s="38"/>
      <c r="N116" s="310" t="str">
        <f>IF(M116="","",IF(VLOOKUP(M116,'G-3 Multipliers'!$L$3:$N$6,2,FALSE)=0,"Spatial Data Missing",VLOOKUP(M116,'G-3 Multipliers'!$L$3:$N$6,2,FALSE)))</f>
        <v/>
      </c>
      <c r="O116" s="296" t="str">
        <f>IF(M116="","",IF(VLOOKUP(M116,'G-3 Multipliers'!$L$3:$N$6,3,FALSE)=0,"Spatial Data Missing ▲",VLOOKUP(M116,'G-3 Multipliers'!$L$3:$N$6,3,FALSE)))</f>
        <v/>
      </c>
      <c r="P116" s="297" t="str">
        <f>(IF(G116="Yes","Bespoke compensation likely to be required 🛠",(IFERROR(VLOOKUP(AV116,'G-1 All Habitats'!$B$2:$M$135,12,FALSE),""))))</f>
        <v/>
      </c>
      <c r="Q116" s="304" t="str">
        <f>IFERROR(IF(AND(E116="Individual trees",T116&gt;0), "Error - you cannot enhance individual trees ▲", (IF(AND(U116="Irreplaceable habitat - no units generated ⚠",(S116+T116)&lt;H116, OR(Y116="No", Y116="")),"Any Loss Unacceptable ⚠", (IF(U116="Irreplaceable habitat - no units generated ⚠", T116*J116*L116*O116, IF(AND(P116='G-1 All Habitats'!$X$3, AC116&gt;0, S116&lt;=0, T116&lt;=0, OR(Y116="No", Y116="")),"Any Loss Unacceptable ⚠", IF(AND(P116='G-1 All Habitats'!$X$3, AC116&gt;0, S116&lt;=0, T116&lt;=0, Y116="Yes"), 0, (IF(AND(P116='G-1 All Habitats'!$X$3,(S116+T116)&lt;H116, OR(Y116="No", Y116="")),"Any Loss Unacceptable ⚠", (IF(P116="","",IF(AND(P116='G-1 All Habitats'!$X$3,T116&gt;0),U116+V116,IF(AND(P116='G-1 All Habitats'!$X$3,S116&gt;0),U116+V116,H116*J116*L116*O116))))))))))))),"Check Data ▲")</f>
        <v/>
      </c>
      <c r="R116" s="23"/>
      <c r="S116" s="38"/>
      <c r="T116" s="39"/>
      <c r="U116" s="302" t="str">
        <f t="shared" si="7"/>
        <v/>
      </c>
      <c r="V116" s="302" t="str">
        <f t="shared" si="8"/>
        <v/>
      </c>
      <c r="W116" s="302" t="str">
        <f>IF(E116="","",IF(H116&lt;S116+T116,"Error in Areas ▲",IF(P116&lt;&gt;'G-1 All Habitats'!$X$3,H116-S116-T116,IF(AND(P116='G-1 All Habitats'!$X$3,Y116="No"),AC116,IF(AND(P116='G-1 All Habitats'!$X$3,Y116=""),AC116,IF(AND(P116='G-1 All Habitats'!$X$3,AC116="None"),AC116,IF(AND(P116='G-1 All Habitats'!$X$3,AC116&gt;0),H116-S116-T116)))))))</f>
        <v/>
      </c>
      <c r="X116" s="306" t="str">
        <f>IFERROR(IF(H116="","",IF(H116-S116-T116=0&lt;0,"Error in Areas ▲",IF(S116+T116&gt;H116,"Error in Areas ▲",IF(AND(P116='G-1 All Habitats'!$X$3,Y116="Yes"),"Alternative Compensation ✓",IF(W116=0,0,IF(P116='G-1 All Habitats'!$X$3,"Any Loss Unacceptable ▲",Q116-U116-V116)))))),"Check Data ▲")</f>
        <v/>
      </c>
      <c r="Y116" s="39"/>
      <c r="Z116" s="46"/>
      <c r="AA116" s="419"/>
      <c r="AB116" s="101"/>
      <c r="AC116" s="495" t="str">
        <f>IF(OR(P116="", Y116="Yes"),"", IF(P116='G-1 All Habitats'!$X$3,H116-S116-T116,"None"))</f>
        <v/>
      </c>
      <c r="AD116" s="496" t="str">
        <f>IF(P116="","", IF(P116='G-1 All Habitats'!$X$3, AC116*J116*L116*O116,"None"))</f>
        <v/>
      </c>
      <c r="AE116" s="20" t="str">
        <f t="shared" si="9"/>
        <v/>
      </c>
      <c r="AF116" s="25" t="str">
        <f t="shared" si="10"/>
        <v/>
      </c>
      <c r="AG116" s="25" t="str">
        <f t="shared" si="6"/>
        <v/>
      </c>
      <c r="AH116" s="25" t="str">
        <f>IF(I116="","",IF(#REF!&gt;0,TRUE,FALSE))</f>
        <v/>
      </c>
      <c r="AI116" s="25">
        <v>106</v>
      </c>
      <c r="AJ116" s="25"/>
      <c r="AK116" s="25" t="str">
        <f t="array" ref="AK116">IFERROR(INDEX($AI$11:$AI$259, MATCH(0, IF(TRUE=$AF$11:$AF$259, COUNTIF($AK$10:$AK115, $AI$11:$AI$259), ""), 0)),"")</f>
        <v/>
      </c>
      <c r="AL116" s="25" t="str">
        <f t="array" ref="AL116">IFERROR(INDEX($AI$11:$AI$259, MATCH(0, IF(TRUE=$AG$11:$AG$259, COUNTIF($AL$10:$AL115, $AI$11:$AI$259), ""), 0)),"")</f>
        <v/>
      </c>
      <c r="AM116" s="25" t="str">
        <f t="array" ref="AM116">IFERROR(INDEX($AI$11:$AI$259, MATCH(0, IF(TRUE=$AH$11:$AH$259, COUNTIF($AM$10:$AM115, $AI$11:$AI$259), ""), 0)),"")</f>
        <v/>
      </c>
      <c r="AN116" s="25"/>
      <c r="AQ116" s="20">
        <f t="shared" si="11"/>
        <v>0</v>
      </c>
      <c r="AV116" s="540" t="str">
        <f>IFERROR(INDEX('G-1 All Habitats'!$B$3:$B$135,MATCH(F116,'G-1 All Habitats'!$A$3:$A$135,0)),"")</f>
        <v/>
      </c>
      <c r="AW116" s="20" t="str">
        <f>IF(AV116="","",VLOOKUP(AV116,'G-1 All Habitats'!$B$1:$T$135,19,FALSE))</f>
        <v/>
      </c>
    </row>
    <row r="117" spans="1:49" ht="14.5" thickBot="1" x14ac:dyDescent="0.35">
      <c r="A117" s="20" t="str">
        <f>IFERROR(INDEX('G-1 All Habitats'!$AG$3:$AG$17,MATCH(E117,'G-1 All Habitats'!$AF$3:$AF$17,0)),"")</f>
        <v/>
      </c>
      <c r="B117" s="20" t="str">
        <f>IFERROR(INDEX('G-8 Condition Look up'!$I$4:$I$135,MATCH(AV117,'G-8 Condition Look up'!$A$4:$A$135,0)),"")</f>
        <v/>
      </c>
      <c r="D117" s="238">
        <v>107</v>
      </c>
      <c r="E117" s="223"/>
      <c r="F117" s="45"/>
      <c r="G117" s="272"/>
      <c r="H117" s="37"/>
      <c r="I117" s="290" t="str">
        <f>IF(AV117="","",VLOOKUP(AV117,'G-1 All Habitats'!$B$2:$M$135,10,FALSE))</f>
        <v/>
      </c>
      <c r="J117" s="291" t="str">
        <f>IFERROR(VLOOKUP(I117,'G-1 All Habitats'!$V$3:$W$7,2,FALSE),"")</f>
        <v/>
      </c>
      <c r="K117" s="38"/>
      <c r="L117" s="291" t="str">
        <f>IFERROR(INDEX('G-8 Condition Look up'!$A$3:$H$135,MATCH(AV117,'G-8 Condition Look up'!$A$3:$A$135,0),MATCH(K117,'G-8 Condition Look up'!$A$3:$H$3,0)),"")</f>
        <v/>
      </c>
      <c r="M117" s="38"/>
      <c r="N117" s="310" t="str">
        <f>IF(M117="","",IF(VLOOKUP(M117,'G-3 Multipliers'!$L$3:$N$6,2,FALSE)=0,"Spatial Data Missing",VLOOKUP(M117,'G-3 Multipliers'!$L$3:$N$6,2,FALSE)))</f>
        <v/>
      </c>
      <c r="O117" s="296" t="str">
        <f>IF(M117="","",IF(VLOOKUP(M117,'G-3 Multipliers'!$L$3:$N$6,3,FALSE)=0,"Spatial Data Missing ▲",VLOOKUP(M117,'G-3 Multipliers'!$L$3:$N$6,3,FALSE)))</f>
        <v/>
      </c>
      <c r="P117" s="297" t="str">
        <f>(IF(G117="Yes","Bespoke compensation likely to be required 🛠",(IFERROR(VLOOKUP(AV117,'G-1 All Habitats'!$B$2:$M$135,12,FALSE),""))))</f>
        <v/>
      </c>
      <c r="Q117" s="304" t="str">
        <f>IFERROR(IF(AND(E117="Individual trees",T117&gt;0), "Error - you cannot enhance individual trees ▲", (IF(AND(U117="Irreplaceable habitat - no units generated ⚠",(S117+T117)&lt;H117, OR(Y117="No", Y117="")),"Any Loss Unacceptable ⚠", (IF(U117="Irreplaceable habitat - no units generated ⚠", T117*J117*L117*O117, IF(AND(P117='G-1 All Habitats'!$X$3, AC117&gt;0, S117&lt;=0, T117&lt;=0, OR(Y117="No", Y117="")),"Any Loss Unacceptable ⚠", IF(AND(P117='G-1 All Habitats'!$X$3, AC117&gt;0, S117&lt;=0, T117&lt;=0, Y117="Yes"), 0, (IF(AND(P117='G-1 All Habitats'!$X$3,(S117+T117)&lt;H117, OR(Y117="No", Y117="")),"Any Loss Unacceptable ⚠", (IF(P117="","",IF(AND(P117='G-1 All Habitats'!$X$3,T117&gt;0),U117+V117,IF(AND(P117='G-1 All Habitats'!$X$3,S117&gt;0),U117+V117,H117*J117*L117*O117))))))))))))),"Check Data ▲")</f>
        <v/>
      </c>
      <c r="R117" s="23"/>
      <c r="S117" s="38"/>
      <c r="T117" s="39"/>
      <c r="U117" s="302" t="str">
        <f t="shared" si="7"/>
        <v/>
      </c>
      <c r="V117" s="302" t="str">
        <f t="shared" si="8"/>
        <v/>
      </c>
      <c r="W117" s="302" t="str">
        <f>IF(E117="","",IF(H117&lt;S117+T117,"Error in Areas ▲",IF(P117&lt;&gt;'G-1 All Habitats'!$X$3,H117-S117-T117,IF(AND(P117='G-1 All Habitats'!$X$3,Y117="No"),AC117,IF(AND(P117='G-1 All Habitats'!$X$3,Y117=""),AC117,IF(AND(P117='G-1 All Habitats'!$X$3,AC117="None"),AC117,IF(AND(P117='G-1 All Habitats'!$X$3,AC117&gt;0),H117-S117-T117)))))))</f>
        <v/>
      </c>
      <c r="X117" s="306" t="str">
        <f>IFERROR(IF(H117="","",IF(H117-S117-T117=0&lt;0,"Error in Areas ▲",IF(S117+T117&gt;H117,"Error in Areas ▲",IF(AND(P117='G-1 All Habitats'!$X$3,Y117="Yes"),"Alternative Compensation ✓",IF(W117=0,0,IF(P117='G-1 All Habitats'!$X$3,"Any Loss Unacceptable ▲",Q117-U117-V117)))))),"Check Data ▲")</f>
        <v/>
      </c>
      <c r="Y117" s="39"/>
      <c r="Z117" s="46"/>
      <c r="AA117" s="419"/>
      <c r="AB117" s="101"/>
      <c r="AC117" s="495" t="str">
        <f>IF(OR(P117="", Y117="Yes"),"", IF(P117='G-1 All Habitats'!$X$3,H117-S117-T117,"None"))</f>
        <v/>
      </c>
      <c r="AD117" s="496" t="str">
        <f>IF(P117="","", IF(P117='G-1 All Habitats'!$X$3, AC117*J117*L117*O117,"None"))</f>
        <v/>
      </c>
      <c r="AE117" s="20" t="str">
        <f t="shared" si="9"/>
        <v/>
      </c>
      <c r="AF117" s="25" t="str">
        <f t="shared" si="10"/>
        <v/>
      </c>
      <c r="AG117" s="25" t="str">
        <f t="shared" si="6"/>
        <v/>
      </c>
      <c r="AH117" s="25" t="str">
        <f>IF(I117="","",IF(#REF!&gt;0,TRUE,FALSE))</f>
        <v/>
      </c>
      <c r="AI117" s="25">
        <v>107</v>
      </c>
      <c r="AJ117" s="25"/>
      <c r="AK117" s="25" t="str">
        <f t="array" ref="AK117">IFERROR(INDEX($AI$11:$AI$259, MATCH(0, IF(TRUE=$AF$11:$AF$259, COUNTIF($AK$10:$AK116, $AI$11:$AI$259), ""), 0)),"")</f>
        <v/>
      </c>
      <c r="AL117" s="25" t="str">
        <f t="array" ref="AL117">IFERROR(INDEX($AI$11:$AI$259, MATCH(0, IF(TRUE=$AG$11:$AG$259, COUNTIF($AL$10:$AL116, $AI$11:$AI$259), ""), 0)),"")</f>
        <v/>
      </c>
      <c r="AM117" s="25" t="str">
        <f t="array" ref="AM117">IFERROR(INDEX($AI$11:$AI$259, MATCH(0, IF(TRUE=$AH$11:$AH$259, COUNTIF($AM$10:$AM116, $AI$11:$AI$259), ""), 0)),"")</f>
        <v/>
      </c>
      <c r="AN117" s="25"/>
      <c r="AQ117" s="20">
        <f t="shared" si="11"/>
        <v>0</v>
      </c>
      <c r="AV117" s="540" t="str">
        <f>IFERROR(INDEX('G-1 All Habitats'!$B$3:$B$135,MATCH(F117,'G-1 All Habitats'!$A$3:$A$135,0)),"")</f>
        <v/>
      </c>
      <c r="AW117" s="20" t="str">
        <f>IF(AV117="","",VLOOKUP(AV117,'G-1 All Habitats'!$B$1:$T$135,19,FALSE))</f>
        <v/>
      </c>
    </row>
    <row r="118" spans="1:49" ht="14.5" thickBot="1" x14ac:dyDescent="0.35">
      <c r="A118" s="20" t="str">
        <f>IFERROR(INDEX('G-1 All Habitats'!$AG$3:$AG$17,MATCH(E118,'G-1 All Habitats'!$AF$3:$AF$17,0)),"")</f>
        <v/>
      </c>
      <c r="B118" s="20" t="str">
        <f>IFERROR(INDEX('G-8 Condition Look up'!$I$4:$I$135,MATCH(AV118,'G-8 Condition Look up'!$A$4:$A$135,0)),"")</f>
        <v/>
      </c>
      <c r="D118" s="238">
        <v>108</v>
      </c>
      <c r="E118" s="223"/>
      <c r="F118" s="45"/>
      <c r="G118" s="272"/>
      <c r="H118" s="37"/>
      <c r="I118" s="290" t="str">
        <f>IF(AV118="","",VLOOKUP(AV118,'G-1 All Habitats'!$B$2:$M$135,10,FALSE))</f>
        <v/>
      </c>
      <c r="J118" s="291" t="str">
        <f>IFERROR(VLOOKUP(I118,'G-1 All Habitats'!$V$3:$W$7,2,FALSE),"")</f>
        <v/>
      </c>
      <c r="K118" s="38"/>
      <c r="L118" s="291" t="str">
        <f>IFERROR(INDEX('G-8 Condition Look up'!$A$3:$H$135,MATCH(AV118,'G-8 Condition Look up'!$A$3:$A$135,0),MATCH(K118,'G-8 Condition Look up'!$A$3:$H$3,0)),"")</f>
        <v/>
      </c>
      <c r="M118" s="38"/>
      <c r="N118" s="310" t="str">
        <f>IF(M118="","",IF(VLOOKUP(M118,'G-3 Multipliers'!$L$3:$N$6,2,FALSE)=0,"Spatial Data Missing",VLOOKUP(M118,'G-3 Multipliers'!$L$3:$N$6,2,FALSE)))</f>
        <v/>
      </c>
      <c r="O118" s="296" t="str">
        <f>IF(M118="","",IF(VLOOKUP(M118,'G-3 Multipliers'!$L$3:$N$6,3,FALSE)=0,"Spatial Data Missing ▲",VLOOKUP(M118,'G-3 Multipliers'!$L$3:$N$6,3,FALSE)))</f>
        <v/>
      </c>
      <c r="P118" s="297" t="str">
        <f>(IF(G118="Yes","Bespoke compensation likely to be required 🛠",(IFERROR(VLOOKUP(AV118,'G-1 All Habitats'!$B$2:$M$135,12,FALSE),""))))</f>
        <v/>
      </c>
      <c r="Q118" s="304" t="str">
        <f>IFERROR(IF(AND(E118="Individual trees",T118&gt;0), "Error - you cannot enhance individual trees ▲", (IF(AND(U118="Irreplaceable habitat - no units generated ⚠",(S118+T118)&lt;H118, OR(Y118="No", Y118="")),"Any Loss Unacceptable ⚠", (IF(U118="Irreplaceable habitat - no units generated ⚠", T118*J118*L118*O118, IF(AND(P118='G-1 All Habitats'!$X$3, AC118&gt;0, S118&lt;=0, T118&lt;=0, OR(Y118="No", Y118="")),"Any Loss Unacceptable ⚠", IF(AND(P118='G-1 All Habitats'!$X$3, AC118&gt;0, S118&lt;=0, T118&lt;=0, Y118="Yes"), 0, (IF(AND(P118='G-1 All Habitats'!$X$3,(S118+T118)&lt;H118, OR(Y118="No", Y118="")),"Any Loss Unacceptable ⚠", (IF(P118="","",IF(AND(P118='G-1 All Habitats'!$X$3,T118&gt;0),U118+V118,IF(AND(P118='G-1 All Habitats'!$X$3,S118&gt;0),U118+V118,H118*J118*L118*O118))))))))))))),"Check Data ▲")</f>
        <v/>
      </c>
      <c r="R118" s="23"/>
      <c r="S118" s="38"/>
      <c r="T118" s="39"/>
      <c r="U118" s="302" t="str">
        <f t="shared" si="7"/>
        <v/>
      </c>
      <c r="V118" s="302" t="str">
        <f t="shared" si="8"/>
        <v/>
      </c>
      <c r="W118" s="302" t="str">
        <f>IF(E118="","",IF(H118&lt;S118+T118,"Error in Areas ▲",IF(P118&lt;&gt;'G-1 All Habitats'!$X$3,H118-S118-T118,IF(AND(P118='G-1 All Habitats'!$X$3,Y118="No"),AC118,IF(AND(P118='G-1 All Habitats'!$X$3,Y118=""),AC118,IF(AND(P118='G-1 All Habitats'!$X$3,AC118="None"),AC118,IF(AND(P118='G-1 All Habitats'!$X$3,AC118&gt;0),H118-S118-T118)))))))</f>
        <v/>
      </c>
      <c r="X118" s="306" t="str">
        <f>IFERROR(IF(H118="","",IF(H118-S118-T118=0&lt;0,"Error in Areas ▲",IF(S118+T118&gt;H118,"Error in Areas ▲",IF(AND(P118='G-1 All Habitats'!$X$3,Y118="Yes"),"Alternative Compensation ✓",IF(W118=0,0,IF(P118='G-1 All Habitats'!$X$3,"Any Loss Unacceptable ▲",Q118-U118-V118)))))),"Check Data ▲")</f>
        <v/>
      </c>
      <c r="Y118" s="39"/>
      <c r="Z118" s="46"/>
      <c r="AA118" s="419"/>
      <c r="AB118" s="101"/>
      <c r="AC118" s="495" t="str">
        <f>IF(OR(P118="", Y118="Yes"),"", IF(P118='G-1 All Habitats'!$X$3,H118-S118-T118,"None"))</f>
        <v/>
      </c>
      <c r="AD118" s="496" t="str">
        <f>IF(P118="","", IF(P118='G-1 All Habitats'!$X$3, AC118*J118*L118*O118,"None"))</f>
        <v/>
      </c>
      <c r="AE118" s="20" t="str">
        <f t="shared" si="9"/>
        <v/>
      </c>
      <c r="AF118" s="25" t="str">
        <f t="shared" si="10"/>
        <v/>
      </c>
      <c r="AG118" s="25" t="str">
        <f t="shared" si="6"/>
        <v/>
      </c>
      <c r="AH118" s="25" t="str">
        <f>IF(I118="","",IF(#REF!&gt;0,TRUE,FALSE))</f>
        <v/>
      </c>
      <c r="AI118" s="25">
        <v>108</v>
      </c>
      <c r="AJ118" s="25"/>
      <c r="AK118" s="25" t="str">
        <f t="array" ref="AK118">IFERROR(INDEX($AI$11:$AI$259, MATCH(0, IF(TRUE=$AF$11:$AF$259, COUNTIF($AK$10:$AK117, $AI$11:$AI$259), ""), 0)),"")</f>
        <v/>
      </c>
      <c r="AL118" s="25" t="str">
        <f t="array" ref="AL118">IFERROR(INDEX($AI$11:$AI$259, MATCH(0, IF(TRUE=$AG$11:$AG$259, COUNTIF($AL$10:$AL117, $AI$11:$AI$259), ""), 0)),"")</f>
        <v/>
      </c>
      <c r="AM118" s="25" t="str">
        <f t="array" ref="AM118">IFERROR(INDEX($AI$11:$AI$259, MATCH(0, IF(TRUE=$AH$11:$AH$259, COUNTIF($AM$10:$AM117, $AI$11:$AI$259), ""), 0)),"")</f>
        <v/>
      </c>
      <c r="AN118" s="25"/>
      <c r="AQ118" s="20">
        <f t="shared" si="11"/>
        <v>0</v>
      </c>
      <c r="AV118" s="540" t="str">
        <f>IFERROR(INDEX('G-1 All Habitats'!$B$3:$B$135,MATCH(F118,'G-1 All Habitats'!$A$3:$A$135,0)),"")</f>
        <v/>
      </c>
      <c r="AW118" s="20" t="str">
        <f>IF(AV118="","",VLOOKUP(AV118,'G-1 All Habitats'!$B$1:$T$135,19,FALSE))</f>
        <v/>
      </c>
    </row>
    <row r="119" spans="1:49" ht="14.5" thickBot="1" x14ac:dyDescent="0.35">
      <c r="A119" s="20" t="str">
        <f>IFERROR(INDEX('G-1 All Habitats'!$AG$3:$AG$17,MATCH(E119,'G-1 All Habitats'!$AF$3:$AF$17,0)),"")</f>
        <v/>
      </c>
      <c r="B119" s="20" t="str">
        <f>IFERROR(INDEX('G-8 Condition Look up'!$I$4:$I$135,MATCH(AV119,'G-8 Condition Look up'!$A$4:$A$135,0)),"")</f>
        <v/>
      </c>
      <c r="D119" s="238">
        <v>109</v>
      </c>
      <c r="E119" s="223"/>
      <c r="F119" s="45"/>
      <c r="G119" s="272"/>
      <c r="H119" s="37"/>
      <c r="I119" s="290" t="str">
        <f>IF(AV119="","",VLOOKUP(AV119,'G-1 All Habitats'!$B$2:$M$135,10,FALSE))</f>
        <v/>
      </c>
      <c r="J119" s="291" t="str">
        <f>IFERROR(VLOOKUP(I119,'G-1 All Habitats'!$V$3:$W$7,2,FALSE),"")</f>
        <v/>
      </c>
      <c r="K119" s="38"/>
      <c r="L119" s="291" t="str">
        <f>IFERROR(INDEX('G-8 Condition Look up'!$A$3:$H$135,MATCH(AV119,'G-8 Condition Look up'!$A$3:$A$135,0),MATCH(K119,'G-8 Condition Look up'!$A$3:$H$3,0)),"")</f>
        <v/>
      </c>
      <c r="M119" s="38"/>
      <c r="N119" s="310" t="str">
        <f>IF(M119="","",IF(VLOOKUP(M119,'G-3 Multipliers'!$L$3:$N$6,2,FALSE)=0,"Spatial Data Missing",VLOOKUP(M119,'G-3 Multipliers'!$L$3:$N$6,2,FALSE)))</f>
        <v/>
      </c>
      <c r="O119" s="296" t="str">
        <f>IF(M119="","",IF(VLOOKUP(M119,'G-3 Multipliers'!$L$3:$N$6,3,FALSE)=0,"Spatial Data Missing ▲",VLOOKUP(M119,'G-3 Multipliers'!$L$3:$N$6,3,FALSE)))</f>
        <v/>
      </c>
      <c r="P119" s="297" t="str">
        <f>(IF(G119="Yes","Bespoke compensation likely to be required 🛠",(IFERROR(VLOOKUP(AV119,'G-1 All Habitats'!$B$2:$M$135,12,FALSE),""))))</f>
        <v/>
      </c>
      <c r="Q119" s="304" t="str">
        <f>IFERROR(IF(AND(E119="Individual trees",T119&gt;0), "Error - you cannot enhance individual trees ▲", (IF(AND(U119="Irreplaceable habitat - no units generated ⚠",(S119+T119)&lt;H119, OR(Y119="No", Y119="")),"Any Loss Unacceptable ⚠", (IF(U119="Irreplaceable habitat - no units generated ⚠", T119*J119*L119*O119, IF(AND(P119='G-1 All Habitats'!$X$3, AC119&gt;0, S119&lt;=0, T119&lt;=0, OR(Y119="No", Y119="")),"Any Loss Unacceptable ⚠", IF(AND(P119='G-1 All Habitats'!$X$3, AC119&gt;0, S119&lt;=0, T119&lt;=0, Y119="Yes"), 0, (IF(AND(P119='G-1 All Habitats'!$X$3,(S119+T119)&lt;H119, OR(Y119="No", Y119="")),"Any Loss Unacceptable ⚠", (IF(P119="","",IF(AND(P119='G-1 All Habitats'!$X$3,T119&gt;0),U119+V119,IF(AND(P119='G-1 All Habitats'!$X$3,S119&gt;0),U119+V119,H119*J119*L119*O119))))))))))))),"Check Data ▲")</f>
        <v/>
      </c>
      <c r="R119" s="23"/>
      <c r="S119" s="38"/>
      <c r="T119" s="39"/>
      <c r="U119" s="302" t="str">
        <f t="shared" si="7"/>
        <v/>
      </c>
      <c r="V119" s="302" t="str">
        <f t="shared" si="8"/>
        <v/>
      </c>
      <c r="W119" s="302" t="str">
        <f>IF(E119="","",IF(H119&lt;S119+T119,"Error in Areas ▲",IF(P119&lt;&gt;'G-1 All Habitats'!$X$3,H119-S119-T119,IF(AND(P119='G-1 All Habitats'!$X$3,Y119="No"),AC119,IF(AND(P119='G-1 All Habitats'!$X$3,Y119=""),AC119,IF(AND(P119='G-1 All Habitats'!$X$3,AC119="None"),AC119,IF(AND(P119='G-1 All Habitats'!$X$3,AC119&gt;0),H119-S119-T119)))))))</f>
        <v/>
      </c>
      <c r="X119" s="306" t="str">
        <f>IFERROR(IF(H119="","",IF(H119-S119-T119=0&lt;0,"Error in Areas ▲",IF(S119+T119&gt;H119,"Error in Areas ▲",IF(AND(P119='G-1 All Habitats'!$X$3,Y119="Yes"),"Alternative Compensation ✓",IF(W119=0,0,IF(P119='G-1 All Habitats'!$X$3,"Any Loss Unacceptable ▲",Q119-U119-V119)))))),"Check Data ▲")</f>
        <v/>
      </c>
      <c r="Y119" s="39"/>
      <c r="Z119" s="46"/>
      <c r="AA119" s="419"/>
      <c r="AB119" s="101"/>
      <c r="AC119" s="495" t="str">
        <f>IF(OR(P119="", Y119="Yes"),"", IF(P119='G-1 All Habitats'!$X$3,H119-S119-T119,"None"))</f>
        <v/>
      </c>
      <c r="AD119" s="496" t="str">
        <f>IF(P119="","", IF(P119='G-1 All Habitats'!$X$3, AC119*J119*L119*O119,"None"))</f>
        <v/>
      </c>
      <c r="AE119" s="20" t="str">
        <f t="shared" si="9"/>
        <v/>
      </c>
      <c r="AF119" s="25" t="str">
        <f t="shared" si="10"/>
        <v/>
      </c>
      <c r="AG119" s="25" t="str">
        <f t="shared" si="6"/>
        <v/>
      </c>
      <c r="AH119" s="25" t="str">
        <f>IF(I119="","",IF(#REF!&gt;0,TRUE,FALSE))</f>
        <v/>
      </c>
      <c r="AI119" s="25">
        <v>109</v>
      </c>
      <c r="AJ119" s="25"/>
      <c r="AK119" s="25" t="str">
        <f t="array" ref="AK119">IFERROR(INDEX($AI$11:$AI$259, MATCH(0, IF(TRUE=$AF$11:$AF$259, COUNTIF($AK$10:$AK118, $AI$11:$AI$259), ""), 0)),"")</f>
        <v/>
      </c>
      <c r="AL119" s="25" t="str">
        <f t="array" ref="AL119">IFERROR(INDEX($AI$11:$AI$259, MATCH(0, IF(TRUE=$AG$11:$AG$259, COUNTIF($AL$10:$AL118, $AI$11:$AI$259), ""), 0)),"")</f>
        <v/>
      </c>
      <c r="AM119" s="25" t="str">
        <f t="array" ref="AM119">IFERROR(INDEX($AI$11:$AI$259, MATCH(0, IF(TRUE=$AH$11:$AH$259, COUNTIF($AM$10:$AM118, $AI$11:$AI$259), ""), 0)),"")</f>
        <v/>
      </c>
      <c r="AN119" s="25"/>
      <c r="AQ119" s="20">
        <f t="shared" si="11"/>
        <v>0</v>
      </c>
      <c r="AV119" s="540" t="str">
        <f>IFERROR(INDEX('G-1 All Habitats'!$B$3:$B$135,MATCH(F119,'G-1 All Habitats'!$A$3:$A$135,0)),"")</f>
        <v/>
      </c>
      <c r="AW119" s="20" t="str">
        <f>IF(AV119="","",VLOOKUP(AV119,'G-1 All Habitats'!$B$1:$T$135,19,FALSE))</f>
        <v/>
      </c>
    </row>
    <row r="120" spans="1:49" ht="14.5" thickBot="1" x14ac:dyDescent="0.35">
      <c r="A120" s="20" t="str">
        <f>IFERROR(INDEX('G-1 All Habitats'!$AG$3:$AG$17,MATCH(E120,'G-1 All Habitats'!$AF$3:$AF$17,0)),"")</f>
        <v/>
      </c>
      <c r="B120" s="20" t="str">
        <f>IFERROR(INDEX('G-8 Condition Look up'!$I$4:$I$135,MATCH(AV120,'G-8 Condition Look up'!$A$4:$A$135,0)),"")</f>
        <v/>
      </c>
      <c r="D120" s="238">
        <v>110</v>
      </c>
      <c r="E120" s="223"/>
      <c r="F120" s="45"/>
      <c r="G120" s="272"/>
      <c r="H120" s="37"/>
      <c r="I120" s="290" t="str">
        <f>IF(AV120="","",VLOOKUP(AV120,'G-1 All Habitats'!$B$2:$M$135,10,FALSE))</f>
        <v/>
      </c>
      <c r="J120" s="291" t="str">
        <f>IFERROR(VLOOKUP(I120,'G-1 All Habitats'!$V$3:$W$7,2,FALSE),"")</f>
        <v/>
      </c>
      <c r="K120" s="38"/>
      <c r="L120" s="291" t="str">
        <f>IFERROR(INDEX('G-8 Condition Look up'!$A$3:$H$135,MATCH(AV120,'G-8 Condition Look up'!$A$3:$A$135,0),MATCH(K120,'G-8 Condition Look up'!$A$3:$H$3,0)),"")</f>
        <v/>
      </c>
      <c r="M120" s="38"/>
      <c r="N120" s="310" t="str">
        <f>IF(M120="","",IF(VLOOKUP(M120,'G-3 Multipliers'!$L$3:$N$6,2,FALSE)=0,"Spatial Data Missing",VLOOKUP(M120,'G-3 Multipliers'!$L$3:$N$6,2,FALSE)))</f>
        <v/>
      </c>
      <c r="O120" s="296" t="str">
        <f>IF(M120="","",IF(VLOOKUP(M120,'G-3 Multipliers'!$L$3:$N$6,3,FALSE)=0,"Spatial Data Missing ▲",VLOOKUP(M120,'G-3 Multipliers'!$L$3:$N$6,3,FALSE)))</f>
        <v/>
      </c>
      <c r="P120" s="297" t="str">
        <f>(IF(G120="Yes","Bespoke compensation likely to be required 🛠",(IFERROR(VLOOKUP(AV120,'G-1 All Habitats'!$B$2:$M$135,12,FALSE),""))))</f>
        <v/>
      </c>
      <c r="Q120" s="304" t="str">
        <f>IFERROR(IF(AND(E120="Individual trees",T120&gt;0), "Error - you cannot enhance individual trees ▲", (IF(AND(U120="Irreplaceable habitat - no units generated ⚠",(S120+T120)&lt;H120, OR(Y120="No", Y120="")),"Any Loss Unacceptable ⚠", (IF(U120="Irreplaceable habitat - no units generated ⚠", T120*J120*L120*O120, IF(AND(P120='G-1 All Habitats'!$X$3, AC120&gt;0, S120&lt;=0, T120&lt;=0, OR(Y120="No", Y120="")),"Any Loss Unacceptable ⚠", IF(AND(P120='G-1 All Habitats'!$X$3, AC120&gt;0, S120&lt;=0, T120&lt;=0, Y120="Yes"), 0, (IF(AND(P120='G-1 All Habitats'!$X$3,(S120+T120)&lt;H120, OR(Y120="No", Y120="")),"Any Loss Unacceptable ⚠", (IF(P120="","",IF(AND(P120='G-1 All Habitats'!$X$3,T120&gt;0),U120+V120,IF(AND(P120='G-1 All Habitats'!$X$3,S120&gt;0),U120+V120,H120*J120*L120*O120))))))))))))),"Check Data ▲")</f>
        <v/>
      </c>
      <c r="R120" s="23"/>
      <c r="S120" s="38"/>
      <c r="T120" s="39"/>
      <c r="U120" s="302" t="str">
        <f t="shared" si="7"/>
        <v/>
      </c>
      <c r="V120" s="302" t="str">
        <f t="shared" si="8"/>
        <v/>
      </c>
      <c r="W120" s="302" t="str">
        <f>IF(E120="","",IF(H120&lt;S120+T120,"Error in Areas ▲",IF(P120&lt;&gt;'G-1 All Habitats'!$X$3,H120-S120-T120,IF(AND(P120='G-1 All Habitats'!$X$3,Y120="No"),AC120,IF(AND(P120='G-1 All Habitats'!$X$3,Y120=""),AC120,IF(AND(P120='G-1 All Habitats'!$X$3,AC120="None"),AC120,IF(AND(P120='G-1 All Habitats'!$X$3,AC120&gt;0),H120-S120-T120)))))))</f>
        <v/>
      </c>
      <c r="X120" s="306" t="str">
        <f>IFERROR(IF(H120="","",IF(H120-S120-T120=0&lt;0,"Error in Areas ▲",IF(S120+T120&gt;H120,"Error in Areas ▲",IF(AND(P120='G-1 All Habitats'!$X$3,Y120="Yes"),"Alternative Compensation ✓",IF(W120=0,0,IF(P120='G-1 All Habitats'!$X$3,"Any Loss Unacceptable ▲",Q120-U120-V120)))))),"Check Data ▲")</f>
        <v/>
      </c>
      <c r="Y120" s="39"/>
      <c r="Z120" s="46"/>
      <c r="AA120" s="419"/>
      <c r="AB120" s="101"/>
      <c r="AC120" s="495" t="str">
        <f>IF(OR(P120="", Y120="Yes"),"", IF(P120='G-1 All Habitats'!$X$3,H120-S120-T120,"None"))</f>
        <v/>
      </c>
      <c r="AD120" s="496" t="str">
        <f>IF(P120="","", IF(P120='G-1 All Habitats'!$X$3, AC120*J120*L120*O120,"None"))</f>
        <v/>
      </c>
      <c r="AE120" s="20" t="str">
        <f t="shared" si="9"/>
        <v/>
      </c>
      <c r="AF120" s="25" t="str">
        <f t="shared" si="10"/>
        <v/>
      </c>
      <c r="AG120" s="25" t="str">
        <f t="shared" si="6"/>
        <v/>
      </c>
      <c r="AH120" s="25" t="str">
        <f>IF(I120="","",IF(#REF!&gt;0,TRUE,FALSE))</f>
        <v/>
      </c>
      <c r="AI120" s="25">
        <v>110</v>
      </c>
      <c r="AJ120" s="25"/>
      <c r="AK120" s="25" t="str">
        <f t="array" ref="AK120">IFERROR(INDEX($AI$11:$AI$259, MATCH(0, IF(TRUE=$AF$11:$AF$259, COUNTIF($AK$10:$AK119, $AI$11:$AI$259), ""), 0)),"")</f>
        <v/>
      </c>
      <c r="AL120" s="25" t="str">
        <f t="array" ref="AL120">IFERROR(INDEX($AI$11:$AI$259, MATCH(0, IF(TRUE=$AG$11:$AG$259, COUNTIF($AL$10:$AL119, $AI$11:$AI$259), ""), 0)),"")</f>
        <v/>
      </c>
      <c r="AM120" s="25" t="str">
        <f t="array" ref="AM120">IFERROR(INDEX($AI$11:$AI$259, MATCH(0, IF(TRUE=$AH$11:$AH$259, COUNTIF($AM$10:$AM119, $AI$11:$AI$259), ""), 0)),"")</f>
        <v/>
      </c>
      <c r="AN120" s="25"/>
      <c r="AQ120" s="20">
        <f t="shared" si="11"/>
        <v>0</v>
      </c>
      <c r="AV120" s="540" t="str">
        <f>IFERROR(INDEX('G-1 All Habitats'!$B$3:$B$135,MATCH(F120,'G-1 All Habitats'!$A$3:$A$135,0)),"")</f>
        <v/>
      </c>
      <c r="AW120" s="20" t="str">
        <f>IF(AV120="","",VLOOKUP(AV120,'G-1 All Habitats'!$B$1:$T$135,19,FALSE))</f>
        <v/>
      </c>
    </row>
    <row r="121" spans="1:49" ht="14.5" thickBot="1" x14ac:dyDescent="0.35">
      <c r="A121" s="20" t="str">
        <f>IFERROR(INDEX('G-1 All Habitats'!$AG$3:$AG$17,MATCH(E121,'G-1 All Habitats'!$AF$3:$AF$17,0)),"")</f>
        <v/>
      </c>
      <c r="B121" s="20" t="str">
        <f>IFERROR(INDEX('G-8 Condition Look up'!$I$4:$I$135,MATCH(AV121,'G-8 Condition Look up'!$A$4:$A$135,0)),"")</f>
        <v/>
      </c>
      <c r="D121" s="238">
        <v>111</v>
      </c>
      <c r="E121" s="223"/>
      <c r="F121" s="45"/>
      <c r="G121" s="272"/>
      <c r="H121" s="37"/>
      <c r="I121" s="290" t="str">
        <f>IF(AV121="","",VLOOKUP(AV121,'G-1 All Habitats'!$B$2:$M$135,10,FALSE))</f>
        <v/>
      </c>
      <c r="J121" s="291" t="str">
        <f>IFERROR(VLOOKUP(I121,'G-1 All Habitats'!$V$3:$W$7,2,FALSE),"")</f>
        <v/>
      </c>
      <c r="K121" s="38"/>
      <c r="L121" s="291" t="str">
        <f>IFERROR(INDEX('G-8 Condition Look up'!$A$3:$H$135,MATCH(AV121,'G-8 Condition Look up'!$A$3:$A$135,0),MATCH(K121,'G-8 Condition Look up'!$A$3:$H$3,0)),"")</f>
        <v/>
      </c>
      <c r="M121" s="38"/>
      <c r="N121" s="310" t="str">
        <f>IF(M121="","",IF(VLOOKUP(M121,'G-3 Multipliers'!$L$3:$N$6,2,FALSE)=0,"Spatial Data Missing",VLOOKUP(M121,'G-3 Multipliers'!$L$3:$N$6,2,FALSE)))</f>
        <v/>
      </c>
      <c r="O121" s="296" t="str">
        <f>IF(M121="","",IF(VLOOKUP(M121,'G-3 Multipliers'!$L$3:$N$6,3,FALSE)=0,"Spatial Data Missing ▲",VLOOKUP(M121,'G-3 Multipliers'!$L$3:$N$6,3,FALSE)))</f>
        <v/>
      </c>
      <c r="P121" s="297" t="str">
        <f>(IF(G121="Yes","Bespoke compensation likely to be required 🛠",(IFERROR(VLOOKUP(AV121,'G-1 All Habitats'!$B$2:$M$135,12,FALSE),""))))</f>
        <v/>
      </c>
      <c r="Q121" s="304" t="str">
        <f>IFERROR(IF(AND(E121="Individual trees",T121&gt;0), "Error - you cannot enhance individual trees ▲", (IF(AND(U121="Irreplaceable habitat - no units generated ⚠",(S121+T121)&lt;H121, OR(Y121="No", Y121="")),"Any Loss Unacceptable ⚠", (IF(U121="Irreplaceable habitat - no units generated ⚠", T121*J121*L121*O121, IF(AND(P121='G-1 All Habitats'!$X$3, AC121&gt;0, S121&lt;=0, T121&lt;=0, OR(Y121="No", Y121="")),"Any Loss Unacceptable ⚠", IF(AND(P121='G-1 All Habitats'!$X$3, AC121&gt;0, S121&lt;=0, T121&lt;=0, Y121="Yes"), 0, (IF(AND(P121='G-1 All Habitats'!$X$3,(S121+T121)&lt;H121, OR(Y121="No", Y121="")),"Any Loss Unacceptable ⚠", (IF(P121="","",IF(AND(P121='G-1 All Habitats'!$X$3,T121&gt;0),U121+V121,IF(AND(P121='G-1 All Habitats'!$X$3,S121&gt;0),U121+V121,H121*J121*L121*O121))))))))))))),"Check Data ▲")</f>
        <v/>
      </c>
      <c r="R121" s="23"/>
      <c r="S121" s="38"/>
      <c r="T121" s="39"/>
      <c r="U121" s="302" t="str">
        <f t="shared" si="7"/>
        <v/>
      </c>
      <c r="V121" s="302" t="str">
        <f t="shared" si="8"/>
        <v/>
      </c>
      <c r="W121" s="302" t="str">
        <f>IF(E121="","",IF(H121&lt;S121+T121,"Error in Areas ▲",IF(P121&lt;&gt;'G-1 All Habitats'!$X$3,H121-S121-T121,IF(AND(P121='G-1 All Habitats'!$X$3,Y121="No"),AC121,IF(AND(P121='G-1 All Habitats'!$X$3,Y121=""),AC121,IF(AND(P121='G-1 All Habitats'!$X$3,AC121="None"),AC121,IF(AND(P121='G-1 All Habitats'!$X$3,AC121&gt;0),H121-S121-T121)))))))</f>
        <v/>
      </c>
      <c r="X121" s="306" t="str">
        <f>IFERROR(IF(H121="","",IF(H121-S121-T121=0&lt;0,"Error in Areas ▲",IF(S121+T121&gt;H121,"Error in Areas ▲",IF(AND(P121='G-1 All Habitats'!$X$3,Y121="Yes"),"Alternative Compensation ✓",IF(W121=0,0,IF(P121='G-1 All Habitats'!$X$3,"Any Loss Unacceptable ▲",Q121-U121-V121)))))),"Check Data ▲")</f>
        <v/>
      </c>
      <c r="Y121" s="39"/>
      <c r="Z121" s="46"/>
      <c r="AA121" s="419"/>
      <c r="AB121" s="101"/>
      <c r="AC121" s="495" t="str">
        <f>IF(OR(P121="", Y121="Yes"),"", IF(P121='G-1 All Habitats'!$X$3,H121-S121-T121,"None"))</f>
        <v/>
      </c>
      <c r="AD121" s="496" t="str">
        <f>IF(P121="","", IF(P121='G-1 All Habitats'!$X$3, AC121*J121*L121*O121,"None"))</f>
        <v/>
      </c>
      <c r="AE121" s="20" t="str">
        <f t="shared" si="9"/>
        <v/>
      </c>
      <c r="AF121" s="25" t="str">
        <f t="shared" si="10"/>
        <v/>
      </c>
      <c r="AG121" s="25" t="str">
        <f t="shared" si="6"/>
        <v/>
      </c>
      <c r="AH121" s="25" t="str">
        <f>IF(I121="","",IF(#REF!&gt;0,TRUE,FALSE))</f>
        <v/>
      </c>
      <c r="AI121" s="25">
        <v>111</v>
      </c>
      <c r="AJ121" s="25"/>
      <c r="AK121" s="25" t="str">
        <f t="array" ref="AK121">IFERROR(INDEX($AI$11:$AI$259, MATCH(0, IF(TRUE=$AF$11:$AF$259, COUNTIF($AK$10:$AK120, $AI$11:$AI$259), ""), 0)),"")</f>
        <v/>
      </c>
      <c r="AL121" s="25" t="str">
        <f t="array" ref="AL121">IFERROR(INDEX($AI$11:$AI$259, MATCH(0, IF(TRUE=$AG$11:$AG$259, COUNTIF($AL$10:$AL120, $AI$11:$AI$259), ""), 0)),"")</f>
        <v/>
      </c>
      <c r="AM121" s="25" t="str">
        <f t="array" ref="AM121">IFERROR(INDEX($AI$11:$AI$259, MATCH(0, IF(TRUE=$AH$11:$AH$259, COUNTIF($AM$10:$AM120, $AI$11:$AI$259), ""), 0)),"")</f>
        <v/>
      </c>
      <c r="AN121" s="25"/>
      <c r="AQ121" s="20">
        <f t="shared" si="11"/>
        <v>0</v>
      </c>
      <c r="AV121" s="540" t="str">
        <f>IFERROR(INDEX('G-1 All Habitats'!$B$3:$B$135,MATCH(F121,'G-1 All Habitats'!$A$3:$A$135,0)),"")</f>
        <v/>
      </c>
      <c r="AW121" s="20" t="str">
        <f>IF(AV121="","",VLOOKUP(AV121,'G-1 All Habitats'!$B$1:$T$135,19,FALSE))</f>
        <v/>
      </c>
    </row>
    <row r="122" spans="1:49" ht="14.5" thickBot="1" x14ac:dyDescent="0.35">
      <c r="A122" s="20" t="str">
        <f>IFERROR(INDEX('G-1 All Habitats'!$AG$3:$AG$17,MATCH(E122,'G-1 All Habitats'!$AF$3:$AF$17,0)),"")</f>
        <v/>
      </c>
      <c r="B122" s="20" t="str">
        <f>IFERROR(INDEX('G-8 Condition Look up'!$I$4:$I$135,MATCH(AV122,'G-8 Condition Look up'!$A$4:$A$135,0)),"")</f>
        <v/>
      </c>
      <c r="D122" s="238">
        <v>112</v>
      </c>
      <c r="E122" s="223"/>
      <c r="F122" s="45"/>
      <c r="G122" s="272"/>
      <c r="H122" s="37"/>
      <c r="I122" s="290" t="str">
        <f>IF(AV122="","",VLOOKUP(AV122,'G-1 All Habitats'!$B$2:$M$135,10,FALSE))</f>
        <v/>
      </c>
      <c r="J122" s="291" t="str">
        <f>IFERROR(VLOOKUP(I122,'G-1 All Habitats'!$V$3:$W$7,2,FALSE),"")</f>
        <v/>
      </c>
      <c r="K122" s="38"/>
      <c r="L122" s="291" t="str">
        <f>IFERROR(INDEX('G-8 Condition Look up'!$A$3:$H$135,MATCH(AV122,'G-8 Condition Look up'!$A$3:$A$135,0),MATCH(K122,'G-8 Condition Look up'!$A$3:$H$3,0)),"")</f>
        <v/>
      </c>
      <c r="M122" s="38"/>
      <c r="N122" s="310" t="str">
        <f>IF(M122="","",IF(VLOOKUP(M122,'G-3 Multipliers'!$L$3:$N$6,2,FALSE)=0,"Spatial Data Missing",VLOOKUP(M122,'G-3 Multipliers'!$L$3:$N$6,2,FALSE)))</f>
        <v/>
      </c>
      <c r="O122" s="296" t="str">
        <f>IF(M122="","",IF(VLOOKUP(M122,'G-3 Multipliers'!$L$3:$N$6,3,FALSE)=0,"Spatial Data Missing ▲",VLOOKUP(M122,'G-3 Multipliers'!$L$3:$N$6,3,FALSE)))</f>
        <v/>
      </c>
      <c r="P122" s="297" t="str">
        <f>(IF(G122="Yes","Bespoke compensation likely to be required 🛠",(IFERROR(VLOOKUP(AV122,'G-1 All Habitats'!$B$2:$M$135,12,FALSE),""))))</f>
        <v/>
      </c>
      <c r="Q122" s="304" t="str">
        <f>IFERROR(IF(AND(E122="Individual trees",T122&gt;0), "Error - you cannot enhance individual trees ▲", (IF(AND(U122="Irreplaceable habitat - no units generated ⚠",(S122+T122)&lt;H122, OR(Y122="No", Y122="")),"Any Loss Unacceptable ⚠", (IF(U122="Irreplaceable habitat - no units generated ⚠", T122*J122*L122*O122, IF(AND(P122='G-1 All Habitats'!$X$3, AC122&gt;0, S122&lt;=0, T122&lt;=0, OR(Y122="No", Y122="")),"Any Loss Unacceptable ⚠", IF(AND(P122='G-1 All Habitats'!$X$3, AC122&gt;0, S122&lt;=0, T122&lt;=0, Y122="Yes"), 0, (IF(AND(P122='G-1 All Habitats'!$X$3,(S122+T122)&lt;H122, OR(Y122="No", Y122="")),"Any Loss Unacceptable ⚠", (IF(P122="","",IF(AND(P122='G-1 All Habitats'!$X$3,T122&gt;0),U122+V122,IF(AND(P122='G-1 All Habitats'!$X$3,S122&gt;0),U122+V122,H122*J122*L122*O122))))))))))))),"Check Data ▲")</f>
        <v/>
      </c>
      <c r="R122" s="23"/>
      <c r="S122" s="38"/>
      <c r="T122" s="39"/>
      <c r="U122" s="302" t="str">
        <f t="shared" si="7"/>
        <v/>
      </c>
      <c r="V122" s="302" t="str">
        <f t="shared" si="8"/>
        <v/>
      </c>
      <c r="W122" s="302" t="str">
        <f>IF(E122="","",IF(H122&lt;S122+T122,"Error in Areas ▲",IF(P122&lt;&gt;'G-1 All Habitats'!$X$3,H122-S122-T122,IF(AND(P122='G-1 All Habitats'!$X$3,Y122="No"),AC122,IF(AND(P122='G-1 All Habitats'!$X$3,Y122=""),AC122,IF(AND(P122='G-1 All Habitats'!$X$3,AC122="None"),AC122,IF(AND(P122='G-1 All Habitats'!$X$3,AC122&gt;0),H122-S122-T122)))))))</f>
        <v/>
      </c>
      <c r="X122" s="306" t="str">
        <f>IFERROR(IF(H122="","",IF(H122-S122-T122=0&lt;0,"Error in Areas ▲",IF(S122+T122&gt;H122,"Error in Areas ▲",IF(AND(P122='G-1 All Habitats'!$X$3,Y122="Yes"),"Alternative Compensation ✓",IF(W122=0,0,IF(P122='G-1 All Habitats'!$X$3,"Any Loss Unacceptable ▲",Q122-U122-V122)))))),"Check Data ▲")</f>
        <v/>
      </c>
      <c r="Y122" s="39"/>
      <c r="Z122" s="46"/>
      <c r="AA122" s="419"/>
      <c r="AB122" s="101"/>
      <c r="AC122" s="495" t="str">
        <f>IF(OR(P122="", Y122="Yes"),"", IF(P122='G-1 All Habitats'!$X$3,H122-S122-T122,"None"))</f>
        <v/>
      </c>
      <c r="AD122" s="496" t="str">
        <f>IF(P122="","", IF(P122='G-1 All Habitats'!$X$3, AC122*J122*L122*O122,"None"))</f>
        <v/>
      </c>
      <c r="AE122" s="20" t="str">
        <f t="shared" si="9"/>
        <v/>
      </c>
      <c r="AF122" s="25" t="str">
        <f t="shared" si="10"/>
        <v/>
      </c>
      <c r="AG122" s="25" t="str">
        <f t="shared" si="6"/>
        <v/>
      </c>
      <c r="AH122" s="25" t="str">
        <f>IF(I122="","",IF(#REF!&gt;0,TRUE,FALSE))</f>
        <v/>
      </c>
      <c r="AI122" s="25">
        <v>112</v>
      </c>
      <c r="AJ122" s="25"/>
      <c r="AK122" s="25" t="str">
        <f t="array" ref="AK122">IFERROR(INDEX($AI$11:$AI$259, MATCH(0, IF(TRUE=$AF$11:$AF$259, COUNTIF($AK$10:$AK121, $AI$11:$AI$259), ""), 0)),"")</f>
        <v/>
      </c>
      <c r="AL122" s="25" t="str">
        <f t="array" ref="AL122">IFERROR(INDEX($AI$11:$AI$259, MATCH(0, IF(TRUE=$AG$11:$AG$259, COUNTIF($AL$10:$AL121, $AI$11:$AI$259), ""), 0)),"")</f>
        <v/>
      </c>
      <c r="AM122" s="25" t="str">
        <f t="array" ref="AM122">IFERROR(INDEX($AI$11:$AI$259, MATCH(0, IF(TRUE=$AH$11:$AH$259, COUNTIF($AM$10:$AM121, $AI$11:$AI$259), ""), 0)),"")</f>
        <v/>
      </c>
      <c r="AN122" s="25"/>
      <c r="AQ122" s="20">
        <f t="shared" si="11"/>
        <v>0</v>
      </c>
      <c r="AV122" s="540" t="str">
        <f>IFERROR(INDEX('G-1 All Habitats'!$B$3:$B$135,MATCH(F122,'G-1 All Habitats'!$A$3:$A$135,0)),"")</f>
        <v/>
      </c>
      <c r="AW122" s="20" t="str">
        <f>IF(AV122="","",VLOOKUP(AV122,'G-1 All Habitats'!$B$1:$T$135,19,FALSE))</f>
        <v/>
      </c>
    </row>
    <row r="123" spans="1:49" ht="14.5" thickBot="1" x14ac:dyDescent="0.35">
      <c r="A123" s="20" t="str">
        <f>IFERROR(INDEX('G-1 All Habitats'!$AG$3:$AG$17,MATCH(E123,'G-1 All Habitats'!$AF$3:$AF$17,0)),"")</f>
        <v/>
      </c>
      <c r="B123" s="20" t="str">
        <f>IFERROR(INDEX('G-8 Condition Look up'!$I$4:$I$135,MATCH(AV123,'G-8 Condition Look up'!$A$4:$A$135,0)),"")</f>
        <v/>
      </c>
      <c r="D123" s="238">
        <v>113</v>
      </c>
      <c r="E123" s="223"/>
      <c r="F123" s="45"/>
      <c r="G123" s="272"/>
      <c r="H123" s="37"/>
      <c r="I123" s="290" t="str">
        <f>IF(AV123="","",VLOOKUP(AV123,'G-1 All Habitats'!$B$2:$M$135,10,FALSE))</f>
        <v/>
      </c>
      <c r="J123" s="291" t="str">
        <f>IFERROR(VLOOKUP(I123,'G-1 All Habitats'!$V$3:$W$7,2,FALSE),"")</f>
        <v/>
      </c>
      <c r="K123" s="38"/>
      <c r="L123" s="291" t="str">
        <f>IFERROR(INDEX('G-8 Condition Look up'!$A$3:$H$135,MATCH(AV123,'G-8 Condition Look up'!$A$3:$A$135,0),MATCH(K123,'G-8 Condition Look up'!$A$3:$H$3,0)),"")</f>
        <v/>
      </c>
      <c r="M123" s="38"/>
      <c r="N123" s="310" t="str">
        <f>IF(M123="","",IF(VLOOKUP(M123,'G-3 Multipliers'!$L$3:$N$6,2,FALSE)=0,"Spatial Data Missing",VLOOKUP(M123,'G-3 Multipliers'!$L$3:$N$6,2,FALSE)))</f>
        <v/>
      </c>
      <c r="O123" s="296" t="str">
        <f>IF(M123="","",IF(VLOOKUP(M123,'G-3 Multipliers'!$L$3:$N$6,3,FALSE)=0,"Spatial Data Missing ▲",VLOOKUP(M123,'G-3 Multipliers'!$L$3:$N$6,3,FALSE)))</f>
        <v/>
      </c>
      <c r="P123" s="297" t="str">
        <f>(IF(G123="Yes","Bespoke compensation likely to be required 🛠",(IFERROR(VLOOKUP(AV123,'G-1 All Habitats'!$B$2:$M$135,12,FALSE),""))))</f>
        <v/>
      </c>
      <c r="Q123" s="304" t="str">
        <f>IFERROR(IF(AND(E123="Individual trees",T123&gt;0), "Error - you cannot enhance individual trees ▲", (IF(AND(U123="Irreplaceable habitat - no units generated ⚠",(S123+T123)&lt;H123, OR(Y123="No", Y123="")),"Any Loss Unacceptable ⚠", (IF(U123="Irreplaceable habitat - no units generated ⚠", T123*J123*L123*O123, IF(AND(P123='G-1 All Habitats'!$X$3, AC123&gt;0, S123&lt;=0, T123&lt;=0, OR(Y123="No", Y123="")),"Any Loss Unacceptable ⚠", IF(AND(P123='G-1 All Habitats'!$X$3, AC123&gt;0, S123&lt;=0, T123&lt;=0, Y123="Yes"), 0, (IF(AND(P123='G-1 All Habitats'!$X$3,(S123+T123)&lt;H123, OR(Y123="No", Y123="")),"Any Loss Unacceptable ⚠", (IF(P123="","",IF(AND(P123='G-1 All Habitats'!$X$3,T123&gt;0),U123+V123,IF(AND(P123='G-1 All Habitats'!$X$3,S123&gt;0),U123+V123,H123*J123*L123*O123))))))))))))),"Check Data ▲")</f>
        <v/>
      </c>
      <c r="R123" s="23"/>
      <c r="S123" s="38"/>
      <c r="T123" s="39"/>
      <c r="U123" s="302" t="str">
        <f t="shared" si="7"/>
        <v/>
      </c>
      <c r="V123" s="302" t="str">
        <f t="shared" si="8"/>
        <v/>
      </c>
      <c r="W123" s="302" t="str">
        <f>IF(E123="","",IF(H123&lt;S123+T123,"Error in Areas ▲",IF(P123&lt;&gt;'G-1 All Habitats'!$X$3,H123-S123-T123,IF(AND(P123='G-1 All Habitats'!$X$3,Y123="No"),AC123,IF(AND(P123='G-1 All Habitats'!$X$3,Y123=""),AC123,IF(AND(P123='G-1 All Habitats'!$X$3,AC123="None"),AC123,IF(AND(P123='G-1 All Habitats'!$X$3,AC123&gt;0),H123-S123-T123)))))))</f>
        <v/>
      </c>
      <c r="X123" s="306" t="str">
        <f>IFERROR(IF(H123="","",IF(H123-S123-T123=0&lt;0,"Error in Areas ▲",IF(S123+T123&gt;H123,"Error in Areas ▲",IF(AND(P123='G-1 All Habitats'!$X$3,Y123="Yes"),"Alternative Compensation ✓",IF(W123=0,0,IF(P123='G-1 All Habitats'!$X$3,"Any Loss Unacceptable ▲",Q123-U123-V123)))))),"Check Data ▲")</f>
        <v/>
      </c>
      <c r="Y123" s="39"/>
      <c r="Z123" s="46"/>
      <c r="AA123" s="419"/>
      <c r="AB123" s="101"/>
      <c r="AC123" s="495" t="str">
        <f>IF(OR(P123="", Y123="Yes"),"", IF(P123='G-1 All Habitats'!$X$3,H123-S123-T123,"None"))</f>
        <v/>
      </c>
      <c r="AD123" s="496" t="str">
        <f>IF(P123="","", IF(P123='G-1 All Habitats'!$X$3, AC123*J123*L123*O123,"None"))</f>
        <v/>
      </c>
      <c r="AE123" s="20" t="str">
        <f t="shared" si="9"/>
        <v/>
      </c>
      <c r="AF123" s="25" t="str">
        <f t="shared" si="10"/>
        <v/>
      </c>
      <c r="AG123" s="25" t="str">
        <f t="shared" si="6"/>
        <v/>
      </c>
      <c r="AH123" s="25" t="str">
        <f>IF(I123="","",IF(#REF!&gt;0,TRUE,FALSE))</f>
        <v/>
      </c>
      <c r="AI123" s="25">
        <v>113</v>
      </c>
      <c r="AJ123" s="25"/>
      <c r="AK123" s="25" t="str">
        <f t="array" ref="AK123">IFERROR(INDEX($AI$11:$AI$259, MATCH(0, IF(TRUE=$AF$11:$AF$259, COUNTIF($AK$10:$AK122, $AI$11:$AI$259), ""), 0)),"")</f>
        <v/>
      </c>
      <c r="AL123" s="25" t="str">
        <f t="array" ref="AL123">IFERROR(INDEX($AI$11:$AI$259, MATCH(0, IF(TRUE=$AG$11:$AG$259, COUNTIF($AL$10:$AL122, $AI$11:$AI$259), ""), 0)),"")</f>
        <v/>
      </c>
      <c r="AM123" s="25" t="str">
        <f t="array" ref="AM123">IFERROR(INDEX($AI$11:$AI$259, MATCH(0, IF(TRUE=$AH$11:$AH$259, COUNTIF($AM$10:$AM122, $AI$11:$AI$259), ""), 0)),"")</f>
        <v/>
      </c>
      <c r="AN123" s="25"/>
      <c r="AQ123" s="20">
        <f t="shared" si="11"/>
        <v>0</v>
      </c>
      <c r="AV123" s="540" t="str">
        <f>IFERROR(INDEX('G-1 All Habitats'!$B$3:$B$135,MATCH(F123,'G-1 All Habitats'!$A$3:$A$135,0)),"")</f>
        <v/>
      </c>
      <c r="AW123" s="20" t="str">
        <f>IF(AV123="","",VLOOKUP(AV123,'G-1 All Habitats'!$B$1:$T$135,19,FALSE))</f>
        <v/>
      </c>
    </row>
    <row r="124" spans="1:49" ht="14.5" thickBot="1" x14ac:dyDescent="0.35">
      <c r="A124" s="20" t="str">
        <f>IFERROR(INDEX('G-1 All Habitats'!$AG$3:$AG$17,MATCH(E124,'G-1 All Habitats'!$AF$3:$AF$17,0)),"")</f>
        <v/>
      </c>
      <c r="B124" s="20" t="str">
        <f>IFERROR(INDEX('G-8 Condition Look up'!$I$4:$I$135,MATCH(AV124,'G-8 Condition Look up'!$A$4:$A$135,0)),"")</f>
        <v/>
      </c>
      <c r="D124" s="238">
        <v>114</v>
      </c>
      <c r="E124" s="223"/>
      <c r="F124" s="45"/>
      <c r="G124" s="272"/>
      <c r="H124" s="37"/>
      <c r="I124" s="290" t="str">
        <f>IF(AV124="","",VLOOKUP(AV124,'G-1 All Habitats'!$B$2:$M$135,10,FALSE))</f>
        <v/>
      </c>
      <c r="J124" s="291" t="str">
        <f>IFERROR(VLOOKUP(I124,'G-1 All Habitats'!$V$3:$W$7,2,FALSE),"")</f>
        <v/>
      </c>
      <c r="K124" s="38"/>
      <c r="L124" s="291" t="str">
        <f>IFERROR(INDEX('G-8 Condition Look up'!$A$3:$H$135,MATCH(AV124,'G-8 Condition Look up'!$A$3:$A$135,0),MATCH(K124,'G-8 Condition Look up'!$A$3:$H$3,0)),"")</f>
        <v/>
      </c>
      <c r="M124" s="38"/>
      <c r="N124" s="310" t="str">
        <f>IF(M124="","",IF(VLOOKUP(M124,'G-3 Multipliers'!$L$3:$N$6,2,FALSE)=0,"Spatial Data Missing",VLOOKUP(M124,'G-3 Multipliers'!$L$3:$N$6,2,FALSE)))</f>
        <v/>
      </c>
      <c r="O124" s="296" t="str">
        <f>IF(M124="","",IF(VLOOKUP(M124,'G-3 Multipliers'!$L$3:$N$6,3,FALSE)=0,"Spatial Data Missing ▲",VLOOKUP(M124,'G-3 Multipliers'!$L$3:$N$6,3,FALSE)))</f>
        <v/>
      </c>
      <c r="P124" s="297" t="str">
        <f>(IF(G124="Yes","Bespoke compensation likely to be required 🛠",(IFERROR(VLOOKUP(AV124,'G-1 All Habitats'!$B$2:$M$135,12,FALSE),""))))</f>
        <v/>
      </c>
      <c r="Q124" s="304" t="str">
        <f>IFERROR(IF(AND(E124="Individual trees",T124&gt;0), "Error - you cannot enhance individual trees ▲", (IF(AND(U124="Irreplaceable habitat - no units generated ⚠",(S124+T124)&lt;H124, OR(Y124="No", Y124="")),"Any Loss Unacceptable ⚠", (IF(U124="Irreplaceable habitat - no units generated ⚠", T124*J124*L124*O124, IF(AND(P124='G-1 All Habitats'!$X$3, AC124&gt;0, S124&lt;=0, T124&lt;=0, OR(Y124="No", Y124="")),"Any Loss Unacceptable ⚠", IF(AND(P124='G-1 All Habitats'!$X$3, AC124&gt;0, S124&lt;=0, T124&lt;=0, Y124="Yes"), 0, (IF(AND(P124='G-1 All Habitats'!$X$3,(S124+T124)&lt;H124, OR(Y124="No", Y124="")),"Any Loss Unacceptable ⚠", (IF(P124="","",IF(AND(P124='G-1 All Habitats'!$X$3,T124&gt;0),U124+V124,IF(AND(P124='G-1 All Habitats'!$X$3,S124&gt;0),U124+V124,H124*J124*L124*O124))))))))))))),"Check Data ▲")</f>
        <v/>
      </c>
      <c r="R124" s="23"/>
      <c r="S124" s="38"/>
      <c r="T124" s="39"/>
      <c r="U124" s="302" t="str">
        <f t="shared" si="7"/>
        <v/>
      </c>
      <c r="V124" s="302" t="str">
        <f t="shared" si="8"/>
        <v/>
      </c>
      <c r="W124" s="302" t="str">
        <f>IF(E124="","",IF(H124&lt;S124+T124,"Error in Areas ▲",IF(P124&lt;&gt;'G-1 All Habitats'!$X$3,H124-S124-T124,IF(AND(P124='G-1 All Habitats'!$X$3,Y124="No"),AC124,IF(AND(P124='G-1 All Habitats'!$X$3,Y124=""),AC124,IF(AND(P124='G-1 All Habitats'!$X$3,AC124="None"),AC124,IF(AND(P124='G-1 All Habitats'!$X$3,AC124&gt;0),H124-S124-T124)))))))</f>
        <v/>
      </c>
      <c r="X124" s="306" t="str">
        <f>IFERROR(IF(H124="","",IF(H124-S124-T124=0&lt;0,"Error in Areas ▲",IF(S124+T124&gt;H124,"Error in Areas ▲",IF(AND(P124='G-1 All Habitats'!$X$3,Y124="Yes"),"Alternative Compensation ✓",IF(W124=0,0,IF(P124='G-1 All Habitats'!$X$3,"Any Loss Unacceptable ▲",Q124-U124-V124)))))),"Check Data ▲")</f>
        <v/>
      </c>
      <c r="Y124" s="39"/>
      <c r="Z124" s="46"/>
      <c r="AA124" s="419"/>
      <c r="AB124" s="101"/>
      <c r="AC124" s="495" t="str">
        <f>IF(OR(P124="", Y124="Yes"),"", IF(P124='G-1 All Habitats'!$X$3,H124-S124-T124,"None"))</f>
        <v/>
      </c>
      <c r="AD124" s="496" t="str">
        <f>IF(P124="","", IF(P124='G-1 All Habitats'!$X$3, AC124*J124*L124*O124,"None"))</f>
        <v/>
      </c>
      <c r="AE124" s="20" t="str">
        <f t="shared" si="9"/>
        <v/>
      </c>
      <c r="AF124" s="25" t="str">
        <f t="shared" si="10"/>
        <v/>
      </c>
      <c r="AG124" s="25" t="str">
        <f t="shared" si="6"/>
        <v/>
      </c>
      <c r="AH124" s="25" t="str">
        <f>IF(I124="","",IF(#REF!&gt;0,TRUE,FALSE))</f>
        <v/>
      </c>
      <c r="AI124" s="25">
        <v>114</v>
      </c>
      <c r="AJ124" s="25"/>
      <c r="AK124" s="25" t="str">
        <f t="array" ref="AK124">IFERROR(INDEX($AI$11:$AI$259, MATCH(0, IF(TRUE=$AF$11:$AF$259, COUNTIF($AK$10:$AK123, $AI$11:$AI$259), ""), 0)),"")</f>
        <v/>
      </c>
      <c r="AL124" s="25" t="str">
        <f t="array" ref="AL124">IFERROR(INDEX($AI$11:$AI$259, MATCH(0, IF(TRUE=$AG$11:$AG$259, COUNTIF($AL$10:$AL123, $AI$11:$AI$259), ""), 0)),"")</f>
        <v/>
      </c>
      <c r="AM124" s="25" t="str">
        <f t="array" ref="AM124">IFERROR(INDEX($AI$11:$AI$259, MATCH(0, IF(TRUE=$AH$11:$AH$259, COUNTIF($AM$10:$AM123, $AI$11:$AI$259), ""), 0)),"")</f>
        <v/>
      </c>
      <c r="AN124" s="25"/>
      <c r="AQ124" s="20">
        <f t="shared" si="11"/>
        <v>0</v>
      </c>
      <c r="AV124" s="540" t="str">
        <f>IFERROR(INDEX('G-1 All Habitats'!$B$3:$B$135,MATCH(F124,'G-1 All Habitats'!$A$3:$A$135,0)),"")</f>
        <v/>
      </c>
      <c r="AW124" s="20" t="str">
        <f>IF(AV124="","",VLOOKUP(AV124,'G-1 All Habitats'!$B$1:$T$135,19,FALSE))</f>
        <v/>
      </c>
    </row>
    <row r="125" spans="1:49" ht="14.5" thickBot="1" x14ac:dyDescent="0.35">
      <c r="A125" s="20" t="str">
        <f>IFERROR(INDEX('G-1 All Habitats'!$AG$3:$AG$17,MATCH(E125,'G-1 All Habitats'!$AF$3:$AF$17,0)),"")</f>
        <v/>
      </c>
      <c r="B125" s="20" t="str">
        <f>IFERROR(INDEX('G-8 Condition Look up'!$I$4:$I$135,MATCH(AV125,'G-8 Condition Look up'!$A$4:$A$135,0)),"")</f>
        <v/>
      </c>
      <c r="D125" s="238">
        <v>115</v>
      </c>
      <c r="E125" s="223"/>
      <c r="F125" s="45"/>
      <c r="G125" s="272"/>
      <c r="H125" s="37"/>
      <c r="I125" s="290" t="str">
        <f>IF(AV125="","",VLOOKUP(AV125,'G-1 All Habitats'!$B$2:$M$135,10,FALSE))</f>
        <v/>
      </c>
      <c r="J125" s="291" t="str">
        <f>IFERROR(VLOOKUP(I125,'G-1 All Habitats'!$V$3:$W$7,2,FALSE),"")</f>
        <v/>
      </c>
      <c r="K125" s="38"/>
      <c r="L125" s="291" t="str">
        <f>IFERROR(INDEX('G-8 Condition Look up'!$A$3:$H$135,MATCH(AV125,'G-8 Condition Look up'!$A$3:$A$135,0),MATCH(K125,'G-8 Condition Look up'!$A$3:$H$3,0)),"")</f>
        <v/>
      </c>
      <c r="M125" s="38"/>
      <c r="N125" s="310" t="str">
        <f>IF(M125="","",IF(VLOOKUP(M125,'G-3 Multipliers'!$L$3:$N$6,2,FALSE)=0,"Spatial Data Missing",VLOOKUP(M125,'G-3 Multipliers'!$L$3:$N$6,2,FALSE)))</f>
        <v/>
      </c>
      <c r="O125" s="296" t="str">
        <f>IF(M125="","",IF(VLOOKUP(M125,'G-3 Multipliers'!$L$3:$N$6,3,FALSE)=0,"Spatial Data Missing ▲",VLOOKUP(M125,'G-3 Multipliers'!$L$3:$N$6,3,FALSE)))</f>
        <v/>
      </c>
      <c r="P125" s="297" t="str">
        <f>(IF(G125="Yes","Bespoke compensation likely to be required 🛠",(IFERROR(VLOOKUP(AV125,'G-1 All Habitats'!$B$2:$M$135,12,FALSE),""))))</f>
        <v/>
      </c>
      <c r="Q125" s="304" t="str">
        <f>IFERROR(IF(AND(E125="Individual trees",T125&gt;0), "Error - you cannot enhance individual trees ▲", (IF(AND(U125="Irreplaceable habitat - no units generated ⚠",(S125+T125)&lt;H125, OR(Y125="No", Y125="")),"Any Loss Unacceptable ⚠", (IF(U125="Irreplaceable habitat - no units generated ⚠", T125*J125*L125*O125, IF(AND(P125='G-1 All Habitats'!$X$3, AC125&gt;0, S125&lt;=0, T125&lt;=0, OR(Y125="No", Y125="")),"Any Loss Unacceptable ⚠", IF(AND(P125='G-1 All Habitats'!$X$3, AC125&gt;0, S125&lt;=0, T125&lt;=0, Y125="Yes"), 0, (IF(AND(P125='G-1 All Habitats'!$X$3,(S125+T125)&lt;H125, OR(Y125="No", Y125="")),"Any Loss Unacceptable ⚠", (IF(P125="","",IF(AND(P125='G-1 All Habitats'!$X$3,T125&gt;0),U125+V125,IF(AND(P125='G-1 All Habitats'!$X$3,S125&gt;0),U125+V125,H125*J125*L125*O125))))))))))))),"Check Data ▲")</f>
        <v/>
      </c>
      <c r="R125" s="23"/>
      <c r="S125" s="38"/>
      <c r="T125" s="39"/>
      <c r="U125" s="302" t="str">
        <f t="shared" si="7"/>
        <v/>
      </c>
      <c r="V125" s="302" t="str">
        <f t="shared" si="8"/>
        <v/>
      </c>
      <c r="W125" s="302" t="str">
        <f>IF(E125="","",IF(H125&lt;S125+T125,"Error in Areas ▲",IF(P125&lt;&gt;'G-1 All Habitats'!$X$3,H125-S125-T125,IF(AND(P125='G-1 All Habitats'!$X$3,Y125="No"),AC125,IF(AND(P125='G-1 All Habitats'!$X$3,Y125=""),AC125,IF(AND(P125='G-1 All Habitats'!$X$3,AC125="None"),AC125,IF(AND(P125='G-1 All Habitats'!$X$3,AC125&gt;0),H125-S125-T125)))))))</f>
        <v/>
      </c>
      <c r="X125" s="306" t="str">
        <f>IFERROR(IF(H125="","",IF(H125-S125-T125=0&lt;0,"Error in Areas ▲",IF(S125+T125&gt;H125,"Error in Areas ▲",IF(AND(P125='G-1 All Habitats'!$X$3,Y125="Yes"),"Alternative Compensation ✓",IF(W125=0,0,IF(P125='G-1 All Habitats'!$X$3,"Any Loss Unacceptable ▲",Q125-U125-V125)))))),"Check Data ▲")</f>
        <v/>
      </c>
      <c r="Y125" s="39"/>
      <c r="Z125" s="46"/>
      <c r="AA125" s="419"/>
      <c r="AB125" s="101"/>
      <c r="AC125" s="495" t="str">
        <f>IF(OR(P125="", Y125="Yes"),"", IF(P125='G-1 All Habitats'!$X$3,H125-S125-T125,"None"))</f>
        <v/>
      </c>
      <c r="AD125" s="496" t="str">
        <f>IF(P125="","", IF(P125='G-1 All Habitats'!$X$3, AC125*J125*L125*O125,"None"))</f>
        <v/>
      </c>
      <c r="AE125" s="20" t="str">
        <f t="shared" si="9"/>
        <v/>
      </c>
      <c r="AF125" s="25" t="str">
        <f t="shared" si="10"/>
        <v/>
      </c>
      <c r="AG125" s="25" t="str">
        <f t="shared" si="6"/>
        <v/>
      </c>
      <c r="AH125" s="25" t="str">
        <f>IF(I125="","",IF(#REF!&gt;0,TRUE,FALSE))</f>
        <v/>
      </c>
      <c r="AI125" s="25">
        <v>115</v>
      </c>
      <c r="AJ125" s="25"/>
      <c r="AK125" s="25" t="str">
        <f t="array" ref="AK125">IFERROR(INDEX($AI$11:$AI$259, MATCH(0, IF(TRUE=$AF$11:$AF$259, COUNTIF($AK$10:$AK124, $AI$11:$AI$259), ""), 0)),"")</f>
        <v/>
      </c>
      <c r="AL125" s="25" t="str">
        <f t="array" ref="AL125">IFERROR(INDEX($AI$11:$AI$259, MATCH(0, IF(TRUE=$AG$11:$AG$259, COUNTIF($AL$10:$AL124, $AI$11:$AI$259), ""), 0)),"")</f>
        <v/>
      </c>
      <c r="AM125" s="25" t="str">
        <f t="array" ref="AM125">IFERROR(INDEX($AI$11:$AI$259, MATCH(0, IF(TRUE=$AH$11:$AH$259, COUNTIF($AM$10:$AM124, $AI$11:$AI$259), ""), 0)),"")</f>
        <v/>
      </c>
      <c r="AN125" s="25"/>
      <c r="AQ125" s="20">
        <f t="shared" si="11"/>
        <v>0</v>
      </c>
      <c r="AV125" s="540" t="str">
        <f>IFERROR(INDEX('G-1 All Habitats'!$B$3:$B$135,MATCH(F125,'G-1 All Habitats'!$A$3:$A$135,0)),"")</f>
        <v/>
      </c>
      <c r="AW125" s="20" t="str">
        <f>IF(AV125="","",VLOOKUP(AV125,'G-1 All Habitats'!$B$1:$T$135,19,FALSE))</f>
        <v/>
      </c>
    </row>
    <row r="126" spans="1:49" ht="14.5" thickBot="1" x14ac:dyDescent="0.35">
      <c r="A126" s="20" t="str">
        <f>IFERROR(INDEX('G-1 All Habitats'!$AG$3:$AG$17,MATCH(E126,'G-1 All Habitats'!$AF$3:$AF$17,0)),"")</f>
        <v/>
      </c>
      <c r="B126" s="20" t="str">
        <f>IFERROR(INDEX('G-8 Condition Look up'!$I$4:$I$135,MATCH(AV126,'G-8 Condition Look up'!$A$4:$A$135,0)),"")</f>
        <v/>
      </c>
      <c r="D126" s="238">
        <v>116</v>
      </c>
      <c r="E126" s="223"/>
      <c r="F126" s="45"/>
      <c r="G126" s="272"/>
      <c r="H126" s="37"/>
      <c r="I126" s="290" t="str">
        <f>IF(AV126="","",VLOOKUP(AV126,'G-1 All Habitats'!$B$2:$M$135,10,FALSE))</f>
        <v/>
      </c>
      <c r="J126" s="291" t="str">
        <f>IFERROR(VLOOKUP(I126,'G-1 All Habitats'!$V$3:$W$7,2,FALSE),"")</f>
        <v/>
      </c>
      <c r="K126" s="38"/>
      <c r="L126" s="291" t="str">
        <f>IFERROR(INDEX('G-8 Condition Look up'!$A$3:$H$135,MATCH(AV126,'G-8 Condition Look up'!$A$3:$A$135,0),MATCH(K126,'G-8 Condition Look up'!$A$3:$H$3,0)),"")</f>
        <v/>
      </c>
      <c r="M126" s="38"/>
      <c r="N126" s="310" t="str">
        <f>IF(M126="","",IF(VLOOKUP(M126,'G-3 Multipliers'!$L$3:$N$6,2,FALSE)=0,"Spatial Data Missing",VLOOKUP(M126,'G-3 Multipliers'!$L$3:$N$6,2,FALSE)))</f>
        <v/>
      </c>
      <c r="O126" s="296" t="str">
        <f>IF(M126="","",IF(VLOOKUP(M126,'G-3 Multipliers'!$L$3:$N$6,3,FALSE)=0,"Spatial Data Missing ▲",VLOOKUP(M126,'G-3 Multipliers'!$L$3:$N$6,3,FALSE)))</f>
        <v/>
      </c>
      <c r="P126" s="297" t="str">
        <f>(IF(G126="Yes","Bespoke compensation likely to be required 🛠",(IFERROR(VLOOKUP(AV126,'G-1 All Habitats'!$B$2:$M$135,12,FALSE),""))))</f>
        <v/>
      </c>
      <c r="Q126" s="304" t="str">
        <f>IFERROR(IF(AND(E126="Individual trees",T126&gt;0), "Error - you cannot enhance individual trees ▲", (IF(AND(U126="Irreplaceable habitat - no units generated ⚠",(S126+T126)&lt;H126, OR(Y126="No", Y126="")),"Any Loss Unacceptable ⚠", (IF(U126="Irreplaceable habitat - no units generated ⚠", T126*J126*L126*O126, IF(AND(P126='G-1 All Habitats'!$X$3, AC126&gt;0, S126&lt;=0, T126&lt;=0, OR(Y126="No", Y126="")),"Any Loss Unacceptable ⚠", IF(AND(P126='G-1 All Habitats'!$X$3, AC126&gt;0, S126&lt;=0, T126&lt;=0, Y126="Yes"), 0, (IF(AND(P126='G-1 All Habitats'!$X$3,(S126+T126)&lt;H126, OR(Y126="No", Y126="")),"Any Loss Unacceptable ⚠", (IF(P126="","",IF(AND(P126='G-1 All Habitats'!$X$3,T126&gt;0),U126+V126,IF(AND(P126='G-1 All Habitats'!$X$3,S126&gt;0),U126+V126,H126*J126*L126*O126))))))))))))),"Check Data ▲")</f>
        <v/>
      </c>
      <c r="R126" s="23"/>
      <c r="S126" s="38"/>
      <c r="T126" s="39"/>
      <c r="U126" s="302" t="str">
        <f t="shared" si="7"/>
        <v/>
      </c>
      <c r="V126" s="302" t="str">
        <f t="shared" si="8"/>
        <v/>
      </c>
      <c r="W126" s="302" t="str">
        <f>IF(E126="","",IF(H126&lt;S126+T126,"Error in Areas ▲",IF(P126&lt;&gt;'G-1 All Habitats'!$X$3,H126-S126-T126,IF(AND(P126='G-1 All Habitats'!$X$3,Y126="No"),AC126,IF(AND(P126='G-1 All Habitats'!$X$3,Y126=""),AC126,IF(AND(P126='G-1 All Habitats'!$X$3,AC126="None"),AC126,IF(AND(P126='G-1 All Habitats'!$X$3,AC126&gt;0),H126-S126-T126)))))))</f>
        <v/>
      </c>
      <c r="X126" s="306" t="str">
        <f>IFERROR(IF(H126="","",IF(H126-S126-T126=0&lt;0,"Error in Areas ▲",IF(S126+T126&gt;H126,"Error in Areas ▲",IF(AND(P126='G-1 All Habitats'!$X$3,Y126="Yes"),"Alternative Compensation ✓",IF(W126=0,0,IF(P126='G-1 All Habitats'!$X$3,"Any Loss Unacceptable ▲",Q126-U126-V126)))))),"Check Data ▲")</f>
        <v/>
      </c>
      <c r="Y126" s="39"/>
      <c r="Z126" s="46"/>
      <c r="AA126" s="419"/>
      <c r="AB126" s="101"/>
      <c r="AC126" s="495" t="str">
        <f>IF(OR(P126="", Y126="Yes"),"", IF(P126='G-1 All Habitats'!$X$3,H126-S126-T126,"None"))</f>
        <v/>
      </c>
      <c r="AD126" s="496" t="str">
        <f>IF(P126="","", IF(P126='G-1 All Habitats'!$X$3, AC126*J126*L126*O126,"None"))</f>
        <v/>
      </c>
      <c r="AE126" s="20" t="str">
        <f t="shared" si="9"/>
        <v/>
      </c>
      <c r="AF126" s="25" t="str">
        <f t="shared" si="10"/>
        <v/>
      </c>
      <c r="AG126" s="25" t="str">
        <f t="shared" si="6"/>
        <v/>
      </c>
      <c r="AH126" s="25" t="str">
        <f>IF(I126="","",IF(#REF!&gt;0,TRUE,FALSE))</f>
        <v/>
      </c>
      <c r="AI126" s="25">
        <v>116</v>
      </c>
      <c r="AJ126" s="25"/>
      <c r="AK126" s="25" t="str">
        <f t="array" ref="AK126">IFERROR(INDEX($AI$11:$AI$259, MATCH(0, IF(TRUE=$AF$11:$AF$259, COUNTIF($AK$10:$AK125, $AI$11:$AI$259), ""), 0)),"")</f>
        <v/>
      </c>
      <c r="AL126" s="25" t="str">
        <f t="array" ref="AL126">IFERROR(INDEX($AI$11:$AI$259, MATCH(0, IF(TRUE=$AG$11:$AG$259, COUNTIF($AL$10:$AL125, $AI$11:$AI$259), ""), 0)),"")</f>
        <v/>
      </c>
      <c r="AM126" s="25" t="str">
        <f t="array" ref="AM126">IFERROR(INDEX($AI$11:$AI$259, MATCH(0, IF(TRUE=$AH$11:$AH$259, COUNTIF($AM$10:$AM125, $AI$11:$AI$259), ""), 0)),"")</f>
        <v/>
      </c>
      <c r="AN126" s="25"/>
      <c r="AQ126" s="20">
        <f t="shared" si="11"/>
        <v>0</v>
      </c>
      <c r="AV126" s="540" t="str">
        <f>IFERROR(INDEX('G-1 All Habitats'!$B$3:$B$135,MATCH(F126,'G-1 All Habitats'!$A$3:$A$135,0)),"")</f>
        <v/>
      </c>
      <c r="AW126" s="20" t="str">
        <f>IF(AV126="","",VLOOKUP(AV126,'G-1 All Habitats'!$B$1:$T$135,19,FALSE))</f>
        <v/>
      </c>
    </row>
    <row r="127" spans="1:49" ht="14.5" thickBot="1" x14ac:dyDescent="0.35">
      <c r="A127" s="20" t="str">
        <f>IFERROR(INDEX('G-1 All Habitats'!$AG$3:$AG$17,MATCH(E127,'G-1 All Habitats'!$AF$3:$AF$17,0)),"")</f>
        <v/>
      </c>
      <c r="B127" s="20" t="str">
        <f>IFERROR(INDEX('G-8 Condition Look up'!$I$4:$I$135,MATCH(AV127,'G-8 Condition Look up'!$A$4:$A$135,0)),"")</f>
        <v/>
      </c>
      <c r="D127" s="238">
        <v>117</v>
      </c>
      <c r="E127" s="223"/>
      <c r="F127" s="45"/>
      <c r="G127" s="272"/>
      <c r="H127" s="37"/>
      <c r="I127" s="290" t="str">
        <f>IF(AV127="","",VLOOKUP(AV127,'G-1 All Habitats'!$B$2:$M$135,10,FALSE))</f>
        <v/>
      </c>
      <c r="J127" s="291" t="str">
        <f>IFERROR(VLOOKUP(I127,'G-1 All Habitats'!$V$3:$W$7,2,FALSE),"")</f>
        <v/>
      </c>
      <c r="K127" s="38"/>
      <c r="L127" s="291" t="str">
        <f>IFERROR(INDEX('G-8 Condition Look up'!$A$3:$H$135,MATCH(AV127,'G-8 Condition Look up'!$A$3:$A$135,0),MATCH(K127,'G-8 Condition Look up'!$A$3:$H$3,0)),"")</f>
        <v/>
      </c>
      <c r="M127" s="38"/>
      <c r="N127" s="310" t="str">
        <f>IF(M127="","",IF(VLOOKUP(M127,'G-3 Multipliers'!$L$3:$N$6,2,FALSE)=0,"Spatial Data Missing",VLOOKUP(M127,'G-3 Multipliers'!$L$3:$N$6,2,FALSE)))</f>
        <v/>
      </c>
      <c r="O127" s="296" t="str">
        <f>IF(M127="","",IF(VLOOKUP(M127,'G-3 Multipliers'!$L$3:$N$6,3,FALSE)=0,"Spatial Data Missing ▲",VLOOKUP(M127,'G-3 Multipliers'!$L$3:$N$6,3,FALSE)))</f>
        <v/>
      </c>
      <c r="P127" s="297" t="str">
        <f>(IF(G127="Yes","Bespoke compensation likely to be required 🛠",(IFERROR(VLOOKUP(AV127,'G-1 All Habitats'!$B$2:$M$135,12,FALSE),""))))</f>
        <v/>
      </c>
      <c r="Q127" s="304" t="str">
        <f>IFERROR(IF(AND(E127="Individual trees",T127&gt;0), "Error - you cannot enhance individual trees ▲", (IF(AND(U127="Irreplaceable habitat - no units generated ⚠",(S127+T127)&lt;H127, OR(Y127="No", Y127="")),"Any Loss Unacceptable ⚠", (IF(U127="Irreplaceable habitat - no units generated ⚠", T127*J127*L127*O127, IF(AND(P127='G-1 All Habitats'!$X$3, AC127&gt;0, S127&lt;=0, T127&lt;=0, OR(Y127="No", Y127="")),"Any Loss Unacceptable ⚠", IF(AND(P127='G-1 All Habitats'!$X$3, AC127&gt;0, S127&lt;=0, T127&lt;=0, Y127="Yes"), 0, (IF(AND(P127='G-1 All Habitats'!$X$3,(S127+T127)&lt;H127, OR(Y127="No", Y127="")),"Any Loss Unacceptable ⚠", (IF(P127="","",IF(AND(P127='G-1 All Habitats'!$X$3,T127&gt;0),U127+V127,IF(AND(P127='G-1 All Habitats'!$X$3,S127&gt;0),U127+V127,H127*J127*L127*O127))))))))))))),"Check Data ▲")</f>
        <v/>
      </c>
      <c r="R127" s="23"/>
      <c r="S127" s="38"/>
      <c r="T127" s="39"/>
      <c r="U127" s="302" t="str">
        <f t="shared" si="7"/>
        <v/>
      </c>
      <c r="V127" s="302" t="str">
        <f t="shared" si="8"/>
        <v/>
      </c>
      <c r="W127" s="302" t="str">
        <f>IF(E127="","",IF(H127&lt;S127+T127,"Error in Areas ▲",IF(P127&lt;&gt;'G-1 All Habitats'!$X$3,H127-S127-T127,IF(AND(P127='G-1 All Habitats'!$X$3,Y127="No"),AC127,IF(AND(P127='G-1 All Habitats'!$X$3,Y127=""),AC127,IF(AND(P127='G-1 All Habitats'!$X$3,AC127="None"),AC127,IF(AND(P127='G-1 All Habitats'!$X$3,AC127&gt;0),H127-S127-T127)))))))</f>
        <v/>
      </c>
      <c r="X127" s="306" t="str">
        <f>IFERROR(IF(H127="","",IF(H127-S127-T127=0&lt;0,"Error in Areas ▲",IF(S127+T127&gt;H127,"Error in Areas ▲",IF(AND(P127='G-1 All Habitats'!$X$3,Y127="Yes"),"Alternative Compensation ✓",IF(W127=0,0,IF(P127='G-1 All Habitats'!$X$3,"Any Loss Unacceptable ▲",Q127-U127-V127)))))),"Check Data ▲")</f>
        <v/>
      </c>
      <c r="Y127" s="39"/>
      <c r="Z127" s="46"/>
      <c r="AA127" s="419"/>
      <c r="AB127" s="101"/>
      <c r="AC127" s="495" t="str">
        <f>IF(OR(P127="", Y127="Yes"),"", IF(P127='G-1 All Habitats'!$X$3,H127-S127-T127,"None"))</f>
        <v/>
      </c>
      <c r="AD127" s="496" t="str">
        <f>IF(P127="","", IF(P127='G-1 All Habitats'!$X$3, AC127*J127*L127*O127,"None"))</f>
        <v/>
      </c>
      <c r="AE127" s="20" t="str">
        <f t="shared" si="9"/>
        <v/>
      </c>
      <c r="AF127" s="25" t="str">
        <f t="shared" si="10"/>
        <v/>
      </c>
      <c r="AG127" s="25" t="str">
        <f t="shared" si="6"/>
        <v/>
      </c>
      <c r="AH127" s="25" t="str">
        <f>IF(I127="","",IF(#REF!&gt;0,TRUE,FALSE))</f>
        <v/>
      </c>
      <c r="AI127" s="25">
        <v>117</v>
      </c>
      <c r="AJ127" s="25"/>
      <c r="AK127" s="25" t="str">
        <f t="array" ref="AK127">IFERROR(INDEX($AI$11:$AI$259, MATCH(0, IF(TRUE=$AF$11:$AF$259, COUNTIF($AK$10:$AK126, $AI$11:$AI$259), ""), 0)),"")</f>
        <v/>
      </c>
      <c r="AL127" s="25" t="str">
        <f t="array" ref="AL127">IFERROR(INDEX($AI$11:$AI$259, MATCH(0, IF(TRUE=$AG$11:$AG$259, COUNTIF($AL$10:$AL126, $AI$11:$AI$259), ""), 0)),"")</f>
        <v/>
      </c>
      <c r="AM127" s="25" t="str">
        <f t="array" ref="AM127">IFERROR(INDEX($AI$11:$AI$259, MATCH(0, IF(TRUE=$AH$11:$AH$259, COUNTIF($AM$10:$AM126, $AI$11:$AI$259), ""), 0)),"")</f>
        <v/>
      </c>
      <c r="AN127" s="25"/>
      <c r="AQ127" s="20">
        <f t="shared" si="11"/>
        <v>0</v>
      </c>
      <c r="AV127" s="540" t="str">
        <f>IFERROR(INDEX('G-1 All Habitats'!$B$3:$B$135,MATCH(F127,'G-1 All Habitats'!$A$3:$A$135,0)),"")</f>
        <v/>
      </c>
      <c r="AW127" s="20" t="str">
        <f>IF(AV127="","",VLOOKUP(AV127,'G-1 All Habitats'!$B$1:$T$135,19,FALSE))</f>
        <v/>
      </c>
    </row>
    <row r="128" spans="1:49" ht="14.5" thickBot="1" x14ac:dyDescent="0.35">
      <c r="A128" s="20" t="str">
        <f>IFERROR(INDEX('G-1 All Habitats'!$AG$3:$AG$17,MATCH(E128,'G-1 All Habitats'!$AF$3:$AF$17,0)),"")</f>
        <v/>
      </c>
      <c r="B128" s="20" t="str">
        <f>IFERROR(INDEX('G-8 Condition Look up'!$I$4:$I$135,MATCH(AV128,'G-8 Condition Look up'!$A$4:$A$135,0)),"")</f>
        <v/>
      </c>
      <c r="D128" s="238">
        <v>118</v>
      </c>
      <c r="E128" s="223"/>
      <c r="F128" s="45"/>
      <c r="G128" s="272"/>
      <c r="H128" s="37"/>
      <c r="I128" s="290" t="str">
        <f>IF(AV128="","",VLOOKUP(AV128,'G-1 All Habitats'!$B$2:$M$135,10,FALSE))</f>
        <v/>
      </c>
      <c r="J128" s="291" t="str">
        <f>IFERROR(VLOOKUP(I128,'G-1 All Habitats'!$V$3:$W$7,2,FALSE),"")</f>
        <v/>
      </c>
      <c r="K128" s="38"/>
      <c r="L128" s="291" t="str">
        <f>IFERROR(INDEX('G-8 Condition Look up'!$A$3:$H$135,MATCH(AV128,'G-8 Condition Look up'!$A$3:$A$135,0),MATCH(K128,'G-8 Condition Look up'!$A$3:$H$3,0)),"")</f>
        <v/>
      </c>
      <c r="M128" s="38"/>
      <c r="N128" s="310" t="str">
        <f>IF(M128="","",IF(VLOOKUP(M128,'G-3 Multipliers'!$L$3:$N$6,2,FALSE)=0,"Spatial Data Missing",VLOOKUP(M128,'G-3 Multipliers'!$L$3:$N$6,2,FALSE)))</f>
        <v/>
      </c>
      <c r="O128" s="296" t="str">
        <f>IF(M128="","",IF(VLOOKUP(M128,'G-3 Multipliers'!$L$3:$N$6,3,FALSE)=0,"Spatial Data Missing ▲",VLOOKUP(M128,'G-3 Multipliers'!$L$3:$N$6,3,FALSE)))</f>
        <v/>
      </c>
      <c r="P128" s="297" t="str">
        <f>(IF(G128="Yes","Bespoke compensation likely to be required 🛠",(IFERROR(VLOOKUP(AV128,'G-1 All Habitats'!$B$2:$M$135,12,FALSE),""))))</f>
        <v/>
      </c>
      <c r="Q128" s="304" t="str">
        <f>IFERROR(IF(AND(E128="Individual trees",T128&gt;0), "Error - you cannot enhance individual trees ▲", (IF(AND(U128="Irreplaceable habitat - no units generated ⚠",(S128+T128)&lt;H128, OR(Y128="No", Y128="")),"Any Loss Unacceptable ⚠", (IF(U128="Irreplaceable habitat - no units generated ⚠", T128*J128*L128*O128, IF(AND(P128='G-1 All Habitats'!$X$3, AC128&gt;0, S128&lt;=0, T128&lt;=0, OR(Y128="No", Y128="")),"Any Loss Unacceptable ⚠", IF(AND(P128='G-1 All Habitats'!$X$3, AC128&gt;0, S128&lt;=0, T128&lt;=0, Y128="Yes"), 0, (IF(AND(P128='G-1 All Habitats'!$X$3,(S128+T128)&lt;H128, OR(Y128="No", Y128="")),"Any Loss Unacceptable ⚠", (IF(P128="","",IF(AND(P128='G-1 All Habitats'!$X$3,T128&gt;0),U128+V128,IF(AND(P128='G-1 All Habitats'!$X$3,S128&gt;0),U128+V128,H128*J128*L128*O128))))))))))))),"Check Data ▲")</f>
        <v/>
      </c>
      <c r="R128" s="23"/>
      <c r="S128" s="38"/>
      <c r="T128" s="39"/>
      <c r="U128" s="302" t="str">
        <f t="shared" si="7"/>
        <v/>
      </c>
      <c r="V128" s="302" t="str">
        <f t="shared" si="8"/>
        <v/>
      </c>
      <c r="W128" s="302" t="str">
        <f>IF(E128="","",IF(H128&lt;S128+T128,"Error in Areas ▲",IF(P128&lt;&gt;'G-1 All Habitats'!$X$3,H128-S128-T128,IF(AND(P128='G-1 All Habitats'!$X$3,Y128="No"),AC128,IF(AND(P128='G-1 All Habitats'!$X$3,Y128=""),AC128,IF(AND(P128='G-1 All Habitats'!$X$3,AC128="None"),AC128,IF(AND(P128='G-1 All Habitats'!$X$3,AC128&gt;0),H128-S128-T128)))))))</f>
        <v/>
      </c>
      <c r="X128" s="306" t="str">
        <f>IFERROR(IF(H128="","",IF(H128-S128-T128=0&lt;0,"Error in Areas ▲",IF(S128+T128&gt;H128,"Error in Areas ▲",IF(AND(P128='G-1 All Habitats'!$X$3,Y128="Yes"),"Alternative Compensation ✓",IF(W128=0,0,IF(P128='G-1 All Habitats'!$X$3,"Any Loss Unacceptable ▲",Q128-U128-V128)))))),"Check Data ▲")</f>
        <v/>
      </c>
      <c r="Y128" s="39"/>
      <c r="Z128" s="46"/>
      <c r="AA128" s="419"/>
      <c r="AB128" s="101"/>
      <c r="AC128" s="495" t="str">
        <f>IF(OR(P128="", Y128="Yes"),"", IF(P128='G-1 All Habitats'!$X$3,H128-S128-T128,"None"))</f>
        <v/>
      </c>
      <c r="AD128" s="496" t="str">
        <f>IF(P128="","", IF(P128='G-1 All Habitats'!$X$3, AC128*J128*L128*O128,"None"))</f>
        <v/>
      </c>
      <c r="AE128" s="20" t="str">
        <f t="shared" si="9"/>
        <v/>
      </c>
      <c r="AF128" s="25" t="str">
        <f t="shared" si="10"/>
        <v/>
      </c>
      <c r="AG128" s="25" t="str">
        <f t="shared" si="6"/>
        <v/>
      </c>
      <c r="AH128" s="25" t="str">
        <f>IF(I128="","",IF(#REF!&gt;0,TRUE,FALSE))</f>
        <v/>
      </c>
      <c r="AI128" s="25">
        <v>118</v>
      </c>
      <c r="AJ128" s="25"/>
      <c r="AK128" s="25" t="str">
        <f t="array" ref="AK128">IFERROR(INDEX($AI$11:$AI$259, MATCH(0, IF(TRUE=$AF$11:$AF$259, COUNTIF($AK$10:$AK127, $AI$11:$AI$259), ""), 0)),"")</f>
        <v/>
      </c>
      <c r="AL128" s="25" t="str">
        <f t="array" ref="AL128">IFERROR(INDEX($AI$11:$AI$259, MATCH(0, IF(TRUE=$AG$11:$AG$259, COUNTIF($AL$10:$AL127, $AI$11:$AI$259), ""), 0)),"")</f>
        <v/>
      </c>
      <c r="AM128" s="25" t="str">
        <f t="array" ref="AM128">IFERROR(INDEX($AI$11:$AI$259, MATCH(0, IF(TRUE=$AH$11:$AH$259, COUNTIF($AM$10:$AM127, $AI$11:$AI$259), ""), 0)),"")</f>
        <v/>
      </c>
      <c r="AN128" s="25"/>
      <c r="AQ128" s="20">
        <f t="shared" si="11"/>
        <v>0</v>
      </c>
      <c r="AV128" s="540" t="str">
        <f>IFERROR(INDEX('G-1 All Habitats'!$B$3:$B$135,MATCH(F128,'G-1 All Habitats'!$A$3:$A$135,0)),"")</f>
        <v/>
      </c>
      <c r="AW128" s="20" t="str">
        <f>IF(AV128="","",VLOOKUP(AV128,'G-1 All Habitats'!$B$1:$T$135,19,FALSE))</f>
        <v/>
      </c>
    </row>
    <row r="129" spans="1:49" ht="14.5" thickBot="1" x14ac:dyDescent="0.35">
      <c r="A129" s="20" t="str">
        <f>IFERROR(INDEX('G-1 All Habitats'!$AG$3:$AG$17,MATCH(E129,'G-1 All Habitats'!$AF$3:$AF$17,0)),"")</f>
        <v/>
      </c>
      <c r="B129" s="20" t="str">
        <f>IFERROR(INDEX('G-8 Condition Look up'!$I$4:$I$135,MATCH(AV129,'G-8 Condition Look up'!$A$4:$A$135,0)),"")</f>
        <v/>
      </c>
      <c r="D129" s="238">
        <v>119</v>
      </c>
      <c r="E129" s="223"/>
      <c r="F129" s="45"/>
      <c r="G129" s="272"/>
      <c r="H129" s="37"/>
      <c r="I129" s="290" t="str">
        <f>IF(AV129="","",VLOOKUP(AV129,'G-1 All Habitats'!$B$2:$M$135,10,FALSE))</f>
        <v/>
      </c>
      <c r="J129" s="291" t="str">
        <f>IFERROR(VLOOKUP(I129,'G-1 All Habitats'!$V$3:$W$7,2,FALSE),"")</f>
        <v/>
      </c>
      <c r="K129" s="38"/>
      <c r="L129" s="291" t="str">
        <f>IFERROR(INDEX('G-8 Condition Look up'!$A$3:$H$135,MATCH(AV129,'G-8 Condition Look up'!$A$3:$A$135,0),MATCH(K129,'G-8 Condition Look up'!$A$3:$H$3,0)),"")</f>
        <v/>
      </c>
      <c r="M129" s="38"/>
      <c r="N129" s="310" t="str">
        <f>IF(M129="","",IF(VLOOKUP(M129,'G-3 Multipliers'!$L$3:$N$6,2,FALSE)=0,"Spatial Data Missing",VLOOKUP(M129,'G-3 Multipliers'!$L$3:$N$6,2,FALSE)))</f>
        <v/>
      </c>
      <c r="O129" s="296" t="str">
        <f>IF(M129="","",IF(VLOOKUP(M129,'G-3 Multipliers'!$L$3:$N$6,3,FALSE)=0,"Spatial Data Missing ▲",VLOOKUP(M129,'G-3 Multipliers'!$L$3:$N$6,3,FALSE)))</f>
        <v/>
      </c>
      <c r="P129" s="297" t="str">
        <f>(IF(G129="Yes","Bespoke compensation likely to be required 🛠",(IFERROR(VLOOKUP(AV129,'G-1 All Habitats'!$B$2:$M$135,12,FALSE),""))))</f>
        <v/>
      </c>
      <c r="Q129" s="304" t="str">
        <f>IFERROR(IF(AND(E129="Individual trees",T129&gt;0), "Error - you cannot enhance individual trees ▲", (IF(AND(U129="Irreplaceable habitat - no units generated ⚠",(S129+T129)&lt;H129, OR(Y129="No", Y129="")),"Any Loss Unacceptable ⚠", (IF(U129="Irreplaceable habitat - no units generated ⚠", T129*J129*L129*O129, IF(AND(P129='G-1 All Habitats'!$X$3, AC129&gt;0, S129&lt;=0, T129&lt;=0, OR(Y129="No", Y129="")),"Any Loss Unacceptable ⚠", IF(AND(P129='G-1 All Habitats'!$X$3, AC129&gt;0, S129&lt;=0, T129&lt;=0, Y129="Yes"), 0, (IF(AND(P129='G-1 All Habitats'!$X$3,(S129+T129)&lt;H129, OR(Y129="No", Y129="")),"Any Loss Unacceptable ⚠", (IF(P129="","",IF(AND(P129='G-1 All Habitats'!$X$3,T129&gt;0),U129+V129,IF(AND(P129='G-1 All Habitats'!$X$3,S129&gt;0),U129+V129,H129*J129*L129*O129))))))))))))),"Check Data ▲")</f>
        <v/>
      </c>
      <c r="R129" s="23"/>
      <c r="S129" s="38"/>
      <c r="T129" s="39"/>
      <c r="U129" s="302" t="str">
        <f t="shared" si="7"/>
        <v/>
      </c>
      <c r="V129" s="302" t="str">
        <f t="shared" si="8"/>
        <v/>
      </c>
      <c r="W129" s="302" t="str">
        <f>IF(E129="","",IF(H129&lt;S129+T129,"Error in Areas ▲",IF(P129&lt;&gt;'G-1 All Habitats'!$X$3,H129-S129-T129,IF(AND(P129='G-1 All Habitats'!$X$3,Y129="No"),AC129,IF(AND(P129='G-1 All Habitats'!$X$3,Y129=""),AC129,IF(AND(P129='G-1 All Habitats'!$X$3,AC129="None"),AC129,IF(AND(P129='G-1 All Habitats'!$X$3,AC129&gt;0),H129-S129-T129)))))))</f>
        <v/>
      </c>
      <c r="X129" s="306" t="str">
        <f>IFERROR(IF(H129="","",IF(H129-S129-T129=0&lt;0,"Error in Areas ▲",IF(S129+T129&gt;H129,"Error in Areas ▲",IF(AND(P129='G-1 All Habitats'!$X$3,Y129="Yes"),"Alternative Compensation ✓",IF(W129=0,0,IF(P129='G-1 All Habitats'!$X$3,"Any Loss Unacceptable ▲",Q129-U129-V129)))))),"Check Data ▲")</f>
        <v/>
      </c>
      <c r="Y129" s="39"/>
      <c r="Z129" s="46"/>
      <c r="AA129" s="419"/>
      <c r="AB129" s="101"/>
      <c r="AC129" s="495" t="str">
        <f>IF(OR(P129="", Y129="Yes"),"", IF(P129='G-1 All Habitats'!$X$3,H129-S129-T129,"None"))</f>
        <v/>
      </c>
      <c r="AD129" s="496" t="str">
        <f>IF(P129="","", IF(P129='G-1 All Habitats'!$X$3, AC129*J129*L129*O129,"None"))</f>
        <v/>
      </c>
      <c r="AE129" s="20" t="str">
        <f t="shared" si="9"/>
        <v/>
      </c>
      <c r="AF129" s="25" t="str">
        <f t="shared" si="10"/>
        <v/>
      </c>
      <c r="AG129" s="25" t="str">
        <f t="shared" si="6"/>
        <v/>
      </c>
      <c r="AH129" s="25" t="str">
        <f>IF(I129="","",IF(#REF!&gt;0,TRUE,FALSE))</f>
        <v/>
      </c>
      <c r="AI129" s="25">
        <v>119</v>
      </c>
      <c r="AJ129" s="25"/>
      <c r="AK129" s="25" t="str">
        <f t="array" ref="AK129">IFERROR(INDEX($AI$11:$AI$259, MATCH(0, IF(TRUE=$AF$11:$AF$259, COUNTIF($AK$10:$AK128, $AI$11:$AI$259), ""), 0)),"")</f>
        <v/>
      </c>
      <c r="AL129" s="25" t="str">
        <f t="array" ref="AL129">IFERROR(INDEX($AI$11:$AI$259, MATCH(0, IF(TRUE=$AG$11:$AG$259, COUNTIF($AL$10:$AL128, $AI$11:$AI$259), ""), 0)),"")</f>
        <v/>
      </c>
      <c r="AM129" s="25" t="str">
        <f t="array" ref="AM129">IFERROR(INDEX($AI$11:$AI$259, MATCH(0, IF(TRUE=$AH$11:$AH$259, COUNTIF($AM$10:$AM128, $AI$11:$AI$259), ""), 0)),"")</f>
        <v/>
      </c>
      <c r="AN129" s="25"/>
      <c r="AQ129" s="20">
        <f t="shared" si="11"/>
        <v>0</v>
      </c>
      <c r="AV129" s="540" t="str">
        <f>IFERROR(INDEX('G-1 All Habitats'!$B$3:$B$135,MATCH(F129,'G-1 All Habitats'!$A$3:$A$135,0)),"")</f>
        <v/>
      </c>
      <c r="AW129" s="20" t="str">
        <f>IF(AV129="","",VLOOKUP(AV129,'G-1 All Habitats'!$B$1:$T$135,19,FALSE))</f>
        <v/>
      </c>
    </row>
    <row r="130" spans="1:49" ht="14.5" thickBot="1" x14ac:dyDescent="0.35">
      <c r="A130" s="20" t="str">
        <f>IFERROR(INDEX('G-1 All Habitats'!$AG$3:$AG$17,MATCH(E130,'G-1 All Habitats'!$AF$3:$AF$17,0)),"")</f>
        <v/>
      </c>
      <c r="B130" s="20" t="str">
        <f>IFERROR(INDEX('G-8 Condition Look up'!$I$4:$I$135,MATCH(AV130,'G-8 Condition Look up'!$A$4:$A$135,0)),"")</f>
        <v/>
      </c>
      <c r="D130" s="238">
        <v>120</v>
      </c>
      <c r="E130" s="223"/>
      <c r="F130" s="45"/>
      <c r="G130" s="272"/>
      <c r="H130" s="37"/>
      <c r="I130" s="290" t="str">
        <f>IF(AV130="","",VLOOKUP(AV130,'G-1 All Habitats'!$B$2:$M$135,10,FALSE))</f>
        <v/>
      </c>
      <c r="J130" s="291" t="str">
        <f>IFERROR(VLOOKUP(I130,'G-1 All Habitats'!$V$3:$W$7,2,FALSE),"")</f>
        <v/>
      </c>
      <c r="K130" s="38"/>
      <c r="L130" s="291" t="str">
        <f>IFERROR(INDEX('G-8 Condition Look up'!$A$3:$H$135,MATCH(AV130,'G-8 Condition Look up'!$A$3:$A$135,0),MATCH(K130,'G-8 Condition Look up'!$A$3:$H$3,0)),"")</f>
        <v/>
      </c>
      <c r="M130" s="38"/>
      <c r="N130" s="310" t="str">
        <f>IF(M130="","",IF(VLOOKUP(M130,'G-3 Multipliers'!$L$3:$N$6,2,FALSE)=0,"Spatial Data Missing",VLOOKUP(M130,'G-3 Multipliers'!$L$3:$N$6,2,FALSE)))</f>
        <v/>
      </c>
      <c r="O130" s="296" t="str">
        <f>IF(M130="","",IF(VLOOKUP(M130,'G-3 Multipliers'!$L$3:$N$6,3,FALSE)=0,"Spatial Data Missing ▲",VLOOKUP(M130,'G-3 Multipliers'!$L$3:$N$6,3,FALSE)))</f>
        <v/>
      </c>
      <c r="P130" s="297" t="str">
        <f>(IF(G130="Yes","Bespoke compensation likely to be required 🛠",(IFERROR(VLOOKUP(AV130,'G-1 All Habitats'!$B$2:$M$135,12,FALSE),""))))</f>
        <v/>
      </c>
      <c r="Q130" s="304" t="str">
        <f>IFERROR(IF(AND(E130="Individual trees",T130&gt;0), "Error - you cannot enhance individual trees ▲", (IF(AND(U130="Irreplaceable habitat - no units generated ⚠",(S130+T130)&lt;H130, OR(Y130="No", Y130="")),"Any Loss Unacceptable ⚠", (IF(U130="Irreplaceable habitat - no units generated ⚠", T130*J130*L130*O130, IF(AND(P130='G-1 All Habitats'!$X$3, AC130&gt;0, S130&lt;=0, T130&lt;=0, OR(Y130="No", Y130="")),"Any Loss Unacceptable ⚠", IF(AND(P130='G-1 All Habitats'!$X$3, AC130&gt;0, S130&lt;=0, T130&lt;=0, Y130="Yes"), 0, (IF(AND(P130='G-1 All Habitats'!$X$3,(S130+T130)&lt;H130, OR(Y130="No", Y130="")),"Any Loss Unacceptable ⚠", (IF(P130="","",IF(AND(P130='G-1 All Habitats'!$X$3,T130&gt;0),U130+V130,IF(AND(P130='G-1 All Habitats'!$X$3,S130&gt;0),U130+V130,H130*J130*L130*O130))))))))))))),"Check Data ▲")</f>
        <v/>
      </c>
      <c r="R130" s="23"/>
      <c r="S130" s="38"/>
      <c r="T130" s="39"/>
      <c r="U130" s="302" t="str">
        <f t="shared" si="7"/>
        <v/>
      </c>
      <c r="V130" s="302" t="str">
        <f t="shared" si="8"/>
        <v/>
      </c>
      <c r="W130" s="302" t="str">
        <f>IF(E130="","",IF(H130&lt;S130+T130,"Error in Areas ▲",IF(P130&lt;&gt;'G-1 All Habitats'!$X$3,H130-S130-T130,IF(AND(P130='G-1 All Habitats'!$X$3,Y130="No"),AC130,IF(AND(P130='G-1 All Habitats'!$X$3,Y130=""),AC130,IF(AND(P130='G-1 All Habitats'!$X$3,AC130="None"),AC130,IF(AND(P130='G-1 All Habitats'!$X$3,AC130&gt;0),H130-S130-T130)))))))</f>
        <v/>
      </c>
      <c r="X130" s="306" t="str">
        <f>IFERROR(IF(H130="","",IF(H130-S130-T130=0&lt;0,"Error in Areas ▲",IF(S130+T130&gt;H130,"Error in Areas ▲",IF(AND(P130='G-1 All Habitats'!$X$3,Y130="Yes"),"Alternative Compensation ✓",IF(W130=0,0,IF(P130='G-1 All Habitats'!$X$3,"Any Loss Unacceptable ▲",Q130-U130-V130)))))),"Check Data ▲")</f>
        <v/>
      </c>
      <c r="Y130" s="39"/>
      <c r="Z130" s="46"/>
      <c r="AA130" s="419"/>
      <c r="AB130" s="101"/>
      <c r="AC130" s="495" t="str">
        <f>IF(OR(P130="", Y130="Yes"),"", IF(P130='G-1 All Habitats'!$X$3,H130-S130-T130,"None"))</f>
        <v/>
      </c>
      <c r="AD130" s="496" t="str">
        <f>IF(P130="","", IF(P130='G-1 All Habitats'!$X$3, AC130*J130*L130*O130,"None"))</f>
        <v/>
      </c>
      <c r="AE130" s="20" t="str">
        <f t="shared" si="9"/>
        <v/>
      </c>
      <c r="AF130" s="25" t="str">
        <f t="shared" si="10"/>
        <v/>
      </c>
      <c r="AG130" s="25" t="str">
        <f t="shared" si="6"/>
        <v/>
      </c>
      <c r="AH130" s="25" t="str">
        <f>IF(I130="","",IF(#REF!&gt;0,TRUE,FALSE))</f>
        <v/>
      </c>
      <c r="AI130" s="25">
        <v>120</v>
      </c>
      <c r="AJ130" s="25"/>
      <c r="AK130" s="25" t="str">
        <f t="array" ref="AK130">IFERROR(INDEX($AI$11:$AI$259, MATCH(0, IF(TRUE=$AF$11:$AF$259, COUNTIF($AK$10:$AK129, $AI$11:$AI$259), ""), 0)),"")</f>
        <v/>
      </c>
      <c r="AL130" s="25" t="str">
        <f t="array" ref="AL130">IFERROR(INDEX($AI$11:$AI$259, MATCH(0, IF(TRUE=$AG$11:$AG$259, COUNTIF($AL$10:$AL129, $AI$11:$AI$259), ""), 0)),"")</f>
        <v/>
      </c>
      <c r="AM130" s="25" t="str">
        <f t="array" ref="AM130">IFERROR(INDEX($AI$11:$AI$259, MATCH(0, IF(TRUE=$AH$11:$AH$259, COUNTIF($AM$10:$AM129, $AI$11:$AI$259), ""), 0)),"")</f>
        <v/>
      </c>
      <c r="AN130" s="25"/>
      <c r="AQ130" s="20">
        <f t="shared" si="11"/>
        <v>0</v>
      </c>
      <c r="AV130" s="540" t="str">
        <f>IFERROR(INDEX('G-1 All Habitats'!$B$3:$B$135,MATCH(F130,'G-1 All Habitats'!$A$3:$A$135,0)),"")</f>
        <v/>
      </c>
      <c r="AW130" s="20" t="str">
        <f>IF(AV130="","",VLOOKUP(AV130,'G-1 All Habitats'!$B$1:$T$135,19,FALSE))</f>
        <v/>
      </c>
    </row>
    <row r="131" spans="1:49" ht="14.5" thickBot="1" x14ac:dyDescent="0.35">
      <c r="A131" s="20" t="str">
        <f>IFERROR(INDEX('G-1 All Habitats'!$AG$3:$AG$17,MATCH(E131,'G-1 All Habitats'!$AF$3:$AF$17,0)),"")</f>
        <v/>
      </c>
      <c r="B131" s="20" t="str">
        <f>IFERROR(INDEX('G-8 Condition Look up'!$I$4:$I$135,MATCH(AV131,'G-8 Condition Look up'!$A$4:$A$135,0)),"")</f>
        <v/>
      </c>
      <c r="D131" s="238">
        <v>121</v>
      </c>
      <c r="E131" s="223"/>
      <c r="F131" s="45"/>
      <c r="G131" s="272"/>
      <c r="H131" s="37"/>
      <c r="I131" s="290" t="str">
        <f>IF(AV131="","",VLOOKUP(AV131,'G-1 All Habitats'!$B$2:$M$135,10,FALSE))</f>
        <v/>
      </c>
      <c r="J131" s="291" t="str">
        <f>IFERROR(VLOOKUP(I131,'G-1 All Habitats'!$V$3:$W$7,2,FALSE),"")</f>
        <v/>
      </c>
      <c r="K131" s="38"/>
      <c r="L131" s="291" t="str">
        <f>IFERROR(INDEX('G-8 Condition Look up'!$A$3:$H$135,MATCH(AV131,'G-8 Condition Look up'!$A$3:$A$135,0),MATCH(K131,'G-8 Condition Look up'!$A$3:$H$3,0)),"")</f>
        <v/>
      </c>
      <c r="M131" s="38"/>
      <c r="N131" s="310" t="str">
        <f>IF(M131="","",IF(VLOOKUP(M131,'G-3 Multipliers'!$L$3:$N$6,2,FALSE)=0,"Spatial Data Missing",VLOOKUP(M131,'G-3 Multipliers'!$L$3:$N$6,2,FALSE)))</f>
        <v/>
      </c>
      <c r="O131" s="296" t="str">
        <f>IF(M131="","",IF(VLOOKUP(M131,'G-3 Multipliers'!$L$3:$N$6,3,FALSE)=0,"Spatial Data Missing ▲",VLOOKUP(M131,'G-3 Multipliers'!$L$3:$N$6,3,FALSE)))</f>
        <v/>
      </c>
      <c r="P131" s="297" t="str">
        <f>(IF(G131="Yes","Bespoke compensation likely to be required 🛠",(IFERROR(VLOOKUP(AV131,'G-1 All Habitats'!$B$2:$M$135,12,FALSE),""))))</f>
        <v/>
      </c>
      <c r="Q131" s="304" t="str">
        <f>IFERROR(IF(AND(E131="Individual trees",T131&gt;0), "Error - you cannot enhance individual trees ▲", (IF(AND(U131="Irreplaceable habitat - no units generated ⚠",(S131+T131)&lt;H131, OR(Y131="No", Y131="")),"Any Loss Unacceptable ⚠", (IF(U131="Irreplaceable habitat - no units generated ⚠", T131*J131*L131*O131, IF(AND(P131='G-1 All Habitats'!$X$3, AC131&gt;0, S131&lt;=0, T131&lt;=0, OR(Y131="No", Y131="")),"Any Loss Unacceptable ⚠", IF(AND(P131='G-1 All Habitats'!$X$3, AC131&gt;0, S131&lt;=0, T131&lt;=0, Y131="Yes"), 0, (IF(AND(P131='G-1 All Habitats'!$X$3,(S131+T131)&lt;H131, OR(Y131="No", Y131="")),"Any Loss Unacceptable ⚠", (IF(P131="","",IF(AND(P131='G-1 All Habitats'!$X$3,T131&gt;0),U131+V131,IF(AND(P131='G-1 All Habitats'!$X$3,S131&gt;0),U131+V131,H131*J131*L131*O131))))))))))))),"Check Data ▲")</f>
        <v/>
      </c>
      <c r="R131" s="23"/>
      <c r="S131" s="38"/>
      <c r="T131" s="39"/>
      <c r="U131" s="302" t="str">
        <f t="shared" si="7"/>
        <v/>
      </c>
      <c r="V131" s="302" t="str">
        <f t="shared" si="8"/>
        <v/>
      </c>
      <c r="W131" s="302" t="str">
        <f>IF(E131="","",IF(H131&lt;S131+T131,"Error in Areas ▲",IF(P131&lt;&gt;'G-1 All Habitats'!$X$3,H131-S131-T131,IF(AND(P131='G-1 All Habitats'!$X$3,Y131="No"),AC131,IF(AND(P131='G-1 All Habitats'!$X$3,Y131=""),AC131,IF(AND(P131='G-1 All Habitats'!$X$3,AC131="None"),AC131,IF(AND(P131='G-1 All Habitats'!$X$3,AC131&gt;0),H131-S131-T131)))))))</f>
        <v/>
      </c>
      <c r="X131" s="306" t="str">
        <f>IFERROR(IF(H131="","",IF(H131-S131-T131=0&lt;0,"Error in Areas ▲",IF(S131+T131&gt;H131,"Error in Areas ▲",IF(AND(P131='G-1 All Habitats'!$X$3,Y131="Yes"),"Alternative Compensation ✓",IF(W131=0,0,IF(P131='G-1 All Habitats'!$X$3,"Any Loss Unacceptable ▲",Q131-U131-V131)))))),"Check Data ▲")</f>
        <v/>
      </c>
      <c r="Y131" s="39"/>
      <c r="Z131" s="46"/>
      <c r="AA131" s="419"/>
      <c r="AB131" s="101"/>
      <c r="AC131" s="495" t="str">
        <f>IF(OR(P131="", Y131="Yes"),"", IF(P131='G-1 All Habitats'!$X$3,H131-S131-T131,"None"))</f>
        <v/>
      </c>
      <c r="AD131" s="496" t="str">
        <f>IF(P131="","", IF(P131='G-1 All Habitats'!$X$3, AC131*J131*L131*O131,"None"))</f>
        <v/>
      </c>
      <c r="AE131" s="20" t="str">
        <f t="shared" si="9"/>
        <v/>
      </c>
      <c r="AF131" s="25" t="str">
        <f t="shared" si="10"/>
        <v/>
      </c>
      <c r="AG131" s="25" t="str">
        <f t="shared" si="6"/>
        <v/>
      </c>
      <c r="AH131" s="25" t="str">
        <f>IF(I131="","",IF(#REF!&gt;0,TRUE,FALSE))</f>
        <v/>
      </c>
      <c r="AI131" s="25">
        <v>121</v>
      </c>
      <c r="AJ131" s="25"/>
      <c r="AK131" s="25" t="str">
        <f t="array" ref="AK131">IFERROR(INDEX($AI$11:$AI$259, MATCH(0, IF(TRUE=$AF$11:$AF$259, COUNTIF($AK$10:$AK130, $AI$11:$AI$259), ""), 0)),"")</f>
        <v/>
      </c>
      <c r="AL131" s="25" t="str">
        <f t="array" ref="AL131">IFERROR(INDEX($AI$11:$AI$259, MATCH(0, IF(TRUE=$AG$11:$AG$259, COUNTIF($AL$10:$AL130, $AI$11:$AI$259), ""), 0)),"")</f>
        <v/>
      </c>
      <c r="AM131" s="25" t="str">
        <f t="array" ref="AM131">IFERROR(INDEX($AI$11:$AI$259, MATCH(0, IF(TRUE=$AH$11:$AH$259, COUNTIF($AM$10:$AM130, $AI$11:$AI$259), ""), 0)),"")</f>
        <v/>
      </c>
      <c r="AN131" s="25"/>
      <c r="AQ131" s="20">
        <f t="shared" si="11"/>
        <v>0</v>
      </c>
      <c r="AV131" s="540" t="str">
        <f>IFERROR(INDEX('G-1 All Habitats'!$B$3:$B$135,MATCH(F131,'G-1 All Habitats'!$A$3:$A$135,0)),"")</f>
        <v/>
      </c>
      <c r="AW131" s="20" t="str">
        <f>IF(AV131="","",VLOOKUP(AV131,'G-1 All Habitats'!$B$1:$T$135,19,FALSE))</f>
        <v/>
      </c>
    </row>
    <row r="132" spans="1:49" ht="14.5" thickBot="1" x14ac:dyDescent="0.35">
      <c r="A132" s="20" t="str">
        <f>IFERROR(INDEX('G-1 All Habitats'!$AG$3:$AG$17,MATCH(E132,'G-1 All Habitats'!$AF$3:$AF$17,0)),"")</f>
        <v/>
      </c>
      <c r="B132" s="20" t="str">
        <f>IFERROR(INDEX('G-8 Condition Look up'!$I$4:$I$135,MATCH(AV132,'G-8 Condition Look up'!$A$4:$A$135,0)),"")</f>
        <v/>
      </c>
      <c r="D132" s="238">
        <v>122</v>
      </c>
      <c r="E132" s="223"/>
      <c r="F132" s="45"/>
      <c r="G132" s="272"/>
      <c r="H132" s="37"/>
      <c r="I132" s="290" t="str">
        <f>IF(AV132="","",VLOOKUP(AV132,'G-1 All Habitats'!$B$2:$M$135,10,FALSE))</f>
        <v/>
      </c>
      <c r="J132" s="291" t="str">
        <f>IFERROR(VLOOKUP(I132,'G-1 All Habitats'!$V$3:$W$7,2,FALSE),"")</f>
        <v/>
      </c>
      <c r="K132" s="38"/>
      <c r="L132" s="291" t="str">
        <f>IFERROR(INDEX('G-8 Condition Look up'!$A$3:$H$135,MATCH(AV132,'G-8 Condition Look up'!$A$3:$A$135,0),MATCH(K132,'G-8 Condition Look up'!$A$3:$H$3,0)),"")</f>
        <v/>
      </c>
      <c r="M132" s="38"/>
      <c r="N132" s="310" t="str">
        <f>IF(M132="","",IF(VLOOKUP(M132,'G-3 Multipliers'!$L$3:$N$6,2,FALSE)=0,"Spatial Data Missing",VLOOKUP(M132,'G-3 Multipliers'!$L$3:$N$6,2,FALSE)))</f>
        <v/>
      </c>
      <c r="O132" s="296" t="str">
        <f>IF(M132="","",IF(VLOOKUP(M132,'G-3 Multipliers'!$L$3:$N$6,3,FALSE)=0,"Spatial Data Missing ▲",VLOOKUP(M132,'G-3 Multipliers'!$L$3:$N$6,3,FALSE)))</f>
        <v/>
      </c>
      <c r="P132" s="297" t="str">
        <f>(IF(G132="Yes","Bespoke compensation likely to be required 🛠",(IFERROR(VLOOKUP(AV132,'G-1 All Habitats'!$B$2:$M$135,12,FALSE),""))))</f>
        <v/>
      </c>
      <c r="Q132" s="304" t="str">
        <f>IFERROR(IF(AND(E132="Individual trees",T132&gt;0), "Error - you cannot enhance individual trees ▲", (IF(AND(U132="Irreplaceable habitat - no units generated ⚠",(S132+T132)&lt;H132, OR(Y132="No", Y132="")),"Any Loss Unacceptable ⚠", (IF(U132="Irreplaceable habitat - no units generated ⚠", T132*J132*L132*O132, IF(AND(P132='G-1 All Habitats'!$X$3, AC132&gt;0, S132&lt;=0, T132&lt;=0, OR(Y132="No", Y132="")),"Any Loss Unacceptable ⚠", IF(AND(P132='G-1 All Habitats'!$X$3, AC132&gt;0, S132&lt;=0, T132&lt;=0, Y132="Yes"), 0, (IF(AND(P132='G-1 All Habitats'!$X$3,(S132+T132)&lt;H132, OR(Y132="No", Y132="")),"Any Loss Unacceptable ⚠", (IF(P132="","",IF(AND(P132='G-1 All Habitats'!$X$3,T132&gt;0),U132+V132,IF(AND(P132='G-1 All Habitats'!$X$3,S132&gt;0),U132+V132,H132*J132*L132*O132))))))))))))),"Check Data ▲")</f>
        <v/>
      </c>
      <c r="R132" s="23"/>
      <c r="S132" s="38"/>
      <c r="T132" s="39"/>
      <c r="U132" s="302" t="str">
        <f t="shared" si="7"/>
        <v/>
      </c>
      <c r="V132" s="302" t="str">
        <f t="shared" si="8"/>
        <v/>
      </c>
      <c r="W132" s="302" t="str">
        <f>IF(E132="","",IF(H132&lt;S132+T132,"Error in Areas ▲",IF(P132&lt;&gt;'G-1 All Habitats'!$X$3,H132-S132-T132,IF(AND(P132='G-1 All Habitats'!$X$3,Y132="No"),AC132,IF(AND(P132='G-1 All Habitats'!$X$3,Y132=""),AC132,IF(AND(P132='G-1 All Habitats'!$X$3,AC132="None"),AC132,IF(AND(P132='G-1 All Habitats'!$X$3,AC132&gt;0),H132-S132-T132)))))))</f>
        <v/>
      </c>
      <c r="X132" s="306" t="str">
        <f>IFERROR(IF(H132="","",IF(H132-S132-T132=0&lt;0,"Error in Areas ▲",IF(S132+T132&gt;H132,"Error in Areas ▲",IF(AND(P132='G-1 All Habitats'!$X$3,Y132="Yes"),"Alternative Compensation ✓",IF(W132=0,0,IF(P132='G-1 All Habitats'!$X$3,"Any Loss Unacceptable ▲",Q132-U132-V132)))))),"Check Data ▲")</f>
        <v/>
      </c>
      <c r="Y132" s="39"/>
      <c r="Z132" s="46"/>
      <c r="AA132" s="419"/>
      <c r="AB132" s="101"/>
      <c r="AC132" s="495" t="str">
        <f>IF(OR(P132="", Y132="Yes"),"", IF(P132='G-1 All Habitats'!$X$3,H132-S132-T132,"None"))</f>
        <v/>
      </c>
      <c r="AD132" s="496" t="str">
        <f>IF(P132="","", IF(P132='G-1 All Habitats'!$X$3, AC132*J132*L132*O132,"None"))</f>
        <v/>
      </c>
      <c r="AE132" s="20" t="str">
        <f t="shared" si="9"/>
        <v/>
      </c>
      <c r="AF132" s="25" t="str">
        <f t="shared" si="10"/>
        <v/>
      </c>
      <c r="AG132" s="25" t="str">
        <f t="shared" si="6"/>
        <v/>
      </c>
      <c r="AH132" s="25" t="str">
        <f>IF(I132="","",IF(#REF!&gt;0,TRUE,FALSE))</f>
        <v/>
      </c>
      <c r="AI132" s="25">
        <v>122</v>
      </c>
      <c r="AJ132" s="25"/>
      <c r="AK132" s="25" t="str">
        <f t="array" ref="AK132">IFERROR(INDEX($AI$11:$AI$259, MATCH(0, IF(TRUE=$AF$11:$AF$259, COUNTIF($AK$10:$AK131, $AI$11:$AI$259), ""), 0)),"")</f>
        <v/>
      </c>
      <c r="AL132" s="25" t="str">
        <f t="array" ref="AL132">IFERROR(INDEX($AI$11:$AI$259, MATCH(0, IF(TRUE=$AG$11:$AG$259, COUNTIF($AL$10:$AL131, $AI$11:$AI$259), ""), 0)),"")</f>
        <v/>
      </c>
      <c r="AM132" s="25" t="str">
        <f t="array" ref="AM132">IFERROR(INDEX($AI$11:$AI$259, MATCH(0, IF(TRUE=$AH$11:$AH$259, COUNTIF($AM$10:$AM131, $AI$11:$AI$259), ""), 0)),"")</f>
        <v/>
      </c>
      <c r="AN132" s="25"/>
      <c r="AQ132" s="20">
        <f t="shared" si="11"/>
        <v>0</v>
      </c>
      <c r="AV132" s="540" t="str">
        <f>IFERROR(INDEX('G-1 All Habitats'!$B$3:$B$135,MATCH(F132,'G-1 All Habitats'!$A$3:$A$135,0)),"")</f>
        <v/>
      </c>
      <c r="AW132" s="20" t="str">
        <f>IF(AV132="","",VLOOKUP(AV132,'G-1 All Habitats'!$B$1:$T$135,19,FALSE))</f>
        <v/>
      </c>
    </row>
    <row r="133" spans="1:49" ht="14.5" thickBot="1" x14ac:dyDescent="0.35">
      <c r="A133" s="20" t="str">
        <f>IFERROR(INDEX('G-1 All Habitats'!$AG$3:$AG$17,MATCH(E133,'G-1 All Habitats'!$AF$3:$AF$17,0)),"")</f>
        <v/>
      </c>
      <c r="B133" s="20" t="str">
        <f>IFERROR(INDEX('G-8 Condition Look up'!$I$4:$I$135,MATCH(AV133,'G-8 Condition Look up'!$A$4:$A$135,0)),"")</f>
        <v/>
      </c>
      <c r="D133" s="238">
        <v>123</v>
      </c>
      <c r="E133" s="223"/>
      <c r="F133" s="45"/>
      <c r="G133" s="272"/>
      <c r="H133" s="37"/>
      <c r="I133" s="290" t="str">
        <f>IF(AV133="","",VLOOKUP(AV133,'G-1 All Habitats'!$B$2:$M$135,10,FALSE))</f>
        <v/>
      </c>
      <c r="J133" s="291" t="str">
        <f>IFERROR(VLOOKUP(I133,'G-1 All Habitats'!$V$3:$W$7,2,FALSE),"")</f>
        <v/>
      </c>
      <c r="K133" s="38"/>
      <c r="L133" s="291" t="str">
        <f>IFERROR(INDEX('G-8 Condition Look up'!$A$3:$H$135,MATCH(AV133,'G-8 Condition Look up'!$A$3:$A$135,0),MATCH(K133,'G-8 Condition Look up'!$A$3:$H$3,0)),"")</f>
        <v/>
      </c>
      <c r="M133" s="38"/>
      <c r="N133" s="310" t="str">
        <f>IF(M133="","",IF(VLOOKUP(M133,'G-3 Multipliers'!$L$3:$N$6,2,FALSE)=0,"Spatial Data Missing",VLOOKUP(M133,'G-3 Multipliers'!$L$3:$N$6,2,FALSE)))</f>
        <v/>
      </c>
      <c r="O133" s="296" t="str">
        <f>IF(M133="","",IF(VLOOKUP(M133,'G-3 Multipliers'!$L$3:$N$6,3,FALSE)=0,"Spatial Data Missing ▲",VLOOKUP(M133,'G-3 Multipliers'!$L$3:$N$6,3,FALSE)))</f>
        <v/>
      </c>
      <c r="P133" s="297" t="str">
        <f>(IF(G133="Yes","Bespoke compensation likely to be required 🛠",(IFERROR(VLOOKUP(AV133,'G-1 All Habitats'!$B$2:$M$135,12,FALSE),""))))</f>
        <v/>
      </c>
      <c r="Q133" s="304" t="str">
        <f>IFERROR(IF(AND(E133="Individual trees",T133&gt;0), "Error - you cannot enhance individual trees ▲", (IF(AND(U133="Irreplaceable habitat - no units generated ⚠",(S133+T133)&lt;H133, OR(Y133="No", Y133="")),"Any Loss Unacceptable ⚠", (IF(U133="Irreplaceable habitat - no units generated ⚠", T133*J133*L133*O133, IF(AND(P133='G-1 All Habitats'!$X$3, AC133&gt;0, S133&lt;=0, T133&lt;=0, OR(Y133="No", Y133="")),"Any Loss Unacceptable ⚠", IF(AND(P133='G-1 All Habitats'!$X$3, AC133&gt;0, S133&lt;=0, T133&lt;=0, Y133="Yes"), 0, (IF(AND(P133='G-1 All Habitats'!$X$3,(S133+T133)&lt;H133, OR(Y133="No", Y133="")),"Any Loss Unacceptable ⚠", (IF(P133="","",IF(AND(P133='G-1 All Habitats'!$X$3,T133&gt;0),U133+V133,IF(AND(P133='G-1 All Habitats'!$X$3,S133&gt;0),U133+V133,H133*J133*L133*O133))))))))))))),"Check Data ▲")</f>
        <v/>
      </c>
      <c r="R133" s="23"/>
      <c r="S133" s="38"/>
      <c r="T133" s="39"/>
      <c r="U133" s="302" t="str">
        <f t="shared" si="7"/>
        <v/>
      </c>
      <c r="V133" s="302" t="str">
        <f t="shared" si="8"/>
        <v/>
      </c>
      <c r="W133" s="302" t="str">
        <f>IF(E133="","",IF(H133&lt;S133+T133,"Error in Areas ▲",IF(P133&lt;&gt;'G-1 All Habitats'!$X$3,H133-S133-T133,IF(AND(P133='G-1 All Habitats'!$X$3,Y133="No"),AC133,IF(AND(P133='G-1 All Habitats'!$X$3,Y133=""),AC133,IF(AND(P133='G-1 All Habitats'!$X$3,AC133="None"),AC133,IF(AND(P133='G-1 All Habitats'!$X$3,AC133&gt;0),H133-S133-T133)))))))</f>
        <v/>
      </c>
      <c r="X133" s="306" t="str">
        <f>IFERROR(IF(H133="","",IF(H133-S133-T133=0&lt;0,"Error in Areas ▲",IF(S133+T133&gt;H133,"Error in Areas ▲",IF(AND(P133='G-1 All Habitats'!$X$3,Y133="Yes"),"Alternative Compensation ✓",IF(W133=0,0,IF(P133='G-1 All Habitats'!$X$3,"Any Loss Unacceptable ▲",Q133-U133-V133)))))),"Check Data ▲")</f>
        <v/>
      </c>
      <c r="Y133" s="39"/>
      <c r="Z133" s="46"/>
      <c r="AA133" s="419"/>
      <c r="AB133" s="101"/>
      <c r="AC133" s="495" t="str">
        <f>IF(OR(P133="", Y133="Yes"),"", IF(P133='G-1 All Habitats'!$X$3,H133-S133-T133,"None"))</f>
        <v/>
      </c>
      <c r="AD133" s="496" t="str">
        <f>IF(P133="","", IF(P133='G-1 All Habitats'!$X$3, AC133*J133*L133*O133,"None"))</f>
        <v/>
      </c>
      <c r="AE133" s="20" t="str">
        <f t="shared" si="9"/>
        <v/>
      </c>
      <c r="AF133" s="25" t="str">
        <f t="shared" si="10"/>
        <v/>
      </c>
      <c r="AG133" s="25" t="str">
        <f t="shared" si="6"/>
        <v/>
      </c>
      <c r="AH133" s="25" t="str">
        <f>IF(I133="","",IF(#REF!&gt;0,TRUE,FALSE))</f>
        <v/>
      </c>
      <c r="AI133" s="25">
        <v>123</v>
      </c>
      <c r="AJ133" s="25"/>
      <c r="AK133" s="25" t="str">
        <f t="array" ref="AK133">IFERROR(INDEX($AI$11:$AI$259, MATCH(0, IF(TRUE=$AF$11:$AF$259, COUNTIF($AK$10:$AK132, $AI$11:$AI$259), ""), 0)),"")</f>
        <v/>
      </c>
      <c r="AL133" s="25" t="str">
        <f t="array" ref="AL133">IFERROR(INDEX($AI$11:$AI$259, MATCH(0, IF(TRUE=$AG$11:$AG$259, COUNTIF($AL$10:$AL132, $AI$11:$AI$259), ""), 0)),"")</f>
        <v/>
      </c>
      <c r="AM133" s="25" t="str">
        <f t="array" ref="AM133">IFERROR(INDEX($AI$11:$AI$259, MATCH(0, IF(TRUE=$AH$11:$AH$259, COUNTIF($AM$10:$AM132, $AI$11:$AI$259), ""), 0)),"")</f>
        <v/>
      </c>
      <c r="AN133" s="25"/>
      <c r="AQ133" s="20">
        <f t="shared" si="11"/>
        <v>0</v>
      </c>
      <c r="AV133" s="540" t="str">
        <f>IFERROR(INDEX('G-1 All Habitats'!$B$3:$B$135,MATCH(F133,'G-1 All Habitats'!$A$3:$A$135,0)),"")</f>
        <v/>
      </c>
      <c r="AW133" s="20" t="str">
        <f>IF(AV133="","",VLOOKUP(AV133,'G-1 All Habitats'!$B$1:$T$135,19,FALSE))</f>
        <v/>
      </c>
    </row>
    <row r="134" spans="1:49" ht="14.5" thickBot="1" x14ac:dyDescent="0.35">
      <c r="A134" s="20" t="str">
        <f>IFERROR(INDEX('G-1 All Habitats'!$AG$3:$AG$17,MATCH(E134,'G-1 All Habitats'!$AF$3:$AF$17,0)),"")</f>
        <v/>
      </c>
      <c r="B134" s="20" t="str">
        <f>IFERROR(INDEX('G-8 Condition Look up'!$I$4:$I$135,MATCH(AV134,'G-8 Condition Look up'!$A$4:$A$135,0)),"")</f>
        <v/>
      </c>
      <c r="D134" s="238">
        <v>124</v>
      </c>
      <c r="E134" s="223"/>
      <c r="F134" s="45"/>
      <c r="G134" s="272"/>
      <c r="H134" s="37"/>
      <c r="I134" s="290" t="str">
        <f>IF(AV134="","",VLOOKUP(AV134,'G-1 All Habitats'!$B$2:$M$135,10,FALSE))</f>
        <v/>
      </c>
      <c r="J134" s="291" t="str">
        <f>IFERROR(VLOOKUP(I134,'G-1 All Habitats'!$V$3:$W$7,2,FALSE),"")</f>
        <v/>
      </c>
      <c r="K134" s="38"/>
      <c r="L134" s="291" t="str">
        <f>IFERROR(INDEX('G-8 Condition Look up'!$A$3:$H$135,MATCH(AV134,'G-8 Condition Look up'!$A$3:$A$135,0),MATCH(K134,'G-8 Condition Look up'!$A$3:$H$3,0)),"")</f>
        <v/>
      </c>
      <c r="M134" s="38"/>
      <c r="N134" s="310" t="str">
        <f>IF(M134="","",IF(VLOOKUP(M134,'G-3 Multipliers'!$L$3:$N$6,2,FALSE)=0,"Spatial Data Missing",VLOOKUP(M134,'G-3 Multipliers'!$L$3:$N$6,2,FALSE)))</f>
        <v/>
      </c>
      <c r="O134" s="296" t="str">
        <f>IF(M134="","",IF(VLOOKUP(M134,'G-3 Multipliers'!$L$3:$N$6,3,FALSE)=0,"Spatial Data Missing ▲",VLOOKUP(M134,'G-3 Multipliers'!$L$3:$N$6,3,FALSE)))</f>
        <v/>
      </c>
      <c r="P134" s="297" t="str">
        <f>(IF(G134="Yes","Bespoke compensation likely to be required 🛠",(IFERROR(VLOOKUP(AV134,'G-1 All Habitats'!$B$2:$M$135,12,FALSE),""))))</f>
        <v/>
      </c>
      <c r="Q134" s="304" t="str">
        <f>IFERROR(IF(AND(E134="Individual trees",T134&gt;0), "Error - you cannot enhance individual trees ▲", (IF(AND(U134="Irreplaceable habitat - no units generated ⚠",(S134+T134)&lt;H134, OR(Y134="No", Y134="")),"Any Loss Unacceptable ⚠", (IF(U134="Irreplaceable habitat - no units generated ⚠", T134*J134*L134*O134, IF(AND(P134='G-1 All Habitats'!$X$3, AC134&gt;0, S134&lt;=0, T134&lt;=0, OR(Y134="No", Y134="")),"Any Loss Unacceptable ⚠", IF(AND(P134='G-1 All Habitats'!$X$3, AC134&gt;0, S134&lt;=0, T134&lt;=0, Y134="Yes"), 0, (IF(AND(P134='G-1 All Habitats'!$X$3,(S134+T134)&lt;H134, OR(Y134="No", Y134="")),"Any Loss Unacceptable ⚠", (IF(P134="","",IF(AND(P134='G-1 All Habitats'!$X$3,T134&gt;0),U134+V134,IF(AND(P134='G-1 All Habitats'!$X$3,S134&gt;0),U134+V134,H134*J134*L134*O134))))))))))))),"Check Data ▲")</f>
        <v/>
      </c>
      <c r="R134" s="23"/>
      <c r="S134" s="38"/>
      <c r="T134" s="39"/>
      <c r="U134" s="302" t="str">
        <f t="shared" si="7"/>
        <v/>
      </c>
      <c r="V134" s="302" t="str">
        <f t="shared" si="8"/>
        <v/>
      </c>
      <c r="W134" s="302" t="str">
        <f>IF(E134="","",IF(H134&lt;S134+T134,"Error in Areas ▲",IF(P134&lt;&gt;'G-1 All Habitats'!$X$3,H134-S134-T134,IF(AND(P134='G-1 All Habitats'!$X$3,Y134="No"),AC134,IF(AND(P134='G-1 All Habitats'!$X$3,Y134=""),AC134,IF(AND(P134='G-1 All Habitats'!$X$3,AC134="None"),AC134,IF(AND(P134='G-1 All Habitats'!$X$3,AC134&gt;0),H134-S134-T134)))))))</f>
        <v/>
      </c>
      <c r="X134" s="306" t="str">
        <f>IFERROR(IF(H134="","",IF(H134-S134-T134=0&lt;0,"Error in Areas ▲",IF(S134+T134&gt;H134,"Error in Areas ▲",IF(AND(P134='G-1 All Habitats'!$X$3,Y134="Yes"),"Alternative Compensation ✓",IF(W134=0,0,IF(P134='G-1 All Habitats'!$X$3,"Any Loss Unacceptable ▲",Q134-U134-V134)))))),"Check Data ▲")</f>
        <v/>
      </c>
      <c r="Y134" s="39"/>
      <c r="Z134" s="46"/>
      <c r="AA134" s="419"/>
      <c r="AB134" s="101"/>
      <c r="AC134" s="495" t="str">
        <f>IF(OR(P134="", Y134="Yes"),"", IF(P134='G-1 All Habitats'!$X$3,H134-S134-T134,"None"))</f>
        <v/>
      </c>
      <c r="AD134" s="496" t="str">
        <f>IF(P134="","", IF(P134='G-1 All Habitats'!$X$3, AC134*J134*L134*O134,"None"))</f>
        <v/>
      </c>
      <c r="AE134" s="20" t="str">
        <f t="shared" si="9"/>
        <v/>
      </c>
      <c r="AF134" s="25" t="str">
        <f t="shared" si="10"/>
        <v/>
      </c>
      <c r="AG134" s="25" t="str">
        <f t="shared" si="6"/>
        <v/>
      </c>
      <c r="AH134" s="25" t="str">
        <f>IF(I134="","",IF(#REF!&gt;0,TRUE,FALSE))</f>
        <v/>
      </c>
      <c r="AI134" s="25">
        <v>124</v>
      </c>
      <c r="AJ134" s="25"/>
      <c r="AK134" s="25" t="str">
        <f t="array" ref="AK134">IFERROR(INDEX($AI$11:$AI$259, MATCH(0, IF(TRUE=$AF$11:$AF$259, COUNTIF($AK$10:$AK133, $AI$11:$AI$259), ""), 0)),"")</f>
        <v/>
      </c>
      <c r="AL134" s="25" t="str">
        <f t="array" ref="AL134">IFERROR(INDEX($AI$11:$AI$259, MATCH(0, IF(TRUE=$AG$11:$AG$259, COUNTIF($AL$10:$AL133, $AI$11:$AI$259), ""), 0)),"")</f>
        <v/>
      </c>
      <c r="AM134" s="25" t="str">
        <f t="array" ref="AM134">IFERROR(INDEX($AI$11:$AI$259, MATCH(0, IF(TRUE=$AH$11:$AH$259, COUNTIF($AM$10:$AM133, $AI$11:$AI$259), ""), 0)),"")</f>
        <v/>
      </c>
      <c r="AN134" s="25"/>
      <c r="AQ134" s="20">
        <f t="shared" si="11"/>
        <v>0</v>
      </c>
      <c r="AV134" s="540" t="str">
        <f>IFERROR(INDEX('G-1 All Habitats'!$B$3:$B$135,MATCH(F134,'G-1 All Habitats'!$A$3:$A$135,0)),"")</f>
        <v/>
      </c>
      <c r="AW134" s="20" t="str">
        <f>IF(AV134="","",VLOOKUP(AV134,'G-1 All Habitats'!$B$1:$T$135,19,FALSE))</f>
        <v/>
      </c>
    </row>
    <row r="135" spans="1:49" ht="14.5" thickBot="1" x14ac:dyDescent="0.35">
      <c r="A135" s="20" t="str">
        <f>IFERROR(INDEX('G-1 All Habitats'!$AG$3:$AG$17,MATCH(E135,'G-1 All Habitats'!$AF$3:$AF$17,0)),"")</f>
        <v/>
      </c>
      <c r="B135" s="20" t="str">
        <f>IFERROR(INDEX('G-8 Condition Look up'!$I$4:$I$135,MATCH(AV135,'G-8 Condition Look up'!$A$4:$A$135,0)),"")</f>
        <v/>
      </c>
      <c r="D135" s="238">
        <v>125</v>
      </c>
      <c r="E135" s="223"/>
      <c r="F135" s="45"/>
      <c r="G135" s="272"/>
      <c r="H135" s="37"/>
      <c r="I135" s="290" t="str">
        <f>IF(AV135="","",VLOOKUP(AV135,'G-1 All Habitats'!$B$2:$M$135,10,FALSE))</f>
        <v/>
      </c>
      <c r="J135" s="291" t="str">
        <f>IFERROR(VLOOKUP(I135,'G-1 All Habitats'!$V$3:$W$7,2,FALSE),"")</f>
        <v/>
      </c>
      <c r="K135" s="38"/>
      <c r="L135" s="291" t="str">
        <f>IFERROR(INDEX('G-8 Condition Look up'!$A$3:$H$135,MATCH(AV135,'G-8 Condition Look up'!$A$3:$A$135,0),MATCH(K135,'G-8 Condition Look up'!$A$3:$H$3,0)),"")</f>
        <v/>
      </c>
      <c r="M135" s="38"/>
      <c r="N135" s="310" t="str">
        <f>IF(M135="","",IF(VLOOKUP(M135,'G-3 Multipliers'!$L$3:$N$6,2,FALSE)=0,"Spatial Data Missing",VLOOKUP(M135,'G-3 Multipliers'!$L$3:$N$6,2,FALSE)))</f>
        <v/>
      </c>
      <c r="O135" s="296" t="str">
        <f>IF(M135="","",IF(VLOOKUP(M135,'G-3 Multipliers'!$L$3:$N$6,3,FALSE)=0,"Spatial Data Missing ▲",VLOOKUP(M135,'G-3 Multipliers'!$L$3:$N$6,3,FALSE)))</f>
        <v/>
      </c>
      <c r="P135" s="297" t="str">
        <f>(IF(G135="Yes","Bespoke compensation likely to be required 🛠",(IFERROR(VLOOKUP(AV135,'G-1 All Habitats'!$B$2:$M$135,12,FALSE),""))))</f>
        <v/>
      </c>
      <c r="Q135" s="304" t="str">
        <f>IFERROR(IF(AND(E135="Individual trees",T135&gt;0), "Error - you cannot enhance individual trees ▲", (IF(AND(U135="Irreplaceable habitat - no units generated ⚠",(S135+T135)&lt;H135, OR(Y135="No", Y135="")),"Any Loss Unacceptable ⚠", (IF(U135="Irreplaceable habitat - no units generated ⚠", T135*J135*L135*O135, IF(AND(P135='G-1 All Habitats'!$X$3, AC135&gt;0, S135&lt;=0, T135&lt;=0, OR(Y135="No", Y135="")),"Any Loss Unacceptable ⚠", IF(AND(P135='G-1 All Habitats'!$X$3, AC135&gt;0, S135&lt;=0, T135&lt;=0, Y135="Yes"), 0, (IF(AND(P135='G-1 All Habitats'!$X$3,(S135+T135)&lt;H135, OR(Y135="No", Y135="")),"Any Loss Unacceptable ⚠", (IF(P135="","",IF(AND(P135='G-1 All Habitats'!$X$3,T135&gt;0),U135+V135,IF(AND(P135='G-1 All Habitats'!$X$3,S135&gt;0),U135+V135,H135*J135*L135*O135))))))))))))),"Check Data ▲")</f>
        <v/>
      </c>
      <c r="R135" s="23"/>
      <c r="S135" s="38"/>
      <c r="T135" s="39"/>
      <c r="U135" s="302" t="str">
        <f t="shared" si="7"/>
        <v/>
      </c>
      <c r="V135" s="302" t="str">
        <f t="shared" si="8"/>
        <v/>
      </c>
      <c r="W135" s="302" t="str">
        <f>IF(E135="","",IF(H135&lt;S135+T135,"Error in Areas ▲",IF(P135&lt;&gt;'G-1 All Habitats'!$X$3,H135-S135-T135,IF(AND(P135='G-1 All Habitats'!$X$3,Y135="No"),AC135,IF(AND(P135='G-1 All Habitats'!$X$3,Y135=""),AC135,IF(AND(P135='G-1 All Habitats'!$X$3,AC135="None"),AC135,IF(AND(P135='G-1 All Habitats'!$X$3,AC135&gt;0),H135-S135-T135)))))))</f>
        <v/>
      </c>
      <c r="X135" s="306" t="str">
        <f>IFERROR(IF(H135="","",IF(H135-S135-T135=0&lt;0,"Error in Areas ▲",IF(S135+T135&gt;H135,"Error in Areas ▲",IF(AND(P135='G-1 All Habitats'!$X$3,Y135="Yes"),"Alternative Compensation ✓",IF(W135=0,0,IF(P135='G-1 All Habitats'!$X$3,"Any Loss Unacceptable ▲",Q135-U135-V135)))))),"Check Data ▲")</f>
        <v/>
      </c>
      <c r="Y135" s="39"/>
      <c r="Z135" s="46"/>
      <c r="AA135" s="419"/>
      <c r="AB135" s="101"/>
      <c r="AC135" s="495" t="str">
        <f>IF(OR(P135="", Y135="Yes"),"", IF(P135='G-1 All Habitats'!$X$3,H135-S135-T135,"None"))</f>
        <v/>
      </c>
      <c r="AD135" s="496" t="str">
        <f>IF(P135="","", IF(P135='G-1 All Habitats'!$X$3, AC135*J135*L135*O135,"None"))</f>
        <v/>
      </c>
      <c r="AE135" s="20" t="str">
        <f t="shared" si="9"/>
        <v/>
      </c>
      <c r="AF135" s="25" t="str">
        <f t="shared" si="10"/>
        <v/>
      </c>
      <c r="AG135" s="25" t="str">
        <f t="shared" si="6"/>
        <v/>
      </c>
      <c r="AH135" s="25" t="str">
        <f>IF(I135="","",IF(#REF!&gt;0,TRUE,FALSE))</f>
        <v/>
      </c>
      <c r="AI135" s="25">
        <v>125</v>
      </c>
      <c r="AJ135" s="25"/>
      <c r="AK135" s="25" t="str">
        <f t="array" ref="AK135">IFERROR(INDEX($AI$11:$AI$259, MATCH(0, IF(TRUE=$AF$11:$AF$259, COUNTIF($AK$10:$AK134, $AI$11:$AI$259), ""), 0)),"")</f>
        <v/>
      </c>
      <c r="AL135" s="25" t="str">
        <f t="array" ref="AL135">IFERROR(INDEX($AI$11:$AI$259, MATCH(0, IF(TRUE=$AG$11:$AG$259, COUNTIF($AL$10:$AL134, $AI$11:$AI$259), ""), 0)),"")</f>
        <v/>
      </c>
      <c r="AM135" s="25" t="str">
        <f t="array" ref="AM135">IFERROR(INDEX($AI$11:$AI$259, MATCH(0, IF(TRUE=$AH$11:$AH$259, COUNTIF($AM$10:$AM134, $AI$11:$AI$259), ""), 0)),"")</f>
        <v/>
      </c>
      <c r="AN135" s="25"/>
      <c r="AQ135" s="20">
        <f t="shared" si="11"/>
        <v>0</v>
      </c>
      <c r="AV135" s="540" t="str">
        <f>IFERROR(INDEX('G-1 All Habitats'!$B$3:$B$135,MATCH(F135,'G-1 All Habitats'!$A$3:$A$135,0)),"")</f>
        <v/>
      </c>
      <c r="AW135" s="20" t="str">
        <f>IF(AV135="","",VLOOKUP(AV135,'G-1 All Habitats'!$B$1:$T$135,19,FALSE))</f>
        <v/>
      </c>
    </row>
    <row r="136" spans="1:49" ht="14.5" thickBot="1" x14ac:dyDescent="0.35">
      <c r="A136" s="20" t="str">
        <f>IFERROR(INDEX('G-1 All Habitats'!$AG$3:$AG$17,MATCH(E136,'G-1 All Habitats'!$AF$3:$AF$17,0)),"")</f>
        <v/>
      </c>
      <c r="B136" s="20" t="str">
        <f>IFERROR(INDEX('G-8 Condition Look up'!$I$4:$I$135,MATCH(AV136,'G-8 Condition Look up'!$A$4:$A$135,0)),"")</f>
        <v/>
      </c>
      <c r="D136" s="238">
        <v>126</v>
      </c>
      <c r="E136" s="223"/>
      <c r="F136" s="45"/>
      <c r="G136" s="272"/>
      <c r="H136" s="37"/>
      <c r="I136" s="290" t="str">
        <f>IF(AV136="","",VLOOKUP(AV136,'G-1 All Habitats'!$B$2:$M$135,10,FALSE))</f>
        <v/>
      </c>
      <c r="J136" s="291" t="str">
        <f>IFERROR(VLOOKUP(I136,'G-1 All Habitats'!$V$3:$W$7,2,FALSE),"")</f>
        <v/>
      </c>
      <c r="K136" s="38"/>
      <c r="L136" s="291" t="str">
        <f>IFERROR(INDEX('G-8 Condition Look up'!$A$3:$H$135,MATCH(AV136,'G-8 Condition Look up'!$A$3:$A$135,0),MATCH(K136,'G-8 Condition Look up'!$A$3:$H$3,0)),"")</f>
        <v/>
      </c>
      <c r="M136" s="38"/>
      <c r="N136" s="310" t="str">
        <f>IF(M136="","",IF(VLOOKUP(M136,'G-3 Multipliers'!$L$3:$N$6,2,FALSE)=0,"Spatial Data Missing",VLOOKUP(M136,'G-3 Multipliers'!$L$3:$N$6,2,FALSE)))</f>
        <v/>
      </c>
      <c r="O136" s="296" t="str">
        <f>IF(M136="","",IF(VLOOKUP(M136,'G-3 Multipliers'!$L$3:$N$6,3,FALSE)=0,"Spatial Data Missing ▲",VLOOKUP(M136,'G-3 Multipliers'!$L$3:$N$6,3,FALSE)))</f>
        <v/>
      </c>
      <c r="P136" s="297" t="str">
        <f>(IF(G136="Yes","Bespoke compensation likely to be required 🛠",(IFERROR(VLOOKUP(AV136,'G-1 All Habitats'!$B$2:$M$135,12,FALSE),""))))</f>
        <v/>
      </c>
      <c r="Q136" s="304" t="str">
        <f>IFERROR(IF(AND(E136="Individual trees",T136&gt;0), "Error - you cannot enhance individual trees ▲", (IF(AND(U136="Irreplaceable habitat - no units generated ⚠",(S136+T136)&lt;H136, OR(Y136="No", Y136="")),"Any Loss Unacceptable ⚠", (IF(U136="Irreplaceable habitat - no units generated ⚠", T136*J136*L136*O136, IF(AND(P136='G-1 All Habitats'!$X$3, AC136&gt;0, S136&lt;=0, T136&lt;=0, OR(Y136="No", Y136="")),"Any Loss Unacceptable ⚠", IF(AND(P136='G-1 All Habitats'!$X$3, AC136&gt;0, S136&lt;=0, T136&lt;=0, Y136="Yes"), 0, (IF(AND(P136='G-1 All Habitats'!$X$3,(S136+T136)&lt;H136, OR(Y136="No", Y136="")),"Any Loss Unacceptable ⚠", (IF(P136="","",IF(AND(P136='G-1 All Habitats'!$X$3,T136&gt;0),U136+V136,IF(AND(P136='G-1 All Habitats'!$X$3,S136&gt;0),U136+V136,H136*J136*L136*O136))))))))))))),"Check Data ▲")</f>
        <v/>
      </c>
      <c r="R136" s="23"/>
      <c r="S136" s="38"/>
      <c r="T136" s="39"/>
      <c r="U136" s="302" t="str">
        <f t="shared" si="7"/>
        <v/>
      </c>
      <c r="V136" s="302" t="str">
        <f t="shared" si="8"/>
        <v/>
      </c>
      <c r="W136" s="302" t="str">
        <f>IF(E136="","",IF(H136&lt;S136+T136,"Error in Areas ▲",IF(P136&lt;&gt;'G-1 All Habitats'!$X$3,H136-S136-T136,IF(AND(P136='G-1 All Habitats'!$X$3,Y136="No"),AC136,IF(AND(P136='G-1 All Habitats'!$X$3,Y136=""),AC136,IF(AND(P136='G-1 All Habitats'!$X$3,AC136="None"),AC136,IF(AND(P136='G-1 All Habitats'!$X$3,AC136&gt;0),H136-S136-T136)))))))</f>
        <v/>
      </c>
      <c r="X136" s="306" t="str">
        <f>IFERROR(IF(H136="","",IF(H136-S136-T136=0&lt;0,"Error in Areas ▲",IF(S136+T136&gt;H136,"Error in Areas ▲",IF(AND(P136='G-1 All Habitats'!$X$3,Y136="Yes"),"Alternative Compensation ✓",IF(W136=0,0,IF(P136='G-1 All Habitats'!$X$3,"Any Loss Unacceptable ▲",Q136-U136-V136)))))),"Check Data ▲")</f>
        <v/>
      </c>
      <c r="Y136" s="39"/>
      <c r="Z136" s="46"/>
      <c r="AA136" s="419"/>
      <c r="AB136" s="101"/>
      <c r="AC136" s="495" t="str">
        <f>IF(OR(P136="", Y136="Yes"),"", IF(P136='G-1 All Habitats'!$X$3,H136-S136-T136,"None"))</f>
        <v/>
      </c>
      <c r="AD136" s="496" t="str">
        <f>IF(P136="","", IF(P136='G-1 All Habitats'!$X$3, AC136*J136*L136*O136,"None"))</f>
        <v/>
      </c>
      <c r="AE136" s="20" t="str">
        <f t="shared" si="9"/>
        <v/>
      </c>
      <c r="AF136" s="25" t="str">
        <f t="shared" si="10"/>
        <v/>
      </c>
      <c r="AG136" s="25" t="str">
        <f t="shared" si="6"/>
        <v/>
      </c>
      <c r="AH136" s="25" t="str">
        <f>IF(I136="","",IF(#REF!&gt;0,TRUE,FALSE))</f>
        <v/>
      </c>
      <c r="AI136" s="25">
        <v>126</v>
      </c>
      <c r="AJ136" s="25"/>
      <c r="AK136" s="25" t="str">
        <f t="array" ref="AK136">IFERROR(INDEX($AI$11:$AI$259, MATCH(0, IF(TRUE=$AF$11:$AF$259, COUNTIF($AK$10:$AK135, $AI$11:$AI$259), ""), 0)),"")</f>
        <v/>
      </c>
      <c r="AL136" s="25" t="str">
        <f t="array" ref="AL136">IFERROR(INDEX($AI$11:$AI$259, MATCH(0, IF(TRUE=$AG$11:$AG$259, COUNTIF($AL$10:$AL135, $AI$11:$AI$259), ""), 0)),"")</f>
        <v/>
      </c>
      <c r="AM136" s="25" t="str">
        <f t="array" ref="AM136">IFERROR(INDEX($AI$11:$AI$259, MATCH(0, IF(TRUE=$AH$11:$AH$259, COUNTIF($AM$10:$AM135, $AI$11:$AI$259), ""), 0)),"")</f>
        <v/>
      </c>
      <c r="AN136" s="25"/>
      <c r="AQ136" s="20">
        <f t="shared" si="11"/>
        <v>0</v>
      </c>
      <c r="AV136" s="540" t="str">
        <f>IFERROR(INDEX('G-1 All Habitats'!$B$3:$B$135,MATCH(F136,'G-1 All Habitats'!$A$3:$A$135,0)),"")</f>
        <v/>
      </c>
      <c r="AW136" s="20" t="str">
        <f>IF(AV136="","",VLOOKUP(AV136,'G-1 All Habitats'!$B$1:$T$135,19,FALSE))</f>
        <v/>
      </c>
    </row>
    <row r="137" spans="1:49" ht="14.5" thickBot="1" x14ac:dyDescent="0.35">
      <c r="A137" s="20" t="str">
        <f>IFERROR(INDEX('G-1 All Habitats'!$AG$3:$AG$17,MATCH(E137,'G-1 All Habitats'!$AF$3:$AF$17,0)),"")</f>
        <v/>
      </c>
      <c r="B137" s="20" t="str">
        <f>IFERROR(INDEX('G-8 Condition Look up'!$I$4:$I$135,MATCH(AV137,'G-8 Condition Look up'!$A$4:$A$135,0)),"")</f>
        <v/>
      </c>
      <c r="D137" s="238">
        <v>127</v>
      </c>
      <c r="E137" s="223"/>
      <c r="F137" s="45"/>
      <c r="G137" s="272"/>
      <c r="H137" s="37"/>
      <c r="I137" s="290" t="str">
        <f>IF(AV137="","",VLOOKUP(AV137,'G-1 All Habitats'!$B$2:$M$135,10,FALSE))</f>
        <v/>
      </c>
      <c r="J137" s="291" t="str">
        <f>IFERROR(VLOOKUP(I137,'G-1 All Habitats'!$V$3:$W$7,2,FALSE),"")</f>
        <v/>
      </c>
      <c r="K137" s="38"/>
      <c r="L137" s="291" t="str">
        <f>IFERROR(INDEX('G-8 Condition Look up'!$A$3:$H$135,MATCH(AV137,'G-8 Condition Look up'!$A$3:$A$135,0),MATCH(K137,'G-8 Condition Look up'!$A$3:$H$3,0)),"")</f>
        <v/>
      </c>
      <c r="M137" s="38"/>
      <c r="N137" s="310" t="str">
        <f>IF(M137="","",IF(VLOOKUP(M137,'G-3 Multipliers'!$L$3:$N$6,2,FALSE)=0,"Spatial Data Missing",VLOOKUP(M137,'G-3 Multipliers'!$L$3:$N$6,2,FALSE)))</f>
        <v/>
      </c>
      <c r="O137" s="296" t="str">
        <f>IF(M137="","",IF(VLOOKUP(M137,'G-3 Multipliers'!$L$3:$N$6,3,FALSE)=0,"Spatial Data Missing ▲",VLOOKUP(M137,'G-3 Multipliers'!$L$3:$N$6,3,FALSE)))</f>
        <v/>
      </c>
      <c r="P137" s="297" t="str">
        <f>(IF(G137="Yes","Bespoke compensation likely to be required 🛠",(IFERROR(VLOOKUP(AV137,'G-1 All Habitats'!$B$2:$M$135,12,FALSE),""))))</f>
        <v/>
      </c>
      <c r="Q137" s="304" t="str">
        <f>IFERROR(IF(AND(E137="Individual trees",T137&gt;0), "Error - you cannot enhance individual trees ▲", (IF(AND(U137="Irreplaceable habitat - no units generated ⚠",(S137+T137)&lt;H137, OR(Y137="No", Y137="")),"Any Loss Unacceptable ⚠", (IF(U137="Irreplaceable habitat - no units generated ⚠", T137*J137*L137*O137, IF(AND(P137='G-1 All Habitats'!$X$3, AC137&gt;0, S137&lt;=0, T137&lt;=0, OR(Y137="No", Y137="")),"Any Loss Unacceptable ⚠", IF(AND(P137='G-1 All Habitats'!$X$3, AC137&gt;0, S137&lt;=0, T137&lt;=0, Y137="Yes"), 0, (IF(AND(P137='G-1 All Habitats'!$X$3,(S137+T137)&lt;H137, OR(Y137="No", Y137="")),"Any Loss Unacceptable ⚠", (IF(P137="","",IF(AND(P137='G-1 All Habitats'!$X$3,T137&gt;0),U137+V137,IF(AND(P137='G-1 All Habitats'!$X$3,S137&gt;0),U137+V137,H137*J137*L137*O137))))))))))))),"Check Data ▲")</f>
        <v/>
      </c>
      <c r="R137" s="23"/>
      <c r="S137" s="38"/>
      <c r="T137" s="39"/>
      <c r="U137" s="302" t="str">
        <f t="shared" si="7"/>
        <v/>
      </c>
      <c r="V137" s="302" t="str">
        <f t="shared" si="8"/>
        <v/>
      </c>
      <c r="W137" s="302" t="str">
        <f>IF(E137="","",IF(H137&lt;S137+T137,"Error in Areas ▲",IF(P137&lt;&gt;'G-1 All Habitats'!$X$3,H137-S137-T137,IF(AND(P137='G-1 All Habitats'!$X$3,Y137="No"),AC137,IF(AND(P137='G-1 All Habitats'!$X$3,Y137=""),AC137,IF(AND(P137='G-1 All Habitats'!$X$3,AC137="None"),AC137,IF(AND(P137='G-1 All Habitats'!$X$3,AC137&gt;0),H137-S137-T137)))))))</f>
        <v/>
      </c>
      <c r="X137" s="306" t="str">
        <f>IFERROR(IF(H137="","",IF(H137-S137-T137=0&lt;0,"Error in Areas ▲",IF(S137+T137&gt;H137,"Error in Areas ▲",IF(AND(P137='G-1 All Habitats'!$X$3,Y137="Yes"),"Alternative Compensation ✓",IF(W137=0,0,IF(P137='G-1 All Habitats'!$X$3,"Any Loss Unacceptable ▲",Q137-U137-V137)))))),"Check Data ▲")</f>
        <v/>
      </c>
      <c r="Y137" s="39"/>
      <c r="Z137" s="46"/>
      <c r="AA137" s="419"/>
      <c r="AB137" s="101"/>
      <c r="AC137" s="495" t="str">
        <f>IF(OR(P137="", Y137="Yes"),"", IF(P137='G-1 All Habitats'!$X$3,H137-S137-T137,"None"))</f>
        <v/>
      </c>
      <c r="AD137" s="496" t="str">
        <f>IF(P137="","", IF(P137='G-1 All Habitats'!$X$3, AC137*J137*L137*O137,"None"))</f>
        <v/>
      </c>
      <c r="AE137" s="20" t="str">
        <f t="shared" si="9"/>
        <v/>
      </c>
      <c r="AF137" s="25" t="str">
        <f t="shared" si="10"/>
        <v/>
      </c>
      <c r="AG137" s="25" t="str">
        <f t="shared" si="6"/>
        <v/>
      </c>
      <c r="AH137" s="25" t="str">
        <f>IF(I137="","",IF(#REF!&gt;0,TRUE,FALSE))</f>
        <v/>
      </c>
      <c r="AI137" s="25">
        <v>127</v>
      </c>
      <c r="AJ137" s="25"/>
      <c r="AK137" s="25" t="str">
        <f t="array" ref="AK137">IFERROR(INDEX($AI$11:$AI$259, MATCH(0, IF(TRUE=$AF$11:$AF$259, COUNTIF($AK$10:$AK136, $AI$11:$AI$259), ""), 0)),"")</f>
        <v/>
      </c>
      <c r="AL137" s="25" t="str">
        <f t="array" ref="AL137">IFERROR(INDEX($AI$11:$AI$259, MATCH(0, IF(TRUE=$AG$11:$AG$259, COUNTIF($AL$10:$AL136, $AI$11:$AI$259), ""), 0)),"")</f>
        <v/>
      </c>
      <c r="AM137" s="25" t="str">
        <f t="array" ref="AM137">IFERROR(INDEX($AI$11:$AI$259, MATCH(0, IF(TRUE=$AH$11:$AH$259, COUNTIF($AM$10:$AM136, $AI$11:$AI$259), ""), 0)),"")</f>
        <v/>
      </c>
      <c r="AN137" s="25"/>
      <c r="AQ137" s="20">
        <f t="shared" si="11"/>
        <v>0</v>
      </c>
      <c r="AV137" s="540" t="str">
        <f>IFERROR(INDEX('G-1 All Habitats'!$B$3:$B$135,MATCH(F137,'G-1 All Habitats'!$A$3:$A$135,0)),"")</f>
        <v/>
      </c>
      <c r="AW137" s="20" t="str">
        <f>IF(AV137="","",VLOOKUP(AV137,'G-1 All Habitats'!$B$1:$T$135,19,FALSE))</f>
        <v/>
      </c>
    </row>
    <row r="138" spans="1:49" ht="14.5" thickBot="1" x14ac:dyDescent="0.35">
      <c r="A138" s="20" t="str">
        <f>IFERROR(INDEX('G-1 All Habitats'!$AG$3:$AG$17,MATCH(E138,'G-1 All Habitats'!$AF$3:$AF$17,0)),"")</f>
        <v/>
      </c>
      <c r="B138" s="20" t="str">
        <f>IFERROR(INDEX('G-8 Condition Look up'!$I$4:$I$135,MATCH(AV138,'G-8 Condition Look up'!$A$4:$A$135,0)),"")</f>
        <v/>
      </c>
      <c r="D138" s="238">
        <v>128</v>
      </c>
      <c r="E138" s="223"/>
      <c r="F138" s="45"/>
      <c r="G138" s="272"/>
      <c r="H138" s="37"/>
      <c r="I138" s="290" t="str">
        <f>IF(AV138="","",VLOOKUP(AV138,'G-1 All Habitats'!$B$2:$M$135,10,FALSE))</f>
        <v/>
      </c>
      <c r="J138" s="291" t="str">
        <f>IFERROR(VLOOKUP(I138,'G-1 All Habitats'!$V$3:$W$7,2,FALSE),"")</f>
        <v/>
      </c>
      <c r="K138" s="38"/>
      <c r="L138" s="291" t="str">
        <f>IFERROR(INDEX('G-8 Condition Look up'!$A$3:$H$135,MATCH(AV138,'G-8 Condition Look up'!$A$3:$A$135,0),MATCH(K138,'G-8 Condition Look up'!$A$3:$H$3,0)),"")</f>
        <v/>
      </c>
      <c r="M138" s="38"/>
      <c r="N138" s="310" t="str">
        <f>IF(M138="","",IF(VLOOKUP(M138,'G-3 Multipliers'!$L$3:$N$6,2,FALSE)=0,"Spatial Data Missing",VLOOKUP(M138,'G-3 Multipliers'!$L$3:$N$6,2,FALSE)))</f>
        <v/>
      </c>
      <c r="O138" s="296" t="str">
        <f>IF(M138="","",IF(VLOOKUP(M138,'G-3 Multipliers'!$L$3:$N$6,3,FALSE)=0,"Spatial Data Missing ▲",VLOOKUP(M138,'G-3 Multipliers'!$L$3:$N$6,3,FALSE)))</f>
        <v/>
      </c>
      <c r="P138" s="297" t="str">
        <f>(IF(G138="Yes","Bespoke compensation likely to be required 🛠",(IFERROR(VLOOKUP(AV138,'G-1 All Habitats'!$B$2:$M$135,12,FALSE),""))))</f>
        <v/>
      </c>
      <c r="Q138" s="304" t="str">
        <f>IFERROR(IF(AND(E138="Individual trees",T138&gt;0), "Error - you cannot enhance individual trees ▲", (IF(AND(U138="Irreplaceable habitat - no units generated ⚠",(S138+T138)&lt;H138, OR(Y138="No", Y138="")),"Any Loss Unacceptable ⚠", (IF(U138="Irreplaceable habitat - no units generated ⚠", T138*J138*L138*O138, IF(AND(P138='G-1 All Habitats'!$X$3, AC138&gt;0, S138&lt;=0, T138&lt;=0, OR(Y138="No", Y138="")),"Any Loss Unacceptable ⚠", IF(AND(P138='G-1 All Habitats'!$X$3, AC138&gt;0, S138&lt;=0, T138&lt;=0, Y138="Yes"), 0, (IF(AND(P138='G-1 All Habitats'!$X$3,(S138+T138)&lt;H138, OR(Y138="No", Y138="")),"Any Loss Unacceptable ⚠", (IF(P138="","",IF(AND(P138='G-1 All Habitats'!$X$3,T138&gt;0),U138+V138,IF(AND(P138='G-1 All Habitats'!$X$3,S138&gt;0),U138+V138,H138*J138*L138*O138))))))))))))),"Check Data ▲")</f>
        <v/>
      </c>
      <c r="R138" s="23"/>
      <c r="S138" s="38"/>
      <c r="T138" s="39"/>
      <c r="U138" s="302" t="str">
        <f t="shared" si="7"/>
        <v/>
      </c>
      <c r="V138" s="302" t="str">
        <f t="shared" si="8"/>
        <v/>
      </c>
      <c r="W138" s="302" t="str">
        <f>IF(E138="","",IF(H138&lt;S138+T138,"Error in Areas ▲",IF(P138&lt;&gt;'G-1 All Habitats'!$X$3,H138-S138-T138,IF(AND(P138='G-1 All Habitats'!$X$3,Y138="No"),AC138,IF(AND(P138='G-1 All Habitats'!$X$3,Y138=""),AC138,IF(AND(P138='G-1 All Habitats'!$X$3,AC138="None"),AC138,IF(AND(P138='G-1 All Habitats'!$X$3,AC138&gt;0),H138-S138-T138)))))))</f>
        <v/>
      </c>
      <c r="X138" s="306" t="str">
        <f>IFERROR(IF(H138="","",IF(H138-S138-T138=0&lt;0,"Error in Areas ▲",IF(S138+T138&gt;H138,"Error in Areas ▲",IF(AND(P138='G-1 All Habitats'!$X$3,Y138="Yes"),"Alternative Compensation ✓",IF(W138=0,0,IF(P138='G-1 All Habitats'!$X$3,"Any Loss Unacceptable ▲",Q138-U138-V138)))))),"Check Data ▲")</f>
        <v/>
      </c>
      <c r="Y138" s="39"/>
      <c r="Z138" s="46"/>
      <c r="AA138" s="419"/>
      <c r="AB138" s="101"/>
      <c r="AC138" s="495" t="str">
        <f>IF(OR(P138="", Y138="Yes"),"", IF(P138='G-1 All Habitats'!$X$3,H138-S138-T138,"None"))</f>
        <v/>
      </c>
      <c r="AD138" s="496" t="str">
        <f>IF(P138="","", IF(P138='G-1 All Habitats'!$X$3, AC138*J138*L138*O138,"None"))</f>
        <v/>
      </c>
      <c r="AE138" s="20" t="str">
        <f t="shared" si="9"/>
        <v/>
      </c>
      <c r="AF138" s="25" t="str">
        <f t="shared" si="10"/>
        <v/>
      </c>
      <c r="AG138" s="25" t="str">
        <f t="shared" si="6"/>
        <v/>
      </c>
      <c r="AH138" s="25" t="str">
        <f>IF(I138="","",IF(#REF!&gt;0,TRUE,FALSE))</f>
        <v/>
      </c>
      <c r="AI138" s="25">
        <v>128</v>
      </c>
      <c r="AJ138" s="25"/>
      <c r="AK138" s="25" t="str">
        <f t="array" ref="AK138">IFERROR(INDEX($AI$11:$AI$259, MATCH(0, IF(TRUE=$AF$11:$AF$259, COUNTIF($AK$10:$AK137, $AI$11:$AI$259), ""), 0)),"")</f>
        <v/>
      </c>
      <c r="AL138" s="25" t="str">
        <f t="array" ref="AL138">IFERROR(INDEX($AI$11:$AI$259, MATCH(0, IF(TRUE=$AG$11:$AG$259, COUNTIF($AL$10:$AL137, $AI$11:$AI$259), ""), 0)),"")</f>
        <v/>
      </c>
      <c r="AM138" s="25" t="str">
        <f t="array" ref="AM138">IFERROR(INDEX($AI$11:$AI$259, MATCH(0, IF(TRUE=$AH$11:$AH$259, COUNTIF($AM$10:$AM137, $AI$11:$AI$259), ""), 0)),"")</f>
        <v/>
      </c>
      <c r="AN138" s="25"/>
      <c r="AQ138" s="20">
        <f t="shared" si="11"/>
        <v>0</v>
      </c>
      <c r="AV138" s="540" t="str">
        <f>IFERROR(INDEX('G-1 All Habitats'!$B$3:$B$135,MATCH(F138,'G-1 All Habitats'!$A$3:$A$135,0)),"")</f>
        <v/>
      </c>
      <c r="AW138" s="20" t="str">
        <f>IF(AV138="","",VLOOKUP(AV138,'G-1 All Habitats'!$B$1:$T$135,19,FALSE))</f>
        <v/>
      </c>
    </row>
    <row r="139" spans="1:49" ht="14.5" thickBot="1" x14ac:dyDescent="0.35">
      <c r="A139" s="20" t="str">
        <f>IFERROR(INDEX('G-1 All Habitats'!$AG$3:$AG$17,MATCH(E139,'G-1 All Habitats'!$AF$3:$AF$17,0)),"")</f>
        <v/>
      </c>
      <c r="B139" s="20" t="str">
        <f>IFERROR(INDEX('G-8 Condition Look up'!$I$4:$I$135,MATCH(AV139,'G-8 Condition Look up'!$A$4:$A$135,0)),"")</f>
        <v/>
      </c>
      <c r="D139" s="238">
        <v>129</v>
      </c>
      <c r="E139" s="223"/>
      <c r="F139" s="45"/>
      <c r="G139" s="272"/>
      <c r="H139" s="37"/>
      <c r="I139" s="290" t="str">
        <f>IF(AV139="","",VLOOKUP(AV139,'G-1 All Habitats'!$B$2:$M$135,10,FALSE))</f>
        <v/>
      </c>
      <c r="J139" s="291" t="str">
        <f>IFERROR(VLOOKUP(I139,'G-1 All Habitats'!$V$3:$W$7,2,FALSE),"")</f>
        <v/>
      </c>
      <c r="K139" s="38"/>
      <c r="L139" s="291" t="str">
        <f>IFERROR(INDEX('G-8 Condition Look up'!$A$3:$H$135,MATCH(AV139,'G-8 Condition Look up'!$A$3:$A$135,0),MATCH(K139,'G-8 Condition Look up'!$A$3:$H$3,0)),"")</f>
        <v/>
      </c>
      <c r="M139" s="38"/>
      <c r="N139" s="310" t="str">
        <f>IF(M139="","",IF(VLOOKUP(M139,'G-3 Multipliers'!$L$3:$N$6,2,FALSE)=0,"Spatial Data Missing",VLOOKUP(M139,'G-3 Multipliers'!$L$3:$N$6,2,FALSE)))</f>
        <v/>
      </c>
      <c r="O139" s="296" t="str">
        <f>IF(M139="","",IF(VLOOKUP(M139,'G-3 Multipliers'!$L$3:$N$6,3,FALSE)=0,"Spatial Data Missing ▲",VLOOKUP(M139,'G-3 Multipliers'!$L$3:$N$6,3,FALSE)))</f>
        <v/>
      </c>
      <c r="P139" s="297" t="str">
        <f>(IF(G139="Yes","Bespoke compensation likely to be required 🛠",(IFERROR(VLOOKUP(AV139,'G-1 All Habitats'!$B$2:$M$135,12,FALSE),""))))</f>
        <v/>
      </c>
      <c r="Q139" s="304" t="str">
        <f>IFERROR(IF(AND(E139="Individual trees",T139&gt;0), "Error - you cannot enhance individual trees ▲", (IF(AND(U139="Irreplaceable habitat - no units generated ⚠",(S139+T139)&lt;H139, OR(Y139="No", Y139="")),"Any Loss Unacceptable ⚠", (IF(U139="Irreplaceable habitat - no units generated ⚠", T139*J139*L139*O139, IF(AND(P139='G-1 All Habitats'!$X$3, AC139&gt;0, S139&lt;=0, T139&lt;=0, OR(Y139="No", Y139="")),"Any Loss Unacceptable ⚠", IF(AND(P139='G-1 All Habitats'!$X$3, AC139&gt;0, S139&lt;=0, T139&lt;=0, Y139="Yes"), 0, (IF(AND(P139='G-1 All Habitats'!$X$3,(S139+T139)&lt;H139, OR(Y139="No", Y139="")),"Any Loss Unacceptable ⚠", (IF(P139="","",IF(AND(P139='G-1 All Habitats'!$X$3,T139&gt;0),U139+V139,IF(AND(P139='G-1 All Habitats'!$X$3,S139&gt;0),U139+V139,H139*J139*L139*O139))))))))))))),"Check Data ▲")</f>
        <v/>
      </c>
      <c r="R139" s="23"/>
      <c r="S139" s="38"/>
      <c r="T139" s="39"/>
      <c r="U139" s="302" t="str">
        <f t="shared" si="7"/>
        <v/>
      </c>
      <c r="V139" s="302" t="str">
        <f t="shared" si="8"/>
        <v/>
      </c>
      <c r="W139" s="302" t="str">
        <f>IF(E139="","",IF(H139&lt;S139+T139,"Error in Areas ▲",IF(P139&lt;&gt;'G-1 All Habitats'!$X$3,H139-S139-T139,IF(AND(P139='G-1 All Habitats'!$X$3,Y139="No"),AC139,IF(AND(P139='G-1 All Habitats'!$X$3,Y139=""),AC139,IF(AND(P139='G-1 All Habitats'!$X$3,AC139="None"),AC139,IF(AND(P139='G-1 All Habitats'!$X$3,AC139&gt;0),H139-S139-T139)))))))</f>
        <v/>
      </c>
      <c r="X139" s="306" t="str">
        <f>IFERROR(IF(H139="","",IF(H139-S139-T139=0&lt;0,"Error in Areas ▲",IF(S139+T139&gt;H139,"Error in Areas ▲",IF(AND(P139='G-1 All Habitats'!$X$3,Y139="Yes"),"Alternative Compensation ✓",IF(W139=0,0,IF(P139='G-1 All Habitats'!$X$3,"Any Loss Unacceptable ▲",Q139-U139-V139)))))),"Check Data ▲")</f>
        <v/>
      </c>
      <c r="Y139" s="39"/>
      <c r="Z139" s="46"/>
      <c r="AA139" s="419"/>
      <c r="AB139" s="101"/>
      <c r="AC139" s="495" t="str">
        <f>IF(OR(P139="", Y139="Yes"),"", IF(P139='G-1 All Habitats'!$X$3,H139-S139-T139,"None"))</f>
        <v/>
      </c>
      <c r="AD139" s="496" t="str">
        <f>IF(P139="","", IF(P139='G-1 All Habitats'!$X$3, AC139*J139*L139*O139,"None"))</f>
        <v/>
      </c>
      <c r="AE139" s="20" t="str">
        <f t="shared" si="9"/>
        <v/>
      </c>
      <c r="AF139" s="25" t="str">
        <f t="shared" si="10"/>
        <v/>
      </c>
      <c r="AG139" s="25" t="str">
        <f t="shared" ref="AG139:AG202" si="12">IF(H139="","",IF(T139&gt;0,TRUE,FALSE))</f>
        <v/>
      </c>
      <c r="AH139" s="25" t="str">
        <f>IF(I139="","",IF(#REF!&gt;0,TRUE,FALSE))</f>
        <v/>
      </c>
      <c r="AI139" s="25">
        <v>129</v>
      </c>
      <c r="AJ139" s="25"/>
      <c r="AK139" s="25" t="str">
        <f t="array" ref="AK139">IFERROR(INDEX($AI$11:$AI$259, MATCH(0, IF(TRUE=$AF$11:$AF$259, COUNTIF($AK$10:$AK138, $AI$11:$AI$259), ""), 0)),"")</f>
        <v/>
      </c>
      <c r="AL139" s="25" t="str">
        <f t="array" ref="AL139">IFERROR(INDEX($AI$11:$AI$259, MATCH(0, IF(TRUE=$AG$11:$AG$259, COUNTIF($AL$10:$AL138, $AI$11:$AI$259), ""), 0)),"")</f>
        <v/>
      </c>
      <c r="AM139" s="25" t="str">
        <f t="array" ref="AM139">IFERROR(INDEX($AI$11:$AI$259, MATCH(0, IF(TRUE=$AH$11:$AH$259, COUNTIF($AM$10:$AM138, $AI$11:$AI$259), ""), 0)),"")</f>
        <v/>
      </c>
      <c r="AN139" s="25"/>
      <c r="AQ139" s="20">
        <f t="shared" si="11"/>
        <v>0</v>
      </c>
      <c r="AV139" s="540" t="str">
        <f>IFERROR(INDEX('G-1 All Habitats'!$B$3:$B$135,MATCH(F139,'G-1 All Habitats'!$A$3:$A$135,0)),"")</f>
        <v/>
      </c>
      <c r="AW139" s="20" t="str">
        <f>IF(AV139="","",VLOOKUP(AV139,'G-1 All Habitats'!$B$1:$T$135,19,FALSE))</f>
        <v/>
      </c>
    </row>
    <row r="140" spans="1:49" ht="14.5" thickBot="1" x14ac:dyDescent="0.35">
      <c r="A140" s="20" t="str">
        <f>IFERROR(INDEX('G-1 All Habitats'!$AG$3:$AG$17,MATCH(E140,'G-1 All Habitats'!$AF$3:$AF$17,0)),"")</f>
        <v/>
      </c>
      <c r="B140" s="20" t="str">
        <f>IFERROR(INDEX('G-8 Condition Look up'!$I$4:$I$135,MATCH(AV140,'G-8 Condition Look up'!$A$4:$A$135,0)),"")</f>
        <v/>
      </c>
      <c r="D140" s="238">
        <v>130</v>
      </c>
      <c r="E140" s="223"/>
      <c r="F140" s="45"/>
      <c r="G140" s="272"/>
      <c r="H140" s="37"/>
      <c r="I140" s="290" t="str">
        <f>IF(AV140="","",VLOOKUP(AV140,'G-1 All Habitats'!$B$2:$M$135,10,FALSE))</f>
        <v/>
      </c>
      <c r="J140" s="291" t="str">
        <f>IFERROR(VLOOKUP(I140,'G-1 All Habitats'!$V$3:$W$7,2,FALSE),"")</f>
        <v/>
      </c>
      <c r="K140" s="38"/>
      <c r="L140" s="291" t="str">
        <f>IFERROR(INDEX('G-8 Condition Look up'!$A$3:$H$135,MATCH(AV140,'G-8 Condition Look up'!$A$3:$A$135,0),MATCH(K140,'G-8 Condition Look up'!$A$3:$H$3,0)),"")</f>
        <v/>
      </c>
      <c r="M140" s="38"/>
      <c r="N140" s="310" t="str">
        <f>IF(M140="","",IF(VLOOKUP(M140,'G-3 Multipliers'!$L$3:$N$6,2,FALSE)=0,"Spatial Data Missing",VLOOKUP(M140,'G-3 Multipliers'!$L$3:$N$6,2,FALSE)))</f>
        <v/>
      </c>
      <c r="O140" s="296" t="str">
        <f>IF(M140="","",IF(VLOOKUP(M140,'G-3 Multipliers'!$L$3:$N$6,3,FALSE)=0,"Spatial Data Missing ▲",VLOOKUP(M140,'G-3 Multipliers'!$L$3:$N$6,3,FALSE)))</f>
        <v/>
      </c>
      <c r="P140" s="297" t="str">
        <f>(IF(G140="Yes","Bespoke compensation likely to be required 🛠",(IFERROR(VLOOKUP(AV140,'G-1 All Habitats'!$B$2:$M$135,12,FALSE),""))))</f>
        <v/>
      </c>
      <c r="Q140" s="304" t="str">
        <f>IFERROR(IF(AND(E140="Individual trees",T140&gt;0), "Error - you cannot enhance individual trees ▲", (IF(AND(U140="Irreplaceable habitat - no units generated ⚠",(S140+T140)&lt;H140, OR(Y140="No", Y140="")),"Any Loss Unacceptable ⚠", (IF(U140="Irreplaceable habitat - no units generated ⚠", T140*J140*L140*O140, IF(AND(P140='G-1 All Habitats'!$X$3, AC140&gt;0, S140&lt;=0, T140&lt;=0, OR(Y140="No", Y140="")),"Any Loss Unacceptable ⚠", IF(AND(P140='G-1 All Habitats'!$X$3, AC140&gt;0, S140&lt;=0, T140&lt;=0, Y140="Yes"), 0, (IF(AND(P140='G-1 All Habitats'!$X$3,(S140+T140)&lt;H140, OR(Y140="No", Y140="")),"Any Loss Unacceptable ⚠", (IF(P140="","",IF(AND(P140='G-1 All Habitats'!$X$3,T140&gt;0),U140+V140,IF(AND(P140='G-1 All Habitats'!$X$3,S140&gt;0),U140+V140,H140*J140*L140*O140))))))))))))),"Check Data ▲")</f>
        <v/>
      </c>
      <c r="R140" s="23"/>
      <c r="S140" s="38"/>
      <c r="T140" s="39"/>
      <c r="U140" s="302" t="str">
        <f t="shared" ref="U140:U203" si="13">IFERROR(IF(G140="Yes","Irreplaceable habitat - no units generated ⚠", (S140*J140*L140*O140)),"")</f>
        <v/>
      </c>
      <c r="V140" s="302" t="str">
        <f t="shared" ref="V140:V203" si="14">IFERROR(IF(AND(E140="Individual trees",T140&gt;0), "Error - ▲", (T140*J140*L140*O140)),"")</f>
        <v/>
      </c>
      <c r="W140" s="302" t="str">
        <f>IF(E140="","",IF(H140&lt;S140+T140,"Error in Areas ▲",IF(P140&lt;&gt;'G-1 All Habitats'!$X$3,H140-S140-T140,IF(AND(P140='G-1 All Habitats'!$X$3,Y140="No"),AC140,IF(AND(P140='G-1 All Habitats'!$X$3,Y140=""),AC140,IF(AND(P140='G-1 All Habitats'!$X$3,AC140="None"),AC140,IF(AND(P140='G-1 All Habitats'!$X$3,AC140&gt;0),H140-S140-T140)))))))</f>
        <v/>
      </c>
      <c r="X140" s="306" t="str">
        <f>IFERROR(IF(H140="","",IF(H140-S140-T140=0&lt;0,"Error in Areas ▲",IF(S140+T140&gt;H140,"Error in Areas ▲",IF(AND(P140='G-1 All Habitats'!$X$3,Y140="Yes"),"Alternative Compensation ✓",IF(W140=0,0,IF(P140='G-1 All Habitats'!$X$3,"Any Loss Unacceptable ▲",Q140-U140-V140)))))),"Check Data ▲")</f>
        <v/>
      </c>
      <c r="Y140" s="39"/>
      <c r="Z140" s="46"/>
      <c r="AA140" s="419"/>
      <c r="AB140" s="101"/>
      <c r="AC140" s="495" t="str">
        <f>IF(OR(P140="", Y140="Yes"),"", IF(P140='G-1 All Habitats'!$X$3,H140-S140-T140,"None"))</f>
        <v/>
      </c>
      <c r="AD140" s="496" t="str">
        <f>IF(P140="","", IF(P140='G-1 All Habitats'!$X$3, AC140*J140*L140*O140,"None"))</f>
        <v/>
      </c>
      <c r="AE140" s="20" t="str">
        <f t="shared" ref="AE140:AE203" si="15">IF(Y140="Yes","Yes ✓",IF(Y140="No","No ▲",""))</f>
        <v/>
      </c>
      <c r="AF140" s="25" t="str">
        <f t="shared" ref="AF140:AF203" si="16">IF(AV140="","",IF(S140&gt;0,TRUE,FALSE))</f>
        <v/>
      </c>
      <c r="AG140" s="25" t="str">
        <f t="shared" si="12"/>
        <v/>
      </c>
      <c r="AH140" s="25" t="str">
        <f>IF(I140="","",IF(#REF!&gt;0,TRUE,FALSE))</f>
        <v/>
      </c>
      <c r="AI140" s="25">
        <v>130</v>
      </c>
      <c r="AJ140" s="25"/>
      <c r="AK140" s="25" t="str">
        <f t="array" ref="AK140">IFERROR(INDEX($AI$11:$AI$259, MATCH(0, IF(TRUE=$AF$11:$AF$259, COUNTIF($AK$10:$AK139, $AI$11:$AI$259), ""), 0)),"")</f>
        <v/>
      </c>
      <c r="AL140" s="25" t="str">
        <f t="array" ref="AL140">IFERROR(INDEX($AI$11:$AI$259, MATCH(0, IF(TRUE=$AG$11:$AG$259, COUNTIF($AL$10:$AL139, $AI$11:$AI$259), ""), 0)),"")</f>
        <v/>
      </c>
      <c r="AM140" s="25" t="str">
        <f t="array" ref="AM140">IFERROR(INDEX($AI$11:$AI$259, MATCH(0, IF(TRUE=$AH$11:$AH$259, COUNTIF($AM$10:$AM139, $AI$11:$AI$259), ""), 0)),"")</f>
        <v/>
      </c>
      <c r="AN140" s="25"/>
      <c r="AQ140" s="20">
        <f t="shared" ref="AQ140:AQ203" si="17">IF(X140="Any Loss Unacceptable ▲",1,0)</f>
        <v>0</v>
      </c>
      <c r="AV140" s="540" t="str">
        <f>IFERROR(INDEX('G-1 All Habitats'!$B$3:$B$135,MATCH(F140,'G-1 All Habitats'!$A$3:$A$135,0)),"")</f>
        <v/>
      </c>
      <c r="AW140" s="20" t="str">
        <f>IF(AV140="","",VLOOKUP(AV140,'G-1 All Habitats'!$B$1:$T$135,19,FALSE))</f>
        <v/>
      </c>
    </row>
    <row r="141" spans="1:49" ht="14.5" thickBot="1" x14ac:dyDescent="0.35">
      <c r="A141" s="20" t="str">
        <f>IFERROR(INDEX('G-1 All Habitats'!$AG$3:$AG$17,MATCH(E141,'G-1 All Habitats'!$AF$3:$AF$17,0)),"")</f>
        <v/>
      </c>
      <c r="B141" s="20" t="str">
        <f>IFERROR(INDEX('G-8 Condition Look up'!$I$4:$I$135,MATCH(AV141,'G-8 Condition Look up'!$A$4:$A$135,0)),"")</f>
        <v/>
      </c>
      <c r="D141" s="238">
        <v>131</v>
      </c>
      <c r="E141" s="223"/>
      <c r="F141" s="45"/>
      <c r="G141" s="272"/>
      <c r="H141" s="37"/>
      <c r="I141" s="290" t="str">
        <f>IF(AV141="","",VLOOKUP(AV141,'G-1 All Habitats'!$B$2:$M$135,10,FALSE))</f>
        <v/>
      </c>
      <c r="J141" s="291" t="str">
        <f>IFERROR(VLOOKUP(I141,'G-1 All Habitats'!$V$3:$W$7,2,FALSE),"")</f>
        <v/>
      </c>
      <c r="K141" s="38"/>
      <c r="L141" s="291" t="str">
        <f>IFERROR(INDEX('G-8 Condition Look up'!$A$3:$H$135,MATCH(AV141,'G-8 Condition Look up'!$A$3:$A$135,0),MATCH(K141,'G-8 Condition Look up'!$A$3:$H$3,0)),"")</f>
        <v/>
      </c>
      <c r="M141" s="38"/>
      <c r="N141" s="310" t="str">
        <f>IF(M141="","",IF(VLOOKUP(M141,'G-3 Multipliers'!$L$3:$N$6,2,FALSE)=0,"Spatial Data Missing",VLOOKUP(M141,'G-3 Multipliers'!$L$3:$N$6,2,FALSE)))</f>
        <v/>
      </c>
      <c r="O141" s="296" t="str">
        <f>IF(M141="","",IF(VLOOKUP(M141,'G-3 Multipliers'!$L$3:$N$6,3,FALSE)=0,"Spatial Data Missing ▲",VLOOKUP(M141,'G-3 Multipliers'!$L$3:$N$6,3,FALSE)))</f>
        <v/>
      </c>
      <c r="P141" s="297" t="str">
        <f>(IF(G141="Yes","Bespoke compensation likely to be required 🛠",(IFERROR(VLOOKUP(AV141,'G-1 All Habitats'!$B$2:$M$135,12,FALSE),""))))</f>
        <v/>
      </c>
      <c r="Q141" s="304" t="str">
        <f>IFERROR(IF(AND(E141="Individual trees",T141&gt;0), "Error - you cannot enhance individual trees ▲", (IF(AND(U141="Irreplaceable habitat - no units generated ⚠",(S141+T141)&lt;H141, OR(Y141="No", Y141="")),"Any Loss Unacceptable ⚠", (IF(U141="Irreplaceable habitat - no units generated ⚠", T141*J141*L141*O141, IF(AND(P141='G-1 All Habitats'!$X$3, AC141&gt;0, S141&lt;=0, T141&lt;=0, OR(Y141="No", Y141="")),"Any Loss Unacceptable ⚠", IF(AND(P141='G-1 All Habitats'!$X$3, AC141&gt;0, S141&lt;=0, T141&lt;=0, Y141="Yes"), 0, (IF(AND(P141='G-1 All Habitats'!$X$3,(S141+T141)&lt;H141, OR(Y141="No", Y141="")),"Any Loss Unacceptable ⚠", (IF(P141="","",IF(AND(P141='G-1 All Habitats'!$X$3,T141&gt;0),U141+V141,IF(AND(P141='G-1 All Habitats'!$X$3,S141&gt;0),U141+V141,H141*J141*L141*O141))))))))))))),"Check Data ▲")</f>
        <v/>
      </c>
      <c r="R141" s="23"/>
      <c r="S141" s="38"/>
      <c r="T141" s="39"/>
      <c r="U141" s="302" t="str">
        <f t="shared" si="13"/>
        <v/>
      </c>
      <c r="V141" s="302" t="str">
        <f t="shared" si="14"/>
        <v/>
      </c>
      <c r="W141" s="302" t="str">
        <f>IF(E141="","",IF(H141&lt;S141+T141,"Error in Areas ▲",IF(P141&lt;&gt;'G-1 All Habitats'!$X$3,H141-S141-T141,IF(AND(P141='G-1 All Habitats'!$X$3,Y141="No"),AC141,IF(AND(P141='G-1 All Habitats'!$X$3,Y141=""),AC141,IF(AND(P141='G-1 All Habitats'!$X$3,AC141="None"),AC141,IF(AND(P141='G-1 All Habitats'!$X$3,AC141&gt;0),H141-S141-T141)))))))</f>
        <v/>
      </c>
      <c r="X141" s="306" t="str">
        <f>IFERROR(IF(H141="","",IF(H141-S141-T141=0&lt;0,"Error in Areas ▲",IF(S141+T141&gt;H141,"Error in Areas ▲",IF(AND(P141='G-1 All Habitats'!$X$3,Y141="Yes"),"Alternative Compensation ✓",IF(W141=0,0,IF(P141='G-1 All Habitats'!$X$3,"Any Loss Unacceptable ▲",Q141-U141-V141)))))),"Check Data ▲")</f>
        <v/>
      </c>
      <c r="Y141" s="39"/>
      <c r="Z141" s="46"/>
      <c r="AA141" s="419"/>
      <c r="AB141" s="101"/>
      <c r="AC141" s="495" t="str">
        <f>IF(OR(P141="", Y141="Yes"),"", IF(P141='G-1 All Habitats'!$X$3,H141-S141-T141,"None"))</f>
        <v/>
      </c>
      <c r="AD141" s="496" t="str">
        <f>IF(P141="","", IF(P141='G-1 All Habitats'!$X$3, AC141*J141*L141*O141,"None"))</f>
        <v/>
      </c>
      <c r="AE141" s="20" t="str">
        <f t="shared" si="15"/>
        <v/>
      </c>
      <c r="AF141" s="25" t="str">
        <f t="shared" si="16"/>
        <v/>
      </c>
      <c r="AG141" s="25" t="str">
        <f t="shared" si="12"/>
        <v/>
      </c>
      <c r="AH141" s="25" t="str">
        <f>IF(I141="","",IF(#REF!&gt;0,TRUE,FALSE))</f>
        <v/>
      </c>
      <c r="AI141" s="25">
        <v>131</v>
      </c>
      <c r="AJ141" s="25"/>
      <c r="AK141" s="25" t="str">
        <f t="array" ref="AK141">IFERROR(INDEX($AI$11:$AI$259, MATCH(0, IF(TRUE=$AF$11:$AF$259, COUNTIF($AK$10:$AK140, $AI$11:$AI$259), ""), 0)),"")</f>
        <v/>
      </c>
      <c r="AL141" s="25" t="str">
        <f t="array" ref="AL141">IFERROR(INDEX($AI$11:$AI$259, MATCH(0, IF(TRUE=$AG$11:$AG$259, COUNTIF($AL$10:$AL140, $AI$11:$AI$259), ""), 0)),"")</f>
        <v/>
      </c>
      <c r="AM141" s="25" t="str">
        <f t="array" ref="AM141">IFERROR(INDEX($AI$11:$AI$259, MATCH(0, IF(TRUE=$AH$11:$AH$259, COUNTIF($AM$10:$AM140, $AI$11:$AI$259), ""), 0)),"")</f>
        <v/>
      </c>
      <c r="AN141" s="25"/>
      <c r="AQ141" s="20">
        <f t="shared" si="17"/>
        <v>0</v>
      </c>
      <c r="AV141" s="540" t="str">
        <f>IFERROR(INDEX('G-1 All Habitats'!$B$3:$B$135,MATCH(F141,'G-1 All Habitats'!$A$3:$A$135,0)),"")</f>
        <v/>
      </c>
      <c r="AW141" s="20" t="str">
        <f>IF(AV141="","",VLOOKUP(AV141,'G-1 All Habitats'!$B$1:$T$135,19,FALSE))</f>
        <v/>
      </c>
    </row>
    <row r="142" spans="1:49" ht="14.5" thickBot="1" x14ac:dyDescent="0.35">
      <c r="A142" s="20" t="str">
        <f>IFERROR(INDEX('G-1 All Habitats'!$AG$3:$AG$17,MATCH(E142,'G-1 All Habitats'!$AF$3:$AF$17,0)),"")</f>
        <v/>
      </c>
      <c r="B142" s="20" t="str">
        <f>IFERROR(INDEX('G-8 Condition Look up'!$I$4:$I$135,MATCH(AV142,'G-8 Condition Look up'!$A$4:$A$135,0)),"")</f>
        <v/>
      </c>
      <c r="D142" s="238">
        <v>132</v>
      </c>
      <c r="E142" s="223"/>
      <c r="F142" s="45"/>
      <c r="G142" s="272"/>
      <c r="H142" s="37"/>
      <c r="I142" s="290" t="str">
        <f>IF(AV142="","",VLOOKUP(AV142,'G-1 All Habitats'!$B$2:$M$135,10,FALSE))</f>
        <v/>
      </c>
      <c r="J142" s="291" t="str">
        <f>IFERROR(VLOOKUP(I142,'G-1 All Habitats'!$V$3:$W$7,2,FALSE),"")</f>
        <v/>
      </c>
      <c r="K142" s="38"/>
      <c r="L142" s="291" t="str">
        <f>IFERROR(INDEX('G-8 Condition Look up'!$A$3:$H$135,MATCH(AV142,'G-8 Condition Look up'!$A$3:$A$135,0),MATCH(K142,'G-8 Condition Look up'!$A$3:$H$3,0)),"")</f>
        <v/>
      </c>
      <c r="M142" s="38"/>
      <c r="N142" s="310" t="str">
        <f>IF(M142="","",IF(VLOOKUP(M142,'G-3 Multipliers'!$L$3:$N$6,2,FALSE)=0,"Spatial Data Missing",VLOOKUP(M142,'G-3 Multipliers'!$L$3:$N$6,2,FALSE)))</f>
        <v/>
      </c>
      <c r="O142" s="296" t="str">
        <f>IF(M142="","",IF(VLOOKUP(M142,'G-3 Multipliers'!$L$3:$N$6,3,FALSE)=0,"Spatial Data Missing ▲",VLOOKUP(M142,'G-3 Multipliers'!$L$3:$N$6,3,FALSE)))</f>
        <v/>
      </c>
      <c r="P142" s="297" t="str">
        <f>(IF(G142="Yes","Bespoke compensation likely to be required 🛠",(IFERROR(VLOOKUP(AV142,'G-1 All Habitats'!$B$2:$M$135,12,FALSE),""))))</f>
        <v/>
      </c>
      <c r="Q142" s="304" t="str">
        <f>IFERROR(IF(AND(E142="Individual trees",T142&gt;0), "Error - you cannot enhance individual trees ▲", (IF(AND(U142="Irreplaceable habitat - no units generated ⚠",(S142+T142)&lt;H142, OR(Y142="No", Y142="")),"Any Loss Unacceptable ⚠", (IF(U142="Irreplaceable habitat - no units generated ⚠", T142*J142*L142*O142, IF(AND(P142='G-1 All Habitats'!$X$3, AC142&gt;0, S142&lt;=0, T142&lt;=0, OR(Y142="No", Y142="")),"Any Loss Unacceptable ⚠", IF(AND(P142='G-1 All Habitats'!$X$3, AC142&gt;0, S142&lt;=0, T142&lt;=0, Y142="Yes"), 0, (IF(AND(P142='G-1 All Habitats'!$X$3,(S142+T142)&lt;H142, OR(Y142="No", Y142="")),"Any Loss Unacceptable ⚠", (IF(P142="","",IF(AND(P142='G-1 All Habitats'!$X$3,T142&gt;0),U142+V142,IF(AND(P142='G-1 All Habitats'!$X$3,S142&gt;0),U142+V142,H142*J142*L142*O142))))))))))))),"Check Data ▲")</f>
        <v/>
      </c>
      <c r="R142" s="23"/>
      <c r="S142" s="38"/>
      <c r="T142" s="39"/>
      <c r="U142" s="302" t="str">
        <f t="shared" si="13"/>
        <v/>
      </c>
      <c r="V142" s="302" t="str">
        <f t="shared" si="14"/>
        <v/>
      </c>
      <c r="W142" s="302" t="str">
        <f>IF(E142="","",IF(H142&lt;S142+T142,"Error in Areas ▲",IF(P142&lt;&gt;'G-1 All Habitats'!$X$3,H142-S142-T142,IF(AND(P142='G-1 All Habitats'!$X$3,Y142="No"),AC142,IF(AND(P142='G-1 All Habitats'!$X$3,Y142=""),AC142,IF(AND(P142='G-1 All Habitats'!$X$3,AC142="None"),AC142,IF(AND(P142='G-1 All Habitats'!$X$3,AC142&gt;0),H142-S142-T142)))))))</f>
        <v/>
      </c>
      <c r="X142" s="306" t="str">
        <f>IFERROR(IF(H142="","",IF(H142-S142-T142=0&lt;0,"Error in Areas ▲",IF(S142+T142&gt;H142,"Error in Areas ▲",IF(AND(P142='G-1 All Habitats'!$X$3,Y142="Yes"),"Alternative Compensation ✓",IF(W142=0,0,IF(P142='G-1 All Habitats'!$X$3,"Any Loss Unacceptable ▲",Q142-U142-V142)))))),"Check Data ▲")</f>
        <v/>
      </c>
      <c r="Y142" s="39"/>
      <c r="Z142" s="46"/>
      <c r="AA142" s="419"/>
      <c r="AB142" s="101"/>
      <c r="AC142" s="495" t="str">
        <f>IF(OR(P142="", Y142="Yes"),"", IF(P142='G-1 All Habitats'!$X$3,H142-S142-T142,"None"))</f>
        <v/>
      </c>
      <c r="AD142" s="496" t="str">
        <f>IF(P142="","", IF(P142='G-1 All Habitats'!$X$3, AC142*J142*L142*O142,"None"))</f>
        <v/>
      </c>
      <c r="AE142" s="20" t="str">
        <f t="shared" si="15"/>
        <v/>
      </c>
      <c r="AF142" s="25" t="str">
        <f t="shared" si="16"/>
        <v/>
      </c>
      <c r="AG142" s="25" t="str">
        <f t="shared" si="12"/>
        <v/>
      </c>
      <c r="AH142" s="25" t="str">
        <f>IF(I142="","",IF(#REF!&gt;0,TRUE,FALSE))</f>
        <v/>
      </c>
      <c r="AI142" s="25">
        <v>132</v>
      </c>
      <c r="AJ142" s="25"/>
      <c r="AK142" s="25" t="str">
        <f t="array" ref="AK142">IFERROR(INDEX($AI$11:$AI$259, MATCH(0, IF(TRUE=$AF$11:$AF$259, COUNTIF($AK$10:$AK141, $AI$11:$AI$259), ""), 0)),"")</f>
        <v/>
      </c>
      <c r="AL142" s="25" t="str">
        <f t="array" ref="AL142">IFERROR(INDEX($AI$11:$AI$259, MATCH(0, IF(TRUE=$AG$11:$AG$259, COUNTIF($AL$10:$AL141, $AI$11:$AI$259), ""), 0)),"")</f>
        <v/>
      </c>
      <c r="AM142" s="25" t="str">
        <f t="array" ref="AM142">IFERROR(INDEX($AI$11:$AI$259, MATCH(0, IF(TRUE=$AH$11:$AH$259, COUNTIF($AM$10:$AM141, $AI$11:$AI$259), ""), 0)),"")</f>
        <v/>
      </c>
      <c r="AN142" s="25"/>
      <c r="AQ142" s="20">
        <f t="shared" si="17"/>
        <v>0</v>
      </c>
      <c r="AV142" s="540" t="str">
        <f>IFERROR(INDEX('G-1 All Habitats'!$B$3:$B$135,MATCH(F142,'G-1 All Habitats'!$A$3:$A$135,0)),"")</f>
        <v/>
      </c>
      <c r="AW142" s="20" t="str">
        <f>IF(AV142="","",VLOOKUP(AV142,'G-1 All Habitats'!$B$1:$T$135,19,FALSE))</f>
        <v/>
      </c>
    </row>
    <row r="143" spans="1:49" ht="14.5" thickBot="1" x14ac:dyDescent="0.35">
      <c r="A143" s="20" t="str">
        <f>IFERROR(INDEX('G-1 All Habitats'!$AG$3:$AG$17,MATCH(E143,'G-1 All Habitats'!$AF$3:$AF$17,0)),"")</f>
        <v/>
      </c>
      <c r="B143" s="20" t="str">
        <f>IFERROR(INDEX('G-8 Condition Look up'!$I$4:$I$135,MATCH(AV143,'G-8 Condition Look up'!$A$4:$A$135,0)),"")</f>
        <v/>
      </c>
      <c r="D143" s="238">
        <v>133</v>
      </c>
      <c r="E143" s="223"/>
      <c r="F143" s="45"/>
      <c r="G143" s="272"/>
      <c r="H143" s="37"/>
      <c r="I143" s="290" t="str">
        <f>IF(AV143="","",VLOOKUP(AV143,'G-1 All Habitats'!$B$2:$M$135,10,FALSE))</f>
        <v/>
      </c>
      <c r="J143" s="291" t="str">
        <f>IFERROR(VLOOKUP(I143,'G-1 All Habitats'!$V$3:$W$7,2,FALSE),"")</f>
        <v/>
      </c>
      <c r="K143" s="38"/>
      <c r="L143" s="291" t="str">
        <f>IFERROR(INDEX('G-8 Condition Look up'!$A$3:$H$135,MATCH(AV143,'G-8 Condition Look up'!$A$3:$A$135,0),MATCH(K143,'G-8 Condition Look up'!$A$3:$H$3,0)),"")</f>
        <v/>
      </c>
      <c r="M143" s="38"/>
      <c r="N143" s="310" t="str">
        <f>IF(M143="","",IF(VLOOKUP(M143,'G-3 Multipliers'!$L$3:$N$6,2,FALSE)=0,"Spatial Data Missing",VLOOKUP(M143,'G-3 Multipliers'!$L$3:$N$6,2,FALSE)))</f>
        <v/>
      </c>
      <c r="O143" s="296" t="str">
        <f>IF(M143="","",IF(VLOOKUP(M143,'G-3 Multipliers'!$L$3:$N$6,3,FALSE)=0,"Spatial Data Missing ▲",VLOOKUP(M143,'G-3 Multipliers'!$L$3:$N$6,3,FALSE)))</f>
        <v/>
      </c>
      <c r="P143" s="297" t="str">
        <f>(IF(G143="Yes","Bespoke compensation likely to be required 🛠",(IFERROR(VLOOKUP(AV143,'G-1 All Habitats'!$B$2:$M$135,12,FALSE),""))))</f>
        <v/>
      </c>
      <c r="Q143" s="304" t="str">
        <f>IFERROR(IF(AND(E143="Individual trees",T143&gt;0), "Error - you cannot enhance individual trees ▲", (IF(AND(U143="Irreplaceable habitat - no units generated ⚠",(S143+T143)&lt;H143, OR(Y143="No", Y143="")),"Any Loss Unacceptable ⚠", (IF(U143="Irreplaceable habitat - no units generated ⚠", T143*J143*L143*O143, IF(AND(P143='G-1 All Habitats'!$X$3, AC143&gt;0, S143&lt;=0, T143&lt;=0, OR(Y143="No", Y143="")),"Any Loss Unacceptable ⚠", IF(AND(P143='G-1 All Habitats'!$X$3, AC143&gt;0, S143&lt;=0, T143&lt;=0, Y143="Yes"), 0, (IF(AND(P143='G-1 All Habitats'!$X$3,(S143+T143)&lt;H143, OR(Y143="No", Y143="")),"Any Loss Unacceptable ⚠", (IF(P143="","",IF(AND(P143='G-1 All Habitats'!$X$3,T143&gt;0),U143+V143,IF(AND(P143='G-1 All Habitats'!$X$3,S143&gt;0),U143+V143,H143*J143*L143*O143))))))))))))),"Check Data ▲")</f>
        <v/>
      </c>
      <c r="R143" s="23"/>
      <c r="S143" s="38"/>
      <c r="T143" s="39"/>
      <c r="U143" s="302" t="str">
        <f t="shared" si="13"/>
        <v/>
      </c>
      <c r="V143" s="302" t="str">
        <f t="shared" si="14"/>
        <v/>
      </c>
      <c r="W143" s="302" t="str">
        <f>IF(E143="","",IF(H143&lt;S143+T143,"Error in Areas ▲",IF(P143&lt;&gt;'G-1 All Habitats'!$X$3,H143-S143-T143,IF(AND(P143='G-1 All Habitats'!$X$3,Y143="No"),AC143,IF(AND(P143='G-1 All Habitats'!$X$3,Y143=""),AC143,IF(AND(P143='G-1 All Habitats'!$X$3,AC143="None"),AC143,IF(AND(P143='G-1 All Habitats'!$X$3,AC143&gt;0),H143-S143-T143)))))))</f>
        <v/>
      </c>
      <c r="X143" s="306" t="str">
        <f>IFERROR(IF(H143="","",IF(H143-S143-T143=0&lt;0,"Error in Areas ▲",IF(S143+T143&gt;H143,"Error in Areas ▲",IF(AND(P143='G-1 All Habitats'!$X$3,Y143="Yes"),"Alternative Compensation ✓",IF(W143=0,0,IF(P143='G-1 All Habitats'!$X$3,"Any Loss Unacceptable ▲",Q143-U143-V143)))))),"Check Data ▲")</f>
        <v/>
      </c>
      <c r="Y143" s="39"/>
      <c r="Z143" s="46"/>
      <c r="AA143" s="419"/>
      <c r="AB143" s="101"/>
      <c r="AC143" s="495" t="str">
        <f>IF(OR(P143="", Y143="Yes"),"", IF(P143='G-1 All Habitats'!$X$3,H143-S143-T143,"None"))</f>
        <v/>
      </c>
      <c r="AD143" s="496" t="str">
        <f>IF(P143="","", IF(P143='G-1 All Habitats'!$X$3, AC143*J143*L143*O143,"None"))</f>
        <v/>
      </c>
      <c r="AE143" s="20" t="str">
        <f t="shared" si="15"/>
        <v/>
      </c>
      <c r="AF143" s="25" t="str">
        <f t="shared" si="16"/>
        <v/>
      </c>
      <c r="AG143" s="25" t="str">
        <f t="shared" si="12"/>
        <v/>
      </c>
      <c r="AH143" s="25" t="str">
        <f>IF(I143="","",IF(#REF!&gt;0,TRUE,FALSE))</f>
        <v/>
      </c>
      <c r="AI143" s="25">
        <v>133</v>
      </c>
      <c r="AJ143" s="25"/>
      <c r="AK143" s="25" t="str">
        <f t="array" ref="AK143">IFERROR(INDEX($AI$11:$AI$259, MATCH(0, IF(TRUE=$AF$11:$AF$259, COUNTIF($AK$10:$AK142, $AI$11:$AI$259), ""), 0)),"")</f>
        <v/>
      </c>
      <c r="AL143" s="25" t="str">
        <f t="array" ref="AL143">IFERROR(INDEX($AI$11:$AI$259, MATCH(0, IF(TRUE=$AG$11:$AG$259, COUNTIF($AL$10:$AL142, $AI$11:$AI$259), ""), 0)),"")</f>
        <v/>
      </c>
      <c r="AM143" s="25" t="str">
        <f t="array" ref="AM143">IFERROR(INDEX($AI$11:$AI$259, MATCH(0, IF(TRUE=$AH$11:$AH$259, COUNTIF($AM$10:$AM142, $AI$11:$AI$259), ""), 0)),"")</f>
        <v/>
      </c>
      <c r="AN143" s="25"/>
      <c r="AQ143" s="20">
        <f t="shared" si="17"/>
        <v>0</v>
      </c>
      <c r="AV143" s="540" t="str">
        <f>IFERROR(INDEX('G-1 All Habitats'!$B$3:$B$135,MATCH(F143,'G-1 All Habitats'!$A$3:$A$135,0)),"")</f>
        <v/>
      </c>
      <c r="AW143" s="20" t="str">
        <f>IF(AV143="","",VLOOKUP(AV143,'G-1 All Habitats'!$B$1:$T$135,19,FALSE))</f>
        <v/>
      </c>
    </row>
    <row r="144" spans="1:49" ht="14.5" thickBot="1" x14ac:dyDescent="0.35">
      <c r="A144" s="20" t="str">
        <f>IFERROR(INDEX('G-1 All Habitats'!$AG$3:$AG$17,MATCH(E144,'G-1 All Habitats'!$AF$3:$AF$17,0)),"")</f>
        <v/>
      </c>
      <c r="B144" s="20" t="str">
        <f>IFERROR(INDEX('G-8 Condition Look up'!$I$4:$I$135,MATCH(AV144,'G-8 Condition Look up'!$A$4:$A$135,0)),"")</f>
        <v/>
      </c>
      <c r="D144" s="238">
        <v>134</v>
      </c>
      <c r="E144" s="223"/>
      <c r="F144" s="45"/>
      <c r="G144" s="272"/>
      <c r="H144" s="37"/>
      <c r="I144" s="290" t="str">
        <f>IF(AV144="","",VLOOKUP(AV144,'G-1 All Habitats'!$B$2:$M$135,10,FALSE))</f>
        <v/>
      </c>
      <c r="J144" s="291" t="str">
        <f>IFERROR(VLOOKUP(I144,'G-1 All Habitats'!$V$3:$W$7,2,FALSE),"")</f>
        <v/>
      </c>
      <c r="K144" s="38"/>
      <c r="L144" s="291" t="str">
        <f>IFERROR(INDEX('G-8 Condition Look up'!$A$3:$H$135,MATCH(AV144,'G-8 Condition Look up'!$A$3:$A$135,0),MATCH(K144,'G-8 Condition Look up'!$A$3:$H$3,0)),"")</f>
        <v/>
      </c>
      <c r="M144" s="38"/>
      <c r="N144" s="310" t="str">
        <f>IF(M144="","",IF(VLOOKUP(M144,'G-3 Multipliers'!$L$3:$N$6,2,FALSE)=0,"Spatial Data Missing",VLOOKUP(M144,'G-3 Multipliers'!$L$3:$N$6,2,FALSE)))</f>
        <v/>
      </c>
      <c r="O144" s="296" t="str">
        <f>IF(M144="","",IF(VLOOKUP(M144,'G-3 Multipliers'!$L$3:$N$6,3,FALSE)=0,"Spatial Data Missing ▲",VLOOKUP(M144,'G-3 Multipliers'!$L$3:$N$6,3,FALSE)))</f>
        <v/>
      </c>
      <c r="P144" s="297" t="str">
        <f>(IF(G144="Yes","Bespoke compensation likely to be required 🛠",(IFERROR(VLOOKUP(AV144,'G-1 All Habitats'!$B$2:$M$135,12,FALSE),""))))</f>
        <v/>
      </c>
      <c r="Q144" s="304" t="str">
        <f>IFERROR(IF(AND(E144="Individual trees",T144&gt;0), "Error - you cannot enhance individual trees ▲", (IF(AND(U144="Irreplaceable habitat - no units generated ⚠",(S144+T144)&lt;H144, OR(Y144="No", Y144="")),"Any Loss Unacceptable ⚠", (IF(U144="Irreplaceable habitat - no units generated ⚠", T144*J144*L144*O144, IF(AND(P144='G-1 All Habitats'!$X$3, AC144&gt;0, S144&lt;=0, T144&lt;=0, OR(Y144="No", Y144="")),"Any Loss Unacceptable ⚠", IF(AND(P144='G-1 All Habitats'!$X$3, AC144&gt;0, S144&lt;=0, T144&lt;=0, Y144="Yes"), 0, (IF(AND(P144='G-1 All Habitats'!$X$3,(S144+T144)&lt;H144, OR(Y144="No", Y144="")),"Any Loss Unacceptable ⚠", (IF(P144="","",IF(AND(P144='G-1 All Habitats'!$X$3,T144&gt;0),U144+V144,IF(AND(P144='G-1 All Habitats'!$X$3,S144&gt;0),U144+V144,H144*J144*L144*O144))))))))))))),"Check Data ▲")</f>
        <v/>
      </c>
      <c r="R144" s="23"/>
      <c r="S144" s="38"/>
      <c r="T144" s="39"/>
      <c r="U144" s="302" t="str">
        <f t="shared" si="13"/>
        <v/>
      </c>
      <c r="V144" s="302" t="str">
        <f t="shared" si="14"/>
        <v/>
      </c>
      <c r="W144" s="302" t="str">
        <f>IF(E144="","",IF(H144&lt;S144+T144,"Error in Areas ▲",IF(P144&lt;&gt;'G-1 All Habitats'!$X$3,H144-S144-T144,IF(AND(P144='G-1 All Habitats'!$X$3,Y144="No"),AC144,IF(AND(P144='G-1 All Habitats'!$X$3,Y144=""),AC144,IF(AND(P144='G-1 All Habitats'!$X$3,AC144="None"),AC144,IF(AND(P144='G-1 All Habitats'!$X$3,AC144&gt;0),H144-S144-T144)))))))</f>
        <v/>
      </c>
      <c r="X144" s="306" t="str">
        <f>IFERROR(IF(H144="","",IF(H144-S144-T144=0&lt;0,"Error in Areas ▲",IF(S144+T144&gt;H144,"Error in Areas ▲",IF(AND(P144='G-1 All Habitats'!$X$3,Y144="Yes"),"Alternative Compensation ✓",IF(W144=0,0,IF(P144='G-1 All Habitats'!$X$3,"Any Loss Unacceptable ▲",Q144-U144-V144)))))),"Check Data ▲")</f>
        <v/>
      </c>
      <c r="Y144" s="39"/>
      <c r="Z144" s="46"/>
      <c r="AA144" s="419"/>
      <c r="AB144" s="101"/>
      <c r="AC144" s="495" t="str">
        <f>IF(OR(P144="", Y144="Yes"),"", IF(P144='G-1 All Habitats'!$X$3,H144-S144-T144,"None"))</f>
        <v/>
      </c>
      <c r="AD144" s="496" t="str">
        <f>IF(P144="","", IF(P144='G-1 All Habitats'!$X$3, AC144*J144*L144*O144,"None"))</f>
        <v/>
      </c>
      <c r="AE144" s="20" t="str">
        <f t="shared" si="15"/>
        <v/>
      </c>
      <c r="AF144" s="25" t="str">
        <f t="shared" si="16"/>
        <v/>
      </c>
      <c r="AG144" s="25" t="str">
        <f t="shared" si="12"/>
        <v/>
      </c>
      <c r="AH144" s="25" t="str">
        <f>IF(I144="","",IF(#REF!&gt;0,TRUE,FALSE))</f>
        <v/>
      </c>
      <c r="AI144" s="25">
        <v>134</v>
      </c>
      <c r="AJ144" s="25"/>
      <c r="AK144" s="25" t="str">
        <f t="array" ref="AK144">IFERROR(INDEX($AI$11:$AI$259, MATCH(0, IF(TRUE=$AF$11:$AF$259, COUNTIF($AK$10:$AK143, $AI$11:$AI$259), ""), 0)),"")</f>
        <v/>
      </c>
      <c r="AL144" s="25" t="str">
        <f t="array" ref="AL144">IFERROR(INDEX($AI$11:$AI$259, MATCH(0, IF(TRUE=$AG$11:$AG$259, COUNTIF($AL$10:$AL143, $AI$11:$AI$259), ""), 0)),"")</f>
        <v/>
      </c>
      <c r="AM144" s="25" t="str">
        <f t="array" ref="AM144">IFERROR(INDEX($AI$11:$AI$259, MATCH(0, IF(TRUE=$AH$11:$AH$259, COUNTIF($AM$10:$AM143, $AI$11:$AI$259), ""), 0)),"")</f>
        <v/>
      </c>
      <c r="AN144" s="25"/>
      <c r="AQ144" s="20">
        <f t="shared" si="17"/>
        <v>0</v>
      </c>
      <c r="AV144" s="540" t="str">
        <f>IFERROR(INDEX('G-1 All Habitats'!$B$3:$B$135,MATCH(F144,'G-1 All Habitats'!$A$3:$A$135,0)),"")</f>
        <v/>
      </c>
      <c r="AW144" s="20" t="str">
        <f>IF(AV144="","",VLOOKUP(AV144,'G-1 All Habitats'!$B$1:$T$135,19,FALSE))</f>
        <v/>
      </c>
    </row>
    <row r="145" spans="1:49" ht="14.5" thickBot="1" x14ac:dyDescent="0.35">
      <c r="A145" s="20" t="str">
        <f>IFERROR(INDEX('G-1 All Habitats'!$AG$3:$AG$17,MATCH(E145,'G-1 All Habitats'!$AF$3:$AF$17,0)),"")</f>
        <v/>
      </c>
      <c r="B145" s="20" t="str">
        <f>IFERROR(INDEX('G-8 Condition Look up'!$I$4:$I$135,MATCH(AV145,'G-8 Condition Look up'!$A$4:$A$135,0)),"")</f>
        <v/>
      </c>
      <c r="D145" s="238">
        <v>135</v>
      </c>
      <c r="E145" s="223"/>
      <c r="F145" s="45"/>
      <c r="G145" s="272"/>
      <c r="H145" s="37"/>
      <c r="I145" s="290" t="str">
        <f>IF(AV145="","",VLOOKUP(AV145,'G-1 All Habitats'!$B$2:$M$135,10,FALSE))</f>
        <v/>
      </c>
      <c r="J145" s="291" t="str">
        <f>IFERROR(VLOOKUP(I145,'G-1 All Habitats'!$V$3:$W$7,2,FALSE),"")</f>
        <v/>
      </c>
      <c r="K145" s="38"/>
      <c r="L145" s="291" t="str">
        <f>IFERROR(INDEX('G-8 Condition Look up'!$A$3:$H$135,MATCH(AV145,'G-8 Condition Look up'!$A$3:$A$135,0),MATCH(K145,'G-8 Condition Look up'!$A$3:$H$3,0)),"")</f>
        <v/>
      </c>
      <c r="M145" s="38"/>
      <c r="N145" s="310" t="str">
        <f>IF(M145="","",IF(VLOOKUP(M145,'G-3 Multipliers'!$L$3:$N$6,2,FALSE)=0,"Spatial Data Missing",VLOOKUP(M145,'G-3 Multipliers'!$L$3:$N$6,2,FALSE)))</f>
        <v/>
      </c>
      <c r="O145" s="296" t="str">
        <f>IF(M145="","",IF(VLOOKUP(M145,'G-3 Multipliers'!$L$3:$N$6,3,FALSE)=0,"Spatial Data Missing ▲",VLOOKUP(M145,'G-3 Multipliers'!$L$3:$N$6,3,FALSE)))</f>
        <v/>
      </c>
      <c r="P145" s="297" t="str">
        <f>(IF(G145="Yes","Bespoke compensation likely to be required 🛠",(IFERROR(VLOOKUP(AV145,'G-1 All Habitats'!$B$2:$M$135,12,FALSE),""))))</f>
        <v/>
      </c>
      <c r="Q145" s="304" t="str">
        <f>IFERROR(IF(AND(E145="Individual trees",T145&gt;0), "Error - you cannot enhance individual trees ▲", (IF(AND(U145="Irreplaceable habitat - no units generated ⚠",(S145+T145)&lt;H145, OR(Y145="No", Y145="")),"Any Loss Unacceptable ⚠", (IF(U145="Irreplaceable habitat - no units generated ⚠", T145*J145*L145*O145, IF(AND(P145='G-1 All Habitats'!$X$3, AC145&gt;0, S145&lt;=0, T145&lt;=0, OR(Y145="No", Y145="")),"Any Loss Unacceptable ⚠", IF(AND(P145='G-1 All Habitats'!$X$3, AC145&gt;0, S145&lt;=0, T145&lt;=0, Y145="Yes"), 0, (IF(AND(P145='G-1 All Habitats'!$X$3,(S145+T145)&lt;H145, OR(Y145="No", Y145="")),"Any Loss Unacceptable ⚠", (IF(P145="","",IF(AND(P145='G-1 All Habitats'!$X$3,T145&gt;0),U145+V145,IF(AND(P145='G-1 All Habitats'!$X$3,S145&gt;0),U145+V145,H145*J145*L145*O145))))))))))))),"Check Data ▲")</f>
        <v/>
      </c>
      <c r="R145" s="23"/>
      <c r="S145" s="38"/>
      <c r="T145" s="39"/>
      <c r="U145" s="302" t="str">
        <f t="shared" si="13"/>
        <v/>
      </c>
      <c r="V145" s="302" t="str">
        <f t="shared" si="14"/>
        <v/>
      </c>
      <c r="W145" s="302" t="str">
        <f>IF(E145="","",IF(H145&lt;S145+T145,"Error in Areas ▲",IF(P145&lt;&gt;'G-1 All Habitats'!$X$3,H145-S145-T145,IF(AND(P145='G-1 All Habitats'!$X$3,Y145="No"),AC145,IF(AND(P145='G-1 All Habitats'!$X$3,Y145=""),AC145,IF(AND(P145='G-1 All Habitats'!$X$3,AC145="None"),AC145,IF(AND(P145='G-1 All Habitats'!$X$3,AC145&gt;0),H145-S145-T145)))))))</f>
        <v/>
      </c>
      <c r="X145" s="306" t="str">
        <f>IFERROR(IF(H145="","",IF(H145-S145-T145=0&lt;0,"Error in Areas ▲",IF(S145+T145&gt;H145,"Error in Areas ▲",IF(AND(P145='G-1 All Habitats'!$X$3,Y145="Yes"),"Alternative Compensation ✓",IF(W145=0,0,IF(P145='G-1 All Habitats'!$X$3,"Any Loss Unacceptable ▲",Q145-U145-V145)))))),"Check Data ▲")</f>
        <v/>
      </c>
      <c r="Y145" s="39"/>
      <c r="Z145" s="46"/>
      <c r="AA145" s="419"/>
      <c r="AB145" s="101"/>
      <c r="AC145" s="495" t="str">
        <f>IF(OR(P145="", Y145="Yes"),"", IF(P145='G-1 All Habitats'!$X$3,H145-S145-T145,"None"))</f>
        <v/>
      </c>
      <c r="AD145" s="496" t="str">
        <f>IF(P145="","", IF(P145='G-1 All Habitats'!$X$3, AC145*J145*L145*O145,"None"))</f>
        <v/>
      </c>
      <c r="AE145" s="20" t="str">
        <f t="shared" si="15"/>
        <v/>
      </c>
      <c r="AF145" s="25" t="str">
        <f t="shared" si="16"/>
        <v/>
      </c>
      <c r="AG145" s="25" t="str">
        <f t="shared" si="12"/>
        <v/>
      </c>
      <c r="AH145" s="25" t="str">
        <f>IF(I145="","",IF(#REF!&gt;0,TRUE,FALSE))</f>
        <v/>
      </c>
      <c r="AI145" s="25">
        <v>135</v>
      </c>
      <c r="AJ145" s="25"/>
      <c r="AK145" s="25" t="str">
        <f t="array" ref="AK145">IFERROR(INDEX($AI$11:$AI$259, MATCH(0, IF(TRUE=$AF$11:$AF$259, COUNTIF($AK$10:$AK144, $AI$11:$AI$259), ""), 0)),"")</f>
        <v/>
      </c>
      <c r="AL145" s="25" t="str">
        <f t="array" ref="AL145">IFERROR(INDEX($AI$11:$AI$259, MATCH(0, IF(TRUE=$AG$11:$AG$259, COUNTIF($AL$10:$AL144, $AI$11:$AI$259), ""), 0)),"")</f>
        <v/>
      </c>
      <c r="AM145" s="25" t="str">
        <f t="array" ref="AM145">IFERROR(INDEX($AI$11:$AI$259, MATCH(0, IF(TRUE=$AH$11:$AH$259, COUNTIF($AM$10:$AM144, $AI$11:$AI$259), ""), 0)),"")</f>
        <v/>
      </c>
      <c r="AN145" s="25"/>
      <c r="AQ145" s="20">
        <f t="shared" si="17"/>
        <v>0</v>
      </c>
      <c r="AV145" s="540" t="str">
        <f>IFERROR(INDEX('G-1 All Habitats'!$B$3:$B$135,MATCH(F145,'G-1 All Habitats'!$A$3:$A$135,0)),"")</f>
        <v/>
      </c>
      <c r="AW145" s="20" t="str">
        <f>IF(AV145="","",VLOOKUP(AV145,'G-1 All Habitats'!$B$1:$T$135,19,FALSE))</f>
        <v/>
      </c>
    </row>
    <row r="146" spans="1:49" ht="14.5" thickBot="1" x14ac:dyDescent="0.35">
      <c r="A146" s="20" t="str">
        <f>IFERROR(INDEX('G-1 All Habitats'!$AG$3:$AG$17,MATCH(E146,'G-1 All Habitats'!$AF$3:$AF$17,0)),"")</f>
        <v/>
      </c>
      <c r="B146" s="20" t="str">
        <f>IFERROR(INDEX('G-8 Condition Look up'!$I$4:$I$135,MATCH(AV146,'G-8 Condition Look up'!$A$4:$A$135,0)),"")</f>
        <v/>
      </c>
      <c r="D146" s="238">
        <v>136</v>
      </c>
      <c r="E146" s="223"/>
      <c r="F146" s="45"/>
      <c r="G146" s="272"/>
      <c r="H146" s="37"/>
      <c r="I146" s="290" t="str">
        <f>IF(AV146="","",VLOOKUP(AV146,'G-1 All Habitats'!$B$2:$M$135,10,FALSE))</f>
        <v/>
      </c>
      <c r="J146" s="291" t="str">
        <f>IFERROR(VLOOKUP(I146,'G-1 All Habitats'!$V$3:$W$7,2,FALSE),"")</f>
        <v/>
      </c>
      <c r="K146" s="38"/>
      <c r="L146" s="291" t="str">
        <f>IFERROR(INDEX('G-8 Condition Look up'!$A$3:$H$135,MATCH(AV146,'G-8 Condition Look up'!$A$3:$A$135,0),MATCH(K146,'G-8 Condition Look up'!$A$3:$H$3,0)),"")</f>
        <v/>
      </c>
      <c r="M146" s="38"/>
      <c r="N146" s="310" t="str">
        <f>IF(M146="","",IF(VLOOKUP(M146,'G-3 Multipliers'!$L$3:$N$6,2,FALSE)=0,"Spatial Data Missing",VLOOKUP(M146,'G-3 Multipliers'!$L$3:$N$6,2,FALSE)))</f>
        <v/>
      </c>
      <c r="O146" s="296" t="str">
        <f>IF(M146="","",IF(VLOOKUP(M146,'G-3 Multipliers'!$L$3:$N$6,3,FALSE)=0,"Spatial Data Missing ▲",VLOOKUP(M146,'G-3 Multipliers'!$L$3:$N$6,3,FALSE)))</f>
        <v/>
      </c>
      <c r="P146" s="297" t="str">
        <f>(IF(G146="Yes","Bespoke compensation likely to be required 🛠",(IFERROR(VLOOKUP(AV146,'G-1 All Habitats'!$B$2:$M$135,12,FALSE),""))))</f>
        <v/>
      </c>
      <c r="Q146" s="304" t="str">
        <f>IFERROR(IF(AND(E146="Individual trees",T146&gt;0), "Error - you cannot enhance individual trees ▲", (IF(AND(U146="Irreplaceable habitat - no units generated ⚠",(S146+T146)&lt;H146, OR(Y146="No", Y146="")),"Any Loss Unacceptable ⚠", (IF(U146="Irreplaceable habitat - no units generated ⚠", T146*J146*L146*O146, IF(AND(P146='G-1 All Habitats'!$X$3, AC146&gt;0, S146&lt;=0, T146&lt;=0, OR(Y146="No", Y146="")),"Any Loss Unacceptable ⚠", IF(AND(P146='G-1 All Habitats'!$X$3, AC146&gt;0, S146&lt;=0, T146&lt;=0, Y146="Yes"), 0, (IF(AND(P146='G-1 All Habitats'!$X$3,(S146+T146)&lt;H146, OR(Y146="No", Y146="")),"Any Loss Unacceptable ⚠", (IF(P146="","",IF(AND(P146='G-1 All Habitats'!$X$3,T146&gt;0),U146+V146,IF(AND(P146='G-1 All Habitats'!$X$3,S146&gt;0),U146+V146,H146*J146*L146*O146))))))))))))),"Check Data ▲")</f>
        <v/>
      </c>
      <c r="R146" s="23"/>
      <c r="S146" s="38"/>
      <c r="T146" s="39"/>
      <c r="U146" s="302" t="str">
        <f t="shared" si="13"/>
        <v/>
      </c>
      <c r="V146" s="302" t="str">
        <f t="shared" si="14"/>
        <v/>
      </c>
      <c r="W146" s="302" t="str">
        <f>IF(E146="","",IF(H146&lt;S146+T146,"Error in Areas ▲",IF(P146&lt;&gt;'G-1 All Habitats'!$X$3,H146-S146-T146,IF(AND(P146='G-1 All Habitats'!$X$3,Y146="No"),AC146,IF(AND(P146='G-1 All Habitats'!$X$3,Y146=""),AC146,IF(AND(P146='G-1 All Habitats'!$X$3,AC146="None"),AC146,IF(AND(P146='G-1 All Habitats'!$X$3,AC146&gt;0),H146-S146-T146)))))))</f>
        <v/>
      </c>
      <c r="X146" s="306" t="str">
        <f>IFERROR(IF(H146="","",IF(H146-S146-T146=0&lt;0,"Error in Areas ▲",IF(S146+T146&gt;H146,"Error in Areas ▲",IF(AND(P146='G-1 All Habitats'!$X$3,Y146="Yes"),"Alternative Compensation ✓",IF(W146=0,0,IF(P146='G-1 All Habitats'!$X$3,"Any Loss Unacceptable ▲",Q146-U146-V146)))))),"Check Data ▲")</f>
        <v/>
      </c>
      <c r="Y146" s="39"/>
      <c r="Z146" s="46"/>
      <c r="AA146" s="419"/>
      <c r="AB146" s="101"/>
      <c r="AC146" s="495" t="str">
        <f>IF(OR(P146="", Y146="Yes"),"", IF(P146='G-1 All Habitats'!$X$3,H146-S146-T146,"None"))</f>
        <v/>
      </c>
      <c r="AD146" s="496" t="str">
        <f>IF(P146="","", IF(P146='G-1 All Habitats'!$X$3, AC146*J146*L146*O146,"None"))</f>
        <v/>
      </c>
      <c r="AE146" s="20" t="str">
        <f t="shared" si="15"/>
        <v/>
      </c>
      <c r="AF146" s="25" t="str">
        <f t="shared" si="16"/>
        <v/>
      </c>
      <c r="AG146" s="25" t="str">
        <f t="shared" si="12"/>
        <v/>
      </c>
      <c r="AH146" s="25" t="str">
        <f>IF(I146="","",IF(#REF!&gt;0,TRUE,FALSE))</f>
        <v/>
      </c>
      <c r="AI146" s="25">
        <v>136</v>
      </c>
      <c r="AJ146" s="25"/>
      <c r="AK146" s="25" t="str">
        <f t="array" ref="AK146">IFERROR(INDEX($AI$11:$AI$259, MATCH(0, IF(TRUE=$AF$11:$AF$259, COUNTIF($AK$10:$AK145, $AI$11:$AI$259), ""), 0)),"")</f>
        <v/>
      </c>
      <c r="AL146" s="25" t="str">
        <f t="array" ref="AL146">IFERROR(INDEX($AI$11:$AI$259, MATCH(0, IF(TRUE=$AG$11:$AG$259, COUNTIF($AL$10:$AL145, $AI$11:$AI$259), ""), 0)),"")</f>
        <v/>
      </c>
      <c r="AM146" s="25" t="str">
        <f t="array" ref="AM146">IFERROR(INDEX($AI$11:$AI$259, MATCH(0, IF(TRUE=$AH$11:$AH$259, COUNTIF($AM$10:$AM145, $AI$11:$AI$259), ""), 0)),"")</f>
        <v/>
      </c>
      <c r="AN146" s="25"/>
      <c r="AQ146" s="20">
        <f t="shared" si="17"/>
        <v>0</v>
      </c>
      <c r="AV146" s="540" t="str">
        <f>IFERROR(INDEX('G-1 All Habitats'!$B$3:$B$135,MATCH(F146,'G-1 All Habitats'!$A$3:$A$135,0)),"")</f>
        <v/>
      </c>
      <c r="AW146" s="20" t="str">
        <f>IF(AV146="","",VLOOKUP(AV146,'G-1 All Habitats'!$B$1:$T$135,19,FALSE))</f>
        <v/>
      </c>
    </row>
    <row r="147" spans="1:49" ht="14.5" thickBot="1" x14ac:dyDescent="0.35">
      <c r="A147" s="20" t="str">
        <f>IFERROR(INDEX('G-1 All Habitats'!$AG$3:$AG$17,MATCH(E147,'G-1 All Habitats'!$AF$3:$AF$17,0)),"")</f>
        <v/>
      </c>
      <c r="B147" s="20" t="str">
        <f>IFERROR(INDEX('G-8 Condition Look up'!$I$4:$I$135,MATCH(AV147,'G-8 Condition Look up'!$A$4:$A$135,0)),"")</f>
        <v/>
      </c>
      <c r="D147" s="238">
        <v>137</v>
      </c>
      <c r="E147" s="223"/>
      <c r="F147" s="45"/>
      <c r="G147" s="272"/>
      <c r="H147" s="37"/>
      <c r="I147" s="290" t="str">
        <f>IF(AV147="","",VLOOKUP(AV147,'G-1 All Habitats'!$B$2:$M$135,10,FALSE))</f>
        <v/>
      </c>
      <c r="J147" s="291" t="str">
        <f>IFERROR(VLOOKUP(I147,'G-1 All Habitats'!$V$3:$W$7,2,FALSE),"")</f>
        <v/>
      </c>
      <c r="K147" s="38"/>
      <c r="L147" s="291" t="str">
        <f>IFERROR(INDEX('G-8 Condition Look up'!$A$3:$H$135,MATCH(AV147,'G-8 Condition Look up'!$A$3:$A$135,0),MATCH(K147,'G-8 Condition Look up'!$A$3:$H$3,0)),"")</f>
        <v/>
      </c>
      <c r="M147" s="38"/>
      <c r="N147" s="310" t="str">
        <f>IF(M147="","",IF(VLOOKUP(M147,'G-3 Multipliers'!$L$3:$N$6,2,FALSE)=0,"Spatial Data Missing",VLOOKUP(M147,'G-3 Multipliers'!$L$3:$N$6,2,FALSE)))</f>
        <v/>
      </c>
      <c r="O147" s="296" t="str">
        <f>IF(M147="","",IF(VLOOKUP(M147,'G-3 Multipliers'!$L$3:$N$6,3,FALSE)=0,"Spatial Data Missing ▲",VLOOKUP(M147,'G-3 Multipliers'!$L$3:$N$6,3,FALSE)))</f>
        <v/>
      </c>
      <c r="P147" s="297" t="str">
        <f>(IF(G147="Yes","Bespoke compensation likely to be required 🛠",(IFERROR(VLOOKUP(AV147,'G-1 All Habitats'!$B$2:$M$135,12,FALSE),""))))</f>
        <v/>
      </c>
      <c r="Q147" s="304" t="str">
        <f>IFERROR(IF(AND(E147="Individual trees",T147&gt;0), "Error - you cannot enhance individual trees ▲", (IF(AND(U147="Irreplaceable habitat - no units generated ⚠",(S147+T147)&lt;H147, OR(Y147="No", Y147="")),"Any Loss Unacceptable ⚠", (IF(U147="Irreplaceable habitat - no units generated ⚠", T147*J147*L147*O147, IF(AND(P147='G-1 All Habitats'!$X$3, AC147&gt;0, S147&lt;=0, T147&lt;=0, OR(Y147="No", Y147="")),"Any Loss Unacceptable ⚠", IF(AND(P147='G-1 All Habitats'!$X$3, AC147&gt;0, S147&lt;=0, T147&lt;=0, Y147="Yes"), 0, (IF(AND(P147='G-1 All Habitats'!$X$3,(S147+T147)&lt;H147, OR(Y147="No", Y147="")),"Any Loss Unacceptable ⚠", (IF(P147="","",IF(AND(P147='G-1 All Habitats'!$X$3,T147&gt;0),U147+V147,IF(AND(P147='G-1 All Habitats'!$X$3,S147&gt;0),U147+V147,H147*J147*L147*O147))))))))))))),"Check Data ▲")</f>
        <v/>
      </c>
      <c r="R147" s="23"/>
      <c r="S147" s="38"/>
      <c r="T147" s="39"/>
      <c r="U147" s="302" t="str">
        <f t="shared" si="13"/>
        <v/>
      </c>
      <c r="V147" s="302" t="str">
        <f t="shared" si="14"/>
        <v/>
      </c>
      <c r="W147" s="302" t="str">
        <f>IF(E147="","",IF(H147&lt;S147+T147,"Error in Areas ▲",IF(P147&lt;&gt;'G-1 All Habitats'!$X$3,H147-S147-T147,IF(AND(P147='G-1 All Habitats'!$X$3,Y147="No"),AC147,IF(AND(P147='G-1 All Habitats'!$X$3,Y147=""),AC147,IF(AND(P147='G-1 All Habitats'!$X$3,AC147="None"),AC147,IF(AND(P147='G-1 All Habitats'!$X$3,AC147&gt;0),H147-S147-T147)))))))</f>
        <v/>
      </c>
      <c r="X147" s="306" t="str">
        <f>IFERROR(IF(H147="","",IF(H147-S147-T147=0&lt;0,"Error in Areas ▲",IF(S147+T147&gt;H147,"Error in Areas ▲",IF(AND(P147='G-1 All Habitats'!$X$3,Y147="Yes"),"Alternative Compensation ✓",IF(W147=0,0,IF(P147='G-1 All Habitats'!$X$3,"Any Loss Unacceptable ▲",Q147-U147-V147)))))),"Check Data ▲")</f>
        <v/>
      </c>
      <c r="Y147" s="39"/>
      <c r="Z147" s="46"/>
      <c r="AA147" s="419"/>
      <c r="AB147" s="101"/>
      <c r="AC147" s="495" t="str">
        <f>IF(OR(P147="", Y147="Yes"),"", IF(P147='G-1 All Habitats'!$X$3,H147-S147-T147,"None"))</f>
        <v/>
      </c>
      <c r="AD147" s="496" t="str">
        <f>IF(P147="","", IF(P147='G-1 All Habitats'!$X$3, AC147*J147*L147*O147,"None"))</f>
        <v/>
      </c>
      <c r="AE147" s="20" t="str">
        <f t="shared" si="15"/>
        <v/>
      </c>
      <c r="AF147" s="25" t="str">
        <f t="shared" si="16"/>
        <v/>
      </c>
      <c r="AG147" s="25" t="str">
        <f t="shared" si="12"/>
        <v/>
      </c>
      <c r="AH147" s="25" t="str">
        <f>IF(I147="","",IF(#REF!&gt;0,TRUE,FALSE))</f>
        <v/>
      </c>
      <c r="AI147" s="25">
        <v>137</v>
      </c>
      <c r="AJ147" s="25"/>
      <c r="AK147" s="25" t="str">
        <f t="array" ref="AK147">IFERROR(INDEX($AI$11:$AI$259, MATCH(0, IF(TRUE=$AF$11:$AF$259, COUNTIF($AK$10:$AK146, $AI$11:$AI$259), ""), 0)),"")</f>
        <v/>
      </c>
      <c r="AL147" s="25" t="str">
        <f t="array" ref="AL147">IFERROR(INDEX($AI$11:$AI$259, MATCH(0, IF(TRUE=$AG$11:$AG$259, COUNTIF($AL$10:$AL146, $AI$11:$AI$259), ""), 0)),"")</f>
        <v/>
      </c>
      <c r="AM147" s="25" t="str">
        <f t="array" ref="AM147">IFERROR(INDEX($AI$11:$AI$259, MATCH(0, IF(TRUE=$AH$11:$AH$259, COUNTIF($AM$10:$AM146, $AI$11:$AI$259), ""), 0)),"")</f>
        <v/>
      </c>
      <c r="AN147" s="25"/>
      <c r="AQ147" s="20">
        <f t="shared" si="17"/>
        <v>0</v>
      </c>
      <c r="AV147" s="540" t="str">
        <f>IFERROR(INDEX('G-1 All Habitats'!$B$3:$B$135,MATCH(F147,'G-1 All Habitats'!$A$3:$A$135,0)),"")</f>
        <v/>
      </c>
      <c r="AW147" s="20" t="str">
        <f>IF(AV147="","",VLOOKUP(AV147,'G-1 All Habitats'!$B$1:$T$135,19,FALSE))</f>
        <v/>
      </c>
    </row>
    <row r="148" spans="1:49" ht="14.5" thickBot="1" x14ac:dyDescent="0.35">
      <c r="A148" s="20" t="str">
        <f>IFERROR(INDEX('G-1 All Habitats'!$AG$3:$AG$17,MATCH(E148,'G-1 All Habitats'!$AF$3:$AF$17,0)),"")</f>
        <v/>
      </c>
      <c r="B148" s="20" t="str">
        <f>IFERROR(INDEX('G-8 Condition Look up'!$I$4:$I$135,MATCH(AV148,'G-8 Condition Look up'!$A$4:$A$135,0)),"")</f>
        <v/>
      </c>
      <c r="D148" s="238">
        <v>138</v>
      </c>
      <c r="E148" s="223"/>
      <c r="F148" s="45"/>
      <c r="G148" s="272"/>
      <c r="H148" s="37"/>
      <c r="I148" s="290" t="str">
        <f>IF(AV148="","",VLOOKUP(AV148,'G-1 All Habitats'!$B$2:$M$135,10,FALSE))</f>
        <v/>
      </c>
      <c r="J148" s="291" t="str">
        <f>IFERROR(VLOOKUP(I148,'G-1 All Habitats'!$V$3:$W$7,2,FALSE),"")</f>
        <v/>
      </c>
      <c r="K148" s="38"/>
      <c r="L148" s="291" t="str">
        <f>IFERROR(INDEX('G-8 Condition Look up'!$A$3:$H$135,MATCH(AV148,'G-8 Condition Look up'!$A$3:$A$135,0),MATCH(K148,'G-8 Condition Look up'!$A$3:$H$3,0)),"")</f>
        <v/>
      </c>
      <c r="M148" s="38"/>
      <c r="N148" s="310" t="str">
        <f>IF(M148="","",IF(VLOOKUP(M148,'G-3 Multipliers'!$L$3:$N$6,2,FALSE)=0,"Spatial Data Missing",VLOOKUP(M148,'G-3 Multipliers'!$L$3:$N$6,2,FALSE)))</f>
        <v/>
      </c>
      <c r="O148" s="296" t="str">
        <f>IF(M148="","",IF(VLOOKUP(M148,'G-3 Multipliers'!$L$3:$N$6,3,FALSE)=0,"Spatial Data Missing ▲",VLOOKUP(M148,'G-3 Multipliers'!$L$3:$N$6,3,FALSE)))</f>
        <v/>
      </c>
      <c r="P148" s="297" t="str">
        <f>(IF(G148="Yes","Bespoke compensation likely to be required 🛠",(IFERROR(VLOOKUP(AV148,'G-1 All Habitats'!$B$2:$M$135,12,FALSE),""))))</f>
        <v/>
      </c>
      <c r="Q148" s="304" t="str">
        <f>IFERROR(IF(AND(E148="Individual trees",T148&gt;0), "Error - you cannot enhance individual trees ▲", (IF(AND(U148="Irreplaceable habitat - no units generated ⚠",(S148+T148)&lt;H148, OR(Y148="No", Y148="")),"Any Loss Unacceptable ⚠", (IF(U148="Irreplaceable habitat - no units generated ⚠", T148*J148*L148*O148, IF(AND(P148='G-1 All Habitats'!$X$3, AC148&gt;0, S148&lt;=0, T148&lt;=0, OR(Y148="No", Y148="")),"Any Loss Unacceptable ⚠", IF(AND(P148='G-1 All Habitats'!$X$3, AC148&gt;0, S148&lt;=0, T148&lt;=0, Y148="Yes"), 0, (IF(AND(P148='G-1 All Habitats'!$X$3,(S148+T148)&lt;H148, OR(Y148="No", Y148="")),"Any Loss Unacceptable ⚠", (IF(P148="","",IF(AND(P148='G-1 All Habitats'!$X$3,T148&gt;0),U148+V148,IF(AND(P148='G-1 All Habitats'!$X$3,S148&gt;0),U148+V148,H148*J148*L148*O148))))))))))))),"Check Data ▲")</f>
        <v/>
      </c>
      <c r="R148" s="23"/>
      <c r="S148" s="38"/>
      <c r="T148" s="39"/>
      <c r="U148" s="302" t="str">
        <f t="shared" si="13"/>
        <v/>
      </c>
      <c r="V148" s="302" t="str">
        <f t="shared" si="14"/>
        <v/>
      </c>
      <c r="W148" s="302" t="str">
        <f>IF(E148="","",IF(H148&lt;S148+T148,"Error in Areas ▲",IF(P148&lt;&gt;'G-1 All Habitats'!$X$3,H148-S148-T148,IF(AND(P148='G-1 All Habitats'!$X$3,Y148="No"),AC148,IF(AND(P148='G-1 All Habitats'!$X$3,Y148=""),AC148,IF(AND(P148='G-1 All Habitats'!$X$3,AC148="None"),AC148,IF(AND(P148='G-1 All Habitats'!$X$3,AC148&gt;0),H148-S148-T148)))))))</f>
        <v/>
      </c>
      <c r="X148" s="306" t="str">
        <f>IFERROR(IF(H148="","",IF(H148-S148-T148=0&lt;0,"Error in Areas ▲",IF(S148+T148&gt;H148,"Error in Areas ▲",IF(AND(P148='G-1 All Habitats'!$X$3,Y148="Yes"),"Alternative Compensation ✓",IF(W148=0,0,IF(P148='G-1 All Habitats'!$X$3,"Any Loss Unacceptable ▲",Q148-U148-V148)))))),"Check Data ▲")</f>
        <v/>
      </c>
      <c r="Y148" s="39"/>
      <c r="Z148" s="46"/>
      <c r="AA148" s="419"/>
      <c r="AB148" s="101"/>
      <c r="AC148" s="495" t="str">
        <f>IF(OR(P148="", Y148="Yes"),"", IF(P148='G-1 All Habitats'!$X$3,H148-S148-T148,"None"))</f>
        <v/>
      </c>
      <c r="AD148" s="496" t="str">
        <f>IF(P148="","", IF(P148='G-1 All Habitats'!$X$3, AC148*J148*L148*O148,"None"))</f>
        <v/>
      </c>
      <c r="AE148" s="20" t="str">
        <f t="shared" si="15"/>
        <v/>
      </c>
      <c r="AF148" s="25" t="str">
        <f t="shared" si="16"/>
        <v/>
      </c>
      <c r="AG148" s="25" t="str">
        <f t="shared" si="12"/>
        <v/>
      </c>
      <c r="AH148" s="25" t="str">
        <f>IF(I148="","",IF(#REF!&gt;0,TRUE,FALSE))</f>
        <v/>
      </c>
      <c r="AI148" s="25">
        <v>138</v>
      </c>
      <c r="AJ148" s="25"/>
      <c r="AK148" s="25" t="str">
        <f t="array" ref="AK148">IFERROR(INDEX($AI$11:$AI$259, MATCH(0, IF(TRUE=$AF$11:$AF$259, COUNTIF($AK$10:$AK147, $AI$11:$AI$259), ""), 0)),"")</f>
        <v/>
      </c>
      <c r="AL148" s="25" t="str">
        <f t="array" ref="AL148">IFERROR(INDEX($AI$11:$AI$259, MATCH(0, IF(TRUE=$AG$11:$AG$259, COUNTIF($AL$10:$AL147, $AI$11:$AI$259), ""), 0)),"")</f>
        <v/>
      </c>
      <c r="AM148" s="25" t="str">
        <f t="array" ref="AM148">IFERROR(INDEX($AI$11:$AI$259, MATCH(0, IF(TRUE=$AH$11:$AH$259, COUNTIF($AM$10:$AM147, $AI$11:$AI$259), ""), 0)),"")</f>
        <v/>
      </c>
      <c r="AN148" s="25"/>
      <c r="AQ148" s="20">
        <f t="shared" si="17"/>
        <v>0</v>
      </c>
      <c r="AV148" s="540" t="str">
        <f>IFERROR(INDEX('G-1 All Habitats'!$B$3:$B$135,MATCH(F148,'G-1 All Habitats'!$A$3:$A$135,0)),"")</f>
        <v/>
      </c>
      <c r="AW148" s="20" t="str">
        <f>IF(AV148="","",VLOOKUP(AV148,'G-1 All Habitats'!$B$1:$T$135,19,FALSE))</f>
        <v/>
      </c>
    </row>
    <row r="149" spans="1:49" ht="14.5" thickBot="1" x14ac:dyDescent="0.35">
      <c r="A149" s="20" t="str">
        <f>IFERROR(INDEX('G-1 All Habitats'!$AG$3:$AG$17,MATCH(E149,'G-1 All Habitats'!$AF$3:$AF$17,0)),"")</f>
        <v/>
      </c>
      <c r="B149" s="20" t="str">
        <f>IFERROR(INDEX('G-8 Condition Look up'!$I$4:$I$135,MATCH(AV149,'G-8 Condition Look up'!$A$4:$A$135,0)),"")</f>
        <v/>
      </c>
      <c r="D149" s="238">
        <v>139</v>
      </c>
      <c r="E149" s="223"/>
      <c r="F149" s="45"/>
      <c r="G149" s="272"/>
      <c r="H149" s="37"/>
      <c r="I149" s="290" t="str">
        <f>IF(AV149="","",VLOOKUP(AV149,'G-1 All Habitats'!$B$2:$M$135,10,FALSE))</f>
        <v/>
      </c>
      <c r="J149" s="291" t="str">
        <f>IFERROR(VLOOKUP(I149,'G-1 All Habitats'!$V$3:$W$7,2,FALSE),"")</f>
        <v/>
      </c>
      <c r="K149" s="38"/>
      <c r="L149" s="291" t="str">
        <f>IFERROR(INDEX('G-8 Condition Look up'!$A$3:$H$135,MATCH(AV149,'G-8 Condition Look up'!$A$3:$A$135,0),MATCH(K149,'G-8 Condition Look up'!$A$3:$H$3,0)),"")</f>
        <v/>
      </c>
      <c r="M149" s="38"/>
      <c r="N149" s="310" t="str">
        <f>IF(M149="","",IF(VLOOKUP(M149,'G-3 Multipliers'!$L$3:$N$6,2,FALSE)=0,"Spatial Data Missing",VLOOKUP(M149,'G-3 Multipliers'!$L$3:$N$6,2,FALSE)))</f>
        <v/>
      </c>
      <c r="O149" s="296" t="str">
        <f>IF(M149="","",IF(VLOOKUP(M149,'G-3 Multipliers'!$L$3:$N$6,3,FALSE)=0,"Spatial Data Missing ▲",VLOOKUP(M149,'G-3 Multipliers'!$L$3:$N$6,3,FALSE)))</f>
        <v/>
      </c>
      <c r="P149" s="297" t="str">
        <f>(IF(G149="Yes","Bespoke compensation likely to be required 🛠",(IFERROR(VLOOKUP(AV149,'G-1 All Habitats'!$B$2:$M$135,12,FALSE),""))))</f>
        <v/>
      </c>
      <c r="Q149" s="304" t="str">
        <f>IFERROR(IF(AND(E149="Individual trees",T149&gt;0), "Error - you cannot enhance individual trees ▲", (IF(AND(U149="Irreplaceable habitat - no units generated ⚠",(S149+T149)&lt;H149, OR(Y149="No", Y149="")),"Any Loss Unacceptable ⚠", (IF(U149="Irreplaceable habitat - no units generated ⚠", T149*J149*L149*O149, IF(AND(P149='G-1 All Habitats'!$X$3, AC149&gt;0, S149&lt;=0, T149&lt;=0, OR(Y149="No", Y149="")),"Any Loss Unacceptable ⚠", IF(AND(P149='G-1 All Habitats'!$X$3, AC149&gt;0, S149&lt;=0, T149&lt;=0, Y149="Yes"), 0, (IF(AND(P149='G-1 All Habitats'!$X$3,(S149+T149)&lt;H149, OR(Y149="No", Y149="")),"Any Loss Unacceptable ⚠", (IF(P149="","",IF(AND(P149='G-1 All Habitats'!$X$3,T149&gt;0),U149+V149,IF(AND(P149='G-1 All Habitats'!$X$3,S149&gt;0),U149+V149,H149*J149*L149*O149))))))))))))),"Check Data ▲")</f>
        <v/>
      </c>
      <c r="R149" s="23"/>
      <c r="S149" s="38"/>
      <c r="T149" s="39"/>
      <c r="U149" s="302" t="str">
        <f t="shared" si="13"/>
        <v/>
      </c>
      <c r="V149" s="302" t="str">
        <f t="shared" si="14"/>
        <v/>
      </c>
      <c r="W149" s="302" t="str">
        <f>IF(E149="","",IF(H149&lt;S149+T149,"Error in Areas ▲",IF(P149&lt;&gt;'G-1 All Habitats'!$X$3,H149-S149-T149,IF(AND(P149='G-1 All Habitats'!$X$3,Y149="No"),AC149,IF(AND(P149='G-1 All Habitats'!$X$3,Y149=""),AC149,IF(AND(P149='G-1 All Habitats'!$X$3,AC149="None"),AC149,IF(AND(P149='G-1 All Habitats'!$X$3,AC149&gt;0),H149-S149-T149)))))))</f>
        <v/>
      </c>
      <c r="X149" s="306" t="str">
        <f>IFERROR(IF(H149="","",IF(H149-S149-T149=0&lt;0,"Error in Areas ▲",IF(S149+T149&gt;H149,"Error in Areas ▲",IF(AND(P149='G-1 All Habitats'!$X$3,Y149="Yes"),"Alternative Compensation ✓",IF(W149=0,0,IF(P149='G-1 All Habitats'!$X$3,"Any Loss Unacceptable ▲",Q149-U149-V149)))))),"Check Data ▲")</f>
        <v/>
      </c>
      <c r="Y149" s="39"/>
      <c r="Z149" s="46"/>
      <c r="AA149" s="419"/>
      <c r="AB149" s="101"/>
      <c r="AC149" s="495" t="str">
        <f>IF(OR(P149="", Y149="Yes"),"", IF(P149='G-1 All Habitats'!$X$3,H149-S149-T149,"None"))</f>
        <v/>
      </c>
      <c r="AD149" s="496" t="str">
        <f>IF(P149="","", IF(P149='G-1 All Habitats'!$X$3, AC149*J149*L149*O149,"None"))</f>
        <v/>
      </c>
      <c r="AE149" s="20" t="str">
        <f t="shared" si="15"/>
        <v/>
      </c>
      <c r="AF149" s="25" t="str">
        <f t="shared" si="16"/>
        <v/>
      </c>
      <c r="AG149" s="25" t="str">
        <f t="shared" si="12"/>
        <v/>
      </c>
      <c r="AH149" s="25" t="str">
        <f>IF(I149="","",IF(#REF!&gt;0,TRUE,FALSE))</f>
        <v/>
      </c>
      <c r="AI149" s="25">
        <v>139</v>
      </c>
      <c r="AJ149" s="25"/>
      <c r="AK149" s="25" t="str">
        <f t="array" ref="AK149">IFERROR(INDEX($AI$11:$AI$259, MATCH(0, IF(TRUE=$AF$11:$AF$259, COUNTIF($AK$10:$AK148, $AI$11:$AI$259), ""), 0)),"")</f>
        <v/>
      </c>
      <c r="AL149" s="25" t="str">
        <f t="array" ref="AL149">IFERROR(INDEX($AI$11:$AI$259, MATCH(0, IF(TRUE=$AG$11:$AG$259, COUNTIF($AL$10:$AL148, $AI$11:$AI$259), ""), 0)),"")</f>
        <v/>
      </c>
      <c r="AM149" s="25" t="str">
        <f t="array" ref="AM149">IFERROR(INDEX($AI$11:$AI$259, MATCH(0, IF(TRUE=$AH$11:$AH$259, COUNTIF($AM$10:$AM148, $AI$11:$AI$259), ""), 0)),"")</f>
        <v/>
      </c>
      <c r="AN149" s="25"/>
      <c r="AQ149" s="20">
        <f t="shared" si="17"/>
        <v>0</v>
      </c>
      <c r="AV149" s="540" t="str">
        <f>IFERROR(INDEX('G-1 All Habitats'!$B$3:$B$135,MATCH(F149,'G-1 All Habitats'!$A$3:$A$135,0)),"")</f>
        <v/>
      </c>
      <c r="AW149" s="20" t="str">
        <f>IF(AV149="","",VLOOKUP(AV149,'G-1 All Habitats'!$B$1:$T$135,19,FALSE))</f>
        <v/>
      </c>
    </row>
    <row r="150" spans="1:49" ht="14.5" thickBot="1" x14ac:dyDescent="0.35">
      <c r="A150" s="20" t="str">
        <f>IFERROR(INDEX('G-1 All Habitats'!$AG$3:$AG$17,MATCH(E150,'G-1 All Habitats'!$AF$3:$AF$17,0)),"")</f>
        <v/>
      </c>
      <c r="B150" s="20" t="str">
        <f>IFERROR(INDEX('G-8 Condition Look up'!$I$4:$I$135,MATCH(AV150,'G-8 Condition Look up'!$A$4:$A$135,0)),"")</f>
        <v/>
      </c>
      <c r="D150" s="238">
        <v>140</v>
      </c>
      <c r="E150" s="223"/>
      <c r="F150" s="45"/>
      <c r="G150" s="272"/>
      <c r="H150" s="37"/>
      <c r="I150" s="290" t="str">
        <f>IF(AV150="","",VLOOKUP(AV150,'G-1 All Habitats'!$B$2:$M$135,10,FALSE))</f>
        <v/>
      </c>
      <c r="J150" s="291" t="str">
        <f>IFERROR(VLOOKUP(I150,'G-1 All Habitats'!$V$3:$W$7,2,FALSE),"")</f>
        <v/>
      </c>
      <c r="K150" s="38"/>
      <c r="L150" s="291" t="str">
        <f>IFERROR(INDEX('G-8 Condition Look up'!$A$3:$H$135,MATCH(AV150,'G-8 Condition Look up'!$A$3:$A$135,0),MATCH(K150,'G-8 Condition Look up'!$A$3:$H$3,0)),"")</f>
        <v/>
      </c>
      <c r="M150" s="38"/>
      <c r="N150" s="310" t="str">
        <f>IF(M150="","",IF(VLOOKUP(M150,'G-3 Multipliers'!$L$3:$N$6,2,FALSE)=0,"Spatial Data Missing",VLOOKUP(M150,'G-3 Multipliers'!$L$3:$N$6,2,FALSE)))</f>
        <v/>
      </c>
      <c r="O150" s="296" t="str">
        <f>IF(M150="","",IF(VLOOKUP(M150,'G-3 Multipliers'!$L$3:$N$6,3,FALSE)=0,"Spatial Data Missing ▲",VLOOKUP(M150,'G-3 Multipliers'!$L$3:$N$6,3,FALSE)))</f>
        <v/>
      </c>
      <c r="P150" s="297" t="str">
        <f>(IF(G150="Yes","Bespoke compensation likely to be required 🛠",(IFERROR(VLOOKUP(AV150,'G-1 All Habitats'!$B$2:$M$135,12,FALSE),""))))</f>
        <v/>
      </c>
      <c r="Q150" s="304" t="str">
        <f>IFERROR(IF(AND(E150="Individual trees",T150&gt;0), "Error - you cannot enhance individual trees ▲", (IF(AND(U150="Irreplaceable habitat - no units generated ⚠",(S150+T150)&lt;H150, OR(Y150="No", Y150="")),"Any Loss Unacceptable ⚠", (IF(U150="Irreplaceable habitat - no units generated ⚠", T150*J150*L150*O150, IF(AND(P150='G-1 All Habitats'!$X$3, AC150&gt;0, S150&lt;=0, T150&lt;=0, OR(Y150="No", Y150="")),"Any Loss Unacceptable ⚠", IF(AND(P150='G-1 All Habitats'!$X$3, AC150&gt;0, S150&lt;=0, T150&lt;=0, Y150="Yes"), 0, (IF(AND(P150='G-1 All Habitats'!$X$3,(S150+T150)&lt;H150, OR(Y150="No", Y150="")),"Any Loss Unacceptable ⚠", (IF(P150="","",IF(AND(P150='G-1 All Habitats'!$X$3,T150&gt;0),U150+V150,IF(AND(P150='G-1 All Habitats'!$X$3,S150&gt;0),U150+V150,H150*J150*L150*O150))))))))))))),"Check Data ▲")</f>
        <v/>
      </c>
      <c r="R150" s="23"/>
      <c r="S150" s="38"/>
      <c r="T150" s="39"/>
      <c r="U150" s="302" t="str">
        <f t="shared" si="13"/>
        <v/>
      </c>
      <c r="V150" s="302" t="str">
        <f t="shared" si="14"/>
        <v/>
      </c>
      <c r="W150" s="302" t="str">
        <f>IF(E150="","",IF(H150&lt;S150+T150,"Error in Areas ▲",IF(P150&lt;&gt;'G-1 All Habitats'!$X$3,H150-S150-T150,IF(AND(P150='G-1 All Habitats'!$X$3,Y150="No"),AC150,IF(AND(P150='G-1 All Habitats'!$X$3,Y150=""),AC150,IF(AND(P150='G-1 All Habitats'!$X$3,AC150="None"),AC150,IF(AND(P150='G-1 All Habitats'!$X$3,AC150&gt;0),H150-S150-T150)))))))</f>
        <v/>
      </c>
      <c r="X150" s="306" t="str">
        <f>IFERROR(IF(H150="","",IF(H150-S150-T150=0&lt;0,"Error in Areas ▲",IF(S150+T150&gt;H150,"Error in Areas ▲",IF(AND(P150='G-1 All Habitats'!$X$3,Y150="Yes"),"Alternative Compensation ✓",IF(W150=0,0,IF(P150='G-1 All Habitats'!$X$3,"Any Loss Unacceptable ▲",Q150-U150-V150)))))),"Check Data ▲")</f>
        <v/>
      </c>
      <c r="Y150" s="39"/>
      <c r="Z150" s="46"/>
      <c r="AA150" s="419"/>
      <c r="AB150" s="101"/>
      <c r="AC150" s="495" t="str">
        <f>IF(OR(P150="", Y150="Yes"),"", IF(P150='G-1 All Habitats'!$X$3,H150-S150-T150,"None"))</f>
        <v/>
      </c>
      <c r="AD150" s="496" t="str">
        <f>IF(P150="","", IF(P150='G-1 All Habitats'!$X$3, AC150*J150*L150*O150,"None"))</f>
        <v/>
      </c>
      <c r="AE150" s="20" t="str">
        <f t="shared" si="15"/>
        <v/>
      </c>
      <c r="AF150" s="25" t="str">
        <f t="shared" si="16"/>
        <v/>
      </c>
      <c r="AG150" s="25" t="str">
        <f t="shared" si="12"/>
        <v/>
      </c>
      <c r="AH150" s="25" t="str">
        <f>IF(I150="","",IF(#REF!&gt;0,TRUE,FALSE))</f>
        <v/>
      </c>
      <c r="AI150" s="25">
        <v>140</v>
      </c>
      <c r="AJ150" s="25"/>
      <c r="AK150" s="25" t="str">
        <f t="array" ref="AK150">IFERROR(INDEX($AI$11:$AI$259, MATCH(0, IF(TRUE=$AF$11:$AF$259, COUNTIF($AK$10:$AK149, $AI$11:$AI$259), ""), 0)),"")</f>
        <v/>
      </c>
      <c r="AL150" s="25" t="str">
        <f t="array" ref="AL150">IFERROR(INDEX($AI$11:$AI$259, MATCH(0, IF(TRUE=$AG$11:$AG$259, COUNTIF($AL$10:$AL149, $AI$11:$AI$259), ""), 0)),"")</f>
        <v/>
      </c>
      <c r="AM150" s="25" t="str">
        <f t="array" ref="AM150">IFERROR(INDEX($AI$11:$AI$259, MATCH(0, IF(TRUE=$AH$11:$AH$259, COUNTIF($AM$10:$AM149, $AI$11:$AI$259), ""), 0)),"")</f>
        <v/>
      </c>
      <c r="AN150" s="25"/>
      <c r="AQ150" s="20">
        <f t="shared" si="17"/>
        <v>0</v>
      </c>
      <c r="AV150" s="540" t="str">
        <f>IFERROR(INDEX('G-1 All Habitats'!$B$3:$B$135,MATCH(F150,'G-1 All Habitats'!$A$3:$A$135,0)),"")</f>
        <v/>
      </c>
      <c r="AW150" s="20" t="str">
        <f>IF(AV150="","",VLOOKUP(AV150,'G-1 All Habitats'!$B$1:$T$135,19,FALSE))</f>
        <v/>
      </c>
    </row>
    <row r="151" spans="1:49" ht="14.5" thickBot="1" x14ac:dyDescent="0.35">
      <c r="A151" s="20" t="str">
        <f>IFERROR(INDEX('G-1 All Habitats'!$AG$3:$AG$17,MATCH(E151,'G-1 All Habitats'!$AF$3:$AF$17,0)),"")</f>
        <v/>
      </c>
      <c r="B151" s="20" t="str">
        <f>IFERROR(INDEX('G-8 Condition Look up'!$I$4:$I$135,MATCH(AV151,'G-8 Condition Look up'!$A$4:$A$135,0)),"")</f>
        <v/>
      </c>
      <c r="D151" s="238">
        <v>141</v>
      </c>
      <c r="E151" s="223"/>
      <c r="F151" s="45"/>
      <c r="G151" s="272"/>
      <c r="H151" s="37"/>
      <c r="I151" s="290" t="str">
        <f>IF(AV151="","",VLOOKUP(AV151,'G-1 All Habitats'!$B$2:$M$135,10,FALSE))</f>
        <v/>
      </c>
      <c r="J151" s="291" t="str">
        <f>IFERROR(VLOOKUP(I151,'G-1 All Habitats'!$V$3:$W$7,2,FALSE),"")</f>
        <v/>
      </c>
      <c r="K151" s="38"/>
      <c r="L151" s="291" t="str">
        <f>IFERROR(INDEX('G-8 Condition Look up'!$A$3:$H$135,MATCH(AV151,'G-8 Condition Look up'!$A$3:$A$135,0),MATCH(K151,'G-8 Condition Look up'!$A$3:$H$3,0)),"")</f>
        <v/>
      </c>
      <c r="M151" s="38"/>
      <c r="N151" s="310" t="str">
        <f>IF(M151="","",IF(VLOOKUP(M151,'G-3 Multipliers'!$L$3:$N$6,2,FALSE)=0,"Spatial Data Missing",VLOOKUP(M151,'G-3 Multipliers'!$L$3:$N$6,2,FALSE)))</f>
        <v/>
      </c>
      <c r="O151" s="296" t="str">
        <f>IF(M151="","",IF(VLOOKUP(M151,'G-3 Multipliers'!$L$3:$N$6,3,FALSE)=0,"Spatial Data Missing ▲",VLOOKUP(M151,'G-3 Multipliers'!$L$3:$N$6,3,FALSE)))</f>
        <v/>
      </c>
      <c r="P151" s="297" t="str">
        <f>(IF(G151="Yes","Bespoke compensation likely to be required 🛠",(IFERROR(VLOOKUP(AV151,'G-1 All Habitats'!$B$2:$M$135,12,FALSE),""))))</f>
        <v/>
      </c>
      <c r="Q151" s="304" t="str">
        <f>IFERROR(IF(AND(E151="Individual trees",T151&gt;0), "Error - you cannot enhance individual trees ▲", (IF(AND(U151="Irreplaceable habitat - no units generated ⚠",(S151+T151)&lt;H151, OR(Y151="No", Y151="")),"Any Loss Unacceptable ⚠", (IF(U151="Irreplaceable habitat - no units generated ⚠", T151*J151*L151*O151, IF(AND(P151='G-1 All Habitats'!$X$3, AC151&gt;0, S151&lt;=0, T151&lt;=0, OR(Y151="No", Y151="")),"Any Loss Unacceptable ⚠", IF(AND(P151='G-1 All Habitats'!$X$3, AC151&gt;0, S151&lt;=0, T151&lt;=0, Y151="Yes"), 0, (IF(AND(P151='G-1 All Habitats'!$X$3,(S151+T151)&lt;H151, OR(Y151="No", Y151="")),"Any Loss Unacceptable ⚠", (IF(P151="","",IF(AND(P151='G-1 All Habitats'!$X$3,T151&gt;0),U151+V151,IF(AND(P151='G-1 All Habitats'!$X$3,S151&gt;0),U151+V151,H151*J151*L151*O151))))))))))))),"Check Data ▲")</f>
        <v/>
      </c>
      <c r="R151" s="23"/>
      <c r="S151" s="38"/>
      <c r="T151" s="39"/>
      <c r="U151" s="302" t="str">
        <f t="shared" si="13"/>
        <v/>
      </c>
      <c r="V151" s="302" t="str">
        <f t="shared" si="14"/>
        <v/>
      </c>
      <c r="W151" s="302" t="str">
        <f>IF(E151="","",IF(H151&lt;S151+T151,"Error in Areas ▲",IF(P151&lt;&gt;'G-1 All Habitats'!$X$3,H151-S151-T151,IF(AND(P151='G-1 All Habitats'!$X$3,Y151="No"),AC151,IF(AND(P151='G-1 All Habitats'!$X$3,Y151=""),AC151,IF(AND(P151='G-1 All Habitats'!$X$3,AC151="None"),AC151,IF(AND(P151='G-1 All Habitats'!$X$3,AC151&gt;0),H151-S151-T151)))))))</f>
        <v/>
      </c>
      <c r="X151" s="306" t="str">
        <f>IFERROR(IF(H151="","",IF(H151-S151-T151=0&lt;0,"Error in Areas ▲",IF(S151+T151&gt;H151,"Error in Areas ▲",IF(AND(P151='G-1 All Habitats'!$X$3,Y151="Yes"),"Alternative Compensation ✓",IF(W151=0,0,IF(P151='G-1 All Habitats'!$X$3,"Any Loss Unacceptable ▲",Q151-U151-V151)))))),"Check Data ▲")</f>
        <v/>
      </c>
      <c r="Y151" s="39"/>
      <c r="Z151" s="46"/>
      <c r="AA151" s="419"/>
      <c r="AB151" s="101"/>
      <c r="AC151" s="495" t="str">
        <f>IF(OR(P151="", Y151="Yes"),"", IF(P151='G-1 All Habitats'!$X$3,H151-S151-T151,"None"))</f>
        <v/>
      </c>
      <c r="AD151" s="496" t="str">
        <f>IF(P151="","", IF(P151='G-1 All Habitats'!$X$3, AC151*J151*L151*O151,"None"))</f>
        <v/>
      </c>
      <c r="AE151" s="20" t="str">
        <f t="shared" si="15"/>
        <v/>
      </c>
      <c r="AF151" s="25" t="str">
        <f t="shared" si="16"/>
        <v/>
      </c>
      <c r="AG151" s="25" t="str">
        <f t="shared" si="12"/>
        <v/>
      </c>
      <c r="AH151" s="25" t="str">
        <f>IF(I151="","",IF(#REF!&gt;0,TRUE,FALSE))</f>
        <v/>
      </c>
      <c r="AI151" s="25">
        <v>141</v>
      </c>
      <c r="AJ151" s="25"/>
      <c r="AK151" s="25" t="str">
        <f t="array" ref="AK151">IFERROR(INDEX($AI$11:$AI$259, MATCH(0, IF(TRUE=$AF$11:$AF$259, COUNTIF($AK$10:$AK150, $AI$11:$AI$259), ""), 0)),"")</f>
        <v/>
      </c>
      <c r="AL151" s="25" t="str">
        <f t="array" ref="AL151">IFERROR(INDEX($AI$11:$AI$259, MATCH(0, IF(TRUE=$AG$11:$AG$259, COUNTIF($AL$10:$AL150, $AI$11:$AI$259), ""), 0)),"")</f>
        <v/>
      </c>
      <c r="AM151" s="25" t="str">
        <f t="array" ref="AM151">IFERROR(INDEX($AI$11:$AI$259, MATCH(0, IF(TRUE=$AH$11:$AH$259, COUNTIF($AM$10:$AM150, $AI$11:$AI$259), ""), 0)),"")</f>
        <v/>
      </c>
      <c r="AN151" s="25"/>
      <c r="AQ151" s="20">
        <f t="shared" si="17"/>
        <v>0</v>
      </c>
      <c r="AV151" s="540" t="str">
        <f>IFERROR(INDEX('G-1 All Habitats'!$B$3:$B$135,MATCH(F151,'G-1 All Habitats'!$A$3:$A$135,0)),"")</f>
        <v/>
      </c>
      <c r="AW151" s="20" t="str">
        <f>IF(AV151="","",VLOOKUP(AV151,'G-1 All Habitats'!$B$1:$T$135,19,FALSE))</f>
        <v/>
      </c>
    </row>
    <row r="152" spans="1:49" ht="14.5" thickBot="1" x14ac:dyDescent="0.35">
      <c r="A152" s="20" t="str">
        <f>IFERROR(INDEX('G-1 All Habitats'!$AG$3:$AG$17,MATCH(E152,'G-1 All Habitats'!$AF$3:$AF$17,0)),"")</f>
        <v/>
      </c>
      <c r="B152" s="20" t="str">
        <f>IFERROR(INDEX('G-8 Condition Look up'!$I$4:$I$135,MATCH(AV152,'G-8 Condition Look up'!$A$4:$A$135,0)),"")</f>
        <v/>
      </c>
      <c r="D152" s="238">
        <v>142</v>
      </c>
      <c r="E152" s="223"/>
      <c r="F152" s="45"/>
      <c r="G152" s="272"/>
      <c r="H152" s="37"/>
      <c r="I152" s="290" t="str">
        <f>IF(AV152="","",VLOOKUP(AV152,'G-1 All Habitats'!$B$2:$M$135,10,FALSE))</f>
        <v/>
      </c>
      <c r="J152" s="291" t="str">
        <f>IFERROR(VLOOKUP(I152,'G-1 All Habitats'!$V$3:$W$7,2,FALSE),"")</f>
        <v/>
      </c>
      <c r="K152" s="38"/>
      <c r="L152" s="291" t="str">
        <f>IFERROR(INDEX('G-8 Condition Look up'!$A$3:$H$135,MATCH(AV152,'G-8 Condition Look up'!$A$3:$A$135,0),MATCH(K152,'G-8 Condition Look up'!$A$3:$H$3,0)),"")</f>
        <v/>
      </c>
      <c r="M152" s="38"/>
      <c r="N152" s="310" t="str">
        <f>IF(M152="","",IF(VLOOKUP(M152,'G-3 Multipliers'!$L$3:$N$6,2,FALSE)=0,"Spatial Data Missing",VLOOKUP(M152,'G-3 Multipliers'!$L$3:$N$6,2,FALSE)))</f>
        <v/>
      </c>
      <c r="O152" s="296" t="str">
        <f>IF(M152="","",IF(VLOOKUP(M152,'G-3 Multipliers'!$L$3:$N$6,3,FALSE)=0,"Spatial Data Missing ▲",VLOOKUP(M152,'G-3 Multipliers'!$L$3:$N$6,3,FALSE)))</f>
        <v/>
      </c>
      <c r="P152" s="297" t="str">
        <f>(IF(G152="Yes","Bespoke compensation likely to be required 🛠",(IFERROR(VLOOKUP(AV152,'G-1 All Habitats'!$B$2:$M$135,12,FALSE),""))))</f>
        <v/>
      </c>
      <c r="Q152" s="304" t="str">
        <f>IFERROR(IF(AND(E152="Individual trees",T152&gt;0), "Error - you cannot enhance individual trees ▲", (IF(AND(U152="Irreplaceable habitat - no units generated ⚠",(S152+T152)&lt;H152, OR(Y152="No", Y152="")),"Any Loss Unacceptable ⚠", (IF(U152="Irreplaceable habitat - no units generated ⚠", T152*J152*L152*O152, IF(AND(P152='G-1 All Habitats'!$X$3, AC152&gt;0, S152&lt;=0, T152&lt;=0, OR(Y152="No", Y152="")),"Any Loss Unacceptable ⚠", IF(AND(P152='G-1 All Habitats'!$X$3, AC152&gt;0, S152&lt;=0, T152&lt;=0, Y152="Yes"), 0, (IF(AND(P152='G-1 All Habitats'!$X$3,(S152+T152)&lt;H152, OR(Y152="No", Y152="")),"Any Loss Unacceptable ⚠", (IF(P152="","",IF(AND(P152='G-1 All Habitats'!$X$3,T152&gt;0),U152+V152,IF(AND(P152='G-1 All Habitats'!$X$3,S152&gt;0),U152+V152,H152*J152*L152*O152))))))))))))),"Check Data ▲")</f>
        <v/>
      </c>
      <c r="R152" s="23"/>
      <c r="S152" s="38"/>
      <c r="T152" s="39"/>
      <c r="U152" s="302" t="str">
        <f t="shared" si="13"/>
        <v/>
      </c>
      <c r="V152" s="302" t="str">
        <f t="shared" si="14"/>
        <v/>
      </c>
      <c r="W152" s="302" t="str">
        <f>IF(E152="","",IF(H152&lt;S152+T152,"Error in Areas ▲",IF(P152&lt;&gt;'G-1 All Habitats'!$X$3,H152-S152-T152,IF(AND(P152='G-1 All Habitats'!$X$3,Y152="No"),AC152,IF(AND(P152='G-1 All Habitats'!$X$3,Y152=""),AC152,IF(AND(P152='G-1 All Habitats'!$X$3,AC152="None"),AC152,IF(AND(P152='G-1 All Habitats'!$X$3,AC152&gt;0),H152-S152-T152)))))))</f>
        <v/>
      </c>
      <c r="X152" s="306" t="str">
        <f>IFERROR(IF(H152="","",IF(H152-S152-T152=0&lt;0,"Error in Areas ▲",IF(S152+T152&gt;H152,"Error in Areas ▲",IF(AND(P152='G-1 All Habitats'!$X$3,Y152="Yes"),"Alternative Compensation ✓",IF(W152=0,0,IF(P152='G-1 All Habitats'!$X$3,"Any Loss Unacceptable ▲",Q152-U152-V152)))))),"Check Data ▲")</f>
        <v/>
      </c>
      <c r="Y152" s="39"/>
      <c r="Z152" s="46"/>
      <c r="AA152" s="419"/>
      <c r="AB152" s="101"/>
      <c r="AC152" s="495" t="str">
        <f>IF(OR(P152="", Y152="Yes"),"", IF(P152='G-1 All Habitats'!$X$3,H152-S152-T152,"None"))</f>
        <v/>
      </c>
      <c r="AD152" s="496" t="str">
        <f>IF(P152="","", IF(P152='G-1 All Habitats'!$X$3, AC152*J152*L152*O152,"None"))</f>
        <v/>
      </c>
      <c r="AE152" s="20" t="str">
        <f t="shared" si="15"/>
        <v/>
      </c>
      <c r="AF152" s="25" t="str">
        <f t="shared" si="16"/>
        <v/>
      </c>
      <c r="AG152" s="25" t="str">
        <f t="shared" si="12"/>
        <v/>
      </c>
      <c r="AH152" s="25" t="str">
        <f>IF(I152="","",IF(#REF!&gt;0,TRUE,FALSE))</f>
        <v/>
      </c>
      <c r="AI152" s="25">
        <v>142</v>
      </c>
      <c r="AJ152" s="25"/>
      <c r="AK152" s="25" t="str">
        <f t="array" ref="AK152">IFERROR(INDEX($AI$11:$AI$259, MATCH(0, IF(TRUE=$AF$11:$AF$259, COUNTIF($AK$10:$AK151, $AI$11:$AI$259), ""), 0)),"")</f>
        <v/>
      </c>
      <c r="AL152" s="25" t="str">
        <f t="array" ref="AL152">IFERROR(INDEX($AI$11:$AI$259, MATCH(0, IF(TRUE=$AG$11:$AG$259, COUNTIF($AL$10:$AL151, $AI$11:$AI$259), ""), 0)),"")</f>
        <v/>
      </c>
      <c r="AM152" s="25" t="str">
        <f t="array" ref="AM152">IFERROR(INDEX($AI$11:$AI$259, MATCH(0, IF(TRUE=$AH$11:$AH$259, COUNTIF($AM$10:$AM151, $AI$11:$AI$259), ""), 0)),"")</f>
        <v/>
      </c>
      <c r="AN152" s="25"/>
      <c r="AQ152" s="20">
        <f t="shared" si="17"/>
        <v>0</v>
      </c>
      <c r="AV152" s="540" t="str">
        <f>IFERROR(INDEX('G-1 All Habitats'!$B$3:$B$135,MATCH(F152,'G-1 All Habitats'!$A$3:$A$135,0)),"")</f>
        <v/>
      </c>
      <c r="AW152" s="20" t="str">
        <f>IF(AV152="","",VLOOKUP(AV152,'G-1 All Habitats'!$B$1:$T$135,19,FALSE))</f>
        <v/>
      </c>
    </row>
    <row r="153" spans="1:49" ht="14.5" thickBot="1" x14ac:dyDescent="0.35">
      <c r="A153" s="20" t="str">
        <f>IFERROR(INDEX('G-1 All Habitats'!$AG$3:$AG$17,MATCH(E153,'G-1 All Habitats'!$AF$3:$AF$17,0)),"")</f>
        <v/>
      </c>
      <c r="B153" s="20" t="str">
        <f>IFERROR(INDEX('G-8 Condition Look up'!$I$4:$I$135,MATCH(AV153,'G-8 Condition Look up'!$A$4:$A$135,0)),"")</f>
        <v/>
      </c>
      <c r="D153" s="238">
        <v>143</v>
      </c>
      <c r="E153" s="223"/>
      <c r="F153" s="45"/>
      <c r="G153" s="272"/>
      <c r="H153" s="37"/>
      <c r="I153" s="290" t="str">
        <f>IF(AV153="","",VLOOKUP(AV153,'G-1 All Habitats'!$B$2:$M$135,10,FALSE))</f>
        <v/>
      </c>
      <c r="J153" s="291" t="str">
        <f>IFERROR(VLOOKUP(I153,'G-1 All Habitats'!$V$3:$W$7,2,FALSE),"")</f>
        <v/>
      </c>
      <c r="K153" s="38"/>
      <c r="L153" s="291" t="str">
        <f>IFERROR(INDEX('G-8 Condition Look up'!$A$3:$H$135,MATCH(AV153,'G-8 Condition Look up'!$A$3:$A$135,0),MATCH(K153,'G-8 Condition Look up'!$A$3:$H$3,0)),"")</f>
        <v/>
      </c>
      <c r="M153" s="38"/>
      <c r="N153" s="310" t="str">
        <f>IF(M153="","",IF(VLOOKUP(M153,'G-3 Multipliers'!$L$3:$N$6,2,FALSE)=0,"Spatial Data Missing",VLOOKUP(M153,'G-3 Multipliers'!$L$3:$N$6,2,FALSE)))</f>
        <v/>
      </c>
      <c r="O153" s="296" t="str">
        <f>IF(M153="","",IF(VLOOKUP(M153,'G-3 Multipliers'!$L$3:$N$6,3,FALSE)=0,"Spatial Data Missing ▲",VLOOKUP(M153,'G-3 Multipliers'!$L$3:$N$6,3,FALSE)))</f>
        <v/>
      </c>
      <c r="P153" s="297" t="str">
        <f>(IF(G153="Yes","Bespoke compensation likely to be required 🛠",(IFERROR(VLOOKUP(AV153,'G-1 All Habitats'!$B$2:$M$135,12,FALSE),""))))</f>
        <v/>
      </c>
      <c r="Q153" s="304" t="str">
        <f>IFERROR(IF(AND(E153="Individual trees",T153&gt;0), "Error - you cannot enhance individual trees ▲", (IF(AND(U153="Irreplaceable habitat - no units generated ⚠",(S153+T153)&lt;H153, OR(Y153="No", Y153="")),"Any Loss Unacceptable ⚠", (IF(U153="Irreplaceable habitat - no units generated ⚠", T153*J153*L153*O153, IF(AND(P153='G-1 All Habitats'!$X$3, AC153&gt;0, S153&lt;=0, T153&lt;=0, OR(Y153="No", Y153="")),"Any Loss Unacceptable ⚠", IF(AND(P153='G-1 All Habitats'!$X$3, AC153&gt;0, S153&lt;=0, T153&lt;=0, Y153="Yes"), 0, (IF(AND(P153='G-1 All Habitats'!$X$3,(S153+T153)&lt;H153, OR(Y153="No", Y153="")),"Any Loss Unacceptable ⚠", (IF(P153="","",IF(AND(P153='G-1 All Habitats'!$X$3,T153&gt;0),U153+V153,IF(AND(P153='G-1 All Habitats'!$X$3,S153&gt;0),U153+V153,H153*J153*L153*O153))))))))))))),"Check Data ▲")</f>
        <v/>
      </c>
      <c r="R153" s="23"/>
      <c r="S153" s="38"/>
      <c r="T153" s="39"/>
      <c r="U153" s="302" t="str">
        <f t="shared" si="13"/>
        <v/>
      </c>
      <c r="V153" s="302" t="str">
        <f t="shared" si="14"/>
        <v/>
      </c>
      <c r="W153" s="302" t="str">
        <f>IF(E153="","",IF(H153&lt;S153+T153,"Error in Areas ▲",IF(P153&lt;&gt;'G-1 All Habitats'!$X$3,H153-S153-T153,IF(AND(P153='G-1 All Habitats'!$X$3,Y153="No"),AC153,IF(AND(P153='G-1 All Habitats'!$X$3,Y153=""),AC153,IF(AND(P153='G-1 All Habitats'!$X$3,AC153="None"),AC153,IF(AND(P153='G-1 All Habitats'!$X$3,AC153&gt;0),H153-S153-T153)))))))</f>
        <v/>
      </c>
      <c r="X153" s="306" t="str">
        <f>IFERROR(IF(H153="","",IF(H153-S153-T153=0&lt;0,"Error in Areas ▲",IF(S153+T153&gt;H153,"Error in Areas ▲",IF(AND(P153='G-1 All Habitats'!$X$3,Y153="Yes"),"Alternative Compensation ✓",IF(W153=0,0,IF(P153='G-1 All Habitats'!$X$3,"Any Loss Unacceptable ▲",Q153-U153-V153)))))),"Check Data ▲")</f>
        <v/>
      </c>
      <c r="Y153" s="39"/>
      <c r="Z153" s="46"/>
      <c r="AA153" s="419"/>
      <c r="AB153" s="101"/>
      <c r="AC153" s="495" t="str">
        <f>IF(OR(P153="", Y153="Yes"),"", IF(P153='G-1 All Habitats'!$X$3,H153-S153-T153,"None"))</f>
        <v/>
      </c>
      <c r="AD153" s="496" t="str">
        <f>IF(P153="","", IF(P153='G-1 All Habitats'!$X$3, AC153*J153*L153*O153,"None"))</f>
        <v/>
      </c>
      <c r="AE153" s="20" t="str">
        <f t="shared" si="15"/>
        <v/>
      </c>
      <c r="AF153" s="25" t="str">
        <f t="shared" si="16"/>
        <v/>
      </c>
      <c r="AG153" s="25" t="str">
        <f t="shared" si="12"/>
        <v/>
      </c>
      <c r="AH153" s="25" t="str">
        <f>IF(I153="","",IF(#REF!&gt;0,TRUE,FALSE))</f>
        <v/>
      </c>
      <c r="AI153" s="25">
        <v>143</v>
      </c>
      <c r="AJ153" s="25"/>
      <c r="AK153" s="25" t="str">
        <f t="array" ref="AK153">IFERROR(INDEX($AI$11:$AI$259, MATCH(0, IF(TRUE=$AF$11:$AF$259, COUNTIF($AK$10:$AK152, $AI$11:$AI$259), ""), 0)),"")</f>
        <v/>
      </c>
      <c r="AL153" s="25" t="str">
        <f t="array" ref="AL153">IFERROR(INDEX($AI$11:$AI$259, MATCH(0, IF(TRUE=$AG$11:$AG$259, COUNTIF($AL$10:$AL152, $AI$11:$AI$259), ""), 0)),"")</f>
        <v/>
      </c>
      <c r="AM153" s="25" t="str">
        <f t="array" ref="AM153">IFERROR(INDEX($AI$11:$AI$259, MATCH(0, IF(TRUE=$AH$11:$AH$259, COUNTIF($AM$10:$AM152, $AI$11:$AI$259), ""), 0)),"")</f>
        <v/>
      </c>
      <c r="AN153" s="25"/>
      <c r="AQ153" s="20">
        <f t="shared" si="17"/>
        <v>0</v>
      </c>
      <c r="AV153" s="540" t="str">
        <f>IFERROR(INDEX('G-1 All Habitats'!$B$3:$B$135,MATCH(F153,'G-1 All Habitats'!$A$3:$A$135,0)),"")</f>
        <v/>
      </c>
      <c r="AW153" s="20" t="str">
        <f>IF(AV153="","",VLOOKUP(AV153,'G-1 All Habitats'!$B$1:$T$135,19,FALSE))</f>
        <v/>
      </c>
    </row>
    <row r="154" spans="1:49" ht="14.5" thickBot="1" x14ac:dyDescent="0.35">
      <c r="A154" s="20" t="str">
        <f>IFERROR(INDEX('G-1 All Habitats'!$AG$3:$AG$17,MATCH(E154,'G-1 All Habitats'!$AF$3:$AF$17,0)),"")</f>
        <v/>
      </c>
      <c r="B154" s="20" t="str">
        <f>IFERROR(INDEX('G-8 Condition Look up'!$I$4:$I$135,MATCH(AV154,'G-8 Condition Look up'!$A$4:$A$135,0)),"")</f>
        <v/>
      </c>
      <c r="D154" s="238">
        <v>144</v>
      </c>
      <c r="E154" s="223"/>
      <c r="F154" s="45"/>
      <c r="G154" s="272"/>
      <c r="H154" s="37"/>
      <c r="I154" s="290" t="str">
        <f>IF(AV154="","",VLOOKUP(AV154,'G-1 All Habitats'!$B$2:$M$135,10,FALSE))</f>
        <v/>
      </c>
      <c r="J154" s="291" t="str">
        <f>IFERROR(VLOOKUP(I154,'G-1 All Habitats'!$V$3:$W$7,2,FALSE),"")</f>
        <v/>
      </c>
      <c r="K154" s="38"/>
      <c r="L154" s="291" t="str">
        <f>IFERROR(INDEX('G-8 Condition Look up'!$A$3:$H$135,MATCH(AV154,'G-8 Condition Look up'!$A$3:$A$135,0),MATCH(K154,'G-8 Condition Look up'!$A$3:$H$3,0)),"")</f>
        <v/>
      </c>
      <c r="M154" s="38"/>
      <c r="N154" s="310" t="str">
        <f>IF(M154="","",IF(VLOOKUP(M154,'G-3 Multipliers'!$L$3:$N$6,2,FALSE)=0,"Spatial Data Missing",VLOOKUP(M154,'G-3 Multipliers'!$L$3:$N$6,2,FALSE)))</f>
        <v/>
      </c>
      <c r="O154" s="296" t="str">
        <f>IF(M154="","",IF(VLOOKUP(M154,'G-3 Multipliers'!$L$3:$N$6,3,FALSE)=0,"Spatial Data Missing ▲",VLOOKUP(M154,'G-3 Multipliers'!$L$3:$N$6,3,FALSE)))</f>
        <v/>
      </c>
      <c r="P154" s="297" t="str">
        <f>(IF(G154="Yes","Bespoke compensation likely to be required 🛠",(IFERROR(VLOOKUP(AV154,'G-1 All Habitats'!$B$2:$M$135,12,FALSE),""))))</f>
        <v/>
      </c>
      <c r="Q154" s="304" t="str">
        <f>IFERROR(IF(AND(E154="Individual trees",T154&gt;0), "Error - you cannot enhance individual trees ▲", (IF(AND(U154="Irreplaceable habitat - no units generated ⚠",(S154+T154)&lt;H154, OR(Y154="No", Y154="")),"Any Loss Unacceptable ⚠", (IF(U154="Irreplaceable habitat - no units generated ⚠", T154*J154*L154*O154, IF(AND(P154='G-1 All Habitats'!$X$3, AC154&gt;0, S154&lt;=0, T154&lt;=0, OR(Y154="No", Y154="")),"Any Loss Unacceptable ⚠", IF(AND(P154='G-1 All Habitats'!$X$3, AC154&gt;0, S154&lt;=0, T154&lt;=0, Y154="Yes"), 0, (IF(AND(P154='G-1 All Habitats'!$X$3,(S154+T154)&lt;H154, OR(Y154="No", Y154="")),"Any Loss Unacceptable ⚠", (IF(P154="","",IF(AND(P154='G-1 All Habitats'!$X$3,T154&gt;0),U154+V154,IF(AND(P154='G-1 All Habitats'!$X$3,S154&gt;0),U154+V154,H154*J154*L154*O154))))))))))))),"Check Data ▲")</f>
        <v/>
      </c>
      <c r="R154" s="23"/>
      <c r="S154" s="38"/>
      <c r="T154" s="39"/>
      <c r="U154" s="302" t="str">
        <f t="shared" si="13"/>
        <v/>
      </c>
      <c r="V154" s="302" t="str">
        <f t="shared" si="14"/>
        <v/>
      </c>
      <c r="W154" s="302" t="str">
        <f>IF(E154="","",IF(H154&lt;S154+T154,"Error in Areas ▲",IF(P154&lt;&gt;'G-1 All Habitats'!$X$3,H154-S154-T154,IF(AND(P154='G-1 All Habitats'!$X$3,Y154="No"),AC154,IF(AND(P154='G-1 All Habitats'!$X$3,Y154=""),AC154,IF(AND(P154='G-1 All Habitats'!$X$3,AC154="None"),AC154,IF(AND(P154='G-1 All Habitats'!$X$3,AC154&gt;0),H154-S154-T154)))))))</f>
        <v/>
      </c>
      <c r="X154" s="306" t="str">
        <f>IFERROR(IF(H154="","",IF(H154-S154-T154=0&lt;0,"Error in Areas ▲",IF(S154+T154&gt;H154,"Error in Areas ▲",IF(AND(P154='G-1 All Habitats'!$X$3,Y154="Yes"),"Alternative Compensation ✓",IF(W154=0,0,IF(P154='G-1 All Habitats'!$X$3,"Any Loss Unacceptable ▲",Q154-U154-V154)))))),"Check Data ▲")</f>
        <v/>
      </c>
      <c r="Y154" s="39"/>
      <c r="Z154" s="46"/>
      <c r="AA154" s="419"/>
      <c r="AB154" s="101"/>
      <c r="AC154" s="495" t="str">
        <f>IF(OR(P154="", Y154="Yes"),"", IF(P154='G-1 All Habitats'!$X$3,H154-S154-T154,"None"))</f>
        <v/>
      </c>
      <c r="AD154" s="496" t="str">
        <f>IF(P154="","", IF(P154='G-1 All Habitats'!$X$3, AC154*J154*L154*O154,"None"))</f>
        <v/>
      </c>
      <c r="AE154" s="20" t="str">
        <f t="shared" si="15"/>
        <v/>
      </c>
      <c r="AF154" s="25" t="str">
        <f t="shared" si="16"/>
        <v/>
      </c>
      <c r="AG154" s="25" t="str">
        <f t="shared" si="12"/>
        <v/>
      </c>
      <c r="AH154" s="25" t="str">
        <f>IF(I154="","",IF(#REF!&gt;0,TRUE,FALSE))</f>
        <v/>
      </c>
      <c r="AI154" s="25">
        <v>144</v>
      </c>
      <c r="AJ154" s="25"/>
      <c r="AK154" s="25" t="str">
        <f t="array" ref="AK154">IFERROR(INDEX($AI$11:$AI$259, MATCH(0, IF(TRUE=$AF$11:$AF$259, COUNTIF($AK$10:$AK153, $AI$11:$AI$259), ""), 0)),"")</f>
        <v/>
      </c>
      <c r="AL154" s="25" t="str">
        <f t="array" ref="AL154">IFERROR(INDEX($AI$11:$AI$259, MATCH(0, IF(TRUE=$AG$11:$AG$259, COUNTIF($AL$10:$AL153, $AI$11:$AI$259), ""), 0)),"")</f>
        <v/>
      </c>
      <c r="AM154" s="25" t="str">
        <f t="array" ref="AM154">IFERROR(INDEX($AI$11:$AI$259, MATCH(0, IF(TRUE=$AH$11:$AH$259, COUNTIF($AM$10:$AM153, $AI$11:$AI$259), ""), 0)),"")</f>
        <v/>
      </c>
      <c r="AN154" s="25"/>
      <c r="AQ154" s="20">
        <f t="shared" si="17"/>
        <v>0</v>
      </c>
      <c r="AV154" s="540" t="str">
        <f>IFERROR(INDEX('G-1 All Habitats'!$B$3:$B$135,MATCH(F154,'G-1 All Habitats'!$A$3:$A$135,0)),"")</f>
        <v/>
      </c>
      <c r="AW154" s="20" t="str">
        <f>IF(AV154="","",VLOOKUP(AV154,'G-1 All Habitats'!$B$1:$T$135,19,FALSE))</f>
        <v/>
      </c>
    </row>
    <row r="155" spans="1:49" ht="14.5" thickBot="1" x14ac:dyDescent="0.35">
      <c r="A155" s="20" t="str">
        <f>IFERROR(INDEX('G-1 All Habitats'!$AG$3:$AG$17,MATCH(E155,'G-1 All Habitats'!$AF$3:$AF$17,0)),"")</f>
        <v/>
      </c>
      <c r="B155" s="20" t="str">
        <f>IFERROR(INDEX('G-8 Condition Look up'!$I$4:$I$135,MATCH(AV155,'G-8 Condition Look up'!$A$4:$A$135,0)),"")</f>
        <v/>
      </c>
      <c r="D155" s="238">
        <v>145</v>
      </c>
      <c r="E155" s="223"/>
      <c r="F155" s="45"/>
      <c r="G155" s="272"/>
      <c r="H155" s="37"/>
      <c r="I155" s="290" t="str">
        <f>IF(AV155="","",VLOOKUP(AV155,'G-1 All Habitats'!$B$2:$M$135,10,FALSE))</f>
        <v/>
      </c>
      <c r="J155" s="291" t="str">
        <f>IFERROR(VLOOKUP(I155,'G-1 All Habitats'!$V$3:$W$7,2,FALSE),"")</f>
        <v/>
      </c>
      <c r="K155" s="38"/>
      <c r="L155" s="291" t="str">
        <f>IFERROR(INDEX('G-8 Condition Look up'!$A$3:$H$135,MATCH(AV155,'G-8 Condition Look up'!$A$3:$A$135,0),MATCH(K155,'G-8 Condition Look up'!$A$3:$H$3,0)),"")</f>
        <v/>
      </c>
      <c r="M155" s="38"/>
      <c r="N155" s="310" t="str">
        <f>IF(M155="","",IF(VLOOKUP(M155,'G-3 Multipliers'!$L$3:$N$6,2,FALSE)=0,"Spatial Data Missing",VLOOKUP(M155,'G-3 Multipliers'!$L$3:$N$6,2,FALSE)))</f>
        <v/>
      </c>
      <c r="O155" s="296" t="str">
        <f>IF(M155="","",IF(VLOOKUP(M155,'G-3 Multipliers'!$L$3:$N$6,3,FALSE)=0,"Spatial Data Missing ▲",VLOOKUP(M155,'G-3 Multipliers'!$L$3:$N$6,3,FALSE)))</f>
        <v/>
      </c>
      <c r="P155" s="297" t="str">
        <f>(IF(G155="Yes","Bespoke compensation likely to be required 🛠",(IFERROR(VLOOKUP(AV155,'G-1 All Habitats'!$B$2:$M$135,12,FALSE),""))))</f>
        <v/>
      </c>
      <c r="Q155" s="304" t="str">
        <f>IFERROR(IF(AND(E155="Individual trees",T155&gt;0), "Error - you cannot enhance individual trees ▲", (IF(AND(U155="Irreplaceable habitat - no units generated ⚠",(S155+T155)&lt;H155, OR(Y155="No", Y155="")),"Any Loss Unacceptable ⚠", (IF(U155="Irreplaceable habitat - no units generated ⚠", T155*J155*L155*O155, IF(AND(P155='G-1 All Habitats'!$X$3, AC155&gt;0, S155&lt;=0, T155&lt;=0, OR(Y155="No", Y155="")),"Any Loss Unacceptable ⚠", IF(AND(P155='G-1 All Habitats'!$X$3, AC155&gt;0, S155&lt;=0, T155&lt;=0, Y155="Yes"), 0, (IF(AND(P155='G-1 All Habitats'!$X$3,(S155+T155)&lt;H155, OR(Y155="No", Y155="")),"Any Loss Unacceptable ⚠", (IF(P155="","",IF(AND(P155='G-1 All Habitats'!$X$3,T155&gt;0),U155+V155,IF(AND(P155='G-1 All Habitats'!$X$3,S155&gt;0),U155+V155,H155*J155*L155*O155))))))))))))),"Check Data ▲")</f>
        <v/>
      </c>
      <c r="R155" s="23"/>
      <c r="S155" s="38"/>
      <c r="T155" s="39"/>
      <c r="U155" s="302" t="str">
        <f t="shared" si="13"/>
        <v/>
      </c>
      <c r="V155" s="302" t="str">
        <f t="shared" si="14"/>
        <v/>
      </c>
      <c r="W155" s="302" t="str">
        <f>IF(E155="","",IF(H155&lt;S155+T155,"Error in Areas ▲",IF(P155&lt;&gt;'G-1 All Habitats'!$X$3,H155-S155-T155,IF(AND(P155='G-1 All Habitats'!$X$3,Y155="No"),AC155,IF(AND(P155='G-1 All Habitats'!$X$3,Y155=""),AC155,IF(AND(P155='G-1 All Habitats'!$X$3,AC155="None"),AC155,IF(AND(P155='G-1 All Habitats'!$X$3,AC155&gt;0),H155-S155-T155)))))))</f>
        <v/>
      </c>
      <c r="X155" s="306" t="str">
        <f>IFERROR(IF(H155="","",IF(H155-S155-T155=0&lt;0,"Error in Areas ▲",IF(S155+T155&gt;H155,"Error in Areas ▲",IF(AND(P155='G-1 All Habitats'!$X$3,Y155="Yes"),"Alternative Compensation ✓",IF(W155=0,0,IF(P155='G-1 All Habitats'!$X$3,"Any Loss Unacceptable ▲",Q155-U155-V155)))))),"Check Data ▲")</f>
        <v/>
      </c>
      <c r="Y155" s="39"/>
      <c r="Z155" s="46"/>
      <c r="AA155" s="419"/>
      <c r="AB155" s="101"/>
      <c r="AC155" s="495" t="str">
        <f>IF(OR(P155="", Y155="Yes"),"", IF(P155='G-1 All Habitats'!$X$3,H155-S155-T155,"None"))</f>
        <v/>
      </c>
      <c r="AD155" s="496" t="str">
        <f>IF(P155="","", IF(P155='G-1 All Habitats'!$X$3, AC155*J155*L155*O155,"None"))</f>
        <v/>
      </c>
      <c r="AE155" s="20" t="str">
        <f t="shared" si="15"/>
        <v/>
      </c>
      <c r="AF155" s="25" t="str">
        <f t="shared" si="16"/>
        <v/>
      </c>
      <c r="AG155" s="25" t="str">
        <f t="shared" si="12"/>
        <v/>
      </c>
      <c r="AH155" s="25" t="str">
        <f>IF(I155="","",IF(#REF!&gt;0,TRUE,FALSE))</f>
        <v/>
      </c>
      <c r="AI155" s="25">
        <v>145</v>
      </c>
      <c r="AJ155" s="25"/>
      <c r="AK155" s="25" t="str">
        <f t="array" ref="AK155">IFERROR(INDEX($AI$11:$AI$259, MATCH(0, IF(TRUE=$AF$11:$AF$259, COUNTIF($AK$10:$AK154, $AI$11:$AI$259), ""), 0)),"")</f>
        <v/>
      </c>
      <c r="AL155" s="25" t="str">
        <f t="array" ref="AL155">IFERROR(INDEX($AI$11:$AI$259, MATCH(0, IF(TRUE=$AG$11:$AG$259, COUNTIF($AL$10:$AL154, $AI$11:$AI$259), ""), 0)),"")</f>
        <v/>
      </c>
      <c r="AM155" s="25" t="str">
        <f t="array" ref="AM155">IFERROR(INDEX($AI$11:$AI$259, MATCH(0, IF(TRUE=$AH$11:$AH$259, COUNTIF($AM$10:$AM154, $AI$11:$AI$259), ""), 0)),"")</f>
        <v/>
      </c>
      <c r="AN155" s="25"/>
      <c r="AQ155" s="20">
        <f t="shared" si="17"/>
        <v>0</v>
      </c>
      <c r="AV155" s="540" t="str">
        <f>IFERROR(INDEX('G-1 All Habitats'!$B$3:$B$135,MATCH(F155,'G-1 All Habitats'!$A$3:$A$135,0)),"")</f>
        <v/>
      </c>
      <c r="AW155" s="20" t="str">
        <f>IF(AV155="","",VLOOKUP(AV155,'G-1 All Habitats'!$B$1:$T$135,19,FALSE))</f>
        <v/>
      </c>
    </row>
    <row r="156" spans="1:49" ht="14.5" thickBot="1" x14ac:dyDescent="0.35">
      <c r="A156" s="20" t="str">
        <f>IFERROR(INDEX('G-1 All Habitats'!$AG$3:$AG$17,MATCH(E156,'G-1 All Habitats'!$AF$3:$AF$17,0)),"")</f>
        <v/>
      </c>
      <c r="B156" s="20" t="str">
        <f>IFERROR(INDEX('G-8 Condition Look up'!$I$4:$I$135,MATCH(AV156,'G-8 Condition Look up'!$A$4:$A$135,0)),"")</f>
        <v/>
      </c>
      <c r="D156" s="238">
        <v>146</v>
      </c>
      <c r="E156" s="223"/>
      <c r="F156" s="45"/>
      <c r="G156" s="272"/>
      <c r="H156" s="37"/>
      <c r="I156" s="290" t="str">
        <f>IF(AV156="","",VLOOKUP(AV156,'G-1 All Habitats'!$B$2:$M$135,10,FALSE))</f>
        <v/>
      </c>
      <c r="J156" s="291" t="str">
        <f>IFERROR(VLOOKUP(I156,'G-1 All Habitats'!$V$3:$W$7,2,FALSE),"")</f>
        <v/>
      </c>
      <c r="K156" s="38"/>
      <c r="L156" s="291" t="str">
        <f>IFERROR(INDEX('G-8 Condition Look up'!$A$3:$H$135,MATCH(AV156,'G-8 Condition Look up'!$A$3:$A$135,0),MATCH(K156,'G-8 Condition Look up'!$A$3:$H$3,0)),"")</f>
        <v/>
      </c>
      <c r="M156" s="38"/>
      <c r="N156" s="310" t="str">
        <f>IF(M156="","",IF(VLOOKUP(M156,'G-3 Multipliers'!$L$3:$N$6,2,FALSE)=0,"Spatial Data Missing",VLOOKUP(M156,'G-3 Multipliers'!$L$3:$N$6,2,FALSE)))</f>
        <v/>
      </c>
      <c r="O156" s="296" t="str">
        <f>IF(M156="","",IF(VLOOKUP(M156,'G-3 Multipliers'!$L$3:$N$6,3,FALSE)=0,"Spatial Data Missing ▲",VLOOKUP(M156,'G-3 Multipliers'!$L$3:$N$6,3,FALSE)))</f>
        <v/>
      </c>
      <c r="P156" s="297" t="str">
        <f>(IF(G156="Yes","Bespoke compensation likely to be required 🛠",(IFERROR(VLOOKUP(AV156,'G-1 All Habitats'!$B$2:$M$135,12,FALSE),""))))</f>
        <v/>
      </c>
      <c r="Q156" s="304" t="str">
        <f>IFERROR(IF(AND(E156="Individual trees",T156&gt;0), "Error - you cannot enhance individual trees ▲", (IF(AND(U156="Irreplaceable habitat - no units generated ⚠",(S156+T156)&lt;H156, OR(Y156="No", Y156="")),"Any Loss Unacceptable ⚠", (IF(U156="Irreplaceable habitat - no units generated ⚠", T156*J156*L156*O156, IF(AND(P156='G-1 All Habitats'!$X$3, AC156&gt;0, S156&lt;=0, T156&lt;=0, OR(Y156="No", Y156="")),"Any Loss Unacceptable ⚠", IF(AND(P156='G-1 All Habitats'!$X$3, AC156&gt;0, S156&lt;=0, T156&lt;=0, Y156="Yes"), 0, (IF(AND(P156='G-1 All Habitats'!$X$3,(S156+T156)&lt;H156, OR(Y156="No", Y156="")),"Any Loss Unacceptable ⚠", (IF(P156="","",IF(AND(P156='G-1 All Habitats'!$X$3,T156&gt;0),U156+V156,IF(AND(P156='G-1 All Habitats'!$X$3,S156&gt;0),U156+V156,H156*J156*L156*O156))))))))))))),"Check Data ▲")</f>
        <v/>
      </c>
      <c r="R156" s="23"/>
      <c r="S156" s="38"/>
      <c r="T156" s="39"/>
      <c r="U156" s="302" t="str">
        <f t="shared" si="13"/>
        <v/>
      </c>
      <c r="V156" s="302" t="str">
        <f t="shared" si="14"/>
        <v/>
      </c>
      <c r="W156" s="302" t="str">
        <f>IF(E156="","",IF(H156&lt;S156+T156,"Error in Areas ▲",IF(P156&lt;&gt;'G-1 All Habitats'!$X$3,H156-S156-T156,IF(AND(P156='G-1 All Habitats'!$X$3,Y156="No"),AC156,IF(AND(P156='G-1 All Habitats'!$X$3,Y156=""),AC156,IF(AND(P156='G-1 All Habitats'!$X$3,AC156="None"),AC156,IF(AND(P156='G-1 All Habitats'!$X$3,AC156&gt;0),H156-S156-T156)))))))</f>
        <v/>
      </c>
      <c r="X156" s="306" t="str">
        <f>IFERROR(IF(H156="","",IF(H156-S156-T156=0&lt;0,"Error in Areas ▲",IF(S156+T156&gt;H156,"Error in Areas ▲",IF(AND(P156='G-1 All Habitats'!$X$3,Y156="Yes"),"Alternative Compensation ✓",IF(W156=0,0,IF(P156='G-1 All Habitats'!$X$3,"Any Loss Unacceptable ▲",Q156-U156-V156)))))),"Check Data ▲")</f>
        <v/>
      </c>
      <c r="Y156" s="39"/>
      <c r="Z156" s="46"/>
      <c r="AA156" s="419"/>
      <c r="AB156" s="101"/>
      <c r="AC156" s="495" t="str">
        <f>IF(OR(P156="", Y156="Yes"),"", IF(P156='G-1 All Habitats'!$X$3,H156-S156-T156,"None"))</f>
        <v/>
      </c>
      <c r="AD156" s="496" t="str">
        <f>IF(P156="","", IF(P156='G-1 All Habitats'!$X$3, AC156*J156*L156*O156,"None"))</f>
        <v/>
      </c>
      <c r="AE156" s="20" t="str">
        <f t="shared" si="15"/>
        <v/>
      </c>
      <c r="AF156" s="25" t="str">
        <f t="shared" si="16"/>
        <v/>
      </c>
      <c r="AG156" s="25" t="str">
        <f t="shared" si="12"/>
        <v/>
      </c>
      <c r="AH156" s="25" t="str">
        <f>IF(I156="","",IF(#REF!&gt;0,TRUE,FALSE))</f>
        <v/>
      </c>
      <c r="AI156" s="25">
        <v>146</v>
      </c>
      <c r="AJ156" s="25"/>
      <c r="AK156" s="25" t="str">
        <f t="array" ref="AK156">IFERROR(INDEX($AI$11:$AI$259, MATCH(0, IF(TRUE=$AF$11:$AF$259, COUNTIF($AK$10:$AK155, $AI$11:$AI$259), ""), 0)),"")</f>
        <v/>
      </c>
      <c r="AL156" s="25" t="str">
        <f t="array" ref="AL156">IFERROR(INDEX($AI$11:$AI$259, MATCH(0, IF(TRUE=$AG$11:$AG$259, COUNTIF($AL$10:$AL155, $AI$11:$AI$259), ""), 0)),"")</f>
        <v/>
      </c>
      <c r="AM156" s="25" t="str">
        <f t="array" ref="AM156">IFERROR(INDEX($AI$11:$AI$259, MATCH(0, IF(TRUE=$AH$11:$AH$259, COUNTIF($AM$10:$AM155, $AI$11:$AI$259), ""), 0)),"")</f>
        <v/>
      </c>
      <c r="AN156" s="25"/>
      <c r="AQ156" s="20">
        <f t="shared" si="17"/>
        <v>0</v>
      </c>
      <c r="AV156" s="540" t="str">
        <f>IFERROR(INDEX('G-1 All Habitats'!$B$3:$B$135,MATCH(F156,'G-1 All Habitats'!$A$3:$A$135,0)),"")</f>
        <v/>
      </c>
      <c r="AW156" s="20" t="str">
        <f>IF(AV156="","",VLOOKUP(AV156,'G-1 All Habitats'!$B$1:$T$135,19,FALSE))</f>
        <v/>
      </c>
    </row>
    <row r="157" spans="1:49" ht="14.5" thickBot="1" x14ac:dyDescent="0.35">
      <c r="A157" s="20" t="str">
        <f>IFERROR(INDEX('G-1 All Habitats'!$AG$3:$AG$17,MATCH(E157,'G-1 All Habitats'!$AF$3:$AF$17,0)),"")</f>
        <v/>
      </c>
      <c r="B157" s="20" t="str">
        <f>IFERROR(INDEX('G-8 Condition Look up'!$I$4:$I$135,MATCH(AV157,'G-8 Condition Look up'!$A$4:$A$135,0)),"")</f>
        <v/>
      </c>
      <c r="D157" s="238">
        <v>147</v>
      </c>
      <c r="E157" s="223"/>
      <c r="F157" s="45"/>
      <c r="G157" s="272"/>
      <c r="H157" s="37"/>
      <c r="I157" s="290" t="str">
        <f>IF(AV157="","",VLOOKUP(AV157,'G-1 All Habitats'!$B$2:$M$135,10,FALSE))</f>
        <v/>
      </c>
      <c r="J157" s="291" t="str">
        <f>IFERROR(VLOOKUP(I157,'G-1 All Habitats'!$V$3:$W$7,2,FALSE),"")</f>
        <v/>
      </c>
      <c r="K157" s="38"/>
      <c r="L157" s="291" t="str">
        <f>IFERROR(INDEX('G-8 Condition Look up'!$A$3:$H$135,MATCH(AV157,'G-8 Condition Look up'!$A$3:$A$135,0),MATCH(K157,'G-8 Condition Look up'!$A$3:$H$3,0)),"")</f>
        <v/>
      </c>
      <c r="M157" s="38"/>
      <c r="N157" s="310" t="str">
        <f>IF(M157="","",IF(VLOOKUP(M157,'G-3 Multipliers'!$L$3:$N$6,2,FALSE)=0,"Spatial Data Missing",VLOOKUP(M157,'G-3 Multipliers'!$L$3:$N$6,2,FALSE)))</f>
        <v/>
      </c>
      <c r="O157" s="296" t="str">
        <f>IF(M157="","",IF(VLOOKUP(M157,'G-3 Multipliers'!$L$3:$N$6,3,FALSE)=0,"Spatial Data Missing ▲",VLOOKUP(M157,'G-3 Multipliers'!$L$3:$N$6,3,FALSE)))</f>
        <v/>
      </c>
      <c r="P157" s="297" t="str">
        <f>(IF(G157="Yes","Bespoke compensation likely to be required 🛠",(IFERROR(VLOOKUP(AV157,'G-1 All Habitats'!$B$2:$M$135,12,FALSE),""))))</f>
        <v/>
      </c>
      <c r="Q157" s="304" t="str">
        <f>IFERROR(IF(AND(E157="Individual trees",T157&gt;0), "Error - you cannot enhance individual trees ▲", (IF(AND(U157="Irreplaceable habitat - no units generated ⚠",(S157+T157)&lt;H157, OR(Y157="No", Y157="")),"Any Loss Unacceptable ⚠", (IF(U157="Irreplaceable habitat - no units generated ⚠", T157*J157*L157*O157, IF(AND(P157='G-1 All Habitats'!$X$3, AC157&gt;0, S157&lt;=0, T157&lt;=0, OR(Y157="No", Y157="")),"Any Loss Unacceptable ⚠", IF(AND(P157='G-1 All Habitats'!$X$3, AC157&gt;0, S157&lt;=0, T157&lt;=0, Y157="Yes"), 0, (IF(AND(P157='G-1 All Habitats'!$X$3,(S157+T157)&lt;H157, OR(Y157="No", Y157="")),"Any Loss Unacceptable ⚠", (IF(P157="","",IF(AND(P157='G-1 All Habitats'!$X$3,T157&gt;0),U157+V157,IF(AND(P157='G-1 All Habitats'!$X$3,S157&gt;0),U157+V157,H157*J157*L157*O157))))))))))))),"Check Data ▲")</f>
        <v/>
      </c>
      <c r="R157" s="23"/>
      <c r="S157" s="38"/>
      <c r="T157" s="39"/>
      <c r="U157" s="302" t="str">
        <f t="shared" si="13"/>
        <v/>
      </c>
      <c r="V157" s="302" t="str">
        <f t="shared" si="14"/>
        <v/>
      </c>
      <c r="W157" s="302" t="str">
        <f>IF(E157="","",IF(H157&lt;S157+T157,"Error in Areas ▲",IF(P157&lt;&gt;'G-1 All Habitats'!$X$3,H157-S157-T157,IF(AND(P157='G-1 All Habitats'!$X$3,Y157="No"),AC157,IF(AND(P157='G-1 All Habitats'!$X$3,Y157=""),AC157,IF(AND(P157='G-1 All Habitats'!$X$3,AC157="None"),AC157,IF(AND(P157='G-1 All Habitats'!$X$3,AC157&gt;0),H157-S157-T157)))))))</f>
        <v/>
      </c>
      <c r="X157" s="306" t="str">
        <f>IFERROR(IF(H157="","",IF(H157-S157-T157=0&lt;0,"Error in Areas ▲",IF(S157+T157&gt;H157,"Error in Areas ▲",IF(AND(P157='G-1 All Habitats'!$X$3,Y157="Yes"),"Alternative Compensation ✓",IF(W157=0,0,IF(P157='G-1 All Habitats'!$X$3,"Any Loss Unacceptable ▲",Q157-U157-V157)))))),"Check Data ▲")</f>
        <v/>
      </c>
      <c r="Y157" s="39"/>
      <c r="Z157" s="46"/>
      <c r="AA157" s="419"/>
      <c r="AB157" s="101"/>
      <c r="AC157" s="495" t="str">
        <f>IF(OR(P157="", Y157="Yes"),"", IF(P157='G-1 All Habitats'!$X$3,H157-S157-T157,"None"))</f>
        <v/>
      </c>
      <c r="AD157" s="496" t="str">
        <f>IF(P157="","", IF(P157='G-1 All Habitats'!$X$3, AC157*J157*L157*O157,"None"))</f>
        <v/>
      </c>
      <c r="AE157" s="20" t="str">
        <f t="shared" si="15"/>
        <v/>
      </c>
      <c r="AF157" s="25" t="str">
        <f t="shared" si="16"/>
        <v/>
      </c>
      <c r="AG157" s="25" t="str">
        <f t="shared" si="12"/>
        <v/>
      </c>
      <c r="AH157" s="25" t="str">
        <f>IF(I157="","",IF(#REF!&gt;0,TRUE,FALSE))</f>
        <v/>
      </c>
      <c r="AI157" s="25">
        <v>147</v>
      </c>
      <c r="AJ157" s="25"/>
      <c r="AK157" s="25" t="str">
        <f t="array" ref="AK157">IFERROR(INDEX($AI$11:$AI$259, MATCH(0, IF(TRUE=$AF$11:$AF$259, COUNTIF($AK$10:$AK156, $AI$11:$AI$259), ""), 0)),"")</f>
        <v/>
      </c>
      <c r="AL157" s="25" t="str">
        <f t="array" ref="AL157">IFERROR(INDEX($AI$11:$AI$259, MATCH(0, IF(TRUE=$AG$11:$AG$259, COUNTIF($AL$10:$AL156, $AI$11:$AI$259), ""), 0)),"")</f>
        <v/>
      </c>
      <c r="AM157" s="25" t="str">
        <f t="array" ref="AM157">IFERROR(INDEX($AI$11:$AI$259, MATCH(0, IF(TRUE=$AH$11:$AH$259, COUNTIF($AM$10:$AM156, $AI$11:$AI$259), ""), 0)),"")</f>
        <v/>
      </c>
      <c r="AN157" s="25"/>
      <c r="AQ157" s="20">
        <f t="shared" si="17"/>
        <v>0</v>
      </c>
      <c r="AV157" s="540" t="str">
        <f>IFERROR(INDEX('G-1 All Habitats'!$B$3:$B$135,MATCH(F157,'G-1 All Habitats'!$A$3:$A$135,0)),"")</f>
        <v/>
      </c>
      <c r="AW157" s="20" t="str">
        <f>IF(AV157="","",VLOOKUP(AV157,'G-1 All Habitats'!$B$1:$T$135,19,FALSE))</f>
        <v/>
      </c>
    </row>
    <row r="158" spans="1:49" ht="14.5" thickBot="1" x14ac:dyDescent="0.35">
      <c r="A158" s="20" t="str">
        <f>IFERROR(INDEX('G-1 All Habitats'!$AG$3:$AG$17,MATCH(E158,'G-1 All Habitats'!$AF$3:$AF$17,0)),"")</f>
        <v/>
      </c>
      <c r="B158" s="20" t="str">
        <f>IFERROR(INDEX('G-8 Condition Look up'!$I$4:$I$135,MATCH(AV158,'G-8 Condition Look up'!$A$4:$A$135,0)),"")</f>
        <v/>
      </c>
      <c r="D158" s="238">
        <v>148</v>
      </c>
      <c r="E158" s="223"/>
      <c r="F158" s="45"/>
      <c r="G158" s="272"/>
      <c r="H158" s="37"/>
      <c r="I158" s="290" t="str">
        <f>IF(AV158="","",VLOOKUP(AV158,'G-1 All Habitats'!$B$2:$M$135,10,FALSE))</f>
        <v/>
      </c>
      <c r="J158" s="291" t="str">
        <f>IFERROR(VLOOKUP(I158,'G-1 All Habitats'!$V$3:$W$7,2,FALSE),"")</f>
        <v/>
      </c>
      <c r="K158" s="38"/>
      <c r="L158" s="291" t="str">
        <f>IFERROR(INDEX('G-8 Condition Look up'!$A$3:$H$135,MATCH(AV158,'G-8 Condition Look up'!$A$3:$A$135,0),MATCH(K158,'G-8 Condition Look up'!$A$3:$H$3,0)),"")</f>
        <v/>
      </c>
      <c r="M158" s="38"/>
      <c r="N158" s="310" t="str">
        <f>IF(M158="","",IF(VLOOKUP(M158,'G-3 Multipliers'!$L$3:$N$6,2,FALSE)=0,"Spatial Data Missing",VLOOKUP(M158,'G-3 Multipliers'!$L$3:$N$6,2,FALSE)))</f>
        <v/>
      </c>
      <c r="O158" s="296" t="str">
        <f>IF(M158="","",IF(VLOOKUP(M158,'G-3 Multipliers'!$L$3:$N$6,3,FALSE)=0,"Spatial Data Missing ▲",VLOOKUP(M158,'G-3 Multipliers'!$L$3:$N$6,3,FALSE)))</f>
        <v/>
      </c>
      <c r="P158" s="297" t="str">
        <f>(IF(G158="Yes","Bespoke compensation likely to be required 🛠",(IFERROR(VLOOKUP(AV158,'G-1 All Habitats'!$B$2:$M$135,12,FALSE),""))))</f>
        <v/>
      </c>
      <c r="Q158" s="304" t="str">
        <f>IFERROR(IF(AND(E158="Individual trees",T158&gt;0), "Error - you cannot enhance individual trees ▲", (IF(AND(U158="Irreplaceable habitat - no units generated ⚠",(S158+T158)&lt;H158, OR(Y158="No", Y158="")),"Any Loss Unacceptable ⚠", (IF(U158="Irreplaceable habitat - no units generated ⚠", T158*J158*L158*O158, IF(AND(P158='G-1 All Habitats'!$X$3, AC158&gt;0, S158&lt;=0, T158&lt;=0, OR(Y158="No", Y158="")),"Any Loss Unacceptable ⚠", IF(AND(P158='G-1 All Habitats'!$X$3, AC158&gt;0, S158&lt;=0, T158&lt;=0, Y158="Yes"), 0, (IF(AND(P158='G-1 All Habitats'!$X$3,(S158+T158)&lt;H158, OR(Y158="No", Y158="")),"Any Loss Unacceptable ⚠", (IF(P158="","",IF(AND(P158='G-1 All Habitats'!$X$3,T158&gt;0),U158+V158,IF(AND(P158='G-1 All Habitats'!$X$3,S158&gt;0),U158+V158,H158*J158*L158*O158))))))))))))),"Check Data ▲")</f>
        <v/>
      </c>
      <c r="R158" s="23"/>
      <c r="S158" s="38"/>
      <c r="T158" s="39"/>
      <c r="U158" s="302" t="str">
        <f t="shared" si="13"/>
        <v/>
      </c>
      <c r="V158" s="302" t="str">
        <f t="shared" si="14"/>
        <v/>
      </c>
      <c r="W158" s="302" t="str">
        <f>IF(E158="","",IF(H158&lt;S158+T158,"Error in Areas ▲",IF(P158&lt;&gt;'G-1 All Habitats'!$X$3,H158-S158-T158,IF(AND(P158='G-1 All Habitats'!$X$3,Y158="No"),AC158,IF(AND(P158='G-1 All Habitats'!$X$3,Y158=""),AC158,IF(AND(P158='G-1 All Habitats'!$X$3,AC158="None"),AC158,IF(AND(P158='G-1 All Habitats'!$X$3,AC158&gt;0),H158-S158-T158)))))))</f>
        <v/>
      </c>
      <c r="X158" s="306" t="str">
        <f>IFERROR(IF(H158="","",IF(H158-S158-T158=0&lt;0,"Error in Areas ▲",IF(S158+T158&gt;H158,"Error in Areas ▲",IF(AND(P158='G-1 All Habitats'!$X$3,Y158="Yes"),"Alternative Compensation ✓",IF(W158=0,0,IF(P158='G-1 All Habitats'!$X$3,"Any Loss Unacceptable ▲",Q158-U158-V158)))))),"Check Data ▲")</f>
        <v/>
      </c>
      <c r="Y158" s="39"/>
      <c r="Z158" s="46"/>
      <c r="AA158" s="419"/>
      <c r="AB158" s="101"/>
      <c r="AC158" s="495" t="str">
        <f>IF(OR(P158="", Y158="Yes"),"", IF(P158='G-1 All Habitats'!$X$3,H158-S158-T158,"None"))</f>
        <v/>
      </c>
      <c r="AD158" s="496" t="str">
        <f>IF(P158="","", IF(P158='G-1 All Habitats'!$X$3, AC158*J158*L158*O158,"None"))</f>
        <v/>
      </c>
      <c r="AE158" s="20" t="str">
        <f t="shared" si="15"/>
        <v/>
      </c>
      <c r="AF158" s="25" t="str">
        <f t="shared" si="16"/>
        <v/>
      </c>
      <c r="AG158" s="25" t="str">
        <f t="shared" si="12"/>
        <v/>
      </c>
      <c r="AH158" s="25" t="str">
        <f>IF(I158="","",IF(#REF!&gt;0,TRUE,FALSE))</f>
        <v/>
      </c>
      <c r="AI158" s="25">
        <v>148</v>
      </c>
      <c r="AJ158" s="25"/>
      <c r="AK158" s="25" t="str">
        <f t="array" ref="AK158">IFERROR(INDEX($AI$11:$AI$259, MATCH(0, IF(TRUE=$AF$11:$AF$259, COUNTIF($AK$10:$AK157, $AI$11:$AI$259), ""), 0)),"")</f>
        <v/>
      </c>
      <c r="AL158" s="25" t="str">
        <f t="array" ref="AL158">IFERROR(INDEX($AI$11:$AI$259, MATCH(0, IF(TRUE=$AG$11:$AG$259, COUNTIF($AL$10:$AL157, $AI$11:$AI$259), ""), 0)),"")</f>
        <v/>
      </c>
      <c r="AM158" s="25" t="str">
        <f t="array" ref="AM158">IFERROR(INDEX($AI$11:$AI$259, MATCH(0, IF(TRUE=$AH$11:$AH$259, COUNTIF($AM$10:$AM157, $AI$11:$AI$259), ""), 0)),"")</f>
        <v/>
      </c>
      <c r="AN158" s="25"/>
      <c r="AQ158" s="20">
        <f t="shared" si="17"/>
        <v>0</v>
      </c>
      <c r="AV158" s="540" t="str">
        <f>IFERROR(INDEX('G-1 All Habitats'!$B$3:$B$135,MATCH(F158,'G-1 All Habitats'!$A$3:$A$135,0)),"")</f>
        <v/>
      </c>
      <c r="AW158" s="20" t="str">
        <f>IF(AV158="","",VLOOKUP(AV158,'G-1 All Habitats'!$B$1:$T$135,19,FALSE))</f>
        <v/>
      </c>
    </row>
    <row r="159" spans="1:49" ht="14.5" thickBot="1" x14ac:dyDescent="0.35">
      <c r="A159" s="20" t="str">
        <f>IFERROR(INDEX('G-1 All Habitats'!$AG$3:$AG$17,MATCH(E159,'G-1 All Habitats'!$AF$3:$AF$17,0)),"")</f>
        <v/>
      </c>
      <c r="B159" s="20" t="str">
        <f>IFERROR(INDEX('G-8 Condition Look up'!$I$4:$I$135,MATCH(AV159,'G-8 Condition Look up'!$A$4:$A$135,0)),"")</f>
        <v/>
      </c>
      <c r="D159" s="238">
        <v>149</v>
      </c>
      <c r="E159" s="223"/>
      <c r="F159" s="45"/>
      <c r="G159" s="272"/>
      <c r="H159" s="37"/>
      <c r="I159" s="290" t="str">
        <f>IF(AV159="","",VLOOKUP(AV159,'G-1 All Habitats'!$B$2:$M$135,10,FALSE))</f>
        <v/>
      </c>
      <c r="J159" s="291" t="str">
        <f>IFERROR(VLOOKUP(I159,'G-1 All Habitats'!$V$3:$W$7,2,FALSE),"")</f>
        <v/>
      </c>
      <c r="K159" s="38"/>
      <c r="L159" s="291" t="str">
        <f>IFERROR(INDEX('G-8 Condition Look up'!$A$3:$H$135,MATCH(AV159,'G-8 Condition Look up'!$A$3:$A$135,0),MATCH(K159,'G-8 Condition Look up'!$A$3:$H$3,0)),"")</f>
        <v/>
      </c>
      <c r="M159" s="38"/>
      <c r="N159" s="310" t="str">
        <f>IF(M159="","",IF(VLOOKUP(M159,'G-3 Multipliers'!$L$3:$N$6,2,FALSE)=0,"Spatial Data Missing",VLOOKUP(M159,'G-3 Multipliers'!$L$3:$N$6,2,FALSE)))</f>
        <v/>
      </c>
      <c r="O159" s="296" t="str">
        <f>IF(M159="","",IF(VLOOKUP(M159,'G-3 Multipliers'!$L$3:$N$6,3,FALSE)=0,"Spatial Data Missing ▲",VLOOKUP(M159,'G-3 Multipliers'!$L$3:$N$6,3,FALSE)))</f>
        <v/>
      </c>
      <c r="P159" s="297" t="str">
        <f>(IF(G159="Yes","Bespoke compensation likely to be required 🛠",(IFERROR(VLOOKUP(AV159,'G-1 All Habitats'!$B$2:$M$135,12,FALSE),""))))</f>
        <v/>
      </c>
      <c r="Q159" s="304" t="str">
        <f>IFERROR(IF(AND(E159="Individual trees",T159&gt;0), "Error - you cannot enhance individual trees ▲", (IF(AND(U159="Irreplaceable habitat - no units generated ⚠",(S159+T159)&lt;H159, OR(Y159="No", Y159="")),"Any Loss Unacceptable ⚠", (IF(U159="Irreplaceable habitat - no units generated ⚠", T159*J159*L159*O159, IF(AND(P159='G-1 All Habitats'!$X$3, AC159&gt;0, S159&lt;=0, T159&lt;=0, OR(Y159="No", Y159="")),"Any Loss Unacceptable ⚠", IF(AND(P159='G-1 All Habitats'!$X$3, AC159&gt;0, S159&lt;=0, T159&lt;=0, Y159="Yes"), 0, (IF(AND(P159='G-1 All Habitats'!$X$3,(S159+T159)&lt;H159, OR(Y159="No", Y159="")),"Any Loss Unacceptable ⚠", (IF(P159="","",IF(AND(P159='G-1 All Habitats'!$X$3,T159&gt;0),U159+V159,IF(AND(P159='G-1 All Habitats'!$X$3,S159&gt;0),U159+V159,H159*J159*L159*O159))))))))))))),"Check Data ▲")</f>
        <v/>
      </c>
      <c r="R159" s="23"/>
      <c r="S159" s="38"/>
      <c r="T159" s="39"/>
      <c r="U159" s="302" t="str">
        <f t="shared" si="13"/>
        <v/>
      </c>
      <c r="V159" s="302" t="str">
        <f t="shared" si="14"/>
        <v/>
      </c>
      <c r="W159" s="302" t="str">
        <f>IF(E159="","",IF(H159&lt;S159+T159,"Error in Areas ▲",IF(P159&lt;&gt;'G-1 All Habitats'!$X$3,H159-S159-T159,IF(AND(P159='G-1 All Habitats'!$X$3,Y159="No"),AC159,IF(AND(P159='G-1 All Habitats'!$X$3,Y159=""),AC159,IF(AND(P159='G-1 All Habitats'!$X$3,AC159="None"),AC159,IF(AND(P159='G-1 All Habitats'!$X$3,AC159&gt;0),H159-S159-T159)))))))</f>
        <v/>
      </c>
      <c r="X159" s="306" t="str">
        <f>IFERROR(IF(H159="","",IF(H159-S159-T159=0&lt;0,"Error in Areas ▲",IF(S159+T159&gt;H159,"Error in Areas ▲",IF(AND(P159='G-1 All Habitats'!$X$3,Y159="Yes"),"Alternative Compensation ✓",IF(W159=0,0,IF(P159='G-1 All Habitats'!$X$3,"Any Loss Unacceptable ▲",Q159-U159-V159)))))),"Check Data ▲")</f>
        <v/>
      </c>
      <c r="Y159" s="39"/>
      <c r="Z159" s="46"/>
      <c r="AA159" s="419"/>
      <c r="AB159" s="101"/>
      <c r="AC159" s="495" t="str">
        <f>IF(OR(P159="", Y159="Yes"),"", IF(P159='G-1 All Habitats'!$X$3,H159-S159-T159,"None"))</f>
        <v/>
      </c>
      <c r="AD159" s="496" t="str">
        <f>IF(P159="","", IF(P159='G-1 All Habitats'!$X$3, AC159*J159*L159*O159,"None"))</f>
        <v/>
      </c>
      <c r="AE159" s="20" t="str">
        <f t="shared" si="15"/>
        <v/>
      </c>
      <c r="AF159" s="25" t="str">
        <f t="shared" si="16"/>
        <v/>
      </c>
      <c r="AG159" s="25" t="str">
        <f t="shared" si="12"/>
        <v/>
      </c>
      <c r="AH159" s="25" t="str">
        <f>IF(I159="","",IF(#REF!&gt;0,TRUE,FALSE))</f>
        <v/>
      </c>
      <c r="AI159" s="25">
        <v>149</v>
      </c>
      <c r="AJ159" s="25"/>
      <c r="AK159" s="25" t="str">
        <f t="array" ref="AK159">IFERROR(INDEX($AI$11:$AI$259, MATCH(0, IF(TRUE=$AF$11:$AF$259, COUNTIF($AK$10:$AK158, $AI$11:$AI$259), ""), 0)),"")</f>
        <v/>
      </c>
      <c r="AL159" s="25" t="str">
        <f t="array" ref="AL159">IFERROR(INDEX($AI$11:$AI$259, MATCH(0, IF(TRUE=$AG$11:$AG$259, COUNTIF($AL$10:$AL158, $AI$11:$AI$259), ""), 0)),"")</f>
        <v/>
      </c>
      <c r="AM159" s="25" t="str">
        <f t="array" ref="AM159">IFERROR(INDEX($AI$11:$AI$259, MATCH(0, IF(TRUE=$AH$11:$AH$259, COUNTIF($AM$10:$AM158, $AI$11:$AI$259), ""), 0)),"")</f>
        <v/>
      </c>
      <c r="AN159" s="25"/>
      <c r="AQ159" s="20">
        <f t="shared" si="17"/>
        <v>0</v>
      </c>
      <c r="AV159" s="540" t="str">
        <f>IFERROR(INDEX('G-1 All Habitats'!$B$3:$B$135,MATCH(F159,'G-1 All Habitats'!$A$3:$A$135,0)),"")</f>
        <v/>
      </c>
      <c r="AW159" s="20" t="str">
        <f>IF(AV159="","",VLOOKUP(AV159,'G-1 All Habitats'!$B$1:$T$135,19,FALSE))</f>
        <v/>
      </c>
    </row>
    <row r="160" spans="1:49" ht="14.5" thickBot="1" x14ac:dyDescent="0.35">
      <c r="A160" s="20" t="str">
        <f>IFERROR(INDEX('G-1 All Habitats'!$AG$3:$AG$17,MATCH(E160,'G-1 All Habitats'!$AF$3:$AF$17,0)),"")</f>
        <v/>
      </c>
      <c r="B160" s="20" t="str">
        <f>IFERROR(INDEX('G-8 Condition Look up'!$I$4:$I$135,MATCH(AV160,'G-8 Condition Look up'!$A$4:$A$135,0)),"")</f>
        <v/>
      </c>
      <c r="D160" s="238">
        <v>150</v>
      </c>
      <c r="E160" s="223"/>
      <c r="F160" s="45"/>
      <c r="G160" s="272"/>
      <c r="H160" s="37"/>
      <c r="I160" s="290" t="str">
        <f>IF(AV160="","",VLOOKUP(AV160,'G-1 All Habitats'!$B$2:$M$135,10,FALSE))</f>
        <v/>
      </c>
      <c r="J160" s="291" t="str">
        <f>IFERROR(VLOOKUP(I160,'G-1 All Habitats'!$V$3:$W$7,2,FALSE),"")</f>
        <v/>
      </c>
      <c r="K160" s="38"/>
      <c r="L160" s="291" t="str">
        <f>IFERROR(INDEX('G-8 Condition Look up'!$A$3:$H$135,MATCH(AV160,'G-8 Condition Look up'!$A$3:$A$135,0),MATCH(K160,'G-8 Condition Look up'!$A$3:$H$3,0)),"")</f>
        <v/>
      </c>
      <c r="M160" s="38"/>
      <c r="N160" s="310" t="str">
        <f>IF(M160="","",IF(VLOOKUP(M160,'G-3 Multipliers'!$L$3:$N$6,2,FALSE)=0,"Spatial Data Missing",VLOOKUP(M160,'G-3 Multipliers'!$L$3:$N$6,2,FALSE)))</f>
        <v/>
      </c>
      <c r="O160" s="296" t="str">
        <f>IF(M160="","",IF(VLOOKUP(M160,'G-3 Multipliers'!$L$3:$N$6,3,FALSE)=0,"Spatial Data Missing ▲",VLOOKUP(M160,'G-3 Multipliers'!$L$3:$N$6,3,FALSE)))</f>
        <v/>
      </c>
      <c r="P160" s="297" t="str">
        <f>(IF(G160="Yes","Bespoke compensation likely to be required 🛠",(IFERROR(VLOOKUP(AV160,'G-1 All Habitats'!$B$2:$M$135,12,FALSE),""))))</f>
        <v/>
      </c>
      <c r="Q160" s="304" t="str">
        <f>IFERROR(IF(AND(E160="Individual trees",T160&gt;0), "Error - you cannot enhance individual trees ▲", (IF(AND(U160="Irreplaceable habitat - no units generated ⚠",(S160+T160)&lt;H160, OR(Y160="No", Y160="")),"Any Loss Unacceptable ⚠", (IF(U160="Irreplaceable habitat - no units generated ⚠", T160*J160*L160*O160, IF(AND(P160='G-1 All Habitats'!$X$3, AC160&gt;0, S160&lt;=0, T160&lt;=0, OR(Y160="No", Y160="")),"Any Loss Unacceptable ⚠", IF(AND(P160='G-1 All Habitats'!$X$3, AC160&gt;0, S160&lt;=0, T160&lt;=0, Y160="Yes"), 0, (IF(AND(P160='G-1 All Habitats'!$X$3,(S160+T160)&lt;H160, OR(Y160="No", Y160="")),"Any Loss Unacceptable ⚠", (IF(P160="","",IF(AND(P160='G-1 All Habitats'!$X$3,T160&gt;0),U160+V160,IF(AND(P160='G-1 All Habitats'!$X$3,S160&gt;0),U160+V160,H160*J160*L160*O160))))))))))))),"Check Data ▲")</f>
        <v/>
      </c>
      <c r="R160" s="23"/>
      <c r="S160" s="38"/>
      <c r="T160" s="39"/>
      <c r="U160" s="302" t="str">
        <f t="shared" si="13"/>
        <v/>
      </c>
      <c r="V160" s="302" t="str">
        <f t="shared" si="14"/>
        <v/>
      </c>
      <c r="W160" s="302" t="str">
        <f>IF(E160="","",IF(H160&lt;S160+T160,"Error in Areas ▲",IF(P160&lt;&gt;'G-1 All Habitats'!$X$3,H160-S160-T160,IF(AND(P160='G-1 All Habitats'!$X$3,Y160="No"),AC160,IF(AND(P160='G-1 All Habitats'!$X$3,Y160=""),AC160,IF(AND(P160='G-1 All Habitats'!$X$3,AC160="None"),AC160,IF(AND(P160='G-1 All Habitats'!$X$3,AC160&gt;0),H160-S160-T160)))))))</f>
        <v/>
      </c>
      <c r="X160" s="306" t="str">
        <f>IFERROR(IF(H160="","",IF(H160-S160-T160=0&lt;0,"Error in Areas ▲",IF(S160+T160&gt;H160,"Error in Areas ▲",IF(AND(P160='G-1 All Habitats'!$X$3,Y160="Yes"),"Alternative Compensation ✓",IF(W160=0,0,IF(P160='G-1 All Habitats'!$X$3,"Any Loss Unacceptable ▲",Q160-U160-V160)))))),"Check Data ▲")</f>
        <v/>
      </c>
      <c r="Y160" s="39"/>
      <c r="Z160" s="46"/>
      <c r="AA160" s="419"/>
      <c r="AB160" s="101"/>
      <c r="AC160" s="495" t="str">
        <f>IF(OR(P160="", Y160="Yes"),"", IF(P160='G-1 All Habitats'!$X$3,H160-S160-T160,"None"))</f>
        <v/>
      </c>
      <c r="AD160" s="496" t="str">
        <f>IF(P160="","", IF(P160='G-1 All Habitats'!$X$3, AC160*J160*L160*O160,"None"))</f>
        <v/>
      </c>
      <c r="AE160" s="20" t="str">
        <f t="shared" si="15"/>
        <v/>
      </c>
      <c r="AF160" s="25" t="str">
        <f t="shared" si="16"/>
        <v/>
      </c>
      <c r="AG160" s="25" t="str">
        <f t="shared" si="12"/>
        <v/>
      </c>
      <c r="AH160" s="25" t="str">
        <f>IF(I160="","",IF(#REF!&gt;0,TRUE,FALSE))</f>
        <v/>
      </c>
      <c r="AI160" s="25">
        <v>150</v>
      </c>
      <c r="AJ160" s="25"/>
      <c r="AK160" s="25" t="str">
        <f t="array" ref="AK160">IFERROR(INDEX($AI$11:$AI$259, MATCH(0, IF(TRUE=$AF$11:$AF$259, COUNTIF($AK$10:$AK159, $AI$11:$AI$259), ""), 0)),"")</f>
        <v/>
      </c>
      <c r="AL160" s="25" t="str">
        <f t="array" ref="AL160">IFERROR(INDEX($AI$11:$AI$259, MATCH(0, IF(TRUE=$AG$11:$AG$259, COUNTIF($AL$10:$AL159, $AI$11:$AI$259), ""), 0)),"")</f>
        <v/>
      </c>
      <c r="AM160" s="25" t="str">
        <f t="array" ref="AM160">IFERROR(INDEX($AI$11:$AI$259, MATCH(0, IF(TRUE=$AH$11:$AH$259, COUNTIF($AM$10:$AM159, $AI$11:$AI$259), ""), 0)),"")</f>
        <v/>
      </c>
      <c r="AN160" s="25"/>
      <c r="AQ160" s="20">
        <f t="shared" si="17"/>
        <v>0</v>
      </c>
      <c r="AV160" s="540" t="str">
        <f>IFERROR(INDEX('G-1 All Habitats'!$B$3:$B$135,MATCH(F160,'G-1 All Habitats'!$A$3:$A$135,0)),"")</f>
        <v/>
      </c>
      <c r="AW160" s="20" t="str">
        <f>IF(AV160="","",VLOOKUP(AV160,'G-1 All Habitats'!$B$1:$T$135,19,FALSE))</f>
        <v/>
      </c>
    </row>
    <row r="161" spans="1:49" ht="14.5" thickBot="1" x14ac:dyDescent="0.35">
      <c r="A161" s="20" t="str">
        <f>IFERROR(INDEX('G-1 All Habitats'!$AG$3:$AG$17,MATCH(E161,'G-1 All Habitats'!$AF$3:$AF$17,0)),"")</f>
        <v/>
      </c>
      <c r="B161" s="20" t="str">
        <f>IFERROR(INDEX('G-8 Condition Look up'!$I$4:$I$135,MATCH(AV161,'G-8 Condition Look up'!$A$4:$A$135,0)),"")</f>
        <v/>
      </c>
      <c r="D161" s="238">
        <v>151</v>
      </c>
      <c r="E161" s="223"/>
      <c r="F161" s="45"/>
      <c r="G161" s="272"/>
      <c r="H161" s="37"/>
      <c r="I161" s="290" t="str">
        <f>IF(AV161="","",VLOOKUP(AV161,'G-1 All Habitats'!$B$2:$M$135,10,FALSE))</f>
        <v/>
      </c>
      <c r="J161" s="291" t="str">
        <f>IFERROR(VLOOKUP(I161,'G-1 All Habitats'!$V$3:$W$7,2,FALSE),"")</f>
        <v/>
      </c>
      <c r="K161" s="38"/>
      <c r="L161" s="291" t="str">
        <f>IFERROR(INDEX('G-8 Condition Look up'!$A$3:$H$135,MATCH(AV161,'G-8 Condition Look up'!$A$3:$A$135,0),MATCH(K161,'G-8 Condition Look up'!$A$3:$H$3,0)),"")</f>
        <v/>
      </c>
      <c r="M161" s="38"/>
      <c r="N161" s="310" t="str">
        <f>IF(M161="","",IF(VLOOKUP(M161,'G-3 Multipliers'!$L$3:$N$6,2,FALSE)=0,"Spatial Data Missing",VLOOKUP(M161,'G-3 Multipliers'!$L$3:$N$6,2,FALSE)))</f>
        <v/>
      </c>
      <c r="O161" s="296" t="str">
        <f>IF(M161="","",IF(VLOOKUP(M161,'G-3 Multipliers'!$L$3:$N$6,3,FALSE)=0,"Spatial Data Missing ▲",VLOOKUP(M161,'G-3 Multipliers'!$L$3:$N$6,3,FALSE)))</f>
        <v/>
      </c>
      <c r="P161" s="297" t="str">
        <f>(IF(G161="Yes","Bespoke compensation likely to be required 🛠",(IFERROR(VLOOKUP(AV161,'G-1 All Habitats'!$B$2:$M$135,12,FALSE),""))))</f>
        <v/>
      </c>
      <c r="Q161" s="304" t="str">
        <f>IFERROR(IF(AND(E161="Individual trees",T161&gt;0), "Error - you cannot enhance individual trees ▲", (IF(AND(U161="Irreplaceable habitat - no units generated ⚠",(S161+T161)&lt;H161, OR(Y161="No", Y161="")),"Any Loss Unacceptable ⚠", (IF(U161="Irreplaceable habitat - no units generated ⚠", T161*J161*L161*O161, IF(AND(P161='G-1 All Habitats'!$X$3, AC161&gt;0, S161&lt;=0, T161&lt;=0, OR(Y161="No", Y161="")),"Any Loss Unacceptable ⚠", IF(AND(P161='G-1 All Habitats'!$X$3, AC161&gt;0, S161&lt;=0, T161&lt;=0, Y161="Yes"), 0, (IF(AND(P161='G-1 All Habitats'!$X$3,(S161+T161)&lt;H161, OR(Y161="No", Y161="")),"Any Loss Unacceptable ⚠", (IF(P161="","",IF(AND(P161='G-1 All Habitats'!$X$3,T161&gt;0),U161+V161,IF(AND(P161='G-1 All Habitats'!$X$3,S161&gt;0),U161+V161,H161*J161*L161*O161))))))))))))),"Check Data ▲")</f>
        <v/>
      </c>
      <c r="R161" s="23"/>
      <c r="S161" s="38"/>
      <c r="T161" s="39"/>
      <c r="U161" s="302" t="str">
        <f t="shared" si="13"/>
        <v/>
      </c>
      <c r="V161" s="302" t="str">
        <f t="shared" si="14"/>
        <v/>
      </c>
      <c r="W161" s="302" t="str">
        <f>IF(E161="","",IF(H161&lt;S161+T161,"Error in Areas ▲",IF(P161&lt;&gt;'G-1 All Habitats'!$X$3,H161-S161-T161,IF(AND(P161='G-1 All Habitats'!$X$3,Y161="No"),AC161,IF(AND(P161='G-1 All Habitats'!$X$3,Y161=""),AC161,IF(AND(P161='G-1 All Habitats'!$X$3,AC161="None"),AC161,IF(AND(P161='G-1 All Habitats'!$X$3,AC161&gt;0),H161-S161-T161)))))))</f>
        <v/>
      </c>
      <c r="X161" s="306" t="str">
        <f>IFERROR(IF(H161="","",IF(H161-S161-T161=0&lt;0,"Error in Areas ▲",IF(S161+T161&gt;H161,"Error in Areas ▲",IF(AND(P161='G-1 All Habitats'!$X$3,Y161="Yes"),"Alternative Compensation ✓",IF(W161=0,0,IF(P161='G-1 All Habitats'!$X$3,"Any Loss Unacceptable ▲",Q161-U161-V161)))))),"Check Data ▲")</f>
        <v/>
      </c>
      <c r="Y161" s="39"/>
      <c r="Z161" s="46"/>
      <c r="AA161" s="419"/>
      <c r="AB161" s="101"/>
      <c r="AC161" s="495" t="str">
        <f>IF(OR(P161="", Y161="Yes"),"", IF(P161='G-1 All Habitats'!$X$3,H161-S161-T161,"None"))</f>
        <v/>
      </c>
      <c r="AD161" s="496" t="str">
        <f>IF(P161="","", IF(P161='G-1 All Habitats'!$X$3, AC161*J161*L161*O161,"None"))</f>
        <v/>
      </c>
      <c r="AE161" s="20" t="str">
        <f t="shared" si="15"/>
        <v/>
      </c>
      <c r="AF161" s="25" t="str">
        <f t="shared" si="16"/>
        <v/>
      </c>
      <c r="AG161" s="25" t="str">
        <f t="shared" si="12"/>
        <v/>
      </c>
      <c r="AH161" s="25" t="str">
        <f>IF(I161="","",IF(#REF!&gt;0,TRUE,FALSE))</f>
        <v/>
      </c>
      <c r="AI161" s="25">
        <v>151</v>
      </c>
      <c r="AJ161" s="25"/>
      <c r="AK161" s="25" t="str">
        <f t="array" ref="AK161">IFERROR(INDEX($AI$11:$AI$259, MATCH(0, IF(TRUE=$AF$11:$AF$259, COUNTIF($AK$10:$AK160, $AI$11:$AI$259), ""), 0)),"")</f>
        <v/>
      </c>
      <c r="AL161" s="25" t="str">
        <f t="array" ref="AL161">IFERROR(INDEX($AI$11:$AI$259, MATCH(0, IF(TRUE=$AG$11:$AG$259, COUNTIF($AL$10:$AL160, $AI$11:$AI$259), ""), 0)),"")</f>
        <v/>
      </c>
      <c r="AM161" s="25" t="str">
        <f t="array" ref="AM161">IFERROR(INDEX($AI$11:$AI$259, MATCH(0, IF(TRUE=$AH$11:$AH$259, COUNTIF($AM$10:$AM160, $AI$11:$AI$259), ""), 0)),"")</f>
        <v/>
      </c>
      <c r="AN161" s="25"/>
      <c r="AQ161" s="20">
        <f t="shared" si="17"/>
        <v>0</v>
      </c>
      <c r="AV161" s="540" t="str">
        <f>IFERROR(INDEX('G-1 All Habitats'!$B$3:$B$135,MATCH(F161,'G-1 All Habitats'!$A$3:$A$135,0)),"")</f>
        <v/>
      </c>
      <c r="AW161" s="20" t="str">
        <f>IF(AV161="","",VLOOKUP(AV161,'G-1 All Habitats'!$B$1:$T$135,19,FALSE))</f>
        <v/>
      </c>
    </row>
    <row r="162" spans="1:49" ht="14.5" thickBot="1" x14ac:dyDescent="0.35">
      <c r="A162" s="20" t="str">
        <f>IFERROR(INDEX('G-1 All Habitats'!$AG$3:$AG$17,MATCH(E162,'G-1 All Habitats'!$AF$3:$AF$17,0)),"")</f>
        <v/>
      </c>
      <c r="B162" s="20" t="str">
        <f>IFERROR(INDEX('G-8 Condition Look up'!$I$4:$I$135,MATCH(AV162,'G-8 Condition Look up'!$A$4:$A$135,0)),"")</f>
        <v/>
      </c>
      <c r="D162" s="238">
        <v>152</v>
      </c>
      <c r="E162" s="223"/>
      <c r="F162" s="45"/>
      <c r="G162" s="272"/>
      <c r="H162" s="37"/>
      <c r="I162" s="290" t="str">
        <f>IF(AV162="","",VLOOKUP(AV162,'G-1 All Habitats'!$B$2:$M$135,10,FALSE))</f>
        <v/>
      </c>
      <c r="J162" s="291" t="str">
        <f>IFERROR(VLOOKUP(I162,'G-1 All Habitats'!$V$3:$W$7,2,FALSE),"")</f>
        <v/>
      </c>
      <c r="K162" s="38"/>
      <c r="L162" s="291" t="str">
        <f>IFERROR(INDEX('G-8 Condition Look up'!$A$3:$H$135,MATCH(AV162,'G-8 Condition Look up'!$A$3:$A$135,0),MATCH(K162,'G-8 Condition Look up'!$A$3:$H$3,0)),"")</f>
        <v/>
      </c>
      <c r="M162" s="38"/>
      <c r="N162" s="310" t="str">
        <f>IF(M162="","",IF(VLOOKUP(M162,'G-3 Multipliers'!$L$3:$N$6,2,FALSE)=0,"Spatial Data Missing",VLOOKUP(M162,'G-3 Multipliers'!$L$3:$N$6,2,FALSE)))</f>
        <v/>
      </c>
      <c r="O162" s="296" t="str">
        <f>IF(M162="","",IF(VLOOKUP(M162,'G-3 Multipliers'!$L$3:$N$6,3,FALSE)=0,"Spatial Data Missing ▲",VLOOKUP(M162,'G-3 Multipliers'!$L$3:$N$6,3,FALSE)))</f>
        <v/>
      </c>
      <c r="P162" s="297" t="str">
        <f>(IF(G162="Yes","Bespoke compensation likely to be required 🛠",(IFERROR(VLOOKUP(AV162,'G-1 All Habitats'!$B$2:$M$135,12,FALSE),""))))</f>
        <v/>
      </c>
      <c r="Q162" s="304" t="str">
        <f>IFERROR(IF(AND(E162="Individual trees",T162&gt;0), "Error - you cannot enhance individual trees ▲", (IF(AND(U162="Irreplaceable habitat - no units generated ⚠",(S162+T162)&lt;H162, OR(Y162="No", Y162="")),"Any Loss Unacceptable ⚠", (IF(U162="Irreplaceable habitat - no units generated ⚠", T162*J162*L162*O162, IF(AND(P162='G-1 All Habitats'!$X$3, AC162&gt;0, S162&lt;=0, T162&lt;=0, OR(Y162="No", Y162="")),"Any Loss Unacceptable ⚠", IF(AND(P162='G-1 All Habitats'!$X$3, AC162&gt;0, S162&lt;=0, T162&lt;=0, Y162="Yes"), 0, (IF(AND(P162='G-1 All Habitats'!$X$3,(S162+T162)&lt;H162, OR(Y162="No", Y162="")),"Any Loss Unacceptable ⚠", (IF(P162="","",IF(AND(P162='G-1 All Habitats'!$X$3,T162&gt;0),U162+V162,IF(AND(P162='G-1 All Habitats'!$X$3,S162&gt;0),U162+V162,H162*J162*L162*O162))))))))))))),"Check Data ▲")</f>
        <v/>
      </c>
      <c r="R162" s="23"/>
      <c r="S162" s="38"/>
      <c r="T162" s="39"/>
      <c r="U162" s="302" t="str">
        <f t="shared" si="13"/>
        <v/>
      </c>
      <c r="V162" s="302" t="str">
        <f t="shared" si="14"/>
        <v/>
      </c>
      <c r="W162" s="302" t="str">
        <f>IF(E162="","",IF(H162&lt;S162+T162,"Error in Areas ▲",IF(P162&lt;&gt;'G-1 All Habitats'!$X$3,H162-S162-T162,IF(AND(P162='G-1 All Habitats'!$X$3,Y162="No"),AC162,IF(AND(P162='G-1 All Habitats'!$X$3,Y162=""),AC162,IF(AND(P162='G-1 All Habitats'!$X$3,AC162="None"),AC162,IF(AND(P162='G-1 All Habitats'!$X$3,AC162&gt;0),H162-S162-T162)))))))</f>
        <v/>
      </c>
      <c r="X162" s="306" t="str">
        <f>IFERROR(IF(H162="","",IF(H162-S162-T162=0&lt;0,"Error in Areas ▲",IF(S162+T162&gt;H162,"Error in Areas ▲",IF(AND(P162='G-1 All Habitats'!$X$3,Y162="Yes"),"Alternative Compensation ✓",IF(W162=0,0,IF(P162='G-1 All Habitats'!$X$3,"Any Loss Unacceptable ▲",Q162-U162-V162)))))),"Check Data ▲")</f>
        <v/>
      </c>
      <c r="Y162" s="39"/>
      <c r="Z162" s="46"/>
      <c r="AA162" s="419"/>
      <c r="AB162" s="101"/>
      <c r="AC162" s="495" t="str">
        <f>IF(OR(P162="", Y162="Yes"),"", IF(P162='G-1 All Habitats'!$X$3,H162-S162-T162,"None"))</f>
        <v/>
      </c>
      <c r="AD162" s="496" t="str">
        <f>IF(P162="","", IF(P162='G-1 All Habitats'!$X$3, AC162*J162*L162*O162,"None"))</f>
        <v/>
      </c>
      <c r="AE162" s="20" t="str">
        <f t="shared" si="15"/>
        <v/>
      </c>
      <c r="AF162" s="25" t="str">
        <f t="shared" si="16"/>
        <v/>
      </c>
      <c r="AG162" s="25" t="str">
        <f t="shared" si="12"/>
        <v/>
      </c>
      <c r="AH162" s="25" t="str">
        <f>IF(I162="","",IF(#REF!&gt;0,TRUE,FALSE))</f>
        <v/>
      </c>
      <c r="AI162" s="25">
        <v>152</v>
      </c>
      <c r="AJ162" s="25"/>
      <c r="AK162" s="25" t="str">
        <f t="array" ref="AK162">IFERROR(INDEX($AI$11:$AI$259, MATCH(0, IF(TRUE=$AF$11:$AF$259, COUNTIF($AK$10:$AK161, $AI$11:$AI$259), ""), 0)),"")</f>
        <v/>
      </c>
      <c r="AL162" s="25" t="str">
        <f t="array" ref="AL162">IFERROR(INDEX($AI$11:$AI$259, MATCH(0, IF(TRUE=$AG$11:$AG$259, COUNTIF($AL$10:$AL161, $AI$11:$AI$259), ""), 0)),"")</f>
        <v/>
      </c>
      <c r="AM162" s="25" t="str">
        <f t="array" ref="AM162">IFERROR(INDEX($AI$11:$AI$259, MATCH(0, IF(TRUE=$AH$11:$AH$259, COUNTIF($AM$10:$AM161, $AI$11:$AI$259), ""), 0)),"")</f>
        <v/>
      </c>
      <c r="AN162" s="25"/>
      <c r="AQ162" s="20">
        <f t="shared" si="17"/>
        <v>0</v>
      </c>
      <c r="AV162" s="540" t="str">
        <f>IFERROR(INDEX('G-1 All Habitats'!$B$3:$B$135,MATCH(F162,'G-1 All Habitats'!$A$3:$A$135,0)),"")</f>
        <v/>
      </c>
      <c r="AW162" s="20" t="str">
        <f>IF(AV162="","",VLOOKUP(AV162,'G-1 All Habitats'!$B$1:$T$135,19,FALSE))</f>
        <v/>
      </c>
    </row>
    <row r="163" spans="1:49" ht="14.5" thickBot="1" x14ac:dyDescent="0.35">
      <c r="A163" s="20" t="str">
        <f>IFERROR(INDEX('G-1 All Habitats'!$AG$3:$AG$17,MATCH(E163,'G-1 All Habitats'!$AF$3:$AF$17,0)),"")</f>
        <v/>
      </c>
      <c r="B163" s="20" t="str">
        <f>IFERROR(INDEX('G-8 Condition Look up'!$I$4:$I$135,MATCH(AV163,'G-8 Condition Look up'!$A$4:$A$135,0)),"")</f>
        <v/>
      </c>
      <c r="D163" s="238">
        <v>153</v>
      </c>
      <c r="E163" s="223"/>
      <c r="F163" s="45"/>
      <c r="G163" s="272"/>
      <c r="H163" s="37"/>
      <c r="I163" s="290" t="str">
        <f>IF(AV163="","",VLOOKUP(AV163,'G-1 All Habitats'!$B$2:$M$135,10,FALSE))</f>
        <v/>
      </c>
      <c r="J163" s="291" t="str">
        <f>IFERROR(VLOOKUP(I163,'G-1 All Habitats'!$V$3:$W$7,2,FALSE),"")</f>
        <v/>
      </c>
      <c r="K163" s="38"/>
      <c r="L163" s="291" t="str">
        <f>IFERROR(INDEX('G-8 Condition Look up'!$A$3:$H$135,MATCH(AV163,'G-8 Condition Look up'!$A$3:$A$135,0),MATCH(K163,'G-8 Condition Look up'!$A$3:$H$3,0)),"")</f>
        <v/>
      </c>
      <c r="M163" s="38"/>
      <c r="N163" s="310" t="str">
        <f>IF(M163="","",IF(VLOOKUP(M163,'G-3 Multipliers'!$L$3:$N$6,2,FALSE)=0,"Spatial Data Missing",VLOOKUP(M163,'G-3 Multipliers'!$L$3:$N$6,2,FALSE)))</f>
        <v/>
      </c>
      <c r="O163" s="296" t="str">
        <f>IF(M163="","",IF(VLOOKUP(M163,'G-3 Multipliers'!$L$3:$N$6,3,FALSE)=0,"Spatial Data Missing ▲",VLOOKUP(M163,'G-3 Multipliers'!$L$3:$N$6,3,FALSE)))</f>
        <v/>
      </c>
      <c r="P163" s="297" t="str">
        <f>(IF(G163="Yes","Bespoke compensation likely to be required 🛠",(IFERROR(VLOOKUP(AV163,'G-1 All Habitats'!$B$2:$M$135,12,FALSE),""))))</f>
        <v/>
      </c>
      <c r="Q163" s="304" t="str">
        <f>IFERROR(IF(AND(E163="Individual trees",T163&gt;0), "Error - you cannot enhance individual trees ▲", (IF(AND(U163="Irreplaceable habitat - no units generated ⚠",(S163+T163)&lt;H163, OR(Y163="No", Y163="")),"Any Loss Unacceptable ⚠", (IF(U163="Irreplaceable habitat - no units generated ⚠", T163*J163*L163*O163, IF(AND(P163='G-1 All Habitats'!$X$3, AC163&gt;0, S163&lt;=0, T163&lt;=0, OR(Y163="No", Y163="")),"Any Loss Unacceptable ⚠", IF(AND(P163='G-1 All Habitats'!$X$3, AC163&gt;0, S163&lt;=0, T163&lt;=0, Y163="Yes"), 0, (IF(AND(P163='G-1 All Habitats'!$X$3,(S163+T163)&lt;H163, OR(Y163="No", Y163="")),"Any Loss Unacceptable ⚠", (IF(P163="","",IF(AND(P163='G-1 All Habitats'!$X$3,T163&gt;0),U163+V163,IF(AND(P163='G-1 All Habitats'!$X$3,S163&gt;0),U163+V163,H163*J163*L163*O163))))))))))))),"Check Data ▲")</f>
        <v/>
      </c>
      <c r="R163" s="23"/>
      <c r="S163" s="38"/>
      <c r="T163" s="39"/>
      <c r="U163" s="302" t="str">
        <f t="shared" si="13"/>
        <v/>
      </c>
      <c r="V163" s="302" t="str">
        <f t="shared" si="14"/>
        <v/>
      </c>
      <c r="W163" s="302" t="str">
        <f>IF(E163="","",IF(H163&lt;S163+T163,"Error in Areas ▲",IF(P163&lt;&gt;'G-1 All Habitats'!$X$3,H163-S163-T163,IF(AND(P163='G-1 All Habitats'!$X$3,Y163="No"),AC163,IF(AND(P163='G-1 All Habitats'!$X$3,Y163=""),AC163,IF(AND(P163='G-1 All Habitats'!$X$3,AC163="None"),AC163,IF(AND(P163='G-1 All Habitats'!$X$3,AC163&gt;0),H163-S163-T163)))))))</f>
        <v/>
      </c>
      <c r="X163" s="306" t="str">
        <f>IFERROR(IF(H163="","",IF(H163-S163-T163=0&lt;0,"Error in Areas ▲",IF(S163+T163&gt;H163,"Error in Areas ▲",IF(AND(P163='G-1 All Habitats'!$X$3,Y163="Yes"),"Alternative Compensation ✓",IF(W163=0,0,IF(P163='G-1 All Habitats'!$X$3,"Any Loss Unacceptable ▲",Q163-U163-V163)))))),"Check Data ▲")</f>
        <v/>
      </c>
      <c r="Y163" s="39"/>
      <c r="Z163" s="46"/>
      <c r="AA163" s="419"/>
      <c r="AB163" s="101"/>
      <c r="AC163" s="495" t="str">
        <f>IF(OR(P163="", Y163="Yes"),"", IF(P163='G-1 All Habitats'!$X$3,H163-S163-T163,"None"))</f>
        <v/>
      </c>
      <c r="AD163" s="496" t="str">
        <f>IF(P163="","", IF(P163='G-1 All Habitats'!$X$3, AC163*J163*L163*O163,"None"))</f>
        <v/>
      </c>
      <c r="AE163" s="20" t="str">
        <f t="shared" si="15"/>
        <v/>
      </c>
      <c r="AF163" s="25" t="str">
        <f t="shared" si="16"/>
        <v/>
      </c>
      <c r="AG163" s="25" t="str">
        <f t="shared" si="12"/>
        <v/>
      </c>
      <c r="AH163" s="25" t="str">
        <f>IF(I163="","",IF(#REF!&gt;0,TRUE,FALSE))</f>
        <v/>
      </c>
      <c r="AI163" s="25">
        <v>153</v>
      </c>
      <c r="AJ163" s="25"/>
      <c r="AK163" s="25" t="str">
        <f t="array" ref="AK163">IFERROR(INDEX($AI$11:$AI$259, MATCH(0, IF(TRUE=$AF$11:$AF$259, COUNTIF($AK$10:$AK162, $AI$11:$AI$259), ""), 0)),"")</f>
        <v/>
      </c>
      <c r="AL163" s="25" t="str">
        <f t="array" ref="AL163">IFERROR(INDEX($AI$11:$AI$259, MATCH(0, IF(TRUE=$AG$11:$AG$259, COUNTIF($AL$10:$AL162, $AI$11:$AI$259), ""), 0)),"")</f>
        <v/>
      </c>
      <c r="AM163" s="25" t="str">
        <f t="array" ref="AM163">IFERROR(INDEX($AI$11:$AI$259, MATCH(0, IF(TRUE=$AH$11:$AH$259, COUNTIF($AM$10:$AM162, $AI$11:$AI$259), ""), 0)),"")</f>
        <v/>
      </c>
      <c r="AN163" s="25"/>
      <c r="AQ163" s="20">
        <f t="shared" si="17"/>
        <v>0</v>
      </c>
      <c r="AV163" s="540" t="str">
        <f>IFERROR(INDEX('G-1 All Habitats'!$B$3:$B$135,MATCH(F163,'G-1 All Habitats'!$A$3:$A$135,0)),"")</f>
        <v/>
      </c>
      <c r="AW163" s="20" t="str">
        <f>IF(AV163="","",VLOOKUP(AV163,'G-1 All Habitats'!$B$1:$T$135,19,FALSE))</f>
        <v/>
      </c>
    </row>
    <row r="164" spans="1:49" ht="14.5" thickBot="1" x14ac:dyDescent="0.35">
      <c r="A164" s="20" t="str">
        <f>IFERROR(INDEX('G-1 All Habitats'!$AG$3:$AG$17,MATCH(E164,'G-1 All Habitats'!$AF$3:$AF$17,0)),"")</f>
        <v/>
      </c>
      <c r="B164" s="20" t="str">
        <f>IFERROR(INDEX('G-8 Condition Look up'!$I$4:$I$135,MATCH(AV164,'G-8 Condition Look up'!$A$4:$A$135,0)),"")</f>
        <v/>
      </c>
      <c r="D164" s="238">
        <v>154</v>
      </c>
      <c r="E164" s="223"/>
      <c r="F164" s="45"/>
      <c r="G164" s="272"/>
      <c r="H164" s="37"/>
      <c r="I164" s="290" t="str">
        <f>IF(AV164="","",VLOOKUP(AV164,'G-1 All Habitats'!$B$2:$M$135,10,FALSE))</f>
        <v/>
      </c>
      <c r="J164" s="291" t="str">
        <f>IFERROR(VLOOKUP(I164,'G-1 All Habitats'!$V$3:$W$7,2,FALSE),"")</f>
        <v/>
      </c>
      <c r="K164" s="38"/>
      <c r="L164" s="291" t="str">
        <f>IFERROR(INDEX('G-8 Condition Look up'!$A$3:$H$135,MATCH(AV164,'G-8 Condition Look up'!$A$3:$A$135,0),MATCH(K164,'G-8 Condition Look up'!$A$3:$H$3,0)),"")</f>
        <v/>
      </c>
      <c r="M164" s="38"/>
      <c r="N164" s="310" t="str">
        <f>IF(M164="","",IF(VLOOKUP(M164,'G-3 Multipliers'!$L$3:$N$6,2,FALSE)=0,"Spatial Data Missing",VLOOKUP(M164,'G-3 Multipliers'!$L$3:$N$6,2,FALSE)))</f>
        <v/>
      </c>
      <c r="O164" s="296" t="str">
        <f>IF(M164="","",IF(VLOOKUP(M164,'G-3 Multipliers'!$L$3:$N$6,3,FALSE)=0,"Spatial Data Missing ▲",VLOOKUP(M164,'G-3 Multipliers'!$L$3:$N$6,3,FALSE)))</f>
        <v/>
      </c>
      <c r="P164" s="297" t="str">
        <f>(IF(G164="Yes","Bespoke compensation likely to be required 🛠",(IFERROR(VLOOKUP(AV164,'G-1 All Habitats'!$B$2:$M$135,12,FALSE),""))))</f>
        <v/>
      </c>
      <c r="Q164" s="304" t="str">
        <f>IFERROR(IF(AND(E164="Individual trees",T164&gt;0), "Error - you cannot enhance individual trees ▲", (IF(AND(U164="Irreplaceable habitat - no units generated ⚠",(S164+T164)&lt;H164, OR(Y164="No", Y164="")),"Any Loss Unacceptable ⚠", (IF(U164="Irreplaceable habitat - no units generated ⚠", T164*J164*L164*O164, IF(AND(P164='G-1 All Habitats'!$X$3, AC164&gt;0, S164&lt;=0, T164&lt;=0, OR(Y164="No", Y164="")),"Any Loss Unacceptable ⚠", IF(AND(P164='G-1 All Habitats'!$X$3, AC164&gt;0, S164&lt;=0, T164&lt;=0, Y164="Yes"), 0, (IF(AND(P164='G-1 All Habitats'!$X$3,(S164+T164)&lt;H164, OR(Y164="No", Y164="")),"Any Loss Unacceptable ⚠", (IF(P164="","",IF(AND(P164='G-1 All Habitats'!$X$3,T164&gt;0),U164+V164,IF(AND(P164='G-1 All Habitats'!$X$3,S164&gt;0),U164+V164,H164*J164*L164*O164))))))))))))),"Check Data ▲")</f>
        <v/>
      </c>
      <c r="R164" s="23"/>
      <c r="S164" s="38"/>
      <c r="T164" s="39"/>
      <c r="U164" s="302" t="str">
        <f t="shared" si="13"/>
        <v/>
      </c>
      <c r="V164" s="302" t="str">
        <f t="shared" si="14"/>
        <v/>
      </c>
      <c r="W164" s="302" t="str">
        <f>IF(E164="","",IF(H164&lt;S164+T164,"Error in Areas ▲",IF(P164&lt;&gt;'G-1 All Habitats'!$X$3,H164-S164-T164,IF(AND(P164='G-1 All Habitats'!$X$3,Y164="No"),AC164,IF(AND(P164='G-1 All Habitats'!$X$3,Y164=""),AC164,IF(AND(P164='G-1 All Habitats'!$X$3,AC164="None"),AC164,IF(AND(P164='G-1 All Habitats'!$X$3,AC164&gt;0),H164-S164-T164)))))))</f>
        <v/>
      </c>
      <c r="X164" s="306" t="str">
        <f>IFERROR(IF(H164="","",IF(H164-S164-T164=0&lt;0,"Error in Areas ▲",IF(S164+T164&gt;H164,"Error in Areas ▲",IF(AND(P164='G-1 All Habitats'!$X$3,Y164="Yes"),"Alternative Compensation ✓",IF(W164=0,0,IF(P164='G-1 All Habitats'!$X$3,"Any Loss Unacceptable ▲",Q164-U164-V164)))))),"Check Data ▲")</f>
        <v/>
      </c>
      <c r="Y164" s="39"/>
      <c r="Z164" s="46"/>
      <c r="AA164" s="419"/>
      <c r="AB164" s="101"/>
      <c r="AC164" s="495" t="str">
        <f>IF(OR(P164="", Y164="Yes"),"", IF(P164='G-1 All Habitats'!$X$3,H164-S164-T164,"None"))</f>
        <v/>
      </c>
      <c r="AD164" s="496" t="str">
        <f>IF(P164="","", IF(P164='G-1 All Habitats'!$X$3, AC164*J164*L164*O164,"None"))</f>
        <v/>
      </c>
      <c r="AE164" s="20" t="str">
        <f t="shared" si="15"/>
        <v/>
      </c>
      <c r="AF164" s="25" t="str">
        <f t="shared" si="16"/>
        <v/>
      </c>
      <c r="AG164" s="25" t="str">
        <f t="shared" si="12"/>
        <v/>
      </c>
      <c r="AH164" s="25" t="str">
        <f>IF(I164="","",IF(#REF!&gt;0,TRUE,FALSE))</f>
        <v/>
      </c>
      <c r="AI164" s="25">
        <v>154</v>
      </c>
      <c r="AJ164" s="25"/>
      <c r="AK164" s="25" t="str">
        <f t="array" ref="AK164">IFERROR(INDEX($AI$11:$AI$259, MATCH(0, IF(TRUE=$AF$11:$AF$259, COUNTIF($AK$10:$AK163, $AI$11:$AI$259), ""), 0)),"")</f>
        <v/>
      </c>
      <c r="AL164" s="25" t="str">
        <f t="array" ref="AL164">IFERROR(INDEX($AI$11:$AI$259, MATCH(0, IF(TRUE=$AG$11:$AG$259, COUNTIF($AL$10:$AL163, $AI$11:$AI$259), ""), 0)),"")</f>
        <v/>
      </c>
      <c r="AM164" s="25" t="str">
        <f t="array" ref="AM164">IFERROR(INDEX($AI$11:$AI$259, MATCH(0, IF(TRUE=$AH$11:$AH$259, COUNTIF($AM$10:$AM163, $AI$11:$AI$259), ""), 0)),"")</f>
        <v/>
      </c>
      <c r="AN164" s="25"/>
      <c r="AQ164" s="20">
        <f t="shared" si="17"/>
        <v>0</v>
      </c>
      <c r="AV164" s="540" t="str">
        <f>IFERROR(INDEX('G-1 All Habitats'!$B$3:$B$135,MATCH(F164,'G-1 All Habitats'!$A$3:$A$135,0)),"")</f>
        <v/>
      </c>
      <c r="AW164" s="20" t="str">
        <f>IF(AV164="","",VLOOKUP(AV164,'G-1 All Habitats'!$B$1:$T$135,19,FALSE))</f>
        <v/>
      </c>
    </row>
    <row r="165" spans="1:49" ht="14.5" thickBot="1" x14ac:dyDescent="0.35">
      <c r="A165" s="20" t="str">
        <f>IFERROR(INDEX('G-1 All Habitats'!$AG$3:$AG$17,MATCH(E165,'G-1 All Habitats'!$AF$3:$AF$17,0)),"")</f>
        <v/>
      </c>
      <c r="B165" s="20" t="str">
        <f>IFERROR(INDEX('G-8 Condition Look up'!$I$4:$I$135,MATCH(AV165,'G-8 Condition Look up'!$A$4:$A$135,0)),"")</f>
        <v/>
      </c>
      <c r="D165" s="238">
        <v>155</v>
      </c>
      <c r="E165" s="223"/>
      <c r="F165" s="45"/>
      <c r="G165" s="272"/>
      <c r="H165" s="37"/>
      <c r="I165" s="290" t="str">
        <f>IF(AV165="","",VLOOKUP(AV165,'G-1 All Habitats'!$B$2:$M$135,10,FALSE))</f>
        <v/>
      </c>
      <c r="J165" s="291" t="str">
        <f>IFERROR(VLOOKUP(I165,'G-1 All Habitats'!$V$3:$W$7,2,FALSE),"")</f>
        <v/>
      </c>
      <c r="K165" s="38"/>
      <c r="L165" s="291" t="str">
        <f>IFERROR(INDEX('G-8 Condition Look up'!$A$3:$H$135,MATCH(AV165,'G-8 Condition Look up'!$A$3:$A$135,0),MATCH(K165,'G-8 Condition Look up'!$A$3:$H$3,0)),"")</f>
        <v/>
      </c>
      <c r="M165" s="38"/>
      <c r="N165" s="310" t="str">
        <f>IF(M165="","",IF(VLOOKUP(M165,'G-3 Multipliers'!$L$3:$N$6,2,FALSE)=0,"Spatial Data Missing",VLOOKUP(M165,'G-3 Multipliers'!$L$3:$N$6,2,FALSE)))</f>
        <v/>
      </c>
      <c r="O165" s="296" t="str">
        <f>IF(M165="","",IF(VLOOKUP(M165,'G-3 Multipliers'!$L$3:$N$6,3,FALSE)=0,"Spatial Data Missing ▲",VLOOKUP(M165,'G-3 Multipliers'!$L$3:$N$6,3,FALSE)))</f>
        <v/>
      </c>
      <c r="P165" s="297" t="str">
        <f>(IF(G165="Yes","Bespoke compensation likely to be required 🛠",(IFERROR(VLOOKUP(AV165,'G-1 All Habitats'!$B$2:$M$135,12,FALSE),""))))</f>
        <v/>
      </c>
      <c r="Q165" s="304" t="str">
        <f>IFERROR(IF(AND(E165="Individual trees",T165&gt;0), "Error - you cannot enhance individual trees ▲", (IF(AND(U165="Irreplaceable habitat - no units generated ⚠",(S165+T165)&lt;H165, OR(Y165="No", Y165="")),"Any Loss Unacceptable ⚠", (IF(U165="Irreplaceable habitat - no units generated ⚠", T165*J165*L165*O165, IF(AND(P165='G-1 All Habitats'!$X$3, AC165&gt;0, S165&lt;=0, T165&lt;=0, OR(Y165="No", Y165="")),"Any Loss Unacceptable ⚠", IF(AND(P165='G-1 All Habitats'!$X$3, AC165&gt;0, S165&lt;=0, T165&lt;=0, Y165="Yes"), 0, (IF(AND(P165='G-1 All Habitats'!$X$3,(S165+T165)&lt;H165, OR(Y165="No", Y165="")),"Any Loss Unacceptable ⚠", (IF(P165="","",IF(AND(P165='G-1 All Habitats'!$X$3,T165&gt;0),U165+V165,IF(AND(P165='G-1 All Habitats'!$X$3,S165&gt;0),U165+V165,H165*J165*L165*O165))))))))))))),"Check Data ▲")</f>
        <v/>
      </c>
      <c r="R165" s="23"/>
      <c r="S165" s="38"/>
      <c r="T165" s="39"/>
      <c r="U165" s="302" t="str">
        <f t="shared" si="13"/>
        <v/>
      </c>
      <c r="V165" s="302" t="str">
        <f t="shared" si="14"/>
        <v/>
      </c>
      <c r="W165" s="302" t="str">
        <f>IF(E165="","",IF(H165&lt;S165+T165,"Error in Areas ▲",IF(P165&lt;&gt;'G-1 All Habitats'!$X$3,H165-S165-T165,IF(AND(P165='G-1 All Habitats'!$X$3,Y165="No"),AC165,IF(AND(P165='G-1 All Habitats'!$X$3,Y165=""),AC165,IF(AND(P165='G-1 All Habitats'!$X$3,AC165="None"),AC165,IF(AND(P165='G-1 All Habitats'!$X$3,AC165&gt;0),H165-S165-T165)))))))</f>
        <v/>
      </c>
      <c r="X165" s="306" t="str">
        <f>IFERROR(IF(H165="","",IF(H165-S165-T165=0&lt;0,"Error in Areas ▲",IF(S165+T165&gt;H165,"Error in Areas ▲",IF(AND(P165='G-1 All Habitats'!$X$3,Y165="Yes"),"Alternative Compensation ✓",IF(W165=0,0,IF(P165='G-1 All Habitats'!$X$3,"Any Loss Unacceptable ▲",Q165-U165-V165)))))),"Check Data ▲")</f>
        <v/>
      </c>
      <c r="Y165" s="39"/>
      <c r="Z165" s="46"/>
      <c r="AA165" s="419"/>
      <c r="AB165" s="101"/>
      <c r="AC165" s="495" t="str">
        <f>IF(OR(P165="", Y165="Yes"),"", IF(P165='G-1 All Habitats'!$X$3,H165-S165-T165,"None"))</f>
        <v/>
      </c>
      <c r="AD165" s="496" t="str">
        <f>IF(P165="","", IF(P165='G-1 All Habitats'!$X$3, AC165*J165*L165*O165,"None"))</f>
        <v/>
      </c>
      <c r="AE165" s="20" t="str">
        <f t="shared" si="15"/>
        <v/>
      </c>
      <c r="AF165" s="25" t="str">
        <f t="shared" si="16"/>
        <v/>
      </c>
      <c r="AG165" s="25" t="str">
        <f t="shared" si="12"/>
        <v/>
      </c>
      <c r="AH165" s="25" t="str">
        <f>IF(I165="","",IF(#REF!&gt;0,TRUE,FALSE))</f>
        <v/>
      </c>
      <c r="AI165" s="25">
        <v>155</v>
      </c>
      <c r="AJ165" s="25"/>
      <c r="AK165" s="25" t="str">
        <f t="array" ref="AK165">IFERROR(INDEX($AI$11:$AI$259, MATCH(0, IF(TRUE=$AF$11:$AF$259, COUNTIF($AK$10:$AK164, $AI$11:$AI$259), ""), 0)),"")</f>
        <v/>
      </c>
      <c r="AL165" s="25" t="str">
        <f t="array" ref="AL165">IFERROR(INDEX($AI$11:$AI$259, MATCH(0, IF(TRUE=$AG$11:$AG$259, COUNTIF($AL$10:$AL164, $AI$11:$AI$259), ""), 0)),"")</f>
        <v/>
      </c>
      <c r="AM165" s="25" t="str">
        <f t="array" ref="AM165">IFERROR(INDEX($AI$11:$AI$259, MATCH(0, IF(TRUE=$AH$11:$AH$259, COUNTIF($AM$10:$AM164, $AI$11:$AI$259), ""), 0)),"")</f>
        <v/>
      </c>
      <c r="AN165" s="25"/>
      <c r="AQ165" s="20">
        <f t="shared" si="17"/>
        <v>0</v>
      </c>
      <c r="AV165" s="540" t="str">
        <f>IFERROR(INDEX('G-1 All Habitats'!$B$3:$B$135,MATCH(F165,'G-1 All Habitats'!$A$3:$A$135,0)),"")</f>
        <v/>
      </c>
      <c r="AW165" s="20" t="str">
        <f>IF(AV165="","",VLOOKUP(AV165,'G-1 All Habitats'!$B$1:$T$135,19,FALSE))</f>
        <v/>
      </c>
    </row>
    <row r="166" spans="1:49" ht="14.5" thickBot="1" x14ac:dyDescent="0.35">
      <c r="A166" s="20" t="str">
        <f>IFERROR(INDEX('G-1 All Habitats'!$AG$3:$AG$17,MATCH(E166,'G-1 All Habitats'!$AF$3:$AF$17,0)),"")</f>
        <v/>
      </c>
      <c r="B166" s="20" t="str">
        <f>IFERROR(INDEX('G-8 Condition Look up'!$I$4:$I$135,MATCH(AV166,'G-8 Condition Look up'!$A$4:$A$135,0)),"")</f>
        <v/>
      </c>
      <c r="D166" s="238">
        <v>156</v>
      </c>
      <c r="E166" s="223"/>
      <c r="F166" s="45"/>
      <c r="G166" s="272"/>
      <c r="H166" s="37"/>
      <c r="I166" s="290" t="str">
        <f>IF(AV166="","",VLOOKUP(AV166,'G-1 All Habitats'!$B$2:$M$135,10,FALSE))</f>
        <v/>
      </c>
      <c r="J166" s="291" t="str">
        <f>IFERROR(VLOOKUP(I166,'G-1 All Habitats'!$V$3:$W$7,2,FALSE),"")</f>
        <v/>
      </c>
      <c r="K166" s="38"/>
      <c r="L166" s="291" t="str">
        <f>IFERROR(INDEX('G-8 Condition Look up'!$A$3:$H$135,MATCH(AV166,'G-8 Condition Look up'!$A$3:$A$135,0),MATCH(K166,'G-8 Condition Look up'!$A$3:$H$3,0)),"")</f>
        <v/>
      </c>
      <c r="M166" s="38"/>
      <c r="N166" s="310" t="str">
        <f>IF(M166="","",IF(VLOOKUP(M166,'G-3 Multipliers'!$L$3:$N$6,2,FALSE)=0,"Spatial Data Missing",VLOOKUP(M166,'G-3 Multipliers'!$L$3:$N$6,2,FALSE)))</f>
        <v/>
      </c>
      <c r="O166" s="296" t="str">
        <f>IF(M166="","",IF(VLOOKUP(M166,'G-3 Multipliers'!$L$3:$N$6,3,FALSE)=0,"Spatial Data Missing ▲",VLOOKUP(M166,'G-3 Multipliers'!$L$3:$N$6,3,FALSE)))</f>
        <v/>
      </c>
      <c r="P166" s="297" t="str">
        <f>(IF(G166="Yes","Bespoke compensation likely to be required 🛠",(IFERROR(VLOOKUP(AV166,'G-1 All Habitats'!$B$2:$M$135,12,FALSE),""))))</f>
        <v/>
      </c>
      <c r="Q166" s="304" t="str">
        <f>IFERROR(IF(AND(E166="Individual trees",T166&gt;0), "Error - you cannot enhance individual trees ▲", (IF(AND(U166="Irreplaceable habitat - no units generated ⚠",(S166+T166)&lt;H166, OR(Y166="No", Y166="")),"Any Loss Unacceptable ⚠", (IF(U166="Irreplaceable habitat - no units generated ⚠", T166*J166*L166*O166, IF(AND(P166='G-1 All Habitats'!$X$3, AC166&gt;0, S166&lt;=0, T166&lt;=0, OR(Y166="No", Y166="")),"Any Loss Unacceptable ⚠", IF(AND(P166='G-1 All Habitats'!$X$3, AC166&gt;0, S166&lt;=0, T166&lt;=0, Y166="Yes"), 0, (IF(AND(P166='G-1 All Habitats'!$X$3,(S166+T166)&lt;H166, OR(Y166="No", Y166="")),"Any Loss Unacceptable ⚠", (IF(P166="","",IF(AND(P166='G-1 All Habitats'!$X$3,T166&gt;0),U166+V166,IF(AND(P166='G-1 All Habitats'!$X$3,S166&gt;0),U166+V166,H166*J166*L166*O166))))))))))))),"Check Data ▲")</f>
        <v/>
      </c>
      <c r="R166" s="23"/>
      <c r="S166" s="38"/>
      <c r="T166" s="39"/>
      <c r="U166" s="302" t="str">
        <f t="shared" si="13"/>
        <v/>
      </c>
      <c r="V166" s="302" t="str">
        <f t="shared" si="14"/>
        <v/>
      </c>
      <c r="W166" s="302" t="str">
        <f>IF(E166="","",IF(H166&lt;S166+T166,"Error in Areas ▲",IF(P166&lt;&gt;'G-1 All Habitats'!$X$3,H166-S166-T166,IF(AND(P166='G-1 All Habitats'!$X$3,Y166="No"),AC166,IF(AND(P166='G-1 All Habitats'!$X$3,Y166=""),AC166,IF(AND(P166='G-1 All Habitats'!$X$3,AC166="None"),AC166,IF(AND(P166='G-1 All Habitats'!$X$3,AC166&gt;0),H166-S166-T166)))))))</f>
        <v/>
      </c>
      <c r="X166" s="306" t="str">
        <f>IFERROR(IF(H166="","",IF(H166-S166-T166=0&lt;0,"Error in Areas ▲",IF(S166+T166&gt;H166,"Error in Areas ▲",IF(AND(P166='G-1 All Habitats'!$X$3,Y166="Yes"),"Alternative Compensation ✓",IF(W166=0,0,IF(P166='G-1 All Habitats'!$X$3,"Any Loss Unacceptable ▲",Q166-U166-V166)))))),"Check Data ▲")</f>
        <v/>
      </c>
      <c r="Y166" s="39"/>
      <c r="Z166" s="46"/>
      <c r="AA166" s="419"/>
      <c r="AB166" s="101"/>
      <c r="AC166" s="495" t="str">
        <f>IF(OR(P166="", Y166="Yes"),"", IF(P166='G-1 All Habitats'!$X$3,H166-S166-T166,"None"))</f>
        <v/>
      </c>
      <c r="AD166" s="496" t="str">
        <f>IF(P166="","", IF(P166='G-1 All Habitats'!$X$3, AC166*J166*L166*O166,"None"))</f>
        <v/>
      </c>
      <c r="AE166" s="20" t="str">
        <f t="shared" si="15"/>
        <v/>
      </c>
      <c r="AF166" s="25" t="str">
        <f t="shared" si="16"/>
        <v/>
      </c>
      <c r="AG166" s="25" t="str">
        <f t="shared" si="12"/>
        <v/>
      </c>
      <c r="AH166" s="25" t="str">
        <f>IF(I166="","",IF(#REF!&gt;0,TRUE,FALSE))</f>
        <v/>
      </c>
      <c r="AI166" s="25">
        <v>156</v>
      </c>
      <c r="AJ166" s="25"/>
      <c r="AK166" s="25" t="str">
        <f t="array" ref="AK166">IFERROR(INDEX($AI$11:$AI$259, MATCH(0, IF(TRUE=$AF$11:$AF$259, COUNTIF($AK$10:$AK165, $AI$11:$AI$259), ""), 0)),"")</f>
        <v/>
      </c>
      <c r="AL166" s="25" t="str">
        <f t="array" ref="AL166">IFERROR(INDEX($AI$11:$AI$259, MATCH(0, IF(TRUE=$AG$11:$AG$259, COUNTIF($AL$10:$AL165, $AI$11:$AI$259), ""), 0)),"")</f>
        <v/>
      </c>
      <c r="AM166" s="25" t="str">
        <f t="array" ref="AM166">IFERROR(INDEX($AI$11:$AI$259, MATCH(0, IF(TRUE=$AH$11:$AH$259, COUNTIF($AM$10:$AM165, $AI$11:$AI$259), ""), 0)),"")</f>
        <v/>
      </c>
      <c r="AN166" s="25"/>
      <c r="AQ166" s="20">
        <f t="shared" si="17"/>
        <v>0</v>
      </c>
      <c r="AV166" s="540" t="str">
        <f>IFERROR(INDEX('G-1 All Habitats'!$B$3:$B$135,MATCH(F166,'G-1 All Habitats'!$A$3:$A$135,0)),"")</f>
        <v/>
      </c>
      <c r="AW166" s="20" t="str">
        <f>IF(AV166="","",VLOOKUP(AV166,'G-1 All Habitats'!$B$1:$T$135,19,FALSE))</f>
        <v/>
      </c>
    </row>
    <row r="167" spans="1:49" ht="14.5" thickBot="1" x14ac:dyDescent="0.35">
      <c r="A167" s="20" t="str">
        <f>IFERROR(INDEX('G-1 All Habitats'!$AG$3:$AG$17,MATCH(E167,'G-1 All Habitats'!$AF$3:$AF$17,0)),"")</f>
        <v/>
      </c>
      <c r="B167" s="20" t="str">
        <f>IFERROR(INDEX('G-8 Condition Look up'!$I$4:$I$135,MATCH(AV167,'G-8 Condition Look up'!$A$4:$A$135,0)),"")</f>
        <v/>
      </c>
      <c r="D167" s="238">
        <v>157</v>
      </c>
      <c r="E167" s="223"/>
      <c r="F167" s="45"/>
      <c r="G167" s="272"/>
      <c r="H167" s="37"/>
      <c r="I167" s="290" t="str">
        <f>IF(AV167="","",VLOOKUP(AV167,'G-1 All Habitats'!$B$2:$M$135,10,FALSE))</f>
        <v/>
      </c>
      <c r="J167" s="291" t="str">
        <f>IFERROR(VLOOKUP(I167,'G-1 All Habitats'!$V$3:$W$7,2,FALSE),"")</f>
        <v/>
      </c>
      <c r="K167" s="38"/>
      <c r="L167" s="291" t="str">
        <f>IFERROR(INDEX('G-8 Condition Look up'!$A$3:$H$135,MATCH(AV167,'G-8 Condition Look up'!$A$3:$A$135,0),MATCH(K167,'G-8 Condition Look up'!$A$3:$H$3,0)),"")</f>
        <v/>
      </c>
      <c r="M167" s="38"/>
      <c r="N167" s="310" t="str">
        <f>IF(M167="","",IF(VLOOKUP(M167,'G-3 Multipliers'!$L$3:$N$6,2,FALSE)=0,"Spatial Data Missing",VLOOKUP(M167,'G-3 Multipliers'!$L$3:$N$6,2,FALSE)))</f>
        <v/>
      </c>
      <c r="O167" s="296" t="str">
        <f>IF(M167="","",IF(VLOOKUP(M167,'G-3 Multipliers'!$L$3:$N$6,3,FALSE)=0,"Spatial Data Missing ▲",VLOOKUP(M167,'G-3 Multipliers'!$L$3:$N$6,3,FALSE)))</f>
        <v/>
      </c>
      <c r="P167" s="297" t="str">
        <f>(IF(G167="Yes","Bespoke compensation likely to be required 🛠",(IFERROR(VLOOKUP(AV167,'G-1 All Habitats'!$B$2:$M$135,12,FALSE),""))))</f>
        <v/>
      </c>
      <c r="Q167" s="304" t="str">
        <f>IFERROR(IF(AND(E167="Individual trees",T167&gt;0), "Error - you cannot enhance individual trees ▲", (IF(AND(U167="Irreplaceable habitat - no units generated ⚠",(S167+T167)&lt;H167, OR(Y167="No", Y167="")),"Any Loss Unacceptable ⚠", (IF(U167="Irreplaceable habitat - no units generated ⚠", T167*J167*L167*O167, IF(AND(P167='G-1 All Habitats'!$X$3, AC167&gt;0, S167&lt;=0, T167&lt;=0, OR(Y167="No", Y167="")),"Any Loss Unacceptable ⚠", IF(AND(P167='G-1 All Habitats'!$X$3, AC167&gt;0, S167&lt;=0, T167&lt;=0, Y167="Yes"), 0, (IF(AND(P167='G-1 All Habitats'!$X$3,(S167+T167)&lt;H167, OR(Y167="No", Y167="")),"Any Loss Unacceptable ⚠", (IF(P167="","",IF(AND(P167='G-1 All Habitats'!$X$3,T167&gt;0),U167+V167,IF(AND(P167='G-1 All Habitats'!$X$3,S167&gt;0),U167+V167,H167*J167*L167*O167))))))))))))),"Check Data ▲")</f>
        <v/>
      </c>
      <c r="R167" s="23"/>
      <c r="S167" s="38"/>
      <c r="T167" s="39"/>
      <c r="U167" s="302" t="str">
        <f t="shared" si="13"/>
        <v/>
      </c>
      <c r="V167" s="302" t="str">
        <f t="shared" si="14"/>
        <v/>
      </c>
      <c r="W167" s="302" t="str">
        <f>IF(E167="","",IF(H167&lt;S167+T167,"Error in Areas ▲",IF(P167&lt;&gt;'G-1 All Habitats'!$X$3,H167-S167-T167,IF(AND(P167='G-1 All Habitats'!$X$3,Y167="No"),AC167,IF(AND(P167='G-1 All Habitats'!$X$3,Y167=""),AC167,IF(AND(P167='G-1 All Habitats'!$X$3,AC167="None"),AC167,IF(AND(P167='G-1 All Habitats'!$X$3,AC167&gt;0),H167-S167-T167)))))))</f>
        <v/>
      </c>
      <c r="X167" s="306" t="str">
        <f>IFERROR(IF(H167="","",IF(H167-S167-T167=0&lt;0,"Error in Areas ▲",IF(S167+T167&gt;H167,"Error in Areas ▲",IF(AND(P167='G-1 All Habitats'!$X$3,Y167="Yes"),"Alternative Compensation ✓",IF(W167=0,0,IF(P167='G-1 All Habitats'!$X$3,"Any Loss Unacceptable ▲",Q167-U167-V167)))))),"Check Data ▲")</f>
        <v/>
      </c>
      <c r="Y167" s="39"/>
      <c r="Z167" s="46"/>
      <c r="AA167" s="419"/>
      <c r="AB167" s="101"/>
      <c r="AC167" s="495" t="str">
        <f>IF(OR(P167="", Y167="Yes"),"", IF(P167='G-1 All Habitats'!$X$3,H167-S167-T167,"None"))</f>
        <v/>
      </c>
      <c r="AD167" s="496" t="str">
        <f>IF(P167="","", IF(P167='G-1 All Habitats'!$X$3, AC167*J167*L167*O167,"None"))</f>
        <v/>
      </c>
      <c r="AE167" s="20" t="str">
        <f t="shared" si="15"/>
        <v/>
      </c>
      <c r="AF167" s="25" t="str">
        <f t="shared" si="16"/>
        <v/>
      </c>
      <c r="AG167" s="25" t="str">
        <f t="shared" si="12"/>
        <v/>
      </c>
      <c r="AH167" s="25" t="str">
        <f>IF(I167="","",IF(#REF!&gt;0,TRUE,FALSE))</f>
        <v/>
      </c>
      <c r="AI167" s="25">
        <v>157</v>
      </c>
      <c r="AJ167" s="25"/>
      <c r="AK167" s="25" t="str">
        <f t="array" ref="AK167">IFERROR(INDEX($AI$11:$AI$259, MATCH(0, IF(TRUE=$AF$11:$AF$259, COUNTIF($AK$10:$AK166, $AI$11:$AI$259), ""), 0)),"")</f>
        <v/>
      </c>
      <c r="AL167" s="25" t="str">
        <f t="array" ref="AL167">IFERROR(INDEX($AI$11:$AI$259, MATCH(0, IF(TRUE=$AG$11:$AG$259, COUNTIF($AL$10:$AL166, $AI$11:$AI$259), ""), 0)),"")</f>
        <v/>
      </c>
      <c r="AM167" s="25" t="str">
        <f t="array" ref="AM167">IFERROR(INDEX($AI$11:$AI$259, MATCH(0, IF(TRUE=$AH$11:$AH$259, COUNTIF($AM$10:$AM166, $AI$11:$AI$259), ""), 0)),"")</f>
        <v/>
      </c>
      <c r="AN167" s="25"/>
      <c r="AQ167" s="20">
        <f t="shared" si="17"/>
        <v>0</v>
      </c>
      <c r="AV167" s="540" t="str">
        <f>IFERROR(INDEX('G-1 All Habitats'!$B$3:$B$135,MATCH(F167,'G-1 All Habitats'!$A$3:$A$135,0)),"")</f>
        <v/>
      </c>
      <c r="AW167" s="20" t="str">
        <f>IF(AV167="","",VLOOKUP(AV167,'G-1 All Habitats'!$B$1:$T$135,19,FALSE))</f>
        <v/>
      </c>
    </row>
    <row r="168" spans="1:49" ht="14.5" thickBot="1" x14ac:dyDescent="0.35">
      <c r="A168" s="20" t="str">
        <f>IFERROR(INDEX('G-1 All Habitats'!$AG$3:$AG$17,MATCH(E168,'G-1 All Habitats'!$AF$3:$AF$17,0)),"")</f>
        <v/>
      </c>
      <c r="B168" s="20" t="str">
        <f>IFERROR(INDEX('G-8 Condition Look up'!$I$4:$I$135,MATCH(AV168,'G-8 Condition Look up'!$A$4:$A$135,0)),"")</f>
        <v/>
      </c>
      <c r="D168" s="238">
        <v>158</v>
      </c>
      <c r="E168" s="223"/>
      <c r="F168" s="45"/>
      <c r="G168" s="272"/>
      <c r="H168" s="37"/>
      <c r="I168" s="290" t="str">
        <f>IF(AV168="","",VLOOKUP(AV168,'G-1 All Habitats'!$B$2:$M$135,10,FALSE))</f>
        <v/>
      </c>
      <c r="J168" s="291" t="str">
        <f>IFERROR(VLOOKUP(I168,'G-1 All Habitats'!$V$3:$W$7,2,FALSE),"")</f>
        <v/>
      </c>
      <c r="K168" s="38"/>
      <c r="L168" s="291" t="str">
        <f>IFERROR(INDEX('G-8 Condition Look up'!$A$3:$H$135,MATCH(AV168,'G-8 Condition Look up'!$A$3:$A$135,0),MATCH(K168,'G-8 Condition Look up'!$A$3:$H$3,0)),"")</f>
        <v/>
      </c>
      <c r="M168" s="38"/>
      <c r="N168" s="310" t="str">
        <f>IF(M168="","",IF(VLOOKUP(M168,'G-3 Multipliers'!$L$3:$N$6,2,FALSE)=0,"Spatial Data Missing",VLOOKUP(M168,'G-3 Multipliers'!$L$3:$N$6,2,FALSE)))</f>
        <v/>
      </c>
      <c r="O168" s="296" t="str">
        <f>IF(M168="","",IF(VLOOKUP(M168,'G-3 Multipliers'!$L$3:$N$6,3,FALSE)=0,"Spatial Data Missing ▲",VLOOKUP(M168,'G-3 Multipliers'!$L$3:$N$6,3,FALSE)))</f>
        <v/>
      </c>
      <c r="P168" s="297" t="str">
        <f>(IF(G168="Yes","Bespoke compensation likely to be required 🛠",(IFERROR(VLOOKUP(AV168,'G-1 All Habitats'!$B$2:$M$135,12,FALSE),""))))</f>
        <v/>
      </c>
      <c r="Q168" s="304" t="str">
        <f>IFERROR(IF(AND(E168="Individual trees",T168&gt;0), "Error - you cannot enhance individual trees ▲", (IF(AND(U168="Irreplaceable habitat - no units generated ⚠",(S168+T168)&lt;H168, OR(Y168="No", Y168="")),"Any Loss Unacceptable ⚠", (IF(U168="Irreplaceable habitat - no units generated ⚠", T168*J168*L168*O168, IF(AND(P168='G-1 All Habitats'!$X$3, AC168&gt;0, S168&lt;=0, T168&lt;=0, OR(Y168="No", Y168="")),"Any Loss Unacceptable ⚠", IF(AND(P168='G-1 All Habitats'!$X$3, AC168&gt;0, S168&lt;=0, T168&lt;=0, Y168="Yes"), 0, (IF(AND(P168='G-1 All Habitats'!$X$3,(S168+T168)&lt;H168, OR(Y168="No", Y168="")),"Any Loss Unacceptable ⚠", (IF(P168="","",IF(AND(P168='G-1 All Habitats'!$X$3,T168&gt;0),U168+V168,IF(AND(P168='G-1 All Habitats'!$X$3,S168&gt;0),U168+V168,H168*J168*L168*O168))))))))))))),"Check Data ▲")</f>
        <v/>
      </c>
      <c r="R168" s="23"/>
      <c r="S168" s="38"/>
      <c r="T168" s="39"/>
      <c r="U168" s="302" t="str">
        <f t="shared" si="13"/>
        <v/>
      </c>
      <c r="V168" s="302" t="str">
        <f t="shared" si="14"/>
        <v/>
      </c>
      <c r="W168" s="302" t="str">
        <f>IF(E168="","",IF(H168&lt;S168+T168,"Error in Areas ▲",IF(P168&lt;&gt;'G-1 All Habitats'!$X$3,H168-S168-T168,IF(AND(P168='G-1 All Habitats'!$X$3,Y168="No"),AC168,IF(AND(P168='G-1 All Habitats'!$X$3,Y168=""),AC168,IF(AND(P168='G-1 All Habitats'!$X$3,AC168="None"),AC168,IF(AND(P168='G-1 All Habitats'!$X$3,AC168&gt;0),H168-S168-T168)))))))</f>
        <v/>
      </c>
      <c r="X168" s="306" t="str">
        <f>IFERROR(IF(H168="","",IF(H168-S168-T168=0&lt;0,"Error in Areas ▲",IF(S168+T168&gt;H168,"Error in Areas ▲",IF(AND(P168='G-1 All Habitats'!$X$3,Y168="Yes"),"Alternative Compensation ✓",IF(W168=0,0,IF(P168='G-1 All Habitats'!$X$3,"Any Loss Unacceptable ▲",Q168-U168-V168)))))),"Check Data ▲")</f>
        <v/>
      </c>
      <c r="Y168" s="39"/>
      <c r="Z168" s="46"/>
      <c r="AA168" s="419"/>
      <c r="AB168" s="101"/>
      <c r="AC168" s="495" t="str">
        <f>IF(OR(P168="", Y168="Yes"),"", IF(P168='G-1 All Habitats'!$X$3,H168-S168-T168,"None"))</f>
        <v/>
      </c>
      <c r="AD168" s="496" t="str">
        <f>IF(P168="","", IF(P168='G-1 All Habitats'!$X$3, AC168*J168*L168*O168,"None"))</f>
        <v/>
      </c>
      <c r="AE168" s="20" t="str">
        <f t="shared" si="15"/>
        <v/>
      </c>
      <c r="AF168" s="25" t="str">
        <f t="shared" si="16"/>
        <v/>
      </c>
      <c r="AG168" s="25" t="str">
        <f t="shared" si="12"/>
        <v/>
      </c>
      <c r="AH168" s="25" t="str">
        <f>IF(I168="","",IF(#REF!&gt;0,TRUE,FALSE))</f>
        <v/>
      </c>
      <c r="AI168" s="25">
        <v>158</v>
      </c>
      <c r="AJ168" s="25"/>
      <c r="AK168" s="25" t="str">
        <f t="array" ref="AK168">IFERROR(INDEX($AI$11:$AI$259, MATCH(0, IF(TRUE=$AF$11:$AF$259, COUNTIF($AK$10:$AK167, $AI$11:$AI$259), ""), 0)),"")</f>
        <v/>
      </c>
      <c r="AL168" s="25" t="str">
        <f t="array" ref="AL168">IFERROR(INDEX($AI$11:$AI$259, MATCH(0, IF(TRUE=$AG$11:$AG$259, COUNTIF($AL$10:$AL167, $AI$11:$AI$259), ""), 0)),"")</f>
        <v/>
      </c>
      <c r="AM168" s="25" t="str">
        <f t="array" ref="AM168">IFERROR(INDEX($AI$11:$AI$259, MATCH(0, IF(TRUE=$AH$11:$AH$259, COUNTIF($AM$10:$AM167, $AI$11:$AI$259), ""), 0)),"")</f>
        <v/>
      </c>
      <c r="AN168" s="25"/>
      <c r="AQ168" s="20">
        <f t="shared" si="17"/>
        <v>0</v>
      </c>
      <c r="AV168" s="540" t="str">
        <f>IFERROR(INDEX('G-1 All Habitats'!$B$3:$B$135,MATCH(F168,'G-1 All Habitats'!$A$3:$A$135,0)),"")</f>
        <v/>
      </c>
      <c r="AW168" s="20" t="str">
        <f>IF(AV168="","",VLOOKUP(AV168,'G-1 All Habitats'!$B$1:$T$135,19,FALSE))</f>
        <v/>
      </c>
    </row>
    <row r="169" spans="1:49" ht="14.5" thickBot="1" x14ac:dyDescent="0.35">
      <c r="A169" s="20" t="str">
        <f>IFERROR(INDEX('G-1 All Habitats'!$AG$3:$AG$17,MATCH(E169,'G-1 All Habitats'!$AF$3:$AF$17,0)),"")</f>
        <v/>
      </c>
      <c r="B169" s="20" t="str">
        <f>IFERROR(INDEX('G-8 Condition Look up'!$I$4:$I$135,MATCH(AV169,'G-8 Condition Look up'!$A$4:$A$135,0)),"")</f>
        <v/>
      </c>
      <c r="D169" s="238">
        <v>159</v>
      </c>
      <c r="E169" s="223"/>
      <c r="F169" s="45"/>
      <c r="G169" s="272"/>
      <c r="H169" s="37"/>
      <c r="I169" s="290" t="str">
        <f>IF(AV169="","",VLOOKUP(AV169,'G-1 All Habitats'!$B$2:$M$135,10,FALSE))</f>
        <v/>
      </c>
      <c r="J169" s="291" t="str">
        <f>IFERROR(VLOOKUP(I169,'G-1 All Habitats'!$V$3:$W$7,2,FALSE),"")</f>
        <v/>
      </c>
      <c r="K169" s="38"/>
      <c r="L169" s="291" t="str">
        <f>IFERROR(INDEX('G-8 Condition Look up'!$A$3:$H$135,MATCH(AV169,'G-8 Condition Look up'!$A$3:$A$135,0),MATCH(K169,'G-8 Condition Look up'!$A$3:$H$3,0)),"")</f>
        <v/>
      </c>
      <c r="M169" s="38"/>
      <c r="N169" s="310" t="str">
        <f>IF(M169="","",IF(VLOOKUP(M169,'G-3 Multipliers'!$L$3:$N$6,2,FALSE)=0,"Spatial Data Missing",VLOOKUP(M169,'G-3 Multipliers'!$L$3:$N$6,2,FALSE)))</f>
        <v/>
      </c>
      <c r="O169" s="296" t="str">
        <f>IF(M169="","",IF(VLOOKUP(M169,'G-3 Multipliers'!$L$3:$N$6,3,FALSE)=0,"Spatial Data Missing ▲",VLOOKUP(M169,'G-3 Multipliers'!$L$3:$N$6,3,FALSE)))</f>
        <v/>
      </c>
      <c r="P169" s="297" t="str">
        <f>(IF(G169="Yes","Bespoke compensation likely to be required 🛠",(IFERROR(VLOOKUP(AV169,'G-1 All Habitats'!$B$2:$M$135,12,FALSE),""))))</f>
        <v/>
      </c>
      <c r="Q169" s="304" t="str">
        <f>IFERROR(IF(AND(E169="Individual trees",T169&gt;0), "Error - you cannot enhance individual trees ▲", (IF(AND(U169="Irreplaceable habitat - no units generated ⚠",(S169+T169)&lt;H169, OR(Y169="No", Y169="")),"Any Loss Unacceptable ⚠", (IF(U169="Irreplaceable habitat - no units generated ⚠", T169*J169*L169*O169, IF(AND(P169='G-1 All Habitats'!$X$3, AC169&gt;0, S169&lt;=0, T169&lt;=0, OR(Y169="No", Y169="")),"Any Loss Unacceptable ⚠", IF(AND(P169='G-1 All Habitats'!$X$3, AC169&gt;0, S169&lt;=0, T169&lt;=0, Y169="Yes"), 0, (IF(AND(P169='G-1 All Habitats'!$X$3,(S169+T169)&lt;H169, OR(Y169="No", Y169="")),"Any Loss Unacceptable ⚠", (IF(P169="","",IF(AND(P169='G-1 All Habitats'!$X$3,T169&gt;0),U169+V169,IF(AND(P169='G-1 All Habitats'!$X$3,S169&gt;0),U169+V169,H169*J169*L169*O169))))))))))))),"Check Data ▲")</f>
        <v/>
      </c>
      <c r="R169" s="23"/>
      <c r="S169" s="38"/>
      <c r="T169" s="39"/>
      <c r="U169" s="302" t="str">
        <f t="shared" si="13"/>
        <v/>
      </c>
      <c r="V169" s="302" t="str">
        <f t="shared" si="14"/>
        <v/>
      </c>
      <c r="W169" s="302" t="str">
        <f>IF(E169="","",IF(H169&lt;S169+T169,"Error in Areas ▲",IF(P169&lt;&gt;'G-1 All Habitats'!$X$3,H169-S169-T169,IF(AND(P169='G-1 All Habitats'!$X$3,Y169="No"),AC169,IF(AND(P169='G-1 All Habitats'!$X$3,Y169=""),AC169,IF(AND(P169='G-1 All Habitats'!$X$3,AC169="None"),AC169,IF(AND(P169='G-1 All Habitats'!$X$3,AC169&gt;0),H169-S169-T169)))))))</f>
        <v/>
      </c>
      <c r="X169" s="306" t="str">
        <f>IFERROR(IF(H169="","",IF(H169-S169-T169=0&lt;0,"Error in Areas ▲",IF(S169+T169&gt;H169,"Error in Areas ▲",IF(AND(P169='G-1 All Habitats'!$X$3,Y169="Yes"),"Alternative Compensation ✓",IF(W169=0,0,IF(P169='G-1 All Habitats'!$X$3,"Any Loss Unacceptable ▲",Q169-U169-V169)))))),"Check Data ▲")</f>
        <v/>
      </c>
      <c r="Y169" s="39"/>
      <c r="Z169" s="46"/>
      <c r="AA169" s="419"/>
      <c r="AB169" s="101"/>
      <c r="AC169" s="495" t="str">
        <f>IF(OR(P169="", Y169="Yes"),"", IF(P169='G-1 All Habitats'!$X$3,H169-S169-T169,"None"))</f>
        <v/>
      </c>
      <c r="AD169" s="496" t="str">
        <f>IF(P169="","", IF(P169='G-1 All Habitats'!$X$3, AC169*J169*L169*O169,"None"))</f>
        <v/>
      </c>
      <c r="AE169" s="20" t="str">
        <f t="shared" si="15"/>
        <v/>
      </c>
      <c r="AF169" s="25" t="str">
        <f t="shared" si="16"/>
        <v/>
      </c>
      <c r="AG169" s="25" t="str">
        <f t="shared" si="12"/>
        <v/>
      </c>
      <c r="AH169" s="25" t="str">
        <f>IF(I169="","",IF(#REF!&gt;0,TRUE,FALSE))</f>
        <v/>
      </c>
      <c r="AI169" s="25">
        <v>159</v>
      </c>
      <c r="AJ169" s="25"/>
      <c r="AK169" s="25" t="str">
        <f t="array" ref="AK169">IFERROR(INDEX($AI$11:$AI$259, MATCH(0, IF(TRUE=$AF$11:$AF$259, COUNTIF($AK$10:$AK168, $AI$11:$AI$259), ""), 0)),"")</f>
        <v/>
      </c>
      <c r="AL169" s="25" t="str">
        <f t="array" ref="AL169">IFERROR(INDEX($AI$11:$AI$259, MATCH(0, IF(TRUE=$AG$11:$AG$259, COUNTIF($AL$10:$AL168, $AI$11:$AI$259), ""), 0)),"")</f>
        <v/>
      </c>
      <c r="AM169" s="25" t="str">
        <f t="array" ref="AM169">IFERROR(INDEX($AI$11:$AI$259, MATCH(0, IF(TRUE=$AH$11:$AH$259, COUNTIF($AM$10:$AM168, $AI$11:$AI$259), ""), 0)),"")</f>
        <v/>
      </c>
      <c r="AN169" s="25"/>
      <c r="AQ169" s="20">
        <f t="shared" si="17"/>
        <v>0</v>
      </c>
      <c r="AV169" s="540" t="str">
        <f>IFERROR(INDEX('G-1 All Habitats'!$B$3:$B$135,MATCH(F169,'G-1 All Habitats'!$A$3:$A$135,0)),"")</f>
        <v/>
      </c>
      <c r="AW169" s="20" t="str">
        <f>IF(AV169="","",VLOOKUP(AV169,'G-1 All Habitats'!$B$1:$T$135,19,FALSE))</f>
        <v/>
      </c>
    </row>
    <row r="170" spans="1:49" ht="14.5" thickBot="1" x14ac:dyDescent="0.35">
      <c r="A170" s="20" t="str">
        <f>IFERROR(INDEX('G-1 All Habitats'!$AG$3:$AG$17,MATCH(E170,'G-1 All Habitats'!$AF$3:$AF$17,0)),"")</f>
        <v/>
      </c>
      <c r="B170" s="20" t="str">
        <f>IFERROR(INDEX('G-8 Condition Look up'!$I$4:$I$135,MATCH(AV170,'G-8 Condition Look up'!$A$4:$A$135,0)),"")</f>
        <v/>
      </c>
      <c r="D170" s="238">
        <v>160</v>
      </c>
      <c r="E170" s="223"/>
      <c r="F170" s="45"/>
      <c r="G170" s="272"/>
      <c r="H170" s="37"/>
      <c r="I170" s="290" t="str">
        <f>IF(AV170="","",VLOOKUP(AV170,'G-1 All Habitats'!$B$2:$M$135,10,FALSE))</f>
        <v/>
      </c>
      <c r="J170" s="291" t="str">
        <f>IFERROR(VLOOKUP(I170,'G-1 All Habitats'!$V$3:$W$7,2,FALSE),"")</f>
        <v/>
      </c>
      <c r="K170" s="38"/>
      <c r="L170" s="291" t="str">
        <f>IFERROR(INDEX('G-8 Condition Look up'!$A$3:$H$135,MATCH(AV170,'G-8 Condition Look up'!$A$3:$A$135,0),MATCH(K170,'G-8 Condition Look up'!$A$3:$H$3,0)),"")</f>
        <v/>
      </c>
      <c r="M170" s="38"/>
      <c r="N170" s="310" t="str">
        <f>IF(M170="","",IF(VLOOKUP(M170,'G-3 Multipliers'!$L$3:$N$6,2,FALSE)=0,"Spatial Data Missing",VLOOKUP(M170,'G-3 Multipliers'!$L$3:$N$6,2,FALSE)))</f>
        <v/>
      </c>
      <c r="O170" s="296" t="str">
        <f>IF(M170="","",IF(VLOOKUP(M170,'G-3 Multipliers'!$L$3:$N$6,3,FALSE)=0,"Spatial Data Missing ▲",VLOOKUP(M170,'G-3 Multipliers'!$L$3:$N$6,3,FALSE)))</f>
        <v/>
      </c>
      <c r="P170" s="297" t="str">
        <f>(IF(G170="Yes","Bespoke compensation likely to be required 🛠",(IFERROR(VLOOKUP(AV170,'G-1 All Habitats'!$B$2:$M$135,12,FALSE),""))))</f>
        <v/>
      </c>
      <c r="Q170" s="304" t="str">
        <f>IFERROR(IF(AND(E170="Individual trees",T170&gt;0), "Error - you cannot enhance individual trees ▲", (IF(AND(U170="Irreplaceable habitat - no units generated ⚠",(S170+T170)&lt;H170, OR(Y170="No", Y170="")),"Any Loss Unacceptable ⚠", (IF(U170="Irreplaceable habitat - no units generated ⚠", T170*J170*L170*O170, IF(AND(P170='G-1 All Habitats'!$X$3, AC170&gt;0, S170&lt;=0, T170&lt;=0, OR(Y170="No", Y170="")),"Any Loss Unacceptable ⚠", IF(AND(P170='G-1 All Habitats'!$X$3, AC170&gt;0, S170&lt;=0, T170&lt;=0, Y170="Yes"), 0, (IF(AND(P170='G-1 All Habitats'!$X$3,(S170+T170)&lt;H170, OR(Y170="No", Y170="")),"Any Loss Unacceptable ⚠", (IF(P170="","",IF(AND(P170='G-1 All Habitats'!$X$3,T170&gt;0),U170+V170,IF(AND(P170='G-1 All Habitats'!$X$3,S170&gt;0),U170+V170,H170*J170*L170*O170))))))))))))),"Check Data ▲")</f>
        <v/>
      </c>
      <c r="R170" s="23"/>
      <c r="S170" s="38"/>
      <c r="T170" s="39"/>
      <c r="U170" s="302" t="str">
        <f t="shared" si="13"/>
        <v/>
      </c>
      <c r="V170" s="302" t="str">
        <f t="shared" si="14"/>
        <v/>
      </c>
      <c r="W170" s="302" t="str">
        <f>IF(E170="","",IF(H170&lt;S170+T170,"Error in Areas ▲",IF(P170&lt;&gt;'G-1 All Habitats'!$X$3,H170-S170-T170,IF(AND(P170='G-1 All Habitats'!$X$3,Y170="No"),AC170,IF(AND(P170='G-1 All Habitats'!$X$3,Y170=""),AC170,IF(AND(P170='G-1 All Habitats'!$X$3,AC170="None"),AC170,IF(AND(P170='G-1 All Habitats'!$X$3,AC170&gt;0),H170-S170-T170)))))))</f>
        <v/>
      </c>
      <c r="X170" s="306" t="str">
        <f>IFERROR(IF(H170="","",IF(H170-S170-T170=0&lt;0,"Error in Areas ▲",IF(S170+T170&gt;H170,"Error in Areas ▲",IF(AND(P170='G-1 All Habitats'!$X$3,Y170="Yes"),"Alternative Compensation ✓",IF(W170=0,0,IF(P170='G-1 All Habitats'!$X$3,"Any Loss Unacceptable ▲",Q170-U170-V170)))))),"Check Data ▲")</f>
        <v/>
      </c>
      <c r="Y170" s="39"/>
      <c r="Z170" s="46"/>
      <c r="AA170" s="419"/>
      <c r="AB170" s="101"/>
      <c r="AC170" s="495" t="str">
        <f>IF(OR(P170="", Y170="Yes"),"", IF(P170='G-1 All Habitats'!$X$3,H170-S170-T170,"None"))</f>
        <v/>
      </c>
      <c r="AD170" s="496" t="str">
        <f>IF(P170="","", IF(P170='G-1 All Habitats'!$X$3, AC170*J170*L170*O170,"None"))</f>
        <v/>
      </c>
      <c r="AE170" s="20" t="str">
        <f t="shared" si="15"/>
        <v/>
      </c>
      <c r="AF170" s="25" t="str">
        <f t="shared" si="16"/>
        <v/>
      </c>
      <c r="AG170" s="25" t="str">
        <f t="shared" si="12"/>
        <v/>
      </c>
      <c r="AH170" s="25" t="str">
        <f>IF(I170="","",IF(#REF!&gt;0,TRUE,FALSE))</f>
        <v/>
      </c>
      <c r="AI170" s="25">
        <v>160</v>
      </c>
      <c r="AJ170" s="25"/>
      <c r="AK170" s="25" t="str">
        <f t="array" ref="AK170">IFERROR(INDEX($AI$11:$AI$259, MATCH(0, IF(TRUE=$AF$11:$AF$259, COUNTIF($AK$10:$AK169, $AI$11:$AI$259), ""), 0)),"")</f>
        <v/>
      </c>
      <c r="AL170" s="25" t="str">
        <f t="array" ref="AL170">IFERROR(INDEX($AI$11:$AI$259, MATCH(0, IF(TRUE=$AG$11:$AG$259, COUNTIF($AL$10:$AL169, $AI$11:$AI$259), ""), 0)),"")</f>
        <v/>
      </c>
      <c r="AM170" s="25" t="str">
        <f t="array" ref="AM170">IFERROR(INDEX($AI$11:$AI$259, MATCH(0, IF(TRUE=$AH$11:$AH$259, COUNTIF($AM$10:$AM169, $AI$11:$AI$259), ""), 0)),"")</f>
        <v/>
      </c>
      <c r="AN170" s="25"/>
      <c r="AQ170" s="20">
        <f t="shared" si="17"/>
        <v>0</v>
      </c>
      <c r="AV170" s="540" t="str">
        <f>IFERROR(INDEX('G-1 All Habitats'!$B$3:$B$135,MATCH(F170,'G-1 All Habitats'!$A$3:$A$135,0)),"")</f>
        <v/>
      </c>
      <c r="AW170" s="20" t="str">
        <f>IF(AV170="","",VLOOKUP(AV170,'G-1 All Habitats'!$B$1:$T$135,19,FALSE))</f>
        <v/>
      </c>
    </row>
    <row r="171" spans="1:49" ht="14.5" thickBot="1" x14ac:dyDescent="0.35">
      <c r="A171" s="20" t="str">
        <f>IFERROR(INDEX('G-1 All Habitats'!$AG$3:$AG$17,MATCH(E171,'G-1 All Habitats'!$AF$3:$AF$17,0)),"")</f>
        <v/>
      </c>
      <c r="B171" s="20" t="str">
        <f>IFERROR(INDEX('G-8 Condition Look up'!$I$4:$I$135,MATCH(AV171,'G-8 Condition Look up'!$A$4:$A$135,0)),"")</f>
        <v/>
      </c>
      <c r="D171" s="238">
        <v>161</v>
      </c>
      <c r="E171" s="223"/>
      <c r="F171" s="45"/>
      <c r="G171" s="272"/>
      <c r="H171" s="37"/>
      <c r="I171" s="290" t="str">
        <f>IF(AV171="","",VLOOKUP(AV171,'G-1 All Habitats'!$B$2:$M$135,10,FALSE))</f>
        <v/>
      </c>
      <c r="J171" s="291" t="str">
        <f>IFERROR(VLOOKUP(I171,'G-1 All Habitats'!$V$3:$W$7,2,FALSE),"")</f>
        <v/>
      </c>
      <c r="K171" s="38"/>
      <c r="L171" s="291" t="str">
        <f>IFERROR(INDEX('G-8 Condition Look up'!$A$3:$H$135,MATCH(AV171,'G-8 Condition Look up'!$A$3:$A$135,0),MATCH(K171,'G-8 Condition Look up'!$A$3:$H$3,0)),"")</f>
        <v/>
      </c>
      <c r="M171" s="38"/>
      <c r="N171" s="310" t="str">
        <f>IF(M171="","",IF(VLOOKUP(M171,'G-3 Multipliers'!$L$3:$N$6,2,FALSE)=0,"Spatial Data Missing",VLOOKUP(M171,'G-3 Multipliers'!$L$3:$N$6,2,FALSE)))</f>
        <v/>
      </c>
      <c r="O171" s="296" t="str">
        <f>IF(M171="","",IF(VLOOKUP(M171,'G-3 Multipliers'!$L$3:$N$6,3,FALSE)=0,"Spatial Data Missing ▲",VLOOKUP(M171,'G-3 Multipliers'!$L$3:$N$6,3,FALSE)))</f>
        <v/>
      </c>
      <c r="P171" s="297" t="str">
        <f>(IF(G171="Yes","Bespoke compensation likely to be required 🛠",(IFERROR(VLOOKUP(AV171,'G-1 All Habitats'!$B$2:$M$135,12,FALSE),""))))</f>
        <v/>
      </c>
      <c r="Q171" s="304" t="str">
        <f>IFERROR(IF(AND(E171="Individual trees",T171&gt;0), "Error - you cannot enhance individual trees ▲", (IF(AND(U171="Irreplaceable habitat - no units generated ⚠",(S171+T171)&lt;H171, OR(Y171="No", Y171="")),"Any Loss Unacceptable ⚠", (IF(U171="Irreplaceable habitat - no units generated ⚠", T171*J171*L171*O171, IF(AND(P171='G-1 All Habitats'!$X$3, AC171&gt;0, S171&lt;=0, T171&lt;=0, OR(Y171="No", Y171="")),"Any Loss Unacceptable ⚠", IF(AND(P171='G-1 All Habitats'!$X$3, AC171&gt;0, S171&lt;=0, T171&lt;=0, Y171="Yes"), 0, (IF(AND(P171='G-1 All Habitats'!$X$3,(S171+T171)&lt;H171, OR(Y171="No", Y171="")),"Any Loss Unacceptable ⚠", (IF(P171="","",IF(AND(P171='G-1 All Habitats'!$X$3,T171&gt;0),U171+V171,IF(AND(P171='G-1 All Habitats'!$X$3,S171&gt;0),U171+V171,H171*J171*L171*O171))))))))))))),"Check Data ▲")</f>
        <v/>
      </c>
      <c r="R171" s="23"/>
      <c r="S171" s="38"/>
      <c r="T171" s="39"/>
      <c r="U171" s="302" t="str">
        <f t="shared" si="13"/>
        <v/>
      </c>
      <c r="V171" s="302" t="str">
        <f t="shared" si="14"/>
        <v/>
      </c>
      <c r="W171" s="302" t="str">
        <f>IF(E171="","",IF(H171&lt;S171+T171,"Error in Areas ▲",IF(P171&lt;&gt;'G-1 All Habitats'!$X$3,H171-S171-T171,IF(AND(P171='G-1 All Habitats'!$X$3,Y171="No"),AC171,IF(AND(P171='G-1 All Habitats'!$X$3,Y171=""),AC171,IF(AND(P171='G-1 All Habitats'!$X$3,AC171="None"),AC171,IF(AND(P171='G-1 All Habitats'!$X$3,AC171&gt;0),H171-S171-T171)))))))</f>
        <v/>
      </c>
      <c r="X171" s="306" t="str">
        <f>IFERROR(IF(H171="","",IF(H171-S171-T171=0&lt;0,"Error in Areas ▲",IF(S171+T171&gt;H171,"Error in Areas ▲",IF(AND(P171='G-1 All Habitats'!$X$3,Y171="Yes"),"Alternative Compensation ✓",IF(W171=0,0,IF(P171='G-1 All Habitats'!$X$3,"Any Loss Unacceptable ▲",Q171-U171-V171)))))),"Check Data ▲")</f>
        <v/>
      </c>
      <c r="Y171" s="39"/>
      <c r="Z171" s="46"/>
      <c r="AA171" s="419"/>
      <c r="AB171" s="101"/>
      <c r="AC171" s="495" t="str">
        <f>IF(OR(P171="", Y171="Yes"),"", IF(P171='G-1 All Habitats'!$X$3,H171-S171-T171,"None"))</f>
        <v/>
      </c>
      <c r="AD171" s="496" t="str">
        <f>IF(P171="","", IF(P171='G-1 All Habitats'!$X$3, AC171*J171*L171*O171,"None"))</f>
        <v/>
      </c>
      <c r="AE171" s="20" t="str">
        <f t="shared" si="15"/>
        <v/>
      </c>
      <c r="AF171" s="25" t="str">
        <f t="shared" si="16"/>
        <v/>
      </c>
      <c r="AG171" s="25" t="str">
        <f t="shared" si="12"/>
        <v/>
      </c>
      <c r="AH171" s="25" t="str">
        <f>IF(I171="","",IF(#REF!&gt;0,TRUE,FALSE))</f>
        <v/>
      </c>
      <c r="AI171" s="25">
        <v>161</v>
      </c>
      <c r="AJ171" s="25"/>
      <c r="AK171" s="25" t="str">
        <f t="array" ref="AK171">IFERROR(INDEX($AI$11:$AI$259, MATCH(0, IF(TRUE=$AF$11:$AF$259, COUNTIF($AK$10:$AK170, $AI$11:$AI$259), ""), 0)),"")</f>
        <v/>
      </c>
      <c r="AL171" s="25" t="str">
        <f t="array" ref="AL171">IFERROR(INDEX($AI$11:$AI$259, MATCH(0, IF(TRUE=$AG$11:$AG$259, COUNTIF($AL$10:$AL170, $AI$11:$AI$259), ""), 0)),"")</f>
        <v/>
      </c>
      <c r="AM171" s="25" t="str">
        <f t="array" ref="AM171">IFERROR(INDEX($AI$11:$AI$259, MATCH(0, IF(TRUE=$AH$11:$AH$259, COUNTIF($AM$10:$AM170, $AI$11:$AI$259), ""), 0)),"")</f>
        <v/>
      </c>
      <c r="AN171" s="25"/>
      <c r="AQ171" s="20">
        <f t="shared" si="17"/>
        <v>0</v>
      </c>
      <c r="AV171" s="540" t="str">
        <f>IFERROR(INDEX('G-1 All Habitats'!$B$3:$B$135,MATCH(F171,'G-1 All Habitats'!$A$3:$A$135,0)),"")</f>
        <v/>
      </c>
      <c r="AW171" s="20" t="str">
        <f>IF(AV171="","",VLOOKUP(AV171,'G-1 All Habitats'!$B$1:$T$135,19,FALSE))</f>
        <v/>
      </c>
    </row>
    <row r="172" spans="1:49" ht="14.5" thickBot="1" x14ac:dyDescent="0.35">
      <c r="A172" s="20" t="str">
        <f>IFERROR(INDEX('G-1 All Habitats'!$AG$3:$AG$17,MATCH(E172,'G-1 All Habitats'!$AF$3:$AF$17,0)),"")</f>
        <v/>
      </c>
      <c r="B172" s="20" t="str">
        <f>IFERROR(INDEX('G-8 Condition Look up'!$I$4:$I$135,MATCH(AV172,'G-8 Condition Look up'!$A$4:$A$135,0)),"")</f>
        <v/>
      </c>
      <c r="D172" s="238">
        <v>162</v>
      </c>
      <c r="E172" s="223"/>
      <c r="F172" s="45"/>
      <c r="G172" s="272"/>
      <c r="H172" s="37"/>
      <c r="I172" s="290" t="str">
        <f>IF(AV172="","",VLOOKUP(AV172,'G-1 All Habitats'!$B$2:$M$135,10,FALSE))</f>
        <v/>
      </c>
      <c r="J172" s="291" t="str">
        <f>IFERROR(VLOOKUP(I172,'G-1 All Habitats'!$V$3:$W$7,2,FALSE),"")</f>
        <v/>
      </c>
      <c r="K172" s="38"/>
      <c r="L172" s="291" t="str">
        <f>IFERROR(INDEX('G-8 Condition Look up'!$A$3:$H$135,MATCH(AV172,'G-8 Condition Look up'!$A$3:$A$135,0),MATCH(K172,'G-8 Condition Look up'!$A$3:$H$3,0)),"")</f>
        <v/>
      </c>
      <c r="M172" s="38"/>
      <c r="N172" s="310" t="str">
        <f>IF(M172="","",IF(VLOOKUP(M172,'G-3 Multipliers'!$L$3:$N$6,2,FALSE)=0,"Spatial Data Missing",VLOOKUP(M172,'G-3 Multipliers'!$L$3:$N$6,2,FALSE)))</f>
        <v/>
      </c>
      <c r="O172" s="296" t="str">
        <f>IF(M172="","",IF(VLOOKUP(M172,'G-3 Multipliers'!$L$3:$N$6,3,FALSE)=0,"Spatial Data Missing ▲",VLOOKUP(M172,'G-3 Multipliers'!$L$3:$N$6,3,FALSE)))</f>
        <v/>
      </c>
      <c r="P172" s="297" t="str">
        <f>(IF(G172="Yes","Bespoke compensation likely to be required 🛠",(IFERROR(VLOOKUP(AV172,'G-1 All Habitats'!$B$2:$M$135,12,FALSE),""))))</f>
        <v/>
      </c>
      <c r="Q172" s="304" t="str">
        <f>IFERROR(IF(AND(E172="Individual trees",T172&gt;0), "Error - you cannot enhance individual trees ▲", (IF(AND(U172="Irreplaceable habitat - no units generated ⚠",(S172+T172)&lt;H172, OR(Y172="No", Y172="")),"Any Loss Unacceptable ⚠", (IF(U172="Irreplaceable habitat - no units generated ⚠", T172*J172*L172*O172, IF(AND(P172='G-1 All Habitats'!$X$3, AC172&gt;0, S172&lt;=0, T172&lt;=0, OR(Y172="No", Y172="")),"Any Loss Unacceptable ⚠", IF(AND(P172='G-1 All Habitats'!$X$3, AC172&gt;0, S172&lt;=0, T172&lt;=0, Y172="Yes"), 0, (IF(AND(P172='G-1 All Habitats'!$X$3,(S172+T172)&lt;H172, OR(Y172="No", Y172="")),"Any Loss Unacceptable ⚠", (IF(P172="","",IF(AND(P172='G-1 All Habitats'!$X$3,T172&gt;0),U172+V172,IF(AND(P172='G-1 All Habitats'!$X$3,S172&gt;0),U172+V172,H172*J172*L172*O172))))))))))))),"Check Data ▲")</f>
        <v/>
      </c>
      <c r="R172" s="23"/>
      <c r="S172" s="38"/>
      <c r="T172" s="39"/>
      <c r="U172" s="302" t="str">
        <f t="shared" si="13"/>
        <v/>
      </c>
      <c r="V172" s="302" t="str">
        <f t="shared" si="14"/>
        <v/>
      </c>
      <c r="W172" s="302" t="str">
        <f>IF(E172="","",IF(H172&lt;S172+T172,"Error in Areas ▲",IF(P172&lt;&gt;'G-1 All Habitats'!$X$3,H172-S172-T172,IF(AND(P172='G-1 All Habitats'!$X$3,Y172="No"),AC172,IF(AND(P172='G-1 All Habitats'!$X$3,Y172=""),AC172,IF(AND(P172='G-1 All Habitats'!$X$3,AC172="None"),AC172,IF(AND(P172='G-1 All Habitats'!$X$3,AC172&gt;0),H172-S172-T172)))))))</f>
        <v/>
      </c>
      <c r="X172" s="306" t="str">
        <f>IFERROR(IF(H172="","",IF(H172-S172-T172=0&lt;0,"Error in Areas ▲",IF(S172+T172&gt;H172,"Error in Areas ▲",IF(AND(P172='G-1 All Habitats'!$X$3,Y172="Yes"),"Alternative Compensation ✓",IF(W172=0,0,IF(P172='G-1 All Habitats'!$X$3,"Any Loss Unacceptable ▲",Q172-U172-V172)))))),"Check Data ▲")</f>
        <v/>
      </c>
      <c r="Y172" s="39"/>
      <c r="Z172" s="46"/>
      <c r="AA172" s="419"/>
      <c r="AB172" s="101"/>
      <c r="AC172" s="495" t="str">
        <f>IF(OR(P172="", Y172="Yes"),"", IF(P172='G-1 All Habitats'!$X$3,H172-S172-T172,"None"))</f>
        <v/>
      </c>
      <c r="AD172" s="496" t="str">
        <f>IF(P172="","", IF(P172='G-1 All Habitats'!$X$3, AC172*J172*L172*O172,"None"))</f>
        <v/>
      </c>
      <c r="AE172" s="20" t="str">
        <f t="shared" si="15"/>
        <v/>
      </c>
      <c r="AF172" s="25" t="str">
        <f t="shared" si="16"/>
        <v/>
      </c>
      <c r="AG172" s="25" t="str">
        <f t="shared" si="12"/>
        <v/>
      </c>
      <c r="AH172" s="25" t="str">
        <f>IF(I172="","",IF(#REF!&gt;0,TRUE,FALSE))</f>
        <v/>
      </c>
      <c r="AI172" s="25">
        <v>162</v>
      </c>
      <c r="AJ172" s="25"/>
      <c r="AK172" s="25" t="str">
        <f t="array" ref="AK172">IFERROR(INDEX($AI$11:$AI$259, MATCH(0, IF(TRUE=$AF$11:$AF$259, COUNTIF($AK$10:$AK171, $AI$11:$AI$259), ""), 0)),"")</f>
        <v/>
      </c>
      <c r="AL172" s="25" t="str">
        <f t="array" ref="AL172">IFERROR(INDEX($AI$11:$AI$259, MATCH(0, IF(TRUE=$AG$11:$AG$259, COUNTIF($AL$10:$AL171, $AI$11:$AI$259), ""), 0)),"")</f>
        <v/>
      </c>
      <c r="AM172" s="25" t="str">
        <f t="array" ref="AM172">IFERROR(INDEX($AI$11:$AI$259, MATCH(0, IF(TRUE=$AH$11:$AH$259, COUNTIF($AM$10:$AM171, $AI$11:$AI$259), ""), 0)),"")</f>
        <v/>
      </c>
      <c r="AN172" s="25"/>
      <c r="AQ172" s="20">
        <f t="shared" si="17"/>
        <v>0</v>
      </c>
      <c r="AV172" s="540" t="str">
        <f>IFERROR(INDEX('G-1 All Habitats'!$B$3:$B$135,MATCH(F172,'G-1 All Habitats'!$A$3:$A$135,0)),"")</f>
        <v/>
      </c>
      <c r="AW172" s="20" t="str">
        <f>IF(AV172="","",VLOOKUP(AV172,'G-1 All Habitats'!$B$1:$T$135,19,FALSE))</f>
        <v/>
      </c>
    </row>
    <row r="173" spans="1:49" ht="14.5" thickBot="1" x14ac:dyDescent="0.35">
      <c r="A173" s="20" t="str">
        <f>IFERROR(INDEX('G-1 All Habitats'!$AG$3:$AG$17,MATCH(E173,'G-1 All Habitats'!$AF$3:$AF$17,0)),"")</f>
        <v/>
      </c>
      <c r="B173" s="20" t="str">
        <f>IFERROR(INDEX('G-8 Condition Look up'!$I$4:$I$135,MATCH(AV173,'G-8 Condition Look up'!$A$4:$A$135,0)),"")</f>
        <v/>
      </c>
      <c r="D173" s="238">
        <v>163</v>
      </c>
      <c r="E173" s="223"/>
      <c r="F173" s="45"/>
      <c r="G173" s="272"/>
      <c r="H173" s="37"/>
      <c r="I173" s="290" t="str">
        <f>IF(AV173="","",VLOOKUP(AV173,'G-1 All Habitats'!$B$2:$M$135,10,FALSE))</f>
        <v/>
      </c>
      <c r="J173" s="291" t="str">
        <f>IFERROR(VLOOKUP(I173,'G-1 All Habitats'!$V$3:$W$7,2,FALSE),"")</f>
        <v/>
      </c>
      <c r="K173" s="38"/>
      <c r="L173" s="291" t="str">
        <f>IFERROR(INDEX('G-8 Condition Look up'!$A$3:$H$135,MATCH(AV173,'G-8 Condition Look up'!$A$3:$A$135,0),MATCH(K173,'G-8 Condition Look up'!$A$3:$H$3,0)),"")</f>
        <v/>
      </c>
      <c r="M173" s="38"/>
      <c r="N173" s="310" t="str">
        <f>IF(M173="","",IF(VLOOKUP(M173,'G-3 Multipliers'!$L$3:$N$6,2,FALSE)=0,"Spatial Data Missing",VLOOKUP(M173,'G-3 Multipliers'!$L$3:$N$6,2,FALSE)))</f>
        <v/>
      </c>
      <c r="O173" s="296" t="str">
        <f>IF(M173="","",IF(VLOOKUP(M173,'G-3 Multipliers'!$L$3:$N$6,3,FALSE)=0,"Spatial Data Missing ▲",VLOOKUP(M173,'G-3 Multipliers'!$L$3:$N$6,3,FALSE)))</f>
        <v/>
      </c>
      <c r="P173" s="297" t="str">
        <f>(IF(G173="Yes","Bespoke compensation likely to be required 🛠",(IFERROR(VLOOKUP(AV173,'G-1 All Habitats'!$B$2:$M$135,12,FALSE),""))))</f>
        <v/>
      </c>
      <c r="Q173" s="304" t="str">
        <f>IFERROR(IF(AND(E173="Individual trees",T173&gt;0), "Error - you cannot enhance individual trees ▲", (IF(AND(U173="Irreplaceable habitat - no units generated ⚠",(S173+T173)&lt;H173, OR(Y173="No", Y173="")),"Any Loss Unacceptable ⚠", (IF(U173="Irreplaceable habitat - no units generated ⚠", T173*J173*L173*O173, IF(AND(P173='G-1 All Habitats'!$X$3, AC173&gt;0, S173&lt;=0, T173&lt;=0, OR(Y173="No", Y173="")),"Any Loss Unacceptable ⚠", IF(AND(P173='G-1 All Habitats'!$X$3, AC173&gt;0, S173&lt;=0, T173&lt;=0, Y173="Yes"), 0, (IF(AND(P173='G-1 All Habitats'!$X$3,(S173+T173)&lt;H173, OR(Y173="No", Y173="")),"Any Loss Unacceptable ⚠", (IF(P173="","",IF(AND(P173='G-1 All Habitats'!$X$3,T173&gt;0),U173+V173,IF(AND(P173='G-1 All Habitats'!$X$3,S173&gt;0),U173+V173,H173*J173*L173*O173))))))))))))),"Check Data ▲")</f>
        <v/>
      </c>
      <c r="R173" s="23"/>
      <c r="S173" s="38"/>
      <c r="T173" s="39"/>
      <c r="U173" s="302" t="str">
        <f t="shared" si="13"/>
        <v/>
      </c>
      <c r="V173" s="302" t="str">
        <f t="shared" si="14"/>
        <v/>
      </c>
      <c r="W173" s="302" t="str">
        <f>IF(E173="","",IF(H173&lt;S173+T173,"Error in Areas ▲",IF(P173&lt;&gt;'G-1 All Habitats'!$X$3,H173-S173-T173,IF(AND(P173='G-1 All Habitats'!$X$3,Y173="No"),AC173,IF(AND(P173='G-1 All Habitats'!$X$3,Y173=""),AC173,IF(AND(P173='G-1 All Habitats'!$X$3,AC173="None"),AC173,IF(AND(P173='G-1 All Habitats'!$X$3,AC173&gt;0),H173-S173-T173)))))))</f>
        <v/>
      </c>
      <c r="X173" s="306" t="str">
        <f>IFERROR(IF(H173="","",IF(H173-S173-T173=0&lt;0,"Error in Areas ▲",IF(S173+T173&gt;H173,"Error in Areas ▲",IF(AND(P173='G-1 All Habitats'!$X$3,Y173="Yes"),"Alternative Compensation ✓",IF(W173=0,0,IF(P173='G-1 All Habitats'!$X$3,"Any Loss Unacceptable ▲",Q173-U173-V173)))))),"Check Data ▲")</f>
        <v/>
      </c>
      <c r="Y173" s="39"/>
      <c r="Z173" s="46"/>
      <c r="AA173" s="419"/>
      <c r="AB173" s="101"/>
      <c r="AC173" s="495" t="str">
        <f>IF(OR(P173="", Y173="Yes"),"", IF(P173='G-1 All Habitats'!$X$3,H173-S173-T173,"None"))</f>
        <v/>
      </c>
      <c r="AD173" s="496" t="str">
        <f>IF(P173="","", IF(P173='G-1 All Habitats'!$X$3, AC173*J173*L173*O173,"None"))</f>
        <v/>
      </c>
      <c r="AE173" s="20" t="str">
        <f t="shared" si="15"/>
        <v/>
      </c>
      <c r="AF173" s="25" t="str">
        <f t="shared" si="16"/>
        <v/>
      </c>
      <c r="AG173" s="25" t="str">
        <f t="shared" si="12"/>
        <v/>
      </c>
      <c r="AH173" s="25" t="str">
        <f>IF(I173="","",IF(#REF!&gt;0,TRUE,FALSE))</f>
        <v/>
      </c>
      <c r="AI173" s="25">
        <v>163</v>
      </c>
      <c r="AJ173" s="25"/>
      <c r="AK173" s="25" t="str">
        <f t="array" ref="AK173">IFERROR(INDEX($AI$11:$AI$259, MATCH(0, IF(TRUE=$AF$11:$AF$259, COUNTIF($AK$10:$AK172, $AI$11:$AI$259), ""), 0)),"")</f>
        <v/>
      </c>
      <c r="AL173" s="25" t="str">
        <f t="array" ref="AL173">IFERROR(INDEX($AI$11:$AI$259, MATCH(0, IF(TRUE=$AG$11:$AG$259, COUNTIF($AL$10:$AL172, $AI$11:$AI$259), ""), 0)),"")</f>
        <v/>
      </c>
      <c r="AM173" s="25" t="str">
        <f t="array" ref="AM173">IFERROR(INDEX($AI$11:$AI$259, MATCH(0, IF(TRUE=$AH$11:$AH$259, COUNTIF($AM$10:$AM172, $AI$11:$AI$259), ""), 0)),"")</f>
        <v/>
      </c>
      <c r="AN173" s="25"/>
      <c r="AQ173" s="20">
        <f t="shared" si="17"/>
        <v>0</v>
      </c>
      <c r="AV173" s="540" t="str">
        <f>IFERROR(INDEX('G-1 All Habitats'!$B$3:$B$135,MATCH(F173,'G-1 All Habitats'!$A$3:$A$135,0)),"")</f>
        <v/>
      </c>
      <c r="AW173" s="20" t="str">
        <f>IF(AV173="","",VLOOKUP(AV173,'G-1 All Habitats'!$B$1:$T$135,19,FALSE))</f>
        <v/>
      </c>
    </row>
    <row r="174" spans="1:49" ht="14.5" thickBot="1" x14ac:dyDescent="0.35">
      <c r="A174" s="20" t="str">
        <f>IFERROR(INDEX('G-1 All Habitats'!$AG$3:$AG$17,MATCH(E174,'G-1 All Habitats'!$AF$3:$AF$17,0)),"")</f>
        <v/>
      </c>
      <c r="B174" s="20" t="str">
        <f>IFERROR(INDEX('G-8 Condition Look up'!$I$4:$I$135,MATCH(AV174,'G-8 Condition Look up'!$A$4:$A$135,0)),"")</f>
        <v/>
      </c>
      <c r="D174" s="238">
        <v>164</v>
      </c>
      <c r="E174" s="223"/>
      <c r="F174" s="45"/>
      <c r="G174" s="272"/>
      <c r="H174" s="37"/>
      <c r="I174" s="290" t="str">
        <f>IF(AV174="","",VLOOKUP(AV174,'G-1 All Habitats'!$B$2:$M$135,10,FALSE))</f>
        <v/>
      </c>
      <c r="J174" s="291" t="str">
        <f>IFERROR(VLOOKUP(I174,'G-1 All Habitats'!$V$3:$W$7,2,FALSE),"")</f>
        <v/>
      </c>
      <c r="K174" s="38"/>
      <c r="L174" s="291" t="str">
        <f>IFERROR(INDEX('G-8 Condition Look up'!$A$3:$H$135,MATCH(AV174,'G-8 Condition Look up'!$A$3:$A$135,0),MATCH(K174,'G-8 Condition Look up'!$A$3:$H$3,0)),"")</f>
        <v/>
      </c>
      <c r="M174" s="38"/>
      <c r="N174" s="310" t="str">
        <f>IF(M174="","",IF(VLOOKUP(M174,'G-3 Multipliers'!$L$3:$N$6,2,FALSE)=0,"Spatial Data Missing",VLOOKUP(M174,'G-3 Multipliers'!$L$3:$N$6,2,FALSE)))</f>
        <v/>
      </c>
      <c r="O174" s="296" t="str">
        <f>IF(M174="","",IF(VLOOKUP(M174,'G-3 Multipliers'!$L$3:$N$6,3,FALSE)=0,"Spatial Data Missing ▲",VLOOKUP(M174,'G-3 Multipliers'!$L$3:$N$6,3,FALSE)))</f>
        <v/>
      </c>
      <c r="P174" s="297" t="str">
        <f>(IF(G174="Yes","Bespoke compensation likely to be required 🛠",(IFERROR(VLOOKUP(AV174,'G-1 All Habitats'!$B$2:$M$135,12,FALSE),""))))</f>
        <v/>
      </c>
      <c r="Q174" s="304" t="str">
        <f>IFERROR(IF(AND(E174="Individual trees",T174&gt;0), "Error - you cannot enhance individual trees ▲", (IF(AND(U174="Irreplaceable habitat - no units generated ⚠",(S174+T174)&lt;H174, OR(Y174="No", Y174="")),"Any Loss Unacceptable ⚠", (IF(U174="Irreplaceable habitat - no units generated ⚠", T174*J174*L174*O174, IF(AND(P174='G-1 All Habitats'!$X$3, AC174&gt;0, S174&lt;=0, T174&lt;=0, OR(Y174="No", Y174="")),"Any Loss Unacceptable ⚠", IF(AND(P174='G-1 All Habitats'!$X$3, AC174&gt;0, S174&lt;=0, T174&lt;=0, Y174="Yes"), 0, (IF(AND(P174='G-1 All Habitats'!$X$3,(S174+T174)&lt;H174, OR(Y174="No", Y174="")),"Any Loss Unacceptable ⚠", (IF(P174="","",IF(AND(P174='G-1 All Habitats'!$X$3,T174&gt;0),U174+V174,IF(AND(P174='G-1 All Habitats'!$X$3,S174&gt;0),U174+V174,H174*J174*L174*O174))))))))))))),"Check Data ▲")</f>
        <v/>
      </c>
      <c r="R174" s="23"/>
      <c r="S174" s="38"/>
      <c r="T174" s="39"/>
      <c r="U174" s="302" t="str">
        <f t="shared" si="13"/>
        <v/>
      </c>
      <c r="V174" s="302" t="str">
        <f t="shared" si="14"/>
        <v/>
      </c>
      <c r="W174" s="302" t="str">
        <f>IF(E174="","",IF(H174&lt;S174+T174,"Error in Areas ▲",IF(P174&lt;&gt;'G-1 All Habitats'!$X$3,H174-S174-T174,IF(AND(P174='G-1 All Habitats'!$X$3,Y174="No"),AC174,IF(AND(P174='G-1 All Habitats'!$X$3,Y174=""),AC174,IF(AND(P174='G-1 All Habitats'!$X$3,AC174="None"),AC174,IF(AND(P174='G-1 All Habitats'!$X$3,AC174&gt;0),H174-S174-T174)))))))</f>
        <v/>
      </c>
      <c r="X174" s="306" t="str">
        <f>IFERROR(IF(H174="","",IF(H174-S174-T174=0&lt;0,"Error in Areas ▲",IF(S174+T174&gt;H174,"Error in Areas ▲",IF(AND(P174='G-1 All Habitats'!$X$3,Y174="Yes"),"Alternative Compensation ✓",IF(W174=0,0,IF(P174='G-1 All Habitats'!$X$3,"Any Loss Unacceptable ▲",Q174-U174-V174)))))),"Check Data ▲")</f>
        <v/>
      </c>
      <c r="Y174" s="39"/>
      <c r="Z174" s="46"/>
      <c r="AA174" s="419"/>
      <c r="AB174" s="101"/>
      <c r="AC174" s="495" t="str">
        <f>IF(OR(P174="", Y174="Yes"),"", IF(P174='G-1 All Habitats'!$X$3,H174-S174-T174,"None"))</f>
        <v/>
      </c>
      <c r="AD174" s="496" t="str">
        <f>IF(P174="","", IF(P174='G-1 All Habitats'!$X$3, AC174*J174*L174*O174,"None"))</f>
        <v/>
      </c>
      <c r="AE174" s="20" t="str">
        <f t="shared" si="15"/>
        <v/>
      </c>
      <c r="AF174" s="25" t="str">
        <f t="shared" si="16"/>
        <v/>
      </c>
      <c r="AG174" s="25" t="str">
        <f t="shared" si="12"/>
        <v/>
      </c>
      <c r="AH174" s="25" t="str">
        <f>IF(I174="","",IF(#REF!&gt;0,TRUE,FALSE))</f>
        <v/>
      </c>
      <c r="AI174" s="25">
        <v>164</v>
      </c>
      <c r="AJ174" s="25"/>
      <c r="AK174" s="25" t="str">
        <f t="array" ref="AK174">IFERROR(INDEX($AI$11:$AI$259, MATCH(0, IF(TRUE=$AF$11:$AF$259, COUNTIF($AK$10:$AK173, $AI$11:$AI$259), ""), 0)),"")</f>
        <v/>
      </c>
      <c r="AL174" s="25" t="str">
        <f t="array" ref="AL174">IFERROR(INDEX($AI$11:$AI$259, MATCH(0, IF(TRUE=$AG$11:$AG$259, COUNTIF($AL$10:$AL173, $AI$11:$AI$259), ""), 0)),"")</f>
        <v/>
      </c>
      <c r="AM174" s="25" t="str">
        <f t="array" ref="AM174">IFERROR(INDEX($AI$11:$AI$259, MATCH(0, IF(TRUE=$AH$11:$AH$259, COUNTIF($AM$10:$AM173, $AI$11:$AI$259), ""), 0)),"")</f>
        <v/>
      </c>
      <c r="AN174" s="25"/>
      <c r="AQ174" s="20">
        <f t="shared" si="17"/>
        <v>0</v>
      </c>
      <c r="AV174" s="540" t="str">
        <f>IFERROR(INDEX('G-1 All Habitats'!$B$3:$B$135,MATCH(F174,'G-1 All Habitats'!$A$3:$A$135,0)),"")</f>
        <v/>
      </c>
      <c r="AW174" s="20" t="str">
        <f>IF(AV174="","",VLOOKUP(AV174,'G-1 All Habitats'!$B$1:$T$135,19,FALSE))</f>
        <v/>
      </c>
    </row>
    <row r="175" spans="1:49" ht="14.5" thickBot="1" x14ac:dyDescent="0.35">
      <c r="A175" s="20" t="str">
        <f>IFERROR(INDEX('G-1 All Habitats'!$AG$3:$AG$17,MATCH(E175,'G-1 All Habitats'!$AF$3:$AF$17,0)),"")</f>
        <v/>
      </c>
      <c r="B175" s="20" t="str">
        <f>IFERROR(INDEX('G-8 Condition Look up'!$I$4:$I$135,MATCH(AV175,'G-8 Condition Look up'!$A$4:$A$135,0)),"")</f>
        <v/>
      </c>
      <c r="D175" s="238">
        <v>165</v>
      </c>
      <c r="E175" s="223"/>
      <c r="F175" s="45"/>
      <c r="G175" s="272"/>
      <c r="H175" s="37"/>
      <c r="I175" s="290" t="str">
        <f>IF(AV175="","",VLOOKUP(AV175,'G-1 All Habitats'!$B$2:$M$135,10,FALSE))</f>
        <v/>
      </c>
      <c r="J175" s="291" t="str">
        <f>IFERROR(VLOOKUP(I175,'G-1 All Habitats'!$V$3:$W$7,2,FALSE),"")</f>
        <v/>
      </c>
      <c r="K175" s="38"/>
      <c r="L175" s="291" t="str">
        <f>IFERROR(INDEX('G-8 Condition Look up'!$A$3:$H$135,MATCH(AV175,'G-8 Condition Look up'!$A$3:$A$135,0),MATCH(K175,'G-8 Condition Look up'!$A$3:$H$3,0)),"")</f>
        <v/>
      </c>
      <c r="M175" s="38"/>
      <c r="N175" s="310" t="str">
        <f>IF(M175="","",IF(VLOOKUP(M175,'G-3 Multipliers'!$L$3:$N$6,2,FALSE)=0,"Spatial Data Missing",VLOOKUP(M175,'G-3 Multipliers'!$L$3:$N$6,2,FALSE)))</f>
        <v/>
      </c>
      <c r="O175" s="296" t="str">
        <f>IF(M175="","",IF(VLOOKUP(M175,'G-3 Multipliers'!$L$3:$N$6,3,FALSE)=0,"Spatial Data Missing ▲",VLOOKUP(M175,'G-3 Multipliers'!$L$3:$N$6,3,FALSE)))</f>
        <v/>
      </c>
      <c r="P175" s="297" t="str">
        <f>(IF(G175="Yes","Bespoke compensation likely to be required 🛠",(IFERROR(VLOOKUP(AV175,'G-1 All Habitats'!$B$2:$M$135,12,FALSE),""))))</f>
        <v/>
      </c>
      <c r="Q175" s="304" t="str">
        <f>IFERROR(IF(AND(E175="Individual trees",T175&gt;0), "Error - you cannot enhance individual trees ▲", (IF(AND(U175="Irreplaceable habitat - no units generated ⚠",(S175+T175)&lt;H175, OR(Y175="No", Y175="")),"Any Loss Unacceptable ⚠", (IF(U175="Irreplaceable habitat - no units generated ⚠", T175*J175*L175*O175, IF(AND(P175='G-1 All Habitats'!$X$3, AC175&gt;0, S175&lt;=0, T175&lt;=0, OR(Y175="No", Y175="")),"Any Loss Unacceptable ⚠", IF(AND(P175='G-1 All Habitats'!$X$3, AC175&gt;0, S175&lt;=0, T175&lt;=0, Y175="Yes"), 0, (IF(AND(P175='G-1 All Habitats'!$X$3,(S175+T175)&lt;H175, OR(Y175="No", Y175="")),"Any Loss Unacceptable ⚠", (IF(P175="","",IF(AND(P175='G-1 All Habitats'!$X$3,T175&gt;0),U175+V175,IF(AND(P175='G-1 All Habitats'!$X$3,S175&gt;0),U175+V175,H175*J175*L175*O175))))))))))))),"Check Data ▲")</f>
        <v/>
      </c>
      <c r="R175" s="23"/>
      <c r="S175" s="38"/>
      <c r="T175" s="39"/>
      <c r="U175" s="302" t="str">
        <f t="shared" si="13"/>
        <v/>
      </c>
      <c r="V175" s="302" t="str">
        <f t="shared" si="14"/>
        <v/>
      </c>
      <c r="W175" s="302" t="str">
        <f>IF(E175="","",IF(H175&lt;S175+T175,"Error in Areas ▲",IF(P175&lt;&gt;'G-1 All Habitats'!$X$3,H175-S175-T175,IF(AND(P175='G-1 All Habitats'!$X$3,Y175="No"),AC175,IF(AND(P175='G-1 All Habitats'!$X$3,Y175=""),AC175,IF(AND(P175='G-1 All Habitats'!$X$3,AC175="None"),AC175,IF(AND(P175='G-1 All Habitats'!$X$3,AC175&gt;0),H175-S175-T175)))))))</f>
        <v/>
      </c>
      <c r="X175" s="306" t="str">
        <f>IFERROR(IF(H175="","",IF(H175-S175-T175=0&lt;0,"Error in Areas ▲",IF(S175+T175&gt;H175,"Error in Areas ▲",IF(AND(P175='G-1 All Habitats'!$X$3,Y175="Yes"),"Alternative Compensation ✓",IF(W175=0,0,IF(P175='G-1 All Habitats'!$X$3,"Any Loss Unacceptable ▲",Q175-U175-V175)))))),"Check Data ▲")</f>
        <v/>
      </c>
      <c r="Y175" s="39"/>
      <c r="Z175" s="46"/>
      <c r="AA175" s="419"/>
      <c r="AB175" s="101"/>
      <c r="AC175" s="495" t="str">
        <f>IF(OR(P175="", Y175="Yes"),"", IF(P175='G-1 All Habitats'!$X$3,H175-S175-T175,"None"))</f>
        <v/>
      </c>
      <c r="AD175" s="496" t="str">
        <f>IF(P175="","", IF(P175='G-1 All Habitats'!$X$3, AC175*J175*L175*O175,"None"))</f>
        <v/>
      </c>
      <c r="AE175" s="20" t="str">
        <f t="shared" si="15"/>
        <v/>
      </c>
      <c r="AF175" s="25" t="str">
        <f t="shared" si="16"/>
        <v/>
      </c>
      <c r="AG175" s="25" t="str">
        <f t="shared" si="12"/>
        <v/>
      </c>
      <c r="AH175" s="25" t="str">
        <f>IF(I175="","",IF(#REF!&gt;0,TRUE,FALSE))</f>
        <v/>
      </c>
      <c r="AI175" s="25">
        <v>165</v>
      </c>
      <c r="AJ175" s="25"/>
      <c r="AK175" s="25" t="str">
        <f t="array" ref="AK175">IFERROR(INDEX($AI$11:$AI$259, MATCH(0, IF(TRUE=$AF$11:$AF$259, COUNTIF($AK$10:$AK174, $AI$11:$AI$259), ""), 0)),"")</f>
        <v/>
      </c>
      <c r="AL175" s="25" t="str">
        <f t="array" ref="AL175">IFERROR(INDEX($AI$11:$AI$259, MATCH(0, IF(TRUE=$AG$11:$AG$259, COUNTIF($AL$10:$AL174, $AI$11:$AI$259), ""), 0)),"")</f>
        <v/>
      </c>
      <c r="AM175" s="25" t="str">
        <f t="array" ref="AM175">IFERROR(INDEX($AI$11:$AI$259, MATCH(0, IF(TRUE=$AH$11:$AH$259, COUNTIF($AM$10:$AM174, $AI$11:$AI$259), ""), 0)),"")</f>
        <v/>
      </c>
      <c r="AN175" s="25"/>
      <c r="AQ175" s="20">
        <f t="shared" si="17"/>
        <v>0</v>
      </c>
      <c r="AV175" s="540" t="str">
        <f>IFERROR(INDEX('G-1 All Habitats'!$B$3:$B$135,MATCH(F175,'G-1 All Habitats'!$A$3:$A$135,0)),"")</f>
        <v/>
      </c>
      <c r="AW175" s="20" t="str">
        <f>IF(AV175="","",VLOOKUP(AV175,'G-1 All Habitats'!$B$1:$T$135,19,FALSE))</f>
        <v/>
      </c>
    </row>
    <row r="176" spans="1:49" ht="14.5" thickBot="1" x14ac:dyDescent="0.35">
      <c r="A176" s="20" t="str">
        <f>IFERROR(INDEX('G-1 All Habitats'!$AG$3:$AG$17,MATCH(E176,'G-1 All Habitats'!$AF$3:$AF$17,0)),"")</f>
        <v/>
      </c>
      <c r="B176" s="20" t="str">
        <f>IFERROR(INDEX('G-8 Condition Look up'!$I$4:$I$135,MATCH(AV176,'G-8 Condition Look up'!$A$4:$A$135,0)),"")</f>
        <v/>
      </c>
      <c r="D176" s="238">
        <v>166</v>
      </c>
      <c r="E176" s="223"/>
      <c r="F176" s="45"/>
      <c r="G176" s="272"/>
      <c r="H176" s="37"/>
      <c r="I176" s="290" t="str">
        <f>IF(AV176="","",VLOOKUP(AV176,'G-1 All Habitats'!$B$2:$M$135,10,FALSE))</f>
        <v/>
      </c>
      <c r="J176" s="291" t="str">
        <f>IFERROR(VLOOKUP(I176,'G-1 All Habitats'!$V$3:$W$7,2,FALSE),"")</f>
        <v/>
      </c>
      <c r="K176" s="38"/>
      <c r="L176" s="291" t="str">
        <f>IFERROR(INDEX('G-8 Condition Look up'!$A$3:$H$135,MATCH(AV176,'G-8 Condition Look up'!$A$3:$A$135,0),MATCH(K176,'G-8 Condition Look up'!$A$3:$H$3,0)),"")</f>
        <v/>
      </c>
      <c r="M176" s="38"/>
      <c r="N176" s="310" t="str">
        <f>IF(M176="","",IF(VLOOKUP(M176,'G-3 Multipliers'!$L$3:$N$6,2,FALSE)=0,"Spatial Data Missing",VLOOKUP(M176,'G-3 Multipliers'!$L$3:$N$6,2,FALSE)))</f>
        <v/>
      </c>
      <c r="O176" s="296" t="str">
        <f>IF(M176="","",IF(VLOOKUP(M176,'G-3 Multipliers'!$L$3:$N$6,3,FALSE)=0,"Spatial Data Missing ▲",VLOOKUP(M176,'G-3 Multipliers'!$L$3:$N$6,3,FALSE)))</f>
        <v/>
      </c>
      <c r="P176" s="297" t="str">
        <f>(IF(G176="Yes","Bespoke compensation likely to be required 🛠",(IFERROR(VLOOKUP(AV176,'G-1 All Habitats'!$B$2:$M$135,12,FALSE),""))))</f>
        <v/>
      </c>
      <c r="Q176" s="304" t="str">
        <f>IFERROR(IF(AND(E176="Individual trees",T176&gt;0), "Error - you cannot enhance individual trees ▲", (IF(AND(U176="Irreplaceable habitat - no units generated ⚠",(S176+T176)&lt;H176, OR(Y176="No", Y176="")),"Any Loss Unacceptable ⚠", (IF(U176="Irreplaceable habitat - no units generated ⚠", T176*J176*L176*O176, IF(AND(P176='G-1 All Habitats'!$X$3, AC176&gt;0, S176&lt;=0, T176&lt;=0, OR(Y176="No", Y176="")),"Any Loss Unacceptable ⚠", IF(AND(P176='G-1 All Habitats'!$X$3, AC176&gt;0, S176&lt;=0, T176&lt;=0, Y176="Yes"), 0, (IF(AND(P176='G-1 All Habitats'!$X$3,(S176+T176)&lt;H176, OR(Y176="No", Y176="")),"Any Loss Unacceptable ⚠", (IF(P176="","",IF(AND(P176='G-1 All Habitats'!$X$3,T176&gt;0),U176+V176,IF(AND(P176='G-1 All Habitats'!$X$3,S176&gt;0),U176+V176,H176*J176*L176*O176))))))))))))),"Check Data ▲")</f>
        <v/>
      </c>
      <c r="R176" s="23"/>
      <c r="S176" s="38"/>
      <c r="T176" s="39"/>
      <c r="U176" s="302" t="str">
        <f t="shared" si="13"/>
        <v/>
      </c>
      <c r="V176" s="302" t="str">
        <f t="shared" si="14"/>
        <v/>
      </c>
      <c r="W176" s="302" t="str">
        <f>IF(E176="","",IF(H176&lt;S176+T176,"Error in Areas ▲",IF(P176&lt;&gt;'G-1 All Habitats'!$X$3,H176-S176-T176,IF(AND(P176='G-1 All Habitats'!$X$3,Y176="No"),AC176,IF(AND(P176='G-1 All Habitats'!$X$3,Y176=""),AC176,IF(AND(P176='G-1 All Habitats'!$X$3,AC176="None"),AC176,IF(AND(P176='G-1 All Habitats'!$X$3,AC176&gt;0),H176-S176-T176)))))))</f>
        <v/>
      </c>
      <c r="X176" s="306" t="str">
        <f>IFERROR(IF(H176="","",IF(H176-S176-T176=0&lt;0,"Error in Areas ▲",IF(S176+T176&gt;H176,"Error in Areas ▲",IF(AND(P176='G-1 All Habitats'!$X$3,Y176="Yes"),"Alternative Compensation ✓",IF(W176=0,0,IF(P176='G-1 All Habitats'!$X$3,"Any Loss Unacceptable ▲",Q176-U176-V176)))))),"Check Data ▲")</f>
        <v/>
      </c>
      <c r="Y176" s="39"/>
      <c r="Z176" s="46"/>
      <c r="AA176" s="419"/>
      <c r="AB176" s="101"/>
      <c r="AC176" s="495" t="str">
        <f>IF(OR(P176="", Y176="Yes"),"", IF(P176='G-1 All Habitats'!$X$3,H176-S176-T176,"None"))</f>
        <v/>
      </c>
      <c r="AD176" s="496" t="str">
        <f>IF(P176="","", IF(P176='G-1 All Habitats'!$X$3, AC176*J176*L176*O176,"None"))</f>
        <v/>
      </c>
      <c r="AE176" s="20" t="str">
        <f t="shared" si="15"/>
        <v/>
      </c>
      <c r="AF176" s="25" t="str">
        <f t="shared" si="16"/>
        <v/>
      </c>
      <c r="AG176" s="25" t="str">
        <f t="shared" si="12"/>
        <v/>
      </c>
      <c r="AH176" s="25" t="str">
        <f>IF(I176="","",IF(#REF!&gt;0,TRUE,FALSE))</f>
        <v/>
      </c>
      <c r="AI176" s="25">
        <v>166</v>
      </c>
      <c r="AJ176" s="25"/>
      <c r="AK176" s="25" t="str">
        <f t="array" ref="AK176">IFERROR(INDEX($AI$11:$AI$259, MATCH(0, IF(TRUE=$AF$11:$AF$259, COUNTIF($AK$10:$AK175, $AI$11:$AI$259), ""), 0)),"")</f>
        <v/>
      </c>
      <c r="AL176" s="25" t="str">
        <f t="array" ref="AL176">IFERROR(INDEX($AI$11:$AI$259, MATCH(0, IF(TRUE=$AG$11:$AG$259, COUNTIF($AL$10:$AL175, $AI$11:$AI$259), ""), 0)),"")</f>
        <v/>
      </c>
      <c r="AM176" s="25" t="str">
        <f t="array" ref="AM176">IFERROR(INDEX($AI$11:$AI$259, MATCH(0, IF(TRUE=$AH$11:$AH$259, COUNTIF($AM$10:$AM175, $AI$11:$AI$259), ""), 0)),"")</f>
        <v/>
      </c>
      <c r="AN176" s="25"/>
      <c r="AQ176" s="20">
        <f t="shared" si="17"/>
        <v>0</v>
      </c>
      <c r="AV176" s="540" t="str">
        <f>IFERROR(INDEX('G-1 All Habitats'!$B$3:$B$135,MATCH(F176,'G-1 All Habitats'!$A$3:$A$135,0)),"")</f>
        <v/>
      </c>
      <c r="AW176" s="20" t="str">
        <f>IF(AV176="","",VLOOKUP(AV176,'G-1 All Habitats'!$B$1:$T$135,19,FALSE))</f>
        <v/>
      </c>
    </row>
    <row r="177" spans="1:49" ht="14.5" thickBot="1" x14ac:dyDescent="0.35">
      <c r="A177" s="20" t="str">
        <f>IFERROR(INDEX('G-1 All Habitats'!$AG$3:$AG$17,MATCH(E177,'G-1 All Habitats'!$AF$3:$AF$17,0)),"")</f>
        <v/>
      </c>
      <c r="B177" s="20" t="str">
        <f>IFERROR(INDEX('G-8 Condition Look up'!$I$4:$I$135,MATCH(AV177,'G-8 Condition Look up'!$A$4:$A$135,0)),"")</f>
        <v/>
      </c>
      <c r="D177" s="238">
        <v>167</v>
      </c>
      <c r="E177" s="223"/>
      <c r="F177" s="45"/>
      <c r="G177" s="272"/>
      <c r="H177" s="37"/>
      <c r="I177" s="290" t="str">
        <f>IF(AV177="","",VLOOKUP(AV177,'G-1 All Habitats'!$B$2:$M$135,10,FALSE))</f>
        <v/>
      </c>
      <c r="J177" s="291" t="str">
        <f>IFERROR(VLOOKUP(I177,'G-1 All Habitats'!$V$3:$W$7,2,FALSE),"")</f>
        <v/>
      </c>
      <c r="K177" s="38"/>
      <c r="L177" s="291" t="str">
        <f>IFERROR(INDEX('G-8 Condition Look up'!$A$3:$H$135,MATCH(AV177,'G-8 Condition Look up'!$A$3:$A$135,0),MATCH(K177,'G-8 Condition Look up'!$A$3:$H$3,0)),"")</f>
        <v/>
      </c>
      <c r="M177" s="38"/>
      <c r="N177" s="310" t="str">
        <f>IF(M177="","",IF(VLOOKUP(M177,'G-3 Multipliers'!$L$3:$N$6,2,FALSE)=0,"Spatial Data Missing",VLOOKUP(M177,'G-3 Multipliers'!$L$3:$N$6,2,FALSE)))</f>
        <v/>
      </c>
      <c r="O177" s="296" t="str">
        <f>IF(M177="","",IF(VLOOKUP(M177,'G-3 Multipliers'!$L$3:$N$6,3,FALSE)=0,"Spatial Data Missing ▲",VLOOKUP(M177,'G-3 Multipliers'!$L$3:$N$6,3,FALSE)))</f>
        <v/>
      </c>
      <c r="P177" s="297" t="str">
        <f>(IF(G177="Yes","Bespoke compensation likely to be required 🛠",(IFERROR(VLOOKUP(AV177,'G-1 All Habitats'!$B$2:$M$135,12,FALSE),""))))</f>
        <v/>
      </c>
      <c r="Q177" s="304" t="str">
        <f>IFERROR(IF(AND(E177="Individual trees",T177&gt;0), "Error - you cannot enhance individual trees ▲", (IF(AND(U177="Irreplaceable habitat - no units generated ⚠",(S177+T177)&lt;H177, OR(Y177="No", Y177="")),"Any Loss Unacceptable ⚠", (IF(U177="Irreplaceable habitat - no units generated ⚠", T177*J177*L177*O177, IF(AND(P177='G-1 All Habitats'!$X$3, AC177&gt;0, S177&lt;=0, T177&lt;=0, OR(Y177="No", Y177="")),"Any Loss Unacceptable ⚠", IF(AND(P177='G-1 All Habitats'!$X$3, AC177&gt;0, S177&lt;=0, T177&lt;=0, Y177="Yes"), 0, (IF(AND(P177='G-1 All Habitats'!$X$3,(S177+T177)&lt;H177, OR(Y177="No", Y177="")),"Any Loss Unacceptable ⚠", (IF(P177="","",IF(AND(P177='G-1 All Habitats'!$X$3,T177&gt;0),U177+V177,IF(AND(P177='G-1 All Habitats'!$X$3,S177&gt;0),U177+V177,H177*J177*L177*O177))))))))))))),"Check Data ▲")</f>
        <v/>
      </c>
      <c r="R177" s="23"/>
      <c r="S177" s="38"/>
      <c r="T177" s="39"/>
      <c r="U177" s="302" t="str">
        <f t="shared" si="13"/>
        <v/>
      </c>
      <c r="V177" s="302" t="str">
        <f t="shared" si="14"/>
        <v/>
      </c>
      <c r="W177" s="302" t="str">
        <f>IF(E177="","",IF(H177&lt;S177+T177,"Error in Areas ▲",IF(P177&lt;&gt;'G-1 All Habitats'!$X$3,H177-S177-T177,IF(AND(P177='G-1 All Habitats'!$X$3,Y177="No"),AC177,IF(AND(P177='G-1 All Habitats'!$X$3,Y177=""),AC177,IF(AND(P177='G-1 All Habitats'!$X$3,AC177="None"),AC177,IF(AND(P177='G-1 All Habitats'!$X$3,AC177&gt;0),H177-S177-T177)))))))</f>
        <v/>
      </c>
      <c r="X177" s="306" t="str">
        <f>IFERROR(IF(H177="","",IF(H177-S177-T177=0&lt;0,"Error in Areas ▲",IF(S177+T177&gt;H177,"Error in Areas ▲",IF(AND(P177='G-1 All Habitats'!$X$3,Y177="Yes"),"Alternative Compensation ✓",IF(W177=0,0,IF(P177='G-1 All Habitats'!$X$3,"Any Loss Unacceptable ▲",Q177-U177-V177)))))),"Check Data ▲")</f>
        <v/>
      </c>
      <c r="Y177" s="39"/>
      <c r="Z177" s="46"/>
      <c r="AA177" s="419"/>
      <c r="AB177" s="101"/>
      <c r="AC177" s="495" t="str">
        <f>IF(OR(P177="", Y177="Yes"),"", IF(P177='G-1 All Habitats'!$X$3,H177-S177-T177,"None"))</f>
        <v/>
      </c>
      <c r="AD177" s="496" t="str">
        <f>IF(P177="","", IF(P177='G-1 All Habitats'!$X$3, AC177*J177*L177*O177,"None"))</f>
        <v/>
      </c>
      <c r="AE177" s="20" t="str">
        <f t="shared" si="15"/>
        <v/>
      </c>
      <c r="AF177" s="25" t="str">
        <f t="shared" si="16"/>
        <v/>
      </c>
      <c r="AG177" s="25" t="str">
        <f t="shared" si="12"/>
        <v/>
      </c>
      <c r="AH177" s="25" t="str">
        <f>IF(I177="","",IF(#REF!&gt;0,TRUE,FALSE))</f>
        <v/>
      </c>
      <c r="AI177" s="25">
        <v>167</v>
      </c>
      <c r="AJ177" s="25"/>
      <c r="AK177" s="25" t="str">
        <f t="array" ref="AK177">IFERROR(INDEX($AI$11:$AI$259, MATCH(0, IF(TRUE=$AF$11:$AF$259, COUNTIF($AK$10:$AK176, $AI$11:$AI$259), ""), 0)),"")</f>
        <v/>
      </c>
      <c r="AL177" s="25" t="str">
        <f t="array" ref="AL177">IFERROR(INDEX($AI$11:$AI$259, MATCH(0, IF(TRUE=$AG$11:$AG$259, COUNTIF($AL$10:$AL176, $AI$11:$AI$259), ""), 0)),"")</f>
        <v/>
      </c>
      <c r="AM177" s="25" t="str">
        <f t="array" ref="AM177">IFERROR(INDEX($AI$11:$AI$259, MATCH(0, IF(TRUE=$AH$11:$AH$259, COUNTIF($AM$10:$AM176, $AI$11:$AI$259), ""), 0)),"")</f>
        <v/>
      </c>
      <c r="AN177" s="25"/>
      <c r="AQ177" s="20">
        <f t="shared" si="17"/>
        <v>0</v>
      </c>
      <c r="AV177" s="540" t="str">
        <f>IFERROR(INDEX('G-1 All Habitats'!$B$3:$B$135,MATCH(F177,'G-1 All Habitats'!$A$3:$A$135,0)),"")</f>
        <v/>
      </c>
      <c r="AW177" s="20" t="str">
        <f>IF(AV177="","",VLOOKUP(AV177,'G-1 All Habitats'!$B$1:$T$135,19,FALSE))</f>
        <v/>
      </c>
    </row>
    <row r="178" spans="1:49" ht="14.5" thickBot="1" x14ac:dyDescent="0.35">
      <c r="A178" s="20" t="str">
        <f>IFERROR(INDEX('G-1 All Habitats'!$AG$3:$AG$17,MATCH(E178,'G-1 All Habitats'!$AF$3:$AF$17,0)),"")</f>
        <v/>
      </c>
      <c r="B178" s="20" t="str">
        <f>IFERROR(INDEX('G-8 Condition Look up'!$I$4:$I$135,MATCH(AV178,'G-8 Condition Look up'!$A$4:$A$135,0)),"")</f>
        <v/>
      </c>
      <c r="D178" s="238">
        <v>168</v>
      </c>
      <c r="E178" s="223"/>
      <c r="F178" s="45"/>
      <c r="G178" s="272"/>
      <c r="H178" s="37"/>
      <c r="I178" s="290" t="str">
        <f>IF(AV178="","",VLOOKUP(AV178,'G-1 All Habitats'!$B$2:$M$135,10,FALSE))</f>
        <v/>
      </c>
      <c r="J178" s="291" t="str">
        <f>IFERROR(VLOOKUP(I178,'G-1 All Habitats'!$V$3:$W$7,2,FALSE),"")</f>
        <v/>
      </c>
      <c r="K178" s="38"/>
      <c r="L178" s="291" t="str">
        <f>IFERROR(INDEX('G-8 Condition Look up'!$A$3:$H$135,MATCH(AV178,'G-8 Condition Look up'!$A$3:$A$135,0),MATCH(K178,'G-8 Condition Look up'!$A$3:$H$3,0)),"")</f>
        <v/>
      </c>
      <c r="M178" s="38"/>
      <c r="N178" s="310" t="str">
        <f>IF(M178="","",IF(VLOOKUP(M178,'G-3 Multipliers'!$L$3:$N$6,2,FALSE)=0,"Spatial Data Missing",VLOOKUP(M178,'G-3 Multipliers'!$L$3:$N$6,2,FALSE)))</f>
        <v/>
      </c>
      <c r="O178" s="296" t="str">
        <f>IF(M178="","",IF(VLOOKUP(M178,'G-3 Multipliers'!$L$3:$N$6,3,FALSE)=0,"Spatial Data Missing ▲",VLOOKUP(M178,'G-3 Multipliers'!$L$3:$N$6,3,FALSE)))</f>
        <v/>
      </c>
      <c r="P178" s="297" t="str">
        <f>(IF(G178="Yes","Bespoke compensation likely to be required 🛠",(IFERROR(VLOOKUP(AV178,'G-1 All Habitats'!$B$2:$M$135,12,FALSE),""))))</f>
        <v/>
      </c>
      <c r="Q178" s="304" t="str">
        <f>IFERROR(IF(AND(E178="Individual trees",T178&gt;0), "Error - you cannot enhance individual trees ▲", (IF(AND(U178="Irreplaceable habitat - no units generated ⚠",(S178+T178)&lt;H178, OR(Y178="No", Y178="")),"Any Loss Unacceptable ⚠", (IF(U178="Irreplaceable habitat - no units generated ⚠", T178*J178*L178*O178, IF(AND(P178='G-1 All Habitats'!$X$3, AC178&gt;0, S178&lt;=0, T178&lt;=0, OR(Y178="No", Y178="")),"Any Loss Unacceptable ⚠", IF(AND(P178='G-1 All Habitats'!$X$3, AC178&gt;0, S178&lt;=0, T178&lt;=0, Y178="Yes"), 0, (IF(AND(P178='G-1 All Habitats'!$X$3,(S178+T178)&lt;H178, OR(Y178="No", Y178="")),"Any Loss Unacceptable ⚠", (IF(P178="","",IF(AND(P178='G-1 All Habitats'!$X$3,T178&gt;0),U178+V178,IF(AND(P178='G-1 All Habitats'!$X$3,S178&gt;0),U178+V178,H178*J178*L178*O178))))))))))))),"Check Data ▲")</f>
        <v/>
      </c>
      <c r="R178" s="23"/>
      <c r="S178" s="38"/>
      <c r="T178" s="39"/>
      <c r="U178" s="302" t="str">
        <f t="shared" si="13"/>
        <v/>
      </c>
      <c r="V178" s="302" t="str">
        <f t="shared" si="14"/>
        <v/>
      </c>
      <c r="W178" s="302" t="str">
        <f>IF(E178="","",IF(H178&lt;S178+T178,"Error in Areas ▲",IF(P178&lt;&gt;'G-1 All Habitats'!$X$3,H178-S178-T178,IF(AND(P178='G-1 All Habitats'!$X$3,Y178="No"),AC178,IF(AND(P178='G-1 All Habitats'!$X$3,Y178=""),AC178,IF(AND(P178='G-1 All Habitats'!$X$3,AC178="None"),AC178,IF(AND(P178='G-1 All Habitats'!$X$3,AC178&gt;0),H178-S178-T178)))))))</f>
        <v/>
      </c>
      <c r="X178" s="306" t="str">
        <f>IFERROR(IF(H178="","",IF(H178-S178-T178=0&lt;0,"Error in Areas ▲",IF(S178+T178&gt;H178,"Error in Areas ▲",IF(AND(P178='G-1 All Habitats'!$X$3,Y178="Yes"),"Alternative Compensation ✓",IF(W178=0,0,IF(P178='G-1 All Habitats'!$X$3,"Any Loss Unacceptable ▲",Q178-U178-V178)))))),"Check Data ▲")</f>
        <v/>
      </c>
      <c r="Y178" s="39"/>
      <c r="Z178" s="46"/>
      <c r="AA178" s="419"/>
      <c r="AB178" s="101"/>
      <c r="AC178" s="495" t="str">
        <f>IF(OR(P178="", Y178="Yes"),"", IF(P178='G-1 All Habitats'!$X$3,H178-S178-T178,"None"))</f>
        <v/>
      </c>
      <c r="AD178" s="496" t="str">
        <f>IF(P178="","", IF(P178='G-1 All Habitats'!$X$3, AC178*J178*L178*O178,"None"))</f>
        <v/>
      </c>
      <c r="AE178" s="20" t="str">
        <f t="shared" si="15"/>
        <v/>
      </c>
      <c r="AF178" s="25" t="str">
        <f t="shared" si="16"/>
        <v/>
      </c>
      <c r="AG178" s="25" t="str">
        <f t="shared" si="12"/>
        <v/>
      </c>
      <c r="AH178" s="25" t="str">
        <f>IF(I178="","",IF(#REF!&gt;0,TRUE,FALSE))</f>
        <v/>
      </c>
      <c r="AI178" s="25">
        <v>168</v>
      </c>
      <c r="AJ178" s="25"/>
      <c r="AK178" s="25" t="str">
        <f t="array" ref="AK178">IFERROR(INDEX($AI$11:$AI$259, MATCH(0, IF(TRUE=$AF$11:$AF$259, COUNTIF($AK$10:$AK177, $AI$11:$AI$259), ""), 0)),"")</f>
        <v/>
      </c>
      <c r="AL178" s="25" t="str">
        <f t="array" ref="AL178">IFERROR(INDEX($AI$11:$AI$259, MATCH(0, IF(TRUE=$AG$11:$AG$259, COUNTIF($AL$10:$AL177, $AI$11:$AI$259), ""), 0)),"")</f>
        <v/>
      </c>
      <c r="AM178" s="25" t="str">
        <f t="array" ref="AM178">IFERROR(INDEX($AI$11:$AI$259, MATCH(0, IF(TRUE=$AH$11:$AH$259, COUNTIF($AM$10:$AM177, $AI$11:$AI$259), ""), 0)),"")</f>
        <v/>
      </c>
      <c r="AN178" s="25"/>
      <c r="AQ178" s="20">
        <f t="shared" si="17"/>
        <v>0</v>
      </c>
      <c r="AV178" s="540" t="str">
        <f>IFERROR(INDEX('G-1 All Habitats'!$B$3:$B$135,MATCH(F178,'G-1 All Habitats'!$A$3:$A$135,0)),"")</f>
        <v/>
      </c>
      <c r="AW178" s="20" t="str">
        <f>IF(AV178="","",VLOOKUP(AV178,'G-1 All Habitats'!$B$1:$T$135,19,FALSE))</f>
        <v/>
      </c>
    </row>
    <row r="179" spans="1:49" ht="14.5" thickBot="1" x14ac:dyDescent="0.35">
      <c r="A179" s="20" t="str">
        <f>IFERROR(INDEX('G-1 All Habitats'!$AG$3:$AG$17,MATCH(E179,'G-1 All Habitats'!$AF$3:$AF$17,0)),"")</f>
        <v/>
      </c>
      <c r="B179" s="20" t="str">
        <f>IFERROR(INDEX('G-8 Condition Look up'!$I$4:$I$135,MATCH(AV179,'G-8 Condition Look up'!$A$4:$A$135,0)),"")</f>
        <v/>
      </c>
      <c r="D179" s="238">
        <v>169</v>
      </c>
      <c r="E179" s="223"/>
      <c r="F179" s="45"/>
      <c r="G179" s="272"/>
      <c r="H179" s="37"/>
      <c r="I179" s="290" t="str">
        <f>IF(AV179="","",VLOOKUP(AV179,'G-1 All Habitats'!$B$2:$M$135,10,FALSE))</f>
        <v/>
      </c>
      <c r="J179" s="291" t="str">
        <f>IFERROR(VLOOKUP(I179,'G-1 All Habitats'!$V$3:$W$7,2,FALSE),"")</f>
        <v/>
      </c>
      <c r="K179" s="38"/>
      <c r="L179" s="291" t="str">
        <f>IFERROR(INDEX('G-8 Condition Look up'!$A$3:$H$135,MATCH(AV179,'G-8 Condition Look up'!$A$3:$A$135,0),MATCH(K179,'G-8 Condition Look up'!$A$3:$H$3,0)),"")</f>
        <v/>
      </c>
      <c r="M179" s="38"/>
      <c r="N179" s="310" t="str">
        <f>IF(M179="","",IF(VLOOKUP(M179,'G-3 Multipliers'!$L$3:$N$6,2,FALSE)=0,"Spatial Data Missing",VLOOKUP(M179,'G-3 Multipliers'!$L$3:$N$6,2,FALSE)))</f>
        <v/>
      </c>
      <c r="O179" s="296" t="str">
        <f>IF(M179="","",IF(VLOOKUP(M179,'G-3 Multipliers'!$L$3:$N$6,3,FALSE)=0,"Spatial Data Missing ▲",VLOOKUP(M179,'G-3 Multipliers'!$L$3:$N$6,3,FALSE)))</f>
        <v/>
      </c>
      <c r="P179" s="297" t="str">
        <f>(IF(G179="Yes","Bespoke compensation likely to be required 🛠",(IFERROR(VLOOKUP(AV179,'G-1 All Habitats'!$B$2:$M$135,12,FALSE),""))))</f>
        <v/>
      </c>
      <c r="Q179" s="304" t="str">
        <f>IFERROR(IF(AND(E179="Individual trees",T179&gt;0), "Error - you cannot enhance individual trees ▲", (IF(AND(U179="Irreplaceable habitat - no units generated ⚠",(S179+T179)&lt;H179, OR(Y179="No", Y179="")),"Any Loss Unacceptable ⚠", (IF(U179="Irreplaceable habitat - no units generated ⚠", T179*J179*L179*O179, IF(AND(P179='G-1 All Habitats'!$X$3, AC179&gt;0, S179&lt;=0, T179&lt;=0, OR(Y179="No", Y179="")),"Any Loss Unacceptable ⚠", IF(AND(P179='G-1 All Habitats'!$X$3, AC179&gt;0, S179&lt;=0, T179&lt;=0, Y179="Yes"), 0, (IF(AND(P179='G-1 All Habitats'!$X$3,(S179+T179)&lt;H179, OR(Y179="No", Y179="")),"Any Loss Unacceptable ⚠", (IF(P179="","",IF(AND(P179='G-1 All Habitats'!$X$3,T179&gt;0),U179+V179,IF(AND(P179='G-1 All Habitats'!$X$3,S179&gt;0),U179+V179,H179*J179*L179*O179))))))))))))),"Check Data ▲")</f>
        <v/>
      </c>
      <c r="R179" s="23"/>
      <c r="S179" s="38"/>
      <c r="T179" s="39"/>
      <c r="U179" s="302" t="str">
        <f t="shared" si="13"/>
        <v/>
      </c>
      <c r="V179" s="302" t="str">
        <f t="shared" si="14"/>
        <v/>
      </c>
      <c r="W179" s="302" t="str">
        <f>IF(E179="","",IF(H179&lt;S179+T179,"Error in Areas ▲",IF(P179&lt;&gt;'G-1 All Habitats'!$X$3,H179-S179-T179,IF(AND(P179='G-1 All Habitats'!$X$3,Y179="No"),AC179,IF(AND(P179='G-1 All Habitats'!$X$3,Y179=""),AC179,IF(AND(P179='G-1 All Habitats'!$X$3,AC179="None"),AC179,IF(AND(P179='G-1 All Habitats'!$X$3,AC179&gt;0),H179-S179-T179)))))))</f>
        <v/>
      </c>
      <c r="X179" s="306" t="str">
        <f>IFERROR(IF(H179="","",IF(H179-S179-T179=0&lt;0,"Error in Areas ▲",IF(S179+T179&gt;H179,"Error in Areas ▲",IF(AND(P179='G-1 All Habitats'!$X$3,Y179="Yes"),"Alternative Compensation ✓",IF(W179=0,0,IF(P179='G-1 All Habitats'!$X$3,"Any Loss Unacceptable ▲",Q179-U179-V179)))))),"Check Data ▲")</f>
        <v/>
      </c>
      <c r="Y179" s="39"/>
      <c r="Z179" s="46"/>
      <c r="AA179" s="419"/>
      <c r="AB179" s="101"/>
      <c r="AC179" s="495" t="str">
        <f>IF(OR(P179="", Y179="Yes"),"", IF(P179='G-1 All Habitats'!$X$3,H179-S179-T179,"None"))</f>
        <v/>
      </c>
      <c r="AD179" s="496" t="str">
        <f>IF(P179="","", IF(P179='G-1 All Habitats'!$X$3, AC179*J179*L179*O179,"None"))</f>
        <v/>
      </c>
      <c r="AE179" s="20" t="str">
        <f t="shared" si="15"/>
        <v/>
      </c>
      <c r="AF179" s="25" t="str">
        <f t="shared" si="16"/>
        <v/>
      </c>
      <c r="AG179" s="25" t="str">
        <f t="shared" si="12"/>
        <v/>
      </c>
      <c r="AH179" s="25" t="str">
        <f>IF(I179="","",IF(#REF!&gt;0,TRUE,FALSE))</f>
        <v/>
      </c>
      <c r="AI179" s="25">
        <v>169</v>
      </c>
      <c r="AJ179" s="25"/>
      <c r="AK179" s="25" t="str">
        <f t="array" ref="AK179">IFERROR(INDEX($AI$11:$AI$259, MATCH(0, IF(TRUE=$AF$11:$AF$259, COUNTIF($AK$10:$AK178, $AI$11:$AI$259), ""), 0)),"")</f>
        <v/>
      </c>
      <c r="AL179" s="25" t="str">
        <f t="array" ref="AL179">IFERROR(INDEX($AI$11:$AI$259, MATCH(0, IF(TRUE=$AG$11:$AG$259, COUNTIF($AL$10:$AL178, $AI$11:$AI$259), ""), 0)),"")</f>
        <v/>
      </c>
      <c r="AM179" s="25" t="str">
        <f t="array" ref="AM179">IFERROR(INDEX($AI$11:$AI$259, MATCH(0, IF(TRUE=$AH$11:$AH$259, COUNTIF($AM$10:$AM178, $AI$11:$AI$259), ""), 0)),"")</f>
        <v/>
      </c>
      <c r="AN179" s="25"/>
      <c r="AQ179" s="20">
        <f t="shared" si="17"/>
        <v>0</v>
      </c>
      <c r="AV179" s="540" t="str">
        <f>IFERROR(INDEX('G-1 All Habitats'!$B$3:$B$135,MATCH(F179,'G-1 All Habitats'!$A$3:$A$135,0)),"")</f>
        <v/>
      </c>
      <c r="AW179" s="20" t="str">
        <f>IF(AV179="","",VLOOKUP(AV179,'G-1 All Habitats'!$B$1:$T$135,19,FALSE))</f>
        <v/>
      </c>
    </row>
    <row r="180" spans="1:49" ht="14.5" thickBot="1" x14ac:dyDescent="0.35">
      <c r="A180" s="20" t="str">
        <f>IFERROR(INDEX('G-1 All Habitats'!$AG$3:$AG$17,MATCH(E180,'G-1 All Habitats'!$AF$3:$AF$17,0)),"")</f>
        <v/>
      </c>
      <c r="B180" s="20" t="str">
        <f>IFERROR(INDEX('G-8 Condition Look up'!$I$4:$I$135,MATCH(AV180,'G-8 Condition Look up'!$A$4:$A$135,0)),"")</f>
        <v/>
      </c>
      <c r="D180" s="238">
        <v>170</v>
      </c>
      <c r="E180" s="223"/>
      <c r="F180" s="45"/>
      <c r="G180" s="272"/>
      <c r="H180" s="37"/>
      <c r="I180" s="290" t="str">
        <f>IF(AV180="","",VLOOKUP(AV180,'G-1 All Habitats'!$B$2:$M$135,10,FALSE))</f>
        <v/>
      </c>
      <c r="J180" s="291" t="str">
        <f>IFERROR(VLOOKUP(I180,'G-1 All Habitats'!$V$3:$W$7,2,FALSE),"")</f>
        <v/>
      </c>
      <c r="K180" s="38"/>
      <c r="L180" s="291" t="str">
        <f>IFERROR(INDEX('G-8 Condition Look up'!$A$3:$H$135,MATCH(AV180,'G-8 Condition Look up'!$A$3:$A$135,0),MATCH(K180,'G-8 Condition Look up'!$A$3:$H$3,0)),"")</f>
        <v/>
      </c>
      <c r="M180" s="38"/>
      <c r="N180" s="310" t="str">
        <f>IF(M180="","",IF(VLOOKUP(M180,'G-3 Multipliers'!$L$3:$N$6,2,FALSE)=0,"Spatial Data Missing",VLOOKUP(M180,'G-3 Multipliers'!$L$3:$N$6,2,FALSE)))</f>
        <v/>
      </c>
      <c r="O180" s="296" t="str">
        <f>IF(M180="","",IF(VLOOKUP(M180,'G-3 Multipliers'!$L$3:$N$6,3,FALSE)=0,"Spatial Data Missing ▲",VLOOKUP(M180,'G-3 Multipliers'!$L$3:$N$6,3,FALSE)))</f>
        <v/>
      </c>
      <c r="P180" s="297" t="str">
        <f>(IF(G180="Yes","Bespoke compensation likely to be required 🛠",(IFERROR(VLOOKUP(AV180,'G-1 All Habitats'!$B$2:$M$135,12,FALSE),""))))</f>
        <v/>
      </c>
      <c r="Q180" s="304" t="str">
        <f>IFERROR(IF(AND(E180="Individual trees",T180&gt;0), "Error - you cannot enhance individual trees ▲", (IF(AND(U180="Irreplaceable habitat - no units generated ⚠",(S180+T180)&lt;H180, OR(Y180="No", Y180="")),"Any Loss Unacceptable ⚠", (IF(U180="Irreplaceable habitat - no units generated ⚠", T180*J180*L180*O180, IF(AND(P180='G-1 All Habitats'!$X$3, AC180&gt;0, S180&lt;=0, T180&lt;=0, OR(Y180="No", Y180="")),"Any Loss Unacceptable ⚠", IF(AND(P180='G-1 All Habitats'!$X$3, AC180&gt;0, S180&lt;=0, T180&lt;=0, Y180="Yes"), 0, (IF(AND(P180='G-1 All Habitats'!$X$3,(S180+T180)&lt;H180, OR(Y180="No", Y180="")),"Any Loss Unacceptable ⚠", (IF(P180="","",IF(AND(P180='G-1 All Habitats'!$X$3,T180&gt;0),U180+V180,IF(AND(P180='G-1 All Habitats'!$X$3,S180&gt;0),U180+V180,H180*J180*L180*O180))))))))))))),"Check Data ▲")</f>
        <v/>
      </c>
      <c r="R180" s="23"/>
      <c r="S180" s="38"/>
      <c r="T180" s="39"/>
      <c r="U180" s="302" t="str">
        <f t="shared" si="13"/>
        <v/>
      </c>
      <c r="V180" s="302" t="str">
        <f t="shared" si="14"/>
        <v/>
      </c>
      <c r="W180" s="302" t="str">
        <f>IF(E180="","",IF(H180&lt;S180+T180,"Error in Areas ▲",IF(P180&lt;&gt;'G-1 All Habitats'!$X$3,H180-S180-T180,IF(AND(P180='G-1 All Habitats'!$X$3,Y180="No"),AC180,IF(AND(P180='G-1 All Habitats'!$X$3,Y180=""),AC180,IF(AND(P180='G-1 All Habitats'!$X$3,AC180="None"),AC180,IF(AND(P180='G-1 All Habitats'!$X$3,AC180&gt;0),H180-S180-T180)))))))</f>
        <v/>
      </c>
      <c r="X180" s="306" t="str">
        <f>IFERROR(IF(H180="","",IF(H180-S180-T180=0&lt;0,"Error in Areas ▲",IF(S180+T180&gt;H180,"Error in Areas ▲",IF(AND(P180='G-1 All Habitats'!$X$3,Y180="Yes"),"Alternative Compensation ✓",IF(W180=0,0,IF(P180='G-1 All Habitats'!$X$3,"Any Loss Unacceptable ▲",Q180-U180-V180)))))),"Check Data ▲")</f>
        <v/>
      </c>
      <c r="Y180" s="39"/>
      <c r="Z180" s="46"/>
      <c r="AA180" s="419"/>
      <c r="AB180" s="101"/>
      <c r="AC180" s="495" t="str">
        <f>IF(OR(P180="", Y180="Yes"),"", IF(P180='G-1 All Habitats'!$X$3,H180-S180-T180,"None"))</f>
        <v/>
      </c>
      <c r="AD180" s="496" t="str">
        <f>IF(P180="","", IF(P180='G-1 All Habitats'!$X$3, AC180*J180*L180*O180,"None"))</f>
        <v/>
      </c>
      <c r="AE180" s="20" t="str">
        <f t="shared" si="15"/>
        <v/>
      </c>
      <c r="AF180" s="25" t="str">
        <f t="shared" si="16"/>
        <v/>
      </c>
      <c r="AG180" s="25" t="str">
        <f t="shared" si="12"/>
        <v/>
      </c>
      <c r="AH180" s="25" t="str">
        <f>IF(I180="","",IF(#REF!&gt;0,TRUE,FALSE))</f>
        <v/>
      </c>
      <c r="AI180" s="25">
        <v>170</v>
      </c>
      <c r="AJ180" s="25"/>
      <c r="AK180" s="25" t="str">
        <f t="array" ref="AK180">IFERROR(INDEX($AI$11:$AI$259, MATCH(0, IF(TRUE=$AF$11:$AF$259, COUNTIF($AK$10:$AK179, $AI$11:$AI$259), ""), 0)),"")</f>
        <v/>
      </c>
      <c r="AL180" s="25" t="str">
        <f t="array" ref="AL180">IFERROR(INDEX($AI$11:$AI$259, MATCH(0, IF(TRUE=$AG$11:$AG$259, COUNTIF($AL$10:$AL179, $AI$11:$AI$259), ""), 0)),"")</f>
        <v/>
      </c>
      <c r="AM180" s="25" t="str">
        <f t="array" ref="AM180">IFERROR(INDEX($AI$11:$AI$259, MATCH(0, IF(TRUE=$AH$11:$AH$259, COUNTIF($AM$10:$AM179, $AI$11:$AI$259), ""), 0)),"")</f>
        <v/>
      </c>
      <c r="AN180" s="25"/>
      <c r="AQ180" s="20">
        <f t="shared" si="17"/>
        <v>0</v>
      </c>
      <c r="AV180" s="540" t="str">
        <f>IFERROR(INDEX('G-1 All Habitats'!$B$3:$B$135,MATCH(F180,'G-1 All Habitats'!$A$3:$A$135,0)),"")</f>
        <v/>
      </c>
      <c r="AW180" s="20" t="str">
        <f>IF(AV180="","",VLOOKUP(AV180,'G-1 All Habitats'!$B$1:$T$135,19,FALSE))</f>
        <v/>
      </c>
    </row>
    <row r="181" spans="1:49" ht="14.5" thickBot="1" x14ac:dyDescent="0.35">
      <c r="A181" s="20" t="str">
        <f>IFERROR(INDEX('G-1 All Habitats'!$AG$3:$AG$17,MATCH(E181,'G-1 All Habitats'!$AF$3:$AF$17,0)),"")</f>
        <v/>
      </c>
      <c r="B181" s="20" t="str">
        <f>IFERROR(INDEX('G-8 Condition Look up'!$I$4:$I$135,MATCH(AV181,'G-8 Condition Look up'!$A$4:$A$135,0)),"")</f>
        <v/>
      </c>
      <c r="D181" s="238">
        <v>171</v>
      </c>
      <c r="E181" s="223"/>
      <c r="F181" s="45"/>
      <c r="G181" s="272"/>
      <c r="H181" s="37"/>
      <c r="I181" s="290" t="str">
        <f>IF(AV181="","",VLOOKUP(AV181,'G-1 All Habitats'!$B$2:$M$135,10,FALSE))</f>
        <v/>
      </c>
      <c r="J181" s="291" t="str">
        <f>IFERROR(VLOOKUP(I181,'G-1 All Habitats'!$V$3:$W$7,2,FALSE),"")</f>
        <v/>
      </c>
      <c r="K181" s="38"/>
      <c r="L181" s="291" t="str">
        <f>IFERROR(INDEX('G-8 Condition Look up'!$A$3:$H$135,MATCH(AV181,'G-8 Condition Look up'!$A$3:$A$135,0),MATCH(K181,'G-8 Condition Look up'!$A$3:$H$3,0)),"")</f>
        <v/>
      </c>
      <c r="M181" s="38"/>
      <c r="N181" s="310" t="str">
        <f>IF(M181="","",IF(VLOOKUP(M181,'G-3 Multipliers'!$L$3:$N$6,2,FALSE)=0,"Spatial Data Missing",VLOOKUP(M181,'G-3 Multipliers'!$L$3:$N$6,2,FALSE)))</f>
        <v/>
      </c>
      <c r="O181" s="296" t="str">
        <f>IF(M181="","",IF(VLOOKUP(M181,'G-3 Multipliers'!$L$3:$N$6,3,FALSE)=0,"Spatial Data Missing ▲",VLOOKUP(M181,'G-3 Multipliers'!$L$3:$N$6,3,FALSE)))</f>
        <v/>
      </c>
      <c r="P181" s="297" t="str">
        <f>(IF(G181="Yes","Bespoke compensation likely to be required 🛠",(IFERROR(VLOOKUP(AV181,'G-1 All Habitats'!$B$2:$M$135,12,FALSE),""))))</f>
        <v/>
      </c>
      <c r="Q181" s="304" t="str">
        <f>IFERROR(IF(AND(E181="Individual trees",T181&gt;0), "Error - you cannot enhance individual trees ▲", (IF(AND(U181="Irreplaceable habitat - no units generated ⚠",(S181+T181)&lt;H181, OR(Y181="No", Y181="")),"Any Loss Unacceptable ⚠", (IF(U181="Irreplaceable habitat - no units generated ⚠", T181*J181*L181*O181, IF(AND(P181='G-1 All Habitats'!$X$3, AC181&gt;0, S181&lt;=0, T181&lt;=0, OR(Y181="No", Y181="")),"Any Loss Unacceptable ⚠", IF(AND(P181='G-1 All Habitats'!$X$3, AC181&gt;0, S181&lt;=0, T181&lt;=0, Y181="Yes"), 0, (IF(AND(P181='G-1 All Habitats'!$X$3,(S181+T181)&lt;H181, OR(Y181="No", Y181="")),"Any Loss Unacceptable ⚠", (IF(P181="","",IF(AND(P181='G-1 All Habitats'!$X$3,T181&gt;0),U181+V181,IF(AND(P181='G-1 All Habitats'!$X$3,S181&gt;0),U181+V181,H181*J181*L181*O181))))))))))))),"Check Data ▲")</f>
        <v/>
      </c>
      <c r="R181" s="23"/>
      <c r="S181" s="38"/>
      <c r="T181" s="39"/>
      <c r="U181" s="302" t="str">
        <f t="shared" si="13"/>
        <v/>
      </c>
      <c r="V181" s="302" t="str">
        <f t="shared" si="14"/>
        <v/>
      </c>
      <c r="W181" s="302" t="str">
        <f>IF(E181="","",IF(H181&lt;S181+T181,"Error in Areas ▲",IF(P181&lt;&gt;'G-1 All Habitats'!$X$3,H181-S181-T181,IF(AND(P181='G-1 All Habitats'!$X$3,Y181="No"),AC181,IF(AND(P181='G-1 All Habitats'!$X$3,Y181=""),AC181,IF(AND(P181='G-1 All Habitats'!$X$3,AC181="None"),AC181,IF(AND(P181='G-1 All Habitats'!$X$3,AC181&gt;0),H181-S181-T181)))))))</f>
        <v/>
      </c>
      <c r="X181" s="306" t="str">
        <f>IFERROR(IF(H181="","",IF(H181-S181-T181=0&lt;0,"Error in Areas ▲",IF(S181+T181&gt;H181,"Error in Areas ▲",IF(AND(P181='G-1 All Habitats'!$X$3,Y181="Yes"),"Alternative Compensation ✓",IF(W181=0,0,IF(P181='G-1 All Habitats'!$X$3,"Any Loss Unacceptable ▲",Q181-U181-V181)))))),"Check Data ▲")</f>
        <v/>
      </c>
      <c r="Y181" s="39"/>
      <c r="Z181" s="46"/>
      <c r="AA181" s="419"/>
      <c r="AB181" s="101"/>
      <c r="AC181" s="495" t="str">
        <f>IF(OR(P181="", Y181="Yes"),"", IF(P181='G-1 All Habitats'!$X$3,H181-S181-T181,"None"))</f>
        <v/>
      </c>
      <c r="AD181" s="496" t="str">
        <f>IF(P181="","", IF(P181='G-1 All Habitats'!$X$3, AC181*J181*L181*O181,"None"))</f>
        <v/>
      </c>
      <c r="AE181" s="20" t="str">
        <f t="shared" si="15"/>
        <v/>
      </c>
      <c r="AF181" s="25" t="str">
        <f t="shared" si="16"/>
        <v/>
      </c>
      <c r="AG181" s="25" t="str">
        <f t="shared" si="12"/>
        <v/>
      </c>
      <c r="AH181" s="25" t="str">
        <f>IF(I181="","",IF(#REF!&gt;0,TRUE,FALSE))</f>
        <v/>
      </c>
      <c r="AI181" s="25">
        <v>171</v>
      </c>
      <c r="AJ181" s="25"/>
      <c r="AK181" s="25" t="str">
        <f t="array" ref="AK181">IFERROR(INDEX($AI$11:$AI$259, MATCH(0, IF(TRUE=$AF$11:$AF$259, COUNTIF($AK$10:$AK180, $AI$11:$AI$259), ""), 0)),"")</f>
        <v/>
      </c>
      <c r="AL181" s="25" t="str">
        <f t="array" ref="AL181">IFERROR(INDEX($AI$11:$AI$259, MATCH(0, IF(TRUE=$AG$11:$AG$259, COUNTIF($AL$10:$AL180, $AI$11:$AI$259), ""), 0)),"")</f>
        <v/>
      </c>
      <c r="AM181" s="25" t="str">
        <f t="array" ref="AM181">IFERROR(INDEX($AI$11:$AI$259, MATCH(0, IF(TRUE=$AH$11:$AH$259, COUNTIF($AM$10:$AM180, $AI$11:$AI$259), ""), 0)),"")</f>
        <v/>
      </c>
      <c r="AN181" s="25"/>
      <c r="AQ181" s="20">
        <f t="shared" si="17"/>
        <v>0</v>
      </c>
      <c r="AV181" s="540" t="str">
        <f>IFERROR(INDEX('G-1 All Habitats'!$B$3:$B$135,MATCH(F181,'G-1 All Habitats'!$A$3:$A$135,0)),"")</f>
        <v/>
      </c>
      <c r="AW181" s="20" t="str">
        <f>IF(AV181="","",VLOOKUP(AV181,'G-1 All Habitats'!$B$1:$T$135,19,FALSE))</f>
        <v/>
      </c>
    </row>
    <row r="182" spans="1:49" ht="14.5" thickBot="1" x14ac:dyDescent="0.35">
      <c r="A182" s="20" t="str">
        <f>IFERROR(INDEX('G-1 All Habitats'!$AG$3:$AG$17,MATCH(E182,'G-1 All Habitats'!$AF$3:$AF$17,0)),"")</f>
        <v/>
      </c>
      <c r="B182" s="20" t="str">
        <f>IFERROR(INDEX('G-8 Condition Look up'!$I$4:$I$135,MATCH(AV182,'G-8 Condition Look up'!$A$4:$A$135,0)),"")</f>
        <v/>
      </c>
      <c r="D182" s="238">
        <v>172</v>
      </c>
      <c r="E182" s="223"/>
      <c r="F182" s="45"/>
      <c r="G182" s="272"/>
      <c r="H182" s="37"/>
      <c r="I182" s="290" t="str">
        <f>IF(AV182="","",VLOOKUP(AV182,'G-1 All Habitats'!$B$2:$M$135,10,FALSE))</f>
        <v/>
      </c>
      <c r="J182" s="291" t="str">
        <f>IFERROR(VLOOKUP(I182,'G-1 All Habitats'!$V$3:$W$7,2,FALSE),"")</f>
        <v/>
      </c>
      <c r="K182" s="38"/>
      <c r="L182" s="291" t="str">
        <f>IFERROR(INDEX('G-8 Condition Look up'!$A$3:$H$135,MATCH(AV182,'G-8 Condition Look up'!$A$3:$A$135,0),MATCH(K182,'G-8 Condition Look up'!$A$3:$H$3,0)),"")</f>
        <v/>
      </c>
      <c r="M182" s="38"/>
      <c r="N182" s="310" t="str">
        <f>IF(M182="","",IF(VLOOKUP(M182,'G-3 Multipliers'!$L$3:$N$6,2,FALSE)=0,"Spatial Data Missing",VLOOKUP(M182,'G-3 Multipliers'!$L$3:$N$6,2,FALSE)))</f>
        <v/>
      </c>
      <c r="O182" s="296" t="str">
        <f>IF(M182="","",IF(VLOOKUP(M182,'G-3 Multipliers'!$L$3:$N$6,3,FALSE)=0,"Spatial Data Missing ▲",VLOOKUP(M182,'G-3 Multipliers'!$L$3:$N$6,3,FALSE)))</f>
        <v/>
      </c>
      <c r="P182" s="297" t="str">
        <f>(IF(G182="Yes","Bespoke compensation likely to be required 🛠",(IFERROR(VLOOKUP(AV182,'G-1 All Habitats'!$B$2:$M$135,12,FALSE),""))))</f>
        <v/>
      </c>
      <c r="Q182" s="304" t="str">
        <f>IFERROR(IF(AND(E182="Individual trees",T182&gt;0), "Error - you cannot enhance individual trees ▲", (IF(AND(U182="Irreplaceable habitat - no units generated ⚠",(S182+T182)&lt;H182, OR(Y182="No", Y182="")),"Any Loss Unacceptable ⚠", (IF(U182="Irreplaceable habitat - no units generated ⚠", T182*J182*L182*O182, IF(AND(P182='G-1 All Habitats'!$X$3, AC182&gt;0, S182&lt;=0, T182&lt;=0, OR(Y182="No", Y182="")),"Any Loss Unacceptable ⚠", IF(AND(P182='G-1 All Habitats'!$X$3, AC182&gt;0, S182&lt;=0, T182&lt;=0, Y182="Yes"), 0, (IF(AND(P182='G-1 All Habitats'!$X$3,(S182+T182)&lt;H182, OR(Y182="No", Y182="")),"Any Loss Unacceptable ⚠", (IF(P182="","",IF(AND(P182='G-1 All Habitats'!$X$3,T182&gt;0),U182+V182,IF(AND(P182='G-1 All Habitats'!$X$3,S182&gt;0),U182+V182,H182*J182*L182*O182))))))))))))),"Check Data ▲")</f>
        <v/>
      </c>
      <c r="R182" s="23"/>
      <c r="S182" s="38"/>
      <c r="T182" s="39"/>
      <c r="U182" s="302" t="str">
        <f t="shared" si="13"/>
        <v/>
      </c>
      <c r="V182" s="302" t="str">
        <f t="shared" si="14"/>
        <v/>
      </c>
      <c r="W182" s="302" t="str">
        <f>IF(E182="","",IF(H182&lt;S182+T182,"Error in Areas ▲",IF(P182&lt;&gt;'G-1 All Habitats'!$X$3,H182-S182-T182,IF(AND(P182='G-1 All Habitats'!$X$3,Y182="No"),AC182,IF(AND(P182='G-1 All Habitats'!$X$3,Y182=""),AC182,IF(AND(P182='G-1 All Habitats'!$X$3,AC182="None"),AC182,IF(AND(P182='G-1 All Habitats'!$X$3,AC182&gt;0),H182-S182-T182)))))))</f>
        <v/>
      </c>
      <c r="X182" s="306" t="str">
        <f>IFERROR(IF(H182="","",IF(H182-S182-T182=0&lt;0,"Error in Areas ▲",IF(S182+T182&gt;H182,"Error in Areas ▲",IF(AND(P182='G-1 All Habitats'!$X$3,Y182="Yes"),"Alternative Compensation ✓",IF(W182=0,0,IF(P182='G-1 All Habitats'!$X$3,"Any Loss Unacceptable ▲",Q182-U182-V182)))))),"Check Data ▲")</f>
        <v/>
      </c>
      <c r="Y182" s="39"/>
      <c r="Z182" s="46"/>
      <c r="AA182" s="419"/>
      <c r="AB182" s="101"/>
      <c r="AC182" s="495" t="str">
        <f>IF(OR(P182="", Y182="Yes"),"", IF(P182='G-1 All Habitats'!$X$3,H182-S182-T182,"None"))</f>
        <v/>
      </c>
      <c r="AD182" s="496" t="str">
        <f>IF(P182="","", IF(P182='G-1 All Habitats'!$X$3, AC182*J182*L182*O182,"None"))</f>
        <v/>
      </c>
      <c r="AE182" s="20" t="str">
        <f t="shared" si="15"/>
        <v/>
      </c>
      <c r="AF182" s="25" t="str">
        <f t="shared" si="16"/>
        <v/>
      </c>
      <c r="AG182" s="25" t="str">
        <f t="shared" si="12"/>
        <v/>
      </c>
      <c r="AH182" s="25" t="str">
        <f>IF(I182="","",IF(#REF!&gt;0,TRUE,FALSE))</f>
        <v/>
      </c>
      <c r="AI182" s="25">
        <v>172</v>
      </c>
      <c r="AJ182" s="25"/>
      <c r="AK182" s="25" t="str">
        <f t="array" ref="AK182">IFERROR(INDEX($AI$11:$AI$259, MATCH(0, IF(TRUE=$AF$11:$AF$259, COUNTIF($AK$10:$AK181, $AI$11:$AI$259), ""), 0)),"")</f>
        <v/>
      </c>
      <c r="AL182" s="25" t="str">
        <f t="array" ref="AL182">IFERROR(INDEX($AI$11:$AI$259, MATCH(0, IF(TRUE=$AG$11:$AG$259, COUNTIF($AL$10:$AL181, $AI$11:$AI$259), ""), 0)),"")</f>
        <v/>
      </c>
      <c r="AM182" s="25" t="str">
        <f t="array" ref="AM182">IFERROR(INDEX($AI$11:$AI$259, MATCH(0, IF(TRUE=$AH$11:$AH$259, COUNTIF($AM$10:$AM181, $AI$11:$AI$259), ""), 0)),"")</f>
        <v/>
      </c>
      <c r="AN182" s="25"/>
      <c r="AQ182" s="20">
        <f t="shared" si="17"/>
        <v>0</v>
      </c>
      <c r="AV182" s="540" t="str">
        <f>IFERROR(INDEX('G-1 All Habitats'!$B$3:$B$135,MATCH(F182,'G-1 All Habitats'!$A$3:$A$135,0)),"")</f>
        <v/>
      </c>
      <c r="AW182" s="20" t="str">
        <f>IF(AV182="","",VLOOKUP(AV182,'G-1 All Habitats'!$B$1:$T$135,19,FALSE))</f>
        <v/>
      </c>
    </row>
    <row r="183" spans="1:49" ht="14.5" thickBot="1" x14ac:dyDescent="0.35">
      <c r="A183" s="20" t="str">
        <f>IFERROR(INDEX('G-1 All Habitats'!$AG$3:$AG$17,MATCH(E183,'G-1 All Habitats'!$AF$3:$AF$17,0)),"")</f>
        <v/>
      </c>
      <c r="B183" s="20" t="str">
        <f>IFERROR(INDEX('G-8 Condition Look up'!$I$4:$I$135,MATCH(AV183,'G-8 Condition Look up'!$A$4:$A$135,0)),"")</f>
        <v/>
      </c>
      <c r="D183" s="238">
        <v>173</v>
      </c>
      <c r="E183" s="223"/>
      <c r="F183" s="45"/>
      <c r="G183" s="272"/>
      <c r="H183" s="37"/>
      <c r="I183" s="290" t="str">
        <f>IF(AV183="","",VLOOKUP(AV183,'G-1 All Habitats'!$B$2:$M$135,10,FALSE))</f>
        <v/>
      </c>
      <c r="J183" s="291" t="str">
        <f>IFERROR(VLOOKUP(I183,'G-1 All Habitats'!$V$3:$W$7,2,FALSE),"")</f>
        <v/>
      </c>
      <c r="K183" s="38"/>
      <c r="L183" s="291" t="str">
        <f>IFERROR(INDEX('G-8 Condition Look up'!$A$3:$H$135,MATCH(AV183,'G-8 Condition Look up'!$A$3:$A$135,0),MATCH(K183,'G-8 Condition Look up'!$A$3:$H$3,0)),"")</f>
        <v/>
      </c>
      <c r="M183" s="38"/>
      <c r="N183" s="310" t="str">
        <f>IF(M183="","",IF(VLOOKUP(M183,'G-3 Multipliers'!$L$3:$N$6,2,FALSE)=0,"Spatial Data Missing",VLOOKUP(M183,'G-3 Multipliers'!$L$3:$N$6,2,FALSE)))</f>
        <v/>
      </c>
      <c r="O183" s="296" t="str">
        <f>IF(M183="","",IF(VLOOKUP(M183,'G-3 Multipliers'!$L$3:$N$6,3,FALSE)=0,"Spatial Data Missing ▲",VLOOKUP(M183,'G-3 Multipliers'!$L$3:$N$6,3,FALSE)))</f>
        <v/>
      </c>
      <c r="P183" s="297" t="str">
        <f>(IF(G183="Yes","Bespoke compensation likely to be required 🛠",(IFERROR(VLOOKUP(AV183,'G-1 All Habitats'!$B$2:$M$135,12,FALSE),""))))</f>
        <v/>
      </c>
      <c r="Q183" s="304" t="str">
        <f>IFERROR(IF(AND(E183="Individual trees",T183&gt;0), "Error - you cannot enhance individual trees ▲", (IF(AND(U183="Irreplaceable habitat - no units generated ⚠",(S183+T183)&lt;H183, OR(Y183="No", Y183="")),"Any Loss Unacceptable ⚠", (IF(U183="Irreplaceable habitat - no units generated ⚠", T183*J183*L183*O183, IF(AND(P183='G-1 All Habitats'!$X$3, AC183&gt;0, S183&lt;=0, T183&lt;=0, OR(Y183="No", Y183="")),"Any Loss Unacceptable ⚠", IF(AND(P183='G-1 All Habitats'!$X$3, AC183&gt;0, S183&lt;=0, T183&lt;=0, Y183="Yes"), 0, (IF(AND(P183='G-1 All Habitats'!$X$3,(S183+T183)&lt;H183, OR(Y183="No", Y183="")),"Any Loss Unacceptable ⚠", (IF(P183="","",IF(AND(P183='G-1 All Habitats'!$X$3,T183&gt;0),U183+V183,IF(AND(P183='G-1 All Habitats'!$X$3,S183&gt;0),U183+V183,H183*J183*L183*O183))))))))))))),"Check Data ▲")</f>
        <v/>
      </c>
      <c r="R183" s="23"/>
      <c r="S183" s="38"/>
      <c r="T183" s="39"/>
      <c r="U183" s="302" t="str">
        <f t="shared" si="13"/>
        <v/>
      </c>
      <c r="V183" s="302" t="str">
        <f t="shared" si="14"/>
        <v/>
      </c>
      <c r="W183" s="302" t="str">
        <f>IF(E183="","",IF(H183&lt;S183+T183,"Error in Areas ▲",IF(P183&lt;&gt;'G-1 All Habitats'!$X$3,H183-S183-T183,IF(AND(P183='G-1 All Habitats'!$X$3,Y183="No"),AC183,IF(AND(P183='G-1 All Habitats'!$X$3,Y183=""),AC183,IF(AND(P183='G-1 All Habitats'!$X$3,AC183="None"),AC183,IF(AND(P183='G-1 All Habitats'!$X$3,AC183&gt;0),H183-S183-T183)))))))</f>
        <v/>
      </c>
      <c r="X183" s="306" t="str">
        <f>IFERROR(IF(H183="","",IF(H183-S183-T183=0&lt;0,"Error in Areas ▲",IF(S183+T183&gt;H183,"Error in Areas ▲",IF(AND(P183='G-1 All Habitats'!$X$3,Y183="Yes"),"Alternative Compensation ✓",IF(W183=0,0,IF(P183='G-1 All Habitats'!$X$3,"Any Loss Unacceptable ▲",Q183-U183-V183)))))),"Check Data ▲")</f>
        <v/>
      </c>
      <c r="Y183" s="39"/>
      <c r="Z183" s="46"/>
      <c r="AA183" s="419"/>
      <c r="AB183" s="101"/>
      <c r="AC183" s="495" t="str">
        <f>IF(OR(P183="", Y183="Yes"),"", IF(P183='G-1 All Habitats'!$X$3,H183-S183-T183,"None"))</f>
        <v/>
      </c>
      <c r="AD183" s="496" t="str">
        <f>IF(P183="","", IF(P183='G-1 All Habitats'!$X$3, AC183*J183*L183*O183,"None"))</f>
        <v/>
      </c>
      <c r="AE183" s="20" t="str">
        <f t="shared" si="15"/>
        <v/>
      </c>
      <c r="AF183" s="25" t="str">
        <f t="shared" si="16"/>
        <v/>
      </c>
      <c r="AG183" s="25" t="str">
        <f t="shared" si="12"/>
        <v/>
      </c>
      <c r="AH183" s="25" t="str">
        <f>IF(I183="","",IF(#REF!&gt;0,TRUE,FALSE))</f>
        <v/>
      </c>
      <c r="AI183" s="25">
        <v>173</v>
      </c>
      <c r="AJ183" s="25"/>
      <c r="AK183" s="25" t="str">
        <f t="array" ref="AK183">IFERROR(INDEX($AI$11:$AI$259, MATCH(0, IF(TRUE=$AF$11:$AF$259, COUNTIF($AK$10:$AK182, $AI$11:$AI$259), ""), 0)),"")</f>
        <v/>
      </c>
      <c r="AL183" s="25" t="str">
        <f t="array" ref="AL183">IFERROR(INDEX($AI$11:$AI$259, MATCH(0, IF(TRUE=$AG$11:$AG$259, COUNTIF($AL$10:$AL182, $AI$11:$AI$259), ""), 0)),"")</f>
        <v/>
      </c>
      <c r="AM183" s="25" t="str">
        <f t="array" ref="AM183">IFERROR(INDEX($AI$11:$AI$259, MATCH(0, IF(TRUE=$AH$11:$AH$259, COUNTIF($AM$10:$AM182, $AI$11:$AI$259), ""), 0)),"")</f>
        <v/>
      </c>
      <c r="AN183" s="25"/>
      <c r="AQ183" s="20">
        <f t="shared" si="17"/>
        <v>0</v>
      </c>
      <c r="AV183" s="540" t="str">
        <f>IFERROR(INDEX('G-1 All Habitats'!$B$3:$B$135,MATCH(F183,'G-1 All Habitats'!$A$3:$A$135,0)),"")</f>
        <v/>
      </c>
      <c r="AW183" s="20" t="str">
        <f>IF(AV183="","",VLOOKUP(AV183,'G-1 All Habitats'!$B$1:$T$135,19,FALSE))</f>
        <v/>
      </c>
    </row>
    <row r="184" spans="1:49" ht="14.5" thickBot="1" x14ac:dyDescent="0.35">
      <c r="A184" s="20" t="str">
        <f>IFERROR(INDEX('G-1 All Habitats'!$AG$3:$AG$17,MATCH(E184,'G-1 All Habitats'!$AF$3:$AF$17,0)),"")</f>
        <v/>
      </c>
      <c r="B184" s="20" t="str">
        <f>IFERROR(INDEX('G-8 Condition Look up'!$I$4:$I$135,MATCH(AV184,'G-8 Condition Look up'!$A$4:$A$135,0)),"")</f>
        <v/>
      </c>
      <c r="D184" s="238">
        <v>174</v>
      </c>
      <c r="E184" s="223"/>
      <c r="F184" s="45"/>
      <c r="G184" s="272"/>
      <c r="H184" s="37"/>
      <c r="I184" s="290" t="str">
        <f>IF(AV184="","",VLOOKUP(AV184,'G-1 All Habitats'!$B$2:$M$135,10,FALSE))</f>
        <v/>
      </c>
      <c r="J184" s="291" t="str">
        <f>IFERROR(VLOOKUP(I184,'G-1 All Habitats'!$V$3:$W$7,2,FALSE),"")</f>
        <v/>
      </c>
      <c r="K184" s="38"/>
      <c r="L184" s="291" t="str">
        <f>IFERROR(INDEX('G-8 Condition Look up'!$A$3:$H$135,MATCH(AV184,'G-8 Condition Look up'!$A$3:$A$135,0),MATCH(K184,'G-8 Condition Look up'!$A$3:$H$3,0)),"")</f>
        <v/>
      </c>
      <c r="M184" s="38"/>
      <c r="N184" s="310" t="str">
        <f>IF(M184="","",IF(VLOOKUP(M184,'G-3 Multipliers'!$L$3:$N$6,2,FALSE)=0,"Spatial Data Missing",VLOOKUP(M184,'G-3 Multipliers'!$L$3:$N$6,2,FALSE)))</f>
        <v/>
      </c>
      <c r="O184" s="296" t="str">
        <f>IF(M184="","",IF(VLOOKUP(M184,'G-3 Multipliers'!$L$3:$N$6,3,FALSE)=0,"Spatial Data Missing ▲",VLOOKUP(M184,'G-3 Multipliers'!$L$3:$N$6,3,FALSE)))</f>
        <v/>
      </c>
      <c r="P184" s="297" t="str">
        <f>(IF(G184="Yes","Bespoke compensation likely to be required 🛠",(IFERROR(VLOOKUP(AV184,'G-1 All Habitats'!$B$2:$M$135,12,FALSE),""))))</f>
        <v/>
      </c>
      <c r="Q184" s="304" t="str">
        <f>IFERROR(IF(AND(E184="Individual trees",T184&gt;0), "Error - you cannot enhance individual trees ▲", (IF(AND(U184="Irreplaceable habitat - no units generated ⚠",(S184+T184)&lt;H184, OR(Y184="No", Y184="")),"Any Loss Unacceptable ⚠", (IF(U184="Irreplaceable habitat - no units generated ⚠", T184*J184*L184*O184, IF(AND(P184='G-1 All Habitats'!$X$3, AC184&gt;0, S184&lt;=0, T184&lt;=0, OR(Y184="No", Y184="")),"Any Loss Unacceptable ⚠", IF(AND(P184='G-1 All Habitats'!$X$3, AC184&gt;0, S184&lt;=0, T184&lt;=0, Y184="Yes"), 0, (IF(AND(P184='G-1 All Habitats'!$X$3,(S184+T184)&lt;H184, OR(Y184="No", Y184="")),"Any Loss Unacceptable ⚠", (IF(P184="","",IF(AND(P184='G-1 All Habitats'!$X$3,T184&gt;0),U184+V184,IF(AND(P184='G-1 All Habitats'!$X$3,S184&gt;0),U184+V184,H184*J184*L184*O184))))))))))))),"Check Data ▲")</f>
        <v/>
      </c>
      <c r="R184" s="23"/>
      <c r="S184" s="38"/>
      <c r="T184" s="39"/>
      <c r="U184" s="302" t="str">
        <f t="shared" si="13"/>
        <v/>
      </c>
      <c r="V184" s="302" t="str">
        <f t="shared" si="14"/>
        <v/>
      </c>
      <c r="W184" s="302" t="str">
        <f>IF(E184="","",IF(H184&lt;S184+T184,"Error in Areas ▲",IF(P184&lt;&gt;'G-1 All Habitats'!$X$3,H184-S184-T184,IF(AND(P184='G-1 All Habitats'!$X$3,Y184="No"),AC184,IF(AND(P184='G-1 All Habitats'!$X$3,Y184=""),AC184,IF(AND(P184='G-1 All Habitats'!$X$3,AC184="None"),AC184,IF(AND(P184='G-1 All Habitats'!$X$3,AC184&gt;0),H184-S184-T184)))))))</f>
        <v/>
      </c>
      <c r="X184" s="306" t="str">
        <f>IFERROR(IF(H184="","",IF(H184-S184-T184=0&lt;0,"Error in Areas ▲",IF(S184+T184&gt;H184,"Error in Areas ▲",IF(AND(P184='G-1 All Habitats'!$X$3,Y184="Yes"),"Alternative Compensation ✓",IF(W184=0,0,IF(P184='G-1 All Habitats'!$X$3,"Any Loss Unacceptable ▲",Q184-U184-V184)))))),"Check Data ▲")</f>
        <v/>
      </c>
      <c r="Y184" s="39"/>
      <c r="Z184" s="46"/>
      <c r="AA184" s="419"/>
      <c r="AB184" s="101"/>
      <c r="AC184" s="495" t="str">
        <f>IF(OR(P184="", Y184="Yes"),"", IF(P184='G-1 All Habitats'!$X$3,H184-S184-T184,"None"))</f>
        <v/>
      </c>
      <c r="AD184" s="496" t="str">
        <f>IF(P184="","", IF(P184='G-1 All Habitats'!$X$3, AC184*J184*L184*O184,"None"))</f>
        <v/>
      </c>
      <c r="AE184" s="20" t="str">
        <f t="shared" si="15"/>
        <v/>
      </c>
      <c r="AF184" s="25" t="str">
        <f t="shared" si="16"/>
        <v/>
      </c>
      <c r="AG184" s="25" t="str">
        <f t="shared" si="12"/>
        <v/>
      </c>
      <c r="AH184" s="25" t="str">
        <f>IF(I184="","",IF(#REF!&gt;0,TRUE,FALSE))</f>
        <v/>
      </c>
      <c r="AI184" s="25">
        <v>174</v>
      </c>
      <c r="AJ184" s="25"/>
      <c r="AK184" s="25" t="str">
        <f t="array" ref="AK184">IFERROR(INDEX($AI$11:$AI$259, MATCH(0, IF(TRUE=$AF$11:$AF$259, COUNTIF($AK$10:$AK183, $AI$11:$AI$259), ""), 0)),"")</f>
        <v/>
      </c>
      <c r="AL184" s="25" t="str">
        <f t="array" ref="AL184">IFERROR(INDEX($AI$11:$AI$259, MATCH(0, IF(TRUE=$AG$11:$AG$259, COUNTIF($AL$10:$AL183, $AI$11:$AI$259), ""), 0)),"")</f>
        <v/>
      </c>
      <c r="AM184" s="25" t="str">
        <f t="array" ref="AM184">IFERROR(INDEX($AI$11:$AI$259, MATCH(0, IF(TRUE=$AH$11:$AH$259, COUNTIF($AM$10:$AM183, $AI$11:$AI$259), ""), 0)),"")</f>
        <v/>
      </c>
      <c r="AN184" s="25"/>
      <c r="AQ184" s="20">
        <f t="shared" si="17"/>
        <v>0</v>
      </c>
      <c r="AV184" s="540" t="str">
        <f>IFERROR(INDEX('G-1 All Habitats'!$B$3:$B$135,MATCH(F184,'G-1 All Habitats'!$A$3:$A$135,0)),"")</f>
        <v/>
      </c>
      <c r="AW184" s="20" t="str">
        <f>IF(AV184="","",VLOOKUP(AV184,'G-1 All Habitats'!$B$1:$T$135,19,FALSE))</f>
        <v/>
      </c>
    </row>
    <row r="185" spans="1:49" ht="14.5" thickBot="1" x14ac:dyDescent="0.35">
      <c r="A185" s="20" t="str">
        <f>IFERROR(INDEX('G-1 All Habitats'!$AG$3:$AG$17,MATCH(E185,'G-1 All Habitats'!$AF$3:$AF$17,0)),"")</f>
        <v/>
      </c>
      <c r="B185" s="20" t="str">
        <f>IFERROR(INDEX('G-8 Condition Look up'!$I$4:$I$135,MATCH(AV185,'G-8 Condition Look up'!$A$4:$A$135,0)),"")</f>
        <v/>
      </c>
      <c r="D185" s="238">
        <v>175</v>
      </c>
      <c r="E185" s="223"/>
      <c r="F185" s="45"/>
      <c r="G185" s="272"/>
      <c r="H185" s="37"/>
      <c r="I185" s="290" t="str">
        <f>IF(AV185="","",VLOOKUP(AV185,'G-1 All Habitats'!$B$2:$M$135,10,FALSE))</f>
        <v/>
      </c>
      <c r="J185" s="291" t="str">
        <f>IFERROR(VLOOKUP(I185,'G-1 All Habitats'!$V$3:$W$7,2,FALSE),"")</f>
        <v/>
      </c>
      <c r="K185" s="38"/>
      <c r="L185" s="291" t="str">
        <f>IFERROR(INDEX('G-8 Condition Look up'!$A$3:$H$135,MATCH(AV185,'G-8 Condition Look up'!$A$3:$A$135,0),MATCH(K185,'G-8 Condition Look up'!$A$3:$H$3,0)),"")</f>
        <v/>
      </c>
      <c r="M185" s="38"/>
      <c r="N185" s="310" t="str">
        <f>IF(M185="","",IF(VLOOKUP(M185,'G-3 Multipliers'!$L$3:$N$6,2,FALSE)=0,"Spatial Data Missing",VLOOKUP(M185,'G-3 Multipliers'!$L$3:$N$6,2,FALSE)))</f>
        <v/>
      </c>
      <c r="O185" s="296" t="str">
        <f>IF(M185="","",IF(VLOOKUP(M185,'G-3 Multipliers'!$L$3:$N$6,3,FALSE)=0,"Spatial Data Missing ▲",VLOOKUP(M185,'G-3 Multipliers'!$L$3:$N$6,3,FALSE)))</f>
        <v/>
      </c>
      <c r="P185" s="297" t="str">
        <f>(IF(G185="Yes","Bespoke compensation likely to be required 🛠",(IFERROR(VLOOKUP(AV185,'G-1 All Habitats'!$B$2:$M$135,12,FALSE),""))))</f>
        <v/>
      </c>
      <c r="Q185" s="304" t="str">
        <f>IFERROR(IF(AND(E185="Individual trees",T185&gt;0), "Error - you cannot enhance individual trees ▲", (IF(AND(U185="Irreplaceable habitat - no units generated ⚠",(S185+T185)&lt;H185, OR(Y185="No", Y185="")),"Any Loss Unacceptable ⚠", (IF(U185="Irreplaceable habitat - no units generated ⚠", T185*J185*L185*O185, IF(AND(P185='G-1 All Habitats'!$X$3, AC185&gt;0, S185&lt;=0, T185&lt;=0, OR(Y185="No", Y185="")),"Any Loss Unacceptable ⚠", IF(AND(P185='G-1 All Habitats'!$X$3, AC185&gt;0, S185&lt;=0, T185&lt;=0, Y185="Yes"), 0, (IF(AND(P185='G-1 All Habitats'!$X$3,(S185+T185)&lt;H185, OR(Y185="No", Y185="")),"Any Loss Unacceptable ⚠", (IF(P185="","",IF(AND(P185='G-1 All Habitats'!$X$3,T185&gt;0),U185+V185,IF(AND(P185='G-1 All Habitats'!$X$3,S185&gt;0),U185+V185,H185*J185*L185*O185))))))))))))),"Check Data ▲")</f>
        <v/>
      </c>
      <c r="R185" s="23"/>
      <c r="S185" s="38"/>
      <c r="T185" s="39"/>
      <c r="U185" s="302" t="str">
        <f t="shared" si="13"/>
        <v/>
      </c>
      <c r="V185" s="302" t="str">
        <f t="shared" si="14"/>
        <v/>
      </c>
      <c r="W185" s="302" t="str">
        <f>IF(E185="","",IF(H185&lt;S185+T185,"Error in Areas ▲",IF(P185&lt;&gt;'G-1 All Habitats'!$X$3,H185-S185-T185,IF(AND(P185='G-1 All Habitats'!$X$3,Y185="No"),AC185,IF(AND(P185='G-1 All Habitats'!$X$3,Y185=""),AC185,IF(AND(P185='G-1 All Habitats'!$X$3,AC185="None"),AC185,IF(AND(P185='G-1 All Habitats'!$X$3,AC185&gt;0),H185-S185-T185)))))))</f>
        <v/>
      </c>
      <c r="X185" s="306" t="str">
        <f>IFERROR(IF(H185="","",IF(H185-S185-T185=0&lt;0,"Error in Areas ▲",IF(S185+T185&gt;H185,"Error in Areas ▲",IF(AND(P185='G-1 All Habitats'!$X$3,Y185="Yes"),"Alternative Compensation ✓",IF(W185=0,0,IF(P185='G-1 All Habitats'!$X$3,"Any Loss Unacceptable ▲",Q185-U185-V185)))))),"Check Data ▲")</f>
        <v/>
      </c>
      <c r="Y185" s="39"/>
      <c r="Z185" s="46"/>
      <c r="AA185" s="419"/>
      <c r="AB185" s="101"/>
      <c r="AC185" s="495" t="str">
        <f>IF(OR(P185="", Y185="Yes"),"", IF(P185='G-1 All Habitats'!$X$3,H185-S185-T185,"None"))</f>
        <v/>
      </c>
      <c r="AD185" s="496" t="str">
        <f>IF(P185="","", IF(P185='G-1 All Habitats'!$X$3, AC185*J185*L185*O185,"None"))</f>
        <v/>
      </c>
      <c r="AE185" s="20" t="str">
        <f t="shared" si="15"/>
        <v/>
      </c>
      <c r="AF185" s="25" t="str">
        <f t="shared" si="16"/>
        <v/>
      </c>
      <c r="AG185" s="25" t="str">
        <f t="shared" si="12"/>
        <v/>
      </c>
      <c r="AH185" s="25" t="str">
        <f>IF(I185="","",IF(#REF!&gt;0,TRUE,FALSE))</f>
        <v/>
      </c>
      <c r="AI185" s="25">
        <v>175</v>
      </c>
      <c r="AJ185" s="25"/>
      <c r="AK185" s="25" t="str">
        <f t="array" ref="AK185">IFERROR(INDEX($AI$11:$AI$259, MATCH(0, IF(TRUE=$AF$11:$AF$259, COUNTIF($AK$10:$AK184, $AI$11:$AI$259), ""), 0)),"")</f>
        <v/>
      </c>
      <c r="AL185" s="25" t="str">
        <f t="array" ref="AL185">IFERROR(INDEX($AI$11:$AI$259, MATCH(0, IF(TRUE=$AG$11:$AG$259, COUNTIF($AL$10:$AL184, $AI$11:$AI$259), ""), 0)),"")</f>
        <v/>
      </c>
      <c r="AM185" s="25" t="str">
        <f t="array" ref="AM185">IFERROR(INDEX($AI$11:$AI$259, MATCH(0, IF(TRUE=$AH$11:$AH$259, COUNTIF($AM$10:$AM184, $AI$11:$AI$259), ""), 0)),"")</f>
        <v/>
      </c>
      <c r="AN185" s="25"/>
      <c r="AQ185" s="20">
        <f t="shared" si="17"/>
        <v>0</v>
      </c>
      <c r="AV185" s="540" t="str">
        <f>IFERROR(INDEX('G-1 All Habitats'!$B$3:$B$135,MATCH(F185,'G-1 All Habitats'!$A$3:$A$135,0)),"")</f>
        <v/>
      </c>
      <c r="AW185" s="20" t="str">
        <f>IF(AV185="","",VLOOKUP(AV185,'G-1 All Habitats'!$B$1:$T$135,19,FALSE))</f>
        <v/>
      </c>
    </row>
    <row r="186" spans="1:49" ht="14.5" thickBot="1" x14ac:dyDescent="0.35">
      <c r="A186" s="20" t="str">
        <f>IFERROR(INDEX('G-1 All Habitats'!$AG$3:$AG$17,MATCH(E186,'G-1 All Habitats'!$AF$3:$AF$17,0)),"")</f>
        <v/>
      </c>
      <c r="B186" s="20" t="str">
        <f>IFERROR(INDEX('G-8 Condition Look up'!$I$4:$I$135,MATCH(AV186,'G-8 Condition Look up'!$A$4:$A$135,0)),"")</f>
        <v/>
      </c>
      <c r="D186" s="238">
        <v>176</v>
      </c>
      <c r="E186" s="223"/>
      <c r="F186" s="45"/>
      <c r="G186" s="272"/>
      <c r="H186" s="37"/>
      <c r="I186" s="290" t="str">
        <f>IF(AV186="","",VLOOKUP(AV186,'G-1 All Habitats'!$B$2:$M$135,10,FALSE))</f>
        <v/>
      </c>
      <c r="J186" s="291" t="str">
        <f>IFERROR(VLOOKUP(I186,'G-1 All Habitats'!$V$3:$W$7,2,FALSE),"")</f>
        <v/>
      </c>
      <c r="K186" s="38"/>
      <c r="L186" s="291" t="str">
        <f>IFERROR(INDEX('G-8 Condition Look up'!$A$3:$H$135,MATCH(AV186,'G-8 Condition Look up'!$A$3:$A$135,0),MATCH(K186,'G-8 Condition Look up'!$A$3:$H$3,0)),"")</f>
        <v/>
      </c>
      <c r="M186" s="38"/>
      <c r="N186" s="310" t="str">
        <f>IF(M186="","",IF(VLOOKUP(M186,'G-3 Multipliers'!$L$3:$N$6,2,FALSE)=0,"Spatial Data Missing",VLOOKUP(M186,'G-3 Multipliers'!$L$3:$N$6,2,FALSE)))</f>
        <v/>
      </c>
      <c r="O186" s="296" t="str">
        <f>IF(M186="","",IF(VLOOKUP(M186,'G-3 Multipliers'!$L$3:$N$6,3,FALSE)=0,"Spatial Data Missing ▲",VLOOKUP(M186,'G-3 Multipliers'!$L$3:$N$6,3,FALSE)))</f>
        <v/>
      </c>
      <c r="P186" s="297" t="str">
        <f>(IF(G186="Yes","Bespoke compensation likely to be required 🛠",(IFERROR(VLOOKUP(AV186,'G-1 All Habitats'!$B$2:$M$135,12,FALSE),""))))</f>
        <v/>
      </c>
      <c r="Q186" s="304" t="str">
        <f>IFERROR(IF(AND(E186="Individual trees",T186&gt;0), "Error - you cannot enhance individual trees ▲", (IF(AND(U186="Irreplaceable habitat - no units generated ⚠",(S186+T186)&lt;H186, OR(Y186="No", Y186="")),"Any Loss Unacceptable ⚠", (IF(U186="Irreplaceable habitat - no units generated ⚠", T186*J186*L186*O186, IF(AND(P186='G-1 All Habitats'!$X$3, AC186&gt;0, S186&lt;=0, T186&lt;=0, OR(Y186="No", Y186="")),"Any Loss Unacceptable ⚠", IF(AND(P186='G-1 All Habitats'!$X$3, AC186&gt;0, S186&lt;=0, T186&lt;=0, Y186="Yes"), 0, (IF(AND(P186='G-1 All Habitats'!$X$3,(S186+T186)&lt;H186, OR(Y186="No", Y186="")),"Any Loss Unacceptable ⚠", (IF(P186="","",IF(AND(P186='G-1 All Habitats'!$X$3,T186&gt;0),U186+V186,IF(AND(P186='G-1 All Habitats'!$X$3,S186&gt;0),U186+V186,H186*J186*L186*O186))))))))))))),"Check Data ▲")</f>
        <v/>
      </c>
      <c r="R186" s="23"/>
      <c r="S186" s="38"/>
      <c r="T186" s="39"/>
      <c r="U186" s="302" t="str">
        <f t="shared" si="13"/>
        <v/>
      </c>
      <c r="V186" s="302" t="str">
        <f t="shared" si="14"/>
        <v/>
      </c>
      <c r="W186" s="302" t="str">
        <f>IF(E186="","",IF(H186&lt;S186+T186,"Error in Areas ▲",IF(P186&lt;&gt;'G-1 All Habitats'!$X$3,H186-S186-T186,IF(AND(P186='G-1 All Habitats'!$X$3,Y186="No"),AC186,IF(AND(P186='G-1 All Habitats'!$X$3,Y186=""),AC186,IF(AND(P186='G-1 All Habitats'!$X$3,AC186="None"),AC186,IF(AND(P186='G-1 All Habitats'!$X$3,AC186&gt;0),H186-S186-T186)))))))</f>
        <v/>
      </c>
      <c r="X186" s="306" t="str">
        <f>IFERROR(IF(H186="","",IF(H186-S186-T186=0&lt;0,"Error in Areas ▲",IF(S186+T186&gt;H186,"Error in Areas ▲",IF(AND(P186='G-1 All Habitats'!$X$3,Y186="Yes"),"Alternative Compensation ✓",IF(W186=0,0,IF(P186='G-1 All Habitats'!$X$3,"Any Loss Unacceptable ▲",Q186-U186-V186)))))),"Check Data ▲")</f>
        <v/>
      </c>
      <c r="Y186" s="39"/>
      <c r="Z186" s="46"/>
      <c r="AA186" s="419"/>
      <c r="AB186" s="101"/>
      <c r="AC186" s="495" t="str">
        <f>IF(OR(P186="", Y186="Yes"),"", IF(P186='G-1 All Habitats'!$X$3,H186-S186-T186,"None"))</f>
        <v/>
      </c>
      <c r="AD186" s="496" t="str">
        <f>IF(P186="","", IF(P186='G-1 All Habitats'!$X$3, AC186*J186*L186*O186,"None"))</f>
        <v/>
      </c>
      <c r="AE186" s="20" t="str">
        <f t="shared" si="15"/>
        <v/>
      </c>
      <c r="AF186" s="25" t="str">
        <f t="shared" si="16"/>
        <v/>
      </c>
      <c r="AG186" s="25" t="str">
        <f t="shared" si="12"/>
        <v/>
      </c>
      <c r="AH186" s="25" t="str">
        <f>IF(I186="","",IF(#REF!&gt;0,TRUE,FALSE))</f>
        <v/>
      </c>
      <c r="AI186" s="25">
        <v>176</v>
      </c>
      <c r="AJ186" s="25"/>
      <c r="AK186" s="25" t="str">
        <f t="array" ref="AK186">IFERROR(INDEX($AI$11:$AI$259, MATCH(0, IF(TRUE=$AF$11:$AF$259, COUNTIF($AK$10:$AK185, $AI$11:$AI$259), ""), 0)),"")</f>
        <v/>
      </c>
      <c r="AL186" s="25" t="str">
        <f t="array" ref="AL186">IFERROR(INDEX($AI$11:$AI$259, MATCH(0, IF(TRUE=$AG$11:$AG$259, COUNTIF($AL$10:$AL185, $AI$11:$AI$259), ""), 0)),"")</f>
        <v/>
      </c>
      <c r="AM186" s="25" t="str">
        <f t="array" ref="AM186">IFERROR(INDEX($AI$11:$AI$259, MATCH(0, IF(TRUE=$AH$11:$AH$259, COUNTIF($AM$10:$AM185, $AI$11:$AI$259), ""), 0)),"")</f>
        <v/>
      </c>
      <c r="AN186" s="25"/>
      <c r="AQ186" s="20">
        <f t="shared" si="17"/>
        <v>0</v>
      </c>
      <c r="AV186" s="540" t="str">
        <f>IFERROR(INDEX('G-1 All Habitats'!$B$3:$B$135,MATCH(F186,'G-1 All Habitats'!$A$3:$A$135,0)),"")</f>
        <v/>
      </c>
      <c r="AW186" s="20" t="str">
        <f>IF(AV186="","",VLOOKUP(AV186,'G-1 All Habitats'!$B$1:$T$135,19,FALSE))</f>
        <v/>
      </c>
    </row>
    <row r="187" spans="1:49" ht="14.5" thickBot="1" x14ac:dyDescent="0.35">
      <c r="A187" s="20" t="str">
        <f>IFERROR(INDEX('G-1 All Habitats'!$AG$3:$AG$17,MATCH(E187,'G-1 All Habitats'!$AF$3:$AF$17,0)),"")</f>
        <v/>
      </c>
      <c r="B187" s="20" t="str">
        <f>IFERROR(INDEX('G-8 Condition Look up'!$I$4:$I$135,MATCH(AV187,'G-8 Condition Look up'!$A$4:$A$135,0)),"")</f>
        <v/>
      </c>
      <c r="D187" s="238">
        <v>177</v>
      </c>
      <c r="E187" s="223"/>
      <c r="F187" s="45"/>
      <c r="G187" s="272"/>
      <c r="H187" s="37"/>
      <c r="I187" s="290" t="str">
        <f>IF(AV187="","",VLOOKUP(AV187,'G-1 All Habitats'!$B$2:$M$135,10,FALSE))</f>
        <v/>
      </c>
      <c r="J187" s="291" t="str">
        <f>IFERROR(VLOOKUP(I187,'G-1 All Habitats'!$V$3:$W$7,2,FALSE),"")</f>
        <v/>
      </c>
      <c r="K187" s="38"/>
      <c r="L187" s="291" t="str">
        <f>IFERROR(INDEX('G-8 Condition Look up'!$A$3:$H$135,MATCH(AV187,'G-8 Condition Look up'!$A$3:$A$135,0),MATCH(K187,'G-8 Condition Look up'!$A$3:$H$3,0)),"")</f>
        <v/>
      </c>
      <c r="M187" s="38"/>
      <c r="N187" s="310" t="str">
        <f>IF(M187="","",IF(VLOOKUP(M187,'G-3 Multipliers'!$L$3:$N$6,2,FALSE)=0,"Spatial Data Missing",VLOOKUP(M187,'G-3 Multipliers'!$L$3:$N$6,2,FALSE)))</f>
        <v/>
      </c>
      <c r="O187" s="296" t="str">
        <f>IF(M187="","",IF(VLOOKUP(M187,'G-3 Multipliers'!$L$3:$N$6,3,FALSE)=0,"Spatial Data Missing ▲",VLOOKUP(M187,'G-3 Multipliers'!$L$3:$N$6,3,FALSE)))</f>
        <v/>
      </c>
      <c r="P187" s="297" t="str">
        <f>(IF(G187="Yes","Bespoke compensation likely to be required 🛠",(IFERROR(VLOOKUP(AV187,'G-1 All Habitats'!$B$2:$M$135,12,FALSE),""))))</f>
        <v/>
      </c>
      <c r="Q187" s="304" t="str">
        <f>IFERROR(IF(AND(E187="Individual trees",T187&gt;0), "Error - you cannot enhance individual trees ▲", (IF(AND(U187="Irreplaceable habitat - no units generated ⚠",(S187+T187)&lt;H187, OR(Y187="No", Y187="")),"Any Loss Unacceptable ⚠", (IF(U187="Irreplaceable habitat - no units generated ⚠", T187*J187*L187*O187, IF(AND(P187='G-1 All Habitats'!$X$3, AC187&gt;0, S187&lt;=0, T187&lt;=0, OR(Y187="No", Y187="")),"Any Loss Unacceptable ⚠", IF(AND(P187='G-1 All Habitats'!$X$3, AC187&gt;0, S187&lt;=0, T187&lt;=0, Y187="Yes"), 0, (IF(AND(P187='G-1 All Habitats'!$X$3,(S187+T187)&lt;H187, OR(Y187="No", Y187="")),"Any Loss Unacceptable ⚠", (IF(P187="","",IF(AND(P187='G-1 All Habitats'!$X$3,T187&gt;0),U187+V187,IF(AND(P187='G-1 All Habitats'!$X$3,S187&gt;0),U187+V187,H187*J187*L187*O187))))))))))))),"Check Data ▲")</f>
        <v/>
      </c>
      <c r="R187" s="23"/>
      <c r="S187" s="38"/>
      <c r="T187" s="39"/>
      <c r="U187" s="302" t="str">
        <f t="shared" si="13"/>
        <v/>
      </c>
      <c r="V187" s="302" t="str">
        <f t="shared" si="14"/>
        <v/>
      </c>
      <c r="W187" s="302" t="str">
        <f>IF(E187="","",IF(H187&lt;S187+T187,"Error in Areas ▲",IF(P187&lt;&gt;'G-1 All Habitats'!$X$3,H187-S187-T187,IF(AND(P187='G-1 All Habitats'!$X$3,Y187="No"),AC187,IF(AND(P187='G-1 All Habitats'!$X$3,Y187=""),AC187,IF(AND(P187='G-1 All Habitats'!$X$3,AC187="None"),AC187,IF(AND(P187='G-1 All Habitats'!$X$3,AC187&gt;0),H187-S187-T187)))))))</f>
        <v/>
      </c>
      <c r="X187" s="306" t="str">
        <f>IFERROR(IF(H187="","",IF(H187-S187-T187=0&lt;0,"Error in Areas ▲",IF(S187+T187&gt;H187,"Error in Areas ▲",IF(AND(P187='G-1 All Habitats'!$X$3,Y187="Yes"),"Alternative Compensation ✓",IF(W187=0,0,IF(P187='G-1 All Habitats'!$X$3,"Any Loss Unacceptable ▲",Q187-U187-V187)))))),"Check Data ▲")</f>
        <v/>
      </c>
      <c r="Y187" s="39"/>
      <c r="Z187" s="46"/>
      <c r="AA187" s="419"/>
      <c r="AB187" s="101"/>
      <c r="AC187" s="495" t="str">
        <f>IF(OR(P187="", Y187="Yes"),"", IF(P187='G-1 All Habitats'!$X$3,H187-S187-T187,"None"))</f>
        <v/>
      </c>
      <c r="AD187" s="496" t="str">
        <f>IF(P187="","", IF(P187='G-1 All Habitats'!$X$3, AC187*J187*L187*O187,"None"))</f>
        <v/>
      </c>
      <c r="AE187" s="20" t="str">
        <f t="shared" si="15"/>
        <v/>
      </c>
      <c r="AF187" s="25" t="str">
        <f t="shared" si="16"/>
        <v/>
      </c>
      <c r="AG187" s="25" t="str">
        <f t="shared" si="12"/>
        <v/>
      </c>
      <c r="AH187" s="25" t="str">
        <f>IF(I187="","",IF(#REF!&gt;0,TRUE,FALSE))</f>
        <v/>
      </c>
      <c r="AI187" s="25">
        <v>177</v>
      </c>
      <c r="AJ187" s="25"/>
      <c r="AK187" s="25" t="str">
        <f t="array" ref="AK187">IFERROR(INDEX($AI$11:$AI$259, MATCH(0, IF(TRUE=$AF$11:$AF$259, COUNTIF($AK$10:$AK186, $AI$11:$AI$259), ""), 0)),"")</f>
        <v/>
      </c>
      <c r="AL187" s="25" t="str">
        <f t="array" ref="AL187">IFERROR(INDEX($AI$11:$AI$259, MATCH(0, IF(TRUE=$AG$11:$AG$259, COUNTIF($AL$10:$AL186, $AI$11:$AI$259), ""), 0)),"")</f>
        <v/>
      </c>
      <c r="AM187" s="25" t="str">
        <f t="array" ref="AM187">IFERROR(INDEX($AI$11:$AI$259, MATCH(0, IF(TRUE=$AH$11:$AH$259, COUNTIF($AM$10:$AM186, $AI$11:$AI$259), ""), 0)),"")</f>
        <v/>
      </c>
      <c r="AN187" s="25"/>
      <c r="AQ187" s="20">
        <f t="shared" si="17"/>
        <v>0</v>
      </c>
      <c r="AV187" s="540" t="str">
        <f>IFERROR(INDEX('G-1 All Habitats'!$B$3:$B$135,MATCH(F187,'G-1 All Habitats'!$A$3:$A$135,0)),"")</f>
        <v/>
      </c>
      <c r="AW187" s="20" t="str">
        <f>IF(AV187="","",VLOOKUP(AV187,'G-1 All Habitats'!$B$1:$T$135,19,FALSE))</f>
        <v/>
      </c>
    </row>
    <row r="188" spans="1:49" ht="14.5" thickBot="1" x14ac:dyDescent="0.35">
      <c r="A188" s="20" t="str">
        <f>IFERROR(INDEX('G-1 All Habitats'!$AG$3:$AG$17,MATCH(E188,'G-1 All Habitats'!$AF$3:$AF$17,0)),"")</f>
        <v/>
      </c>
      <c r="B188" s="20" t="str">
        <f>IFERROR(INDEX('G-8 Condition Look up'!$I$4:$I$135,MATCH(AV188,'G-8 Condition Look up'!$A$4:$A$135,0)),"")</f>
        <v/>
      </c>
      <c r="D188" s="238">
        <v>178</v>
      </c>
      <c r="E188" s="223"/>
      <c r="F188" s="45"/>
      <c r="G188" s="272"/>
      <c r="H188" s="37"/>
      <c r="I188" s="290" t="str">
        <f>IF(AV188="","",VLOOKUP(AV188,'G-1 All Habitats'!$B$2:$M$135,10,FALSE))</f>
        <v/>
      </c>
      <c r="J188" s="291" t="str">
        <f>IFERROR(VLOOKUP(I188,'G-1 All Habitats'!$V$3:$W$7,2,FALSE),"")</f>
        <v/>
      </c>
      <c r="K188" s="38"/>
      <c r="L188" s="291" t="str">
        <f>IFERROR(INDEX('G-8 Condition Look up'!$A$3:$H$135,MATCH(AV188,'G-8 Condition Look up'!$A$3:$A$135,0),MATCH(K188,'G-8 Condition Look up'!$A$3:$H$3,0)),"")</f>
        <v/>
      </c>
      <c r="M188" s="38"/>
      <c r="N188" s="310" t="str">
        <f>IF(M188="","",IF(VLOOKUP(M188,'G-3 Multipliers'!$L$3:$N$6,2,FALSE)=0,"Spatial Data Missing",VLOOKUP(M188,'G-3 Multipliers'!$L$3:$N$6,2,FALSE)))</f>
        <v/>
      </c>
      <c r="O188" s="296" t="str">
        <f>IF(M188="","",IF(VLOOKUP(M188,'G-3 Multipliers'!$L$3:$N$6,3,FALSE)=0,"Spatial Data Missing ▲",VLOOKUP(M188,'G-3 Multipliers'!$L$3:$N$6,3,FALSE)))</f>
        <v/>
      </c>
      <c r="P188" s="297" t="str">
        <f>(IF(G188="Yes","Bespoke compensation likely to be required 🛠",(IFERROR(VLOOKUP(AV188,'G-1 All Habitats'!$B$2:$M$135,12,FALSE),""))))</f>
        <v/>
      </c>
      <c r="Q188" s="304" t="str">
        <f>IFERROR(IF(AND(E188="Individual trees",T188&gt;0), "Error - you cannot enhance individual trees ▲", (IF(AND(U188="Irreplaceable habitat - no units generated ⚠",(S188+T188)&lt;H188, OR(Y188="No", Y188="")),"Any Loss Unacceptable ⚠", (IF(U188="Irreplaceable habitat - no units generated ⚠", T188*J188*L188*O188, IF(AND(P188='G-1 All Habitats'!$X$3, AC188&gt;0, S188&lt;=0, T188&lt;=0, OR(Y188="No", Y188="")),"Any Loss Unacceptable ⚠", IF(AND(P188='G-1 All Habitats'!$X$3, AC188&gt;0, S188&lt;=0, T188&lt;=0, Y188="Yes"), 0, (IF(AND(P188='G-1 All Habitats'!$X$3,(S188+T188)&lt;H188, OR(Y188="No", Y188="")),"Any Loss Unacceptable ⚠", (IF(P188="","",IF(AND(P188='G-1 All Habitats'!$X$3,T188&gt;0),U188+V188,IF(AND(P188='G-1 All Habitats'!$X$3,S188&gt;0),U188+V188,H188*J188*L188*O188))))))))))))),"Check Data ▲")</f>
        <v/>
      </c>
      <c r="R188" s="23"/>
      <c r="S188" s="38"/>
      <c r="T188" s="39"/>
      <c r="U188" s="302" t="str">
        <f t="shared" si="13"/>
        <v/>
      </c>
      <c r="V188" s="302" t="str">
        <f t="shared" si="14"/>
        <v/>
      </c>
      <c r="W188" s="302" t="str">
        <f>IF(E188="","",IF(H188&lt;S188+T188,"Error in Areas ▲",IF(P188&lt;&gt;'G-1 All Habitats'!$X$3,H188-S188-T188,IF(AND(P188='G-1 All Habitats'!$X$3,Y188="No"),AC188,IF(AND(P188='G-1 All Habitats'!$X$3,Y188=""),AC188,IF(AND(P188='G-1 All Habitats'!$X$3,AC188="None"),AC188,IF(AND(P188='G-1 All Habitats'!$X$3,AC188&gt;0),H188-S188-T188)))))))</f>
        <v/>
      </c>
      <c r="X188" s="306" t="str">
        <f>IFERROR(IF(H188="","",IF(H188-S188-T188=0&lt;0,"Error in Areas ▲",IF(S188+T188&gt;H188,"Error in Areas ▲",IF(AND(P188='G-1 All Habitats'!$X$3,Y188="Yes"),"Alternative Compensation ✓",IF(W188=0,0,IF(P188='G-1 All Habitats'!$X$3,"Any Loss Unacceptable ▲",Q188-U188-V188)))))),"Check Data ▲")</f>
        <v/>
      </c>
      <c r="Y188" s="39"/>
      <c r="Z188" s="46"/>
      <c r="AA188" s="419"/>
      <c r="AB188" s="101"/>
      <c r="AC188" s="495" t="str">
        <f>IF(OR(P188="", Y188="Yes"),"", IF(P188='G-1 All Habitats'!$X$3,H188-S188-T188,"None"))</f>
        <v/>
      </c>
      <c r="AD188" s="496" t="str">
        <f>IF(P188="","", IF(P188='G-1 All Habitats'!$X$3, AC188*J188*L188*O188,"None"))</f>
        <v/>
      </c>
      <c r="AE188" s="20" t="str">
        <f t="shared" si="15"/>
        <v/>
      </c>
      <c r="AF188" s="25" t="str">
        <f t="shared" si="16"/>
        <v/>
      </c>
      <c r="AG188" s="25" t="str">
        <f t="shared" si="12"/>
        <v/>
      </c>
      <c r="AH188" s="25" t="str">
        <f>IF(I188="","",IF(#REF!&gt;0,TRUE,FALSE))</f>
        <v/>
      </c>
      <c r="AI188" s="25">
        <v>178</v>
      </c>
      <c r="AJ188" s="25"/>
      <c r="AK188" s="25" t="str">
        <f t="array" ref="AK188">IFERROR(INDEX($AI$11:$AI$259, MATCH(0, IF(TRUE=$AF$11:$AF$259, COUNTIF($AK$10:$AK187, $AI$11:$AI$259), ""), 0)),"")</f>
        <v/>
      </c>
      <c r="AL188" s="25" t="str">
        <f t="array" ref="AL188">IFERROR(INDEX($AI$11:$AI$259, MATCH(0, IF(TRUE=$AG$11:$AG$259, COUNTIF($AL$10:$AL187, $AI$11:$AI$259), ""), 0)),"")</f>
        <v/>
      </c>
      <c r="AM188" s="25" t="str">
        <f t="array" ref="AM188">IFERROR(INDEX($AI$11:$AI$259, MATCH(0, IF(TRUE=$AH$11:$AH$259, COUNTIF($AM$10:$AM187, $AI$11:$AI$259), ""), 0)),"")</f>
        <v/>
      </c>
      <c r="AN188" s="25"/>
      <c r="AQ188" s="20">
        <f t="shared" si="17"/>
        <v>0</v>
      </c>
      <c r="AV188" s="540" t="str">
        <f>IFERROR(INDEX('G-1 All Habitats'!$B$3:$B$135,MATCH(F188,'G-1 All Habitats'!$A$3:$A$135,0)),"")</f>
        <v/>
      </c>
      <c r="AW188" s="20" t="str">
        <f>IF(AV188="","",VLOOKUP(AV188,'G-1 All Habitats'!$B$1:$T$135,19,FALSE))</f>
        <v/>
      </c>
    </row>
    <row r="189" spans="1:49" ht="14.5" thickBot="1" x14ac:dyDescent="0.35">
      <c r="A189" s="20" t="str">
        <f>IFERROR(INDEX('G-1 All Habitats'!$AG$3:$AG$17,MATCH(E189,'G-1 All Habitats'!$AF$3:$AF$17,0)),"")</f>
        <v/>
      </c>
      <c r="B189" s="20" t="str">
        <f>IFERROR(INDEX('G-8 Condition Look up'!$I$4:$I$135,MATCH(AV189,'G-8 Condition Look up'!$A$4:$A$135,0)),"")</f>
        <v/>
      </c>
      <c r="D189" s="238">
        <v>179</v>
      </c>
      <c r="E189" s="223"/>
      <c r="F189" s="45"/>
      <c r="G189" s="272"/>
      <c r="H189" s="37"/>
      <c r="I189" s="290" t="str">
        <f>IF(AV189="","",VLOOKUP(AV189,'G-1 All Habitats'!$B$2:$M$135,10,FALSE))</f>
        <v/>
      </c>
      <c r="J189" s="291" t="str">
        <f>IFERROR(VLOOKUP(I189,'G-1 All Habitats'!$V$3:$W$7,2,FALSE),"")</f>
        <v/>
      </c>
      <c r="K189" s="38"/>
      <c r="L189" s="291" t="str">
        <f>IFERROR(INDEX('G-8 Condition Look up'!$A$3:$H$135,MATCH(AV189,'G-8 Condition Look up'!$A$3:$A$135,0),MATCH(K189,'G-8 Condition Look up'!$A$3:$H$3,0)),"")</f>
        <v/>
      </c>
      <c r="M189" s="38"/>
      <c r="N189" s="310" t="str">
        <f>IF(M189="","",IF(VLOOKUP(M189,'G-3 Multipliers'!$L$3:$N$6,2,FALSE)=0,"Spatial Data Missing",VLOOKUP(M189,'G-3 Multipliers'!$L$3:$N$6,2,FALSE)))</f>
        <v/>
      </c>
      <c r="O189" s="296" t="str">
        <f>IF(M189="","",IF(VLOOKUP(M189,'G-3 Multipliers'!$L$3:$N$6,3,FALSE)=0,"Spatial Data Missing ▲",VLOOKUP(M189,'G-3 Multipliers'!$L$3:$N$6,3,FALSE)))</f>
        <v/>
      </c>
      <c r="P189" s="297" t="str">
        <f>(IF(G189="Yes","Bespoke compensation likely to be required 🛠",(IFERROR(VLOOKUP(AV189,'G-1 All Habitats'!$B$2:$M$135,12,FALSE),""))))</f>
        <v/>
      </c>
      <c r="Q189" s="304" t="str">
        <f>IFERROR(IF(AND(E189="Individual trees",T189&gt;0), "Error - you cannot enhance individual trees ▲", (IF(AND(U189="Irreplaceable habitat - no units generated ⚠",(S189+T189)&lt;H189, OR(Y189="No", Y189="")),"Any Loss Unacceptable ⚠", (IF(U189="Irreplaceable habitat - no units generated ⚠", T189*J189*L189*O189, IF(AND(P189='G-1 All Habitats'!$X$3, AC189&gt;0, S189&lt;=0, T189&lt;=0, OR(Y189="No", Y189="")),"Any Loss Unacceptable ⚠", IF(AND(P189='G-1 All Habitats'!$X$3, AC189&gt;0, S189&lt;=0, T189&lt;=0, Y189="Yes"), 0, (IF(AND(P189='G-1 All Habitats'!$X$3,(S189+T189)&lt;H189, OR(Y189="No", Y189="")),"Any Loss Unacceptable ⚠", (IF(P189="","",IF(AND(P189='G-1 All Habitats'!$X$3,T189&gt;0),U189+V189,IF(AND(P189='G-1 All Habitats'!$X$3,S189&gt;0),U189+V189,H189*J189*L189*O189))))))))))))),"Check Data ▲")</f>
        <v/>
      </c>
      <c r="R189" s="23"/>
      <c r="S189" s="38"/>
      <c r="T189" s="39"/>
      <c r="U189" s="302" t="str">
        <f t="shared" si="13"/>
        <v/>
      </c>
      <c r="V189" s="302" t="str">
        <f t="shared" si="14"/>
        <v/>
      </c>
      <c r="W189" s="302" t="str">
        <f>IF(E189="","",IF(H189&lt;S189+T189,"Error in Areas ▲",IF(P189&lt;&gt;'G-1 All Habitats'!$X$3,H189-S189-T189,IF(AND(P189='G-1 All Habitats'!$X$3,Y189="No"),AC189,IF(AND(P189='G-1 All Habitats'!$X$3,Y189=""),AC189,IF(AND(P189='G-1 All Habitats'!$X$3,AC189="None"),AC189,IF(AND(P189='G-1 All Habitats'!$X$3,AC189&gt;0),H189-S189-T189)))))))</f>
        <v/>
      </c>
      <c r="X189" s="306" t="str">
        <f>IFERROR(IF(H189="","",IF(H189-S189-T189=0&lt;0,"Error in Areas ▲",IF(S189+T189&gt;H189,"Error in Areas ▲",IF(AND(P189='G-1 All Habitats'!$X$3,Y189="Yes"),"Alternative Compensation ✓",IF(W189=0,0,IF(P189='G-1 All Habitats'!$X$3,"Any Loss Unacceptable ▲",Q189-U189-V189)))))),"Check Data ▲")</f>
        <v/>
      </c>
      <c r="Y189" s="39"/>
      <c r="Z189" s="46"/>
      <c r="AA189" s="419"/>
      <c r="AB189" s="101"/>
      <c r="AC189" s="495" t="str">
        <f>IF(OR(P189="", Y189="Yes"),"", IF(P189='G-1 All Habitats'!$X$3,H189-S189-T189,"None"))</f>
        <v/>
      </c>
      <c r="AD189" s="496" t="str">
        <f>IF(P189="","", IF(P189='G-1 All Habitats'!$X$3, AC189*J189*L189*O189,"None"))</f>
        <v/>
      </c>
      <c r="AE189" s="20" t="str">
        <f t="shared" si="15"/>
        <v/>
      </c>
      <c r="AF189" s="25" t="str">
        <f t="shared" si="16"/>
        <v/>
      </c>
      <c r="AG189" s="25" t="str">
        <f t="shared" si="12"/>
        <v/>
      </c>
      <c r="AH189" s="25" t="str">
        <f>IF(I189="","",IF(#REF!&gt;0,TRUE,FALSE))</f>
        <v/>
      </c>
      <c r="AI189" s="25">
        <v>179</v>
      </c>
      <c r="AJ189" s="25"/>
      <c r="AK189" s="25" t="str">
        <f t="array" ref="AK189">IFERROR(INDEX($AI$11:$AI$259, MATCH(0, IF(TRUE=$AF$11:$AF$259, COUNTIF($AK$10:$AK188, $AI$11:$AI$259), ""), 0)),"")</f>
        <v/>
      </c>
      <c r="AL189" s="25" t="str">
        <f t="array" ref="AL189">IFERROR(INDEX($AI$11:$AI$259, MATCH(0, IF(TRUE=$AG$11:$AG$259, COUNTIF($AL$10:$AL188, $AI$11:$AI$259), ""), 0)),"")</f>
        <v/>
      </c>
      <c r="AM189" s="25" t="str">
        <f t="array" ref="AM189">IFERROR(INDEX($AI$11:$AI$259, MATCH(0, IF(TRUE=$AH$11:$AH$259, COUNTIF($AM$10:$AM188, $AI$11:$AI$259), ""), 0)),"")</f>
        <v/>
      </c>
      <c r="AN189" s="25"/>
      <c r="AQ189" s="20">
        <f t="shared" si="17"/>
        <v>0</v>
      </c>
      <c r="AV189" s="540" t="str">
        <f>IFERROR(INDEX('G-1 All Habitats'!$B$3:$B$135,MATCH(F189,'G-1 All Habitats'!$A$3:$A$135,0)),"")</f>
        <v/>
      </c>
      <c r="AW189" s="20" t="str">
        <f>IF(AV189="","",VLOOKUP(AV189,'G-1 All Habitats'!$B$1:$T$135,19,FALSE))</f>
        <v/>
      </c>
    </row>
    <row r="190" spans="1:49" ht="14.5" thickBot="1" x14ac:dyDescent="0.35">
      <c r="A190" s="20" t="str">
        <f>IFERROR(INDEX('G-1 All Habitats'!$AG$3:$AG$17,MATCH(E190,'G-1 All Habitats'!$AF$3:$AF$17,0)),"")</f>
        <v/>
      </c>
      <c r="B190" s="20" t="str">
        <f>IFERROR(INDEX('G-8 Condition Look up'!$I$4:$I$135,MATCH(AV190,'G-8 Condition Look up'!$A$4:$A$135,0)),"")</f>
        <v/>
      </c>
      <c r="D190" s="238">
        <v>180</v>
      </c>
      <c r="E190" s="223"/>
      <c r="F190" s="45"/>
      <c r="G190" s="272"/>
      <c r="H190" s="37"/>
      <c r="I190" s="290" t="str">
        <f>IF(AV190="","",VLOOKUP(AV190,'G-1 All Habitats'!$B$2:$M$135,10,FALSE))</f>
        <v/>
      </c>
      <c r="J190" s="291" t="str">
        <f>IFERROR(VLOOKUP(I190,'G-1 All Habitats'!$V$3:$W$7,2,FALSE),"")</f>
        <v/>
      </c>
      <c r="K190" s="38"/>
      <c r="L190" s="291" t="str">
        <f>IFERROR(INDEX('G-8 Condition Look up'!$A$3:$H$135,MATCH(AV190,'G-8 Condition Look up'!$A$3:$A$135,0),MATCH(K190,'G-8 Condition Look up'!$A$3:$H$3,0)),"")</f>
        <v/>
      </c>
      <c r="M190" s="38"/>
      <c r="N190" s="310" t="str">
        <f>IF(M190="","",IF(VLOOKUP(M190,'G-3 Multipliers'!$L$3:$N$6,2,FALSE)=0,"Spatial Data Missing",VLOOKUP(M190,'G-3 Multipliers'!$L$3:$N$6,2,FALSE)))</f>
        <v/>
      </c>
      <c r="O190" s="296" t="str">
        <f>IF(M190="","",IF(VLOOKUP(M190,'G-3 Multipliers'!$L$3:$N$6,3,FALSE)=0,"Spatial Data Missing ▲",VLOOKUP(M190,'G-3 Multipliers'!$L$3:$N$6,3,FALSE)))</f>
        <v/>
      </c>
      <c r="P190" s="297" t="str">
        <f>(IF(G190="Yes","Bespoke compensation likely to be required 🛠",(IFERROR(VLOOKUP(AV190,'G-1 All Habitats'!$B$2:$M$135,12,FALSE),""))))</f>
        <v/>
      </c>
      <c r="Q190" s="304" t="str">
        <f>IFERROR(IF(AND(E190="Individual trees",T190&gt;0), "Error - you cannot enhance individual trees ▲", (IF(AND(U190="Irreplaceable habitat - no units generated ⚠",(S190+T190)&lt;H190, OR(Y190="No", Y190="")),"Any Loss Unacceptable ⚠", (IF(U190="Irreplaceable habitat - no units generated ⚠", T190*J190*L190*O190, IF(AND(P190='G-1 All Habitats'!$X$3, AC190&gt;0, S190&lt;=0, T190&lt;=0, OR(Y190="No", Y190="")),"Any Loss Unacceptable ⚠", IF(AND(P190='G-1 All Habitats'!$X$3, AC190&gt;0, S190&lt;=0, T190&lt;=0, Y190="Yes"), 0, (IF(AND(P190='G-1 All Habitats'!$X$3,(S190+T190)&lt;H190, OR(Y190="No", Y190="")),"Any Loss Unacceptable ⚠", (IF(P190="","",IF(AND(P190='G-1 All Habitats'!$X$3,T190&gt;0),U190+V190,IF(AND(P190='G-1 All Habitats'!$X$3,S190&gt;0),U190+V190,H190*J190*L190*O190))))))))))))),"Check Data ▲")</f>
        <v/>
      </c>
      <c r="R190" s="23"/>
      <c r="S190" s="38"/>
      <c r="T190" s="39"/>
      <c r="U190" s="302" t="str">
        <f t="shared" si="13"/>
        <v/>
      </c>
      <c r="V190" s="302" t="str">
        <f t="shared" si="14"/>
        <v/>
      </c>
      <c r="W190" s="302" t="str">
        <f>IF(E190="","",IF(H190&lt;S190+T190,"Error in Areas ▲",IF(P190&lt;&gt;'G-1 All Habitats'!$X$3,H190-S190-T190,IF(AND(P190='G-1 All Habitats'!$X$3,Y190="No"),AC190,IF(AND(P190='G-1 All Habitats'!$X$3,Y190=""),AC190,IF(AND(P190='G-1 All Habitats'!$X$3,AC190="None"),AC190,IF(AND(P190='G-1 All Habitats'!$X$3,AC190&gt;0),H190-S190-T190)))))))</f>
        <v/>
      </c>
      <c r="X190" s="306" t="str">
        <f>IFERROR(IF(H190="","",IF(H190-S190-T190=0&lt;0,"Error in Areas ▲",IF(S190+T190&gt;H190,"Error in Areas ▲",IF(AND(P190='G-1 All Habitats'!$X$3,Y190="Yes"),"Alternative Compensation ✓",IF(W190=0,0,IF(P190='G-1 All Habitats'!$X$3,"Any Loss Unacceptable ▲",Q190-U190-V190)))))),"Check Data ▲")</f>
        <v/>
      </c>
      <c r="Y190" s="39"/>
      <c r="Z190" s="46"/>
      <c r="AA190" s="419"/>
      <c r="AB190" s="101"/>
      <c r="AC190" s="495" t="str">
        <f>IF(OR(P190="", Y190="Yes"),"", IF(P190='G-1 All Habitats'!$X$3,H190-S190-T190,"None"))</f>
        <v/>
      </c>
      <c r="AD190" s="496" t="str">
        <f>IF(P190="","", IF(P190='G-1 All Habitats'!$X$3, AC190*J190*L190*O190,"None"))</f>
        <v/>
      </c>
      <c r="AE190" s="20" t="str">
        <f t="shared" si="15"/>
        <v/>
      </c>
      <c r="AF190" s="25" t="str">
        <f t="shared" si="16"/>
        <v/>
      </c>
      <c r="AG190" s="25" t="str">
        <f t="shared" si="12"/>
        <v/>
      </c>
      <c r="AH190" s="25" t="str">
        <f>IF(I190="","",IF(#REF!&gt;0,TRUE,FALSE))</f>
        <v/>
      </c>
      <c r="AI190" s="25">
        <v>180</v>
      </c>
      <c r="AJ190" s="25"/>
      <c r="AK190" s="25" t="str">
        <f t="array" ref="AK190">IFERROR(INDEX($AI$11:$AI$259, MATCH(0, IF(TRUE=$AF$11:$AF$259, COUNTIF($AK$10:$AK189, $AI$11:$AI$259), ""), 0)),"")</f>
        <v/>
      </c>
      <c r="AL190" s="25" t="str">
        <f t="array" ref="AL190">IFERROR(INDEX($AI$11:$AI$259, MATCH(0, IF(TRUE=$AG$11:$AG$259, COUNTIF($AL$10:$AL189, $AI$11:$AI$259), ""), 0)),"")</f>
        <v/>
      </c>
      <c r="AM190" s="25" t="str">
        <f t="array" ref="AM190">IFERROR(INDEX($AI$11:$AI$259, MATCH(0, IF(TRUE=$AH$11:$AH$259, COUNTIF($AM$10:$AM189, $AI$11:$AI$259), ""), 0)),"")</f>
        <v/>
      </c>
      <c r="AN190" s="25"/>
      <c r="AQ190" s="20">
        <f t="shared" si="17"/>
        <v>0</v>
      </c>
      <c r="AV190" s="540" t="str">
        <f>IFERROR(INDEX('G-1 All Habitats'!$B$3:$B$135,MATCH(F190,'G-1 All Habitats'!$A$3:$A$135,0)),"")</f>
        <v/>
      </c>
      <c r="AW190" s="20" t="str">
        <f>IF(AV190="","",VLOOKUP(AV190,'G-1 All Habitats'!$B$1:$T$135,19,FALSE))</f>
        <v/>
      </c>
    </row>
    <row r="191" spans="1:49" ht="14.5" thickBot="1" x14ac:dyDescent="0.35">
      <c r="A191" s="20" t="str">
        <f>IFERROR(INDEX('G-1 All Habitats'!$AG$3:$AG$17,MATCH(E191,'G-1 All Habitats'!$AF$3:$AF$17,0)),"")</f>
        <v/>
      </c>
      <c r="B191" s="20" t="str">
        <f>IFERROR(INDEX('G-8 Condition Look up'!$I$4:$I$135,MATCH(AV191,'G-8 Condition Look up'!$A$4:$A$135,0)),"")</f>
        <v/>
      </c>
      <c r="D191" s="238">
        <v>181</v>
      </c>
      <c r="E191" s="223"/>
      <c r="F191" s="45"/>
      <c r="G191" s="272"/>
      <c r="H191" s="37"/>
      <c r="I191" s="290" t="str">
        <f>IF(AV191="","",VLOOKUP(AV191,'G-1 All Habitats'!$B$2:$M$135,10,FALSE))</f>
        <v/>
      </c>
      <c r="J191" s="291" t="str">
        <f>IFERROR(VLOOKUP(I191,'G-1 All Habitats'!$V$3:$W$7,2,FALSE),"")</f>
        <v/>
      </c>
      <c r="K191" s="38"/>
      <c r="L191" s="291" t="str">
        <f>IFERROR(INDEX('G-8 Condition Look up'!$A$3:$H$135,MATCH(AV191,'G-8 Condition Look up'!$A$3:$A$135,0),MATCH(K191,'G-8 Condition Look up'!$A$3:$H$3,0)),"")</f>
        <v/>
      </c>
      <c r="M191" s="38"/>
      <c r="N191" s="310" t="str">
        <f>IF(M191="","",IF(VLOOKUP(M191,'G-3 Multipliers'!$L$3:$N$6,2,FALSE)=0,"Spatial Data Missing",VLOOKUP(M191,'G-3 Multipliers'!$L$3:$N$6,2,FALSE)))</f>
        <v/>
      </c>
      <c r="O191" s="296" t="str">
        <f>IF(M191="","",IF(VLOOKUP(M191,'G-3 Multipliers'!$L$3:$N$6,3,FALSE)=0,"Spatial Data Missing ▲",VLOOKUP(M191,'G-3 Multipliers'!$L$3:$N$6,3,FALSE)))</f>
        <v/>
      </c>
      <c r="P191" s="297" t="str">
        <f>(IF(G191="Yes","Bespoke compensation likely to be required 🛠",(IFERROR(VLOOKUP(AV191,'G-1 All Habitats'!$B$2:$M$135,12,FALSE),""))))</f>
        <v/>
      </c>
      <c r="Q191" s="304" t="str">
        <f>IFERROR(IF(AND(E191="Individual trees",T191&gt;0), "Error - you cannot enhance individual trees ▲", (IF(AND(U191="Irreplaceable habitat - no units generated ⚠",(S191+T191)&lt;H191, OR(Y191="No", Y191="")),"Any Loss Unacceptable ⚠", (IF(U191="Irreplaceable habitat - no units generated ⚠", T191*J191*L191*O191, IF(AND(P191='G-1 All Habitats'!$X$3, AC191&gt;0, S191&lt;=0, T191&lt;=0, OR(Y191="No", Y191="")),"Any Loss Unacceptable ⚠", IF(AND(P191='G-1 All Habitats'!$X$3, AC191&gt;0, S191&lt;=0, T191&lt;=0, Y191="Yes"), 0, (IF(AND(P191='G-1 All Habitats'!$X$3,(S191+T191)&lt;H191, OR(Y191="No", Y191="")),"Any Loss Unacceptable ⚠", (IF(P191="","",IF(AND(P191='G-1 All Habitats'!$X$3,T191&gt;0),U191+V191,IF(AND(P191='G-1 All Habitats'!$X$3,S191&gt;0),U191+V191,H191*J191*L191*O191))))))))))))),"Check Data ▲")</f>
        <v/>
      </c>
      <c r="R191" s="23"/>
      <c r="S191" s="38"/>
      <c r="T191" s="39"/>
      <c r="U191" s="302" t="str">
        <f t="shared" si="13"/>
        <v/>
      </c>
      <c r="V191" s="302" t="str">
        <f t="shared" si="14"/>
        <v/>
      </c>
      <c r="W191" s="302" t="str">
        <f>IF(E191="","",IF(H191&lt;S191+T191,"Error in Areas ▲",IF(P191&lt;&gt;'G-1 All Habitats'!$X$3,H191-S191-T191,IF(AND(P191='G-1 All Habitats'!$X$3,Y191="No"),AC191,IF(AND(P191='G-1 All Habitats'!$X$3,Y191=""),AC191,IF(AND(P191='G-1 All Habitats'!$X$3,AC191="None"),AC191,IF(AND(P191='G-1 All Habitats'!$X$3,AC191&gt;0),H191-S191-T191)))))))</f>
        <v/>
      </c>
      <c r="X191" s="306" t="str">
        <f>IFERROR(IF(H191="","",IF(H191-S191-T191=0&lt;0,"Error in Areas ▲",IF(S191+T191&gt;H191,"Error in Areas ▲",IF(AND(P191='G-1 All Habitats'!$X$3,Y191="Yes"),"Alternative Compensation ✓",IF(W191=0,0,IF(P191='G-1 All Habitats'!$X$3,"Any Loss Unacceptable ▲",Q191-U191-V191)))))),"Check Data ▲")</f>
        <v/>
      </c>
      <c r="Y191" s="39"/>
      <c r="Z191" s="46"/>
      <c r="AA191" s="419"/>
      <c r="AB191" s="101"/>
      <c r="AC191" s="495" t="str">
        <f>IF(OR(P191="", Y191="Yes"),"", IF(P191='G-1 All Habitats'!$X$3,H191-S191-T191,"None"))</f>
        <v/>
      </c>
      <c r="AD191" s="496" t="str">
        <f>IF(P191="","", IF(P191='G-1 All Habitats'!$X$3, AC191*J191*L191*O191,"None"))</f>
        <v/>
      </c>
      <c r="AE191" s="20" t="str">
        <f t="shared" si="15"/>
        <v/>
      </c>
      <c r="AF191" s="25" t="str">
        <f t="shared" si="16"/>
        <v/>
      </c>
      <c r="AG191" s="25" t="str">
        <f t="shared" si="12"/>
        <v/>
      </c>
      <c r="AH191" s="25" t="str">
        <f>IF(I191="","",IF(#REF!&gt;0,TRUE,FALSE))</f>
        <v/>
      </c>
      <c r="AI191" s="25">
        <v>181</v>
      </c>
      <c r="AJ191" s="25"/>
      <c r="AK191" s="25" t="str">
        <f t="array" ref="AK191">IFERROR(INDEX($AI$11:$AI$259, MATCH(0, IF(TRUE=$AF$11:$AF$259, COUNTIF($AK$10:$AK190, $AI$11:$AI$259), ""), 0)),"")</f>
        <v/>
      </c>
      <c r="AL191" s="25" t="str">
        <f t="array" ref="AL191">IFERROR(INDEX($AI$11:$AI$259, MATCH(0, IF(TRUE=$AG$11:$AG$259, COUNTIF($AL$10:$AL190, $AI$11:$AI$259), ""), 0)),"")</f>
        <v/>
      </c>
      <c r="AM191" s="25" t="str">
        <f t="array" ref="AM191">IFERROR(INDEX($AI$11:$AI$259, MATCH(0, IF(TRUE=$AH$11:$AH$259, COUNTIF($AM$10:$AM190, $AI$11:$AI$259), ""), 0)),"")</f>
        <v/>
      </c>
      <c r="AN191" s="25"/>
      <c r="AQ191" s="20">
        <f t="shared" si="17"/>
        <v>0</v>
      </c>
      <c r="AV191" s="540" t="str">
        <f>IFERROR(INDEX('G-1 All Habitats'!$B$3:$B$135,MATCH(F191,'G-1 All Habitats'!$A$3:$A$135,0)),"")</f>
        <v/>
      </c>
      <c r="AW191" s="20" t="str">
        <f>IF(AV191="","",VLOOKUP(AV191,'G-1 All Habitats'!$B$1:$T$135,19,FALSE))</f>
        <v/>
      </c>
    </row>
    <row r="192" spans="1:49" ht="14.5" thickBot="1" x14ac:dyDescent="0.35">
      <c r="A192" s="20" t="str">
        <f>IFERROR(INDEX('G-1 All Habitats'!$AG$3:$AG$17,MATCH(E192,'G-1 All Habitats'!$AF$3:$AF$17,0)),"")</f>
        <v/>
      </c>
      <c r="B192" s="20" t="str">
        <f>IFERROR(INDEX('G-8 Condition Look up'!$I$4:$I$135,MATCH(AV192,'G-8 Condition Look up'!$A$4:$A$135,0)),"")</f>
        <v/>
      </c>
      <c r="D192" s="238">
        <v>182</v>
      </c>
      <c r="E192" s="223"/>
      <c r="F192" s="45"/>
      <c r="G192" s="272"/>
      <c r="H192" s="37"/>
      <c r="I192" s="290" t="str">
        <f>IF(AV192="","",VLOOKUP(AV192,'G-1 All Habitats'!$B$2:$M$135,10,FALSE))</f>
        <v/>
      </c>
      <c r="J192" s="291" t="str">
        <f>IFERROR(VLOOKUP(I192,'G-1 All Habitats'!$V$3:$W$7,2,FALSE),"")</f>
        <v/>
      </c>
      <c r="K192" s="38"/>
      <c r="L192" s="291" t="str">
        <f>IFERROR(INDEX('G-8 Condition Look up'!$A$3:$H$135,MATCH(AV192,'G-8 Condition Look up'!$A$3:$A$135,0),MATCH(K192,'G-8 Condition Look up'!$A$3:$H$3,0)),"")</f>
        <v/>
      </c>
      <c r="M192" s="38"/>
      <c r="N192" s="310" t="str">
        <f>IF(M192="","",IF(VLOOKUP(M192,'G-3 Multipliers'!$L$3:$N$6,2,FALSE)=0,"Spatial Data Missing",VLOOKUP(M192,'G-3 Multipliers'!$L$3:$N$6,2,FALSE)))</f>
        <v/>
      </c>
      <c r="O192" s="296" t="str">
        <f>IF(M192="","",IF(VLOOKUP(M192,'G-3 Multipliers'!$L$3:$N$6,3,FALSE)=0,"Spatial Data Missing ▲",VLOOKUP(M192,'G-3 Multipliers'!$L$3:$N$6,3,FALSE)))</f>
        <v/>
      </c>
      <c r="P192" s="297" t="str">
        <f>(IF(G192="Yes","Bespoke compensation likely to be required 🛠",(IFERROR(VLOOKUP(AV192,'G-1 All Habitats'!$B$2:$M$135,12,FALSE),""))))</f>
        <v/>
      </c>
      <c r="Q192" s="304" t="str">
        <f>IFERROR(IF(AND(E192="Individual trees",T192&gt;0), "Error - you cannot enhance individual trees ▲", (IF(AND(U192="Irreplaceable habitat - no units generated ⚠",(S192+T192)&lt;H192, OR(Y192="No", Y192="")),"Any Loss Unacceptable ⚠", (IF(U192="Irreplaceable habitat - no units generated ⚠", T192*J192*L192*O192, IF(AND(P192='G-1 All Habitats'!$X$3, AC192&gt;0, S192&lt;=0, T192&lt;=0, OR(Y192="No", Y192="")),"Any Loss Unacceptable ⚠", IF(AND(P192='G-1 All Habitats'!$X$3, AC192&gt;0, S192&lt;=0, T192&lt;=0, Y192="Yes"), 0, (IF(AND(P192='G-1 All Habitats'!$X$3,(S192+T192)&lt;H192, OR(Y192="No", Y192="")),"Any Loss Unacceptable ⚠", (IF(P192="","",IF(AND(P192='G-1 All Habitats'!$X$3,T192&gt;0),U192+V192,IF(AND(P192='G-1 All Habitats'!$X$3,S192&gt;0),U192+V192,H192*J192*L192*O192))))))))))))),"Check Data ▲")</f>
        <v/>
      </c>
      <c r="R192" s="23"/>
      <c r="S192" s="38"/>
      <c r="T192" s="39"/>
      <c r="U192" s="302" t="str">
        <f t="shared" si="13"/>
        <v/>
      </c>
      <c r="V192" s="302" t="str">
        <f t="shared" si="14"/>
        <v/>
      </c>
      <c r="W192" s="302" t="str">
        <f>IF(E192="","",IF(H192&lt;S192+T192,"Error in Areas ▲",IF(P192&lt;&gt;'G-1 All Habitats'!$X$3,H192-S192-T192,IF(AND(P192='G-1 All Habitats'!$X$3,Y192="No"),AC192,IF(AND(P192='G-1 All Habitats'!$X$3,Y192=""),AC192,IF(AND(P192='G-1 All Habitats'!$X$3,AC192="None"),AC192,IF(AND(P192='G-1 All Habitats'!$X$3,AC192&gt;0),H192-S192-T192)))))))</f>
        <v/>
      </c>
      <c r="X192" s="306" t="str">
        <f>IFERROR(IF(H192="","",IF(H192-S192-T192=0&lt;0,"Error in Areas ▲",IF(S192+T192&gt;H192,"Error in Areas ▲",IF(AND(P192='G-1 All Habitats'!$X$3,Y192="Yes"),"Alternative Compensation ✓",IF(W192=0,0,IF(P192='G-1 All Habitats'!$X$3,"Any Loss Unacceptable ▲",Q192-U192-V192)))))),"Check Data ▲")</f>
        <v/>
      </c>
      <c r="Y192" s="39"/>
      <c r="Z192" s="46"/>
      <c r="AA192" s="419"/>
      <c r="AB192" s="101"/>
      <c r="AC192" s="495" t="str">
        <f>IF(OR(P192="", Y192="Yes"),"", IF(P192='G-1 All Habitats'!$X$3,H192-S192-T192,"None"))</f>
        <v/>
      </c>
      <c r="AD192" s="496" t="str">
        <f>IF(P192="","", IF(P192='G-1 All Habitats'!$X$3, AC192*J192*L192*O192,"None"))</f>
        <v/>
      </c>
      <c r="AE192" s="20" t="str">
        <f t="shared" si="15"/>
        <v/>
      </c>
      <c r="AF192" s="25" t="str">
        <f t="shared" si="16"/>
        <v/>
      </c>
      <c r="AG192" s="25" t="str">
        <f t="shared" si="12"/>
        <v/>
      </c>
      <c r="AH192" s="25" t="str">
        <f>IF(I192="","",IF(#REF!&gt;0,TRUE,FALSE))</f>
        <v/>
      </c>
      <c r="AI192" s="25">
        <v>182</v>
      </c>
      <c r="AJ192" s="25"/>
      <c r="AK192" s="25" t="str">
        <f t="array" ref="AK192">IFERROR(INDEX($AI$11:$AI$259, MATCH(0, IF(TRUE=$AF$11:$AF$259, COUNTIF($AK$10:$AK191, $AI$11:$AI$259), ""), 0)),"")</f>
        <v/>
      </c>
      <c r="AL192" s="25" t="str">
        <f t="array" ref="AL192">IFERROR(INDEX($AI$11:$AI$259, MATCH(0, IF(TRUE=$AG$11:$AG$259, COUNTIF($AL$10:$AL191, $AI$11:$AI$259), ""), 0)),"")</f>
        <v/>
      </c>
      <c r="AM192" s="25" t="str">
        <f t="array" ref="AM192">IFERROR(INDEX($AI$11:$AI$259, MATCH(0, IF(TRUE=$AH$11:$AH$259, COUNTIF($AM$10:$AM191, $AI$11:$AI$259), ""), 0)),"")</f>
        <v/>
      </c>
      <c r="AN192" s="25"/>
      <c r="AQ192" s="20">
        <f t="shared" si="17"/>
        <v>0</v>
      </c>
      <c r="AV192" s="540" t="str">
        <f>IFERROR(INDEX('G-1 All Habitats'!$B$3:$B$135,MATCH(F192,'G-1 All Habitats'!$A$3:$A$135,0)),"")</f>
        <v/>
      </c>
      <c r="AW192" s="20" t="str">
        <f>IF(AV192="","",VLOOKUP(AV192,'G-1 All Habitats'!$B$1:$T$135,19,FALSE))</f>
        <v/>
      </c>
    </row>
    <row r="193" spans="1:49" ht="14.5" thickBot="1" x14ac:dyDescent="0.35">
      <c r="A193" s="20" t="str">
        <f>IFERROR(INDEX('G-1 All Habitats'!$AG$3:$AG$17,MATCH(E193,'G-1 All Habitats'!$AF$3:$AF$17,0)),"")</f>
        <v/>
      </c>
      <c r="B193" s="20" t="str">
        <f>IFERROR(INDEX('G-8 Condition Look up'!$I$4:$I$135,MATCH(AV193,'G-8 Condition Look up'!$A$4:$A$135,0)),"")</f>
        <v/>
      </c>
      <c r="D193" s="238">
        <v>183</v>
      </c>
      <c r="E193" s="223"/>
      <c r="F193" s="45"/>
      <c r="G193" s="272"/>
      <c r="H193" s="37"/>
      <c r="I193" s="290" t="str">
        <f>IF(AV193="","",VLOOKUP(AV193,'G-1 All Habitats'!$B$2:$M$135,10,FALSE))</f>
        <v/>
      </c>
      <c r="J193" s="291" t="str">
        <f>IFERROR(VLOOKUP(I193,'G-1 All Habitats'!$V$3:$W$7,2,FALSE),"")</f>
        <v/>
      </c>
      <c r="K193" s="38"/>
      <c r="L193" s="291" t="str">
        <f>IFERROR(INDEX('G-8 Condition Look up'!$A$3:$H$135,MATCH(AV193,'G-8 Condition Look up'!$A$3:$A$135,0),MATCH(K193,'G-8 Condition Look up'!$A$3:$H$3,0)),"")</f>
        <v/>
      </c>
      <c r="M193" s="38"/>
      <c r="N193" s="310" t="str">
        <f>IF(M193="","",IF(VLOOKUP(M193,'G-3 Multipliers'!$L$3:$N$6,2,FALSE)=0,"Spatial Data Missing",VLOOKUP(M193,'G-3 Multipliers'!$L$3:$N$6,2,FALSE)))</f>
        <v/>
      </c>
      <c r="O193" s="296" t="str">
        <f>IF(M193="","",IF(VLOOKUP(M193,'G-3 Multipliers'!$L$3:$N$6,3,FALSE)=0,"Spatial Data Missing ▲",VLOOKUP(M193,'G-3 Multipliers'!$L$3:$N$6,3,FALSE)))</f>
        <v/>
      </c>
      <c r="P193" s="297" t="str">
        <f>(IF(G193="Yes","Bespoke compensation likely to be required 🛠",(IFERROR(VLOOKUP(AV193,'G-1 All Habitats'!$B$2:$M$135,12,FALSE),""))))</f>
        <v/>
      </c>
      <c r="Q193" s="304" t="str">
        <f>IFERROR(IF(AND(E193="Individual trees",T193&gt;0), "Error - you cannot enhance individual trees ▲", (IF(AND(U193="Irreplaceable habitat - no units generated ⚠",(S193+T193)&lt;H193, OR(Y193="No", Y193="")),"Any Loss Unacceptable ⚠", (IF(U193="Irreplaceable habitat - no units generated ⚠", T193*J193*L193*O193, IF(AND(P193='G-1 All Habitats'!$X$3, AC193&gt;0, S193&lt;=0, T193&lt;=0, OR(Y193="No", Y193="")),"Any Loss Unacceptable ⚠", IF(AND(P193='G-1 All Habitats'!$X$3, AC193&gt;0, S193&lt;=0, T193&lt;=0, Y193="Yes"), 0, (IF(AND(P193='G-1 All Habitats'!$X$3,(S193+T193)&lt;H193, OR(Y193="No", Y193="")),"Any Loss Unacceptable ⚠", (IF(P193="","",IF(AND(P193='G-1 All Habitats'!$X$3,T193&gt;0),U193+V193,IF(AND(P193='G-1 All Habitats'!$X$3,S193&gt;0),U193+V193,H193*J193*L193*O193))))))))))))),"Check Data ▲")</f>
        <v/>
      </c>
      <c r="R193" s="23"/>
      <c r="S193" s="38"/>
      <c r="T193" s="39"/>
      <c r="U193" s="302" t="str">
        <f t="shared" si="13"/>
        <v/>
      </c>
      <c r="V193" s="302" t="str">
        <f t="shared" si="14"/>
        <v/>
      </c>
      <c r="W193" s="302" t="str">
        <f>IF(E193="","",IF(H193&lt;S193+T193,"Error in Areas ▲",IF(P193&lt;&gt;'G-1 All Habitats'!$X$3,H193-S193-T193,IF(AND(P193='G-1 All Habitats'!$X$3,Y193="No"),AC193,IF(AND(P193='G-1 All Habitats'!$X$3,Y193=""),AC193,IF(AND(P193='G-1 All Habitats'!$X$3,AC193="None"),AC193,IF(AND(P193='G-1 All Habitats'!$X$3,AC193&gt;0),H193-S193-T193)))))))</f>
        <v/>
      </c>
      <c r="X193" s="306" t="str">
        <f>IFERROR(IF(H193="","",IF(H193-S193-T193=0&lt;0,"Error in Areas ▲",IF(S193+T193&gt;H193,"Error in Areas ▲",IF(AND(P193='G-1 All Habitats'!$X$3,Y193="Yes"),"Alternative Compensation ✓",IF(W193=0,0,IF(P193='G-1 All Habitats'!$X$3,"Any Loss Unacceptable ▲",Q193-U193-V193)))))),"Check Data ▲")</f>
        <v/>
      </c>
      <c r="Y193" s="39"/>
      <c r="Z193" s="46"/>
      <c r="AA193" s="419"/>
      <c r="AB193" s="101"/>
      <c r="AC193" s="495" t="str">
        <f>IF(OR(P193="", Y193="Yes"),"", IF(P193='G-1 All Habitats'!$X$3,H193-S193-T193,"None"))</f>
        <v/>
      </c>
      <c r="AD193" s="496" t="str">
        <f>IF(P193="","", IF(P193='G-1 All Habitats'!$X$3, AC193*J193*L193*O193,"None"))</f>
        <v/>
      </c>
      <c r="AE193" s="20" t="str">
        <f t="shared" si="15"/>
        <v/>
      </c>
      <c r="AF193" s="25" t="str">
        <f t="shared" si="16"/>
        <v/>
      </c>
      <c r="AG193" s="25" t="str">
        <f t="shared" si="12"/>
        <v/>
      </c>
      <c r="AH193" s="25" t="str">
        <f>IF(I193="","",IF(#REF!&gt;0,TRUE,FALSE))</f>
        <v/>
      </c>
      <c r="AI193" s="25">
        <v>183</v>
      </c>
      <c r="AJ193" s="25"/>
      <c r="AK193" s="25" t="str">
        <f t="array" ref="AK193">IFERROR(INDEX($AI$11:$AI$259, MATCH(0, IF(TRUE=$AF$11:$AF$259, COUNTIF($AK$10:$AK192, $AI$11:$AI$259), ""), 0)),"")</f>
        <v/>
      </c>
      <c r="AL193" s="25" t="str">
        <f t="array" ref="AL193">IFERROR(INDEX($AI$11:$AI$259, MATCH(0, IF(TRUE=$AG$11:$AG$259, COUNTIF($AL$10:$AL192, $AI$11:$AI$259), ""), 0)),"")</f>
        <v/>
      </c>
      <c r="AM193" s="25" t="str">
        <f t="array" ref="AM193">IFERROR(INDEX($AI$11:$AI$259, MATCH(0, IF(TRUE=$AH$11:$AH$259, COUNTIF($AM$10:$AM192, $AI$11:$AI$259), ""), 0)),"")</f>
        <v/>
      </c>
      <c r="AN193" s="25"/>
      <c r="AQ193" s="20">
        <f t="shared" si="17"/>
        <v>0</v>
      </c>
      <c r="AV193" s="540" t="str">
        <f>IFERROR(INDEX('G-1 All Habitats'!$B$3:$B$135,MATCH(F193,'G-1 All Habitats'!$A$3:$A$135,0)),"")</f>
        <v/>
      </c>
      <c r="AW193" s="20" t="str">
        <f>IF(AV193="","",VLOOKUP(AV193,'G-1 All Habitats'!$B$1:$T$135,19,FALSE))</f>
        <v/>
      </c>
    </row>
    <row r="194" spans="1:49" ht="14.5" thickBot="1" x14ac:dyDescent="0.35">
      <c r="A194" s="20" t="str">
        <f>IFERROR(INDEX('G-1 All Habitats'!$AG$3:$AG$17,MATCH(E194,'G-1 All Habitats'!$AF$3:$AF$17,0)),"")</f>
        <v/>
      </c>
      <c r="B194" s="20" t="str">
        <f>IFERROR(INDEX('G-8 Condition Look up'!$I$4:$I$135,MATCH(AV194,'G-8 Condition Look up'!$A$4:$A$135,0)),"")</f>
        <v/>
      </c>
      <c r="D194" s="238">
        <v>184</v>
      </c>
      <c r="E194" s="223"/>
      <c r="F194" s="45"/>
      <c r="G194" s="272"/>
      <c r="H194" s="37"/>
      <c r="I194" s="290" t="str">
        <f>IF(AV194="","",VLOOKUP(AV194,'G-1 All Habitats'!$B$2:$M$135,10,FALSE))</f>
        <v/>
      </c>
      <c r="J194" s="291" t="str">
        <f>IFERROR(VLOOKUP(I194,'G-1 All Habitats'!$V$3:$W$7,2,FALSE),"")</f>
        <v/>
      </c>
      <c r="K194" s="38"/>
      <c r="L194" s="291" t="str">
        <f>IFERROR(INDEX('G-8 Condition Look up'!$A$3:$H$135,MATCH(AV194,'G-8 Condition Look up'!$A$3:$A$135,0),MATCH(K194,'G-8 Condition Look up'!$A$3:$H$3,0)),"")</f>
        <v/>
      </c>
      <c r="M194" s="38"/>
      <c r="N194" s="310" t="str">
        <f>IF(M194="","",IF(VLOOKUP(M194,'G-3 Multipliers'!$L$3:$N$6,2,FALSE)=0,"Spatial Data Missing",VLOOKUP(M194,'G-3 Multipliers'!$L$3:$N$6,2,FALSE)))</f>
        <v/>
      </c>
      <c r="O194" s="296" t="str">
        <f>IF(M194="","",IF(VLOOKUP(M194,'G-3 Multipliers'!$L$3:$N$6,3,FALSE)=0,"Spatial Data Missing ▲",VLOOKUP(M194,'G-3 Multipliers'!$L$3:$N$6,3,FALSE)))</f>
        <v/>
      </c>
      <c r="P194" s="297" t="str">
        <f>(IF(G194="Yes","Bespoke compensation likely to be required 🛠",(IFERROR(VLOOKUP(AV194,'G-1 All Habitats'!$B$2:$M$135,12,FALSE),""))))</f>
        <v/>
      </c>
      <c r="Q194" s="304" t="str">
        <f>IFERROR(IF(AND(E194="Individual trees",T194&gt;0), "Error - you cannot enhance individual trees ▲", (IF(AND(U194="Irreplaceable habitat - no units generated ⚠",(S194+T194)&lt;H194, OR(Y194="No", Y194="")),"Any Loss Unacceptable ⚠", (IF(U194="Irreplaceable habitat - no units generated ⚠", T194*J194*L194*O194, IF(AND(P194='G-1 All Habitats'!$X$3, AC194&gt;0, S194&lt;=0, T194&lt;=0, OR(Y194="No", Y194="")),"Any Loss Unacceptable ⚠", IF(AND(P194='G-1 All Habitats'!$X$3, AC194&gt;0, S194&lt;=0, T194&lt;=0, Y194="Yes"), 0, (IF(AND(P194='G-1 All Habitats'!$X$3,(S194+T194)&lt;H194, OR(Y194="No", Y194="")),"Any Loss Unacceptable ⚠", (IF(P194="","",IF(AND(P194='G-1 All Habitats'!$X$3,T194&gt;0),U194+V194,IF(AND(P194='G-1 All Habitats'!$X$3,S194&gt;0),U194+V194,H194*J194*L194*O194))))))))))))),"Check Data ▲")</f>
        <v/>
      </c>
      <c r="R194" s="23"/>
      <c r="S194" s="38"/>
      <c r="T194" s="39"/>
      <c r="U194" s="302" t="str">
        <f t="shared" si="13"/>
        <v/>
      </c>
      <c r="V194" s="302" t="str">
        <f t="shared" si="14"/>
        <v/>
      </c>
      <c r="W194" s="302" t="str">
        <f>IF(E194="","",IF(H194&lt;S194+T194,"Error in Areas ▲",IF(P194&lt;&gt;'G-1 All Habitats'!$X$3,H194-S194-T194,IF(AND(P194='G-1 All Habitats'!$X$3,Y194="No"),AC194,IF(AND(P194='G-1 All Habitats'!$X$3,Y194=""),AC194,IF(AND(P194='G-1 All Habitats'!$X$3,AC194="None"),AC194,IF(AND(P194='G-1 All Habitats'!$X$3,AC194&gt;0),H194-S194-T194)))))))</f>
        <v/>
      </c>
      <c r="X194" s="306" t="str">
        <f>IFERROR(IF(H194="","",IF(H194-S194-T194=0&lt;0,"Error in Areas ▲",IF(S194+T194&gt;H194,"Error in Areas ▲",IF(AND(P194='G-1 All Habitats'!$X$3,Y194="Yes"),"Alternative Compensation ✓",IF(W194=0,0,IF(P194='G-1 All Habitats'!$X$3,"Any Loss Unacceptable ▲",Q194-U194-V194)))))),"Check Data ▲")</f>
        <v/>
      </c>
      <c r="Y194" s="39"/>
      <c r="Z194" s="46"/>
      <c r="AA194" s="419"/>
      <c r="AB194" s="101"/>
      <c r="AC194" s="495" t="str">
        <f>IF(OR(P194="", Y194="Yes"),"", IF(P194='G-1 All Habitats'!$X$3,H194-S194-T194,"None"))</f>
        <v/>
      </c>
      <c r="AD194" s="496" t="str">
        <f>IF(P194="","", IF(P194='G-1 All Habitats'!$X$3, AC194*J194*L194*O194,"None"))</f>
        <v/>
      </c>
      <c r="AE194" s="20" t="str">
        <f t="shared" si="15"/>
        <v/>
      </c>
      <c r="AF194" s="25" t="str">
        <f t="shared" si="16"/>
        <v/>
      </c>
      <c r="AG194" s="25" t="str">
        <f t="shared" si="12"/>
        <v/>
      </c>
      <c r="AH194" s="25" t="str">
        <f>IF(I194="","",IF(#REF!&gt;0,TRUE,FALSE))</f>
        <v/>
      </c>
      <c r="AI194" s="25">
        <v>184</v>
      </c>
      <c r="AJ194" s="25"/>
      <c r="AK194" s="25" t="str">
        <f t="array" ref="AK194">IFERROR(INDEX($AI$11:$AI$259, MATCH(0, IF(TRUE=$AF$11:$AF$259, COUNTIF($AK$10:$AK193, $AI$11:$AI$259), ""), 0)),"")</f>
        <v/>
      </c>
      <c r="AL194" s="25" t="str">
        <f t="array" ref="AL194">IFERROR(INDEX($AI$11:$AI$259, MATCH(0, IF(TRUE=$AG$11:$AG$259, COUNTIF($AL$10:$AL193, $AI$11:$AI$259), ""), 0)),"")</f>
        <v/>
      </c>
      <c r="AM194" s="25" t="str">
        <f t="array" ref="AM194">IFERROR(INDEX($AI$11:$AI$259, MATCH(0, IF(TRUE=$AH$11:$AH$259, COUNTIF($AM$10:$AM193, $AI$11:$AI$259), ""), 0)),"")</f>
        <v/>
      </c>
      <c r="AN194" s="25"/>
      <c r="AQ194" s="20">
        <f t="shared" si="17"/>
        <v>0</v>
      </c>
      <c r="AV194" s="540" t="str">
        <f>IFERROR(INDEX('G-1 All Habitats'!$B$3:$B$135,MATCH(F194,'G-1 All Habitats'!$A$3:$A$135,0)),"")</f>
        <v/>
      </c>
      <c r="AW194" s="20" t="str">
        <f>IF(AV194="","",VLOOKUP(AV194,'G-1 All Habitats'!$B$1:$T$135,19,FALSE))</f>
        <v/>
      </c>
    </row>
    <row r="195" spans="1:49" ht="14.5" thickBot="1" x14ac:dyDescent="0.35">
      <c r="A195" s="20" t="str">
        <f>IFERROR(INDEX('G-1 All Habitats'!$AG$3:$AG$17,MATCH(E195,'G-1 All Habitats'!$AF$3:$AF$17,0)),"")</f>
        <v/>
      </c>
      <c r="B195" s="20" t="str">
        <f>IFERROR(INDEX('G-8 Condition Look up'!$I$4:$I$135,MATCH(AV195,'G-8 Condition Look up'!$A$4:$A$135,0)),"")</f>
        <v/>
      </c>
      <c r="D195" s="238">
        <v>185</v>
      </c>
      <c r="E195" s="223"/>
      <c r="F195" s="45"/>
      <c r="G195" s="272"/>
      <c r="H195" s="37"/>
      <c r="I195" s="290" t="str">
        <f>IF(AV195="","",VLOOKUP(AV195,'G-1 All Habitats'!$B$2:$M$135,10,FALSE))</f>
        <v/>
      </c>
      <c r="J195" s="291" t="str">
        <f>IFERROR(VLOOKUP(I195,'G-1 All Habitats'!$V$3:$W$7,2,FALSE),"")</f>
        <v/>
      </c>
      <c r="K195" s="38"/>
      <c r="L195" s="291" t="str">
        <f>IFERROR(INDEX('G-8 Condition Look up'!$A$3:$H$135,MATCH(AV195,'G-8 Condition Look up'!$A$3:$A$135,0),MATCH(K195,'G-8 Condition Look up'!$A$3:$H$3,0)),"")</f>
        <v/>
      </c>
      <c r="M195" s="38"/>
      <c r="N195" s="310" t="str">
        <f>IF(M195="","",IF(VLOOKUP(M195,'G-3 Multipliers'!$L$3:$N$6,2,FALSE)=0,"Spatial Data Missing",VLOOKUP(M195,'G-3 Multipliers'!$L$3:$N$6,2,FALSE)))</f>
        <v/>
      </c>
      <c r="O195" s="296" t="str">
        <f>IF(M195="","",IF(VLOOKUP(M195,'G-3 Multipliers'!$L$3:$N$6,3,FALSE)=0,"Spatial Data Missing ▲",VLOOKUP(M195,'G-3 Multipliers'!$L$3:$N$6,3,FALSE)))</f>
        <v/>
      </c>
      <c r="P195" s="297" t="str">
        <f>(IF(G195="Yes","Bespoke compensation likely to be required 🛠",(IFERROR(VLOOKUP(AV195,'G-1 All Habitats'!$B$2:$M$135,12,FALSE),""))))</f>
        <v/>
      </c>
      <c r="Q195" s="304" t="str">
        <f>IFERROR(IF(AND(E195="Individual trees",T195&gt;0), "Error - you cannot enhance individual trees ▲", (IF(AND(U195="Irreplaceable habitat - no units generated ⚠",(S195+T195)&lt;H195, OR(Y195="No", Y195="")),"Any Loss Unacceptable ⚠", (IF(U195="Irreplaceable habitat - no units generated ⚠", T195*J195*L195*O195, IF(AND(P195='G-1 All Habitats'!$X$3, AC195&gt;0, S195&lt;=0, T195&lt;=0, OR(Y195="No", Y195="")),"Any Loss Unacceptable ⚠", IF(AND(P195='G-1 All Habitats'!$X$3, AC195&gt;0, S195&lt;=0, T195&lt;=0, Y195="Yes"), 0, (IF(AND(P195='G-1 All Habitats'!$X$3,(S195+T195)&lt;H195, OR(Y195="No", Y195="")),"Any Loss Unacceptable ⚠", (IF(P195="","",IF(AND(P195='G-1 All Habitats'!$X$3,T195&gt;0),U195+V195,IF(AND(P195='G-1 All Habitats'!$X$3,S195&gt;0),U195+V195,H195*J195*L195*O195))))))))))))),"Check Data ▲")</f>
        <v/>
      </c>
      <c r="R195" s="23"/>
      <c r="S195" s="38"/>
      <c r="T195" s="39"/>
      <c r="U195" s="302" t="str">
        <f t="shared" si="13"/>
        <v/>
      </c>
      <c r="V195" s="302" t="str">
        <f t="shared" si="14"/>
        <v/>
      </c>
      <c r="W195" s="302" t="str">
        <f>IF(E195="","",IF(H195&lt;S195+T195,"Error in Areas ▲",IF(P195&lt;&gt;'G-1 All Habitats'!$X$3,H195-S195-T195,IF(AND(P195='G-1 All Habitats'!$X$3,Y195="No"),AC195,IF(AND(P195='G-1 All Habitats'!$X$3,Y195=""),AC195,IF(AND(P195='G-1 All Habitats'!$X$3,AC195="None"),AC195,IF(AND(P195='G-1 All Habitats'!$X$3,AC195&gt;0),H195-S195-T195)))))))</f>
        <v/>
      </c>
      <c r="X195" s="306" t="str">
        <f>IFERROR(IF(H195="","",IF(H195-S195-T195=0&lt;0,"Error in Areas ▲",IF(S195+T195&gt;H195,"Error in Areas ▲",IF(AND(P195='G-1 All Habitats'!$X$3,Y195="Yes"),"Alternative Compensation ✓",IF(W195=0,0,IF(P195='G-1 All Habitats'!$X$3,"Any Loss Unacceptable ▲",Q195-U195-V195)))))),"Check Data ▲")</f>
        <v/>
      </c>
      <c r="Y195" s="39"/>
      <c r="Z195" s="46"/>
      <c r="AA195" s="419"/>
      <c r="AB195" s="101"/>
      <c r="AC195" s="495" t="str">
        <f>IF(OR(P195="", Y195="Yes"),"", IF(P195='G-1 All Habitats'!$X$3,H195-S195-T195,"None"))</f>
        <v/>
      </c>
      <c r="AD195" s="496" t="str">
        <f>IF(P195="","", IF(P195='G-1 All Habitats'!$X$3, AC195*J195*L195*O195,"None"))</f>
        <v/>
      </c>
      <c r="AE195" s="20" t="str">
        <f t="shared" si="15"/>
        <v/>
      </c>
      <c r="AF195" s="25" t="str">
        <f t="shared" si="16"/>
        <v/>
      </c>
      <c r="AG195" s="25" t="str">
        <f t="shared" si="12"/>
        <v/>
      </c>
      <c r="AH195" s="25" t="str">
        <f>IF(I195="","",IF(#REF!&gt;0,TRUE,FALSE))</f>
        <v/>
      </c>
      <c r="AI195" s="25">
        <v>185</v>
      </c>
      <c r="AJ195" s="25"/>
      <c r="AK195" s="25" t="str">
        <f t="array" ref="AK195">IFERROR(INDEX($AI$11:$AI$259, MATCH(0, IF(TRUE=$AF$11:$AF$259, COUNTIF($AK$10:$AK194, $AI$11:$AI$259), ""), 0)),"")</f>
        <v/>
      </c>
      <c r="AL195" s="25" t="str">
        <f t="array" ref="AL195">IFERROR(INDEX($AI$11:$AI$259, MATCH(0, IF(TRUE=$AG$11:$AG$259, COUNTIF($AL$10:$AL194, $AI$11:$AI$259), ""), 0)),"")</f>
        <v/>
      </c>
      <c r="AM195" s="25" t="str">
        <f t="array" ref="AM195">IFERROR(INDEX($AI$11:$AI$259, MATCH(0, IF(TRUE=$AH$11:$AH$259, COUNTIF($AM$10:$AM194, $AI$11:$AI$259), ""), 0)),"")</f>
        <v/>
      </c>
      <c r="AN195" s="25"/>
      <c r="AQ195" s="20">
        <f t="shared" si="17"/>
        <v>0</v>
      </c>
      <c r="AV195" s="540" t="str">
        <f>IFERROR(INDEX('G-1 All Habitats'!$B$3:$B$135,MATCH(F195,'G-1 All Habitats'!$A$3:$A$135,0)),"")</f>
        <v/>
      </c>
      <c r="AW195" s="20" t="str">
        <f>IF(AV195="","",VLOOKUP(AV195,'G-1 All Habitats'!$B$1:$T$135,19,FALSE))</f>
        <v/>
      </c>
    </row>
    <row r="196" spans="1:49" ht="14.5" thickBot="1" x14ac:dyDescent="0.35">
      <c r="A196" s="20" t="str">
        <f>IFERROR(INDEX('G-1 All Habitats'!$AG$3:$AG$17,MATCH(E196,'G-1 All Habitats'!$AF$3:$AF$17,0)),"")</f>
        <v/>
      </c>
      <c r="B196" s="20" t="str">
        <f>IFERROR(INDEX('G-8 Condition Look up'!$I$4:$I$135,MATCH(AV196,'G-8 Condition Look up'!$A$4:$A$135,0)),"")</f>
        <v/>
      </c>
      <c r="D196" s="238">
        <v>186</v>
      </c>
      <c r="E196" s="223"/>
      <c r="F196" s="45"/>
      <c r="G196" s="272"/>
      <c r="H196" s="37"/>
      <c r="I196" s="290" t="str">
        <f>IF(AV196="","",VLOOKUP(AV196,'G-1 All Habitats'!$B$2:$M$135,10,FALSE))</f>
        <v/>
      </c>
      <c r="J196" s="291" t="str">
        <f>IFERROR(VLOOKUP(I196,'G-1 All Habitats'!$V$3:$W$7,2,FALSE),"")</f>
        <v/>
      </c>
      <c r="K196" s="38"/>
      <c r="L196" s="291" t="str">
        <f>IFERROR(INDEX('G-8 Condition Look up'!$A$3:$H$135,MATCH(AV196,'G-8 Condition Look up'!$A$3:$A$135,0),MATCH(K196,'G-8 Condition Look up'!$A$3:$H$3,0)),"")</f>
        <v/>
      </c>
      <c r="M196" s="38"/>
      <c r="N196" s="310" t="str">
        <f>IF(M196="","",IF(VLOOKUP(M196,'G-3 Multipliers'!$L$3:$N$6,2,FALSE)=0,"Spatial Data Missing",VLOOKUP(M196,'G-3 Multipliers'!$L$3:$N$6,2,FALSE)))</f>
        <v/>
      </c>
      <c r="O196" s="296" t="str">
        <f>IF(M196="","",IF(VLOOKUP(M196,'G-3 Multipliers'!$L$3:$N$6,3,FALSE)=0,"Spatial Data Missing ▲",VLOOKUP(M196,'G-3 Multipliers'!$L$3:$N$6,3,FALSE)))</f>
        <v/>
      </c>
      <c r="P196" s="297" t="str">
        <f>(IF(G196="Yes","Bespoke compensation likely to be required 🛠",(IFERROR(VLOOKUP(AV196,'G-1 All Habitats'!$B$2:$M$135,12,FALSE),""))))</f>
        <v/>
      </c>
      <c r="Q196" s="304" t="str">
        <f>IFERROR(IF(AND(E196="Individual trees",T196&gt;0), "Error - you cannot enhance individual trees ▲", (IF(AND(U196="Irreplaceable habitat - no units generated ⚠",(S196+T196)&lt;H196, OR(Y196="No", Y196="")),"Any Loss Unacceptable ⚠", (IF(U196="Irreplaceable habitat - no units generated ⚠", T196*J196*L196*O196, IF(AND(P196='G-1 All Habitats'!$X$3, AC196&gt;0, S196&lt;=0, T196&lt;=0, OR(Y196="No", Y196="")),"Any Loss Unacceptable ⚠", IF(AND(P196='G-1 All Habitats'!$X$3, AC196&gt;0, S196&lt;=0, T196&lt;=0, Y196="Yes"), 0, (IF(AND(P196='G-1 All Habitats'!$X$3,(S196+T196)&lt;H196, OR(Y196="No", Y196="")),"Any Loss Unacceptable ⚠", (IF(P196="","",IF(AND(P196='G-1 All Habitats'!$X$3,T196&gt;0),U196+V196,IF(AND(P196='G-1 All Habitats'!$X$3,S196&gt;0),U196+V196,H196*J196*L196*O196))))))))))))),"Check Data ▲")</f>
        <v/>
      </c>
      <c r="R196" s="23"/>
      <c r="S196" s="38"/>
      <c r="T196" s="39"/>
      <c r="U196" s="302" t="str">
        <f t="shared" si="13"/>
        <v/>
      </c>
      <c r="V196" s="302" t="str">
        <f t="shared" si="14"/>
        <v/>
      </c>
      <c r="W196" s="302" t="str">
        <f>IF(E196="","",IF(H196&lt;S196+T196,"Error in Areas ▲",IF(P196&lt;&gt;'G-1 All Habitats'!$X$3,H196-S196-T196,IF(AND(P196='G-1 All Habitats'!$X$3,Y196="No"),AC196,IF(AND(P196='G-1 All Habitats'!$X$3,Y196=""),AC196,IF(AND(P196='G-1 All Habitats'!$X$3,AC196="None"),AC196,IF(AND(P196='G-1 All Habitats'!$X$3,AC196&gt;0),H196-S196-T196)))))))</f>
        <v/>
      </c>
      <c r="X196" s="306" t="str">
        <f>IFERROR(IF(H196="","",IF(H196-S196-T196=0&lt;0,"Error in Areas ▲",IF(S196+T196&gt;H196,"Error in Areas ▲",IF(AND(P196='G-1 All Habitats'!$X$3,Y196="Yes"),"Alternative Compensation ✓",IF(W196=0,0,IF(P196='G-1 All Habitats'!$X$3,"Any Loss Unacceptable ▲",Q196-U196-V196)))))),"Check Data ▲")</f>
        <v/>
      </c>
      <c r="Y196" s="39"/>
      <c r="Z196" s="46"/>
      <c r="AA196" s="419"/>
      <c r="AB196" s="101"/>
      <c r="AC196" s="495" t="str">
        <f>IF(OR(P196="", Y196="Yes"),"", IF(P196='G-1 All Habitats'!$X$3,H196-S196-T196,"None"))</f>
        <v/>
      </c>
      <c r="AD196" s="496" t="str">
        <f>IF(P196="","", IF(P196='G-1 All Habitats'!$X$3, AC196*J196*L196*O196,"None"))</f>
        <v/>
      </c>
      <c r="AE196" s="20" t="str">
        <f t="shared" si="15"/>
        <v/>
      </c>
      <c r="AF196" s="25" t="str">
        <f t="shared" si="16"/>
        <v/>
      </c>
      <c r="AG196" s="25" t="str">
        <f t="shared" si="12"/>
        <v/>
      </c>
      <c r="AH196" s="25" t="str">
        <f>IF(I196="","",IF(#REF!&gt;0,TRUE,FALSE))</f>
        <v/>
      </c>
      <c r="AI196" s="25">
        <v>186</v>
      </c>
      <c r="AJ196" s="25"/>
      <c r="AK196" s="25" t="str">
        <f t="array" ref="AK196">IFERROR(INDEX($AI$11:$AI$259, MATCH(0, IF(TRUE=$AF$11:$AF$259, COUNTIF($AK$10:$AK195, $AI$11:$AI$259), ""), 0)),"")</f>
        <v/>
      </c>
      <c r="AL196" s="25" t="str">
        <f t="array" ref="AL196">IFERROR(INDEX($AI$11:$AI$259, MATCH(0, IF(TRUE=$AG$11:$AG$259, COUNTIF($AL$10:$AL195, $AI$11:$AI$259), ""), 0)),"")</f>
        <v/>
      </c>
      <c r="AM196" s="25" t="str">
        <f t="array" ref="AM196">IFERROR(INDEX($AI$11:$AI$259, MATCH(0, IF(TRUE=$AH$11:$AH$259, COUNTIF($AM$10:$AM195, $AI$11:$AI$259), ""), 0)),"")</f>
        <v/>
      </c>
      <c r="AN196" s="25"/>
      <c r="AQ196" s="20">
        <f t="shared" si="17"/>
        <v>0</v>
      </c>
      <c r="AV196" s="540" t="str">
        <f>IFERROR(INDEX('G-1 All Habitats'!$B$3:$B$135,MATCH(F196,'G-1 All Habitats'!$A$3:$A$135,0)),"")</f>
        <v/>
      </c>
      <c r="AW196" s="20" t="str">
        <f>IF(AV196="","",VLOOKUP(AV196,'G-1 All Habitats'!$B$1:$T$135,19,FALSE))</f>
        <v/>
      </c>
    </row>
    <row r="197" spans="1:49" ht="14.5" thickBot="1" x14ac:dyDescent="0.35">
      <c r="A197" s="20" t="str">
        <f>IFERROR(INDEX('G-1 All Habitats'!$AG$3:$AG$17,MATCH(E197,'G-1 All Habitats'!$AF$3:$AF$17,0)),"")</f>
        <v/>
      </c>
      <c r="B197" s="20" t="str">
        <f>IFERROR(INDEX('G-8 Condition Look up'!$I$4:$I$135,MATCH(AV197,'G-8 Condition Look up'!$A$4:$A$135,0)),"")</f>
        <v/>
      </c>
      <c r="D197" s="238">
        <v>187</v>
      </c>
      <c r="E197" s="223"/>
      <c r="F197" s="45"/>
      <c r="G197" s="272"/>
      <c r="H197" s="37"/>
      <c r="I197" s="290" t="str">
        <f>IF(AV197="","",VLOOKUP(AV197,'G-1 All Habitats'!$B$2:$M$135,10,FALSE))</f>
        <v/>
      </c>
      <c r="J197" s="291" t="str">
        <f>IFERROR(VLOOKUP(I197,'G-1 All Habitats'!$V$3:$W$7,2,FALSE),"")</f>
        <v/>
      </c>
      <c r="K197" s="38"/>
      <c r="L197" s="291" t="str">
        <f>IFERROR(INDEX('G-8 Condition Look up'!$A$3:$H$135,MATCH(AV197,'G-8 Condition Look up'!$A$3:$A$135,0),MATCH(K197,'G-8 Condition Look up'!$A$3:$H$3,0)),"")</f>
        <v/>
      </c>
      <c r="M197" s="38"/>
      <c r="N197" s="310" t="str">
        <f>IF(M197="","",IF(VLOOKUP(M197,'G-3 Multipliers'!$L$3:$N$6,2,FALSE)=0,"Spatial Data Missing",VLOOKUP(M197,'G-3 Multipliers'!$L$3:$N$6,2,FALSE)))</f>
        <v/>
      </c>
      <c r="O197" s="296" t="str">
        <f>IF(M197="","",IF(VLOOKUP(M197,'G-3 Multipliers'!$L$3:$N$6,3,FALSE)=0,"Spatial Data Missing ▲",VLOOKUP(M197,'G-3 Multipliers'!$L$3:$N$6,3,FALSE)))</f>
        <v/>
      </c>
      <c r="P197" s="297" t="str">
        <f>(IF(G197="Yes","Bespoke compensation likely to be required 🛠",(IFERROR(VLOOKUP(AV197,'G-1 All Habitats'!$B$2:$M$135,12,FALSE),""))))</f>
        <v/>
      </c>
      <c r="Q197" s="304" t="str">
        <f>IFERROR(IF(AND(E197="Individual trees",T197&gt;0), "Error - you cannot enhance individual trees ▲", (IF(AND(U197="Irreplaceable habitat - no units generated ⚠",(S197+T197)&lt;H197, OR(Y197="No", Y197="")),"Any Loss Unacceptable ⚠", (IF(U197="Irreplaceable habitat - no units generated ⚠", T197*J197*L197*O197, IF(AND(P197='G-1 All Habitats'!$X$3, AC197&gt;0, S197&lt;=0, T197&lt;=0, OR(Y197="No", Y197="")),"Any Loss Unacceptable ⚠", IF(AND(P197='G-1 All Habitats'!$X$3, AC197&gt;0, S197&lt;=0, T197&lt;=0, Y197="Yes"), 0, (IF(AND(P197='G-1 All Habitats'!$X$3,(S197+T197)&lt;H197, OR(Y197="No", Y197="")),"Any Loss Unacceptable ⚠", (IF(P197="","",IF(AND(P197='G-1 All Habitats'!$X$3,T197&gt;0),U197+V197,IF(AND(P197='G-1 All Habitats'!$X$3,S197&gt;0),U197+V197,H197*J197*L197*O197))))))))))))),"Check Data ▲")</f>
        <v/>
      </c>
      <c r="R197" s="23"/>
      <c r="S197" s="38"/>
      <c r="T197" s="39"/>
      <c r="U197" s="302" t="str">
        <f t="shared" si="13"/>
        <v/>
      </c>
      <c r="V197" s="302" t="str">
        <f t="shared" si="14"/>
        <v/>
      </c>
      <c r="W197" s="302" t="str">
        <f>IF(E197="","",IF(H197&lt;S197+T197,"Error in Areas ▲",IF(P197&lt;&gt;'G-1 All Habitats'!$X$3,H197-S197-T197,IF(AND(P197='G-1 All Habitats'!$X$3,Y197="No"),AC197,IF(AND(P197='G-1 All Habitats'!$X$3,Y197=""),AC197,IF(AND(P197='G-1 All Habitats'!$X$3,AC197="None"),AC197,IF(AND(P197='G-1 All Habitats'!$X$3,AC197&gt;0),H197-S197-T197)))))))</f>
        <v/>
      </c>
      <c r="X197" s="306" t="str">
        <f>IFERROR(IF(H197="","",IF(H197-S197-T197=0&lt;0,"Error in Areas ▲",IF(S197+T197&gt;H197,"Error in Areas ▲",IF(AND(P197='G-1 All Habitats'!$X$3,Y197="Yes"),"Alternative Compensation ✓",IF(W197=0,0,IF(P197='G-1 All Habitats'!$X$3,"Any Loss Unacceptable ▲",Q197-U197-V197)))))),"Check Data ▲")</f>
        <v/>
      </c>
      <c r="Y197" s="39"/>
      <c r="Z197" s="46"/>
      <c r="AA197" s="419"/>
      <c r="AB197" s="101"/>
      <c r="AC197" s="495" t="str">
        <f>IF(OR(P197="", Y197="Yes"),"", IF(P197='G-1 All Habitats'!$X$3,H197-S197-T197,"None"))</f>
        <v/>
      </c>
      <c r="AD197" s="496" t="str">
        <f>IF(P197="","", IF(P197='G-1 All Habitats'!$X$3, AC197*J197*L197*O197,"None"))</f>
        <v/>
      </c>
      <c r="AE197" s="20" t="str">
        <f t="shared" si="15"/>
        <v/>
      </c>
      <c r="AF197" s="25" t="str">
        <f t="shared" si="16"/>
        <v/>
      </c>
      <c r="AG197" s="25" t="str">
        <f t="shared" si="12"/>
        <v/>
      </c>
      <c r="AH197" s="25" t="str">
        <f>IF(I197="","",IF(#REF!&gt;0,TRUE,FALSE))</f>
        <v/>
      </c>
      <c r="AI197" s="25">
        <v>187</v>
      </c>
      <c r="AJ197" s="25"/>
      <c r="AK197" s="25" t="str">
        <f t="array" ref="AK197">IFERROR(INDEX($AI$11:$AI$259, MATCH(0, IF(TRUE=$AF$11:$AF$259, COUNTIF($AK$10:$AK196, $AI$11:$AI$259), ""), 0)),"")</f>
        <v/>
      </c>
      <c r="AL197" s="25" t="str">
        <f t="array" ref="AL197">IFERROR(INDEX($AI$11:$AI$259, MATCH(0, IF(TRUE=$AG$11:$AG$259, COUNTIF($AL$10:$AL196, $AI$11:$AI$259), ""), 0)),"")</f>
        <v/>
      </c>
      <c r="AM197" s="25" t="str">
        <f t="array" ref="AM197">IFERROR(INDEX($AI$11:$AI$259, MATCH(0, IF(TRUE=$AH$11:$AH$259, COUNTIF($AM$10:$AM196, $AI$11:$AI$259), ""), 0)),"")</f>
        <v/>
      </c>
      <c r="AN197" s="25"/>
      <c r="AQ197" s="20">
        <f t="shared" si="17"/>
        <v>0</v>
      </c>
      <c r="AV197" s="540" t="str">
        <f>IFERROR(INDEX('G-1 All Habitats'!$B$3:$B$135,MATCH(F197,'G-1 All Habitats'!$A$3:$A$135,0)),"")</f>
        <v/>
      </c>
      <c r="AW197" s="20" t="str">
        <f>IF(AV197="","",VLOOKUP(AV197,'G-1 All Habitats'!$B$1:$T$135,19,FALSE))</f>
        <v/>
      </c>
    </row>
    <row r="198" spans="1:49" ht="14.5" thickBot="1" x14ac:dyDescent="0.35">
      <c r="A198" s="20" t="str">
        <f>IFERROR(INDEX('G-1 All Habitats'!$AG$3:$AG$17,MATCH(E198,'G-1 All Habitats'!$AF$3:$AF$17,0)),"")</f>
        <v/>
      </c>
      <c r="B198" s="20" t="str">
        <f>IFERROR(INDEX('G-8 Condition Look up'!$I$4:$I$135,MATCH(AV198,'G-8 Condition Look up'!$A$4:$A$135,0)),"")</f>
        <v/>
      </c>
      <c r="D198" s="238">
        <v>188</v>
      </c>
      <c r="E198" s="223"/>
      <c r="F198" s="45"/>
      <c r="G198" s="272"/>
      <c r="H198" s="37"/>
      <c r="I198" s="290" t="str">
        <f>IF(AV198="","",VLOOKUP(AV198,'G-1 All Habitats'!$B$2:$M$135,10,FALSE))</f>
        <v/>
      </c>
      <c r="J198" s="291" t="str">
        <f>IFERROR(VLOOKUP(I198,'G-1 All Habitats'!$V$3:$W$7,2,FALSE),"")</f>
        <v/>
      </c>
      <c r="K198" s="38"/>
      <c r="L198" s="291" t="str">
        <f>IFERROR(INDEX('G-8 Condition Look up'!$A$3:$H$135,MATCH(AV198,'G-8 Condition Look up'!$A$3:$A$135,0),MATCH(K198,'G-8 Condition Look up'!$A$3:$H$3,0)),"")</f>
        <v/>
      </c>
      <c r="M198" s="38"/>
      <c r="N198" s="310" t="str">
        <f>IF(M198="","",IF(VLOOKUP(M198,'G-3 Multipliers'!$L$3:$N$6,2,FALSE)=0,"Spatial Data Missing",VLOOKUP(M198,'G-3 Multipliers'!$L$3:$N$6,2,FALSE)))</f>
        <v/>
      </c>
      <c r="O198" s="296" t="str">
        <f>IF(M198="","",IF(VLOOKUP(M198,'G-3 Multipliers'!$L$3:$N$6,3,FALSE)=0,"Spatial Data Missing ▲",VLOOKUP(M198,'G-3 Multipliers'!$L$3:$N$6,3,FALSE)))</f>
        <v/>
      </c>
      <c r="P198" s="297" t="str">
        <f>(IF(G198="Yes","Bespoke compensation likely to be required 🛠",(IFERROR(VLOOKUP(AV198,'G-1 All Habitats'!$B$2:$M$135,12,FALSE),""))))</f>
        <v/>
      </c>
      <c r="Q198" s="304" t="str">
        <f>IFERROR(IF(AND(E198="Individual trees",T198&gt;0), "Error - you cannot enhance individual trees ▲", (IF(AND(U198="Irreplaceable habitat - no units generated ⚠",(S198+T198)&lt;H198, OR(Y198="No", Y198="")),"Any Loss Unacceptable ⚠", (IF(U198="Irreplaceable habitat - no units generated ⚠", T198*J198*L198*O198, IF(AND(P198='G-1 All Habitats'!$X$3, AC198&gt;0, S198&lt;=0, T198&lt;=0, OR(Y198="No", Y198="")),"Any Loss Unacceptable ⚠", IF(AND(P198='G-1 All Habitats'!$X$3, AC198&gt;0, S198&lt;=0, T198&lt;=0, Y198="Yes"), 0, (IF(AND(P198='G-1 All Habitats'!$X$3,(S198+T198)&lt;H198, OR(Y198="No", Y198="")),"Any Loss Unacceptable ⚠", (IF(P198="","",IF(AND(P198='G-1 All Habitats'!$X$3,T198&gt;0),U198+V198,IF(AND(P198='G-1 All Habitats'!$X$3,S198&gt;0),U198+V198,H198*J198*L198*O198))))))))))))),"Check Data ▲")</f>
        <v/>
      </c>
      <c r="R198" s="23"/>
      <c r="S198" s="38"/>
      <c r="T198" s="39"/>
      <c r="U198" s="302" t="str">
        <f t="shared" si="13"/>
        <v/>
      </c>
      <c r="V198" s="302" t="str">
        <f t="shared" si="14"/>
        <v/>
      </c>
      <c r="W198" s="302" t="str">
        <f>IF(E198="","",IF(H198&lt;S198+T198,"Error in Areas ▲",IF(P198&lt;&gt;'G-1 All Habitats'!$X$3,H198-S198-T198,IF(AND(P198='G-1 All Habitats'!$X$3,Y198="No"),AC198,IF(AND(P198='G-1 All Habitats'!$X$3,Y198=""),AC198,IF(AND(P198='G-1 All Habitats'!$X$3,AC198="None"),AC198,IF(AND(P198='G-1 All Habitats'!$X$3,AC198&gt;0),H198-S198-T198)))))))</f>
        <v/>
      </c>
      <c r="X198" s="306" t="str">
        <f>IFERROR(IF(H198="","",IF(H198-S198-T198=0&lt;0,"Error in Areas ▲",IF(S198+T198&gt;H198,"Error in Areas ▲",IF(AND(P198='G-1 All Habitats'!$X$3,Y198="Yes"),"Alternative Compensation ✓",IF(W198=0,0,IF(P198='G-1 All Habitats'!$X$3,"Any Loss Unacceptable ▲",Q198-U198-V198)))))),"Check Data ▲")</f>
        <v/>
      </c>
      <c r="Y198" s="39"/>
      <c r="Z198" s="46"/>
      <c r="AA198" s="419"/>
      <c r="AB198" s="101"/>
      <c r="AC198" s="495" t="str">
        <f>IF(OR(P198="", Y198="Yes"),"", IF(P198='G-1 All Habitats'!$X$3,H198-S198-T198,"None"))</f>
        <v/>
      </c>
      <c r="AD198" s="496" t="str">
        <f>IF(P198="","", IF(P198='G-1 All Habitats'!$X$3, AC198*J198*L198*O198,"None"))</f>
        <v/>
      </c>
      <c r="AE198" s="20" t="str">
        <f t="shared" si="15"/>
        <v/>
      </c>
      <c r="AF198" s="25" t="str">
        <f t="shared" si="16"/>
        <v/>
      </c>
      <c r="AG198" s="25" t="str">
        <f t="shared" si="12"/>
        <v/>
      </c>
      <c r="AH198" s="25" t="str">
        <f>IF(I198="","",IF(#REF!&gt;0,TRUE,FALSE))</f>
        <v/>
      </c>
      <c r="AI198" s="25">
        <v>188</v>
      </c>
      <c r="AJ198" s="25"/>
      <c r="AK198" s="25" t="str">
        <f t="array" ref="AK198">IFERROR(INDEX($AI$11:$AI$259, MATCH(0, IF(TRUE=$AF$11:$AF$259, COUNTIF($AK$10:$AK197, $AI$11:$AI$259), ""), 0)),"")</f>
        <v/>
      </c>
      <c r="AL198" s="25" t="str">
        <f t="array" ref="AL198">IFERROR(INDEX($AI$11:$AI$259, MATCH(0, IF(TRUE=$AG$11:$AG$259, COUNTIF($AL$10:$AL197, $AI$11:$AI$259), ""), 0)),"")</f>
        <v/>
      </c>
      <c r="AM198" s="25" t="str">
        <f t="array" ref="AM198">IFERROR(INDEX($AI$11:$AI$259, MATCH(0, IF(TRUE=$AH$11:$AH$259, COUNTIF($AM$10:$AM197, $AI$11:$AI$259), ""), 0)),"")</f>
        <v/>
      </c>
      <c r="AN198" s="25"/>
      <c r="AQ198" s="20">
        <f t="shared" si="17"/>
        <v>0</v>
      </c>
      <c r="AV198" s="540" t="str">
        <f>IFERROR(INDEX('G-1 All Habitats'!$B$3:$B$135,MATCH(F198,'G-1 All Habitats'!$A$3:$A$135,0)),"")</f>
        <v/>
      </c>
      <c r="AW198" s="20" t="str">
        <f>IF(AV198="","",VLOOKUP(AV198,'G-1 All Habitats'!$B$1:$T$135,19,FALSE))</f>
        <v/>
      </c>
    </row>
    <row r="199" spans="1:49" ht="14.5" thickBot="1" x14ac:dyDescent="0.35">
      <c r="A199" s="20" t="str">
        <f>IFERROR(INDEX('G-1 All Habitats'!$AG$3:$AG$17,MATCH(E199,'G-1 All Habitats'!$AF$3:$AF$17,0)),"")</f>
        <v/>
      </c>
      <c r="B199" s="20" t="str">
        <f>IFERROR(INDEX('G-8 Condition Look up'!$I$4:$I$135,MATCH(AV199,'G-8 Condition Look up'!$A$4:$A$135,0)),"")</f>
        <v/>
      </c>
      <c r="D199" s="238">
        <v>189</v>
      </c>
      <c r="E199" s="223"/>
      <c r="F199" s="45"/>
      <c r="G199" s="272"/>
      <c r="H199" s="37"/>
      <c r="I199" s="290" t="str">
        <f>IF(AV199="","",VLOOKUP(AV199,'G-1 All Habitats'!$B$2:$M$135,10,FALSE))</f>
        <v/>
      </c>
      <c r="J199" s="291" t="str">
        <f>IFERROR(VLOOKUP(I199,'G-1 All Habitats'!$V$3:$W$7,2,FALSE),"")</f>
        <v/>
      </c>
      <c r="K199" s="38"/>
      <c r="L199" s="291" t="str">
        <f>IFERROR(INDEX('G-8 Condition Look up'!$A$3:$H$135,MATCH(AV199,'G-8 Condition Look up'!$A$3:$A$135,0),MATCH(K199,'G-8 Condition Look up'!$A$3:$H$3,0)),"")</f>
        <v/>
      </c>
      <c r="M199" s="38"/>
      <c r="N199" s="310" t="str">
        <f>IF(M199="","",IF(VLOOKUP(M199,'G-3 Multipliers'!$L$3:$N$6,2,FALSE)=0,"Spatial Data Missing",VLOOKUP(M199,'G-3 Multipliers'!$L$3:$N$6,2,FALSE)))</f>
        <v/>
      </c>
      <c r="O199" s="296" t="str">
        <f>IF(M199="","",IF(VLOOKUP(M199,'G-3 Multipliers'!$L$3:$N$6,3,FALSE)=0,"Spatial Data Missing ▲",VLOOKUP(M199,'G-3 Multipliers'!$L$3:$N$6,3,FALSE)))</f>
        <v/>
      </c>
      <c r="P199" s="297" t="str">
        <f>(IF(G199="Yes","Bespoke compensation likely to be required 🛠",(IFERROR(VLOOKUP(AV199,'G-1 All Habitats'!$B$2:$M$135,12,FALSE),""))))</f>
        <v/>
      </c>
      <c r="Q199" s="304" t="str">
        <f>IFERROR(IF(AND(E199="Individual trees",T199&gt;0), "Error - you cannot enhance individual trees ▲", (IF(AND(U199="Irreplaceable habitat - no units generated ⚠",(S199+T199)&lt;H199, OR(Y199="No", Y199="")),"Any Loss Unacceptable ⚠", (IF(U199="Irreplaceable habitat - no units generated ⚠", T199*J199*L199*O199, IF(AND(P199='G-1 All Habitats'!$X$3, AC199&gt;0, S199&lt;=0, T199&lt;=0, OR(Y199="No", Y199="")),"Any Loss Unacceptable ⚠", IF(AND(P199='G-1 All Habitats'!$X$3, AC199&gt;0, S199&lt;=0, T199&lt;=0, Y199="Yes"), 0, (IF(AND(P199='G-1 All Habitats'!$X$3,(S199+T199)&lt;H199, OR(Y199="No", Y199="")),"Any Loss Unacceptable ⚠", (IF(P199="","",IF(AND(P199='G-1 All Habitats'!$X$3,T199&gt;0),U199+V199,IF(AND(P199='G-1 All Habitats'!$X$3,S199&gt;0),U199+V199,H199*J199*L199*O199))))))))))))),"Check Data ▲")</f>
        <v/>
      </c>
      <c r="R199" s="23"/>
      <c r="S199" s="38"/>
      <c r="T199" s="39"/>
      <c r="U199" s="302" t="str">
        <f t="shared" si="13"/>
        <v/>
      </c>
      <c r="V199" s="302" t="str">
        <f t="shared" si="14"/>
        <v/>
      </c>
      <c r="W199" s="302" t="str">
        <f>IF(E199="","",IF(H199&lt;S199+T199,"Error in Areas ▲",IF(P199&lt;&gt;'G-1 All Habitats'!$X$3,H199-S199-T199,IF(AND(P199='G-1 All Habitats'!$X$3,Y199="No"),AC199,IF(AND(P199='G-1 All Habitats'!$X$3,Y199=""),AC199,IF(AND(P199='G-1 All Habitats'!$X$3,AC199="None"),AC199,IF(AND(P199='G-1 All Habitats'!$X$3,AC199&gt;0),H199-S199-T199)))))))</f>
        <v/>
      </c>
      <c r="X199" s="306" t="str">
        <f>IFERROR(IF(H199="","",IF(H199-S199-T199=0&lt;0,"Error in Areas ▲",IF(S199+T199&gt;H199,"Error in Areas ▲",IF(AND(P199='G-1 All Habitats'!$X$3,Y199="Yes"),"Alternative Compensation ✓",IF(W199=0,0,IF(P199='G-1 All Habitats'!$X$3,"Any Loss Unacceptable ▲",Q199-U199-V199)))))),"Check Data ▲")</f>
        <v/>
      </c>
      <c r="Y199" s="39"/>
      <c r="Z199" s="46"/>
      <c r="AA199" s="419"/>
      <c r="AB199" s="101"/>
      <c r="AC199" s="495" t="str">
        <f>IF(OR(P199="", Y199="Yes"),"", IF(P199='G-1 All Habitats'!$X$3,H199-S199-T199,"None"))</f>
        <v/>
      </c>
      <c r="AD199" s="496" t="str">
        <f>IF(P199="","", IF(P199='G-1 All Habitats'!$X$3, AC199*J199*L199*O199,"None"))</f>
        <v/>
      </c>
      <c r="AE199" s="20" t="str">
        <f t="shared" si="15"/>
        <v/>
      </c>
      <c r="AF199" s="25" t="str">
        <f t="shared" si="16"/>
        <v/>
      </c>
      <c r="AG199" s="25" t="str">
        <f t="shared" si="12"/>
        <v/>
      </c>
      <c r="AH199" s="25" t="str">
        <f>IF(I199="","",IF(#REF!&gt;0,TRUE,FALSE))</f>
        <v/>
      </c>
      <c r="AI199" s="25">
        <v>189</v>
      </c>
      <c r="AJ199" s="25"/>
      <c r="AK199" s="25" t="str">
        <f t="array" ref="AK199">IFERROR(INDEX($AI$11:$AI$259, MATCH(0, IF(TRUE=$AF$11:$AF$259, COUNTIF($AK$10:$AK198, $AI$11:$AI$259), ""), 0)),"")</f>
        <v/>
      </c>
      <c r="AL199" s="25" t="str">
        <f t="array" ref="AL199">IFERROR(INDEX($AI$11:$AI$259, MATCH(0, IF(TRUE=$AG$11:$AG$259, COUNTIF($AL$10:$AL198, $AI$11:$AI$259), ""), 0)),"")</f>
        <v/>
      </c>
      <c r="AM199" s="25" t="str">
        <f t="array" ref="AM199">IFERROR(INDEX($AI$11:$AI$259, MATCH(0, IF(TRUE=$AH$11:$AH$259, COUNTIF($AM$10:$AM198, $AI$11:$AI$259), ""), 0)),"")</f>
        <v/>
      </c>
      <c r="AN199" s="25"/>
      <c r="AQ199" s="20">
        <f t="shared" si="17"/>
        <v>0</v>
      </c>
      <c r="AV199" s="540" t="str">
        <f>IFERROR(INDEX('G-1 All Habitats'!$B$3:$B$135,MATCH(F199,'G-1 All Habitats'!$A$3:$A$135,0)),"")</f>
        <v/>
      </c>
      <c r="AW199" s="20" t="str">
        <f>IF(AV199="","",VLOOKUP(AV199,'G-1 All Habitats'!$B$1:$T$135,19,FALSE))</f>
        <v/>
      </c>
    </row>
    <row r="200" spans="1:49" ht="14.5" thickBot="1" x14ac:dyDescent="0.35">
      <c r="A200" s="20" t="str">
        <f>IFERROR(INDEX('G-1 All Habitats'!$AG$3:$AG$17,MATCH(E200,'G-1 All Habitats'!$AF$3:$AF$17,0)),"")</f>
        <v/>
      </c>
      <c r="B200" s="20" t="str">
        <f>IFERROR(INDEX('G-8 Condition Look up'!$I$4:$I$135,MATCH(AV200,'G-8 Condition Look up'!$A$4:$A$135,0)),"")</f>
        <v/>
      </c>
      <c r="D200" s="238">
        <v>190</v>
      </c>
      <c r="E200" s="223"/>
      <c r="F200" s="45"/>
      <c r="G200" s="272"/>
      <c r="H200" s="37"/>
      <c r="I200" s="290" t="str">
        <f>IF(AV200="","",VLOOKUP(AV200,'G-1 All Habitats'!$B$2:$M$135,10,FALSE))</f>
        <v/>
      </c>
      <c r="J200" s="291" t="str">
        <f>IFERROR(VLOOKUP(I200,'G-1 All Habitats'!$V$3:$W$7,2,FALSE),"")</f>
        <v/>
      </c>
      <c r="K200" s="38"/>
      <c r="L200" s="291" t="str">
        <f>IFERROR(INDEX('G-8 Condition Look up'!$A$3:$H$135,MATCH(AV200,'G-8 Condition Look up'!$A$3:$A$135,0),MATCH(K200,'G-8 Condition Look up'!$A$3:$H$3,0)),"")</f>
        <v/>
      </c>
      <c r="M200" s="38"/>
      <c r="N200" s="310" t="str">
        <f>IF(M200="","",IF(VLOOKUP(M200,'G-3 Multipliers'!$L$3:$N$6,2,FALSE)=0,"Spatial Data Missing",VLOOKUP(M200,'G-3 Multipliers'!$L$3:$N$6,2,FALSE)))</f>
        <v/>
      </c>
      <c r="O200" s="296" t="str">
        <f>IF(M200="","",IF(VLOOKUP(M200,'G-3 Multipliers'!$L$3:$N$6,3,FALSE)=0,"Spatial Data Missing ▲",VLOOKUP(M200,'G-3 Multipliers'!$L$3:$N$6,3,FALSE)))</f>
        <v/>
      </c>
      <c r="P200" s="297" t="str">
        <f>(IF(G200="Yes","Bespoke compensation likely to be required 🛠",(IFERROR(VLOOKUP(AV200,'G-1 All Habitats'!$B$2:$M$135,12,FALSE),""))))</f>
        <v/>
      </c>
      <c r="Q200" s="304" t="str">
        <f>IFERROR(IF(AND(E200="Individual trees",T200&gt;0), "Error - you cannot enhance individual trees ▲", (IF(AND(U200="Irreplaceable habitat - no units generated ⚠",(S200+T200)&lt;H200, OR(Y200="No", Y200="")),"Any Loss Unacceptable ⚠", (IF(U200="Irreplaceable habitat - no units generated ⚠", T200*J200*L200*O200, IF(AND(P200='G-1 All Habitats'!$X$3, AC200&gt;0, S200&lt;=0, T200&lt;=0, OR(Y200="No", Y200="")),"Any Loss Unacceptable ⚠", IF(AND(P200='G-1 All Habitats'!$X$3, AC200&gt;0, S200&lt;=0, T200&lt;=0, Y200="Yes"), 0, (IF(AND(P200='G-1 All Habitats'!$X$3,(S200+T200)&lt;H200, OR(Y200="No", Y200="")),"Any Loss Unacceptable ⚠", (IF(P200="","",IF(AND(P200='G-1 All Habitats'!$X$3,T200&gt;0),U200+V200,IF(AND(P200='G-1 All Habitats'!$X$3,S200&gt;0),U200+V200,H200*J200*L200*O200))))))))))))),"Check Data ▲")</f>
        <v/>
      </c>
      <c r="R200" s="23"/>
      <c r="S200" s="38"/>
      <c r="T200" s="39"/>
      <c r="U200" s="302" t="str">
        <f t="shared" si="13"/>
        <v/>
      </c>
      <c r="V200" s="302" t="str">
        <f t="shared" si="14"/>
        <v/>
      </c>
      <c r="W200" s="302" t="str">
        <f>IF(E200="","",IF(H200&lt;S200+T200,"Error in Areas ▲",IF(P200&lt;&gt;'G-1 All Habitats'!$X$3,H200-S200-T200,IF(AND(P200='G-1 All Habitats'!$X$3,Y200="No"),AC200,IF(AND(P200='G-1 All Habitats'!$X$3,Y200=""),AC200,IF(AND(P200='G-1 All Habitats'!$X$3,AC200="None"),AC200,IF(AND(P200='G-1 All Habitats'!$X$3,AC200&gt;0),H200-S200-T200)))))))</f>
        <v/>
      </c>
      <c r="X200" s="306" t="str">
        <f>IFERROR(IF(H200="","",IF(H200-S200-T200=0&lt;0,"Error in Areas ▲",IF(S200+T200&gt;H200,"Error in Areas ▲",IF(AND(P200='G-1 All Habitats'!$X$3,Y200="Yes"),"Alternative Compensation ✓",IF(W200=0,0,IF(P200='G-1 All Habitats'!$X$3,"Any Loss Unacceptable ▲",Q200-U200-V200)))))),"Check Data ▲")</f>
        <v/>
      </c>
      <c r="Y200" s="39"/>
      <c r="Z200" s="46"/>
      <c r="AA200" s="419"/>
      <c r="AB200" s="101"/>
      <c r="AC200" s="495" t="str">
        <f>IF(OR(P200="", Y200="Yes"),"", IF(P200='G-1 All Habitats'!$X$3,H200-S200-T200,"None"))</f>
        <v/>
      </c>
      <c r="AD200" s="496" t="str">
        <f>IF(P200="","", IF(P200='G-1 All Habitats'!$X$3, AC200*J200*L200*O200,"None"))</f>
        <v/>
      </c>
      <c r="AE200" s="20" t="str">
        <f t="shared" si="15"/>
        <v/>
      </c>
      <c r="AF200" s="25" t="str">
        <f t="shared" si="16"/>
        <v/>
      </c>
      <c r="AG200" s="25" t="str">
        <f t="shared" si="12"/>
        <v/>
      </c>
      <c r="AH200" s="25" t="str">
        <f>IF(I200="","",IF(#REF!&gt;0,TRUE,FALSE))</f>
        <v/>
      </c>
      <c r="AI200" s="25">
        <v>190</v>
      </c>
      <c r="AJ200" s="25"/>
      <c r="AK200" s="25" t="str">
        <f t="array" ref="AK200">IFERROR(INDEX($AI$11:$AI$259, MATCH(0, IF(TRUE=$AF$11:$AF$259, COUNTIF($AK$10:$AK199, $AI$11:$AI$259), ""), 0)),"")</f>
        <v/>
      </c>
      <c r="AL200" s="25" t="str">
        <f t="array" ref="AL200">IFERROR(INDEX($AI$11:$AI$259, MATCH(0, IF(TRUE=$AG$11:$AG$259, COUNTIF($AL$10:$AL199, $AI$11:$AI$259), ""), 0)),"")</f>
        <v/>
      </c>
      <c r="AM200" s="25" t="str">
        <f t="array" ref="AM200">IFERROR(INDEX($AI$11:$AI$259, MATCH(0, IF(TRUE=$AH$11:$AH$259, COUNTIF($AM$10:$AM199, $AI$11:$AI$259), ""), 0)),"")</f>
        <v/>
      </c>
      <c r="AN200" s="25"/>
      <c r="AQ200" s="20">
        <f t="shared" si="17"/>
        <v>0</v>
      </c>
      <c r="AV200" s="540" t="str">
        <f>IFERROR(INDEX('G-1 All Habitats'!$B$3:$B$135,MATCH(F200,'G-1 All Habitats'!$A$3:$A$135,0)),"")</f>
        <v/>
      </c>
      <c r="AW200" s="20" t="str">
        <f>IF(AV200="","",VLOOKUP(AV200,'G-1 All Habitats'!$B$1:$T$135,19,FALSE))</f>
        <v/>
      </c>
    </row>
    <row r="201" spans="1:49" ht="14.5" thickBot="1" x14ac:dyDescent="0.35">
      <c r="A201" s="20" t="str">
        <f>IFERROR(INDEX('G-1 All Habitats'!$AG$3:$AG$17,MATCH(E201,'G-1 All Habitats'!$AF$3:$AF$17,0)),"")</f>
        <v/>
      </c>
      <c r="B201" s="20" t="str">
        <f>IFERROR(INDEX('G-8 Condition Look up'!$I$4:$I$135,MATCH(AV201,'G-8 Condition Look up'!$A$4:$A$135,0)),"")</f>
        <v/>
      </c>
      <c r="D201" s="238">
        <v>191</v>
      </c>
      <c r="E201" s="223"/>
      <c r="F201" s="45"/>
      <c r="G201" s="272"/>
      <c r="H201" s="37"/>
      <c r="I201" s="290" t="str">
        <f>IF(AV201="","",VLOOKUP(AV201,'G-1 All Habitats'!$B$2:$M$135,10,FALSE))</f>
        <v/>
      </c>
      <c r="J201" s="291" t="str">
        <f>IFERROR(VLOOKUP(I201,'G-1 All Habitats'!$V$3:$W$7,2,FALSE),"")</f>
        <v/>
      </c>
      <c r="K201" s="38"/>
      <c r="L201" s="291" t="str">
        <f>IFERROR(INDEX('G-8 Condition Look up'!$A$3:$H$135,MATCH(AV201,'G-8 Condition Look up'!$A$3:$A$135,0),MATCH(K201,'G-8 Condition Look up'!$A$3:$H$3,0)),"")</f>
        <v/>
      </c>
      <c r="M201" s="38"/>
      <c r="N201" s="310" t="str">
        <f>IF(M201="","",IF(VLOOKUP(M201,'G-3 Multipliers'!$L$3:$N$6,2,FALSE)=0,"Spatial Data Missing",VLOOKUP(M201,'G-3 Multipliers'!$L$3:$N$6,2,FALSE)))</f>
        <v/>
      </c>
      <c r="O201" s="296" t="str">
        <f>IF(M201="","",IF(VLOOKUP(M201,'G-3 Multipliers'!$L$3:$N$6,3,FALSE)=0,"Spatial Data Missing ▲",VLOOKUP(M201,'G-3 Multipliers'!$L$3:$N$6,3,FALSE)))</f>
        <v/>
      </c>
      <c r="P201" s="297" t="str">
        <f>(IF(G201="Yes","Bespoke compensation likely to be required 🛠",(IFERROR(VLOOKUP(AV201,'G-1 All Habitats'!$B$2:$M$135,12,FALSE),""))))</f>
        <v/>
      </c>
      <c r="Q201" s="304" t="str">
        <f>IFERROR(IF(AND(E201="Individual trees",T201&gt;0), "Error - you cannot enhance individual trees ▲", (IF(AND(U201="Irreplaceable habitat - no units generated ⚠",(S201+T201)&lt;H201, OR(Y201="No", Y201="")),"Any Loss Unacceptable ⚠", (IF(U201="Irreplaceable habitat - no units generated ⚠", T201*J201*L201*O201, IF(AND(P201='G-1 All Habitats'!$X$3, AC201&gt;0, S201&lt;=0, T201&lt;=0, OR(Y201="No", Y201="")),"Any Loss Unacceptable ⚠", IF(AND(P201='G-1 All Habitats'!$X$3, AC201&gt;0, S201&lt;=0, T201&lt;=0, Y201="Yes"), 0, (IF(AND(P201='G-1 All Habitats'!$X$3,(S201+T201)&lt;H201, OR(Y201="No", Y201="")),"Any Loss Unacceptable ⚠", (IF(P201="","",IF(AND(P201='G-1 All Habitats'!$X$3,T201&gt;0),U201+V201,IF(AND(P201='G-1 All Habitats'!$X$3,S201&gt;0),U201+V201,H201*J201*L201*O201))))))))))))),"Check Data ▲")</f>
        <v/>
      </c>
      <c r="R201" s="23"/>
      <c r="S201" s="38"/>
      <c r="T201" s="39"/>
      <c r="U201" s="302" t="str">
        <f t="shared" si="13"/>
        <v/>
      </c>
      <c r="V201" s="302" t="str">
        <f t="shared" si="14"/>
        <v/>
      </c>
      <c r="W201" s="302" t="str">
        <f>IF(E201="","",IF(H201&lt;S201+T201,"Error in Areas ▲",IF(P201&lt;&gt;'G-1 All Habitats'!$X$3,H201-S201-T201,IF(AND(P201='G-1 All Habitats'!$X$3,Y201="No"),AC201,IF(AND(P201='G-1 All Habitats'!$X$3,Y201=""),AC201,IF(AND(P201='G-1 All Habitats'!$X$3,AC201="None"),AC201,IF(AND(P201='G-1 All Habitats'!$X$3,AC201&gt;0),H201-S201-T201)))))))</f>
        <v/>
      </c>
      <c r="X201" s="306" t="str">
        <f>IFERROR(IF(H201="","",IF(H201-S201-T201=0&lt;0,"Error in Areas ▲",IF(S201+T201&gt;H201,"Error in Areas ▲",IF(AND(P201='G-1 All Habitats'!$X$3,Y201="Yes"),"Alternative Compensation ✓",IF(W201=0,0,IF(P201='G-1 All Habitats'!$X$3,"Any Loss Unacceptable ▲",Q201-U201-V201)))))),"Check Data ▲")</f>
        <v/>
      </c>
      <c r="Y201" s="39"/>
      <c r="Z201" s="46"/>
      <c r="AA201" s="419"/>
      <c r="AB201" s="101"/>
      <c r="AC201" s="495" t="str">
        <f>IF(OR(P201="", Y201="Yes"),"", IF(P201='G-1 All Habitats'!$X$3,H201-S201-T201,"None"))</f>
        <v/>
      </c>
      <c r="AD201" s="496" t="str">
        <f>IF(P201="","", IF(P201='G-1 All Habitats'!$X$3, AC201*J201*L201*O201,"None"))</f>
        <v/>
      </c>
      <c r="AE201" s="20" t="str">
        <f t="shared" si="15"/>
        <v/>
      </c>
      <c r="AF201" s="25" t="str">
        <f t="shared" si="16"/>
        <v/>
      </c>
      <c r="AG201" s="25" t="str">
        <f t="shared" si="12"/>
        <v/>
      </c>
      <c r="AH201" s="25" t="str">
        <f>IF(I201="","",IF(#REF!&gt;0,TRUE,FALSE))</f>
        <v/>
      </c>
      <c r="AI201" s="25">
        <v>191</v>
      </c>
      <c r="AJ201" s="25"/>
      <c r="AK201" s="25" t="str">
        <f t="array" ref="AK201">IFERROR(INDEX($AI$11:$AI$259, MATCH(0, IF(TRUE=$AF$11:$AF$259, COUNTIF($AK$10:$AK200, $AI$11:$AI$259), ""), 0)),"")</f>
        <v/>
      </c>
      <c r="AL201" s="25" t="str">
        <f t="array" ref="AL201">IFERROR(INDEX($AI$11:$AI$259, MATCH(0, IF(TRUE=$AG$11:$AG$259, COUNTIF($AL$10:$AL200, $AI$11:$AI$259), ""), 0)),"")</f>
        <v/>
      </c>
      <c r="AM201" s="25" t="str">
        <f t="array" ref="AM201">IFERROR(INDEX($AI$11:$AI$259, MATCH(0, IF(TRUE=$AH$11:$AH$259, COUNTIF($AM$10:$AM200, $AI$11:$AI$259), ""), 0)),"")</f>
        <v/>
      </c>
      <c r="AN201" s="25"/>
      <c r="AQ201" s="20">
        <f t="shared" si="17"/>
        <v>0</v>
      </c>
      <c r="AV201" s="540" t="str">
        <f>IFERROR(INDEX('G-1 All Habitats'!$B$3:$B$135,MATCH(F201,'G-1 All Habitats'!$A$3:$A$135,0)),"")</f>
        <v/>
      </c>
      <c r="AW201" s="20" t="str">
        <f>IF(AV201="","",VLOOKUP(AV201,'G-1 All Habitats'!$B$1:$T$135,19,FALSE))</f>
        <v/>
      </c>
    </row>
    <row r="202" spans="1:49" ht="14.5" thickBot="1" x14ac:dyDescent="0.35">
      <c r="A202" s="20" t="str">
        <f>IFERROR(INDEX('G-1 All Habitats'!$AG$3:$AG$17,MATCH(E202,'G-1 All Habitats'!$AF$3:$AF$17,0)),"")</f>
        <v/>
      </c>
      <c r="B202" s="20" t="str">
        <f>IFERROR(INDEX('G-8 Condition Look up'!$I$4:$I$135,MATCH(AV202,'G-8 Condition Look up'!$A$4:$A$135,0)),"")</f>
        <v/>
      </c>
      <c r="D202" s="238">
        <v>192</v>
      </c>
      <c r="E202" s="223"/>
      <c r="F202" s="45"/>
      <c r="G202" s="272"/>
      <c r="H202" s="37"/>
      <c r="I202" s="290" t="str">
        <f>IF(AV202="","",VLOOKUP(AV202,'G-1 All Habitats'!$B$2:$M$135,10,FALSE))</f>
        <v/>
      </c>
      <c r="J202" s="291" t="str">
        <f>IFERROR(VLOOKUP(I202,'G-1 All Habitats'!$V$3:$W$7,2,FALSE),"")</f>
        <v/>
      </c>
      <c r="K202" s="38"/>
      <c r="L202" s="291" t="str">
        <f>IFERROR(INDEX('G-8 Condition Look up'!$A$3:$H$135,MATCH(AV202,'G-8 Condition Look up'!$A$3:$A$135,0),MATCH(K202,'G-8 Condition Look up'!$A$3:$H$3,0)),"")</f>
        <v/>
      </c>
      <c r="M202" s="38"/>
      <c r="N202" s="310" t="str">
        <f>IF(M202="","",IF(VLOOKUP(M202,'G-3 Multipliers'!$L$3:$N$6,2,FALSE)=0,"Spatial Data Missing",VLOOKUP(M202,'G-3 Multipliers'!$L$3:$N$6,2,FALSE)))</f>
        <v/>
      </c>
      <c r="O202" s="296" t="str">
        <f>IF(M202="","",IF(VLOOKUP(M202,'G-3 Multipliers'!$L$3:$N$6,3,FALSE)=0,"Spatial Data Missing ▲",VLOOKUP(M202,'G-3 Multipliers'!$L$3:$N$6,3,FALSE)))</f>
        <v/>
      </c>
      <c r="P202" s="297" t="str">
        <f>(IF(G202="Yes","Bespoke compensation likely to be required 🛠",(IFERROR(VLOOKUP(AV202,'G-1 All Habitats'!$B$2:$M$135,12,FALSE),""))))</f>
        <v/>
      </c>
      <c r="Q202" s="304" t="str">
        <f>IFERROR(IF(AND(E202="Individual trees",T202&gt;0), "Error - you cannot enhance individual trees ▲", (IF(AND(U202="Irreplaceable habitat - no units generated ⚠",(S202+T202)&lt;H202, OR(Y202="No", Y202="")),"Any Loss Unacceptable ⚠", (IF(U202="Irreplaceable habitat - no units generated ⚠", T202*J202*L202*O202, IF(AND(P202='G-1 All Habitats'!$X$3, AC202&gt;0, S202&lt;=0, T202&lt;=0, OR(Y202="No", Y202="")),"Any Loss Unacceptable ⚠", IF(AND(P202='G-1 All Habitats'!$X$3, AC202&gt;0, S202&lt;=0, T202&lt;=0, Y202="Yes"), 0, (IF(AND(P202='G-1 All Habitats'!$X$3,(S202+T202)&lt;H202, OR(Y202="No", Y202="")),"Any Loss Unacceptable ⚠", (IF(P202="","",IF(AND(P202='G-1 All Habitats'!$X$3,T202&gt;0),U202+V202,IF(AND(P202='G-1 All Habitats'!$X$3,S202&gt;0),U202+V202,H202*J202*L202*O202))))))))))))),"Check Data ▲")</f>
        <v/>
      </c>
      <c r="R202" s="23"/>
      <c r="S202" s="38"/>
      <c r="T202" s="39"/>
      <c r="U202" s="302" t="str">
        <f t="shared" si="13"/>
        <v/>
      </c>
      <c r="V202" s="302" t="str">
        <f t="shared" si="14"/>
        <v/>
      </c>
      <c r="W202" s="302" t="str">
        <f>IF(E202="","",IF(H202&lt;S202+T202,"Error in Areas ▲",IF(P202&lt;&gt;'G-1 All Habitats'!$X$3,H202-S202-T202,IF(AND(P202='G-1 All Habitats'!$X$3,Y202="No"),AC202,IF(AND(P202='G-1 All Habitats'!$X$3,Y202=""),AC202,IF(AND(P202='G-1 All Habitats'!$X$3,AC202="None"),AC202,IF(AND(P202='G-1 All Habitats'!$X$3,AC202&gt;0),H202-S202-T202)))))))</f>
        <v/>
      </c>
      <c r="X202" s="306" t="str">
        <f>IFERROR(IF(H202="","",IF(H202-S202-T202=0&lt;0,"Error in Areas ▲",IF(S202+T202&gt;H202,"Error in Areas ▲",IF(AND(P202='G-1 All Habitats'!$X$3,Y202="Yes"),"Alternative Compensation ✓",IF(W202=0,0,IF(P202='G-1 All Habitats'!$X$3,"Any Loss Unacceptable ▲",Q202-U202-V202)))))),"Check Data ▲")</f>
        <v/>
      </c>
      <c r="Y202" s="39"/>
      <c r="Z202" s="46"/>
      <c r="AA202" s="419"/>
      <c r="AB202" s="101"/>
      <c r="AC202" s="495" t="str">
        <f>IF(OR(P202="", Y202="Yes"),"", IF(P202='G-1 All Habitats'!$X$3,H202-S202-T202,"None"))</f>
        <v/>
      </c>
      <c r="AD202" s="496" t="str">
        <f>IF(P202="","", IF(P202='G-1 All Habitats'!$X$3, AC202*J202*L202*O202,"None"))</f>
        <v/>
      </c>
      <c r="AE202" s="20" t="str">
        <f t="shared" si="15"/>
        <v/>
      </c>
      <c r="AF202" s="25" t="str">
        <f t="shared" si="16"/>
        <v/>
      </c>
      <c r="AG202" s="25" t="str">
        <f t="shared" si="12"/>
        <v/>
      </c>
      <c r="AH202" s="25" t="str">
        <f>IF(I202="","",IF(#REF!&gt;0,TRUE,FALSE))</f>
        <v/>
      </c>
      <c r="AI202" s="25">
        <v>192</v>
      </c>
      <c r="AJ202" s="25"/>
      <c r="AK202" s="25" t="str">
        <f t="array" ref="AK202">IFERROR(INDEX($AI$11:$AI$259, MATCH(0, IF(TRUE=$AF$11:$AF$259, COUNTIF($AK$10:$AK201, $AI$11:$AI$259), ""), 0)),"")</f>
        <v/>
      </c>
      <c r="AL202" s="25" t="str">
        <f t="array" ref="AL202">IFERROR(INDEX($AI$11:$AI$259, MATCH(0, IF(TRUE=$AG$11:$AG$259, COUNTIF($AL$10:$AL201, $AI$11:$AI$259), ""), 0)),"")</f>
        <v/>
      </c>
      <c r="AM202" s="25" t="str">
        <f t="array" ref="AM202">IFERROR(INDEX($AI$11:$AI$259, MATCH(0, IF(TRUE=$AH$11:$AH$259, COUNTIF($AM$10:$AM201, $AI$11:$AI$259), ""), 0)),"")</f>
        <v/>
      </c>
      <c r="AN202" s="25"/>
      <c r="AQ202" s="20">
        <f t="shared" si="17"/>
        <v>0</v>
      </c>
      <c r="AV202" s="540" t="str">
        <f>IFERROR(INDEX('G-1 All Habitats'!$B$3:$B$135,MATCH(F202,'G-1 All Habitats'!$A$3:$A$135,0)),"")</f>
        <v/>
      </c>
      <c r="AW202" s="20" t="str">
        <f>IF(AV202="","",VLOOKUP(AV202,'G-1 All Habitats'!$B$1:$T$135,19,FALSE))</f>
        <v/>
      </c>
    </row>
    <row r="203" spans="1:49" ht="14.5" thickBot="1" x14ac:dyDescent="0.35">
      <c r="A203" s="20" t="str">
        <f>IFERROR(INDEX('G-1 All Habitats'!$AG$3:$AG$17,MATCH(E203,'G-1 All Habitats'!$AF$3:$AF$17,0)),"")</f>
        <v/>
      </c>
      <c r="B203" s="20" t="str">
        <f>IFERROR(INDEX('G-8 Condition Look up'!$I$4:$I$135,MATCH(AV203,'G-8 Condition Look up'!$A$4:$A$135,0)),"")</f>
        <v/>
      </c>
      <c r="D203" s="238">
        <v>193</v>
      </c>
      <c r="E203" s="223"/>
      <c r="F203" s="45"/>
      <c r="G203" s="272"/>
      <c r="H203" s="37"/>
      <c r="I203" s="290" t="str">
        <f>IF(AV203="","",VLOOKUP(AV203,'G-1 All Habitats'!$B$2:$M$135,10,FALSE))</f>
        <v/>
      </c>
      <c r="J203" s="291" t="str">
        <f>IFERROR(VLOOKUP(I203,'G-1 All Habitats'!$V$3:$W$7,2,FALSE),"")</f>
        <v/>
      </c>
      <c r="K203" s="38"/>
      <c r="L203" s="291" t="str">
        <f>IFERROR(INDEX('G-8 Condition Look up'!$A$3:$H$135,MATCH(AV203,'G-8 Condition Look up'!$A$3:$A$135,0),MATCH(K203,'G-8 Condition Look up'!$A$3:$H$3,0)),"")</f>
        <v/>
      </c>
      <c r="M203" s="38"/>
      <c r="N203" s="310" t="str">
        <f>IF(M203="","",IF(VLOOKUP(M203,'G-3 Multipliers'!$L$3:$N$6,2,FALSE)=0,"Spatial Data Missing",VLOOKUP(M203,'G-3 Multipliers'!$L$3:$N$6,2,FALSE)))</f>
        <v/>
      </c>
      <c r="O203" s="296" t="str">
        <f>IF(M203="","",IF(VLOOKUP(M203,'G-3 Multipliers'!$L$3:$N$6,3,FALSE)=0,"Spatial Data Missing ▲",VLOOKUP(M203,'G-3 Multipliers'!$L$3:$N$6,3,FALSE)))</f>
        <v/>
      </c>
      <c r="P203" s="297" t="str">
        <f>(IF(G203="Yes","Bespoke compensation likely to be required 🛠",(IFERROR(VLOOKUP(AV203,'G-1 All Habitats'!$B$2:$M$135,12,FALSE),""))))</f>
        <v/>
      </c>
      <c r="Q203" s="304" t="str">
        <f>IFERROR(IF(AND(E203="Individual trees",T203&gt;0), "Error - you cannot enhance individual trees ▲", (IF(AND(U203="Irreplaceable habitat - no units generated ⚠",(S203+T203)&lt;H203, OR(Y203="No", Y203="")),"Any Loss Unacceptable ⚠", (IF(U203="Irreplaceable habitat - no units generated ⚠", T203*J203*L203*O203, IF(AND(P203='G-1 All Habitats'!$X$3, AC203&gt;0, S203&lt;=0, T203&lt;=0, OR(Y203="No", Y203="")),"Any Loss Unacceptable ⚠", IF(AND(P203='G-1 All Habitats'!$X$3, AC203&gt;0, S203&lt;=0, T203&lt;=0, Y203="Yes"), 0, (IF(AND(P203='G-1 All Habitats'!$X$3,(S203+T203)&lt;H203, OR(Y203="No", Y203="")),"Any Loss Unacceptable ⚠", (IF(P203="","",IF(AND(P203='G-1 All Habitats'!$X$3,T203&gt;0),U203+V203,IF(AND(P203='G-1 All Habitats'!$X$3,S203&gt;0),U203+V203,H203*J203*L203*O203))))))))))))),"Check Data ▲")</f>
        <v/>
      </c>
      <c r="R203" s="23"/>
      <c r="S203" s="38"/>
      <c r="T203" s="39"/>
      <c r="U203" s="302" t="str">
        <f t="shared" si="13"/>
        <v/>
      </c>
      <c r="V203" s="302" t="str">
        <f t="shared" si="14"/>
        <v/>
      </c>
      <c r="W203" s="302" t="str">
        <f>IF(E203="","",IF(H203&lt;S203+T203,"Error in Areas ▲",IF(P203&lt;&gt;'G-1 All Habitats'!$X$3,H203-S203-T203,IF(AND(P203='G-1 All Habitats'!$X$3,Y203="No"),AC203,IF(AND(P203='G-1 All Habitats'!$X$3,Y203=""),AC203,IF(AND(P203='G-1 All Habitats'!$X$3,AC203="None"),AC203,IF(AND(P203='G-1 All Habitats'!$X$3,AC203&gt;0),H203-S203-T203)))))))</f>
        <v/>
      </c>
      <c r="X203" s="306" t="str">
        <f>IFERROR(IF(H203="","",IF(H203-S203-T203=0&lt;0,"Error in Areas ▲",IF(S203+T203&gt;H203,"Error in Areas ▲",IF(AND(P203='G-1 All Habitats'!$X$3,Y203="Yes"),"Alternative Compensation ✓",IF(W203=0,0,IF(P203='G-1 All Habitats'!$X$3,"Any Loss Unacceptable ▲",Q203-U203-V203)))))),"Check Data ▲")</f>
        <v/>
      </c>
      <c r="Y203" s="39"/>
      <c r="Z203" s="46"/>
      <c r="AA203" s="419"/>
      <c r="AB203" s="101"/>
      <c r="AC203" s="495" t="str">
        <f>IF(OR(P203="", Y203="Yes"),"", IF(P203='G-1 All Habitats'!$X$3,H203-S203-T203,"None"))</f>
        <v/>
      </c>
      <c r="AD203" s="496" t="str">
        <f>IF(P203="","", IF(P203='G-1 All Habitats'!$X$3, AC203*J203*L203*O203,"None"))</f>
        <v/>
      </c>
      <c r="AE203" s="20" t="str">
        <f t="shared" si="15"/>
        <v/>
      </c>
      <c r="AF203" s="25" t="str">
        <f t="shared" si="16"/>
        <v/>
      </c>
      <c r="AG203" s="25" t="str">
        <f t="shared" ref="AG203:AG258" si="18">IF(H203="","",IF(T203&gt;0,TRUE,FALSE))</f>
        <v/>
      </c>
      <c r="AH203" s="25" t="str">
        <f>IF(I203="","",IF(#REF!&gt;0,TRUE,FALSE))</f>
        <v/>
      </c>
      <c r="AI203" s="25">
        <v>193</v>
      </c>
      <c r="AJ203" s="25"/>
      <c r="AK203" s="25" t="str">
        <f t="array" ref="AK203">IFERROR(INDEX($AI$11:$AI$259, MATCH(0, IF(TRUE=$AF$11:$AF$259, COUNTIF($AK$10:$AK202, $AI$11:$AI$259), ""), 0)),"")</f>
        <v/>
      </c>
      <c r="AL203" s="25" t="str">
        <f t="array" ref="AL203">IFERROR(INDEX($AI$11:$AI$259, MATCH(0, IF(TRUE=$AG$11:$AG$259, COUNTIF($AL$10:$AL202, $AI$11:$AI$259), ""), 0)),"")</f>
        <v/>
      </c>
      <c r="AM203" s="25" t="str">
        <f t="array" ref="AM203">IFERROR(INDEX($AI$11:$AI$259, MATCH(0, IF(TRUE=$AH$11:$AH$259, COUNTIF($AM$10:$AM202, $AI$11:$AI$259), ""), 0)),"")</f>
        <v/>
      </c>
      <c r="AN203" s="25"/>
      <c r="AQ203" s="20">
        <f t="shared" si="17"/>
        <v>0</v>
      </c>
      <c r="AV203" s="540" t="str">
        <f>IFERROR(INDEX('G-1 All Habitats'!$B$3:$B$135,MATCH(F203,'G-1 All Habitats'!$A$3:$A$135,0)),"")</f>
        <v/>
      </c>
      <c r="AW203" s="20" t="str">
        <f>IF(AV203="","",VLOOKUP(AV203,'G-1 All Habitats'!$B$1:$T$135,19,FALSE))</f>
        <v/>
      </c>
    </row>
    <row r="204" spans="1:49" ht="14.5" thickBot="1" x14ac:dyDescent="0.35">
      <c r="A204" s="20" t="str">
        <f>IFERROR(INDEX('G-1 All Habitats'!$AG$3:$AG$17,MATCH(E204,'G-1 All Habitats'!$AF$3:$AF$17,0)),"")</f>
        <v/>
      </c>
      <c r="B204" s="20" t="str">
        <f>IFERROR(INDEX('G-8 Condition Look up'!$I$4:$I$135,MATCH(AV204,'G-8 Condition Look up'!$A$4:$A$135,0)),"")</f>
        <v/>
      </c>
      <c r="D204" s="238">
        <v>194</v>
      </c>
      <c r="E204" s="223"/>
      <c r="F204" s="45"/>
      <c r="G204" s="272"/>
      <c r="H204" s="37"/>
      <c r="I204" s="290" t="str">
        <f>IF(AV204="","",VLOOKUP(AV204,'G-1 All Habitats'!$B$2:$M$135,10,FALSE))</f>
        <v/>
      </c>
      <c r="J204" s="291" t="str">
        <f>IFERROR(VLOOKUP(I204,'G-1 All Habitats'!$V$3:$W$7,2,FALSE),"")</f>
        <v/>
      </c>
      <c r="K204" s="38"/>
      <c r="L204" s="291" t="str">
        <f>IFERROR(INDEX('G-8 Condition Look up'!$A$3:$H$135,MATCH(AV204,'G-8 Condition Look up'!$A$3:$A$135,0),MATCH(K204,'G-8 Condition Look up'!$A$3:$H$3,0)),"")</f>
        <v/>
      </c>
      <c r="M204" s="38"/>
      <c r="N204" s="310" t="str">
        <f>IF(M204="","",IF(VLOOKUP(M204,'G-3 Multipliers'!$L$3:$N$6,2,FALSE)=0,"Spatial Data Missing",VLOOKUP(M204,'G-3 Multipliers'!$L$3:$N$6,2,FALSE)))</f>
        <v/>
      </c>
      <c r="O204" s="296" t="str">
        <f>IF(M204="","",IF(VLOOKUP(M204,'G-3 Multipliers'!$L$3:$N$6,3,FALSE)=0,"Spatial Data Missing ▲",VLOOKUP(M204,'G-3 Multipliers'!$L$3:$N$6,3,FALSE)))</f>
        <v/>
      </c>
      <c r="P204" s="297" t="str">
        <f>(IF(G204="Yes","Bespoke compensation likely to be required 🛠",(IFERROR(VLOOKUP(AV204,'G-1 All Habitats'!$B$2:$M$135,12,FALSE),""))))</f>
        <v/>
      </c>
      <c r="Q204" s="304" t="str">
        <f>IFERROR(IF(AND(E204="Individual trees",T204&gt;0), "Error - you cannot enhance individual trees ▲", (IF(AND(U204="Irreplaceable habitat - no units generated ⚠",(S204+T204)&lt;H204, OR(Y204="No", Y204="")),"Any Loss Unacceptable ⚠", (IF(U204="Irreplaceable habitat - no units generated ⚠", T204*J204*L204*O204, IF(AND(P204='G-1 All Habitats'!$X$3, AC204&gt;0, S204&lt;=0, T204&lt;=0, OR(Y204="No", Y204="")),"Any Loss Unacceptable ⚠", IF(AND(P204='G-1 All Habitats'!$X$3, AC204&gt;0, S204&lt;=0, T204&lt;=0, Y204="Yes"), 0, (IF(AND(P204='G-1 All Habitats'!$X$3,(S204+T204)&lt;H204, OR(Y204="No", Y204="")),"Any Loss Unacceptable ⚠", (IF(P204="","",IF(AND(P204='G-1 All Habitats'!$X$3,T204&gt;0),U204+V204,IF(AND(P204='G-1 All Habitats'!$X$3,S204&gt;0),U204+V204,H204*J204*L204*O204))))))))))))),"Check Data ▲")</f>
        <v/>
      </c>
      <c r="R204" s="23"/>
      <c r="S204" s="38"/>
      <c r="T204" s="39"/>
      <c r="U204" s="302" t="str">
        <f t="shared" ref="U204:U258" si="19">IFERROR(IF(G204="Yes","Irreplaceable habitat - no units generated ⚠", (S204*J204*L204*O204)),"")</f>
        <v/>
      </c>
      <c r="V204" s="302" t="str">
        <f t="shared" ref="V204:V258" si="20">IFERROR(IF(AND(E204="Individual trees",T204&gt;0), "Error - ▲", (T204*J204*L204*O204)),"")</f>
        <v/>
      </c>
      <c r="W204" s="302" t="str">
        <f>IF(E204="","",IF(H204&lt;S204+T204,"Error in Areas ▲",IF(P204&lt;&gt;'G-1 All Habitats'!$X$3,H204-S204-T204,IF(AND(P204='G-1 All Habitats'!$X$3,Y204="No"),AC204,IF(AND(P204='G-1 All Habitats'!$X$3,Y204=""),AC204,IF(AND(P204='G-1 All Habitats'!$X$3,AC204="None"),AC204,IF(AND(P204='G-1 All Habitats'!$X$3,AC204&gt;0),H204-S204-T204)))))))</f>
        <v/>
      </c>
      <c r="X204" s="306" t="str">
        <f>IFERROR(IF(H204="","",IF(H204-S204-T204=0&lt;0,"Error in Areas ▲",IF(S204+T204&gt;H204,"Error in Areas ▲",IF(AND(P204='G-1 All Habitats'!$X$3,Y204="Yes"),"Alternative Compensation ✓",IF(W204=0,0,IF(P204='G-1 All Habitats'!$X$3,"Any Loss Unacceptable ▲",Q204-U204-V204)))))),"Check Data ▲")</f>
        <v/>
      </c>
      <c r="Y204" s="39"/>
      <c r="Z204" s="46"/>
      <c r="AA204" s="419"/>
      <c r="AB204" s="101"/>
      <c r="AC204" s="495" t="str">
        <f>IF(OR(P204="", Y204="Yes"),"", IF(P204='G-1 All Habitats'!$X$3,H204-S204-T204,"None"))</f>
        <v/>
      </c>
      <c r="AD204" s="496" t="str">
        <f>IF(P204="","", IF(P204='G-1 All Habitats'!$X$3, AC204*J204*L204*O204,"None"))</f>
        <v/>
      </c>
      <c r="AE204" s="20" t="str">
        <f t="shared" ref="AE204:AE258" si="21">IF(Y204="Yes","Yes ✓",IF(Y204="No","No ▲",""))</f>
        <v/>
      </c>
      <c r="AF204" s="25" t="str">
        <f t="shared" ref="AF204:AF258" si="22">IF(AV204="","",IF(S204&gt;0,TRUE,FALSE))</f>
        <v/>
      </c>
      <c r="AG204" s="25" t="str">
        <f t="shared" si="18"/>
        <v/>
      </c>
      <c r="AH204" s="25" t="str">
        <f>IF(I204="","",IF(#REF!&gt;0,TRUE,FALSE))</f>
        <v/>
      </c>
      <c r="AI204" s="25">
        <v>194</v>
      </c>
      <c r="AJ204" s="25"/>
      <c r="AK204" s="25" t="str">
        <f t="array" ref="AK204">IFERROR(INDEX($AI$11:$AI$259, MATCH(0, IF(TRUE=$AF$11:$AF$259, COUNTIF($AK$10:$AK203, $AI$11:$AI$259), ""), 0)),"")</f>
        <v/>
      </c>
      <c r="AL204" s="25" t="str">
        <f t="array" ref="AL204">IFERROR(INDEX($AI$11:$AI$259, MATCH(0, IF(TRUE=$AG$11:$AG$259, COUNTIF($AL$10:$AL203, $AI$11:$AI$259), ""), 0)),"")</f>
        <v/>
      </c>
      <c r="AM204" s="25" t="str">
        <f t="array" ref="AM204">IFERROR(INDEX($AI$11:$AI$259, MATCH(0, IF(TRUE=$AH$11:$AH$259, COUNTIF($AM$10:$AM203, $AI$11:$AI$259), ""), 0)),"")</f>
        <v/>
      </c>
      <c r="AN204" s="25"/>
      <c r="AQ204" s="20">
        <f t="shared" ref="AQ204:AQ258" si="23">IF(X204="Any Loss Unacceptable ▲",1,0)</f>
        <v>0</v>
      </c>
      <c r="AV204" s="540" t="str">
        <f>IFERROR(INDEX('G-1 All Habitats'!$B$3:$B$135,MATCH(F204,'G-1 All Habitats'!$A$3:$A$135,0)),"")</f>
        <v/>
      </c>
      <c r="AW204" s="20" t="str">
        <f>IF(AV204="","",VLOOKUP(AV204,'G-1 All Habitats'!$B$1:$T$135,19,FALSE))</f>
        <v/>
      </c>
    </row>
    <row r="205" spans="1:49" ht="14.5" thickBot="1" x14ac:dyDescent="0.35">
      <c r="A205" s="20" t="str">
        <f>IFERROR(INDEX('G-1 All Habitats'!$AG$3:$AG$17,MATCH(E205,'G-1 All Habitats'!$AF$3:$AF$17,0)),"")</f>
        <v/>
      </c>
      <c r="B205" s="20" t="str">
        <f>IFERROR(INDEX('G-8 Condition Look up'!$I$4:$I$135,MATCH(AV205,'G-8 Condition Look up'!$A$4:$A$135,0)),"")</f>
        <v/>
      </c>
      <c r="D205" s="238">
        <v>195</v>
      </c>
      <c r="E205" s="223"/>
      <c r="F205" s="45"/>
      <c r="G205" s="272"/>
      <c r="H205" s="37"/>
      <c r="I205" s="290" t="str">
        <f>IF(AV205="","",VLOOKUP(AV205,'G-1 All Habitats'!$B$2:$M$135,10,FALSE))</f>
        <v/>
      </c>
      <c r="J205" s="291" t="str">
        <f>IFERROR(VLOOKUP(I205,'G-1 All Habitats'!$V$3:$W$7,2,FALSE),"")</f>
        <v/>
      </c>
      <c r="K205" s="38"/>
      <c r="L205" s="291" t="str">
        <f>IFERROR(INDEX('G-8 Condition Look up'!$A$3:$H$135,MATCH(AV205,'G-8 Condition Look up'!$A$3:$A$135,0),MATCH(K205,'G-8 Condition Look up'!$A$3:$H$3,0)),"")</f>
        <v/>
      </c>
      <c r="M205" s="38"/>
      <c r="N205" s="310" t="str">
        <f>IF(M205="","",IF(VLOOKUP(M205,'G-3 Multipliers'!$L$3:$N$6,2,FALSE)=0,"Spatial Data Missing",VLOOKUP(M205,'G-3 Multipliers'!$L$3:$N$6,2,FALSE)))</f>
        <v/>
      </c>
      <c r="O205" s="296" t="str">
        <f>IF(M205="","",IF(VLOOKUP(M205,'G-3 Multipliers'!$L$3:$N$6,3,FALSE)=0,"Spatial Data Missing ▲",VLOOKUP(M205,'G-3 Multipliers'!$L$3:$N$6,3,FALSE)))</f>
        <v/>
      </c>
      <c r="P205" s="297" t="str">
        <f>(IF(G205="Yes","Bespoke compensation likely to be required 🛠",(IFERROR(VLOOKUP(AV205,'G-1 All Habitats'!$B$2:$M$135,12,FALSE),""))))</f>
        <v/>
      </c>
      <c r="Q205" s="304" t="str">
        <f>IFERROR(IF(AND(E205="Individual trees",T205&gt;0), "Error - you cannot enhance individual trees ▲", (IF(AND(U205="Irreplaceable habitat - no units generated ⚠",(S205+T205)&lt;H205, OR(Y205="No", Y205="")),"Any Loss Unacceptable ⚠", (IF(U205="Irreplaceable habitat - no units generated ⚠", T205*J205*L205*O205, IF(AND(P205='G-1 All Habitats'!$X$3, AC205&gt;0, S205&lt;=0, T205&lt;=0, OR(Y205="No", Y205="")),"Any Loss Unacceptable ⚠", IF(AND(P205='G-1 All Habitats'!$X$3, AC205&gt;0, S205&lt;=0, T205&lt;=0, Y205="Yes"), 0, (IF(AND(P205='G-1 All Habitats'!$X$3,(S205+T205)&lt;H205, OR(Y205="No", Y205="")),"Any Loss Unacceptable ⚠", (IF(P205="","",IF(AND(P205='G-1 All Habitats'!$X$3,T205&gt;0),U205+V205,IF(AND(P205='G-1 All Habitats'!$X$3,S205&gt;0),U205+V205,H205*J205*L205*O205))))))))))))),"Check Data ▲")</f>
        <v/>
      </c>
      <c r="R205" s="23"/>
      <c r="S205" s="38"/>
      <c r="T205" s="39"/>
      <c r="U205" s="302" t="str">
        <f t="shared" si="19"/>
        <v/>
      </c>
      <c r="V205" s="302" t="str">
        <f t="shared" si="20"/>
        <v/>
      </c>
      <c r="W205" s="302" t="str">
        <f>IF(E205="","",IF(H205&lt;S205+T205,"Error in Areas ▲",IF(P205&lt;&gt;'G-1 All Habitats'!$X$3,H205-S205-T205,IF(AND(P205='G-1 All Habitats'!$X$3,Y205="No"),AC205,IF(AND(P205='G-1 All Habitats'!$X$3,Y205=""),AC205,IF(AND(P205='G-1 All Habitats'!$X$3,AC205="None"),AC205,IF(AND(P205='G-1 All Habitats'!$X$3,AC205&gt;0),H205-S205-T205)))))))</f>
        <v/>
      </c>
      <c r="X205" s="306" t="str">
        <f>IFERROR(IF(H205="","",IF(H205-S205-T205=0&lt;0,"Error in Areas ▲",IF(S205+T205&gt;H205,"Error in Areas ▲",IF(AND(P205='G-1 All Habitats'!$X$3,Y205="Yes"),"Alternative Compensation ✓",IF(W205=0,0,IF(P205='G-1 All Habitats'!$X$3,"Any Loss Unacceptable ▲",Q205-U205-V205)))))),"Check Data ▲")</f>
        <v/>
      </c>
      <c r="Y205" s="39"/>
      <c r="Z205" s="46"/>
      <c r="AA205" s="419"/>
      <c r="AB205" s="101"/>
      <c r="AC205" s="495" t="str">
        <f>IF(OR(P205="", Y205="Yes"),"", IF(P205='G-1 All Habitats'!$X$3,H205-S205-T205,"None"))</f>
        <v/>
      </c>
      <c r="AD205" s="496" t="str">
        <f>IF(P205="","", IF(P205='G-1 All Habitats'!$X$3, AC205*J205*L205*O205,"None"))</f>
        <v/>
      </c>
      <c r="AE205" s="20" t="str">
        <f t="shared" si="21"/>
        <v/>
      </c>
      <c r="AF205" s="25" t="str">
        <f t="shared" si="22"/>
        <v/>
      </c>
      <c r="AG205" s="25" t="str">
        <f t="shared" si="18"/>
        <v/>
      </c>
      <c r="AH205" s="25" t="str">
        <f>IF(I205="","",IF(#REF!&gt;0,TRUE,FALSE))</f>
        <v/>
      </c>
      <c r="AI205" s="25">
        <v>195</v>
      </c>
      <c r="AJ205" s="25"/>
      <c r="AK205" s="25" t="str">
        <f t="array" ref="AK205">IFERROR(INDEX($AI$11:$AI$259, MATCH(0, IF(TRUE=$AF$11:$AF$259, COUNTIF($AK$10:$AK204, $AI$11:$AI$259), ""), 0)),"")</f>
        <v/>
      </c>
      <c r="AL205" s="25" t="str">
        <f t="array" ref="AL205">IFERROR(INDEX($AI$11:$AI$259, MATCH(0, IF(TRUE=$AG$11:$AG$259, COUNTIF($AL$10:$AL204, $AI$11:$AI$259), ""), 0)),"")</f>
        <v/>
      </c>
      <c r="AM205" s="25" t="str">
        <f t="array" ref="AM205">IFERROR(INDEX($AI$11:$AI$259, MATCH(0, IF(TRUE=$AH$11:$AH$259, COUNTIF($AM$10:$AM204, $AI$11:$AI$259), ""), 0)),"")</f>
        <v/>
      </c>
      <c r="AN205" s="25"/>
      <c r="AQ205" s="20">
        <f t="shared" si="23"/>
        <v>0</v>
      </c>
      <c r="AV205" s="540" t="str">
        <f>IFERROR(INDEX('G-1 All Habitats'!$B$3:$B$135,MATCH(F205,'G-1 All Habitats'!$A$3:$A$135,0)),"")</f>
        <v/>
      </c>
      <c r="AW205" s="20" t="str">
        <f>IF(AV205="","",VLOOKUP(AV205,'G-1 All Habitats'!$B$1:$T$135,19,FALSE))</f>
        <v/>
      </c>
    </row>
    <row r="206" spans="1:49" ht="14.5" thickBot="1" x14ac:dyDescent="0.35">
      <c r="A206" s="20" t="str">
        <f>IFERROR(INDEX('G-1 All Habitats'!$AG$3:$AG$17,MATCH(E206,'G-1 All Habitats'!$AF$3:$AF$17,0)),"")</f>
        <v/>
      </c>
      <c r="B206" s="20" t="str">
        <f>IFERROR(INDEX('G-8 Condition Look up'!$I$4:$I$135,MATCH(AV206,'G-8 Condition Look up'!$A$4:$A$135,0)),"")</f>
        <v/>
      </c>
      <c r="D206" s="238">
        <v>196</v>
      </c>
      <c r="E206" s="223"/>
      <c r="F206" s="45"/>
      <c r="G206" s="272"/>
      <c r="H206" s="37"/>
      <c r="I206" s="290" t="str">
        <f>IF(AV206="","",VLOOKUP(AV206,'G-1 All Habitats'!$B$2:$M$135,10,FALSE))</f>
        <v/>
      </c>
      <c r="J206" s="291" t="str">
        <f>IFERROR(VLOOKUP(I206,'G-1 All Habitats'!$V$3:$W$7,2,FALSE),"")</f>
        <v/>
      </c>
      <c r="K206" s="38"/>
      <c r="L206" s="291" t="str">
        <f>IFERROR(INDEX('G-8 Condition Look up'!$A$3:$H$135,MATCH(AV206,'G-8 Condition Look up'!$A$3:$A$135,0),MATCH(K206,'G-8 Condition Look up'!$A$3:$H$3,0)),"")</f>
        <v/>
      </c>
      <c r="M206" s="38"/>
      <c r="N206" s="310" t="str">
        <f>IF(M206="","",IF(VLOOKUP(M206,'G-3 Multipliers'!$L$3:$N$6,2,FALSE)=0,"Spatial Data Missing",VLOOKUP(M206,'G-3 Multipliers'!$L$3:$N$6,2,FALSE)))</f>
        <v/>
      </c>
      <c r="O206" s="296" t="str">
        <f>IF(M206="","",IF(VLOOKUP(M206,'G-3 Multipliers'!$L$3:$N$6,3,FALSE)=0,"Spatial Data Missing ▲",VLOOKUP(M206,'G-3 Multipliers'!$L$3:$N$6,3,FALSE)))</f>
        <v/>
      </c>
      <c r="P206" s="297" t="str">
        <f>(IF(G206="Yes","Bespoke compensation likely to be required 🛠",(IFERROR(VLOOKUP(AV206,'G-1 All Habitats'!$B$2:$M$135,12,FALSE),""))))</f>
        <v/>
      </c>
      <c r="Q206" s="304" t="str">
        <f>IFERROR(IF(AND(E206="Individual trees",T206&gt;0), "Error - you cannot enhance individual trees ▲", (IF(AND(U206="Irreplaceable habitat - no units generated ⚠",(S206+T206)&lt;H206, OR(Y206="No", Y206="")),"Any Loss Unacceptable ⚠", (IF(U206="Irreplaceable habitat - no units generated ⚠", T206*J206*L206*O206, IF(AND(P206='G-1 All Habitats'!$X$3, AC206&gt;0, S206&lt;=0, T206&lt;=0, OR(Y206="No", Y206="")),"Any Loss Unacceptable ⚠", IF(AND(P206='G-1 All Habitats'!$X$3, AC206&gt;0, S206&lt;=0, T206&lt;=0, Y206="Yes"), 0, (IF(AND(P206='G-1 All Habitats'!$X$3,(S206+T206)&lt;H206, OR(Y206="No", Y206="")),"Any Loss Unacceptable ⚠", (IF(P206="","",IF(AND(P206='G-1 All Habitats'!$X$3,T206&gt;0),U206+V206,IF(AND(P206='G-1 All Habitats'!$X$3,S206&gt;0),U206+V206,H206*J206*L206*O206))))))))))))),"Check Data ▲")</f>
        <v/>
      </c>
      <c r="R206" s="23"/>
      <c r="S206" s="38"/>
      <c r="T206" s="39"/>
      <c r="U206" s="302" t="str">
        <f t="shared" si="19"/>
        <v/>
      </c>
      <c r="V206" s="302" t="str">
        <f t="shared" si="20"/>
        <v/>
      </c>
      <c r="W206" s="302" t="str">
        <f>IF(E206="","",IF(H206&lt;S206+T206,"Error in Areas ▲",IF(P206&lt;&gt;'G-1 All Habitats'!$X$3,H206-S206-T206,IF(AND(P206='G-1 All Habitats'!$X$3,Y206="No"),AC206,IF(AND(P206='G-1 All Habitats'!$X$3,Y206=""),AC206,IF(AND(P206='G-1 All Habitats'!$X$3,AC206="None"),AC206,IF(AND(P206='G-1 All Habitats'!$X$3,AC206&gt;0),H206-S206-T206)))))))</f>
        <v/>
      </c>
      <c r="X206" s="306" t="str">
        <f>IFERROR(IF(H206="","",IF(H206-S206-T206=0&lt;0,"Error in Areas ▲",IF(S206+T206&gt;H206,"Error in Areas ▲",IF(AND(P206='G-1 All Habitats'!$X$3,Y206="Yes"),"Alternative Compensation ✓",IF(W206=0,0,IF(P206='G-1 All Habitats'!$X$3,"Any Loss Unacceptable ▲",Q206-U206-V206)))))),"Check Data ▲")</f>
        <v/>
      </c>
      <c r="Y206" s="39"/>
      <c r="Z206" s="46"/>
      <c r="AA206" s="419"/>
      <c r="AB206" s="101"/>
      <c r="AC206" s="495" t="str">
        <f>IF(OR(P206="", Y206="Yes"),"", IF(P206='G-1 All Habitats'!$X$3,H206-S206-T206,"None"))</f>
        <v/>
      </c>
      <c r="AD206" s="496" t="str">
        <f>IF(P206="","", IF(P206='G-1 All Habitats'!$X$3, AC206*J206*L206*O206,"None"))</f>
        <v/>
      </c>
      <c r="AE206" s="20" t="str">
        <f t="shared" si="21"/>
        <v/>
      </c>
      <c r="AF206" s="25" t="str">
        <f t="shared" si="22"/>
        <v/>
      </c>
      <c r="AG206" s="25" t="str">
        <f t="shared" si="18"/>
        <v/>
      </c>
      <c r="AH206" s="25" t="str">
        <f>IF(I206="","",IF(#REF!&gt;0,TRUE,FALSE))</f>
        <v/>
      </c>
      <c r="AI206" s="25">
        <v>196</v>
      </c>
      <c r="AJ206" s="25"/>
      <c r="AK206" s="25" t="str">
        <f t="array" ref="AK206">IFERROR(INDEX($AI$11:$AI$259, MATCH(0, IF(TRUE=$AF$11:$AF$259, COUNTIF($AK$10:$AK205, $AI$11:$AI$259), ""), 0)),"")</f>
        <v/>
      </c>
      <c r="AL206" s="25" t="str">
        <f t="array" ref="AL206">IFERROR(INDEX($AI$11:$AI$259, MATCH(0, IF(TRUE=$AG$11:$AG$259, COUNTIF($AL$10:$AL205, $AI$11:$AI$259), ""), 0)),"")</f>
        <v/>
      </c>
      <c r="AM206" s="25" t="str">
        <f t="array" ref="AM206">IFERROR(INDEX($AI$11:$AI$259, MATCH(0, IF(TRUE=$AH$11:$AH$259, COUNTIF($AM$10:$AM205, $AI$11:$AI$259), ""), 0)),"")</f>
        <v/>
      </c>
      <c r="AN206" s="25"/>
      <c r="AQ206" s="20">
        <f t="shared" si="23"/>
        <v>0</v>
      </c>
      <c r="AV206" s="540" t="str">
        <f>IFERROR(INDEX('G-1 All Habitats'!$B$3:$B$135,MATCH(F206,'G-1 All Habitats'!$A$3:$A$135,0)),"")</f>
        <v/>
      </c>
      <c r="AW206" s="20" t="str">
        <f>IF(AV206="","",VLOOKUP(AV206,'G-1 All Habitats'!$B$1:$T$135,19,FALSE))</f>
        <v/>
      </c>
    </row>
    <row r="207" spans="1:49" ht="14.5" thickBot="1" x14ac:dyDescent="0.35">
      <c r="A207" s="20" t="str">
        <f>IFERROR(INDEX('G-1 All Habitats'!$AG$3:$AG$17,MATCH(E207,'G-1 All Habitats'!$AF$3:$AF$17,0)),"")</f>
        <v/>
      </c>
      <c r="B207" s="20" t="str">
        <f>IFERROR(INDEX('G-8 Condition Look up'!$I$4:$I$135,MATCH(AV207,'G-8 Condition Look up'!$A$4:$A$135,0)),"")</f>
        <v/>
      </c>
      <c r="D207" s="238">
        <v>197</v>
      </c>
      <c r="E207" s="223"/>
      <c r="F207" s="45"/>
      <c r="G207" s="272"/>
      <c r="H207" s="37"/>
      <c r="I207" s="290" t="str">
        <f>IF(AV207="","",VLOOKUP(AV207,'G-1 All Habitats'!$B$2:$M$135,10,FALSE))</f>
        <v/>
      </c>
      <c r="J207" s="291" t="str">
        <f>IFERROR(VLOOKUP(I207,'G-1 All Habitats'!$V$3:$W$7,2,FALSE),"")</f>
        <v/>
      </c>
      <c r="K207" s="38"/>
      <c r="L207" s="291" t="str">
        <f>IFERROR(INDEX('G-8 Condition Look up'!$A$3:$H$135,MATCH(AV207,'G-8 Condition Look up'!$A$3:$A$135,0),MATCH(K207,'G-8 Condition Look up'!$A$3:$H$3,0)),"")</f>
        <v/>
      </c>
      <c r="M207" s="38"/>
      <c r="N207" s="310" t="str">
        <f>IF(M207="","",IF(VLOOKUP(M207,'G-3 Multipliers'!$L$3:$N$6,2,FALSE)=0,"Spatial Data Missing",VLOOKUP(M207,'G-3 Multipliers'!$L$3:$N$6,2,FALSE)))</f>
        <v/>
      </c>
      <c r="O207" s="296" t="str">
        <f>IF(M207="","",IF(VLOOKUP(M207,'G-3 Multipliers'!$L$3:$N$6,3,FALSE)=0,"Spatial Data Missing ▲",VLOOKUP(M207,'G-3 Multipliers'!$L$3:$N$6,3,FALSE)))</f>
        <v/>
      </c>
      <c r="P207" s="297" t="str">
        <f>(IF(G207="Yes","Bespoke compensation likely to be required 🛠",(IFERROR(VLOOKUP(AV207,'G-1 All Habitats'!$B$2:$M$135,12,FALSE),""))))</f>
        <v/>
      </c>
      <c r="Q207" s="304" t="str">
        <f>IFERROR(IF(AND(E207="Individual trees",T207&gt;0), "Error - you cannot enhance individual trees ▲", (IF(AND(U207="Irreplaceable habitat - no units generated ⚠",(S207+T207)&lt;H207, OR(Y207="No", Y207="")),"Any Loss Unacceptable ⚠", (IF(U207="Irreplaceable habitat - no units generated ⚠", T207*J207*L207*O207, IF(AND(P207='G-1 All Habitats'!$X$3, AC207&gt;0, S207&lt;=0, T207&lt;=0, OR(Y207="No", Y207="")),"Any Loss Unacceptable ⚠", IF(AND(P207='G-1 All Habitats'!$X$3, AC207&gt;0, S207&lt;=0, T207&lt;=0, Y207="Yes"), 0, (IF(AND(P207='G-1 All Habitats'!$X$3,(S207+T207)&lt;H207, OR(Y207="No", Y207="")),"Any Loss Unacceptable ⚠", (IF(P207="","",IF(AND(P207='G-1 All Habitats'!$X$3,T207&gt;0),U207+V207,IF(AND(P207='G-1 All Habitats'!$X$3,S207&gt;0),U207+V207,H207*J207*L207*O207))))))))))))),"Check Data ▲")</f>
        <v/>
      </c>
      <c r="R207" s="23"/>
      <c r="S207" s="38"/>
      <c r="T207" s="39"/>
      <c r="U207" s="302" t="str">
        <f t="shared" si="19"/>
        <v/>
      </c>
      <c r="V207" s="302" t="str">
        <f t="shared" si="20"/>
        <v/>
      </c>
      <c r="W207" s="302" t="str">
        <f>IF(E207="","",IF(H207&lt;S207+T207,"Error in Areas ▲",IF(P207&lt;&gt;'G-1 All Habitats'!$X$3,H207-S207-T207,IF(AND(P207='G-1 All Habitats'!$X$3,Y207="No"),AC207,IF(AND(P207='G-1 All Habitats'!$X$3,Y207=""),AC207,IF(AND(P207='G-1 All Habitats'!$X$3,AC207="None"),AC207,IF(AND(P207='G-1 All Habitats'!$X$3,AC207&gt;0),H207-S207-T207)))))))</f>
        <v/>
      </c>
      <c r="X207" s="306" t="str">
        <f>IFERROR(IF(H207="","",IF(H207-S207-T207=0&lt;0,"Error in Areas ▲",IF(S207+T207&gt;H207,"Error in Areas ▲",IF(AND(P207='G-1 All Habitats'!$X$3,Y207="Yes"),"Alternative Compensation ✓",IF(W207=0,0,IF(P207='G-1 All Habitats'!$X$3,"Any Loss Unacceptable ▲",Q207-U207-V207)))))),"Check Data ▲")</f>
        <v/>
      </c>
      <c r="Y207" s="39"/>
      <c r="Z207" s="46"/>
      <c r="AA207" s="419"/>
      <c r="AB207" s="101"/>
      <c r="AC207" s="495" t="str">
        <f>IF(OR(P207="", Y207="Yes"),"", IF(P207='G-1 All Habitats'!$X$3,H207-S207-T207,"None"))</f>
        <v/>
      </c>
      <c r="AD207" s="496" t="str">
        <f>IF(P207="","", IF(P207='G-1 All Habitats'!$X$3, AC207*J207*L207*O207,"None"))</f>
        <v/>
      </c>
      <c r="AE207" s="20" t="str">
        <f t="shared" si="21"/>
        <v/>
      </c>
      <c r="AF207" s="25" t="str">
        <f t="shared" si="22"/>
        <v/>
      </c>
      <c r="AG207" s="25" t="str">
        <f t="shared" si="18"/>
        <v/>
      </c>
      <c r="AH207" s="25" t="str">
        <f>IF(I207="","",IF(#REF!&gt;0,TRUE,FALSE))</f>
        <v/>
      </c>
      <c r="AI207" s="25">
        <v>197</v>
      </c>
      <c r="AJ207" s="25"/>
      <c r="AK207" s="25" t="str">
        <f t="array" ref="AK207">IFERROR(INDEX($AI$11:$AI$259, MATCH(0, IF(TRUE=$AF$11:$AF$259, COUNTIF($AK$10:$AK206, $AI$11:$AI$259), ""), 0)),"")</f>
        <v/>
      </c>
      <c r="AL207" s="25" t="str">
        <f t="array" ref="AL207">IFERROR(INDEX($AI$11:$AI$259, MATCH(0, IF(TRUE=$AG$11:$AG$259, COUNTIF($AL$10:$AL206, $AI$11:$AI$259), ""), 0)),"")</f>
        <v/>
      </c>
      <c r="AM207" s="25" t="str">
        <f t="array" ref="AM207">IFERROR(INDEX($AI$11:$AI$259, MATCH(0, IF(TRUE=$AH$11:$AH$259, COUNTIF($AM$10:$AM206, $AI$11:$AI$259), ""), 0)),"")</f>
        <v/>
      </c>
      <c r="AN207" s="25"/>
      <c r="AQ207" s="20">
        <f t="shared" si="23"/>
        <v>0</v>
      </c>
      <c r="AV207" s="540" t="str">
        <f>IFERROR(INDEX('G-1 All Habitats'!$B$3:$B$135,MATCH(F207,'G-1 All Habitats'!$A$3:$A$135,0)),"")</f>
        <v/>
      </c>
      <c r="AW207" s="20" t="str">
        <f>IF(AV207="","",VLOOKUP(AV207,'G-1 All Habitats'!$B$1:$T$135,19,FALSE))</f>
        <v/>
      </c>
    </row>
    <row r="208" spans="1:49" ht="14.5" thickBot="1" x14ac:dyDescent="0.35">
      <c r="A208" s="20" t="str">
        <f>IFERROR(INDEX('G-1 All Habitats'!$AG$3:$AG$17,MATCH(E208,'G-1 All Habitats'!$AF$3:$AF$17,0)),"")</f>
        <v/>
      </c>
      <c r="B208" s="20" t="str">
        <f>IFERROR(INDEX('G-8 Condition Look up'!$I$4:$I$135,MATCH(AV208,'G-8 Condition Look up'!$A$4:$A$135,0)),"")</f>
        <v/>
      </c>
      <c r="D208" s="238">
        <v>198</v>
      </c>
      <c r="E208" s="223"/>
      <c r="F208" s="45"/>
      <c r="G208" s="272"/>
      <c r="H208" s="37"/>
      <c r="I208" s="290" t="str">
        <f>IF(AV208="","",VLOOKUP(AV208,'G-1 All Habitats'!$B$2:$M$135,10,FALSE))</f>
        <v/>
      </c>
      <c r="J208" s="291" t="str">
        <f>IFERROR(VLOOKUP(I208,'G-1 All Habitats'!$V$3:$W$7,2,FALSE),"")</f>
        <v/>
      </c>
      <c r="K208" s="38"/>
      <c r="L208" s="291" t="str">
        <f>IFERROR(INDEX('G-8 Condition Look up'!$A$3:$H$135,MATCH(AV208,'G-8 Condition Look up'!$A$3:$A$135,0),MATCH(K208,'G-8 Condition Look up'!$A$3:$H$3,0)),"")</f>
        <v/>
      </c>
      <c r="M208" s="38"/>
      <c r="N208" s="310" t="str">
        <f>IF(M208="","",IF(VLOOKUP(M208,'G-3 Multipliers'!$L$3:$N$6,2,FALSE)=0,"Spatial Data Missing",VLOOKUP(M208,'G-3 Multipliers'!$L$3:$N$6,2,FALSE)))</f>
        <v/>
      </c>
      <c r="O208" s="296" t="str">
        <f>IF(M208="","",IF(VLOOKUP(M208,'G-3 Multipliers'!$L$3:$N$6,3,FALSE)=0,"Spatial Data Missing ▲",VLOOKUP(M208,'G-3 Multipliers'!$L$3:$N$6,3,FALSE)))</f>
        <v/>
      </c>
      <c r="P208" s="297" t="str">
        <f>(IF(G208="Yes","Bespoke compensation likely to be required 🛠",(IFERROR(VLOOKUP(AV208,'G-1 All Habitats'!$B$2:$M$135,12,FALSE),""))))</f>
        <v/>
      </c>
      <c r="Q208" s="304" t="str">
        <f>IFERROR(IF(AND(E208="Individual trees",T208&gt;0), "Error - you cannot enhance individual trees ▲", (IF(AND(U208="Irreplaceable habitat - no units generated ⚠",(S208+T208)&lt;H208, OR(Y208="No", Y208="")),"Any Loss Unacceptable ⚠", (IF(U208="Irreplaceable habitat - no units generated ⚠", T208*J208*L208*O208, IF(AND(P208='G-1 All Habitats'!$X$3, AC208&gt;0, S208&lt;=0, T208&lt;=0, OR(Y208="No", Y208="")),"Any Loss Unacceptable ⚠", IF(AND(P208='G-1 All Habitats'!$X$3, AC208&gt;0, S208&lt;=0, T208&lt;=0, Y208="Yes"), 0, (IF(AND(P208='G-1 All Habitats'!$X$3,(S208+T208)&lt;H208, OR(Y208="No", Y208="")),"Any Loss Unacceptable ⚠", (IF(P208="","",IF(AND(P208='G-1 All Habitats'!$X$3,T208&gt;0),U208+V208,IF(AND(P208='G-1 All Habitats'!$X$3,S208&gt;0),U208+V208,H208*J208*L208*O208))))))))))))),"Check Data ▲")</f>
        <v/>
      </c>
      <c r="R208" s="23"/>
      <c r="S208" s="38"/>
      <c r="T208" s="39"/>
      <c r="U208" s="302" t="str">
        <f t="shared" si="19"/>
        <v/>
      </c>
      <c r="V208" s="302" t="str">
        <f t="shared" si="20"/>
        <v/>
      </c>
      <c r="W208" s="302" t="str">
        <f>IF(E208="","",IF(H208&lt;S208+T208,"Error in Areas ▲",IF(P208&lt;&gt;'G-1 All Habitats'!$X$3,H208-S208-T208,IF(AND(P208='G-1 All Habitats'!$X$3,Y208="No"),AC208,IF(AND(P208='G-1 All Habitats'!$X$3,Y208=""),AC208,IF(AND(P208='G-1 All Habitats'!$X$3,AC208="None"),AC208,IF(AND(P208='G-1 All Habitats'!$X$3,AC208&gt;0),H208-S208-T208)))))))</f>
        <v/>
      </c>
      <c r="X208" s="306" t="str">
        <f>IFERROR(IF(H208="","",IF(H208-S208-T208=0&lt;0,"Error in Areas ▲",IF(S208+T208&gt;H208,"Error in Areas ▲",IF(AND(P208='G-1 All Habitats'!$X$3,Y208="Yes"),"Alternative Compensation ✓",IF(W208=0,0,IF(P208='G-1 All Habitats'!$X$3,"Any Loss Unacceptable ▲",Q208-U208-V208)))))),"Check Data ▲")</f>
        <v/>
      </c>
      <c r="Y208" s="39"/>
      <c r="Z208" s="46"/>
      <c r="AA208" s="419"/>
      <c r="AB208" s="101"/>
      <c r="AC208" s="495" t="str">
        <f>IF(OR(P208="", Y208="Yes"),"", IF(P208='G-1 All Habitats'!$X$3,H208-S208-T208,"None"))</f>
        <v/>
      </c>
      <c r="AD208" s="496" t="str">
        <f>IF(P208="","", IF(P208='G-1 All Habitats'!$X$3, AC208*J208*L208*O208,"None"))</f>
        <v/>
      </c>
      <c r="AE208" s="20" t="str">
        <f t="shared" si="21"/>
        <v/>
      </c>
      <c r="AF208" s="25" t="str">
        <f t="shared" si="22"/>
        <v/>
      </c>
      <c r="AG208" s="25" t="str">
        <f t="shared" si="18"/>
        <v/>
      </c>
      <c r="AH208" s="25" t="str">
        <f>IF(I208="","",IF(#REF!&gt;0,TRUE,FALSE))</f>
        <v/>
      </c>
      <c r="AI208" s="25">
        <v>198</v>
      </c>
      <c r="AJ208" s="25"/>
      <c r="AK208" s="25" t="str">
        <f t="array" ref="AK208">IFERROR(INDEX($AI$11:$AI$259, MATCH(0, IF(TRUE=$AF$11:$AF$259, COUNTIF($AK$10:$AK207, $AI$11:$AI$259), ""), 0)),"")</f>
        <v/>
      </c>
      <c r="AL208" s="25" t="str">
        <f t="array" ref="AL208">IFERROR(INDEX($AI$11:$AI$259, MATCH(0, IF(TRUE=$AG$11:$AG$259, COUNTIF($AL$10:$AL207, $AI$11:$AI$259), ""), 0)),"")</f>
        <v/>
      </c>
      <c r="AM208" s="25" t="str">
        <f t="array" ref="AM208">IFERROR(INDEX($AI$11:$AI$259, MATCH(0, IF(TRUE=$AH$11:$AH$259, COUNTIF($AM$10:$AM207, $AI$11:$AI$259), ""), 0)),"")</f>
        <v/>
      </c>
      <c r="AN208" s="25"/>
      <c r="AQ208" s="20">
        <f t="shared" si="23"/>
        <v>0</v>
      </c>
      <c r="AV208" s="540" t="str">
        <f>IFERROR(INDEX('G-1 All Habitats'!$B$3:$B$135,MATCH(F208,'G-1 All Habitats'!$A$3:$A$135,0)),"")</f>
        <v/>
      </c>
      <c r="AW208" s="20" t="str">
        <f>IF(AV208="","",VLOOKUP(AV208,'G-1 All Habitats'!$B$1:$T$135,19,FALSE))</f>
        <v/>
      </c>
    </row>
    <row r="209" spans="1:49" ht="14.5" thickBot="1" x14ac:dyDescent="0.35">
      <c r="A209" s="20" t="str">
        <f>IFERROR(INDEX('G-1 All Habitats'!$AG$3:$AG$17,MATCH(E209,'G-1 All Habitats'!$AF$3:$AF$17,0)),"")</f>
        <v/>
      </c>
      <c r="B209" s="20" t="str">
        <f>IFERROR(INDEX('G-8 Condition Look up'!$I$4:$I$135,MATCH(AV209,'G-8 Condition Look up'!$A$4:$A$135,0)),"")</f>
        <v/>
      </c>
      <c r="D209" s="238">
        <v>199</v>
      </c>
      <c r="E209" s="223"/>
      <c r="F209" s="45"/>
      <c r="G209" s="272"/>
      <c r="H209" s="37"/>
      <c r="I209" s="290" t="str">
        <f>IF(AV209="","",VLOOKUP(AV209,'G-1 All Habitats'!$B$2:$M$135,10,FALSE))</f>
        <v/>
      </c>
      <c r="J209" s="291" t="str">
        <f>IFERROR(VLOOKUP(I209,'G-1 All Habitats'!$V$3:$W$7,2,FALSE),"")</f>
        <v/>
      </c>
      <c r="K209" s="38"/>
      <c r="L209" s="291" t="str">
        <f>IFERROR(INDEX('G-8 Condition Look up'!$A$3:$H$135,MATCH(AV209,'G-8 Condition Look up'!$A$3:$A$135,0),MATCH(K209,'G-8 Condition Look up'!$A$3:$H$3,0)),"")</f>
        <v/>
      </c>
      <c r="M209" s="38"/>
      <c r="N209" s="310" t="str">
        <f>IF(M209="","",IF(VLOOKUP(M209,'G-3 Multipliers'!$L$3:$N$6,2,FALSE)=0,"Spatial Data Missing",VLOOKUP(M209,'G-3 Multipliers'!$L$3:$N$6,2,FALSE)))</f>
        <v/>
      </c>
      <c r="O209" s="296" t="str">
        <f>IF(M209="","",IF(VLOOKUP(M209,'G-3 Multipliers'!$L$3:$N$6,3,FALSE)=0,"Spatial Data Missing ▲",VLOOKUP(M209,'G-3 Multipliers'!$L$3:$N$6,3,FALSE)))</f>
        <v/>
      </c>
      <c r="P209" s="297" t="str">
        <f>(IF(G209="Yes","Bespoke compensation likely to be required 🛠",(IFERROR(VLOOKUP(AV209,'G-1 All Habitats'!$B$2:$M$135,12,FALSE),""))))</f>
        <v/>
      </c>
      <c r="Q209" s="304" t="str">
        <f>IFERROR(IF(AND(E209="Individual trees",T209&gt;0), "Error - you cannot enhance individual trees ▲", (IF(AND(U209="Irreplaceable habitat - no units generated ⚠",(S209+T209)&lt;H209, OR(Y209="No", Y209="")),"Any Loss Unacceptable ⚠", (IF(U209="Irreplaceable habitat - no units generated ⚠", T209*J209*L209*O209, IF(AND(P209='G-1 All Habitats'!$X$3, AC209&gt;0, S209&lt;=0, T209&lt;=0, OR(Y209="No", Y209="")),"Any Loss Unacceptable ⚠", IF(AND(P209='G-1 All Habitats'!$X$3, AC209&gt;0, S209&lt;=0, T209&lt;=0, Y209="Yes"), 0, (IF(AND(P209='G-1 All Habitats'!$X$3,(S209+T209)&lt;H209, OR(Y209="No", Y209="")),"Any Loss Unacceptable ⚠", (IF(P209="","",IF(AND(P209='G-1 All Habitats'!$X$3,T209&gt;0),U209+V209,IF(AND(P209='G-1 All Habitats'!$X$3,S209&gt;0),U209+V209,H209*J209*L209*O209))))))))))))),"Check Data ▲")</f>
        <v/>
      </c>
      <c r="R209" s="23"/>
      <c r="S209" s="38"/>
      <c r="T209" s="39"/>
      <c r="U209" s="302" t="str">
        <f t="shared" si="19"/>
        <v/>
      </c>
      <c r="V209" s="302" t="str">
        <f t="shared" si="20"/>
        <v/>
      </c>
      <c r="W209" s="302" t="str">
        <f>IF(E209="","",IF(H209&lt;S209+T209,"Error in Areas ▲",IF(P209&lt;&gt;'G-1 All Habitats'!$X$3,H209-S209-T209,IF(AND(P209='G-1 All Habitats'!$X$3,Y209="No"),AC209,IF(AND(P209='G-1 All Habitats'!$X$3,Y209=""),AC209,IF(AND(P209='G-1 All Habitats'!$X$3,AC209="None"),AC209,IF(AND(P209='G-1 All Habitats'!$X$3,AC209&gt;0),H209-S209-T209)))))))</f>
        <v/>
      </c>
      <c r="X209" s="306" t="str">
        <f>IFERROR(IF(H209="","",IF(H209-S209-T209=0&lt;0,"Error in Areas ▲",IF(S209+T209&gt;H209,"Error in Areas ▲",IF(AND(P209='G-1 All Habitats'!$X$3,Y209="Yes"),"Alternative Compensation ✓",IF(W209=0,0,IF(P209='G-1 All Habitats'!$X$3,"Any Loss Unacceptable ▲",Q209-U209-V209)))))),"Check Data ▲")</f>
        <v/>
      </c>
      <c r="Y209" s="39"/>
      <c r="Z209" s="46"/>
      <c r="AA209" s="419"/>
      <c r="AB209" s="101"/>
      <c r="AC209" s="495" t="str">
        <f>IF(OR(P209="", Y209="Yes"),"", IF(P209='G-1 All Habitats'!$X$3,H209-S209-T209,"None"))</f>
        <v/>
      </c>
      <c r="AD209" s="496" t="str">
        <f>IF(P209="","", IF(P209='G-1 All Habitats'!$X$3, AC209*J209*L209*O209,"None"))</f>
        <v/>
      </c>
      <c r="AE209" s="20" t="str">
        <f t="shared" si="21"/>
        <v/>
      </c>
      <c r="AF209" s="25" t="str">
        <f t="shared" si="22"/>
        <v/>
      </c>
      <c r="AG209" s="25" t="str">
        <f t="shared" si="18"/>
        <v/>
      </c>
      <c r="AH209" s="25" t="str">
        <f>IF(I209="","",IF(#REF!&gt;0,TRUE,FALSE))</f>
        <v/>
      </c>
      <c r="AI209" s="25">
        <v>199</v>
      </c>
      <c r="AJ209" s="25"/>
      <c r="AK209" s="25" t="str">
        <f t="array" ref="AK209">IFERROR(INDEX($AI$11:$AI$259, MATCH(0, IF(TRUE=$AF$11:$AF$259, COUNTIF($AK$10:$AK208, $AI$11:$AI$259), ""), 0)),"")</f>
        <v/>
      </c>
      <c r="AL209" s="25" t="str">
        <f t="array" ref="AL209">IFERROR(INDEX($AI$11:$AI$259, MATCH(0, IF(TRUE=$AG$11:$AG$259, COUNTIF($AL$10:$AL208, $AI$11:$AI$259), ""), 0)),"")</f>
        <v/>
      </c>
      <c r="AM209" s="25" t="str">
        <f t="array" ref="AM209">IFERROR(INDEX($AI$11:$AI$259, MATCH(0, IF(TRUE=$AH$11:$AH$259, COUNTIF($AM$10:$AM208, $AI$11:$AI$259), ""), 0)),"")</f>
        <v/>
      </c>
      <c r="AN209" s="25"/>
      <c r="AQ209" s="20">
        <f t="shared" si="23"/>
        <v>0</v>
      </c>
      <c r="AV209" s="540" t="str">
        <f>IFERROR(INDEX('G-1 All Habitats'!$B$3:$B$135,MATCH(F209,'G-1 All Habitats'!$A$3:$A$135,0)),"")</f>
        <v/>
      </c>
      <c r="AW209" s="20" t="str">
        <f>IF(AV209="","",VLOOKUP(AV209,'G-1 All Habitats'!$B$1:$T$135,19,FALSE))</f>
        <v/>
      </c>
    </row>
    <row r="210" spans="1:49" ht="14.5" thickBot="1" x14ac:dyDescent="0.35">
      <c r="A210" s="20" t="str">
        <f>IFERROR(INDEX('G-1 All Habitats'!$AG$3:$AG$17,MATCH(E210,'G-1 All Habitats'!$AF$3:$AF$17,0)),"")</f>
        <v/>
      </c>
      <c r="B210" s="20" t="str">
        <f>IFERROR(INDEX('G-8 Condition Look up'!$I$4:$I$135,MATCH(AV210,'G-8 Condition Look up'!$A$4:$A$135,0)),"")</f>
        <v/>
      </c>
      <c r="D210" s="238">
        <v>200</v>
      </c>
      <c r="E210" s="223"/>
      <c r="F210" s="45"/>
      <c r="G210" s="272"/>
      <c r="H210" s="37"/>
      <c r="I210" s="290" t="str">
        <f>IF(AV210="","",VLOOKUP(AV210,'G-1 All Habitats'!$B$2:$M$135,10,FALSE))</f>
        <v/>
      </c>
      <c r="J210" s="291" t="str">
        <f>IFERROR(VLOOKUP(I210,'G-1 All Habitats'!$V$3:$W$7,2,FALSE),"")</f>
        <v/>
      </c>
      <c r="K210" s="38"/>
      <c r="L210" s="291" t="str">
        <f>IFERROR(INDEX('G-8 Condition Look up'!$A$3:$H$135,MATCH(AV210,'G-8 Condition Look up'!$A$3:$A$135,0),MATCH(K210,'G-8 Condition Look up'!$A$3:$H$3,0)),"")</f>
        <v/>
      </c>
      <c r="M210" s="38"/>
      <c r="N210" s="310" t="str">
        <f>IF(M210="","",IF(VLOOKUP(M210,'G-3 Multipliers'!$L$3:$N$6,2,FALSE)=0,"Spatial Data Missing",VLOOKUP(M210,'G-3 Multipliers'!$L$3:$N$6,2,FALSE)))</f>
        <v/>
      </c>
      <c r="O210" s="296" t="str">
        <f>IF(M210="","",IF(VLOOKUP(M210,'G-3 Multipliers'!$L$3:$N$6,3,FALSE)=0,"Spatial Data Missing ▲",VLOOKUP(M210,'G-3 Multipliers'!$L$3:$N$6,3,FALSE)))</f>
        <v/>
      </c>
      <c r="P210" s="297" t="str">
        <f>(IF(G210="Yes","Bespoke compensation likely to be required 🛠",(IFERROR(VLOOKUP(AV210,'G-1 All Habitats'!$B$2:$M$135,12,FALSE),""))))</f>
        <v/>
      </c>
      <c r="Q210" s="304" t="str">
        <f>IFERROR(IF(AND(E210="Individual trees",T210&gt;0), "Error - you cannot enhance individual trees ▲", (IF(AND(U210="Irreplaceable habitat - no units generated ⚠",(S210+T210)&lt;H210, OR(Y210="No", Y210="")),"Any Loss Unacceptable ⚠", (IF(U210="Irreplaceable habitat - no units generated ⚠", T210*J210*L210*O210, IF(AND(P210='G-1 All Habitats'!$X$3, AC210&gt;0, S210&lt;=0, T210&lt;=0, OR(Y210="No", Y210="")),"Any Loss Unacceptable ⚠", IF(AND(P210='G-1 All Habitats'!$X$3, AC210&gt;0, S210&lt;=0, T210&lt;=0, Y210="Yes"), 0, (IF(AND(P210='G-1 All Habitats'!$X$3,(S210+T210)&lt;H210, OR(Y210="No", Y210="")),"Any Loss Unacceptable ⚠", (IF(P210="","",IF(AND(P210='G-1 All Habitats'!$X$3,T210&gt;0),U210+V210,IF(AND(P210='G-1 All Habitats'!$X$3,S210&gt;0),U210+V210,H210*J210*L210*O210))))))))))))),"Check Data ▲")</f>
        <v/>
      </c>
      <c r="R210" s="23"/>
      <c r="S210" s="38"/>
      <c r="T210" s="39"/>
      <c r="U210" s="302" t="str">
        <f t="shared" si="19"/>
        <v/>
      </c>
      <c r="V210" s="302" t="str">
        <f t="shared" si="20"/>
        <v/>
      </c>
      <c r="W210" s="302" t="str">
        <f>IF(E210="","",IF(H210&lt;S210+T210,"Error in Areas ▲",IF(P210&lt;&gt;'G-1 All Habitats'!$X$3,H210-S210-T210,IF(AND(P210='G-1 All Habitats'!$X$3,Y210="No"),AC210,IF(AND(P210='G-1 All Habitats'!$X$3,Y210=""),AC210,IF(AND(P210='G-1 All Habitats'!$X$3,AC210="None"),AC210,IF(AND(P210='G-1 All Habitats'!$X$3,AC210&gt;0),H210-S210-T210)))))))</f>
        <v/>
      </c>
      <c r="X210" s="306" t="str">
        <f>IFERROR(IF(H210="","",IF(H210-S210-T210=0&lt;0,"Error in Areas ▲",IF(S210+T210&gt;H210,"Error in Areas ▲",IF(AND(P210='G-1 All Habitats'!$X$3,Y210="Yes"),"Alternative Compensation ✓",IF(W210=0,0,IF(P210='G-1 All Habitats'!$X$3,"Any Loss Unacceptable ▲",Q210-U210-V210)))))),"Check Data ▲")</f>
        <v/>
      </c>
      <c r="Y210" s="39"/>
      <c r="Z210" s="46"/>
      <c r="AA210" s="419"/>
      <c r="AB210" s="101"/>
      <c r="AC210" s="495" t="str">
        <f>IF(OR(P210="", Y210="Yes"),"", IF(P210='G-1 All Habitats'!$X$3,H210-S210-T210,"None"))</f>
        <v/>
      </c>
      <c r="AD210" s="496" t="str">
        <f>IF(P210="","", IF(P210='G-1 All Habitats'!$X$3, AC210*J210*L210*O210,"None"))</f>
        <v/>
      </c>
      <c r="AE210" s="20" t="str">
        <f t="shared" si="21"/>
        <v/>
      </c>
      <c r="AF210" s="25" t="str">
        <f t="shared" si="22"/>
        <v/>
      </c>
      <c r="AG210" s="25" t="str">
        <f t="shared" si="18"/>
        <v/>
      </c>
      <c r="AH210" s="25" t="str">
        <f>IF(I210="","",IF(#REF!&gt;0,TRUE,FALSE))</f>
        <v/>
      </c>
      <c r="AI210" s="25">
        <v>200</v>
      </c>
      <c r="AJ210" s="25"/>
      <c r="AK210" s="25" t="str">
        <f t="array" ref="AK210">IFERROR(INDEX($AI$11:$AI$259, MATCH(0, IF(TRUE=$AF$11:$AF$259, COUNTIF($AK$10:$AK209, $AI$11:$AI$259), ""), 0)),"")</f>
        <v/>
      </c>
      <c r="AL210" s="25" t="str">
        <f t="array" ref="AL210">IFERROR(INDEX($AI$11:$AI$259, MATCH(0, IF(TRUE=$AG$11:$AG$259, COUNTIF($AL$10:$AL209, $AI$11:$AI$259), ""), 0)),"")</f>
        <v/>
      </c>
      <c r="AM210" s="25" t="str">
        <f t="array" ref="AM210">IFERROR(INDEX($AI$11:$AI$259, MATCH(0, IF(TRUE=$AH$11:$AH$259, COUNTIF($AM$10:$AM209, $AI$11:$AI$259), ""), 0)),"")</f>
        <v/>
      </c>
      <c r="AN210" s="25"/>
      <c r="AQ210" s="20">
        <f t="shared" si="23"/>
        <v>0</v>
      </c>
      <c r="AV210" s="540" t="str">
        <f>IFERROR(INDEX('G-1 All Habitats'!$B$3:$B$135,MATCH(F210,'G-1 All Habitats'!$A$3:$A$135,0)),"")</f>
        <v/>
      </c>
      <c r="AW210" s="20" t="str">
        <f>IF(AV210="","",VLOOKUP(AV210,'G-1 All Habitats'!$B$1:$T$135,19,FALSE))</f>
        <v/>
      </c>
    </row>
    <row r="211" spans="1:49" ht="14.5" thickBot="1" x14ac:dyDescent="0.35">
      <c r="A211" s="20" t="str">
        <f>IFERROR(INDEX('G-1 All Habitats'!$AG$3:$AG$17,MATCH(E211,'G-1 All Habitats'!$AF$3:$AF$17,0)),"")</f>
        <v/>
      </c>
      <c r="B211" s="20" t="str">
        <f>IFERROR(INDEX('G-8 Condition Look up'!$I$4:$I$135,MATCH(AV211,'G-8 Condition Look up'!$A$4:$A$135,0)),"")</f>
        <v/>
      </c>
      <c r="D211" s="238">
        <v>201</v>
      </c>
      <c r="E211" s="223"/>
      <c r="F211" s="45"/>
      <c r="G211" s="272"/>
      <c r="H211" s="37"/>
      <c r="I211" s="290" t="str">
        <f>IF(AV211="","",VLOOKUP(AV211,'G-1 All Habitats'!$B$2:$M$135,10,FALSE))</f>
        <v/>
      </c>
      <c r="J211" s="291" t="str">
        <f>IFERROR(VLOOKUP(I211,'G-1 All Habitats'!$V$3:$W$7,2,FALSE),"")</f>
        <v/>
      </c>
      <c r="K211" s="38"/>
      <c r="L211" s="291" t="str">
        <f>IFERROR(INDEX('G-8 Condition Look up'!$A$3:$H$135,MATCH(AV211,'G-8 Condition Look up'!$A$3:$A$135,0),MATCH(K211,'G-8 Condition Look up'!$A$3:$H$3,0)),"")</f>
        <v/>
      </c>
      <c r="M211" s="38"/>
      <c r="N211" s="310" t="str">
        <f>IF(M211="","",IF(VLOOKUP(M211,'G-3 Multipliers'!$L$3:$N$6,2,FALSE)=0,"Spatial Data Missing",VLOOKUP(M211,'G-3 Multipliers'!$L$3:$N$6,2,FALSE)))</f>
        <v/>
      </c>
      <c r="O211" s="296" t="str">
        <f>IF(M211="","",IF(VLOOKUP(M211,'G-3 Multipliers'!$L$3:$N$6,3,FALSE)=0,"Spatial Data Missing ▲",VLOOKUP(M211,'G-3 Multipliers'!$L$3:$N$6,3,FALSE)))</f>
        <v/>
      </c>
      <c r="P211" s="297" t="str">
        <f>(IF(G211="Yes","Bespoke compensation likely to be required 🛠",(IFERROR(VLOOKUP(AV211,'G-1 All Habitats'!$B$2:$M$135,12,FALSE),""))))</f>
        <v/>
      </c>
      <c r="Q211" s="304" t="str">
        <f>IFERROR(IF(AND(E211="Individual trees",T211&gt;0), "Error - you cannot enhance individual trees ▲", (IF(AND(U211="Irreplaceable habitat - no units generated ⚠",(S211+T211)&lt;H211, OR(Y211="No", Y211="")),"Any Loss Unacceptable ⚠", (IF(U211="Irreplaceable habitat - no units generated ⚠", T211*J211*L211*O211, IF(AND(P211='G-1 All Habitats'!$X$3, AC211&gt;0, S211&lt;=0, T211&lt;=0, OR(Y211="No", Y211="")),"Any Loss Unacceptable ⚠", IF(AND(P211='G-1 All Habitats'!$X$3, AC211&gt;0, S211&lt;=0, T211&lt;=0, Y211="Yes"), 0, (IF(AND(P211='G-1 All Habitats'!$X$3,(S211+T211)&lt;H211, OR(Y211="No", Y211="")),"Any Loss Unacceptable ⚠", (IF(P211="","",IF(AND(P211='G-1 All Habitats'!$X$3,T211&gt;0),U211+V211,IF(AND(P211='G-1 All Habitats'!$X$3,S211&gt;0),U211+V211,H211*J211*L211*O211))))))))))))),"Check Data ▲")</f>
        <v/>
      </c>
      <c r="R211" s="23"/>
      <c r="S211" s="38"/>
      <c r="T211" s="39"/>
      <c r="U211" s="302" t="str">
        <f t="shared" si="19"/>
        <v/>
      </c>
      <c r="V211" s="302" t="str">
        <f t="shared" si="20"/>
        <v/>
      </c>
      <c r="W211" s="302" t="str">
        <f>IF(E211="","",IF(H211&lt;S211+T211,"Error in Areas ▲",IF(P211&lt;&gt;'G-1 All Habitats'!$X$3,H211-S211-T211,IF(AND(P211='G-1 All Habitats'!$X$3,Y211="No"),AC211,IF(AND(P211='G-1 All Habitats'!$X$3,Y211=""),AC211,IF(AND(P211='G-1 All Habitats'!$X$3,AC211="None"),AC211,IF(AND(P211='G-1 All Habitats'!$X$3,AC211&gt;0),H211-S211-T211)))))))</f>
        <v/>
      </c>
      <c r="X211" s="306" t="str">
        <f>IFERROR(IF(H211="","",IF(H211-S211-T211=0&lt;0,"Error in Areas ▲",IF(S211+T211&gt;H211,"Error in Areas ▲",IF(AND(P211='G-1 All Habitats'!$X$3,Y211="Yes"),"Alternative Compensation ✓",IF(W211=0,0,IF(P211='G-1 All Habitats'!$X$3,"Any Loss Unacceptable ▲",Q211-U211-V211)))))),"Check Data ▲")</f>
        <v/>
      </c>
      <c r="Y211" s="39"/>
      <c r="Z211" s="46"/>
      <c r="AA211" s="419"/>
      <c r="AB211" s="101"/>
      <c r="AC211" s="495" t="str">
        <f>IF(OR(P211="", Y211="Yes"),"", IF(P211='G-1 All Habitats'!$X$3,H211-S211-T211,"None"))</f>
        <v/>
      </c>
      <c r="AD211" s="496" t="str">
        <f>IF(P211="","", IF(P211='G-1 All Habitats'!$X$3, AC211*J211*L211*O211,"None"))</f>
        <v/>
      </c>
      <c r="AE211" s="20" t="str">
        <f t="shared" si="21"/>
        <v/>
      </c>
      <c r="AF211" s="25" t="str">
        <f t="shared" si="22"/>
        <v/>
      </c>
      <c r="AG211" s="25" t="str">
        <f t="shared" si="18"/>
        <v/>
      </c>
      <c r="AH211" s="25" t="str">
        <f>IF(I211="","",IF(#REF!&gt;0,TRUE,FALSE))</f>
        <v/>
      </c>
      <c r="AI211" s="25">
        <v>201</v>
      </c>
      <c r="AJ211" s="25"/>
      <c r="AK211" s="25" t="str">
        <f t="array" ref="AK211">IFERROR(INDEX($AI$11:$AI$259, MATCH(0, IF(TRUE=$AF$11:$AF$259, COUNTIF($AK$10:$AK210, $AI$11:$AI$259), ""), 0)),"")</f>
        <v/>
      </c>
      <c r="AL211" s="25" t="str">
        <f t="array" ref="AL211">IFERROR(INDEX($AI$11:$AI$259, MATCH(0, IF(TRUE=$AG$11:$AG$259, COUNTIF($AL$10:$AL210, $AI$11:$AI$259), ""), 0)),"")</f>
        <v/>
      </c>
      <c r="AM211" s="25" t="str">
        <f t="array" ref="AM211">IFERROR(INDEX($AI$11:$AI$259, MATCH(0, IF(TRUE=$AH$11:$AH$259, COUNTIF($AM$10:$AM210, $AI$11:$AI$259), ""), 0)),"")</f>
        <v/>
      </c>
      <c r="AN211" s="25"/>
      <c r="AQ211" s="20">
        <f t="shared" si="23"/>
        <v>0</v>
      </c>
      <c r="AV211" s="540" t="str">
        <f>IFERROR(INDEX('G-1 All Habitats'!$B$3:$B$135,MATCH(F211,'G-1 All Habitats'!$A$3:$A$135,0)),"")</f>
        <v/>
      </c>
      <c r="AW211" s="20" t="str">
        <f>IF(AV211="","",VLOOKUP(AV211,'G-1 All Habitats'!$B$1:$T$135,19,FALSE))</f>
        <v/>
      </c>
    </row>
    <row r="212" spans="1:49" ht="14.5" thickBot="1" x14ac:dyDescent="0.35">
      <c r="A212" s="20" t="str">
        <f>IFERROR(INDEX('G-1 All Habitats'!$AG$3:$AG$17,MATCH(E212,'G-1 All Habitats'!$AF$3:$AF$17,0)),"")</f>
        <v/>
      </c>
      <c r="B212" s="20" t="str">
        <f>IFERROR(INDEX('G-8 Condition Look up'!$I$4:$I$135,MATCH(AV212,'G-8 Condition Look up'!$A$4:$A$135,0)),"")</f>
        <v/>
      </c>
      <c r="D212" s="238">
        <v>202</v>
      </c>
      <c r="E212" s="223"/>
      <c r="F212" s="45"/>
      <c r="G212" s="272"/>
      <c r="H212" s="37"/>
      <c r="I212" s="290" t="str">
        <f>IF(AV212="","",VLOOKUP(AV212,'G-1 All Habitats'!$B$2:$M$135,10,FALSE))</f>
        <v/>
      </c>
      <c r="J212" s="291" t="str">
        <f>IFERROR(VLOOKUP(I212,'G-1 All Habitats'!$V$3:$W$7,2,FALSE),"")</f>
        <v/>
      </c>
      <c r="K212" s="38"/>
      <c r="L212" s="291" t="str">
        <f>IFERROR(INDEX('G-8 Condition Look up'!$A$3:$H$135,MATCH(AV212,'G-8 Condition Look up'!$A$3:$A$135,0),MATCH(K212,'G-8 Condition Look up'!$A$3:$H$3,0)),"")</f>
        <v/>
      </c>
      <c r="M212" s="38"/>
      <c r="N212" s="310" t="str">
        <f>IF(M212="","",IF(VLOOKUP(M212,'G-3 Multipliers'!$L$3:$N$6,2,FALSE)=0,"Spatial Data Missing",VLOOKUP(M212,'G-3 Multipliers'!$L$3:$N$6,2,FALSE)))</f>
        <v/>
      </c>
      <c r="O212" s="296" t="str">
        <f>IF(M212="","",IF(VLOOKUP(M212,'G-3 Multipliers'!$L$3:$N$6,3,FALSE)=0,"Spatial Data Missing ▲",VLOOKUP(M212,'G-3 Multipliers'!$L$3:$N$6,3,FALSE)))</f>
        <v/>
      </c>
      <c r="P212" s="297" t="str">
        <f>(IF(G212="Yes","Bespoke compensation likely to be required 🛠",(IFERROR(VLOOKUP(AV212,'G-1 All Habitats'!$B$2:$M$135,12,FALSE),""))))</f>
        <v/>
      </c>
      <c r="Q212" s="304" t="str">
        <f>IFERROR(IF(AND(E212="Individual trees",T212&gt;0), "Error - you cannot enhance individual trees ▲", (IF(AND(U212="Irreplaceable habitat - no units generated ⚠",(S212+T212)&lt;H212, OR(Y212="No", Y212="")),"Any Loss Unacceptable ⚠", (IF(U212="Irreplaceable habitat - no units generated ⚠", T212*J212*L212*O212, IF(AND(P212='G-1 All Habitats'!$X$3, AC212&gt;0, S212&lt;=0, T212&lt;=0, OR(Y212="No", Y212="")),"Any Loss Unacceptable ⚠", IF(AND(P212='G-1 All Habitats'!$X$3, AC212&gt;0, S212&lt;=0, T212&lt;=0, Y212="Yes"), 0, (IF(AND(P212='G-1 All Habitats'!$X$3,(S212+T212)&lt;H212, OR(Y212="No", Y212="")),"Any Loss Unacceptable ⚠", (IF(P212="","",IF(AND(P212='G-1 All Habitats'!$X$3,T212&gt;0),U212+V212,IF(AND(P212='G-1 All Habitats'!$X$3,S212&gt;0),U212+V212,H212*J212*L212*O212))))))))))))),"Check Data ▲")</f>
        <v/>
      </c>
      <c r="R212" s="23"/>
      <c r="S212" s="38"/>
      <c r="T212" s="39"/>
      <c r="U212" s="302" t="str">
        <f t="shared" si="19"/>
        <v/>
      </c>
      <c r="V212" s="302" t="str">
        <f t="shared" si="20"/>
        <v/>
      </c>
      <c r="W212" s="302" t="str">
        <f>IF(E212="","",IF(H212&lt;S212+T212,"Error in Areas ▲",IF(P212&lt;&gt;'G-1 All Habitats'!$X$3,H212-S212-T212,IF(AND(P212='G-1 All Habitats'!$X$3,Y212="No"),AC212,IF(AND(P212='G-1 All Habitats'!$X$3,Y212=""),AC212,IF(AND(P212='G-1 All Habitats'!$X$3,AC212="None"),AC212,IF(AND(P212='G-1 All Habitats'!$X$3,AC212&gt;0),H212-S212-T212)))))))</f>
        <v/>
      </c>
      <c r="X212" s="306" t="str">
        <f>IFERROR(IF(H212="","",IF(H212-S212-T212=0&lt;0,"Error in Areas ▲",IF(S212+T212&gt;H212,"Error in Areas ▲",IF(AND(P212='G-1 All Habitats'!$X$3,Y212="Yes"),"Alternative Compensation ✓",IF(W212=0,0,IF(P212='G-1 All Habitats'!$X$3,"Any Loss Unacceptable ▲",Q212-U212-V212)))))),"Check Data ▲")</f>
        <v/>
      </c>
      <c r="Y212" s="39"/>
      <c r="Z212" s="46"/>
      <c r="AA212" s="419"/>
      <c r="AB212" s="101"/>
      <c r="AC212" s="495" t="str">
        <f>IF(OR(P212="", Y212="Yes"),"", IF(P212='G-1 All Habitats'!$X$3,H212-S212-T212,"None"))</f>
        <v/>
      </c>
      <c r="AD212" s="496" t="str">
        <f>IF(P212="","", IF(P212='G-1 All Habitats'!$X$3, AC212*J212*L212*O212,"None"))</f>
        <v/>
      </c>
      <c r="AE212" s="20" t="str">
        <f t="shared" si="21"/>
        <v/>
      </c>
      <c r="AF212" s="25" t="str">
        <f t="shared" si="22"/>
        <v/>
      </c>
      <c r="AG212" s="25" t="str">
        <f t="shared" si="18"/>
        <v/>
      </c>
      <c r="AH212" s="25" t="str">
        <f>IF(I212="","",IF(#REF!&gt;0,TRUE,FALSE))</f>
        <v/>
      </c>
      <c r="AI212" s="25">
        <v>202</v>
      </c>
      <c r="AJ212" s="25"/>
      <c r="AK212" s="25" t="str">
        <f t="array" ref="AK212">IFERROR(INDEX($AI$11:$AI$259, MATCH(0, IF(TRUE=$AF$11:$AF$259, COUNTIF($AK$10:$AK211, $AI$11:$AI$259), ""), 0)),"")</f>
        <v/>
      </c>
      <c r="AL212" s="25" t="str">
        <f t="array" ref="AL212">IFERROR(INDEX($AI$11:$AI$259, MATCH(0, IF(TRUE=$AG$11:$AG$259, COUNTIF($AL$10:$AL211, $AI$11:$AI$259), ""), 0)),"")</f>
        <v/>
      </c>
      <c r="AM212" s="25" t="str">
        <f t="array" ref="AM212">IFERROR(INDEX($AI$11:$AI$259, MATCH(0, IF(TRUE=$AH$11:$AH$259, COUNTIF($AM$10:$AM211, $AI$11:$AI$259), ""), 0)),"")</f>
        <v/>
      </c>
      <c r="AN212" s="25"/>
      <c r="AQ212" s="20">
        <f t="shared" si="23"/>
        <v>0</v>
      </c>
      <c r="AV212" s="540" t="str">
        <f>IFERROR(INDEX('G-1 All Habitats'!$B$3:$B$135,MATCH(F212,'G-1 All Habitats'!$A$3:$A$135,0)),"")</f>
        <v/>
      </c>
      <c r="AW212" s="20" t="str">
        <f>IF(AV212="","",VLOOKUP(AV212,'G-1 All Habitats'!$B$1:$T$135,19,FALSE))</f>
        <v/>
      </c>
    </row>
    <row r="213" spans="1:49" ht="14.5" thickBot="1" x14ac:dyDescent="0.35">
      <c r="A213" s="20" t="str">
        <f>IFERROR(INDEX('G-1 All Habitats'!$AG$3:$AG$17,MATCH(E213,'G-1 All Habitats'!$AF$3:$AF$17,0)),"")</f>
        <v/>
      </c>
      <c r="B213" s="20" t="str">
        <f>IFERROR(INDEX('G-8 Condition Look up'!$I$4:$I$135,MATCH(AV213,'G-8 Condition Look up'!$A$4:$A$135,0)),"")</f>
        <v/>
      </c>
      <c r="D213" s="238">
        <v>203</v>
      </c>
      <c r="E213" s="223"/>
      <c r="F213" s="45"/>
      <c r="G213" s="272"/>
      <c r="H213" s="37"/>
      <c r="I213" s="290" t="str">
        <f>IF(AV213="","",VLOOKUP(AV213,'G-1 All Habitats'!$B$2:$M$135,10,FALSE))</f>
        <v/>
      </c>
      <c r="J213" s="291" t="str">
        <f>IFERROR(VLOOKUP(I213,'G-1 All Habitats'!$V$3:$W$7,2,FALSE),"")</f>
        <v/>
      </c>
      <c r="K213" s="38"/>
      <c r="L213" s="291" t="str">
        <f>IFERROR(INDEX('G-8 Condition Look up'!$A$3:$H$135,MATCH(AV213,'G-8 Condition Look up'!$A$3:$A$135,0),MATCH(K213,'G-8 Condition Look up'!$A$3:$H$3,0)),"")</f>
        <v/>
      </c>
      <c r="M213" s="38"/>
      <c r="N213" s="310" t="str">
        <f>IF(M213="","",IF(VLOOKUP(M213,'G-3 Multipliers'!$L$3:$N$6,2,FALSE)=0,"Spatial Data Missing",VLOOKUP(M213,'G-3 Multipliers'!$L$3:$N$6,2,FALSE)))</f>
        <v/>
      </c>
      <c r="O213" s="296" t="str">
        <f>IF(M213="","",IF(VLOOKUP(M213,'G-3 Multipliers'!$L$3:$N$6,3,FALSE)=0,"Spatial Data Missing ▲",VLOOKUP(M213,'G-3 Multipliers'!$L$3:$N$6,3,FALSE)))</f>
        <v/>
      </c>
      <c r="P213" s="297" t="str">
        <f>(IF(G213="Yes","Bespoke compensation likely to be required 🛠",(IFERROR(VLOOKUP(AV213,'G-1 All Habitats'!$B$2:$M$135,12,FALSE),""))))</f>
        <v/>
      </c>
      <c r="Q213" s="304" t="str">
        <f>IFERROR(IF(AND(E213="Individual trees",T213&gt;0), "Error - you cannot enhance individual trees ▲", (IF(AND(U213="Irreplaceable habitat - no units generated ⚠",(S213+T213)&lt;H213, OR(Y213="No", Y213="")),"Any Loss Unacceptable ⚠", (IF(U213="Irreplaceable habitat - no units generated ⚠", T213*J213*L213*O213, IF(AND(P213='G-1 All Habitats'!$X$3, AC213&gt;0, S213&lt;=0, T213&lt;=0, OR(Y213="No", Y213="")),"Any Loss Unacceptable ⚠", IF(AND(P213='G-1 All Habitats'!$X$3, AC213&gt;0, S213&lt;=0, T213&lt;=0, Y213="Yes"), 0, (IF(AND(P213='G-1 All Habitats'!$X$3,(S213+T213)&lt;H213, OR(Y213="No", Y213="")),"Any Loss Unacceptable ⚠", (IF(P213="","",IF(AND(P213='G-1 All Habitats'!$X$3,T213&gt;0),U213+V213,IF(AND(P213='G-1 All Habitats'!$X$3,S213&gt;0),U213+V213,H213*J213*L213*O213))))))))))))),"Check Data ▲")</f>
        <v/>
      </c>
      <c r="R213" s="23"/>
      <c r="S213" s="38"/>
      <c r="T213" s="39"/>
      <c r="U213" s="302" t="str">
        <f t="shared" si="19"/>
        <v/>
      </c>
      <c r="V213" s="302" t="str">
        <f t="shared" si="20"/>
        <v/>
      </c>
      <c r="W213" s="302" t="str">
        <f>IF(E213="","",IF(H213&lt;S213+T213,"Error in Areas ▲",IF(P213&lt;&gt;'G-1 All Habitats'!$X$3,H213-S213-T213,IF(AND(P213='G-1 All Habitats'!$X$3,Y213="No"),AC213,IF(AND(P213='G-1 All Habitats'!$X$3,Y213=""),AC213,IF(AND(P213='G-1 All Habitats'!$X$3,AC213="None"),AC213,IF(AND(P213='G-1 All Habitats'!$X$3,AC213&gt;0),H213-S213-T213)))))))</f>
        <v/>
      </c>
      <c r="X213" s="306" t="str">
        <f>IFERROR(IF(H213="","",IF(H213-S213-T213=0&lt;0,"Error in Areas ▲",IF(S213+T213&gt;H213,"Error in Areas ▲",IF(AND(P213='G-1 All Habitats'!$X$3,Y213="Yes"),"Alternative Compensation ✓",IF(W213=0,0,IF(P213='G-1 All Habitats'!$X$3,"Any Loss Unacceptable ▲",Q213-U213-V213)))))),"Check Data ▲")</f>
        <v/>
      </c>
      <c r="Y213" s="39"/>
      <c r="Z213" s="46"/>
      <c r="AA213" s="419"/>
      <c r="AB213" s="101"/>
      <c r="AC213" s="495" t="str">
        <f>IF(OR(P213="", Y213="Yes"),"", IF(P213='G-1 All Habitats'!$X$3,H213-S213-T213,"None"))</f>
        <v/>
      </c>
      <c r="AD213" s="496" t="str">
        <f>IF(P213="","", IF(P213='G-1 All Habitats'!$X$3, AC213*J213*L213*O213,"None"))</f>
        <v/>
      </c>
      <c r="AE213" s="20" t="str">
        <f t="shared" si="21"/>
        <v/>
      </c>
      <c r="AF213" s="25" t="str">
        <f t="shared" si="22"/>
        <v/>
      </c>
      <c r="AG213" s="25" t="str">
        <f t="shared" si="18"/>
        <v/>
      </c>
      <c r="AH213" s="25" t="str">
        <f>IF(I213="","",IF(#REF!&gt;0,TRUE,FALSE))</f>
        <v/>
      </c>
      <c r="AI213" s="25">
        <v>203</v>
      </c>
      <c r="AJ213" s="25"/>
      <c r="AK213" s="25" t="str">
        <f t="array" ref="AK213">IFERROR(INDEX($AI$11:$AI$259, MATCH(0, IF(TRUE=$AF$11:$AF$259, COUNTIF($AK$10:$AK212, $AI$11:$AI$259), ""), 0)),"")</f>
        <v/>
      </c>
      <c r="AL213" s="25" t="str">
        <f t="array" ref="AL213">IFERROR(INDEX($AI$11:$AI$259, MATCH(0, IF(TRUE=$AG$11:$AG$259, COUNTIF($AL$10:$AL212, $AI$11:$AI$259), ""), 0)),"")</f>
        <v/>
      </c>
      <c r="AM213" s="25" t="str">
        <f t="array" ref="AM213">IFERROR(INDEX($AI$11:$AI$259, MATCH(0, IF(TRUE=$AH$11:$AH$259, COUNTIF($AM$10:$AM212, $AI$11:$AI$259), ""), 0)),"")</f>
        <v/>
      </c>
      <c r="AN213" s="25"/>
      <c r="AQ213" s="20">
        <f t="shared" si="23"/>
        <v>0</v>
      </c>
      <c r="AV213" s="540" t="str">
        <f>IFERROR(INDEX('G-1 All Habitats'!$B$3:$B$135,MATCH(F213,'G-1 All Habitats'!$A$3:$A$135,0)),"")</f>
        <v/>
      </c>
      <c r="AW213" s="20" t="str">
        <f>IF(AV213="","",VLOOKUP(AV213,'G-1 All Habitats'!$B$1:$T$135,19,FALSE))</f>
        <v/>
      </c>
    </row>
    <row r="214" spans="1:49" ht="14.5" thickBot="1" x14ac:dyDescent="0.35">
      <c r="A214" s="20" t="str">
        <f>IFERROR(INDEX('G-1 All Habitats'!$AG$3:$AG$17,MATCH(E214,'G-1 All Habitats'!$AF$3:$AF$17,0)),"")</f>
        <v/>
      </c>
      <c r="B214" s="20" t="str">
        <f>IFERROR(INDEX('G-8 Condition Look up'!$I$4:$I$135,MATCH(AV214,'G-8 Condition Look up'!$A$4:$A$135,0)),"")</f>
        <v/>
      </c>
      <c r="D214" s="238">
        <v>204</v>
      </c>
      <c r="E214" s="223"/>
      <c r="F214" s="45"/>
      <c r="G214" s="272"/>
      <c r="H214" s="37"/>
      <c r="I214" s="290" t="str">
        <f>IF(AV214="","",VLOOKUP(AV214,'G-1 All Habitats'!$B$2:$M$135,10,FALSE))</f>
        <v/>
      </c>
      <c r="J214" s="291" t="str">
        <f>IFERROR(VLOOKUP(I214,'G-1 All Habitats'!$V$3:$W$7,2,FALSE),"")</f>
        <v/>
      </c>
      <c r="K214" s="38"/>
      <c r="L214" s="291" t="str">
        <f>IFERROR(INDEX('G-8 Condition Look up'!$A$3:$H$135,MATCH(AV214,'G-8 Condition Look up'!$A$3:$A$135,0),MATCH(K214,'G-8 Condition Look up'!$A$3:$H$3,0)),"")</f>
        <v/>
      </c>
      <c r="M214" s="38"/>
      <c r="N214" s="310" t="str">
        <f>IF(M214="","",IF(VLOOKUP(M214,'G-3 Multipliers'!$L$3:$N$6,2,FALSE)=0,"Spatial Data Missing",VLOOKUP(M214,'G-3 Multipliers'!$L$3:$N$6,2,FALSE)))</f>
        <v/>
      </c>
      <c r="O214" s="296" t="str">
        <f>IF(M214="","",IF(VLOOKUP(M214,'G-3 Multipliers'!$L$3:$N$6,3,FALSE)=0,"Spatial Data Missing ▲",VLOOKUP(M214,'G-3 Multipliers'!$L$3:$N$6,3,FALSE)))</f>
        <v/>
      </c>
      <c r="P214" s="297" t="str">
        <f>(IF(G214="Yes","Bespoke compensation likely to be required 🛠",(IFERROR(VLOOKUP(AV214,'G-1 All Habitats'!$B$2:$M$135,12,FALSE),""))))</f>
        <v/>
      </c>
      <c r="Q214" s="304" t="str">
        <f>IFERROR(IF(AND(E214="Individual trees",T214&gt;0), "Error - you cannot enhance individual trees ▲", (IF(AND(U214="Irreplaceable habitat - no units generated ⚠",(S214+T214)&lt;H214, OR(Y214="No", Y214="")),"Any Loss Unacceptable ⚠", (IF(U214="Irreplaceable habitat - no units generated ⚠", T214*J214*L214*O214, IF(AND(P214='G-1 All Habitats'!$X$3, AC214&gt;0, S214&lt;=0, T214&lt;=0, OR(Y214="No", Y214="")),"Any Loss Unacceptable ⚠", IF(AND(P214='G-1 All Habitats'!$X$3, AC214&gt;0, S214&lt;=0, T214&lt;=0, Y214="Yes"), 0, (IF(AND(P214='G-1 All Habitats'!$X$3,(S214+T214)&lt;H214, OR(Y214="No", Y214="")),"Any Loss Unacceptable ⚠", (IF(P214="","",IF(AND(P214='G-1 All Habitats'!$X$3,T214&gt;0),U214+V214,IF(AND(P214='G-1 All Habitats'!$X$3,S214&gt;0),U214+V214,H214*J214*L214*O214))))))))))))),"Check Data ▲")</f>
        <v/>
      </c>
      <c r="R214" s="23"/>
      <c r="S214" s="38"/>
      <c r="T214" s="39"/>
      <c r="U214" s="302" t="str">
        <f t="shared" si="19"/>
        <v/>
      </c>
      <c r="V214" s="302" t="str">
        <f t="shared" si="20"/>
        <v/>
      </c>
      <c r="W214" s="302" t="str">
        <f>IF(E214="","",IF(H214&lt;S214+T214,"Error in Areas ▲",IF(P214&lt;&gt;'G-1 All Habitats'!$X$3,H214-S214-T214,IF(AND(P214='G-1 All Habitats'!$X$3,Y214="No"),AC214,IF(AND(P214='G-1 All Habitats'!$X$3,Y214=""),AC214,IF(AND(P214='G-1 All Habitats'!$X$3,AC214="None"),AC214,IF(AND(P214='G-1 All Habitats'!$X$3,AC214&gt;0),H214-S214-T214)))))))</f>
        <v/>
      </c>
      <c r="X214" s="306" t="str">
        <f>IFERROR(IF(H214="","",IF(H214-S214-T214=0&lt;0,"Error in Areas ▲",IF(S214+T214&gt;H214,"Error in Areas ▲",IF(AND(P214='G-1 All Habitats'!$X$3,Y214="Yes"),"Alternative Compensation ✓",IF(W214=0,0,IF(P214='G-1 All Habitats'!$X$3,"Any Loss Unacceptable ▲",Q214-U214-V214)))))),"Check Data ▲")</f>
        <v/>
      </c>
      <c r="Y214" s="39"/>
      <c r="Z214" s="46"/>
      <c r="AA214" s="419"/>
      <c r="AB214" s="101"/>
      <c r="AC214" s="495" t="str">
        <f>IF(OR(P214="", Y214="Yes"),"", IF(P214='G-1 All Habitats'!$X$3,H214-S214-T214,"None"))</f>
        <v/>
      </c>
      <c r="AD214" s="496" t="str">
        <f>IF(P214="","", IF(P214='G-1 All Habitats'!$X$3, AC214*J214*L214*O214,"None"))</f>
        <v/>
      </c>
      <c r="AE214" s="20" t="str">
        <f t="shared" si="21"/>
        <v/>
      </c>
      <c r="AF214" s="25" t="str">
        <f t="shared" si="22"/>
        <v/>
      </c>
      <c r="AG214" s="25" t="str">
        <f t="shared" si="18"/>
        <v/>
      </c>
      <c r="AH214" s="25" t="str">
        <f>IF(I214="","",IF(#REF!&gt;0,TRUE,FALSE))</f>
        <v/>
      </c>
      <c r="AI214" s="25">
        <v>204</v>
      </c>
      <c r="AJ214" s="25"/>
      <c r="AK214" s="25" t="str">
        <f t="array" ref="AK214">IFERROR(INDEX($AI$11:$AI$259, MATCH(0, IF(TRUE=$AF$11:$AF$259, COUNTIF($AK$10:$AK213, $AI$11:$AI$259), ""), 0)),"")</f>
        <v/>
      </c>
      <c r="AL214" s="25" t="str">
        <f t="array" ref="AL214">IFERROR(INDEX($AI$11:$AI$259, MATCH(0, IF(TRUE=$AG$11:$AG$259, COUNTIF($AL$10:$AL213, $AI$11:$AI$259), ""), 0)),"")</f>
        <v/>
      </c>
      <c r="AM214" s="25" t="str">
        <f t="array" ref="AM214">IFERROR(INDEX($AI$11:$AI$259, MATCH(0, IF(TRUE=$AH$11:$AH$259, COUNTIF($AM$10:$AM213, $AI$11:$AI$259), ""), 0)),"")</f>
        <v/>
      </c>
      <c r="AN214" s="25"/>
      <c r="AQ214" s="20">
        <f t="shared" si="23"/>
        <v>0</v>
      </c>
      <c r="AV214" s="540" t="str">
        <f>IFERROR(INDEX('G-1 All Habitats'!$B$3:$B$135,MATCH(F214,'G-1 All Habitats'!$A$3:$A$135,0)),"")</f>
        <v/>
      </c>
      <c r="AW214" s="20" t="str">
        <f>IF(AV214="","",VLOOKUP(AV214,'G-1 All Habitats'!$B$1:$T$135,19,FALSE))</f>
        <v/>
      </c>
    </row>
    <row r="215" spans="1:49" ht="14.5" thickBot="1" x14ac:dyDescent="0.35">
      <c r="A215" s="20" t="str">
        <f>IFERROR(INDEX('G-1 All Habitats'!$AG$3:$AG$17,MATCH(E215,'G-1 All Habitats'!$AF$3:$AF$17,0)),"")</f>
        <v/>
      </c>
      <c r="B215" s="20" t="str">
        <f>IFERROR(INDEX('G-8 Condition Look up'!$I$4:$I$135,MATCH(AV215,'G-8 Condition Look up'!$A$4:$A$135,0)),"")</f>
        <v/>
      </c>
      <c r="D215" s="238">
        <v>205</v>
      </c>
      <c r="E215" s="223"/>
      <c r="F215" s="45"/>
      <c r="G215" s="272"/>
      <c r="H215" s="37"/>
      <c r="I215" s="290" t="str">
        <f>IF(AV215="","",VLOOKUP(AV215,'G-1 All Habitats'!$B$2:$M$135,10,FALSE))</f>
        <v/>
      </c>
      <c r="J215" s="291" t="str">
        <f>IFERROR(VLOOKUP(I215,'G-1 All Habitats'!$V$3:$W$7,2,FALSE),"")</f>
        <v/>
      </c>
      <c r="K215" s="38"/>
      <c r="L215" s="291" t="str">
        <f>IFERROR(INDEX('G-8 Condition Look up'!$A$3:$H$135,MATCH(AV215,'G-8 Condition Look up'!$A$3:$A$135,0),MATCH(K215,'G-8 Condition Look up'!$A$3:$H$3,0)),"")</f>
        <v/>
      </c>
      <c r="M215" s="38"/>
      <c r="N215" s="310" t="str">
        <f>IF(M215="","",IF(VLOOKUP(M215,'G-3 Multipliers'!$L$3:$N$6,2,FALSE)=0,"Spatial Data Missing",VLOOKUP(M215,'G-3 Multipliers'!$L$3:$N$6,2,FALSE)))</f>
        <v/>
      </c>
      <c r="O215" s="296" t="str">
        <f>IF(M215="","",IF(VLOOKUP(M215,'G-3 Multipliers'!$L$3:$N$6,3,FALSE)=0,"Spatial Data Missing ▲",VLOOKUP(M215,'G-3 Multipliers'!$L$3:$N$6,3,FALSE)))</f>
        <v/>
      </c>
      <c r="P215" s="297" t="str">
        <f>(IF(G215="Yes","Bespoke compensation likely to be required 🛠",(IFERROR(VLOOKUP(AV215,'G-1 All Habitats'!$B$2:$M$135,12,FALSE),""))))</f>
        <v/>
      </c>
      <c r="Q215" s="304" t="str">
        <f>IFERROR(IF(AND(E215="Individual trees",T215&gt;0), "Error - you cannot enhance individual trees ▲", (IF(AND(U215="Irreplaceable habitat - no units generated ⚠",(S215+T215)&lt;H215, OR(Y215="No", Y215="")),"Any Loss Unacceptable ⚠", (IF(U215="Irreplaceable habitat - no units generated ⚠", T215*J215*L215*O215, IF(AND(P215='G-1 All Habitats'!$X$3, AC215&gt;0, S215&lt;=0, T215&lt;=0, OR(Y215="No", Y215="")),"Any Loss Unacceptable ⚠", IF(AND(P215='G-1 All Habitats'!$X$3, AC215&gt;0, S215&lt;=0, T215&lt;=0, Y215="Yes"), 0, (IF(AND(P215='G-1 All Habitats'!$X$3,(S215+T215)&lt;H215, OR(Y215="No", Y215="")),"Any Loss Unacceptable ⚠", (IF(P215="","",IF(AND(P215='G-1 All Habitats'!$X$3,T215&gt;0),U215+V215,IF(AND(P215='G-1 All Habitats'!$X$3,S215&gt;0),U215+V215,H215*J215*L215*O215))))))))))))),"Check Data ▲")</f>
        <v/>
      </c>
      <c r="R215" s="23"/>
      <c r="S215" s="38"/>
      <c r="T215" s="39"/>
      <c r="U215" s="302" t="str">
        <f t="shared" si="19"/>
        <v/>
      </c>
      <c r="V215" s="302" t="str">
        <f t="shared" si="20"/>
        <v/>
      </c>
      <c r="W215" s="302" t="str">
        <f>IF(E215="","",IF(H215&lt;S215+T215,"Error in Areas ▲",IF(P215&lt;&gt;'G-1 All Habitats'!$X$3,H215-S215-T215,IF(AND(P215='G-1 All Habitats'!$X$3,Y215="No"),AC215,IF(AND(P215='G-1 All Habitats'!$X$3,Y215=""),AC215,IF(AND(P215='G-1 All Habitats'!$X$3,AC215="None"),AC215,IF(AND(P215='G-1 All Habitats'!$X$3,AC215&gt;0),H215-S215-T215)))))))</f>
        <v/>
      </c>
      <c r="X215" s="306" t="str">
        <f>IFERROR(IF(H215="","",IF(H215-S215-T215=0&lt;0,"Error in Areas ▲",IF(S215+T215&gt;H215,"Error in Areas ▲",IF(AND(P215='G-1 All Habitats'!$X$3,Y215="Yes"),"Alternative Compensation ✓",IF(W215=0,0,IF(P215='G-1 All Habitats'!$X$3,"Any Loss Unacceptable ▲",Q215-U215-V215)))))),"Check Data ▲")</f>
        <v/>
      </c>
      <c r="Y215" s="39"/>
      <c r="Z215" s="46"/>
      <c r="AA215" s="419"/>
      <c r="AB215" s="101"/>
      <c r="AC215" s="495" t="str">
        <f>IF(OR(P215="", Y215="Yes"),"", IF(P215='G-1 All Habitats'!$X$3,H215-S215-T215,"None"))</f>
        <v/>
      </c>
      <c r="AD215" s="496" t="str">
        <f>IF(P215="","", IF(P215='G-1 All Habitats'!$X$3, AC215*J215*L215*O215,"None"))</f>
        <v/>
      </c>
      <c r="AE215" s="20" t="str">
        <f t="shared" si="21"/>
        <v/>
      </c>
      <c r="AF215" s="25" t="str">
        <f t="shared" si="22"/>
        <v/>
      </c>
      <c r="AG215" s="25" t="str">
        <f t="shared" si="18"/>
        <v/>
      </c>
      <c r="AH215" s="25" t="str">
        <f>IF(I215="","",IF(#REF!&gt;0,TRUE,FALSE))</f>
        <v/>
      </c>
      <c r="AI215" s="25">
        <v>205</v>
      </c>
      <c r="AJ215" s="25"/>
      <c r="AK215" s="25" t="str">
        <f t="array" ref="AK215">IFERROR(INDEX($AI$11:$AI$259, MATCH(0, IF(TRUE=$AF$11:$AF$259, COUNTIF($AK$10:$AK214, $AI$11:$AI$259), ""), 0)),"")</f>
        <v/>
      </c>
      <c r="AL215" s="25" t="str">
        <f t="array" ref="AL215">IFERROR(INDEX($AI$11:$AI$259, MATCH(0, IF(TRUE=$AG$11:$AG$259, COUNTIF($AL$10:$AL214, $AI$11:$AI$259), ""), 0)),"")</f>
        <v/>
      </c>
      <c r="AM215" s="25" t="str">
        <f t="array" ref="AM215">IFERROR(INDEX($AI$11:$AI$259, MATCH(0, IF(TRUE=$AH$11:$AH$259, COUNTIF($AM$10:$AM214, $AI$11:$AI$259), ""), 0)),"")</f>
        <v/>
      </c>
      <c r="AN215" s="25"/>
      <c r="AQ215" s="20">
        <f t="shared" si="23"/>
        <v>0</v>
      </c>
      <c r="AV215" s="540" t="str">
        <f>IFERROR(INDEX('G-1 All Habitats'!$B$3:$B$135,MATCH(F215,'G-1 All Habitats'!$A$3:$A$135,0)),"")</f>
        <v/>
      </c>
      <c r="AW215" s="20" t="str">
        <f>IF(AV215="","",VLOOKUP(AV215,'G-1 All Habitats'!$B$1:$T$135,19,FALSE))</f>
        <v/>
      </c>
    </row>
    <row r="216" spans="1:49" ht="14.5" thickBot="1" x14ac:dyDescent="0.35">
      <c r="A216" s="20" t="str">
        <f>IFERROR(INDEX('G-1 All Habitats'!$AG$3:$AG$17,MATCH(E216,'G-1 All Habitats'!$AF$3:$AF$17,0)),"")</f>
        <v/>
      </c>
      <c r="B216" s="20" t="str">
        <f>IFERROR(INDEX('G-8 Condition Look up'!$I$4:$I$135,MATCH(AV216,'G-8 Condition Look up'!$A$4:$A$135,0)),"")</f>
        <v/>
      </c>
      <c r="D216" s="238">
        <v>206</v>
      </c>
      <c r="E216" s="223"/>
      <c r="F216" s="45"/>
      <c r="G216" s="272"/>
      <c r="H216" s="37"/>
      <c r="I216" s="290" t="str">
        <f>IF(AV216="","",VLOOKUP(AV216,'G-1 All Habitats'!$B$2:$M$135,10,FALSE))</f>
        <v/>
      </c>
      <c r="J216" s="291" t="str">
        <f>IFERROR(VLOOKUP(I216,'G-1 All Habitats'!$V$3:$W$7,2,FALSE),"")</f>
        <v/>
      </c>
      <c r="K216" s="38"/>
      <c r="L216" s="291" t="str">
        <f>IFERROR(INDEX('G-8 Condition Look up'!$A$3:$H$135,MATCH(AV216,'G-8 Condition Look up'!$A$3:$A$135,0),MATCH(K216,'G-8 Condition Look up'!$A$3:$H$3,0)),"")</f>
        <v/>
      </c>
      <c r="M216" s="38"/>
      <c r="N216" s="310" t="str">
        <f>IF(M216="","",IF(VLOOKUP(M216,'G-3 Multipliers'!$L$3:$N$6,2,FALSE)=0,"Spatial Data Missing",VLOOKUP(M216,'G-3 Multipliers'!$L$3:$N$6,2,FALSE)))</f>
        <v/>
      </c>
      <c r="O216" s="296" t="str">
        <f>IF(M216="","",IF(VLOOKUP(M216,'G-3 Multipliers'!$L$3:$N$6,3,FALSE)=0,"Spatial Data Missing ▲",VLOOKUP(M216,'G-3 Multipliers'!$L$3:$N$6,3,FALSE)))</f>
        <v/>
      </c>
      <c r="P216" s="297" t="str">
        <f>(IF(G216="Yes","Bespoke compensation likely to be required 🛠",(IFERROR(VLOOKUP(AV216,'G-1 All Habitats'!$B$2:$M$135,12,FALSE),""))))</f>
        <v/>
      </c>
      <c r="Q216" s="304" t="str">
        <f>IFERROR(IF(AND(E216="Individual trees",T216&gt;0), "Error - you cannot enhance individual trees ▲", (IF(AND(U216="Irreplaceable habitat - no units generated ⚠",(S216+T216)&lt;H216, OR(Y216="No", Y216="")),"Any Loss Unacceptable ⚠", (IF(U216="Irreplaceable habitat - no units generated ⚠", T216*J216*L216*O216, IF(AND(P216='G-1 All Habitats'!$X$3, AC216&gt;0, S216&lt;=0, T216&lt;=0, OR(Y216="No", Y216="")),"Any Loss Unacceptable ⚠", IF(AND(P216='G-1 All Habitats'!$X$3, AC216&gt;0, S216&lt;=0, T216&lt;=0, Y216="Yes"), 0, (IF(AND(P216='G-1 All Habitats'!$X$3,(S216+T216)&lt;H216, OR(Y216="No", Y216="")),"Any Loss Unacceptable ⚠", (IF(P216="","",IF(AND(P216='G-1 All Habitats'!$X$3,T216&gt;0),U216+V216,IF(AND(P216='G-1 All Habitats'!$X$3,S216&gt;0),U216+V216,H216*J216*L216*O216))))))))))))),"Check Data ▲")</f>
        <v/>
      </c>
      <c r="R216" s="23"/>
      <c r="S216" s="38"/>
      <c r="T216" s="39"/>
      <c r="U216" s="302" t="str">
        <f t="shared" si="19"/>
        <v/>
      </c>
      <c r="V216" s="302" t="str">
        <f t="shared" si="20"/>
        <v/>
      </c>
      <c r="W216" s="302" t="str">
        <f>IF(E216="","",IF(H216&lt;S216+T216,"Error in Areas ▲",IF(P216&lt;&gt;'G-1 All Habitats'!$X$3,H216-S216-T216,IF(AND(P216='G-1 All Habitats'!$X$3,Y216="No"),AC216,IF(AND(P216='G-1 All Habitats'!$X$3,Y216=""),AC216,IF(AND(P216='G-1 All Habitats'!$X$3,AC216="None"),AC216,IF(AND(P216='G-1 All Habitats'!$X$3,AC216&gt;0),H216-S216-T216)))))))</f>
        <v/>
      </c>
      <c r="X216" s="306" t="str">
        <f>IFERROR(IF(H216="","",IF(H216-S216-T216=0&lt;0,"Error in Areas ▲",IF(S216+T216&gt;H216,"Error in Areas ▲",IF(AND(P216='G-1 All Habitats'!$X$3,Y216="Yes"),"Alternative Compensation ✓",IF(W216=0,0,IF(P216='G-1 All Habitats'!$X$3,"Any Loss Unacceptable ▲",Q216-U216-V216)))))),"Check Data ▲")</f>
        <v/>
      </c>
      <c r="Y216" s="39"/>
      <c r="Z216" s="46"/>
      <c r="AA216" s="419"/>
      <c r="AB216" s="101"/>
      <c r="AC216" s="495" t="str">
        <f>IF(OR(P216="", Y216="Yes"),"", IF(P216='G-1 All Habitats'!$X$3,H216-S216-T216,"None"))</f>
        <v/>
      </c>
      <c r="AD216" s="496" t="str">
        <f>IF(P216="","", IF(P216='G-1 All Habitats'!$X$3, AC216*J216*L216*O216,"None"))</f>
        <v/>
      </c>
      <c r="AE216" s="20" t="str">
        <f t="shared" si="21"/>
        <v/>
      </c>
      <c r="AF216" s="25" t="str">
        <f t="shared" si="22"/>
        <v/>
      </c>
      <c r="AG216" s="25" t="str">
        <f t="shared" si="18"/>
        <v/>
      </c>
      <c r="AH216" s="25" t="str">
        <f>IF(I216="","",IF(#REF!&gt;0,TRUE,FALSE))</f>
        <v/>
      </c>
      <c r="AI216" s="25">
        <v>206</v>
      </c>
      <c r="AJ216" s="25"/>
      <c r="AK216" s="25" t="str">
        <f t="array" ref="AK216">IFERROR(INDEX($AI$11:$AI$259, MATCH(0, IF(TRUE=$AF$11:$AF$259, COUNTIF($AK$10:$AK215, $AI$11:$AI$259), ""), 0)),"")</f>
        <v/>
      </c>
      <c r="AL216" s="25" t="str">
        <f t="array" ref="AL216">IFERROR(INDEX($AI$11:$AI$259, MATCH(0, IF(TRUE=$AG$11:$AG$259, COUNTIF($AL$10:$AL215, $AI$11:$AI$259), ""), 0)),"")</f>
        <v/>
      </c>
      <c r="AM216" s="25" t="str">
        <f t="array" ref="AM216">IFERROR(INDEX($AI$11:$AI$259, MATCH(0, IF(TRUE=$AH$11:$AH$259, COUNTIF($AM$10:$AM215, $AI$11:$AI$259), ""), 0)),"")</f>
        <v/>
      </c>
      <c r="AN216" s="25"/>
      <c r="AQ216" s="20">
        <f t="shared" si="23"/>
        <v>0</v>
      </c>
      <c r="AV216" s="540" t="str">
        <f>IFERROR(INDEX('G-1 All Habitats'!$B$3:$B$135,MATCH(F216,'G-1 All Habitats'!$A$3:$A$135,0)),"")</f>
        <v/>
      </c>
      <c r="AW216" s="20" t="str">
        <f>IF(AV216="","",VLOOKUP(AV216,'G-1 All Habitats'!$B$1:$T$135,19,FALSE))</f>
        <v/>
      </c>
    </row>
    <row r="217" spans="1:49" ht="14.5" thickBot="1" x14ac:dyDescent="0.35">
      <c r="A217" s="20" t="str">
        <f>IFERROR(INDEX('G-1 All Habitats'!$AG$3:$AG$17,MATCH(E217,'G-1 All Habitats'!$AF$3:$AF$17,0)),"")</f>
        <v/>
      </c>
      <c r="B217" s="20" t="str">
        <f>IFERROR(INDEX('G-8 Condition Look up'!$I$4:$I$135,MATCH(AV217,'G-8 Condition Look up'!$A$4:$A$135,0)),"")</f>
        <v/>
      </c>
      <c r="D217" s="238">
        <v>207</v>
      </c>
      <c r="E217" s="223"/>
      <c r="F217" s="45"/>
      <c r="G217" s="272"/>
      <c r="H217" s="37"/>
      <c r="I217" s="290" t="str">
        <f>IF(AV217="","",VLOOKUP(AV217,'G-1 All Habitats'!$B$2:$M$135,10,FALSE))</f>
        <v/>
      </c>
      <c r="J217" s="291" t="str">
        <f>IFERROR(VLOOKUP(I217,'G-1 All Habitats'!$V$3:$W$7,2,FALSE),"")</f>
        <v/>
      </c>
      <c r="K217" s="38"/>
      <c r="L217" s="291" t="str">
        <f>IFERROR(INDEX('G-8 Condition Look up'!$A$3:$H$135,MATCH(AV217,'G-8 Condition Look up'!$A$3:$A$135,0),MATCH(K217,'G-8 Condition Look up'!$A$3:$H$3,0)),"")</f>
        <v/>
      </c>
      <c r="M217" s="38"/>
      <c r="N217" s="310" t="str">
        <f>IF(M217="","",IF(VLOOKUP(M217,'G-3 Multipliers'!$L$3:$N$6,2,FALSE)=0,"Spatial Data Missing",VLOOKUP(M217,'G-3 Multipliers'!$L$3:$N$6,2,FALSE)))</f>
        <v/>
      </c>
      <c r="O217" s="296" t="str">
        <f>IF(M217="","",IF(VLOOKUP(M217,'G-3 Multipliers'!$L$3:$N$6,3,FALSE)=0,"Spatial Data Missing ▲",VLOOKUP(M217,'G-3 Multipliers'!$L$3:$N$6,3,FALSE)))</f>
        <v/>
      </c>
      <c r="P217" s="297" t="str">
        <f>(IF(G217="Yes","Bespoke compensation likely to be required 🛠",(IFERROR(VLOOKUP(AV217,'G-1 All Habitats'!$B$2:$M$135,12,FALSE),""))))</f>
        <v/>
      </c>
      <c r="Q217" s="304" t="str">
        <f>IFERROR(IF(AND(E217="Individual trees",T217&gt;0), "Error - you cannot enhance individual trees ▲", (IF(AND(U217="Irreplaceable habitat - no units generated ⚠",(S217+T217)&lt;H217, OR(Y217="No", Y217="")),"Any Loss Unacceptable ⚠", (IF(U217="Irreplaceable habitat - no units generated ⚠", T217*J217*L217*O217, IF(AND(P217='G-1 All Habitats'!$X$3, AC217&gt;0, S217&lt;=0, T217&lt;=0, OR(Y217="No", Y217="")),"Any Loss Unacceptable ⚠", IF(AND(P217='G-1 All Habitats'!$X$3, AC217&gt;0, S217&lt;=0, T217&lt;=0, Y217="Yes"), 0, (IF(AND(P217='G-1 All Habitats'!$X$3,(S217+T217)&lt;H217, OR(Y217="No", Y217="")),"Any Loss Unacceptable ⚠", (IF(P217="","",IF(AND(P217='G-1 All Habitats'!$X$3,T217&gt;0),U217+V217,IF(AND(P217='G-1 All Habitats'!$X$3,S217&gt;0),U217+V217,H217*J217*L217*O217))))))))))))),"Check Data ▲")</f>
        <v/>
      </c>
      <c r="R217" s="23"/>
      <c r="S217" s="38"/>
      <c r="T217" s="39"/>
      <c r="U217" s="302" t="str">
        <f t="shared" si="19"/>
        <v/>
      </c>
      <c r="V217" s="302" t="str">
        <f t="shared" si="20"/>
        <v/>
      </c>
      <c r="W217" s="302" t="str">
        <f>IF(E217="","",IF(H217&lt;S217+T217,"Error in Areas ▲",IF(P217&lt;&gt;'G-1 All Habitats'!$X$3,H217-S217-T217,IF(AND(P217='G-1 All Habitats'!$X$3,Y217="No"),AC217,IF(AND(P217='G-1 All Habitats'!$X$3,Y217=""),AC217,IF(AND(P217='G-1 All Habitats'!$X$3,AC217="None"),AC217,IF(AND(P217='G-1 All Habitats'!$X$3,AC217&gt;0),H217-S217-T217)))))))</f>
        <v/>
      </c>
      <c r="X217" s="306" t="str">
        <f>IFERROR(IF(H217="","",IF(H217-S217-T217=0&lt;0,"Error in Areas ▲",IF(S217+T217&gt;H217,"Error in Areas ▲",IF(AND(P217='G-1 All Habitats'!$X$3,Y217="Yes"),"Alternative Compensation ✓",IF(W217=0,0,IF(P217='G-1 All Habitats'!$X$3,"Any Loss Unacceptable ▲",Q217-U217-V217)))))),"Check Data ▲")</f>
        <v/>
      </c>
      <c r="Y217" s="39"/>
      <c r="Z217" s="46"/>
      <c r="AA217" s="419"/>
      <c r="AB217" s="101"/>
      <c r="AC217" s="495" t="str">
        <f>IF(OR(P217="", Y217="Yes"),"", IF(P217='G-1 All Habitats'!$X$3,H217-S217-T217,"None"))</f>
        <v/>
      </c>
      <c r="AD217" s="496" t="str">
        <f>IF(P217="","", IF(P217='G-1 All Habitats'!$X$3, AC217*J217*L217*O217,"None"))</f>
        <v/>
      </c>
      <c r="AE217" s="20" t="str">
        <f t="shared" si="21"/>
        <v/>
      </c>
      <c r="AF217" s="25" t="str">
        <f t="shared" si="22"/>
        <v/>
      </c>
      <c r="AG217" s="25" t="str">
        <f t="shared" si="18"/>
        <v/>
      </c>
      <c r="AH217" s="25" t="str">
        <f>IF(I217="","",IF(#REF!&gt;0,TRUE,FALSE))</f>
        <v/>
      </c>
      <c r="AI217" s="25">
        <v>207</v>
      </c>
      <c r="AJ217" s="25"/>
      <c r="AK217" s="25" t="str">
        <f t="array" ref="AK217">IFERROR(INDEX($AI$11:$AI$259, MATCH(0, IF(TRUE=$AF$11:$AF$259, COUNTIF($AK$10:$AK216, $AI$11:$AI$259), ""), 0)),"")</f>
        <v/>
      </c>
      <c r="AL217" s="25" t="str">
        <f t="array" ref="AL217">IFERROR(INDEX($AI$11:$AI$259, MATCH(0, IF(TRUE=$AG$11:$AG$259, COUNTIF($AL$10:$AL216, $AI$11:$AI$259), ""), 0)),"")</f>
        <v/>
      </c>
      <c r="AM217" s="25" t="str">
        <f t="array" ref="AM217">IFERROR(INDEX($AI$11:$AI$259, MATCH(0, IF(TRUE=$AH$11:$AH$259, COUNTIF($AM$10:$AM216, $AI$11:$AI$259), ""), 0)),"")</f>
        <v/>
      </c>
      <c r="AN217" s="25"/>
      <c r="AQ217" s="20">
        <f t="shared" si="23"/>
        <v>0</v>
      </c>
      <c r="AV217" s="540" t="str">
        <f>IFERROR(INDEX('G-1 All Habitats'!$B$3:$B$135,MATCH(F217,'G-1 All Habitats'!$A$3:$A$135,0)),"")</f>
        <v/>
      </c>
      <c r="AW217" s="20" t="str">
        <f>IF(AV217="","",VLOOKUP(AV217,'G-1 All Habitats'!$B$1:$T$135,19,FALSE))</f>
        <v/>
      </c>
    </row>
    <row r="218" spans="1:49" ht="14.5" thickBot="1" x14ac:dyDescent="0.35">
      <c r="A218" s="20" t="str">
        <f>IFERROR(INDEX('G-1 All Habitats'!$AG$3:$AG$17,MATCH(E218,'G-1 All Habitats'!$AF$3:$AF$17,0)),"")</f>
        <v/>
      </c>
      <c r="B218" s="20" t="str">
        <f>IFERROR(INDEX('G-8 Condition Look up'!$I$4:$I$135,MATCH(AV218,'G-8 Condition Look up'!$A$4:$A$135,0)),"")</f>
        <v/>
      </c>
      <c r="D218" s="238">
        <v>208</v>
      </c>
      <c r="E218" s="223"/>
      <c r="F218" s="45"/>
      <c r="G218" s="272"/>
      <c r="H218" s="37"/>
      <c r="I218" s="290" t="str">
        <f>IF(AV218="","",VLOOKUP(AV218,'G-1 All Habitats'!$B$2:$M$135,10,FALSE))</f>
        <v/>
      </c>
      <c r="J218" s="291" t="str">
        <f>IFERROR(VLOOKUP(I218,'G-1 All Habitats'!$V$3:$W$7,2,FALSE),"")</f>
        <v/>
      </c>
      <c r="K218" s="38"/>
      <c r="L218" s="291" t="str">
        <f>IFERROR(INDEX('G-8 Condition Look up'!$A$3:$H$135,MATCH(AV218,'G-8 Condition Look up'!$A$3:$A$135,0),MATCH(K218,'G-8 Condition Look up'!$A$3:$H$3,0)),"")</f>
        <v/>
      </c>
      <c r="M218" s="38"/>
      <c r="N218" s="310" t="str">
        <f>IF(M218="","",IF(VLOOKUP(M218,'G-3 Multipliers'!$L$3:$N$6,2,FALSE)=0,"Spatial Data Missing",VLOOKUP(M218,'G-3 Multipliers'!$L$3:$N$6,2,FALSE)))</f>
        <v/>
      </c>
      <c r="O218" s="296" t="str">
        <f>IF(M218="","",IF(VLOOKUP(M218,'G-3 Multipliers'!$L$3:$N$6,3,FALSE)=0,"Spatial Data Missing ▲",VLOOKUP(M218,'G-3 Multipliers'!$L$3:$N$6,3,FALSE)))</f>
        <v/>
      </c>
      <c r="P218" s="297" t="str">
        <f>(IF(G218="Yes","Bespoke compensation likely to be required 🛠",(IFERROR(VLOOKUP(AV218,'G-1 All Habitats'!$B$2:$M$135,12,FALSE),""))))</f>
        <v/>
      </c>
      <c r="Q218" s="304" t="str">
        <f>IFERROR(IF(AND(E218="Individual trees",T218&gt;0), "Error - you cannot enhance individual trees ▲", (IF(AND(U218="Irreplaceable habitat - no units generated ⚠",(S218+T218)&lt;H218, OR(Y218="No", Y218="")),"Any Loss Unacceptable ⚠", (IF(U218="Irreplaceable habitat - no units generated ⚠", T218*J218*L218*O218, IF(AND(P218='G-1 All Habitats'!$X$3, AC218&gt;0, S218&lt;=0, T218&lt;=0, OR(Y218="No", Y218="")),"Any Loss Unacceptable ⚠", IF(AND(P218='G-1 All Habitats'!$X$3, AC218&gt;0, S218&lt;=0, T218&lt;=0, Y218="Yes"), 0, (IF(AND(P218='G-1 All Habitats'!$X$3,(S218+T218)&lt;H218, OR(Y218="No", Y218="")),"Any Loss Unacceptable ⚠", (IF(P218="","",IF(AND(P218='G-1 All Habitats'!$X$3,T218&gt;0),U218+V218,IF(AND(P218='G-1 All Habitats'!$X$3,S218&gt;0),U218+V218,H218*J218*L218*O218))))))))))))),"Check Data ▲")</f>
        <v/>
      </c>
      <c r="R218" s="23"/>
      <c r="S218" s="38"/>
      <c r="T218" s="39"/>
      <c r="U218" s="302" t="str">
        <f t="shared" si="19"/>
        <v/>
      </c>
      <c r="V218" s="302" t="str">
        <f t="shared" si="20"/>
        <v/>
      </c>
      <c r="W218" s="302" t="str">
        <f>IF(E218="","",IF(H218&lt;S218+T218,"Error in Areas ▲",IF(P218&lt;&gt;'G-1 All Habitats'!$X$3,H218-S218-T218,IF(AND(P218='G-1 All Habitats'!$X$3,Y218="No"),AC218,IF(AND(P218='G-1 All Habitats'!$X$3,Y218=""),AC218,IF(AND(P218='G-1 All Habitats'!$X$3,AC218="None"),AC218,IF(AND(P218='G-1 All Habitats'!$X$3,AC218&gt;0),H218-S218-T218)))))))</f>
        <v/>
      </c>
      <c r="X218" s="306" t="str">
        <f>IFERROR(IF(H218="","",IF(H218-S218-T218=0&lt;0,"Error in Areas ▲",IF(S218+T218&gt;H218,"Error in Areas ▲",IF(AND(P218='G-1 All Habitats'!$X$3,Y218="Yes"),"Alternative Compensation ✓",IF(W218=0,0,IF(P218='G-1 All Habitats'!$X$3,"Any Loss Unacceptable ▲",Q218-U218-V218)))))),"Check Data ▲")</f>
        <v/>
      </c>
      <c r="Y218" s="39"/>
      <c r="Z218" s="46"/>
      <c r="AA218" s="419"/>
      <c r="AB218" s="101"/>
      <c r="AC218" s="495" t="str">
        <f>IF(OR(P218="", Y218="Yes"),"", IF(P218='G-1 All Habitats'!$X$3,H218-S218-T218,"None"))</f>
        <v/>
      </c>
      <c r="AD218" s="496" t="str">
        <f>IF(P218="","", IF(P218='G-1 All Habitats'!$X$3, AC218*J218*L218*O218,"None"))</f>
        <v/>
      </c>
      <c r="AE218" s="20" t="str">
        <f t="shared" si="21"/>
        <v/>
      </c>
      <c r="AF218" s="25" t="str">
        <f t="shared" si="22"/>
        <v/>
      </c>
      <c r="AG218" s="25" t="str">
        <f t="shared" si="18"/>
        <v/>
      </c>
      <c r="AH218" s="25" t="str">
        <f>IF(I218="","",IF(#REF!&gt;0,TRUE,FALSE))</f>
        <v/>
      </c>
      <c r="AI218" s="25">
        <v>208</v>
      </c>
      <c r="AJ218" s="25"/>
      <c r="AK218" s="25" t="str">
        <f t="array" ref="AK218">IFERROR(INDEX($AI$11:$AI$259, MATCH(0, IF(TRUE=$AF$11:$AF$259, COUNTIF($AK$10:$AK217, $AI$11:$AI$259), ""), 0)),"")</f>
        <v/>
      </c>
      <c r="AL218" s="25" t="str">
        <f t="array" ref="AL218">IFERROR(INDEX($AI$11:$AI$259, MATCH(0, IF(TRUE=$AG$11:$AG$259, COUNTIF($AL$10:$AL217, $AI$11:$AI$259), ""), 0)),"")</f>
        <v/>
      </c>
      <c r="AM218" s="25" t="str">
        <f t="array" ref="AM218">IFERROR(INDEX($AI$11:$AI$259, MATCH(0, IF(TRUE=$AH$11:$AH$259, COUNTIF($AM$10:$AM217, $AI$11:$AI$259), ""), 0)),"")</f>
        <v/>
      </c>
      <c r="AN218" s="25"/>
      <c r="AQ218" s="20">
        <f t="shared" si="23"/>
        <v>0</v>
      </c>
      <c r="AV218" s="540" t="str">
        <f>IFERROR(INDEX('G-1 All Habitats'!$B$3:$B$135,MATCH(F218,'G-1 All Habitats'!$A$3:$A$135,0)),"")</f>
        <v/>
      </c>
      <c r="AW218" s="20" t="str">
        <f>IF(AV218="","",VLOOKUP(AV218,'G-1 All Habitats'!$B$1:$T$135,19,FALSE))</f>
        <v/>
      </c>
    </row>
    <row r="219" spans="1:49" ht="14.5" thickBot="1" x14ac:dyDescent="0.35">
      <c r="A219" s="20" t="str">
        <f>IFERROR(INDEX('G-1 All Habitats'!$AG$3:$AG$17,MATCH(E219,'G-1 All Habitats'!$AF$3:$AF$17,0)),"")</f>
        <v/>
      </c>
      <c r="B219" s="20" t="str">
        <f>IFERROR(INDEX('G-8 Condition Look up'!$I$4:$I$135,MATCH(AV219,'G-8 Condition Look up'!$A$4:$A$135,0)),"")</f>
        <v/>
      </c>
      <c r="D219" s="238">
        <v>209</v>
      </c>
      <c r="E219" s="223"/>
      <c r="F219" s="45"/>
      <c r="G219" s="272"/>
      <c r="H219" s="37"/>
      <c r="I219" s="290" t="str">
        <f>IF(AV219="","",VLOOKUP(AV219,'G-1 All Habitats'!$B$2:$M$135,10,FALSE))</f>
        <v/>
      </c>
      <c r="J219" s="291" t="str">
        <f>IFERROR(VLOOKUP(I219,'G-1 All Habitats'!$V$3:$W$7,2,FALSE),"")</f>
        <v/>
      </c>
      <c r="K219" s="38"/>
      <c r="L219" s="291" t="str">
        <f>IFERROR(INDEX('G-8 Condition Look up'!$A$3:$H$135,MATCH(AV219,'G-8 Condition Look up'!$A$3:$A$135,0),MATCH(K219,'G-8 Condition Look up'!$A$3:$H$3,0)),"")</f>
        <v/>
      </c>
      <c r="M219" s="38"/>
      <c r="N219" s="310" t="str">
        <f>IF(M219="","",IF(VLOOKUP(M219,'G-3 Multipliers'!$L$3:$N$6,2,FALSE)=0,"Spatial Data Missing",VLOOKUP(M219,'G-3 Multipliers'!$L$3:$N$6,2,FALSE)))</f>
        <v/>
      </c>
      <c r="O219" s="296" t="str">
        <f>IF(M219="","",IF(VLOOKUP(M219,'G-3 Multipliers'!$L$3:$N$6,3,FALSE)=0,"Spatial Data Missing ▲",VLOOKUP(M219,'G-3 Multipliers'!$L$3:$N$6,3,FALSE)))</f>
        <v/>
      </c>
      <c r="P219" s="297" t="str">
        <f>(IF(G219="Yes","Bespoke compensation likely to be required 🛠",(IFERROR(VLOOKUP(AV219,'G-1 All Habitats'!$B$2:$M$135,12,FALSE),""))))</f>
        <v/>
      </c>
      <c r="Q219" s="304" t="str">
        <f>IFERROR(IF(AND(E219="Individual trees",T219&gt;0), "Error - you cannot enhance individual trees ▲", (IF(AND(U219="Irreplaceable habitat - no units generated ⚠",(S219+T219)&lt;H219, OR(Y219="No", Y219="")),"Any Loss Unacceptable ⚠", (IF(U219="Irreplaceable habitat - no units generated ⚠", T219*J219*L219*O219, IF(AND(P219='G-1 All Habitats'!$X$3, AC219&gt;0, S219&lt;=0, T219&lt;=0, OR(Y219="No", Y219="")),"Any Loss Unacceptable ⚠", IF(AND(P219='G-1 All Habitats'!$X$3, AC219&gt;0, S219&lt;=0, T219&lt;=0, Y219="Yes"), 0, (IF(AND(P219='G-1 All Habitats'!$X$3,(S219+T219)&lt;H219, OR(Y219="No", Y219="")),"Any Loss Unacceptable ⚠", (IF(P219="","",IF(AND(P219='G-1 All Habitats'!$X$3,T219&gt;0),U219+V219,IF(AND(P219='G-1 All Habitats'!$X$3,S219&gt;0),U219+V219,H219*J219*L219*O219))))))))))))),"Check Data ▲")</f>
        <v/>
      </c>
      <c r="R219" s="23"/>
      <c r="S219" s="38"/>
      <c r="T219" s="39"/>
      <c r="U219" s="302" t="str">
        <f t="shared" si="19"/>
        <v/>
      </c>
      <c r="V219" s="302" t="str">
        <f t="shared" si="20"/>
        <v/>
      </c>
      <c r="W219" s="302" t="str">
        <f>IF(E219="","",IF(H219&lt;S219+T219,"Error in Areas ▲",IF(P219&lt;&gt;'G-1 All Habitats'!$X$3,H219-S219-T219,IF(AND(P219='G-1 All Habitats'!$X$3,Y219="No"),AC219,IF(AND(P219='G-1 All Habitats'!$X$3,Y219=""),AC219,IF(AND(P219='G-1 All Habitats'!$X$3,AC219="None"),AC219,IF(AND(P219='G-1 All Habitats'!$X$3,AC219&gt;0),H219-S219-T219)))))))</f>
        <v/>
      </c>
      <c r="X219" s="306" t="str">
        <f>IFERROR(IF(H219="","",IF(H219-S219-T219=0&lt;0,"Error in Areas ▲",IF(S219+T219&gt;H219,"Error in Areas ▲",IF(AND(P219='G-1 All Habitats'!$X$3,Y219="Yes"),"Alternative Compensation ✓",IF(W219=0,0,IF(P219='G-1 All Habitats'!$X$3,"Any Loss Unacceptable ▲",Q219-U219-V219)))))),"Check Data ▲")</f>
        <v/>
      </c>
      <c r="Y219" s="39"/>
      <c r="Z219" s="46"/>
      <c r="AA219" s="419"/>
      <c r="AB219" s="101"/>
      <c r="AC219" s="495" t="str">
        <f>IF(OR(P219="", Y219="Yes"),"", IF(P219='G-1 All Habitats'!$X$3,H219-S219-T219,"None"))</f>
        <v/>
      </c>
      <c r="AD219" s="496" t="str">
        <f>IF(P219="","", IF(P219='G-1 All Habitats'!$X$3, AC219*J219*L219*O219,"None"))</f>
        <v/>
      </c>
      <c r="AE219" s="20" t="str">
        <f t="shared" si="21"/>
        <v/>
      </c>
      <c r="AF219" s="25" t="str">
        <f t="shared" si="22"/>
        <v/>
      </c>
      <c r="AG219" s="25" t="str">
        <f t="shared" si="18"/>
        <v/>
      </c>
      <c r="AH219" s="25" t="str">
        <f>IF(I219="","",IF(#REF!&gt;0,TRUE,FALSE))</f>
        <v/>
      </c>
      <c r="AI219" s="25">
        <v>209</v>
      </c>
      <c r="AJ219" s="25"/>
      <c r="AK219" s="25" t="str">
        <f t="array" ref="AK219">IFERROR(INDEX($AI$11:$AI$259, MATCH(0, IF(TRUE=$AF$11:$AF$259, COUNTIF($AK$10:$AK218, $AI$11:$AI$259), ""), 0)),"")</f>
        <v/>
      </c>
      <c r="AL219" s="25" t="str">
        <f t="array" ref="AL219">IFERROR(INDEX($AI$11:$AI$259, MATCH(0, IF(TRUE=$AG$11:$AG$259, COUNTIF($AL$10:$AL218, $AI$11:$AI$259), ""), 0)),"")</f>
        <v/>
      </c>
      <c r="AM219" s="25" t="str">
        <f t="array" ref="AM219">IFERROR(INDEX($AI$11:$AI$259, MATCH(0, IF(TRUE=$AH$11:$AH$259, COUNTIF($AM$10:$AM218, $AI$11:$AI$259), ""), 0)),"")</f>
        <v/>
      </c>
      <c r="AN219" s="25"/>
      <c r="AQ219" s="20">
        <f t="shared" si="23"/>
        <v>0</v>
      </c>
      <c r="AV219" s="540" t="str">
        <f>IFERROR(INDEX('G-1 All Habitats'!$B$3:$B$135,MATCH(F219,'G-1 All Habitats'!$A$3:$A$135,0)),"")</f>
        <v/>
      </c>
      <c r="AW219" s="20" t="str">
        <f>IF(AV219="","",VLOOKUP(AV219,'G-1 All Habitats'!$B$1:$T$135,19,FALSE))</f>
        <v/>
      </c>
    </row>
    <row r="220" spans="1:49" ht="14.5" thickBot="1" x14ac:dyDescent="0.35">
      <c r="A220" s="20" t="str">
        <f>IFERROR(INDEX('G-1 All Habitats'!$AG$3:$AG$17,MATCH(E220,'G-1 All Habitats'!$AF$3:$AF$17,0)),"")</f>
        <v/>
      </c>
      <c r="B220" s="20" t="str">
        <f>IFERROR(INDEX('G-8 Condition Look up'!$I$4:$I$135,MATCH(AV220,'G-8 Condition Look up'!$A$4:$A$135,0)),"")</f>
        <v/>
      </c>
      <c r="D220" s="238">
        <v>210</v>
      </c>
      <c r="E220" s="223"/>
      <c r="F220" s="45"/>
      <c r="G220" s="272"/>
      <c r="H220" s="37"/>
      <c r="I220" s="290" t="str">
        <f>IF(AV220="","",VLOOKUP(AV220,'G-1 All Habitats'!$B$2:$M$135,10,FALSE))</f>
        <v/>
      </c>
      <c r="J220" s="291" t="str">
        <f>IFERROR(VLOOKUP(I220,'G-1 All Habitats'!$V$3:$W$7,2,FALSE),"")</f>
        <v/>
      </c>
      <c r="K220" s="38"/>
      <c r="L220" s="291" t="str">
        <f>IFERROR(INDEX('G-8 Condition Look up'!$A$3:$H$135,MATCH(AV220,'G-8 Condition Look up'!$A$3:$A$135,0),MATCH(K220,'G-8 Condition Look up'!$A$3:$H$3,0)),"")</f>
        <v/>
      </c>
      <c r="M220" s="38"/>
      <c r="N220" s="310" t="str">
        <f>IF(M220="","",IF(VLOOKUP(M220,'G-3 Multipliers'!$L$3:$N$6,2,FALSE)=0,"Spatial Data Missing",VLOOKUP(M220,'G-3 Multipliers'!$L$3:$N$6,2,FALSE)))</f>
        <v/>
      </c>
      <c r="O220" s="296" t="str">
        <f>IF(M220="","",IF(VLOOKUP(M220,'G-3 Multipliers'!$L$3:$N$6,3,FALSE)=0,"Spatial Data Missing ▲",VLOOKUP(M220,'G-3 Multipliers'!$L$3:$N$6,3,FALSE)))</f>
        <v/>
      </c>
      <c r="P220" s="297" t="str">
        <f>(IF(G220="Yes","Bespoke compensation likely to be required 🛠",(IFERROR(VLOOKUP(AV220,'G-1 All Habitats'!$B$2:$M$135,12,FALSE),""))))</f>
        <v/>
      </c>
      <c r="Q220" s="304" t="str">
        <f>IFERROR(IF(AND(E220="Individual trees",T220&gt;0), "Error - you cannot enhance individual trees ▲", (IF(AND(U220="Irreplaceable habitat - no units generated ⚠",(S220+T220)&lt;H220, OR(Y220="No", Y220="")),"Any Loss Unacceptable ⚠", (IF(U220="Irreplaceable habitat - no units generated ⚠", T220*J220*L220*O220, IF(AND(P220='G-1 All Habitats'!$X$3, AC220&gt;0, S220&lt;=0, T220&lt;=0, OR(Y220="No", Y220="")),"Any Loss Unacceptable ⚠", IF(AND(P220='G-1 All Habitats'!$X$3, AC220&gt;0, S220&lt;=0, T220&lt;=0, Y220="Yes"), 0, (IF(AND(P220='G-1 All Habitats'!$X$3,(S220+T220)&lt;H220, OR(Y220="No", Y220="")),"Any Loss Unacceptable ⚠", (IF(P220="","",IF(AND(P220='G-1 All Habitats'!$X$3,T220&gt;0),U220+V220,IF(AND(P220='G-1 All Habitats'!$X$3,S220&gt;0),U220+V220,H220*J220*L220*O220))))))))))))),"Check Data ▲")</f>
        <v/>
      </c>
      <c r="R220" s="23"/>
      <c r="S220" s="38"/>
      <c r="T220" s="39"/>
      <c r="U220" s="302" t="str">
        <f t="shared" si="19"/>
        <v/>
      </c>
      <c r="V220" s="302" t="str">
        <f t="shared" si="20"/>
        <v/>
      </c>
      <c r="W220" s="302" t="str">
        <f>IF(E220="","",IF(H220&lt;S220+T220,"Error in Areas ▲",IF(P220&lt;&gt;'G-1 All Habitats'!$X$3,H220-S220-T220,IF(AND(P220='G-1 All Habitats'!$X$3,Y220="No"),AC220,IF(AND(P220='G-1 All Habitats'!$X$3,Y220=""),AC220,IF(AND(P220='G-1 All Habitats'!$X$3,AC220="None"),AC220,IF(AND(P220='G-1 All Habitats'!$X$3,AC220&gt;0),H220-S220-T220)))))))</f>
        <v/>
      </c>
      <c r="X220" s="306" t="str">
        <f>IFERROR(IF(H220="","",IF(H220-S220-T220=0&lt;0,"Error in Areas ▲",IF(S220+T220&gt;H220,"Error in Areas ▲",IF(AND(P220='G-1 All Habitats'!$X$3,Y220="Yes"),"Alternative Compensation ✓",IF(W220=0,0,IF(P220='G-1 All Habitats'!$X$3,"Any Loss Unacceptable ▲",Q220-U220-V220)))))),"Check Data ▲")</f>
        <v/>
      </c>
      <c r="Y220" s="39"/>
      <c r="Z220" s="46"/>
      <c r="AA220" s="419"/>
      <c r="AB220" s="101"/>
      <c r="AC220" s="495" t="str">
        <f>IF(OR(P220="", Y220="Yes"),"", IF(P220='G-1 All Habitats'!$X$3,H220-S220-T220,"None"))</f>
        <v/>
      </c>
      <c r="AD220" s="496" t="str">
        <f>IF(P220="","", IF(P220='G-1 All Habitats'!$X$3, AC220*J220*L220*O220,"None"))</f>
        <v/>
      </c>
      <c r="AE220" s="20" t="str">
        <f t="shared" si="21"/>
        <v/>
      </c>
      <c r="AF220" s="25" t="str">
        <f t="shared" si="22"/>
        <v/>
      </c>
      <c r="AG220" s="25" t="str">
        <f t="shared" si="18"/>
        <v/>
      </c>
      <c r="AH220" s="25" t="str">
        <f>IF(I220="","",IF(#REF!&gt;0,TRUE,FALSE))</f>
        <v/>
      </c>
      <c r="AI220" s="25">
        <v>210</v>
      </c>
      <c r="AJ220" s="25"/>
      <c r="AK220" s="25" t="str">
        <f t="array" ref="AK220">IFERROR(INDEX($AI$11:$AI$259, MATCH(0, IF(TRUE=$AF$11:$AF$259, COUNTIF($AK$10:$AK219, $AI$11:$AI$259), ""), 0)),"")</f>
        <v/>
      </c>
      <c r="AL220" s="25" t="str">
        <f t="array" ref="AL220">IFERROR(INDEX($AI$11:$AI$259, MATCH(0, IF(TRUE=$AG$11:$AG$259, COUNTIF($AL$10:$AL219, $AI$11:$AI$259), ""), 0)),"")</f>
        <v/>
      </c>
      <c r="AM220" s="25" t="str">
        <f t="array" ref="AM220">IFERROR(INDEX($AI$11:$AI$259, MATCH(0, IF(TRUE=$AH$11:$AH$259, COUNTIF($AM$10:$AM219, $AI$11:$AI$259), ""), 0)),"")</f>
        <v/>
      </c>
      <c r="AN220" s="25"/>
      <c r="AQ220" s="20">
        <f t="shared" si="23"/>
        <v>0</v>
      </c>
      <c r="AV220" s="540" t="str">
        <f>IFERROR(INDEX('G-1 All Habitats'!$B$3:$B$135,MATCH(F220,'G-1 All Habitats'!$A$3:$A$135,0)),"")</f>
        <v/>
      </c>
      <c r="AW220" s="20" t="str">
        <f>IF(AV220="","",VLOOKUP(AV220,'G-1 All Habitats'!$B$1:$T$135,19,FALSE))</f>
        <v/>
      </c>
    </row>
    <row r="221" spans="1:49" ht="14.5" thickBot="1" x14ac:dyDescent="0.35">
      <c r="A221" s="20" t="str">
        <f>IFERROR(INDEX('G-1 All Habitats'!$AG$3:$AG$17,MATCH(E221,'G-1 All Habitats'!$AF$3:$AF$17,0)),"")</f>
        <v/>
      </c>
      <c r="B221" s="20" t="str">
        <f>IFERROR(INDEX('G-8 Condition Look up'!$I$4:$I$135,MATCH(AV221,'G-8 Condition Look up'!$A$4:$A$135,0)),"")</f>
        <v/>
      </c>
      <c r="D221" s="238">
        <v>211</v>
      </c>
      <c r="E221" s="223"/>
      <c r="F221" s="45"/>
      <c r="G221" s="272"/>
      <c r="H221" s="37"/>
      <c r="I221" s="290" t="str">
        <f>IF(AV221="","",VLOOKUP(AV221,'G-1 All Habitats'!$B$2:$M$135,10,FALSE))</f>
        <v/>
      </c>
      <c r="J221" s="291" t="str">
        <f>IFERROR(VLOOKUP(I221,'G-1 All Habitats'!$V$3:$W$7,2,FALSE),"")</f>
        <v/>
      </c>
      <c r="K221" s="38"/>
      <c r="L221" s="291" t="str">
        <f>IFERROR(INDEX('G-8 Condition Look up'!$A$3:$H$135,MATCH(AV221,'G-8 Condition Look up'!$A$3:$A$135,0),MATCH(K221,'G-8 Condition Look up'!$A$3:$H$3,0)),"")</f>
        <v/>
      </c>
      <c r="M221" s="38"/>
      <c r="N221" s="310" t="str">
        <f>IF(M221="","",IF(VLOOKUP(M221,'G-3 Multipliers'!$L$3:$N$6,2,FALSE)=0,"Spatial Data Missing",VLOOKUP(M221,'G-3 Multipliers'!$L$3:$N$6,2,FALSE)))</f>
        <v/>
      </c>
      <c r="O221" s="296" t="str">
        <f>IF(M221="","",IF(VLOOKUP(M221,'G-3 Multipliers'!$L$3:$N$6,3,FALSE)=0,"Spatial Data Missing ▲",VLOOKUP(M221,'G-3 Multipliers'!$L$3:$N$6,3,FALSE)))</f>
        <v/>
      </c>
      <c r="P221" s="297" t="str">
        <f>(IF(G221="Yes","Bespoke compensation likely to be required 🛠",(IFERROR(VLOOKUP(AV221,'G-1 All Habitats'!$B$2:$M$135,12,FALSE),""))))</f>
        <v/>
      </c>
      <c r="Q221" s="304" t="str">
        <f>IFERROR(IF(AND(E221="Individual trees",T221&gt;0), "Error - you cannot enhance individual trees ▲", (IF(AND(U221="Irreplaceable habitat - no units generated ⚠",(S221+T221)&lt;H221, OR(Y221="No", Y221="")),"Any Loss Unacceptable ⚠", (IF(U221="Irreplaceable habitat - no units generated ⚠", T221*J221*L221*O221, IF(AND(P221='G-1 All Habitats'!$X$3, AC221&gt;0, S221&lt;=0, T221&lt;=0, OR(Y221="No", Y221="")),"Any Loss Unacceptable ⚠", IF(AND(P221='G-1 All Habitats'!$X$3, AC221&gt;0, S221&lt;=0, T221&lt;=0, Y221="Yes"), 0, (IF(AND(P221='G-1 All Habitats'!$X$3,(S221+T221)&lt;H221, OR(Y221="No", Y221="")),"Any Loss Unacceptable ⚠", (IF(P221="","",IF(AND(P221='G-1 All Habitats'!$X$3,T221&gt;0),U221+V221,IF(AND(P221='G-1 All Habitats'!$X$3,S221&gt;0),U221+V221,H221*J221*L221*O221))))))))))))),"Check Data ▲")</f>
        <v/>
      </c>
      <c r="R221" s="23"/>
      <c r="S221" s="38"/>
      <c r="T221" s="39"/>
      <c r="U221" s="302" t="str">
        <f t="shared" si="19"/>
        <v/>
      </c>
      <c r="V221" s="302" t="str">
        <f t="shared" si="20"/>
        <v/>
      </c>
      <c r="W221" s="302" t="str">
        <f>IF(E221="","",IF(H221&lt;S221+T221,"Error in Areas ▲",IF(P221&lt;&gt;'G-1 All Habitats'!$X$3,H221-S221-T221,IF(AND(P221='G-1 All Habitats'!$X$3,Y221="No"),AC221,IF(AND(P221='G-1 All Habitats'!$X$3,Y221=""),AC221,IF(AND(P221='G-1 All Habitats'!$X$3,AC221="None"),AC221,IF(AND(P221='G-1 All Habitats'!$X$3,AC221&gt;0),H221-S221-T221)))))))</f>
        <v/>
      </c>
      <c r="X221" s="306" t="str">
        <f>IFERROR(IF(H221="","",IF(H221-S221-T221=0&lt;0,"Error in Areas ▲",IF(S221+T221&gt;H221,"Error in Areas ▲",IF(AND(P221='G-1 All Habitats'!$X$3,Y221="Yes"),"Alternative Compensation ✓",IF(W221=0,0,IF(P221='G-1 All Habitats'!$X$3,"Any Loss Unacceptable ▲",Q221-U221-V221)))))),"Check Data ▲")</f>
        <v/>
      </c>
      <c r="Y221" s="39"/>
      <c r="Z221" s="46"/>
      <c r="AA221" s="419"/>
      <c r="AB221" s="101"/>
      <c r="AC221" s="495" t="str">
        <f>IF(OR(P221="", Y221="Yes"),"", IF(P221='G-1 All Habitats'!$X$3,H221-S221-T221,"None"))</f>
        <v/>
      </c>
      <c r="AD221" s="496" t="str">
        <f>IF(P221="","", IF(P221='G-1 All Habitats'!$X$3, AC221*J221*L221*O221,"None"))</f>
        <v/>
      </c>
      <c r="AE221" s="20" t="str">
        <f t="shared" si="21"/>
        <v/>
      </c>
      <c r="AF221" s="25" t="str">
        <f t="shared" si="22"/>
        <v/>
      </c>
      <c r="AG221" s="25" t="str">
        <f t="shared" si="18"/>
        <v/>
      </c>
      <c r="AH221" s="25" t="str">
        <f>IF(I221="","",IF(#REF!&gt;0,TRUE,FALSE))</f>
        <v/>
      </c>
      <c r="AI221" s="25">
        <v>211</v>
      </c>
      <c r="AJ221" s="25"/>
      <c r="AK221" s="25" t="str">
        <f t="array" ref="AK221">IFERROR(INDEX($AI$11:$AI$259, MATCH(0, IF(TRUE=$AF$11:$AF$259, COUNTIF($AK$10:$AK220, $AI$11:$AI$259), ""), 0)),"")</f>
        <v/>
      </c>
      <c r="AL221" s="25" t="str">
        <f t="array" ref="AL221">IFERROR(INDEX($AI$11:$AI$259, MATCH(0, IF(TRUE=$AG$11:$AG$259, COUNTIF($AL$10:$AL220, $AI$11:$AI$259), ""), 0)),"")</f>
        <v/>
      </c>
      <c r="AM221" s="25" t="str">
        <f t="array" ref="AM221">IFERROR(INDEX($AI$11:$AI$259, MATCH(0, IF(TRUE=$AH$11:$AH$259, COUNTIF($AM$10:$AM220, $AI$11:$AI$259), ""), 0)),"")</f>
        <v/>
      </c>
      <c r="AN221" s="25"/>
      <c r="AQ221" s="20">
        <f t="shared" si="23"/>
        <v>0</v>
      </c>
      <c r="AV221" s="540" t="str">
        <f>IFERROR(INDEX('G-1 All Habitats'!$B$3:$B$135,MATCH(F221,'G-1 All Habitats'!$A$3:$A$135,0)),"")</f>
        <v/>
      </c>
      <c r="AW221" s="20" t="str">
        <f>IF(AV221="","",VLOOKUP(AV221,'G-1 All Habitats'!$B$1:$T$135,19,FALSE))</f>
        <v/>
      </c>
    </row>
    <row r="222" spans="1:49" ht="14.5" thickBot="1" x14ac:dyDescent="0.35">
      <c r="A222" s="20" t="str">
        <f>IFERROR(INDEX('G-1 All Habitats'!$AG$3:$AG$17,MATCH(E222,'G-1 All Habitats'!$AF$3:$AF$17,0)),"")</f>
        <v/>
      </c>
      <c r="B222" s="20" t="str">
        <f>IFERROR(INDEX('G-8 Condition Look up'!$I$4:$I$135,MATCH(AV222,'G-8 Condition Look up'!$A$4:$A$135,0)),"")</f>
        <v/>
      </c>
      <c r="D222" s="238">
        <v>212</v>
      </c>
      <c r="E222" s="223"/>
      <c r="F222" s="45"/>
      <c r="G222" s="272"/>
      <c r="H222" s="37"/>
      <c r="I222" s="290" t="str">
        <f>IF(AV222="","",VLOOKUP(AV222,'G-1 All Habitats'!$B$2:$M$135,10,FALSE))</f>
        <v/>
      </c>
      <c r="J222" s="291" t="str">
        <f>IFERROR(VLOOKUP(I222,'G-1 All Habitats'!$V$3:$W$7,2,FALSE),"")</f>
        <v/>
      </c>
      <c r="K222" s="38"/>
      <c r="L222" s="291" t="str">
        <f>IFERROR(INDEX('G-8 Condition Look up'!$A$3:$H$135,MATCH(AV222,'G-8 Condition Look up'!$A$3:$A$135,0),MATCH(K222,'G-8 Condition Look up'!$A$3:$H$3,0)),"")</f>
        <v/>
      </c>
      <c r="M222" s="38"/>
      <c r="N222" s="310" t="str">
        <f>IF(M222="","",IF(VLOOKUP(M222,'G-3 Multipliers'!$L$3:$N$6,2,FALSE)=0,"Spatial Data Missing",VLOOKUP(M222,'G-3 Multipliers'!$L$3:$N$6,2,FALSE)))</f>
        <v/>
      </c>
      <c r="O222" s="296" t="str">
        <f>IF(M222="","",IF(VLOOKUP(M222,'G-3 Multipliers'!$L$3:$N$6,3,FALSE)=0,"Spatial Data Missing ▲",VLOOKUP(M222,'G-3 Multipliers'!$L$3:$N$6,3,FALSE)))</f>
        <v/>
      </c>
      <c r="P222" s="297" t="str">
        <f>(IF(G222="Yes","Bespoke compensation likely to be required 🛠",(IFERROR(VLOOKUP(AV222,'G-1 All Habitats'!$B$2:$M$135,12,FALSE),""))))</f>
        <v/>
      </c>
      <c r="Q222" s="304" t="str">
        <f>IFERROR(IF(AND(E222="Individual trees",T222&gt;0), "Error - you cannot enhance individual trees ▲", (IF(AND(U222="Irreplaceable habitat - no units generated ⚠",(S222+T222)&lt;H222, OR(Y222="No", Y222="")),"Any Loss Unacceptable ⚠", (IF(U222="Irreplaceable habitat - no units generated ⚠", T222*J222*L222*O222, IF(AND(P222='G-1 All Habitats'!$X$3, AC222&gt;0, S222&lt;=0, T222&lt;=0, OR(Y222="No", Y222="")),"Any Loss Unacceptable ⚠", IF(AND(P222='G-1 All Habitats'!$X$3, AC222&gt;0, S222&lt;=0, T222&lt;=0, Y222="Yes"), 0, (IF(AND(P222='G-1 All Habitats'!$X$3,(S222+T222)&lt;H222, OR(Y222="No", Y222="")),"Any Loss Unacceptable ⚠", (IF(P222="","",IF(AND(P222='G-1 All Habitats'!$X$3,T222&gt;0),U222+V222,IF(AND(P222='G-1 All Habitats'!$X$3,S222&gt;0),U222+V222,H222*J222*L222*O222))))))))))))),"Check Data ▲")</f>
        <v/>
      </c>
      <c r="R222" s="23"/>
      <c r="S222" s="38"/>
      <c r="T222" s="39"/>
      <c r="U222" s="302" t="str">
        <f t="shared" si="19"/>
        <v/>
      </c>
      <c r="V222" s="302" t="str">
        <f t="shared" si="20"/>
        <v/>
      </c>
      <c r="W222" s="302" t="str">
        <f>IF(E222="","",IF(H222&lt;S222+T222,"Error in Areas ▲",IF(P222&lt;&gt;'G-1 All Habitats'!$X$3,H222-S222-T222,IF(AND(P222='G-1 All Habitats'!$X$3,Y222="No"),AC222,IF(AND(P222='G-1 All Habitats'!$X$3,Y222=""),AC222,IF(AND(P222='G-1 All Habitats'!$X$3,AC222="None"),AC222,IF(AND(P222='G-1 All Habitats'!$X$3,AC222&gt;0),H222-S222-T222)))))))</f>
        <v/>
      </c>
      <c r="X222" s="306" t="str">
        <f>IFERROR(IF(H222="","",IF(H222-S222-T222=0&lt;0,"Error in Areas ▲",IF(S222+T222&gt;H222,"Error in Areas ▲",IF(AND(P222='G-1 All Habitats'!$X$3,Y222="Yes"),"Alternative Compensation ✓",IF(W222=0,0,IF(P222='G-1 All Habitats'!$X$3,"Any Loss Unacceptable ▲",Q222-U222-V222)))))),"Check Data ▲")</f>
        <v/>
      </c>
      <c r="Y222" s="39"/>
      <c r="Z222" s="46"/>
      <c r="AA222" s="419"/>
      <c r="AB222" s="101"/>
      <c r="AC222" s="495" t="str">
        <f>IF(OR(P222="", Y222="Yes"),"", IF(P222='G-1 All Habitats'!$X$3,H222-S222-T222,"None"))</f>
        <v/>
      </c>
      <c r="AD222" s="496" t="str">
        <f>IF(P222="","", IF(P222='G-1 All Habitats'!$X$3, AC222*J222*L222*O222,"None"))</f>
        <v/>
      </c>
      <c r="AE222" s="20" t="str">
        <f t="shared" si="21"/>
        <v/>
      </c>
      <c r="AF222" s="25" t="str">
        <f t="shared" si="22"/>
        <v/>
      </c>
      <c r="AG222" s="25" t="str">
        <f t="shared" si="18"/>
        <v/>
      </c>
      <c r="AH222" s="25" t="str">
        <f>IF(I222="","",IF(#REF!&gt;0,TRUE,FALSE))</f>
        <v/>
      </c>
      <c r="AI222" s="25">
        <v>212</v>
      </c>
      <c r="AJ222" s="25"/>
      <c r="AK222" s="25" t="str">
        <f t="array" ref="AK222">IFERROR(INDEX($AI$11:$AI$259, MATCH(0, IF(TRUE=$AF$11:$AF$259, COUNTIF($AK$10:$AK221, $AI$11:$AI$259), ""), 0)),"")</f>
        <v/>
      </c>
      <c r="AL222" s="25" t="str">
        <f t="array" ref="AL222">IFERROR(INDEX($AI$11:$AI$259, MATCH(0, IF(TRUE=$AG$11:$AG$259, COUNTIF($AL$10:$AL221, $AI$11:$AI$259), ""), 0)),"")</f>
        <v/>
      </c>
      <c r="AM222" s="25" t="str">
        <f t="array" ref="AM222">IFERROR(INDEX($AI$11:$AI$259, MATCH(0, IF(TRUE=$AH$11:$AH$259, COUNTIF($AM$10:$AM221, $AI$11:$AI$259), ""), 0)),"")</f>
        <v/>
      </c>
      <c r="AN222" s="25"/>
      <c r="AQ222" s="20">
        <f t="shared" si="23"/>
        <v>0</v>
      </c>
      <c r="AV222" s="540" t="str">
        <f>IFERROR(INDEX('G-1 All Habitats'!$B$3:$B$135,MATCH(F222,'G-1 All Habitats'!$A$3:$A$135,0)),"")</f>
        <v/>
      </c>
      <c r="AW222" s="20" t="str">
        <f>IF(AV222="","",VLOOKUP(AV222,'G-1 All Habitats'!$B$1:$T$135,19,FALSE))</f>
        <v/>
      </c>
    </row>
    <row r="223" spans="1:49" ht="14.5" thickBot="1" x14ac:dyDescent="0.35">
      <c r="A223" s="20" t="str">
        <f>IFERROR(INDEX('G-1 All Habitats'!$AG$3:$AG$17,MATCH(E223,'G-1 All Habitats'!$AF$3:$AF$17,0)),"")</f>
        <v/>
      </c>
      <c r="B223" s="20" t="str">
        <f>IFERROR(INDEX('G-8 Condition Look up'!$I$4:$I$135,MATCH(AV223,'G-8 Condition Look up'!$A$4:$A$135,0)),"")</f>
        <v/>
      </c>
      <c r="D223" s="238">
        <v>213</v>
      </c>
      <c r="E223" s="223"/>
      <c r="F223" s="45"/>
      <c r="G223" s="272"/>
      <c r="H223" s="37"/>
      <c r="I223" s="290" t="str">
        <f>IF(AV223="","",VLOOKUP(AV223,'G-1 All Habitats'!$B$2:$M$135,10,FALSE))</f>
        <v/>
      </c>
      <c r="J223" s="291" t="str">
        <f>IFERROR(VLOOKUP(I223,'G-1 All Habitats'!$V$3:$W$7,2,FALSE),"")</f>
        <v/>
      </c>
      <c r="K223" s="38"/>
      <c r="L223" s="291" t="str">
        <f>IFERROR(INDEX('G-8 Condition Look up'!$A$3:$H$135,MATCH(AV223,'G-8 Condition Look up'!$A$3:$A$135,0),MATCH(K223,'G-8 Condition Look up'!$A$3:$H$3,0)),"")</f>
        <v/>
      </c>
      <c r="M223" s="38"/>
      <c r="N223" s="310" t="str">
        <f>IF(M223="","",IF(VLOOKUP(M223,'G-3 Multipliers'!$L$3:$N$6,2,FALSE)=0,"Spatial Data Missing",VLOOKUP(M223,'G-3 Multipliers'!$L$3:$N$6,2,FALSE)))</f>
        <v/>
      </c>
      <c r="O223" s="296" t="str">
        <f>IF(M223="","",IF(VLOOKUP(M223,'G-3 Multipliers'!$L$3:$N$6,3,FALSE)=0,"Spatial Data Missing ▲",VLOOKUP(M223,'G-3 Multipliers'!$L$3:$N$6,3,FALSE)))</f>
        <v/>
      </c>
      <c r="P223" s="297" t="str">
        <f>(IF(G223="Yes","Bespoke compensation likely to be required 🛠",(IFERROR(VLOOKUP(AV223,'G-1 All Habitats'!$B$2:$M$135,12,FALSE),""))))</f>
        <v/>
      </c>
      <c r="Q223" s="304" t="str">
        <f>IFERROR(IF(AND(E223="Individual trees",T223&gt;0), "Error - you cannot enhance individual trees ▲", (IF(AND(U223="Irreplaceable habitat - no units generated ⚠",(S223+T223)&lt;H223, OR(Y223="No", Y223="")),"Any Loss Unacceptable ⚠", (IF(U223="Irreplaceable habitat - no units generated ⚠", T223*J223*L223*O223, IF(AND(P223='G-1 All Habitats'!$X$3, AC223&gt;0, S223&lt;=0, T223&lt;=0, OR(Y223="No", Y223="")),"Any Loss Unacceptable ⚠", IF(AND(P223='G-1 All Habitats'!$X$3, AC223&gt;0, S223&lt;=0, T223&lt;=0, Y223="Yes"), 0, (IF(AND(P223='G-1 All Habitats'!$X$3,(S223+T223)&lt;H223, OR(Y223="No", Y223="")),"Any Loss Unacceptable ⚠", (IF(P223="","",IF(AND(P223='G-1 All Habitats'!$X$3,T223&gt;0),U223+V223,IF(AND(P223='G-1 All Habitats'!$X$3,S223&gt;0),U223+V223,H223*J223*L223*O223))))))))))))),"Check Data ▲")</f>
        <v/>
      </c>
      <c r="R223" s="23"/>
      <c r="S223" s="38"/>
      <c r="T223" s="39"/>
      <c r="U223" s="302" t="str">
        <f t="shared" si="19"/>
        <v/>
      </c>
      <c r="V223" s="302" t="str">
        <f t="shared" si="20"/>
        <v/>
      </c>
      <c r="W223" s="302" t="str">
        <f>IF(E223="","",IF(H223&lt;S223+T223,"Error in Areas ▲",IF(P223&lt;&gt;'G-1 All Habitats'!$X$3,H223-S223-T223,IF(AND(P223='G-1 All Habitats'!$X$3,Y223="No"),AC223,IF(AND(P223='G-1 All Habitats'!$X$3,Y223=""),AC223,IF(AND(P223='G-1 All Habitats'!$X$3,AC223="None"),AC223,IF(AND(P223='G-1 All Habitats'!$X$3,AC223&gt;0),H223-S223-T223)))))))</f>
        <v/>
      </c>
      <c r="X223" s="306" t="str">
        <f>IFERROR(IF(H223="","",IF(H223-S223-T223=0&lt;0,"Error in Areas ▲",IF(S223+T223&gt;H223,"Error in Areas ▲",IF(AND(P223='G-1 All Habitats'!$X$3,Y223="Yes"),"Alternative Compensation ✓",IF(W223=0,0,IF(P223='G-1 All Habitats'!$X$3,"Any Loss Unacceptable ▲",Q223-U223-V223)))))),"Check Data ▲")</f>
        <v/>
      </c>
      <c r="Y223" s="39"/>
      <c r="Z223" s="46"/>
      <c r="AA223" s="419"/>
      <c r="AB223" s="101"/>
      <c r="AC223" s="495" t="str">
        <f>IF(OR(P223="", Y223="Yes"),"", IF(P223='G-1 All Habitats'!$X$3,H223-S223-T223,"None"))</f>
        <v/>
      </c>
      <c r="AD223" s="496" t="str">
        <f>IF(P223="","", IF(P223='G-1 All Habitats'!$X$3, AC223*J223*L223*O223,"None"))</f>
        <v/>
      </c>
      <c r="AE223" s="20" t="str">
        <f t="shared" si="21"/>
        <v/>
      </c>
      <c r="AF223" s="25" t="str">
        <f t="shared" si="22"/>
        <v/>
      </c>
      <c r="AG223" s="25" t="str">
        <f t="shared" si="18"/>
        <v/>
      </c>
      <c r="AH223" s="25" t="str">
        <f>IF(I223="","",IF(#REF!&gt;0,TRUE,FALSE))</f>
        <v/>
      </c>
      <c r="AI223" s="25">
        <v>213</v>
      </c>
      <c r="AJ223" s="25"/>
      <c r="AK223" s="25" t="str">
        <f t="array" ref="AK223">IFERROR(INDEX($AI$11:$AI$259, MATCH(0, IF(TRUE=$AF$11:$AF$259, COUNTIF($AK$10:$AK222, $AI$11:$AI$259), ""), 0)),"")</f>
        <v/>
      </c>
      <c r="AL223" s="25" t="str">
        <f t="array" ref="AL223">IFERROR(INDEX($AI$11:$AI$259, MATCH(0, IF(TRUE=$AG$11:$AG$259, COUNTIF($AL$10:$AL222, $AI$11:$AI$259), ""), 0)),"")</f>
        <v/>
      </c>
      <c r="AM223" s="25" t="str">
        <f t="array" ref="AM223">IFERROR(INDEX($AI$11:$AI$259, MATCH(0, IF(TRUE=$AH$11:$AH$259, COUNTIF($AM$10:$AM222, $AI$11:$AI$259), ""), 0)),"")</f>
        <v/>
      </c>
      <c r="AN223" s="25"/>
      <c r="AQ223" s="20">
        <f t="shared" si="23"/>
        <v>0</v>
      </c>
      <c r="AV223" s="540" t="str">
        <f>IFERROR(INDEX('G-1 All Habitats'!$B$3:$B$135,MATCH(F223,'G-1 All Habitats'!$A$3:$A$135,0)),"")</f>
        <v/>
      </c>
      <c r="AW223" s="20" t="str">
        <f>IF(AV223="","",VLOOKUP(AV223,'G-1 All Habitats'!$B$1:$T$135,19,FALSE))</f>
        <v/>
      </c>
    </row>
    <row r="224" spans="1:49" ht="14.5" thickBot="1" x14ac:dyDescent="0.35">
      <c r="A224" s="20" t="str">
        <f>IFERROR(INDEX('G-1 All Habitats'!$AG$3:$AG$17,MATCH(E224,'G-1 All Habitats'!$AF$3:$AF$17,0)),"")</f>
        <v/>
      </c>
      <c r="B224" s="20" t="str">
        <f>IFERROR(INDEX('G-8 Condition Look up'!$I$4:$I$135,MATCH(AV224,'G-8 Condition Look up'!$A$4:$A$135,0)),"")</f>
        <v/>
      </c>
      <c r="D224" s="238">
        <v>214</v>
      </c>
      <c r="E224" s="223"/>
      <c r="F224" s="45"/>
      <c r="G224" s="272"/>
      <c r="H224" s="37"/>
      <c r="I224" s="290" t="str">
        <f>IF(AV224="","",VLOOKUP(AV224,'G-1 All Habitats'!$B$2:$M$135,10,FALSE))</f>
        <v/>
      </c>
      <c r="J224" s="291" t="str">
        <f>IFERROR(VLOOKUP(I224,'G-1 All Habitats'!$V$3:$W$7,2,FALSE),"")</f>
        <v/>
      </c>
      <c r="K224" s="38"/>
      <c r="L224" s="291" t="str">
        <f>IFERROR(INDEX('G-8 Condition Look up'!$A$3:$H$135,MATCH(AV224,'G-8 Condition Look up'!$A$3:$A$135,0),MATCH(K224,'G-8 Condition Look up'!$A$3:$H$3,0)),"")</f>
        <v/>
      </c>
      <c r="M224" s="38"/>
      <c r="N224" s="310" t="str">
        <f>IF(M224="","",IF(VLOOKUP(M224,'G-3 Multipliers'!$L$3:$N$6,2,FALSE)=0,"Spatial Data Missing",VLOOKUP(M224,'G-3 Multipliers'!$L$3:$N$6,2,FALSE)))</f>
        <v/>
      </c>
      <c r="O224" s="296" t="str">
        <f>IF(M224="","",IF(VLOOKUP(M224,'G-3 Multipliers'!$L$3:$N$6,3,FALSE)=0,"Spatial Data Missing ▲",VLOOKUP(M224,'G-3 Multipliers'!$L$3:$N$6,3,FALSE)))</f>
        <v/>
      </c>
      <c r="P224" s="297" t="str">
        <f>(IF(G224="Yes","Bespoke compensation likely to be required 🛠",(IFERROR(VLOOKUP(AV224,'G-1 All Habitats'!$B$2:$M$135,12,FALSE),""))))</f>
        <v/>
      </c>
      <c r="Q224" s="304" t="str">
        <f>IFERROR(IF(AND(E224="Individual trees",T224&gt;0), "Error - you cannot enhance individual trees ▲", (IF(AND(U224="Irreplaceable habitat - no units generated ⚠",(S224+T224)&lt;H224, OR(Y224="No", Y224="")),"Any Loss Unacceptable ⚠", (IF(U224="Irreplaceable habitat - no units generated ⚠", T224*J224*L224*O224, IF(AND(P224='G-1 All Habitats'!$X$3, AC224&gt;0, S224&lt;=0, T224&lt;=0, OR(Y224="No", Y224="")),"Any Loss Unacceptable ⚠", IF(AND(P224='G-1 All Habitats'!$X$3, AC224&gt;0, S224&lt;=0, T224&lt;=0, Y224="Yes"), 0, (IF(AND(P224='G-1 All Habitats'!$X$3,(S224+T224)&lt;H224, OR(Y224="No", Y224="")),"Any Loss Unacceptable ⚠", (IF(P224="","",IF(AND(P224='G-1 All Habitats'!$X$3,T224&gt;0),U224+V224,IF(AND(P224='G-1 All Habitats'!$X$3,S224&gt;0),U224+V224,H224*J224*L224*O224))))))))))))),"Check Data ▲")</f>
        <v/>
      </c>
      <c r="R224" s="23"/>
      <c r="S224" s="38"/>
      <c r="T224" s="39"/>
      <c r="U224" s="302" t="str">
        <f t="shared" si="19"/>
        <v/>
      </c>
      <c r="V224" s="302" t="str">
        <f t="shared" si="20"/>
        <v/>
      </c>
      <c r="W224" s="302" t="str">
        <f>IF(E224="","",IF(H224&lt;S224+T224,"Error in Areas ▲",IF(P224&lt;&gt;'G-1 All Habitats'!$X$3,H224-S224-T224,IF(AND(P224='G-1 All Habitats'!$X$3,Y224="No"),AC224,IF(AND(P224='G-1 All Habitats'!$X$3,Y224=""),AC224,IF(AND(P224='G-1 All Habitats'!$X$3,AC224="None"),AC224,IF(AND(P224='G-1 All Habitats'!$X$3,AC224&gt;0),H224-S224-T224)))))))</f>
        <v/>
      </c>
      <c r="X224" s="306" t="str">
        <f>IFERROR(IF(H224="","",IF(H224-S224-T224=0&lt;0,"Error in Areas ▲",IF(S224+T224&gt;H224,"Error in Areas ▲",IF(AND(P224='G-1 All Habitats'!$X$3,Y224="Yes"),"Alternative Compensation ✓",IF(W224=0,0,IF(P224='G-1 All Habitats'!$X$3,"Any Loss Unacceptable ▲",Q224-U224-V224)))))),"Check Data ▲")</f>
        <v/>
      </c>
      <c r="Y224" s="39"/>
      <c r="Z224" s="46"/>
      <c r="AA224" s="419"/>
      <c r="AB224" s="101"/>
      <c r="AC224" s="495" t="str">
        <f>IF(OR(P224="", Y224="Yes"),"", IF(P224='G-1 All Habitats'!$X$3,H224-S224-T224,"None"))</f>
        <v/>
      </c>
      <c r="AD224" s="496" t="str">
        <f>IF(P224="","", IF(P224='G-1 All Habitats'!$X$3, AC224*J224*L224*O224,"None"))</f>
        <v/>
      </c>
      <c r="AE224" s="20" t="str">
        <f t="shared" si="21"/>
        <v/>
      </c>
      <c r="AF224" s="25" t="str">
        <f t="shared" si="22"/>
        <v/>
      </c>
      <c r="AG224" s="25" t="str">
        <f t="shared" si="18"/>
        <v/>
      </c>
      <c r="AH224" s="25" t="str">
        <f>IF(I224="","",IF(#REF!&gt;0,TRUE,FALSE))</f>
        <v/>
      </c>
      <c r="AI224" s="25">
        <v>214</v>
      </c>
      <c r="AJ224" s="25"/>
      <c r="AK224" s="25" t="str">
        <f t="array" ref="AK224">IFERROR(INDEX($AI$11:$AI$259, MATCH(0, IF(TRUE=$AF$11:$AF$259, COUNTIF($AK$10:$AK223, $AI$11:$AI$259), ""), 0)),"")</f>
        <v/>
      </c>
      <c r="AL224" s="25" t="str">
        <f t="array" ref="AL224">IFERROR(INDEX($AI$11:$AI$259, MATCH(0, IF(TRUE=$AG$11:$AG$259, COUNTIF($AL$10:$AL223, $AI$11:$AI$259), ""), 0)),"")</f>
        <v/>
      </c>
      <c r="AM224" s="25" t="str">
        <f t="array" ref="AM224">IFERROR(INDEX($AI$11:$AI$259, MATCH(0, IF(TRUE=$AH$11:$AH$259, COUNTIF($AM$10:$AM223, $AI$11:$AI$259), ""), 0)),"")</f>
        <v/>
      </c>
      <c r="AN224" s="25"/>
      <c r="AQ224" s="20">
        <f t="shared" si="23"/>
        <v>0</v>
      </c>
      <c r="AV224" s="540" t="str">
        <f>IFERROR(INDEX('G-1 All Habitats'!$B$3:$B$135,MATCH(F224,'G-1 All Habitats'!$A$3:$A$135,0)),"")</f>
        <v/>
      </c>
      <c r="AW224" s="20" t="str">
        <f>IF(AV224="","",VLOOKUP(AV224,'G-1 All Habitats'!$B$1:$T$135,19,FALSE))</f>
        <v/>
      </c>
    </row>
    <row r="225" spans="1:49" ht="14.5" thickBot="1" x14ac:dyDescent="0.35">
      <c r="A225" s="20" t="str">
        <f>IFERROR(INDEX('G-1 All Habitats'!$AG$3:$AG$17,MATCH(E225,'G-1 All Habitats'!$AF$3:$AF$17,0)),"")</f>
        <v/>
      </c>
      <c r="B225" s="20" t="str">
        <f>IFERROR(INDEX('G-8 Condition Look up'!$I$4:$I$135,MATCH(AV225,'G-8 Condition Look up'!$A$4:$A$135,0)),"")</f>
        <v/>
      </c>
      <c r="D225" s="238">
        <v>215</v>
      </c>
      <c r="E225" s="223"/>
      <c r="F225" s="45"/>
      <c r="G225" s="272"/>
      <c r="H225" s="37"/>
      <c r="I225" s="290" t="str">
        <f>IF(AV225="","",VLOOKUP(AV225,'G-1 All Habitats'!$B$2:$M$135,10,FALSE))</f>
        <v/>
      </c>
      <c r="J225" s="291" t="str">
        <f>IFERROR(VLOOKUP(I225,'G-1 All Habitats'!$V$3:$W$7,2,FALSE),"")</f>
        <v/>
      </c>
      <c r="K225" s="38"/>
      <c r="L225" s="291" t="str">
        <f>IFERROR(INDEX('G-8 Condition Look up'!$A$3:$H$135,MATCH(AV225,'G-8 Condition Look up'!$A$3:$A$135,0),MATCH(K225,'G-8 Condition Look up'!$A$3:$H$3,0)),"")</f>
        <v/>
      </c>
      <c r="M225" s="38"/>
      <c r="N225" s="310" t="str">
        <f>IF(M225="","",IF(VLOOKUP(M225,'G-3 Multipliers'!$L$3:$N$6,2,FALSE)=0,"Spatial Data Missing",VLOOKUP(M225,'G-3 Multipliers'!$L$3:$N$6,2,FALSE)))</f>
        <v/>
      </c>
      <c r="O225" s="296" t="str">
        <f>IF(M225="","",IF(VLOOKUP(M225,'G-3 Multipliers'!$L$3:$N$6,3,FALSE)=0,"Spatial Data Missing ▲",VLOOKUP(M225,'G-3 Multipliers'!$L$3:$N$6,3,FALSE)))</f>
        <v/>
      </c>
      <c r="P225" s="297" t="str">
        <f>(IF(G225="Yes","Bespoke compensation likely to be required 🛠",(IFERROR(VLOOKUP(AV225,'G-1 All Habitats'!$B$2:$M$135,12,FALSE),""))))</f>
        <v/>
      </c>
      <c r="Q225" s="304" t="str">
        <f>IFERROR(IF(AND(E225="Individual trees",T225&gt;0), "Error - you cannot enhance individual trees ▲", (IF(AND(U225="Irreplaceable habitat - no units generated ⚠",(S225+T225)&lt;H225, OR(Y225="No", Y225="")),"Any Loss Unacceptable ⚠", (IF(U225="Irreplaceable habitat - no units generated ⚠", T225*J225*L225*O225, IF(AND(P225='G-1 All Habitats'!$X$3, AC225&gt;0, S225&lt;=0, T225&lt;=0, OR(Y225="No", Y225="")),"Any Loss Unacceptable ⚠", IF(AND(P225='G-1 All Habitats'!$X$3, AC225&gt;0, S225&lt;=0, T225&lt;=0, Y225="Yes"), 0, (IF(AND(P225='G-1 All Habitats'!$X$3,(S225+T225)&lt;H225, OR(Y225="No", Y225="")),"Any Loss Unacceptable ⚠", (IF(P225="","",IF(AND(P225='G-1 All Habitats'!$X$3,T225&gt;0),U225+V225,IF(AND(P225='G-1 All Habitats'!$X$3,S225&gt;0),U225+V225,H225*J225*L225*O225))))))))))))),"Check Data ▲")</f>
        <v/>
      </c>
      <c r="R225" s="23"/>
      <c r="S225" s="38"/>
      <c r="T225" s="39"/>
      <c r="U225" s="302" t="str">
        <f t="shared" si="19"/>
        <v/>
      </c>
      <c r="V225" s="302" t="str">
        <f t="shared" si="20"/>
        <v/>
      </c>
      <c r="W225" s="302" t="str">
        <f>IF(E225="","",IF(H225&lt;S225+T225,"Error in Areas ▲",IF(P225&lt;&gt;'G-1 All Habitats'!$X$3,H225-S225-T225,IF(AND(P225='G-1 All Habitats'!$X$3,Y225="No"),AC225,IF(AND(P225='G-1 All Habitats'!$X$3,Y225=""),AC225,IF(AND(P225='G-1 All Habitats'!$X$3,AC225="None"),AC225,IF(AND(P225='G-1 All Habitats'!$X$3,AC225&gt;0),H225-S225-T225)))))))</f>
        <v/>
      </c>
      <c r="X225" s="306" t="str">
        <f>IFERROR(IF(H225="","",IF(H225-S225-T225=0&lt;0,"Error in Areas ▲",IF(S225+T225&gt;H225,"Error in Areas ▲",IF(AND(P225='G-1 All Habitats'!$X$3,Y225="Yes"),"Alternative Compensation ✓",IF(W225=0,0,IF(P225='G-1 All Habitats'!$X$3,"Any Loss Unacceptable ▲",Q225-U225-V225)))))),"Check Data ▲")</f>
        <v/>
      </c>
      <c r="Y225" s="39"/>
      <c r="Z225" s="46"/>
      <c r="AA225" s="419"/>
      <c r="AB225" s="101"/>
      <c r="AC225" s="495" t="str">
        <f>IF(OR(P225="", Y225="Yes"),"", IF(P225='G-1 All Habitats'!$X$3,H225-S225-T225,"None"))</f>
        <v/>
      </c>
      <c r="AD225" s="496" t="str">
        <f>IF(P225="","", IF(P225='G-1 All Habitats'!$X$3, AC225*J225*L225*O225,"None"))</f>
        <v/>
      </c>
      <c r="AE225" s="20" t="str">
        <f t="shared" si="21"/>
        <v/>
      </c>
      <c r="AF225" s="25" t="str">
        <f t="shared" si="22"/>
        <v/>
      </c>
      <c r="AG225" s="25" t="str">
        <f t="shared" si="18"/>
        <v/>
      </c>
      <c r="AH225" s="25" t="str">
        <f>IF(I225="","",IF(#REF!&gt;0,TRUE,FALSE))</f>
        <v/>
      </c>
      <c r="AI225" s="25">
        <v>215</v>
      </c>
      <c r="AJ225" s="25"/>
      <c r="AK225" s="25" t="str">
        <f t="array" ref="AK225">IFERROR(INDEX($AI$11:$AI$259, MATCH(0, IF(TRUE=$AF$11:$AF$259, COUNTIF($AK$10:$AK224, $AI$11:$AI$259), ""), 0)),"")</f>
        <v/>
      </c>
      <c r="AL225" s="25" t="str">
        <f t="array" ref="AL225">IFERROR(INDEX($AI$11:$AI$259, MATCH(0, IF(TRUE=$AG$11:$AG$259, COUNTIF($AL$10:$AL224, $AI$11:$AI$259), ""), 0)),"")</f>
        <v/>
      </c>
      <c r="AM225" s="25" t="str">
        <f t="array" ref="AM225">IFERROR(INDEX($AI$11:$AI$259, MATCH(0, IF(TRUE=$AH$11:$AH$259, COUNTIF($AM$10:$AM224, $AI$11:$AI$259), ""), 0)),"")</f>
        <v/>
      </c>
      <c r="AN225" s="25"/>
      <c r="AQ225" s="20">
        <f t="shared" si="23"/>
        <v>0</v>
      </c>
      <c r="AV225" s="540" t="str">
        <f>IFERROR(INDEX('G-1 All Habitats'!$B$3:$B$135,MATCH(F225,'G-1 All Habitats'!$A$3:$A$135,0)),"")</f>
        <v/>
      </c>
      <c r="AW225" s="20" t="str">
        <f>IF(AV225="","",VLOOKUP(AV225,'G-1 All Habitats'!$B$1:$T$135,19,FALSE))</f>
        <v/>
      </c>
    </row>
    <row r="226" spans="1:49" ht="14.5" thickBot="1" x14ac:dyDescent="0.35">
      <c r="A226" s="20" t="str">
        <f>IFERROR(INDEX('G-1 All Habitats'!$AG$3:$AG$17,MATCH(E226,'G-1 All Habitats'!$AF$3:$AF$17,0)),"")</f>
        <v/>
      </c>
      <c r="B226" s="20" t="str">
        <f>IFERROR(INDEX('G-8 Condition Look up'!$I$4:$I$135,MATCH(AV226,'G-8 Condition Look up'!$A$4:$A$135,0)),"")</f>
        <v/>
      </c>
      <c r="D226" s="238">
        <v>216</v>
      </c>
      <c r="E226" s="223"/>
      <c r="F226" s="45"/>
      <c r="G226" s="272"/>
      <c r="H226" s="37"/>
      <c r="I226" s="290" t="str">
        <f>IF(AV226="","",VLOOKUP(AV226,'G-1 All Habitats'!$B$2:$M$135,10,FALSE))</f>
        <v/>
      </c>
      <c r="J226" s="291" t="str">
        <f>IFERROR(VLOOKUP(I226,'G-1 All Habitats'!$V$3:$W$7,2,FALSE),"")</f>
        <v/>
      </c>
      <c r="K226" s="38"/>
      <c r="L226" s="291" t="str">
        <f>IFERROR(INDEX('G-8 Condition Look up'!$A$3:$H$135,MATCH(AV226,'G-8 Condition Look up'!$A$3:$A$135,0),MATCH(K226,'G-8 Condition Look up'!$A$3:$H$3,0)),"")</f>
        <v/>
      </c>
      <c r="M226" s="38"/>
      <c r="N226" s="310" t="str">
        <f>IF(M226="","",IF(VLOOKUP(M226,'G-3 Multipliers'!$L$3:$N$6,2,FALSE)=0,"Spatial Data Missing",VLOOKUP(M226,'G-3 Multipliers'!$L$3:$N$6,2,FALSE)))</f>
        <v/>
      </c>
      <c r="O226" s="296" t="str">
        <f>IF(M226="","",IF(VLOOKUP(M226,'G-3 Multipliers'!$L$3:$N$6,3,FALSE)=0,"Spatial Data Missing ▲",VLOOKUP(M226,'G-3 Multipliers'!$L$3:$N$6,3,FALSE)))</f>
        <v/>
      </c>
      <c r="P226" s="297" t="str">
        <f>(IF(G226="Yes","Bespoke compensation likely to be required 🛠",(IFERROR(VLOOKUP(AV226,'G-1 All Habitats'!$B$2:$M$135,12,FALSE),""))))</f>
        <v/>
      </c>
      <c r="Q226" s="304" t="str">
        <f>IFERROR(IF(AND(E226="Individual trees",T226&gt;0), "Error - you cannot enhance individual trees ▲", (IF(AND(U226="Irreplaceable habitat - no units generated ⚠",(S226+T226)&lt;H226, OR(Y226="No", Y226="")),"Any Loss Unacceptable ⚠", (IF(U226="Irreplaceable habitat - no units generated ⚠", T226*J226*L226*O226, IF(AND(P226='G-1 All Habitats'!$X$3, AC226&gt;0, S226&lt;=0, T226&lt;=0, OR(Y226="No", Y226="")),"Any Loss Unacceptable ⚠", IF(AND(P226='G-1 All Habitats'!$X$3, AC226&gt;0, S226&lt;=0, T226&lt;=0, Y226="Yes"), 0, (IF(AND(P226='G-1 All Habitats'!$X$3,(S226+T226)&lt;H226, OR(Y226="No", Y226="")),"Any Loss Unacceptable ⚠", (IF(P226="","",IF(AND(P226='G-1 All Habitats'!$X$3,T226&gt;0),U226+V226,IF(AND(P226='G-1 All Habitats'!$X$3,S226&gt;0),U226+V226,H226*J226*L226*O226))))))))))))),"Check Data ▲")</f>
        <v/>
      </c>
      <c r="R226" s="23"/>
      <c r="S226" s="38"/>
      <c r="T226" s="39"/>
      <c r="U226" s="302" t="str">
        <f t="shared" si="19"/>
        <v/>
      </c>
      <c r="V226" s="302" t="str">
        <f t="shared" si="20"/>
        <v/>
      </c>
      <c r="W226" s="302" t="str">
        <f>IF(E226="","",IF(H226&lt;S226+T226,"Error in Areas ▲",IF(P226&lt;&gt;'G-1 All Habitats'!$X$3,H226-S226-T226,IF(AND(P226='G-1 All Habitats'!$X$3,Y226="No"),AC226,IF(AND(P226='G-1 All Habitats'!$X$3,Y226=""),AC226,IF(AND(P226='G-1 All Habitats'!$X$3,AC226="None"),AC226,IF(AND(P226='G-1 All Habitats'!$X$3,AC226&gt;0),H226-S226-T226)))))))</f>
        <v/>
      </c>
      <c r="X226" s="306" t="str">
        <f>IFERROR(IF(H226="","",IF(H226-S226-T226=0&lt;0,"Error in Areas ▲",IF(S226+T226&gt;H226,"Error in Areas ▲",IF(AND(P226='G-1 All Habitats'!$X$3,Y226="Yes"),"Alternative Compensation ✓",IF(W226=0,0,IF(P226='G-1 All Habitats'!$X$3,"Any Loss Unacceptable ▲",Q226-U226-V226)))))),"Check Data ▲")</f>
        <v/>
      </c>
      <c r="Y226" s="39"/>
      <c r="Z226" s="46"/>
      <c r="AA226" s="419"/>
      <c r="AB226" s="101"/>
      <c r="AC226" s="495" t="str">
        <f>IF(OR(P226="", Y226="Yes"),"", IF(P226='G-1 All Habitats'!$X$3,H226-S226-T226,"None"))</f>
        <v/>
      </c>
      <c r="AD226" s="496" t="str">
        <f>IF(P226="","", IF(P226='G-1 All Habitats'!$X$3, AC226*J226*L226*O226,"None"))</f>
        <v/>
      </c>
      <c r="AE226" s="20" t="str">
        <f t="shared" si="21"/>
        <v/>
      </c>
      <c r="AF226" s="25" t="str">
        <f t="shared" si="22"/>
        <v/>
      </c>
      <c r="AG226" s="25" t="str">
        <f t="shared" si="18"/>
        <v/>
      </c>
      <c r="AH226" s="25" t="str">
        <f>IF(I226="","",IF(#REF!&gt;0,TRUE,FALSE))</f>
        <v/>
      </c>
      <c r="AI226" s="25">
        <v>216</v>
      </c>
      <c r="AJ226" s="25"/>
      <c r="AK226" s="25" t="str">
        <f t="array" ref="AK226">IFERROR(INDEX($AI$11:$AI$259, MATCH(0, IF(TRUE=$AF$11:$AF$259, COUNTIF($AK$10:$AK225, $AI$11:$AI$259), ""), 0)),"")</f>
        <v/>
      </c>
      <c r="AL226" s="25" t="str">
        <f t="array" ref="AL226">IFERROR(INDEX($AI$11:$AI$259, MATCH(0, IF(TRUE=$AG$11:$AG$259, COUNTIF($AL$10:$AL225, $AI$11:$AI$259), ""), 0)),"")</f>
        <v/>
      </c>
      <c r="AM226" s="25" t="str">
        <f t="array" ref="AM226">IFERROR(INDEX($AI$11:$AI$259, MATCH(0, IF(TRUE=$AH$11:$AH$259, COUNTIF($AM$10:$AM225, $AI$11:$AI$259), ""), 0)),"")</f>
        <v/>
      </c>
      <c r="AN226" s="25"/>
      <c r="AQ226" s="20">
        <f t="shared" si="23"/>
        <v>0</v>
      </c>
      <c r="AV226" s="540" t="str">
        <f>IFERROR(INDEX('G-1 All Habitats'!$B$3:$B$135,MATCH(F226,'G-1 All Habitats'!$A$3:$A$135,0)),"")</f>
        <v/>
      </c>
      <c r="AW226" s="20" t="str">
        <f>IF(AV226="","",VLOOKUP(AV226,'G-1 All Habitats'!$B$1:$T$135,19,FALSE))</f>
        <v/>
      </c>
    </row>
    <row r="227" spans="1:49" ht="14.5" thickBot="1" x14ac:dyDescent="0.35">
      <c r="A227" s="20" t="str">
        <f>IFERROR(INDEX('G-1 All Habitats'!$AG$3:$AG$17,MATCH(E227,'G-1 All Habitats'!$AF$3:$AF$17,0)),"")</f>
        <v/>
      </c>
      <c r="B227" s="20" t="str">
        <f>IFERROR(INDEX('G-8 Condition Look up'!$I$4:$I$135,MATCH(AV227,'G-8 Condition Look up'!$A$4:$A$135,0)),"")</f>
        <v/>
      </c>
      <c r="D227" s="238">
        <v>217</v>
      </c>
      <c r="E227" s="223"/>
      <c r="F227" s="45"/>
      <c r="G227" s="272"/>
      <c r="H227" s="37"/>
      <c r="I227" s="290" t="str">
        <f>IF(AV227="","",VLOOKUP(AV227,'G-1 All Habitats'!$B$2:$M$135,10,FALSE))</f>
        <v/>
      </c>
      <c r="J227" s="291" t="str">
        <f>IFERROR(VLOOKUP(I227,'G-1 All Habitats'!$V$3:$W$7,2,FALSE),"")</f>
        <v/>
      </c>
      <c r="K227" s="38"/>
      <c r="L227" s="291" t="str">
        <f>IFERROR(INDEX('G-8 Condition Look up'!$A$3:$H$135,MATCH(AV227,'G-8 Condition Look up'!$A$3:$A$135,0),MATCH(K227,'G-8 Condition Look up'!$A$3:$H$3,0)),"")</f>
        <v/>
      </c>
      <c r="M227" s="38"/>
      <c r="N227" s="310" t="str">
        <f>IF(M227="","",IF(VLOOKUP(M227,'G-3 Multipliers'!$L$3:$N$6,2,FALSE)=0,"Spatial Data Missing",VLOOKUP(M227,'G-3 Multipliers'!$L$3:$N$6,2,FALSE)))</f>
        <v/>
      </c>
      <c r="O227" s="296" t="str">
        <f>IF(M227="","",IF(VLOOKUP(M227,'G-3 Multipliers'!$L$3:$N$6,3,FALSE)=0,"Spatial Data Missing ▲",VLOOKUP(M227,'G-3 Multipliers'!$L$3:$N$6,3,FALSE)))</f>
        <v/>
      </c>
      <c r="P227" s="297" t="str">
        <f>(IF(G227="Yes","Bespoke compensation likely to be required 🛠",(IFERROR(VLOOKUP(AV227,'G-1 All Habitats'!$B$2:$M$135,12,FALSE),""))))</f>
        <v/>
      </c>
      <c r="Q227" s="304" t="str">
        <f>IFERROR(IF(AND(E227="Individual trees",T227&gt;0), "Error - you cannot enhance individual trees ▲", (IF(AND(U227="Irreplaceable habitat - no units generated ⚠",(S227+T227)&lt;H227, OR(Y227="No", Y227="")),"Any Loss Unacceptable ⚠", (IF(U227="Irreplaceable habitat - no units generated ⚠", T227*J227*L227*O227, IF(AND(P227='G-1 All Habitats'!$X$3, AC227&gt;0, S227&lt;=0, T227&lt;=0, OR(Y227="No", Y227="")),"Any Loss Unacceptable ⚠", IF(AND(P227='G-1 All Habitats'!$X$3, AC227&gt;0, S227&lt;=0, T227&lt;=0, Y227="Yes"), 0, (IF(AND(P227='G-1 All Habitats'!$X$3,(S227+T227)&lt;H227, OR(Y227="No", Y227="")),"Any Loss Unacceptable ⚠", (IF(P227="","",IF(AND(P227='G-1 All Habitats'!$X$3,T227&gt;0),U227+V227,IF(AND(P227='G-1 All Habitats'!$X$3,S227&gt;0),U227+V227,H227*J227*L227*O227))))))))))))),"Check Data ▲")</f>
        <v/>
      </c>
      <c r="R227" s="23"/>
      <c r="S227" s="38"/>
      <c r="T227" s="39"/>
      <c r="U227" s="302" t="str">
        <f t="shared" si="19"/>
        <v/>
      </c>
      <c r="V227" s="302" t="str">
        <f t="shared" si="20"/>
        <v/>
      </c>
      <c r="W227" s="302" t="str">
        <f>IF(E227="","",IF(H227&lt;S227+T227,"Error in Areas ▲",IF(P227&lt;&gt;'G-1 All Habitats'!$X$3,H227-S227-T227,IF(AND(P227='G-1 All Habitats'!$X$3,Y227="No"),AC227,IF(AND(P227='G-1 All Habitats'!$X$3,Y227=""),AC227,IF(AND(P227='G-1 All Habitats'!$X$3,AC227="None"),AC227,IF(AND(P227='G-1 All Habitats'!$X$3,AC227&gt;0),H227-S227-T227)))))))</f>
        <v/>
      </c>
      <c r="X227" s="306" t="str">
        <f>IFERROR(IF(H227="","",IF(H227-S227-T227=0&lt;0,"Error in Areas ▲",IF(S227+T227&gt;H227,"Error in Areas ▲",IF(AND(P227='G-1 All Habitats'!$X$3,Y227="Yes"),"Alternative Compensation ✓",IF(W227=0,0,IF(P227='G-1 All Habitats'!$X$3,"Any Loss Unacceptable ▲",Q227-U227-V227)))))),"Check Data ▲")</f>
        <v/>
      </c>
      <c r="Y227" s="39"/>
      <c r="Z227" s="46"/>
      <c r="AA227" s="419"/>
      <c r="AB227" s="101"/>
      <c r="AC227" s="495" t="str">
        <f>IF(OR(P227="", Y227="Yes"),"", IF(P227='G-1 All Habitats'!$X$3,H227-S227-T227,"None"))</f>
        <v/>
      </c>
      <c r="AD227" s="496" t="str">
        <f>IF(P227="","", IF(P227='G-1 All Habitats'!$X$3, AC227*J227*L227*O227,"None"))</f>
        <v/>
      </c>
      <c r="AE227" s="20" t="str">
        <f t="shared" si="21"/>
        <v/>
      </c>
      <c r="AF227" s="25" t="str">
        <f t="shared" si="22"/>
        <v/>
      </c>
      <c r="AG227" s="25" t="str">
        <f t="shared" si="18"/>
        <v/>
      </c>
      <c r="AH227" s="25" t="str">
        <f>IF(I227="","",IF(#REF!&gt;0,TRUE,FALSE))</f>
        <v/>
      </c>
      <c r="AI227" s="25">
        <v>217</v>
      </c>
      <c r="AJ227" s="25"/>
      <c r="AK227" s="25" t="str">
        <f t="array" ref="AK227">IFERROR(INDEX($AI$11:$AI$259, MATCH(0, IF(TRUE=$AF$11:$AF$259, COUNTIF($AK$10:$AK226, $AI$11:$AI$259), ""), 0)),"")</f>
        <v/>
      </c>
      <c r="AL227" s="25" t="str">
        <f t="array" ref="AL227">IFERROR(INDEX($AI$11:$AI$259, MATCH(0, IF(TRUE=$AG$11:$AG$259, COUNTIF($AL$10:$AL226, $AI$11:$AI$259), ""), 0)),"")</f>
        <v/>
      </c>
      <c r="AM227" s="25" t="str">
        <f t="array" ref="AM227">IFERROR(INDEX($AI$11:$AI$259, MATCH(0, IF(TRUE=$AH$11:$AH$259, COUNTIF($AM$10:$AM226, $AI$11:$AI$259), ""), 0)),"")</f>
        <v/>
      </c>
      <c r="AN227" s="25"/>
      <c r="AQ227" s="20">
        <f t="shared" si="23"/>
        <v>0</v>
      </c>
      <c r="AV227" s="540" t="str">
        <f>IFERROR(INDEX('G-1 All Habitats'!$B$3:$B$135,MATCH(F227,'G-1 All Habitats'!$A$3:$A$135,0)),"")</f>
        <v/>
      </c>
      <c r="AW227" s="20" t="str">
        <f>IF(AV227="","",VLOOKUP(AV227,'G-1 All Habitats'!$B$1:$T$135,19,FALSE))</f>
        <v/>
      </c>
    </row>
    <row r="228" spans="1:49" ht="14.5" thickBot="1" x14ac:dyDescent="0.35">
      <c r="A228" s="20" t="str">
        <f>IFERROR(INDEX('G-1 All Habitats'!$AG$3:$AG$17,MATCH(E228,'G-1 All Habitats'!$AF$3:$AF$17,0)),"")</f>
        <v/>
      </c>
      <c r="B228" s="20" t="str">
        <f>IFERROR(INDEX('G-8 Condition Look up'!$I$4:$I$135,MATCH(AV228,'G-8 Condition Look up'!$A$4:$A$135,0)),"")</f>
        <v/>
      </c>
      <c r="D228" s="238">
        <v>218</v>
      </c>
      <c r="E228" s="223"/>
      <c r="F228" s="45"/>
      <c r="G228" s="272"/>
      <c r="H228" s="37"/>
      <c r="I228" s="290" t="str">
        <f>IF(AV228="","",VLOOKUP(AV228,'G-1 All Habitats'!$B$2:$M$135,10,FALSE))</f>
        <v/>
      </c>
      <c r="J228" s="291" t="str">
        <f>IFERROR(VLOOKUP(I228,'G-1 All Habitats'!$V$3:$W$7,2,FALSE),"")</f>
        <v/>
      </c>
      <c r="K228" s="38"/>
      <c r="L228" s="291" t="str">
        <f>IFERROR(INDEX('G-8 Condition Look up'!$A$3:$H$135,MATCH(AV228,'G-8 Condition Look up'!$A$3:$A$135,0),MATCH(K228,'G-8 Condition Look up'!$A$3:$H$3,0)),"")</f>
        <v/>
      </c>
      <c r="M228" s="38"/>
      <c r="N228" s="310" t="str">
        <f>IF(M228="","",IF(VLOOKUP(M228,'G-3 Multipliers'!$L$3:$N$6,2,FALSE)=0,"Spatial Data Missing",VLOOKUP(M228,'G-3 Multipliers'!$L$3:$N$6,2,FALSE)))</f>
        <v/>
      </c>
      <c r="O228" s="296" t="str">
        <f>IF(M228="","",IF(VLOOKUP(M228,'G-3 Multipliers'!$L$3:$N$6,3,FALSE)=0,"Spatial Data Missing ▲",VLOOKUP(M228,'G-3 Multipliers'!$L$3:$N$6,3,FALSE)))</f>
        <v/>
      </c>
      <c r="P228" s="297" t="str">
        <f>(IF(G228="Yes","Bespoke compensation likely to be required 🛠",(IFERROR(VLOOKUP(AV228,'G-1 All Habitats'!$B$2:$M$135,12,FALSE),""))))</f>
        <v/>
      </c>
      <c r="Q228" s="304" t="str">
        <f>IFERROR(IF(AND(E228="Individual trees",T228&gt;0), "Error - you cannot enhance individual trees ▲", (IF(AND(U228="Irreplaceable habitat - no units generated ⚠",(S228+T228)&lt;H228, OR(Y228="No", Y228="")),"Any Loss Unacceptable ⚠", (IF(U228="Irreplaceable habitat - no units generated ⚠", T228*J228*L228*O228, IF(AND(P228='G-1 All Habitats'!$X$3, AC228&gt;0, S228&lt;=0, T228&lt;=0, OR(Y228="No", Y228="")),"Any Loss Unacceptable ⚠", IF(AND(P228='G-1 All Habitats'!$X$3, AC228&gt;0, S228&lt;=0, T228&lt;=0, Y228="Yes"), 0, (IF(AND(P228='G-1 All Habitats'!$X$3,(S228+T228)&lt;H228, OR(Y228="No", Y228="")),"Any Loss Unacceptable ⚠", (IF(P228="","",IF(AND(P228='G-1 All Habitats'!$X$3,T228&gt;0),U228+V228,IF(AND(P228='G-1 All Habitats'!$X$3,S228&gt;0),U228+V228,H228*J228*L228*O228))))))))))))),"Check Data ▲")</f>
        <v/>
      </c>
      <c r="R228" s="23"/>
      <c r="S228" s="38"/>
      <c r="T228" s="39"/>
      <c r="U228" s="302" t="str">
        <f t="shared" si="19"/>
        <v/>
      </c>
      <c r="V228" s="302" t="str">
        <f t="shared" si="20"/>
        <v/>
      </c>
      <c r="W228" s="302" t="str">
        <f>IF(E228="","",IF(H228&lt;S228+T228,"Error in Areas ▲",IF(P228&lt;&gt;'G-1 All Habitats'!$X$3,H228-S228-T228,IF(AND(P228='G-1 All Habitats'!$X$3,Y228="No"),AC228,IF(AND(P228='G-1 All Habitats'!$X$3,Y228=""),AC228,IF(AND(P228='G-1 All Habitats'!$X$3,AC228="None"),AC228,IF(AND(P228='G-1 All Habitats'!$X$3,AC228&gt;0),H228-S228-T228)))))))</f>
        <v/>
      </c>
      <c r="X228" s="306" t="str">
        <f>IFERROR(IF(H228="","",IF(H228-S228-T228=0&lt;0,"Error in Areas ▲",IF(S228+T228&gt;H228,"Error in Areas ▲",IF(AND(P228='G-1 All Habitats'!$X$3,Y228="Yes"),"Alternative Compensation ✓",IF(W228=0,0,IF(P228='G-1 All Habitats'!$X$3,"Any Loss Unacceptable ▲",Q228-U228-V228)))))),"Check Data ▲")</f>
        <v/>
      </c>
      <c r="Y228" s="39"/>
      <c r="Z228" s="46"/>
      <c r="AA228" s="419"/>
      <c r="AB228" s="101"/>
      <c r="AC228" s="495" t="str">
        <f>IF(OR(P228="", Y228="Yes"),"", IF(P228='G-1 All Habitats'!$X$3,H228-S228-T228,"None"))</f>
        <v/>
      </c>
      <c r="AD228" s="496" t="str">
        <f>IF(P228="","", IF(P228='G-1 All Habitats'!$X$3, AC228*J228*L228*O228,"None"))</f>
        <v/>
      </c>
      <c r="AE228" s="20" t="str">
        <f t="shared" si="21"/>
        <v/>
      </c>
      <c r="AF228" s="25" t="str">
        <f t="shared" si="22"/>
        <v/>
      </c>
      <c r="AG228" s="25" t="str">
        <f t="shared" si="18"/>
        <v/>
      </c>
      <c r="AH228" s="25" t="str">
        <f>IF(I228="","",IF(#REF!&gt;0,TRUE,FALSE))</f>
        <v/>
      </c>
      <c r="AI228" s="25">
        <v>218</v>
      </c>
      <c r="AJ228" s="25"/>
      <c r="AK228" s="25" t="str">
        <f t="array" ref="AK228">IFERROR(INDEX($AI$11:$AI$259, MATCH(0, IF(TRUE=$AF$11:$AF$259, COUNTIF($AK$10:$AK227, $AI$11:$AI$259), ""), 0)),"")</f>
        <v/>
      </c>
      <c r="AL228" s="25" t="str">
        <f t="array" ref="AL228">IFERROR(INDEX($AI$11:$AI$259, MATCH(0, IF(TRUE=$AG$11:$AG$259, COUNTIF($AL$10:$AL227, $AI$11:$AI$259), ""), 0)),"")</f>
        <v/>
      </c>
      <c r="AM228" s="25" t="str">
        <f t="array" ref="AM228">IFERROR(INDEX($AI$11:$AI$259, MATCH(0, IF(TRUE=$AH$11:$AH$259, COUNTIF($AM$10:$AM227, $AI$11:$AI$259), ""), 0)),"")</f>
        <v/>
      </c>
      <c r="AN228" s="25"/>
      <c r="AQ228" s="20">
        <f t="shared" si="23"/>
        <v>0</v>
      </c>
      <c r="AV228" s="540" t="str">
        <f>IFERROR(INDEX('G-1 All Habitats'!$B$3:$B$135,MATCH(F228,'G-1 All Habitats'!$A$3:$A$135,0)),"")</f>
        <v/>
      </c>
      <c r="AW228" s="20" t="str">
        <f>IF(AV228="","",VLOOKUP(AV228,'G-1 All Habitats'!$B$1:$T$135,19,FALSE))</f>
        <v/>
      </c>
    </row>
    <row r="229" spans="1:49" ht="14.5" thickBot="1" x14ac:dyDescent="0.35">
      <c r="A229" s="20" t="str">
        <f>IFERROR(INDEX('G-1 All Habitats'!$AG$3:$AG$17,MATCH(E229,'G-1 All Habitats'!$AF$3:$AF$17,0)),"")</f>
        <v/>
      </c>
      <c r="B229" s="20" t="str">
        <f>IFERROR(INDEX('G-8 Condition Look up'!$I$4:$I$135,MATCH(AV229,'G-8 Condition Look up'!$A$4:$A$135,0)),"")</f>
        <v/>
      </c>
      <c r="D229" s="238">
        <v>219</v>
      </c>
      <c r="E229" s="223"/>
      <c r="F229" s="45"/>
      <c r="G229" s="272"/>
      <c r="H229" s="37"/>
      <c r="I229" s="290" t="str">
        <f>IF(AV229="","",VLOOKUP(AV229,'G-1 All Habitats'!$B$2:$M$135,10,FALSE))</f>
        <v/>
      </c>
      <c r="J229" s="291" t="str">
        <f>IFERROR(VLOOKUP(I229,'G-1 All Habitats'!$V$3:$W$7,2,FALSE),"")</f>
        <v/>
      </c>
      <c r="K229" s="38"/>
      <c r="L229" s="291" t="str">
        <f>IFERROR(INDEX('G-8 Condition Look up'!$A$3:$H$135,MATCH(AV229,'G-8 Condition Look up'!$A$3:$A$135,0),MATCH(K229,'G-8 Condition Look up'!$A$3:$H$3,0)),"")</f>
        <v/>
      </c>
      <c r="M229" s="38"/>
      <c r="N229" s="310" t="str">
        <f>IF(M229="","",IF(VLOOKUP(M229,'G-3 Multipliers'!$L$3:$N$6,2,FALSE)=0,"Spatial Data Missing",VLOOKUP(M229,'G-3 Multipliers'!$L$3:$N$6,2,FALSE)))</f>
        <v/>
      </c>
      <c r="O229" s="296" t="str">
        <f>IF(M229="","",IF(VLOOKUP(M229,'G-3 Multipliers'!$L$3:$N$6,3,FALSE)=0,"Spatial Data Missing ▲",VLOOKUP(M229,'G-3 Multipliers'!$L$3:$N$6,3,FALSE)))</f>
        <v/>
      </c>
      <c r="P229" s="297" t="str">
        <f>(IF(G229="Yes","Bespoke compensation likely to be required 🛠",(IFERROR(VLOOKUP(AV229,'G-1 All Habitats'!$B$2:$M$135,12,FALSE),""))))</f>
        <v/>
      </c>
      <c r="Q229" s="304" t="str">
        <f>IFERROR(IF(AND(E229="Individual trees",T229&gt;0), "Error - you cannot enhance individual trees ▲", (IF(AND(U229="Irreplaceable habitat - no units generated ⚠",(S229+T229)&lt;H229, OR(Y229="No", Y229="")),"Any Loss Unacceptable ⚠", (IF(U229="Irreplaceable habitat - no units generated ⚠", T229*J229*L229*O229, IF(AND(P229='G-1 All Habitats'!$X$3, AC229&gt;0, S229&lt;=0, T229&lt;=0, OR(Y229="No", Y229="")),"Any Loss Unacceptable ⚠", IF(AND(P229='G-1 All Habitats'!$X$3, AC229&gt;0, S229&lt;=0, T229&lt;=0, Y229="Yes"), 0, (IF(AND(P229='G-1 All Habitats'!$X$3,(S229+T229)&lt;H229, OR(Y229="No", Y229="")),"Any Loss Unacceptable ⚠", (IF(P229="","",IF(AND(P229='G-1 All Habitats'!$X$3,T229&gt;0),U229+V229,IF(AND(P229='G-1 All Habitats'!$X$3,S229&gt;0),U229+V229,H229*J229*L229*O229))))))))))))),"Check Data ▲")</f>
        <v/>
      </c>
      <c r="R229" s="23"/>
      <c r="S229" s="38"/>
      <c r="T229" s="39"/>
      <c r="U229" s="302" t="str">
        <f t="shared" si="19"/>
        <v/>
      </c>
      <c r="V229" s="302" t="str">
        <f t="shared" si="20"/>
        <v/>
      </c>
      <c r="W229" s="302" t="str">
        <f>IF(E229="","",IF(H229&lt;S229+T229,"Error in Areas ▲",IF(P229&lt;&gt;'G-1 All Habitats'!$X$3,H229-S229-T229,IF(AND(P229='G-1 All Habitats'!$X$3,Y229="No"),AC229,IF(AND(P229='G-1 All Habitats'!$X$3,Y229=""),AC229,IF(AND(P229='G-1 All Habitats'!$X$3,AC229="None"),AC229,IF(AND(P229='G-1 All Habitats'!$X$3,AC229&gt;0),H229-S229-T229)))))))</f>
        <v/>
      </c>
      <c r="X229" s="306" t="str">
        <f>IFERROR(IF(H229="","",IF(H229-S229-T229=0&lt;0,"Error in Areas ▲",IF(S229+T229&gt;H229,"Error in Areas ▲",IF(AND(P229='G-1 All Habitats'!$X$3,Y229="Yes"),"Alternative Compensation ✓",IF(W229=0,0,IF(P229='G-1 All Habitats'!$X$3,"Any Loss Unacceptable ▲",Q229-U229-V229)))))),"Check Data ▲")</f>
        <v/>
      </c>
      <c r="Y229" s="39"/>
      <c r="Z229" s="46"/>
      <c r="AA229" s="419"/>
      <c r="AB229" s="101"/>
      <c r="AC229" s="495" t="str">
        <f>IF(OR(P229="", Y229="Yes"),"", IF(P229='G-1 All Habitats'!$X$3,H229-S229-T229,"None"))</f>
        <v/>
      </c>
      <c r="AD229" s="496" t="str">
        <f>IF(P229="","", IF(P229='G-1 All Habitats'!$X$3, AC229*J229*L229*O229,"None"))</f>
        <v/>
      </c>
      <c r="AE229" s="20" t="str">
        <f t="shared" si="21"/>
        <v/>
      </c>
      <c r="AF229" s="25" t="str">
        <f t="shared" si="22"/>
        <v/>
      </c>
      <c r="AG229" s="25" t="str">
        <f t="shared" si="18"/>
        <v/>
      </c>
      <c r="AH229" s="25" t="str">
        <f>IF(I229="","",IF(#REF!&gt;0,TRUE,FALSE))</f>
        <v/>
      </c>
      <c r="AI229" s="25">
        <v>219</v>
      </c>
      <c r="AJ229" s="25"/>
      <c r="AK229" s="25" t="str">
        <f t="array" ref="AK229">IFERROR(INDEX($AI$11:$AI$259, MATCH(0, IF(TRUE=$AF$11:$AF$259, COUNTIF($AK$10:$AK228, $AI$11:$AI$259), ""), 0)),"")</f>
        <v/>
      </c>
      <c r="AL229" s="25" t="str">
        <f t="array" ref="AL229">IFERROR(INDEX($AI$11:$AI$259, MATCH(0, IF(TRUE=$AG$11:$AG$259, COUNTIF($AL$10:$AL228, $AI$11:$AI$259), ""), 0)),"")</f>
        <v/>
      </c>
      <c r="AM229" s="25" t="str">
        <f t="array" ref="AM229">IFERROR(INDEX($AI$11:$AI$259, MATCH(0, IF(TRUE=$AH$11:$AH$259, COUNTIF($AM$10:$AM228, $AI$11:$AI$259), ""), 0)),"")</f>
        <v/>
      </c>
      <c r="AN229" s="25"/>
      <c r="AQ229" s="20">
        <f t="shared" si="23"/>
        <v>0</v>
      </c>
      <c r="AV229" s="540" t="str">
        <f>IFERROR(INDEX('G-1 All Habitats'!$B$3:$B$135,MATCH(F229,'G-1 All Habitats'!$A$3:$A$135,0)),"")</f>
        <v/>
      </c>
      <c r="AW229" s="20" t="str">
        <f>IF(AV229="","",VLOOKUP(AV229,'G-1 All Habitats'!$B$1:$T$135,19,FALSE))</f>
        <v/>
      </c>
    </row>
    <row r="230" spans="1:49" ht="14.5" thickBot="1" x14ac:dyDescent="0.35">
      <c r="A230" s="20" t="str">
        <f>IFERROR(INDEX('G-1 All Habitats'!$AG$3:$AG$17,MATCH(E230,'G-1 All Habitats'!$AF$3:$AF$17,0)),"")</f>
        <v/>
      </c>
      <c r="B230" s="20" t="str">
        <f>IFERROR(INDEX('G-8 Condition Look up'!$I$4:$I$135,MATCH(AV230,'G-8 Condition Look up'!$A$4:$A$135,0)),"")</f>
        <v/>
      </c>
      <c r="D230" s="238">
        <v>220</v>
      </c>
      <c r="E230" s="223"/>
      <c r="F230" s="45"/>
      <c r="G230" s="272"/>
      <c r="H230" s="37"/>
      <c r="I230" s="290" t="str">
        <f>IF(AV230="","",VLOOKUP(AV230,'G-1 All Habitats'!$B$2:$M$135,10,FALSE))</f>
        <v/>
      </c>
      <c r="J230" s="291" t="str">
        <f>IFERROR(VLOOKUP(I230,'G-1 All Habitats'!$V$3:$W$7,2,FALSE),"")</f>
        <v/>
      </c>
      <c r="K230" s="38"/>
      <c r="L230" s="291" t="str">
        <f>IFERROR(INDEX('G-8 Condition Look up'!$A$3:$H$135,MATCH(AV230,'G-8 Condition Look up'!$A$3:$A$135,0),MATCH(K230,'G-8 Condition Look up'!$A$3:$H$3,0)),"")</f>
        <v/>
      </c>
      <c r="M230" s="38"/>
      <c r="N230" s="310" t="str">
        <f>IF(M230="","",IF(VLOOKUP(M230,'G-3 Multipliers'!$L$3:$N$6,2,FALSE)=0,"Spatial Data Missing",VLOOKUP(M230,'G-3 Multipliers'!$L$3:$N$6,2,FALSE)))</f>
        <v/>
      </c>
      <c r="O230" s="296" t="str">
        <f>IF(M230="","",IF(VLOOKUP(M230,'G-3 Multipliers'!$L$3:$N$6,3,FALSE)=0,"Spatial Data Missing ▲",VLOOKUP(M230,'G-3 Multipliers'!$L$3:$N$6,3,FALSE)))</f>
        <v/>
      </c>
      <c r="P230" s="297" t="str">
        <f>(IF(G230="Yes","Bespoke compensation likely to be required 🛠",(IFERROR(VLOOKUP(AV230,'G-1 All Habitats'!$B$2:$M$135,12,FALSE),""))))</f>
        <v/>
      </c>
      <c r="Q230" s="304" t="str">
        <f>IFERROR(IF(AND(E230="Individual trees",T230&gt;0), "Error - you cannot enhance individual trees ▲", (IF(AND(U230="Irreplaceable habitat - no units generated ⚠",(S230+T230)&lt;H230, OR(Y230="No", Y230="")),"Any Loss Unacceptable ⚠", (IF(U230="Irreplaceable habitat - no units generated ⚠", T230*J230*L230*O230, IF(AND(P230='G-1 All Habitats'!$X$3, AC230&gt;0, S230&lt;=0, T230&lt;=0, OR(Y230="No", Y230="")),"Any Loss Unacceptable ⚠", IF(AND(P230='G-1 All Habitats'!$X$3, AC230&gt;0, S230&lt;=0, T230&lt;=0, Y230="Yes"), 0, (IF(AND(P230='G-1 All Habitats'!$X$3,(S230+T230)&lt;H230, OR(Y230="No", Y230="")),"Any Loss Unacceptable ⚠", (IF(P230="","",IF(AND(P230='G-1 All Habitats'!$X$3,T230&gt;0),U230+V230,IF(AND(P230='G-1 All Habitats'!$X$3,S230&gt;0),U230+V230,H230*J230*L230*O230))))))))))))),"Check Data ▲")</f>
        <v/>
      </c>
      <c r="R230" s="23"/>
      <c r="S230" s="38"/>
      <c r="T230" s="39"/>
      <c r="U230" s="302" t="str">
        <f t="shared" si="19"/>
        <v/>
      </c>
      <c r="V230" s="302" t="str">
        <f t="shared" si="20"/>
        <v/>
      </c>
      <c r="W230" s="302" t="str">
        <f>IF(E230="","",IF(H230&lt;S230+T230,"Error in Areas ▲",IF(P230&lt;&gt;'G-1 All Habitats'!$X$3,H230-S230-T230,IF(AND(P230='G-1 All Habitats'!$X$3,Y230="No"),AC230,IF(AND(P230='G-1 All Habitats'!$X$3,Y230=""),AC230,IF(AND(P230='G-1 All Habitats'!$X$3,AC230="None"),AC230,IF(AND(P230='G-1 All Habitats'!$X$3,AC230&gt;0),H230-S230-T230)))))))</f>
        <v/>
      </c>
      <c r="X230" s="306" t="str">
        <f>IFERROR(IF(H230="","",IF(H230-S230-T230=0&lt;0,"Error in Areas ▲",IF(S230+T230&gt;H230,"Error in Areas ▲",IF(AND(P230='G-1 All Habitats'!$X$3,Y230="Yes"),"Alternative Compensation ✓",IF(W230=0,0,IF(P230='G-1 All Habitats'!$X$3,"Any Loss Unacceptable ▲",Q230-U230-V230)))))),"Check Data ▲")</f>
        <v/>
      </c>
      <c r="Y230" s="39"/>
      <c r="Z230" s="46"/>
      <c r="AA230" s="419"/>
      <c r="AB230" s="101"/>
      <c r="AC230" s="495" t="str">
        <f>IF(OR(P230="", Y230="Yes"),"", IF(P230='G-1 All Habitats'!$X$3,H230-S230-T230,"None"))</f>
        <v/>
      </c>
      <c r="AD230" s="496" t="str">
        <f>IF(P230="","", IF(P230='G-1 All Habitats'!$X$3, AC230*J230*L230*O230,"None"))</f>
        <v/>
      </c>
      <c r="AE230" s="20" t="str">
        <f t="shared" si="21"/>
        <v/>
      </c>
      <c r="AF230" s="25" t="str">
        <f t="shared" si="22"/>
        <v/>
      </c>
      <c r="AG230" s="25" t="str">
        <f t="shared" si="18"/>
        <v/>
      </c>
      <c r="AH230" s="25" t="str">
        <f>IF(I230="","",IF(#REF!&gt;0,TRUE,FALSE))</f>
        <v/>
      </c>
      <c r="AI230" s="25">
        <v>220</v>
      </c>
      <c r="AJ230" s="25"/>
      <c r="AK230" s="25" t="str">
        <f t="array" ref="AK230">IFERROR(INDEX($AI$11:$AI$259, MATCH(0, IF(TRUE=$AF$11:$AF$259, COUNTIF($AK$10:$AK229, $AI$11:$AI$259), ""), 0)),"")</f>
        <v/>
      </c>
      <c r="AL230" s="25" t="str">
        <f t="array" ref="AL230">IFERROR(INDEX($AI$11:$AI$259, MATCH(0, IF(TRUE=$AG$11:$AG$259, COUNTIF($AL$10:$AL229, $AI$11:$AI$259), ""), 0)),"")</f>
        <v/>
      </c>
      <c r="AM230" s="25" t="str">
        <f t="array" ref="AM230">IFERROR(INDEX($AI$11:$AI$259, MATCH(0, IF(TRUE=$AH$11:$AH$259, COUNTIF($AM$10:$AM229, $AI$11:$AI$259), ""), 0)),"")</f>
        <v/>
      </c>
      <c r="AN230" s="25"/>
      <c r="AQ230" s="20">
        <f t="shared" si="23"/>
        <v>0</v>
      </c>
      <c r="AV230" s="540" t="str">
        <f>IFERROR(INDEX('G-1 All Habitats'!$B$3:$B$135,MATCH(F230,'G-1 All Habitats'!$A$3:$A$135,0)),"")</f>
        <v/>
      </c>
      <c r="AW230" s="20" t="str">
        <f>IF(AV230="","",VLOOKUP(AV230,'G-1 All Habitats'!$B$1:$T$135,19,FALSE))</f>
        <v/>
      </c>
    </row>
    <row r="231" spans="1:49" ht="14.5" thickBot="1" x14ac:dyDescent="0.35">
      <c r="A231" s="20" t="str">
        <f>IFERROR(INDEX('G-1 All Habitats'!$AG$3:$AG$17,MATCH(E231,'G-1 All Habitats'!$AF$3:$AF$17,0)),"")</f>
        <v/>
      </c>
      <c r="B231" s="20" t="str">
        <f>IFERROR(INDEX('G-8 Condition Look up'!$I$4:$I$135,MATCH(AV231,'G-8 Condition Look up'!$A$4:$A$135,0)),"")</f>
        <v/>
      </c>
      <c r="D231" s="238">
        <v>221</v>
      </c>
      <c r="E231" s="223"/>
      <c r="F231" s="45"/>
      <c r="G231" s="272"/>
      <c r="H231" s="37"/>
      <c r="I231" s="290" t="str">
        <f>IF(AV231="","",VLOOKUP(AV231,'G-1 All Habitats'!$B$2:$M$135,10,FALSE))</f>
        <v/>
      </c>
      <c r="J231" s="291" t="str">
        <f>IFERROR(VLOOKUP(I231,'G-1 All Habitats'!$V$3:$W$7,2,FALSE),"")</f>
        <v/>
      </c>
      <c r="K231" s="38"/>
      <c r="L231" s="291" t="str">
        <f>IFERROR(INDEX('G-8 Condition Look up'!$A$3:$H$135,MATCH(AV231,'G-8 Condition Look up'!$A$3:$A$135,0),MATCH(K231,'G-8 Condition Look up'!$A$3:$H$3,0)),"")</f>
        <v/>
      </c>
      <c r="M231" s="38"/>
      <c r="N231" s="310" t="str">
        <f>IF(M231="","",IF(VLOOKUP(M231,'G-3 Multipliers'!$L$3:$N$6,2,FALSE)=0,"Spatial Data Missing",VLOOKUP(M231,'G-3 Multipliers'!$L$3:$N$6,2,FALSE)))</f>
        <v/>
      </c>
      <c r="O231" s="296" t="str">
        <f>IF(M231="","",IF(VLOOKUP(M231,'G-3 Multipliers'!$L$3:$N$6,3,FALSE)=0,"Spatial Data Missing ▲",VLOOKUP(M231,'G-3 Multipliers'!$L$3:$N$6,3,FALSE)))</f>
        <v/>
      </c>
      <c r="P231" s="297" t="str">
        <f>(IF(G231="Yes","Bespoke compensation likely to be required 🛠",(IFERROR(VLOOKUP(AV231,'G-1 All Habitats'!$B$2:$M$135,12,FALSE),""))))</f>
        <v/>
      </c>
      <c r="Q231" s="304" t="str">
        <f>IFERROR(IF(AND(E231="Individual trees",T231&gt;0), "Error - you cannot enhance individual trees ▲", (IF(AND(U231="Irreplaceable habitat - no units generated ⚠",(S231+T231)&lt;H231, OR(Y231="No", Y231="")),"Any Loss Unacceptable ⚠", (IF(U231="Irreplaceable habitat - no units generated ⚠", T231*J231*L231*O231, IF(AND(P231='G-1 All Habitats'!$X$3, AC231&gt;0, S231&lt;=0, T231&lt;=0, OR(Y231="No", Y231="")),"Any Loss Unacceptable ⚠", IF(AND(P231='G-1 All Habitats'!$X$3, AC231&gt;0, S231&lt;=0, T231&lt;=0, Y231="Yes"), 0, (IF(AND(P231='G-1 All Habitats'!$X$3,(S231+T231)&lt;H231, OR(Y231="No", Y231="")),"Any Loss Unacceptable ⚠", (IF(P231="","",IF(AND(P231='G-1 All Habitats'!$X$3,T231&gt;0),U231+V231,IF(AND(P231='G-1 All Habitats'!$X$3,S231&gt;0),U231+V231,H231*J231*L231*O231))))))))))))),"Check Data ▲")</f>
        <v/>
      </c>
      <c r="R231" s="23"/>
      <c r="S231" s="38"/>
      <c r="T231" s="39"/>
      <c r="U231" s="302" t="str">
        <f t="shared" si="19"/>
        <v/>
      </c>
      <c r="V231" s="302" t="str">
        <f t="shared" si="20"/>
        <v/>
      </c>
      <c r="W231" s="302" t="str">
        <f>IF(E231="","",IF(H231&lt;S231+T231,"Error in Areas ▲",IF(P231&lt;&gt;'G-1 All Habitats'!$X$3,H231-S231-T231,IF(AND(P231='G-1 All Habitats'!$X$3,Y231="No"),AC231,IF(AND(P231='G-1 All Habitats'!$X$3,Y231=""),AC231,IF(AND(P231='G-1 All Habitats'!$X$3,AC231="None"),AC231,IF(AND(P231='G-1 All Habitats'!$X$3,AC231&gt;0),H231-S231-T231)))))))</f>
        <v/>
      </c>
      <c r="X231" s="306" t="str">
        <f>IFERROR(IF(H231="","",IF(H231-S231-T231=0&lt;0,"Error in Areas ▲",IF(S231+T231&gt;H231,"Error in Areas ▲",IF(AND(P231='G-1 All Habitats'!$X$3,Y231="Yes"),"Alternative Compensation ✓",IF(W231=0,0,IF(P231='G-1 All Habitats'!$X$3,"Any Loss Unacceptable ▲",Q231-U231-V231)))))),"Check Data ▲")</f>
        <v/>
      </c>
      <c r="Y231" s="39"/>
      <c r="Z231" s="46"/>
      <c r="AA231" s="419"/>
      <c r="AB231" s="101"/>
      <c r="AC231" s="495" t="str">
        <f>IF(OR(P231="", Y231="Yes"),"", IF(P231='G-1 All Habitats'!$X$3,H231-S231-T231,"None"))</f>
        <v/>
      </c>
      <c r="AD231" s="496" t="str">
        <f>IF(P231="","", IF(P231='G-1 All Habitats'!$X$3, AC231*J231*L231*O231,"None"))</f>
        <v/>
      </c>
      <c r="AE231" s="20" t="str">
        <f t="shared" si="21"/>
        <v/>
      </c>
      <c r="AF231" s="25" t="str">
        <f t="shared" si="22"/>
        <v/>
      </c>
      <c r="AG231" s="25" t="str">
        <f t="shared" si="18"/>
        <v/>
      </c>
      <c r="AH231" s="25" t="str">
        <f>IF(I231="","",IF(#REF!&gt;0,TRUE,FALSE))</f>
        <v/>
      </c>
      <c r="AI231" s="25">
        <v>221</v>
      </c>
      <c r="AJ231" s="25"/>
      <c r="AK231" s="25" t="str">
        <f t="array" ref="AK231">IFERROR(INDEX($AI$11:$AI$259, MATCH(0, IF(TRUE=$AF$11:$AF$259, COUNTIF($AK$10:$AK230, $AI$11:$AI$259), ""), 0)),"")</f>
        <v/>
      </c>
      <c r="AL231" s="25" t="str">
        <f t="array" ref="AL231">IFERROR(INDEX($AI$11:$AI$259, MATCH(0, IF(TRUE=$AG$11:$AG$259, COUNTIF($AL$10:$AL230, $AI$11:$AI$259), ""), 0)),"")</f>
        <v/>
      </c>
      <c r="AM231" s="25" t="str">
        <f t="array" ref="AM231">IFERROR(INDEX($AI$11:$AI$259, MATCH(0, IF(TRUE=$AH$11:$AH$259, COUNTIF($AM$10:$AM230, $AI$11:$AI$259), ""), 0)),"")</f>
        <v/>
      </c>
      <c r="AN231" s="25"/>
      <c r="AQ231" s="20">
        <f t="shared" si="23"/>
        <v>0</v>
      </c>
      <c r="AV231" s="540" t="str">
        <f>IFERROR(INDEX('G-1 All Habitats'!$B$3:$B$135,MATCH(F231,'G-1 All Habitats'!$A$3:$A$135,0)),"")</f>
        <v/>
      </c>
      <c r="AW231" s="20" t="str">
        <f>IF(AV231="","",VLOOKUP(AV231,'G-1 All Habitats'!$B$1:$T$135,19,FALSE))</f>
        <v/>
      </c>
    </row>
    <row r="232" spans="1:49" ht="14.5" thickBot="1" x14ac:dyDescent="0.35">
      <c r="A232" s="20" t="str">
        <f>IFERROR(INDEX('G-1 All Habitats'!$AG$3:$AG$17,MATCH(E232,'G-1 All Habitats'!$AF$3:$AF$17,0)),"")</f>
        <v/>
      </c>
      <c r="B232" s="20" t="str">
        <f>IFERROR(INDEX('G-8 Condition Look up'!$I$4:$I$135,MATCH(AV232,'G-8 Condition Look up'!$A$4:$A$135,0)),"")</f>
        <v/>
      </c>
      <c r="D232" s="238">
        <v>222</v>
      </c>
      <c r="E232" s="223"/>
      <c r="F232" s="45"/>
      <c r="G232" s="272"/>
      <c r="H232" s="37"/>
      <c r="I232" s="290" t="str">
        <f>IF(AV232="","",VLOOKUP(AV232,'G-1 All Habitats'!$B$2:$M$135,10,FALSE))</f>
        <v/>
      </c>
      <c r="J232" s="291" t="str">
        <f>IFERROR(VLOOKUP(I232,'G-1 All Habitats'!$V$3:$W$7,2,FALSE),"")</f>
        <v/>
      </c>
      <c r="K232" s="38"/>
      <c r="L232" s="291" t="str">
        <f>IFERROR(INDEX('G-8 Condition Look up'!$A$3:$H$135,MATCH(AV232,'G-8 Condition Look up'!$A$3:$A$135,0),MATCH(K232,'G-8 Condition Look up'!$A$3:$H$3,0)),"")</f>
        <v/>
      </c>
      <c r="M232" s="38"/>
      <c r="N232" s="310" t="str">
        <f>IF(M232="","",IF(VLOOKUP(M232,'G-3 Multipliers'!$L$3:$N$6,2,FALSE)=0,"Spatial Data Missing",VLOOKUP(M232,'G-3 Multipliers'!$L$3:$N$6,2,FALSE)))</f>
        <v/>
      </c>
      <c r="O232" s="296" t="str">
        <f>IF(M232="","",IF(VLOOKUP(M232,'G-3 Multipliers'!$L$3:$N$6,3,FALSE)=0,"Spatial Data Missing ▲",VLOOKUP(M232,'G-3 Multipliers'!$L$3:$N$6,3,FALSE)))</f>
        <v/>
      </c>
      <c r="P232" s="297" t="str">
        <f>(IF(G232="Yes","Bespoke compensation likely to be required 🛠",(IFERROR(VLOOKUP(AV232,'G-1 All Habitats'!$B$2:$M$135,12,FALSE),""))))</f>
        <v/>
      </c>
      <c r="Q232" s="304" t="str">
        <f>IFERROR(IF(AND(E232="Individual trees",T232&gt;0), "Error - you cannot enhance individual trees ▲", (IF(AND(U232="Irreplaceable habitat - no units generated ⚠",(S232+T232)&lt;H232, OR(Y232="No", Y232="")),"Any Loss Unacceptable ⚠", (IF(U232="Irreplaceable habitat - no units generated ⚠", T232*J232*L232*O232, IF(AND(P232='G-1 All Habitats'!$X$3, AC232&gt;0, S232&lt;=0, T232&lt;=0, OR(Y232="No", Y232="")),"Any Loss Unacceptable ⚠", IF(AND(P232='G-1 All Habitats'!$X$3, AC232&gt;0, S232&lt;=0, T232&lt;=0, Y232="Yes"), 0, (IF(AND(P232='G-1 All Habitats'!$X$3,(S232+T232)&lt;H232, OR(Y232="No", Y232="")),"Any Loss Unacceptable ⚠", (IF(P232="","",IF(AND(P232='G-1 All Habitats'!$X$3,T232&gt;0),U232+V232,IF(AND(P232='G-1 All Habitats'!$X$3,S232&gt;0),U232+V232,H232*J232*L232*O232))))))))))))),"Check Data ▲")</f>
        <v/>
      </c>
      <c r="R232" s="23"/>
      <c r="S232" s="38"/>
      <c r="T232" s="39"/>
      <c r="U232" s="302" t="str">
        <f t="shared" si="19"/>
        <v/>
      </c>
      <c r="V232" s="302" t="str">
        <f t="shared" si="20"/>
        <v/>
      </c>
      <c r="W232" s="302" t="str">
        <f>IF(E232="","",IF(H232&lt;S232+T232,"Error in Areas ▲",IF(P232&lt;&gt;'G-1 All Habitats'!$X$3,H232-S232-T232,IF(AND(P232='G-1 All Habitats'!$X$3,Y232="No"),AC232,IF(AND(P232='G-1 All Habitats'!$X$3,Y232=""),AC232,IF(AND(P232='G-1 All Habitats'!$X$3,AC232="None"),AC232,IF(AND(P232='G-1 All Habitats'!$X$3,AC232&gt;0),H232-S232-T232)))))))</f>
        <v/>
      </c>
      <c r="X232" s="306" t="str">
        <f>IFERROR(IF(H232="","",IF(H232-S232-T232=0&lt;0,"Error in Areas ▲",IF(S232+T232&gt;H232,"Error in Areas ▲",IF(AND(P232='G-1 All Habitats'!$X$3,Y232="Yes"),"Alternative Compensation ✓",IF(W232=0,0,IF(P232='G-1 All Habitats'!$X$3,"Any Loss Unacceptable ▲",Q232-U232-V232)))))),"Check Data ▲")</f>
        <v/>
      </c>
      <c r="Y232" s="39"/>
      <c r="Z232" s="46"/>
      <c r="AA232" s="419"/>
      <c r="AB232" s="101"/>
      <c r="AC232" s="495" t="str">
        <f>IF(OR(P232="", Y232="Yes"),"", IF(P232='G-1 All Habitats'!$X$3,H232-S232-T232,"None"))</f>
        <v/>
      </c>
      <c r="AD232" s="496" t="str">
        <f>IF(P232="","", IF(P232='G-1 All Habitats'!$X$3, AC232*J232*L232*O232,"None"))</f>
        <v/>
      </c>
      <c r="AE232" s="20" t="str">
        <f t="shared" si="21"/>
        <v/>
      </c>
      <c r="AF232" s="25" t="str">
        <f t="shared" si="22"/>
        <v/>
      </c>
      <c r="AG232" s="25" t="str">
        <f t="shared" si="18"/>
        <v/>
      </c>
      <c r="AH232" s="25" t="str">
        <f>IF(I232="","",IF(#REF!&gt;0,TRUE,FALSE))</f>
        <v/>
      </c>
      <c r="AI232" s="25">
        <v>222</v>
      </c>
      <c r="AJ232" s="25"/>
      <c r="AK232" s="25" t="str">
        <f t="array" ref="AK232">IFERROR(INDEX($AI$11:$AI$259, MATCH(0, IF(TRUE=$AF$11:$AF$259, COUNTIF($AK$10:$AK231, $AI$11:$AI$259), ""), 0)),"")</f>
        <v/>
      </c>
      <c r="AL232" s="25" t="str">
        <f t="array" ref="AL232">IFERROR(INDEX($AI$11:$AI$259, MATCH(0, IF(TRUE=$AG$11:$AG$259, COUNTIF($AL$10:$AL231, $AI$11:$AI$259), ""), 0)),"")</f>
        <v/>
      </c>
      <c r="AM232" s="25" t="str">
        <f t="array" ref="AM232">IFERROR(INDEX($AI$11:$AI$259, MATCH(0, IF(TRUE=$AH$11:$AH$259, COUNTIF($AM$10:$AM231, $AI$11:$AI$259), ""), 0)),"")</f>
        <v/>
      </c>
      <c r="AN232" s="25"/>
      <c r="AQ232" s="20">
        <f t="shared" si="23"/>
        <v>0</v>
      </c>
      <c r="AV232" s="540" t="str">
        <f>IFERROR(INDEX('G-1 All Habitats'!$B$3:$B$135,MATCH(F232,'G-1 All Habitats'!$A$3:$A$135,0)),"")</f>
        <v/>
      </c>
      <c r="AW232" s="20" t="str">
        <f>IF(AV232="","",VLOOKUP(AV232,'G-1 All Habitats'!$B$1:$T$135,19,FALSE))</f>
        <v/>
      </c>
    </row>
    <row r="233" spans="1:49" ht="14.5" thickBot="1" x14ac:dyDescent="0.35">
      <c r="A233" s="20" t="str">
        <f>IFERROR(INDEX('G-1 All Habitats'!$AG$3:$AG$17,MATCH(E233,'G-1 All Habitats'!$AF$3:$AF$17,0)),"")</f>
        <v/>
      </c>
      <c r="B233" s="20" t="str">
        <f>IFERROR(INDEX('G-8 Condition Look up'!$I$4:$I$135,MATCH(AV233,'G-8 Condition Look up'!$A$4:$A$135,0)),"")</f>
        <v/>
      </c>
      <c r="D233" s="238">
        <v>223</v>
      </c>
      <c r="E233" s="223"/>
      <c r="F233" s="45"/>
      <c r="G233" s="272"/>
      <c r="H233" s="37"/>
      <c r="I233" s="290" t="str">
        <f>IF(AV233="","",VLOOKUP(AV233,'G-1 All Habitats'!$B$2:$M$135,10,FALSE))</f>
        <v/>
      </c>
      <c r="J233" s="291" t="str">
        <f>IFERROR(VLOOKUP(I233,'G-1 All Habitats'!$V$3:$W$7,2,FALSE),"")</f>
        <v/>
      </c>
      <c r="K233" s="38"/>
      <c r="L233" s="291" t="str">
        <f>IFERROR(INDEX('G-8 Condition Look up'!$A$3:$H$135,MATCH(AV233,'G-8 Condition Look up'!$A$3:$A$135,0),MATCH(K233,'G-8 Condition Look up'!$A$3:$H$3,0)),"")</f>
        <v/>
      </c>
      <c r="M233" s="38"/>
      <c r="N233" s="310" t="str">
        <f>IF(M233="","",IF(VLOOKUP(M233,'G-3 Multipliers'!$L$3:$N$6,2,FALSE)=0,"Spatial Data Missing",VLOOKUP(M233,'G-3 Multipliers'!$L$3:$N$6,2,FALSE)))</f>
        <v/>
      </c>
      <c r="O233" s="296" t="str">
        <f>IF(M233="","",IF(VLOOKUP(M233,'G-3 Multipliers'!$L$3:$N$6,3,FALSE)=0,"Spatial Data Missing ▲",VLOOKUP(M233,'G-3 Multipliers'!$L$3:$N$6,3,FALSE)))</f>
        <v/>
      </c>
      <c r="P233" s="297" t="str">
        <f>(IF(G233="Yes","Bespoke compensation likely to be required 🛠",(IFERROR(VLOOKUP(AV233,'G-1 All Habitats'!$B$2:$M$135,12,FALSE),""))))</f>
        <v/>
      </c>
      <c r="Q233" s="304" t="str">
        <f>IFERROR(IF(AND(E233="Individual trees",T233&gt;0), "Error - you cannot enhance individual trees ▲", (IF(AND(U233="Irreplaceable habitat - no units generated ⚠",(S233+T233)&lt;H233, OR(Y233="No", Y233="")),"Any Loss Unacceptable ⚠", (IF(U233="Irreplaceable habitat - no units generated ⚠", T233*J233*L233*O233, IF(AND(P233='G-1 All Habitats'!$X$3, AC233&gt;0, S233&lt;=0, T233&lt;=0, OR(Y233="No", Y233="")),"Any Loss Unacceptable ⚠", IF(AND(P233='G-1 All Habitats'!$X$3, AC233&gt;0, S233&lt;=0, T233&lt;=0, Y233="Yes"), 0, (IF(AND(P233='G-1 All Habitats'!$X$3,(S233+T233)&lt;H233, OR(Y233="No", Y233="")),"Any Loss Unacceptable ⚠", (IF(P233="","",IF(AND(P233='G-1 All Habitats'!$X$3,T233&gt;0),U233+V233,IF(AND(P233='G-1 All Habitats'!$X$3,S233&gt;0),U233+V233,H233*J233*L233*O233))))))))))))),"Check Data ▲")</f>
        <v/>
      </c>
      <c r="R233" s="23"/>
      <c r="S233" s="38"/>
      <c r="T233" s="39"/>
      <c r="U233" s="302" t="str">
        <f t="shared" si="19"/>
        <v/>
      </c>
      <c r="V233" s="302" t="str">
        <f t="shared" si="20"/>
        <v/>
      </c>
      <c r="W233" s="302" t="str">
        <f>IF(E233="","",IF(H233&lt;S233+T233,"Error in Areas ▲",IF(P233&lt;&gt;'G-1 All Habitats'!$X$3,H233-S233-T233,IF(AND(P233='G-1 All Habitats'!$X$3,Y233="No"),AC233,IF(AND(P233='G-1 All Habitats'!$X$3,Y233=""),AC233,IF(AND(P233='G-1 All Habitats'!$X$3,AC233="None"),AC233,IF(AND(P233='G-1 All Habitats'!$X$3,AC233&gt;0),H233-S233-T233)))))))</f>
        <v/>
      </c>
      <c r="X233" s="306" t="str">
        <f>IFERROR(IF(H233="","",IF(H233-S233-T233=0&lt;0,"Error in Areas ▲",IF(S233+T233&gt;H233,"Error in Areas ▲",IF(AND(P233='G-1 All Habitats'!$X$3,Y233="Yes"),"Alternative Compensation ✓",IF(W233=0,0,IF(P233='G-1 All Habitats'!$X$3,"Any Loss Unacceptable ▲",Q233-U233-V233)))))),"Check Data ▲")</f>
        <v/>
      </c>
      <c r="Y233" s="39"/>
      <c r="Z233" s="46"/>
      <c r="AA233" s="419"/>
      <c r="AB233" s="101"/>
      <c r="AC233" s="495" t="str">
        <f>IF(OR(P233="", Y233="Yes"),"", IF(P233='G-1 All Habitats'!$X$3,H233-S233-T233,"None"))</f>
        <v/>
      </c>
      <c r="AD233" s="496" t="str">
        <f>IF(P233="","", IF(P233='G-1 All Habitats'!$X$3, AC233*J233*L233*O233,"None"))</f>
        <v/>
      </c>
      <c r="AE233" s="20" t="str">
        <f t="shared" si="21"/>
        <v/>
      </c>
      <c r="AF233" s="25" t="str">
        <f t="shared" si="22"/>
        <v/>
      </c>
      <c r="AG233" s="25" t="str">
        <f t="shared" si="18"/>
        <v/>
      </c>
      <c r="AH233" s="25" t="str">
        <f>IF(I233="","",IF(#REF!&gt;0,TRUE,FALSE))</f>
        <v/>
      </c>
      <c r="AI233" s="25">
        <v>223</v>
      </c>
      <c r="AJ233" s="25"/>
      <c r="AK233" s="25" t="str">
        <f t="array" ref="AK233">IFERROR(INDEX($AI$11:$AI$259, MATCH(0, IF(TRUE=$AF$11:$AF$259, COUNTIF($AK$10:$AK232, $AI$11:$AI$259), ""), 0)),"")</f>
        <v/>
      </c>
      <c r="AL233" s="25" t="str">
        <f t="array" ref="AL233">IFERROR(INDEX($AI$11:$AI$259, MATCH(0, IF(TRUE=$AG$11:$AG$259, COUNTIF($AL$10:$AL232, $AI$11:$AI$259), ""), 0)),"")</f>
        <v/>
      </c>
      <c r="AM233" s="25" t="str">
        <f t="array" ref="AM233">IFERROR(INDEX($AI$11:$AI$259, MATCH(0, IF(TRUE=$AH$11:$AH$259, COUNTIF($AM$10:$AM232, $AI$11:$AI$259), ""), 0)),"")</f>
        <v/>
      </c>
      <c r="AN233" s="25"/>
      <c r="AQ233" s="20">
        <f t="shared" si="23"/>
        <v>0</v>
      </c>
      <c r="AV233" s="540" t="str">
        <f>IFERROR(INDEX('G-1 All Habitats'!$B$3:$B$135,MATCH(F233,'G-1 All Habitats'!$A$3:$A$135,0)),"")</f>
        <v/>
      </c>
      <c r="AW233" s="20" t="str">
        <f>IF(AV233="","",VLOOKUP(AV233,'G-1 All Habitats'!$B$1:$T$135,19,FALSE))</f>
        <v/>
      </c>
    </row>
    <row r="234" spans="1:49" ht="14.5" thickBot="1" x14ac:dyDescent="0.35">
      <c r="A234" s="20" t="str">
        <f>IFERROR(INDEX('G-1 All Habitats'!$AG$3:$AG$17,MATCH(E234,'G-1 All Habitats'!$AF$3:$AF$17,0)),"")</f>
        <v/>
      </c>
      <c r="B234" s="20" t="str">
        <f>IFERROR(INDEX('G-8 Condition Look up'!$I$4:$I$135,MATCH(AV234,'G-8 Condition Look up'!$A$4:$A$135,0)),"")</f>
        <v/>
      </c>
      <c r="D234" s="238">
        <v>224</v>
      </c>
      <c r="E234" s="223"/>
      <c r="F234" s="45"/>
      <c r="G234" s="272"/>
      <c r="H234" s="37"/>
      <c r="I234" s="290" t="str">
        <f>IF(AV234="","",VLOOKUP(AV234,'G-1 All Habitats'!$B$2:$M$135,10,FALSE))</f>
        <v/>
      </c>
      <c r="J234" s="291" t="str">
        <f>IFERROR(VLOOKUP(I234,'G-1 All Habitats'!$V$3:$W$7,2,FALSE),"")</f>
        <v/>
      </c>
      <c r="K234" s="38"/>
      <c r="L234" s="291" t="str">
        <f>IFERROR(INDEX('G-8 Condition Look up'!$A$3:$H$135,MATCH(AV234,'G-8 Condition Look up'!$A$3:$A$135,0),MATCH(K234,'G-8 Condition Look up'!$A$3:$H$3,0)),"")</f>
        <v/>
      </c>
      <c r="M234" s="38"/>
      <c r="N234" s="310" t="str">
        <f>IF(M234="","",IF(VLOOKUP(M234,'G-3 Multipliers'!$L$3:$N$6,2,FALSE)=0,"Spatial Data Missing",VLOOKUP(M234,'G-3 Multipliers'!$L$3:$N$6,2,FALSE)))</f>
        <v/>
      </c>
      <c r="O234" s="296" t="str">
        <f>IF(M234="","",IF(VLOOKUP(M234,'G-3 Multipliers'!$L$3:$N$6,3,FALSE)=0,"Spatial Data Missing ▲",VLOOKUP(M234,'G-3 Multipliers'!$L$3:$N$6,3,FALSE)))</f>
        <v/>
      </c>
      <c r="P234" s="297" t="str">
        <f>(IF(G234="Yes","Bespoke compensation likely to be required 🛠",(IFERROR(VLOOKUP(AV234,'G-1 All Habitats'!$B$2:$M$135,12,FALSE),""))))</f>
        <v/>
      </c>
      <c r="Q234" s="304" t="str">
        <f>IFERROR(IF(AND(E234="Individual trees",T234&gt;0), "Error - you cannot enhance individual trees ▲", (IF(AND(U234="Irreplaceable habitat - no units generated ⚠",(S234+T234)&lt;H234, OR(Y234="No", Y234="")),"Any Loss Unacceptable ⚠", (IF(U234="Irreplaceable habitat - no units generated ⚠", T234*J234*L234*O234, IF(AND(P234='G-1 All Habitats'!$X$3, AC234&gt;0, S234&lt;=0, T234&lt;=0, OR(Y234="No", Y234="")),"Any Loss Unacceptable ⚠", IF(AND(P234='G-1 All Habitats'!$X$3, AC234&gt;0, S234&lt;=0, T234&lt;=0, Y234="Yes"), 0, (IF(AND(P234='G-1 All Habitats'!$X$3,(S234+T234)&lt;H234, OR(Y234="No", Y234="")),"Any Loss Unacceptable ⚠", (IF(P234="","",IF(AND(P234='G-1 All Habitats'!$X$3,T234&gt;0),U234+V234,IF(AND(P234='G-1 All Habitats'!$X$3,S234&gt;0),U234+V234,H234*J234*L234*O234))))))))))))),"Check Data ▲")</f>
        <v/>
      </c>
      <c r="R234" s="23"/>
      <c r="S234" s="38"/>
      <c r="T234" s="39"/>
      <c r="U234" s="302" t="str">
        <f t="shared" si="19"/>
        <v/>
      </c>
      <c r="V234" s="302" t="str">
        <f t="shared" si="20"/>
        <v/>
      </c>
      <c r="W234" s="302" t="str">
        <f>IF(E234="","",IF(H234&lt;S234+T234,"Error in Areas ▲",IF(P234&lt;&gt;'G-1 All Habitats'!$X$3,H234-S234-T234,IF(AND(P234='G-1 All Habitats'!$X$3,Y234="No"),AC234,IF(AND(P234='G-1 All Habitats'!$X$3,Y234=""),AC234,IF(AND(P234='G-1 All Habitats'!$X$3,AC234="None"),AC234,IF(AND(P234='G-1 All Habitats'!$X$3,AC234&gt;0),H234-S234-T234)))))))</f>
        <v/>
      </c>
      <c r="X234" s="306" t="str">
        <f>IFERROR(IF(H234="","",IF(H234-S234-T234=0&lt;0,"Error in Areas ▲",IF(S234+T234&gt;H234,"Error in Areas ▲",IF(AND(P234='G-1 All Habitats'!$X$3,Y234="Yes"),"Alternative Compensation ✓",IF(W234=0,0,IF(P234='G-1 All Habitats'!$X$3,"Any Loss Unacceptable ▲",Q234-U234-V234)))))),"Check Data ▲")</f>
        <v/>
      </c>
      <c r="Y234" s="39"/>
      <c r="Z234" s="46"/>
      <c r="AA234" s="419"/>
      <c r="AB234" s="101"/>
      <c r="AC234" s="495" t="str">
        <f>IF(OR(P234="", Y234="Yes"),"", IF(P234='G-1 All Habitats'!$X$3,H234-S234-T234,"None"))</f>
        <v/>
      </c>
      <c r="AD234" s="496" t="str">
        <f>IF(P234="","", IF(P234='G-1 All Habitats'!$X$3, AC234*J234*L234*O234,"None"))</f>
        <v/>
      </c>
      <c r="AE234" s="20" t="str">
        <f t="shared" si="21"/>
        <v/>
      </c>
      <c r="AF234" s="25" t="str">
        <f t="shared" si="22"/>
        <v/>
      </c>
      <c r="AG234" s="25" t="str">
        <f t="shared" si="18"/>
        <v/>
      </c>
      <c r="AH234" s="25" t="str">
        <f>IF(I234="","",IF(#REF!&gt;0,TRUE,FALSE))</f>
        <v/>
      </c>
      <c r="AI234" s="25">
        <v>224</v>
      </c>
      <c r="AJ234" s="25"/>
      <c r="AK234" s="25" t="str">
        <f t="array" ref="AK234">IFERROR(INDEX($AI$11:$AI$259, MATCH(0, IF(TRUE=$AF$11:$AF$259, COUNTIF($AK$10:$AK233, $AI$11:$AI$259), ""), 0)),"")</f>
        <v/>
      </c>
      <c r="AL234" s="25" t="str">
        <f t="array" ref="AL234">IFERROR(INDEX($AI$11:$AI$259, MATCH(0, IF(TRUE=$AG$11:$AG$259, COUNTIF($AL$10:$AL233, $AI$11:$AI$259), ""), 0)),"")</f>
        <v/>
      </c>
      <c r="AM234" s="25" t="str">
        <f t="array" ref="AM234">IFERROR(INDEX($AI$11:$AI$259, MATCH(0, IF(TRUE=$AH$11:$AH$259, COUNTIF($AM$10:$AM233, $AI$11:$AI$259), ""), 0)),"")</f>
        <v/>
      </c>
      <c r="AN234" s="25"/>
      <c r="AQ234" s="20">
        <f t="shared" si="23"/>
        <v>0</v>
      </c>
      <c r="AV234" s="540" t="str">
        <f>IFERROR(INDEX('G-1 All Habitats'!$B$3:$B$135,MATCH(F234,'G-1 All Habitats'!$A$3:$A$135,0)),"")</f>
        <v/>
      </c>
      <c r="AW234" s="20" t="str">
        <f>IF(AV234="","",VLOOKUP(AV234,'G-1 All Habitats'!$B$1:$T$135,19,FALSE))</f>
        <v/>
      </c>
    </row>
    <row r="235" spans="1:49" ht="14.5" thickBot="1" x14ac:dyDescent="0.35">
      <c r="A235" s="20" t="str">
        <f>IFERROR(INDEX('G-1 All Habitats'!$AG$3:$AG$17,MATCH(E235,'G-1 All Habitats'!$AF$3:$AF$17,0)),"")</f>
        <v/>
      </c>
      <c r="B235" s="20" t="str">
        <f>IFERROR(INDEX('G-8 Condition Look up'!$I$4:$I$135,MATCH(AV235,'G-8 Condition Look up'!$A$4:$A$135,0)),"")</f>
        <v/>
      </c>
      <c r="D235" s="238">
        <v>225</v>
      </c>
      <c r="E235" s="223"/>
      <c r="F235" s="45"/>
      <c r="G235" s="272"/>
      <c r="H235" s="37"/>
      <c r="I235" s="290" t="str">
        <f>IF(AV235="","",VLOOKUP(AV235,'G-1 All Habitats'!$B$2:$M$135,10,FALSE))</f>
        <v/>
      </c>
      <c r="J235" s="291" t="str">
        <f>IFERROR(VLOOKUP(I235,'G-1 All Habitats'!$V$3:$W$7,2,FALSE),"")</f>
        <v/>
      </c>
      <c r="K235" s="38"/>
      <c r="L235" s="291" t="str">
        <f>IFERROR(INDEX('G-8 Condition Look up'!$A$3:$H$135,MATCH(AV235,'G-8 Condition Look up'!$A$3:$A$135,0),MATCH(K235,'G-8 Condition Look up'!$A$3:$H$3,0)),"")</f>
        <v/>
      </c>
      <c r="M235" s="38"/>
      <c r="N235" s="310" t="str">
        <f>IF(M235="","",IF(VLOOKUP(M235,'G-3 Multipliers'!$L$3:$N$6,2,FALSE)=0,"Spatial Data Missing",VLOOKUP(M235,'G-3 Multipliers'!$L$3:$N$6,2,FALSE)))</f>
        <v/>
      </c>
      <c r="O235" s="296" t="str">
        <f>IF(M235="","",IF(VLOOKUP(M235,'G-3 Multipliers'!$L$3:$N$6,3,FALSE)=0,"Spatial Data Missing ▲",VLOOKUP(M235,'G-3 Multipliers'!$L$3:$N$6,3,FALSE)))</f>
        <v/>
      </c>
      <c r="P235" s="297" t="str">
        <f>(IF(G235="Yes","Bespoke compensation likely to be required 🛠",(IFERROR(VLOOKUP(AV235,'G-1 All Habitats'!$B$2:$M$135,12,FALSE),""))))</f>
        <v/>
      </c>
      <c r="Q235" s="304" t="str">
        <f>IFERROR(IF(AND(E235="Individual trees",T235&gt;0), "Error - you cannot enhance individual trees ▲", (IF(AND(U235="Irreplaceable habitat - no units generated ⚠",(S235+T235)&lt;H235, OR(Y235="No", Y235="")),"Any Loss Unacceptable ⚠", (IF(U235="Irreplaceable habitat - no units generated ⚠", T235*J235*L235*O235, IF(AND(P235='G-1 All Habitats'!$X$3, AC235&gt;0, S235&lt;=0, T235&lt;=0, OR(Y235="No", Y235="")),"Any Loss Unacceptable ⚠", IF(AND(P235='G-1 All Habitats'!$X$3, AC235&gt;0, S235&lt;=0, T235&lt;=0, Y235="Yes"), 0, (IF(AND(P235='G-1 All Habitats'!$X$3,(S235+T235)&lt;H235, OR(Y235="No", Y235="")),"Any Loss Unacceptable ⚠", (IF(P235="","",IF(AND(P235='G-1 All Habitats'!$X$3,T235&gt;0),U235+V235,IF(AND(P235='G-1 All Habitats'!$X$3,S235&gt;0),U235+V235,H235*J235*L235*O235))))))))))))),"Check Data ▲")</f>
        <v/>
      </c>
      <c r="R235" s="23"/>
      <c r="S235" s="38"/>
      <c r="T235" s="39"/>
      <c r="U235" s="302" t="str">
        <f t="shared" si="19"/>
        <v/>
      </c>
      <c r="V235" s="302" t="str">
        <f t="shared" si="20"/>
        <v/>
      </c>
      <c r="W235" s="302" t="str">
        <f>IF(E235="","",IF(H235&lt;S235+T235,"Error in Areas ▲",IF(P235&lt;&gt;'G-1 All Habitats'!$X$3,H235-S235-T235,IF(AND(P235='G-1 All Habitats'!$X$3,Y235="No"),AC235,IF(AND(P235='G-1 All Habitats'!$X$3,Y235=""),AC235,IF(AND(P235='G-1 All Habitats'!$X$3,AC235="None"),AC235,IF(AND(P235='G-1 All Habitats'!$X$3,AC235&gt;0),H235-S235-T235)))))))</f>
        <v/>
      </c>
      <c r="X235" s="306" t="str">
        <f>IFERROR(IF(H235="","",IF(H235-S235-T235=0&lt;0,"Error in Areas ▲",IF(S235+T235&gt;H235,"Error in Areas ▲",IF(AND(P235='G-1 All Habitats'!$X$3,Y235="Yes"),"Alternative Compensation ✓",IF(W235=0,0,IF(P235='G-1 All Habitats'!$X$3,"Any Loss Unacceptable ▲",Q235-U235-V235)))))),"Check Data ▲")</f>
        <v/>
      </c>
      <c r="Y235" s="39"/>
      <c r="Z235" s="46"/>
      <c r="AA235" s="419"/>
      <c r="AB235" s="101"/>
      <c r="AC235" s="495" t="str">
        <f>IF(OR(P235="", Y235="Yes"),"", IF(P235='G-1 All Habitats'!$X$3,H235-S235-T235,"None"))</f>
        <v/>
      </c>
      <c r="AD235" s="496" t="str">
        <f>IF(P235="","", IF(P235='G-1 All Habitats'!$X$3, AC235*J235*L235*O235,"None"))</f>
        <v/>
      </c>
      <c r="AE235" s="20" t="str">
        <f t="shared" si="21"/>
        <v/>
      </c>
      <c r="AF235" s="25" t="str">
        <f t="shared" si="22"/>
        <v/>
      </c>
      <c r="AG235" s="25" t="str">
        <f t="shared" si="18"/>
        <v/>
      </c>
      <c r="AH235" s="25" t="str">
        <f>IF(I235="","",IF(#REF!&gt;0,TRUE,FALSE))</f>
        <v/>
      </c>
      <c r="AI235" s="25">
        <v>225</v>
      </c>
      <c r="AJ235" s="25"/>
      <c r="AK235" s="25" t="str">
        <f t="array" ref="AK235">IFERROR(INDEX($AI$11:$AI$259, MATCH(0, IF(TRUE=$AF$11:$AF$259, COUNTIF($AK$10:$AK234, $AI$11:$AI$259), ""), 0)),"")</f>
        <v/>
      </c>
      <c r="AL235" s="25" t="str">
        <f t="array" ref="AL235">IFERROR(INDEX($AI$11:$AI$259, MATCH(0, IF(TRUE=$AG$11:$AG$259, COUNTIF($AL$10:$AL234, $AI$11:$AI$259), ""), 0)),"")</f>
        <v/>
      </c>
      <c r="AM235" s="25" t="str">
        <f t="array" ref="AM235">IFERROR(INDEX($AI$11:$AI$259, MATCH(0, IF(TRUE=$AH$11:$AH$259, COUNTIF($AM$10:$AM234, $AI$11:$AI$259), ""), 0)),"")</f>
        <v/>
      </c>
      <c r="AN235" s="25"/>
      <c r="AQ235" s="20">
        <f t="shared" si="23"/>
        <v>0</v>
      </c>
      <c r="AV235" s="540" t="str">
        <f>IFERROR(INDEX('G-1 All Habitats'!$B$3:$B$135,MATCH(F235,'G-1 All Habitats'!$A$3:$A$135,0)),"")</f>
        <v/>
      </c>
      <c r="AW235" s="20" t="str">
        <f>IF(AV235="","",VLOOKUP(AV235,'G-1 All Habitats'!$B$1:$T$135,19,FALSE))</f>
        <v/>
      </c>
    </row>
    <row r="236" spans="1:49" ht="14.5" thickBot="1" x14ac:dyDescent="0.35">
      <c r="A236" s="20" t="str">
        <f>IFERROR(INDEX('G-1 All Habitats'!$AG$3:$AG$17,MATCH(E236,'G-1 All Habitats'!$AF$3:$AF$17,0)),"")</f>
        <v/>
      </c>
      <c r="B236" s="20" t="str">
        <f>IFERROR(INDEX('G-8 Condition Look up'!$I$4:$I$135,MATCH(AV236,'G-8 Condition Look up'!$A$4:$A$135,0)),"")</f>
        <v/>
      </c>
      <c r="D236" s="238">
        <v>226</v>
      </c>
      <c r="E236" s="223"/>
      <c r="F236" s="45"/>
      <c r="G236" s="272"/>
      <c r="H236" s="37"/>
      <c r="I236" s="290" t="str">
        <f>IF(AV236="","",VLOOKUP(AV236,'G-1 All Habitats'!$B$2:$M$135,10,FALSE))</f>
        <v/>
      </c>
      <c r="J236" s="291" t="str">
        <f>IFERROR(VLOOKUP(I236,'G-1 All Habitats'!$V$3:$W$7,2,FALSE),"")</f>
        <v/>
      </c>
      <c r="K236" s="38"/>
      <c r="L236" s="291" t="str">
        <f>IFERROR(INDEX('G-8 Condition Look up'!$A$3:$H$135,MATCH(AV236,'G-8 Condition Look up'!$A$3:$A$135,0),MATCH(K236,'G-8 Condition Look up'!$A$3:$H$3,0)),"")</f>
        <v/>
      </c>
      <c r="M236" s="38"/>
      <c r="N236" s="310" t="str">
        <f>IF(M236="","",IF(VLOOKUP(M236,'G-3 Multipliers'!$L$3:$N$6,2,FALSE)=0,"Spatial Data Missing",VLOOKUP(M236,'G-3 Multipliers'!$L$3:$N$6,2,FALSE)))</f>
        <v/>
      </c>
      <c r="O236" s="296" t="str">
        <f>IF(M236="","",IF(VLOOKUP(M236,'G-3 Multipliers'!$L$3:$N$6,3,FALSE)=0,"Spatial Data Missing ▲",VLOOKUP(M236,'G-3 Multipliers'!$L$3:$N$6,3,FALSE)))</f>
        <v/>
      </c>
      <c r="P236" s="297" t="str">
        <f>(IF(G236="Yes","Bespoke compensation likely to be required 🛠",(IFERROR(VLOOKUP(AV236,'G-1 All Habitats'!$B$2:$M$135,12,FALSE),""))))</f>
        <v/>
      </c>
      <c r="Q236" s="304" t="str">
        <f>IFERROR(IF(AND(E236="Individual trees",T236&gt;0), "Error - you cannot enhance individual trees ▲", (IF(AND(U236="Irreplaceable habitat - no units generated ⚠",(S236+T236)&lt;H236, OR(Y236="No", Y236="")),"Any Loss Unacceptable ⚠", (IF(U236="Irreplaceable habitat - no units generated ⚠", T236*J236*L236*O236, IF(AND(P236='G-1 All Habitats'!$X$3, AC236&gt;0, S236&lt;=0, T236&lt;=0, OR(Y236="No", Y236="")),"Any Loss Unacceptable ⚠", IF(AND(P236='G-1 All Habitats'!$X$3, AC236&gt;0, S236&lt;=0, T236&lt;=0, Y236="Yes"), 0, (IF(AND(P236='G-1 All Habitats'!$X$3,(S236+T236)&lt;H236, OR(Y236="No", Y236="")),"Any Loss Unacceptable ⚠", (IF(P236="","",IF(AND(P236='G-1 All Habitats'!$X$3,T236&gt;0),U236+V236,IF(AND(P236='G-1 All Habitats'!$X$3,S236&gt;0),U236+V236,H236*J236*L236*O236))))))))))))),"Check Data ▲")</f>
        <v/>
      </c>
      <c r="R236" s="23"/>
      <c r="S236" s="38"/>
      <c r="T236" s="39"/>
      <c r="U236" s="302" t="str">
        <f t="shared" si="19"/>
        <v/>
      </c>
      <c r="V236" s="302" t="str">
        <f t="shared" si="20"/>
        <v/>
      </c>
      <c r="W236" s="302" t="str">
        <f>IF(E236="","",IF(H236&lt;S236+T236,"Error in Areas ▲",IF(P236&lt;&gt;'G-1 All Habitats'!$X$3,H236-S236-T236,IF(AND(P236='G-1 All Habitats'!$X$3,Y236="No"),AC236,IF(AND(P236='G-1 All Habitats'!$X$3,Y236=""),AC236,IF(AND(P236='G-1 All Habitats'!$X$3,AC236="None"),AC236,IF(AND(P236='G-1 All Habitats'!$X$3,AC236&gt;0),H236-S236-T236)))))))</f>
        <v/>
      </c>
      <c r="X236" s="306" t="str">
        <f>IFERROR(IF(H236="","",IF(H236-S236-T236=0&lt;0,"Error in Areas ▲",IF(S236+T236&gt;H236,"Error in Areas ▲",IF(AND(P236='G-1 All Habitats'!$X$3,Y236="Yes"),"Alternative Compensation ✓",IF(W236=0,0,IF(P236='G-1 All Habitats'!$X$3,"Any Loss Unacceptable ▲",Q236-U236-V236)))))),"Check Data ▲")</f>
        <v/>
      </c>
      <c r="Y236" s="39"/>
      <c r="Z236" s="46"/>
      <c r="AA236" s="419"/>
      <c r="AB236" s="101"/>
      <c r="AC236" s="495" t="str">
        <f>IF(OR(P236="", Y236="Yes"),"", IF(P236='G-1 All Habitats'!$X$3,H236-S236-T236,"None"))</f>
        <v/>
      </c>
      <c r="AD236" s="496" t="str">
        <f>IF(P236="","", IF(P236='G-1 All Habitats'!$X$3, AC236*J236*L236*O236,"None"))</f>
        <v/>
      </c>
      <c r="AE236" s="20" t="str">
        <f t="shared" si="21"/>
        <v/>
      </c>
      <c r="AF236" s="25" t="str">
        <f t="shared" si="22"/>
        <v/>
      </c>
      <c r="AG236" s="25" t="str">
        <f t="shared" si="18"/>
        <v/>
      </c>
      <c r="AH236" s="25" t="str">
        <f>IF(I236="","",IF(#REF!&gt;0,TRUE,FALSE))</f>
        <v/>
      </c>
      <c r="AI236" s="25">
        <v>226</v>
      </c>
      <c r="AJ236" s="25"/>
      <c r="AK236" s="25" t="str">
        <f t="array" ref="AK236">IFERROR(INDEX($AI$11:$AI$259, MATCH(0, IF(TRUE=$AF$11:$AF$259, COUNTIF($AK$10:$AK235, $AI$11:$AI$259), ""), 0)),"")</f>
        <v/>
      </c>
      <c r="AL236" s="25" t="str">
        <f t="array" ref="AL236">IFERROR(INDEX($AI$11:$AI$259, MATCH(0, IF(TRUE=$AG$11:$AG$259, COUNTIF($AL$10:$AL235, $AI$11:$AI$259), ""), 0)),"")</f>
        <v/>
      </c>
      <c r="AM236" s="25" t="str">
        <f t="array" ref="AM236">IFERROR(INDEX($AI$11:$AI$259, MATCH(0, IF(TRUE=$AH$11:$AH$259, COUNTIF($AM$10:$AM235, $AI$11:$AI$259), ""), 0)),"")</f>
        <v/>
      </c>
      <c r="AN236" s="25"/>
      <c r="AQ236" s="20">
        <f t="shared" si="23"/>
        <v>0</v>
      </c>
      <c r="AV236" s="540" t="str">
        <f>IFERROR(INDEX('G-1 All Habitats'!$B$3:$B$135,MATCH(F236,'G-1 All Habitats'!$A$3:$A$135,0)),"")</f>
        <v/>
      </c>
      <c r="AW236" s="20" t="str">
        <f>IF(AV236="","",VLOOKUP(AV236,'G-1 All Habitats'!$B$1:$T$135,19,FALSE))</f>
        <v/>
      </c>
    </row>
    <row r="237" spans="1:49" ht="14.5" thickBot="1" x14ac:dyDescent="0.35">
      <c r="A237" s="20" t="str">
        <f>IFERROR(INDEX('G-1 All Habitats'!$AG$3:$AG$17,MATCH(E237,'G-1 All Habitats'!$AF$3:$AF$17,0)),"")</f>
        <v/>
      </c>
      <c r="B237" s="20" t="str">
        <f>IFERROR(INDEX('G-8 Condition Look up'!$I$4:$I$135,MATCH(AV237,'G-8 Condition Look up'!$A$4:$A$135,0)),"")</f>
        <v/>
      </c>
      <c r="D237" s="238">
        <v>227</v>
      </c>
      <c r="E237" s="223"/>
      <c r="F237" s="45"/>
      <c r="G237" s="272"/>
      <c r="H237" s="37"/>
      <c r="I237" s="290" t="str">
        <f>IF(AV237="","",VLOOKUP(AV237,'G-1 All Habitats'!$B$2:$M$135,10,FALSE))</f>
        <v/>
      </c>
      <c r="J237" s="291" t="str">
        <f>IFERROR(VLOOKUP(I237,'G-1 All Habitats'!$V$3:$W$7,2,FALSE),"")</f>
        <v/>
      </c>
      <c r="K237" s="38"/>
      <c r="L237" s="291" t="str">
        <f>IFERROR(INDEX('G-8 Condition Look up'!$A$3:$H$135,MATCH(AV237,'G-8 Condition Look up'!$A$3:$A$135,0),MATCH(K237,'G-8 Condition Look up'!$A$3:$H$3,0)),"")</f>
        <v/>
      </c>
      <c r="M237" s="38"/>
      <c r="N237" s="310" t="str">
        <f>IF(M237="","",IF(VLOOKUP(M237,'G-3 Multipliers'!$L$3:$N$6,2,FALSE)=0,"Spatial Data Missing",VLOOKUP(M237,'G-3 Multipliers'!$L$3:$N$6,2,FALSE)))</f>
        <v/>
      </c>
      <c r="O237" s="296" t="str">
        <f>IF(M237="","",IF(VLOOKUP(M237,'G-3 Multipliers'!$L$3:$N$6,3,FALSE)=0,"Spatial Data Missing ▲",VLOOKUP(M237,'G-3 Multipliers'!$L$3:$N$6,3,FALSE)))</f>
        <v/>
      </c>
      <c r="P237" s="297" t="str">
        <f>(IF(G237="Yes","Bespoke compensation likely to be required 🛠",(IFERROR(VLOOKUP(AV237,'G-1 All Habitats'!$B$2:$M$135,12,FALSE),""))))</f>
        <v/>
      </c>
      <c r="Q237" s="304" t="str">
        <f>IFERROR(IF(AND(E237="Individual trees",T237&gt;0), "Error - you cannot enhance individual trees ▲", (IF(AND(U237="Irreplaceable habitat - no units generated ⚠",(S237+T237)&lt;H237, OR(Y237="No", Y237="")),"Any Loss Unacceptable ⚠", (IF(U237="Irreplaceable habitat - no units generated ⚠", T237*J237*L237*O237, IF(AND(P237='G-1 All Habitats'!$X$3, AC237&gt;0, S237&lt;=0, T237&lt;=0, OR(Y237="No", Y237="")),"Any Loss Unacceptable ⚠", IF(AND(P237='G-1 All Habitats'!$X$3, AC237&gt;0, S237&lt;=0, T237&lt;=0, Y237="Yes"), 0, (IF(AND(P237='G-1 All Habitats'!$X$3,(S237+T237)&lt;H237, OR(Y237="No", Y237="")),"Any Loss Unacceptable ⚠", (IF(P237="","",IF(AND(P237='G-1 All Habitats'!$X$3,T237&gt;0),U237+V237,IF(AND(P237='G-1 All Habitats'!$X$3,S237&gt;0),U237+V237,H237*J237*L237*O237))))))))))))),"Check Data ▲")</f>
        <v/>
      </c>
      <c r="R237" s="23"/>
      <c r="S237" s="38"/>
      <c r="T237" s="39"/>
      <c r="U237" s="302" t="str">
        <f t="shared" si="19"/>
        <v/>
      </c>
      <c r="V237" s="302" t="str">
        <f t="shared" si="20"/>
        <v/>
      </c>
      <c r="W237" s="302" t="str">
        <f>IF(E237="","",IF(H237&lt;S237+T237,"Error in Areas ▲",IF(P237&lt;&gt;'G-1 All Habitats'!$X$3,H237-S237-T237,IF(AND(P237='G-1 All Habitats'!$X$3,Y237="No"),AC237,IF(AND(P237='G-1 All Habitats'!$X$3,Y237=""),AC237,IF(AND(P237='G-1 All Habitats'!$X$3,AC237="None"),AC237,IF(AND(P237='G-1 All Habitats'!$X$3,AC237&gt;0),H237-S237-T237)))))))</f>
        <v/>
      </c>
      <c r="X237" s="306" t="str">
        <f>IFERROR(IF(H237="","",IF(H237-S237-T237=0&lt;0,"Error in Areas ▲",IF(S237+T237&gt;H237,"Error in Areas ▲",IF(AND(P237='G-1 All Habitats'!$X$3,Y237="Yes"),"Alternative Compensation ✓",IF(W237=0,0,IF(P237='G-1 All Habitats'!$X$3,"Any Loss Unacceptable ▲",Q237-U237-V237)))))),"Check Data ▲")</f>
        <v/>
      </c>
      <c r="Y237" s="39"/>
      <c r="Z237" s="46"/>
      <c r="AA237" s="419"/>
      <c r="AB237" s="101"/>
      <c r="AC237" s="495" t="str">
        <f>IF(OR(P237="", Y237="Yes"),"", IF(P237='G-1 All Habitats'!$X$3,H237-S237-T237,"None"))</f>
        <v/>
      </c>
      <c r="AD237" s="496" t="str">
        <f>IF(P237="","", IF(P237='G-1 All Habitats'!$X$3, AC237*J237*L237*O237,"None"))</f>
        <v/>
      </c>
      <c r="AE237" s="20" t="str">
        <f t="shared" si="21"/>
        <v/>
      </c>
      <c r="AF237" s="25" t="str">
        <f t="shared" si="22"/>
        <v/>
      </c>
      <c r="AG237" s="25" t="str">
        <f t="shared" si="18"/>
        <v/>
      </c>
      <c r="AH237" s="25" t="str">
        <f>IF(I237="","",IF(#REF!&gt;0,TRUE,FALSE))</f>
        <v/>
      </c>
      <c r="AI237" s="25">
        <v>227</v>
      </c>
      <c r="AJ237" s="25"/>
      <c r="AK237" s="25" t="str">
        <f t="array" ref="AK237">IFERROR(INDEX($AI$11:$AI$259, MATCH(0, IF(TRUE=$AF$11:$AF$259, COUNTIF($AK$10:$AK236, $AI$11:$AI$259), ""), 0)),"")</f>
        <v/>
      </c>
      <c r="AL237" s="25" t="str">
        <f t="array" ref="AL237">IFERROR(INDEX($AI$11:$AI$259, MATCH(0, IF(TRUE=$AG$11:$AG$259, COUNTIF($AL$10:$AL236, $AI$11:$AI$259), ""), 0)),"")</f>
        <v/>
      </c>
      <c r="AM237" s="25" t="str">
        <f t="array" ref="AM237">IFERROR(INDEX($AI$11:$AI$259, MATCH(0, IF(TRUE=$AH$11:$AH$259, COUNTIF($AM$10:$AM236, $AI$11:$AI$259), ""), 0)),"")</f>
        <v/>
      </c>
      <c r="AN237" s="25"/>
      <c r="AQ237" s="20">
        <f t="shared" si="23"/>
        <v>0</v>
      </c>
      <c r="AV237" s="540" t="str">
        <f>IFERROR(INDEX('G-1 All Habitats'!$B$3:$B$135,MATCH(F237,'G-1 All Habitats'!$A$3:$A$135,0)),"")</f>
        <v/>
      </c>
      <c r="AW237" s="20" t="str">
        <f>IF(AV237="","",VLOOKUP(AV237,'G-1 All Habitats'!$B$1:$T$135,19,FALSE))</f>
        <v/>
      </c>
    </row>
    <row r="238" spans="1:49" ht="14.5" thickBot="1" x14ac:dyDescent="0.35">
      <c r="A238" s="20" t="str">
        <f>IFERROR(INDEX('G-1 All Habitats'!$AG$3:$AG$17,MATCH(E238,'G-1 All Habitats'!$AF$3:$AF$17,0)),"")</f>
        <v/>
      </c>
      <c r="B238" s="20" t="str">
        <f>IFERROR(INDEX('G-8 Condition Look up'!$I$4:$I$135,MATCH(AV238,'G-8 Condition Look up'!$A$4:$A$135,0)),"")</f>
        <v/>
      </c>
      <c r="D238" s="238">
        <v>228</v>
      </c>
      <c r="E238" s="223"/>
      <c r="F238" s="45"/>
      <c r="G238" s="272"/>
      <c r="H238" s="37"/>
      <c r="I238" s="290" t="str">
        <f>IF(AV238="","",VLOOKUP(AV238,'G-1 All Habitats'!$B$2:$M$135,10,FALSE))</f>
        <v/>
      </c>
      <c r="J238" s="291" t="str">
        <f>IFERROR(VLOOKUP(I238,'G-1 All Habitats'!$V$3:$W$7,2,FALSE),"")</f>
        <v/>
      </c>
      <c r="K238" s="38"/>
      <c r="L238" s="291" t="str">
        <f>IFERROR(INDEX('G-8 Condition Look up'!$A$3:$H$135,MATCH(AV238,'G-8 Condition Look up'!$A$3:$A$135,0),MATCH(K238,'G-8 Condition Look up'!$A$3:$H$3,0)),"")</f>
        <v/>
      </c>
      <c r="M238" s="38"/>
      <c r="N238" s="310" t="str">
        <f>IF(M238="","",IF(VLOOKUP(M238,'G-3 Multipliers'!$L$3:$N$6,2,FALSE)=0,"Spatial Data Missing",VLOOKUP(M238,'G-3 Multipliers'!$L$3:$N$6,2,FALSE)))</f>
        <v/>
      </c>
      <c r="O238" s="296" t="str">
        <f>IF(M238="","",IF(VLOOKUP(M238,'G-3 Multipliers'!$L$3:$N$6,3,FALSE)=0,"Spatial Data Missing ▲",VLOOKUP(M238,'G-3 Multipliers'!$L$3:$N$6,3,FALSE)))</f>
        <v/>
      </c>
      <c r="P238" s="297" t="str">
        <f>(IF(G238="Yes","Bespoke compensation likely to be required 🛠",(IFERROR(VLOOKUP(AV238,'G-1 All Habitats'!$B$2:$M$135,12,FALSE),""))))</f>
        <v/>
      </c>
      <c r="Q238" s="304" t="str">
        <f>IFERROR(IF(AND(E238="Individual trees",T238&gt;0), "Error - you cannot enhance individual trees ▲", (IF(AND(U238="Irreplaceable habitat - no units generated ⚠",(S238+T238)&lt;H238, OR(Y238="No", Y238="")),"Any Loss Unacceptable ⚠", (IF(U238="Irreplaceable habitat - no units generated ⚠", T238*J238*L238*O238, IF(AND(P238='G-1 All Habitats'!$X$3, AC238&gt;0, S238&lt;=0, T238&lt;=0, OR(Y238="No", Y238="")),"Any Loss Unacceptable ⚠", IF(AND(P238='G-1 All Habitats'!$X$3, AC238&gt;0, S238&lt;=0, T238&lt;=0, Y238="Yes"), 0, (IF(AND(P238='G-1 All Habitats'!$X$3,(S238+T238)&lt;H238, OR(Y238="No", Y238="")),"Any Loss Unacceptable ⚠", (IF(P238="","",IF(AND(P238='G-1 All Habitats'!$X$3,T238&gt;0),U238+V238,IF(AND(P238='G-1 All Habitats'!$X$3,S238&gt;0),U238+V238,H238*J238*L238*O238))))))))))))),"Check Data ▲")</f>
        <v/>
      </c>
      <c r="R238" s="23"/>
      <c r="S238" s="38"/>
      <c r="T238" s="39"/>
      <c r="U238" s="302" t="str">
        <f t="shared" si="19"/>
        <v/>
      </c>
      <c r="V238" s="302" t="str">
        <f t="shared" si="20"/>
        <v/>
      </c>
      <c r="W238" s="302" t="str">
        <f>IF(E238="","",IF(H238&lt;S238+T238,"Error in Areas ▲",IF(P238&lt;&gt;'G-1 All Habitats'!$X$3,H238-S238-T238,IF(AND(P238='G-1 All Habitats'!$X$3,Y238="No"),AC238,IF(AND(P238='G-1 All Habitats'!$X$3,Y238=""),AC238,IF(AND(P238='G-1 All Habitats'!$X$3,AC238="None"),AC238,IF(AND(P238='G-1 All Habitats'!$X$3,AC238&gt;0),H238-S238-T238)))))))</f>
        <v/>
      </c>
      <c r="X238" s="306" t="str">
        <f>IFERROR(IF(H238="","",IF(H238-S238-T238=0&lt;0,"Error in Areas ▲",IF(S238+T238&gt;H238,"Error in Areas ▲",IF(AND(P238='G-1 All Habitats'!$X$3,Y238="Yes"),"Alternative Compensation ✓",IF(W238=0,0,IF(P238='G-1 All Habitats'!$X$3,"Any Loss Unacceptable ▲",Q238-U238-V238)))))),"Check Data ▲")</f>
        <v/>
      </c>
      <c r="Y238" s="39"/>
      <c r="Z238" s="46"/>
      <c r="AA238" s="419"/>
      <c r="AB238" s="101"/>
      <c r="AC238" s="495" t="str">
        <f>IF(OR(P238="", Y238="Yes"),"", IF(P238='G-1 All Habitats'!$X$3,H238-S238-T238,"None"))</f>
        <v/>
      </c>
      <c r="AD238" s="496" t="str">
        <f>IF(P238="","", IF(P238='G-1 All Habitats'!$X$3, AC238*J238*L238*O238,"None"))</f>
        <v/>
      </c>
      <c r="AE238" s="20" t="str">
        <f t="shared" si="21"/>
        <v/>
      </c>
      <c r="AF238" s="25" t="str">
        <f t="shared" si="22"/>
        <v/>
      </c>
      <c r="AG238" s="25" t="str">
        <f t="shared" si="18"/>
        <v/>
      </c>
      <c r="AH238" s="25" t="str">
        <f>IF(I238="","",IF(#REF!&gt;0,TRUE,FALSE))</f>
        <v/>
      </c>
      <c r="AI238" s="25">
        <v>228</v>
      </c>
      <c r="AJ238" s="25"/>
      <c r="AK238" s="25" t="str">
        <f t="array" ref="AK238">IFERROR(INDEX($AI$11:$AI$259, MATCH(0, IF(TRUE=$AF$11:$AF$259, COUNTIF($AK$10:$AK237, $AI$11:$AI$259), ""), 0)),"")</f>
        <v/>
      </c>
      <c r="AL238" s="25" t="str">
        <f t="array" ref="AL238">IFERROR(INDEX($AI$11:$AI$259, MATCH(0, IF(TRUE=$AG$11:$AG$259, COUNTIF($AL$10:$AL237, $AI$11:$AI$259), ""), 0)),"")</f>
        <v/>
      </c>
      <c r="AM238" s="25" t="str">
        <f t="array" ref="AM238">IFERROR(INDEX($AI$11:$AI$259, MATCH(0, IF(TRUE=$AH$11:$AH$259, COUNTIF($AM$10:$AM237, $AI$11:$AI$259), ""), 0)),"")</f>
        <v/>
      </c>
      <c r="AN238" s="25"/>
      <c r="AQ238" s="20">
        <f t="shared" si="23"/>
        <v>0</v>
      </c>
      <c r="AV238" s="540" t="str">
        <f>IFERROR(INDEX('G-1 All Habitats'!$B$3:$B$135,MATCH(F238,'G-1 All Habitats'!$A$3:$A$135,0)),"")</f>
        <v/>
      </c>
      <c r="AW238" s="20" t="str">
        <f>IF(AV238="","",VLOOKUP(AV238,'G-1 All Habitats'!$B$1:$T$135,19,FALSE))</f>
        <v/>
      </c>
    </row>
    <row r="239" spans="1:49" ht="14.5" thickBot="1" x14ac:dyDescent="0.35">
      <c r="A239" s="20" t="str">
        <f>IFERROR(INDEX('G-1 All Habitats'!$AG$3:$AG$17,MATCH(E239,'G-1 All Habitats'!$AF$3:$AF$17,0)),"")</f>
        <v/>
      </c>
      <c r="B239" s="20" t="str">
        <f>IFERROR(INDEX('G-8 Condition Look up'!$I$4:$I$135,MATCH(AV239,'G-8 Condition Look up'!$A$4:$A$135,0)),"")</f>
        <v/>
      </c>
      <c r="D239" s="238">
        <v>229</v>
      </c>
      <c r="E239" s="223"/>
      <c r="F239" s="45"/>
      <c r="G239" s="272"/>
      <c r="H239" s="37"/>
      <c r="I239" s="290" t="str">
        <f>IF(AV239="","",VLOOKUP(AV239,'G-1 All Habitats'!$B$2:$M$135,10,FALSE))</f>
        <v/>
      </c>
      <c r="J239" s="291" t="str">
        <f>IFERROR(VLOOKUP(I239,'G-1 All Habitats'!$V$3:$W$7,2,FALSE),"")</f>
        <v/>
      </c>
      <c r="K239" s="38"/>
      <c r="L239" s="291" t="str">
        <f>IFERROR(INDEX('G-8 Condition Look up'!$A$3:$H$135,MATCH(AV239,'G-8 Condition Look up'!$A$3:$A$135,0),MATCH(K239,'G-8 Condition Look up'!$A$3:$H$3,0)),"")</f>
        <v/>
      </c>
      <c r="M239" s="38"/>
      <c r="N239" s="310" t="str">
        <f>IF(M239="","",IF(VLOOKUP(M239,'G-3 Multipliers'!$L$3:$N$6,2,FALSE)=0,"Spatial Data Missing",VLOOKUP(M239,'G-3 Multipliers'!$L$3:$N$6,2,FALSE)))</f>
        <v/>
      </c>
      <c r="O239" s="296" t="str">
        <f>IF(M239="","",IF(VLOOKUP(M239,'G-3 Multipliers'!$L$3:$N$6,3,FALSE)=0,"Spatial Data Missing ▲",VLOOKUP(M239,'G-3 Multipliers'!$L$3:$N$6,3,FALSE)))</f>
        <v/>
      </c>
      <c r="P239" s="297" t="str">
        <f>(IF(G239="Yes","Bespoke compensation likely to be required 🛠",(IFERROR(VLOOKUP(AV239,'G-1 All Habitats'!$B$2:$M$135,12,FALSE),""))))</f>
        <v/>
      </c>
      <c r="Q239" s="304" t="str">
        <f>IFERROR(IF(AND(E239="Individual trees",T239&gt;0), "Error - you cannot enhance individual trees ▲", (IF(AND(U239="Irreplaceable habitat - no units generated ⚠",(S239+T239)&lt;H239, OR(Y239="No", Y239="")),"Any Loss Unacceptable ⚠", (IF(U239="Irreplaceable habitat - no units generated ⚠", T239*J239*L239*O239, IF(AND(P239='G-1 All Habitats'!$X$3, AC239&gt;0, S239&lt;=0, T239&lt;=0, OR(Y239="No", Y239="")),"Any Loss Unacceptable ⚠", IF(AND(P239='G-1 All Habitats'!$X$3, AC239&gt;0, S239&lt;=0, T239&lt;=0, Y239="Yes"), 0, (IF(AND(P239='G-1 All Habitats'!$X$3,(S239+T239)&lt;H239, OR(Y239="No", Y239="")),"Any Loss Unacceptable ⚠", (IF(P239="","",IF(AND(P239='G-1 All Habitats'!$X$3,T239&gt;0),U239+V239,IF(AND(P239='G-1 All Habitats'!$X$3,S239&gt;0),U239+V239,H239*J239*L239*O239))))))))))))),"Check Data ▲")</f>
        <v/>
      </c>
      <c r="R239" s="23"/>
      <c r="S239" s="38"/>
      <c r="T239" s="39"/>
      <c r="U239" s="302" t="str">
        <f t="shared" si="19"/>
        <v/>
      </c>
      <c r="V239" s="302" t="str">
        <f t="shared" si="20"/>
        <v/>
      </c>
      <c r="W239" s="302" t="str">
        <f>IF(E239="","",IF(H239&lt;S239+T239,"Error in Areas ▲",IF(P239&lt;&gt;'G-1 All Habitats'!$X$3,H239-S239-T239,IF(AND(P239='G-1 All Habitats'!$X$3,Y239="No"),AC239,IF(AND(P239='G-1 All Habitats'!$X$3,Y239=""),AC239,IF(AND(P239='G-1 All Habitats'!$X$3,AC239="None"),AC239,IF(AND(P239='G-1 All Habitats'!$X$3,AC239&gt;0),H239-S239-T239)))))))</f>
        <v/>
      </c>
      <c r="X239" s="306" t="str">
        <f>IFERROR(IF(H239="","",IF(H239-S239-T239=0&lt;0,"Error in Areas ▲",IF(S239+T239&gt;H239,"Error in Areas ▲",IF(AND(P239='G-1 All Habitats'!$X$3,Y239="Yes"),"Alternative Compensation ✓",IF(W239=0,0,IF(P239='G-1 All Habitats'!$X$3,"Any Loss Unacceptable ▲",Q239-U239-V239)))))),"Check Data ▲")</f>
        <v/>
      </c>
      <c r="Y239" s="39"/>
      <c r="Z239" s="46"/>
      <c r="AA239" s="419"/>
      <c r="AB239" s="101"/>
      <c r="AC239" s="495" t="str">
        <f>IF(OR(P239="", Y239="Yes"),"", IF(P239='G-1 All Habitats'!$X$3,H239-S239-T239,"None"))</f>
        <v/>
      </c>
      <c r="AD239" s="496" t="str">
        <f>IF(P239="","", IF(P239='G-1 All Habitats'!$X$3, AC239*J239*L239*O239,"None"))</f>
        <v/>
      </c>
      <c r="AE239" s="20" t="str">
        <f t="shared" si="21"/>
        <v/>
      </c>
      <c r="AF239" s="25" t="str">
        <f t="shared" si="22"/>
        <v/>
      </c>
      <c r="AG239" s="25" t="str">
        <f t="shared" si="18"/>
        <v/>
      </c>
      <c r="AH239" s="25" t="str">
        <f>IF(I239="","",IF(#REF!&gt;0,TRUE,FALSE))</f>
        <v/>
      </c>
      <c r="AI239" s="25">
        <v>229</v>
      </c>
      <c r="AJ239" s="25"/>
      <c r="AK239" s="25" t="str">
        <f t="array" ref="AK239">IFERROR(INDEX($AI$11:$AI$259, MATCH(0, IF(TRUE=$AF$11:$AF$259, COUNTIF($AK$10:$AK238, $AI$11:$AI$259), ""), 0)),"")</f>
        <v/>
      </c>
      <c r="AL239" s="25" t="str">
        <f t="array" ref="AL239">IFERROR(INDEX($AI$11:$AI$259, MATCH(0, IF(TRUE=$AG$11:$AG$259, COUNTIF($AL$10:$AL238, $AI$11:$AI$259), ""), 0)),"")</f>
        <v/>
      </c>
      <c r="AM239" s="25" t="str">
        <f t="array" ref="AM239">IFERROR(INDEX($AI$11:$AI$259, MATCH(0, IF(TRUE=$AH$11:$AH$259, COUNTIF($AM$10:$AM238, $AI$11:$AI$259), ""), 0)),"")</f>
        <v/>
      </c>
      <c r="AN239" s="25"/>
      <c r="AQ239" s="20">
        <f t="shared" si="23"/>
        <v>0</v>
      </c>
      <c r="AV239" s="540" t="str">
        <f>IFERROR(INDEX('G-1 All Habitats'!$B$3:$B$135,MATCH(F239,'G-1 All Habitats'!$A$3:$A$135,0)),"")</f>
        <v/>
      </c>
      <c r="AW239" s="20" t="str">
        <f>IF(AV239="","",VLOOKUP(AV239,'G-1 All Habitats'!$B$1:$T$135,19,FALSE))</f>
        <v/>
      </c>
    </row>
    <row r="240" spans="1:49" ht="14.5" thickBot="1" x14ac:dyDescent="0.35">
      <c r="A240" s="20" t="str">
        <f>IFERROR(INDEX('G-1 All Habitats'!$AG$3:$AG$17,MATCH(E240,'G-1 All Habitats'!$AF$3:$AF$17,0)),"")</f>
        <v/>
      </c>
      <c r="B240" s="20" t="str">
        <f>IFERROR(INDEX('G-8 Condition Look up'!$I$4:$I$135,MATCH(AV240,'G-8 Condition Look up'!$A$4:$A$135,0)),"")</f>
        <v/>
      </c>
      <c r="D240" s="238">
        <v>230</v>
      </c>
      <c r="E240" s="223"/>
      <c r="F240" s="45"/>
      <c r="G240" s="272"/>
      <c r="H240" s="37"/>
      <c r="I240" s="290" t="str">
        <f>IF(AV240="","",VLOOKUP(AV240,'G-1 All Habitats'!$B$2:$M$135,10,FALSE))</f>
        <v/>
      </c>
      <c r="J240" s="291" t="str">
        <f>IFERROR(VLOOKUP(I240,'G-1 All Habitats'!$V$3:$W$7,2,FALSE),"")</f>
        <v/>
      </c>
      <c r="K240" s="38"/>
      <c r="L240" s="291" t="str">
        <f>IFERROR(INDEX('G-8 Condition Look up'!$A$3:$H$135,MATCH(AV240,'G-8 Condition Look up'!$A$3:$A$135,0),MATCH(K240,'G-8 Condition Look up'!$A$3:$H$3,0)),"")</f>
        <v/>
      </c>
      <c r="M240" s="38"/>
      <c r="N240" s="310" t="str">
        <f>IF(M240="","",IF(VLOOKUP(M240,'G-3 Multipliers'!$L$3:$N$6,2,FALSE)=0,"Spatial Data Missing",VLOOKUP(M240,'G-3 Multipliers'!$L$3:$N$6,2,FALSE)))</f>
        <v/>
      </c>
      <c r="O240" s="296" t="str">
        <f>IF(M240="","",IF(VLOOKUP(M240,'G-3 Multipliers'!$L$3:$N$6,3,FALSE)=0,"Spatial Data Missing ▲",VLOOKUP(M240,'G-3 Multipliers'!$L$3:$N$6,3,FALSE)))</f>
        <v/>
      </c>
      <c r="P240" s="297" t="str">
        <f>(IF(G240="Yes","Bespoke compensation likely to be required 🛠",(IFERROR(VLOOKUP(AV240,'G-1 All Habitats'!$B$2:$M$135,12,FALSE),""))))</f>
        <v/>
      </c>
      <c r="Q240" s="304" t="str">
        <f>IFERROR(IF(AND(E240="Individual trees",T240&gt;0), "Error - you cannot enhance individual trees ▲", (IF(AND(U240="Irreplaceable habitat - no units generated ⚠",(S240+T240)&lt;H240, OR(Y240="No", Y240="")),"Any Loss Unacceptable ⚠", (IF(U240="Irreplaceable habitat - no units generated ⚠", T240*J240*L240*O240, IF(AND(P240='G-1 All Habitats'!$X$3, AC240&gt;0, S240&lt;=0, T240&lt;=0, OR(Y240="No", Y240="")),"Any Loss Unacceptable ⚠", IF(AND(P240='G-1 All Habitats'!$X$3, AC240&gt;0, S240&lt;=0, T240&lt;=0, Y240="Yes"), 0, (IF(AND(P240='G-1 All Habitats'!$X$3,(S240+T240)&lt;H240, OR(Y240="No", Y240="")),"Any Loss Unacceptable ⚠", (IF(P240="","",IF(AND(P240='G-1 All Habitats'!$X$3,T240&gt;0),U240+V240,IF(AND(P240='G-1 All Habitats'!$X$3,S240&gt;0),U240+V240,H240*J240*L240*O240))))))))))))),"Check Data ▲")</f>
        <v/>
      </c>
      <c r="R240" s="23"/>
      <c r="S240" s="38"/>
      <c r="T240" s="39"/>
      <c r="U240" s="302" t="str">
        <f t="shared" si="19"/>
        <v/>
      </c>
      <c r="V240" s="302" t="str">
        <f t="shared" si="20"/>
        <v/>
      </c>
      <c r="W240" s="302" t="str">
        <f>IF(E240="","",IF(H240&lt;S240+T240,"Error in Areas ▲",IF(P240&lt;&gt;'G-1 All Habitats'!$X$3,H240-S240-T240,IF(AND(P240='G-1 All Habitats'!$X$3,Y240="No"),AC240,IF(AND(P240='G-1 All Habitats'!$X$3,Y240=""),AC240,IF(AND(P240='G-1 All Habitats'!$X$3,AC240="None"),AC240,IF(AND(P240='G-1 All Habitats'!$X$3,AC240&gt;0),H240-S240-T240)))))))</f>
        <v/>
      </c>
      <c r="X240" s="306" t="str">
        <f>IFERROR(IF(H240="","",IF(H240-S240-T240=0&lt;0,"Error in Areas ▲",IF(S240+T240&gt;H240,"Error in Areas ▲",IF(AND(P240='G-1 All Habitats'!$X$3,Y240="Yes"),"Alternative Compensation ✓",IF(W240=0,0,IF(P240='G-1 All Habitats'!$X$3,"Any Loss Unacceptable ▲",Q240-U240-V240)))))),"Check Data ▲")</f>
        <v/>
      </c>
      <c r="Y240" s="39"/>
      <c r="Z240" s="46"/>
      <c r="AA240" s="419"/>
      <c r="AB240" s="101"/>
      <c r="AC240" s="495" t="str">
        <f>IF(OR(P240="", Y240="Yes"),"", IF(P240='G-1 All Habitats'!$X$3,H240-S240-T240,"None"))</f>
        <v/>
      </c>
      <c r="AD240" s="496" t="str">
        <f>IF(P240="","", IF(P240='G-1 All Habitats'!$X$3, AC240*J240*L240*O240,"None"))</f>
        <v/>
      </c>
      <c r="AE240" s="20" t="str">
        <f t="shared" si="21"/>
        <v/>
      </c>
      <c r="AF240" s="25" t="str">
        <f t="shared" si="22"/>
        <v/>
      </c>
      <c r="AG240" s="25" t="str">
        <f t="shared" si="18"/>
        <v/>
      </c>
      <c r="AH240" s="25" t="str">
        <f>IF(I240="","",IF(#REF!&gt;0,TRUE,FALSE))</f>
        <v/>
      </c>
      <c r="AI240" s="25">
        <v>230</v>
      </c>
      <c r="AJ240" s="25"/>
      <c r="AK240" s="25" t="str">
        <f t="array" ref="AK240">IFERROR(INDEX($AI$11:$AI$259, MATCH(0, IF(TRUE=$AF$11:$AF$259, COUNTIF($AK$10:$AK239, $AI$11:$AI$259), ""), 0)),"")</f>
        <v/>
      </c>
      <c r="AL240" s="25" t="str">
        <f t="array" ref="AL240">IFERROR(INDEX($AI$11:$AI$259, MATCH(0, IF(TRUE=$AG$11:$AG$259, COUNTIF($AL$10:$AL239, $AI$11:$AI$259), ""), 0)),"")</f>
        <v/>
      </c>
      <c r="AM240" s="25" t="str">
        <f t="array" ref="AM240">IFERROR(INDEX($AI$11:$AI$259, MATCH(0, IF(TRUE=$AH$11:$AH$259, COUNTIF($AM$10:$AM239, $AI$11:$AI$259), ""), 0)),"")</f>
        <v/>
      </c>
      <c r="AN240" s="25"/>
      <c r="AQ240" s="20">
        <f t="shared" si="23"/>
        <v>0</v>
      </c>
      <c r="AV240" s="540" t="str">
        <f>IFERROR(INDEX('G-1 All Habitats'!$B$3:$B$135,MATCH(F240,'G-1 All Habitats'!$A$3:$A$135,0)),"")</f>
        <v/>
      </c>
      <c r="AW240" s="20" t="str">
        <f>IF(AV240="","",VLOOKUP(AV240,'G-1 All Habitats'!$B$1:$T$135,19,FALSE))</f>
        <v/>
      </c>
    </row>
    <row r="241" spans="1:49" ht="14.5" thickBot="1" x14ac:dyDescent="0.35">
      <c r="A241" s="20" t="str">
        <f>IFERROR(INDEX('G-1 All Habitats'!$AG$3:$AG$17,MATCH(E241,'G-1 All Habitats'!$AF$3:$AF$17,0)),"")</f>
        <v/>
      </c>
      <c r="B241" s="20" t="str">
        <f>IFERROR(INDEX('G-8 Condition Look up'!$I$4:$I$135,MATCH(AV241,'G-8 Condition Look up'!$A$4:$A$135,0)),"")</f>
        <v/>
      </c>
      <c r="D241" s="238">
        <v>231</v>
      </c>
      <c r="E241" s="223"/>
      <c r="F241" s="45"/>
      <c r="G241" s="272"/>
      <c r="H241" s="37"/>
      <c r="I241" s="290" t="str">
        <f>IF(AV241="","",VLOOKUP(AV241,'G-1 All Habitats'!$B$2:$M$135,10,FALSE))</f>
        <v/>
      </c>
      <c r="J241" s="291" t="str">
        <f>IFERROR(VLOOKUP(I241,'G-1 All Habitats'!$V$3:$W$7,2,FALSE),"")</f>
        <v/>
      </c>
      <c r="K241" s="38"/>
      <c r="L241" s="291" t="str">
        <f>IFERROR(INDEX('G-8 Condition Look up'!$A$3:$H$135,MATCH(AV241,'G-8 Condition Look up'!$A$3:$A$135,0),MATCH(K241,'G-8 Condition Look up'!$A$3:$H$3,0)),"")</f>
        <v/>
      </c>
      <c r="M241" s="38"/>
      <c r="N241" s="310" t="str">
        <f>IF(M241="","",IF(VLOOKUP(M241,'G-3 Multipliers'!$L$3:$N$6,2,FALSE)=0,"Spatial Data Missing",VLOOKUP(M241,'G-3 Multipliers'!$L$3:$N$6,2,FALSE)))</f>
        <v/>
      </c>
      <c r="O241" s="296" t="str">
        <f>IF(M241="","",IF(VLOOKUP(M241,'G-3 Multipliers'!$L$3:$N$6,3,FALSE)=0,"Spatial Data Missing ▲",VLOOKUP(M241,'G-3 Multipliers'!$L$3:$N$6,3,FALSE)))</f>
        <v/>
      </c>
      <c r="P241" s="297" t="str">
        <f>(IF(G241="Yes","Bespoke compensation likely to be required 🛠",(IFERROR(VLOOKUP(AV241,'G-1 All Habitats'!$B$2:$M$135,12,FALSE),""))))</f>
        <v/>
      </c>
      <c r="Q241" s="304" t="str">
        <f>IFERROR(IF(AND(E241="Individual trees",T241&gt;0), "Error - you cannot enhance individual trees ▲", (IF(AND(U241="Irreplaceable habitat - no units generated ⚠",(S241+T241)&lt;H241, OR(Y241="No", Y241="")),"Any Loss Unacceptable ⚠", (IF(U241="Irreplaceable habitat - no units generated ⚠", T241*J241*L241*O241, IF(AND(P241='G-1 All Habitats'!$X$3, AC241&gt;0, S241&lt;=0, T241&lt;=0, OR(Y241="No", Y241="")),"Any Loss Unacceptable ⚠", IF(AND(P241='G-1 All Habitats'!$X$3, AC241&gt;0, S241&lt;=0, T241&lt;=0, Y241="Yes"), 0, (IF(AND(P241='G-1 All Habitats'!$X$3,(S241+T241)&lt;H241, OR(Y241="No", Y241="")),"Any Loss Unacceptable ⚠", (IF(P241="","",IF(AND(P241='G-1 All Habitats'!$X$3,T241&gt;0),U241+V241,IF(AND(P241='G-1 All Habitats'!$X$3,S241&gt;0),U241+V241,H241*J241*L241*O241))))))))))))),"Check Data ▲")</f>
        <v/>
      </c>
      <c r="R241" s="23"/>
      <c r="S241" s="38"/>
      <c r="T241" s="39"/>
      <c r="U241" s="302" t="str">
        <f t="shared" si="19"/>
        <v/>
      </c>
      <c r="V241" s="302" t="str">
        <f t="shared" si="20"/>
        <v/>
      </c>
      <c r="W241" s="302" t="str">
        <f>IF(E241="","",IF(H241&lt;S241+T241,"Error in Areas ▲",IF(P241&lt;&gt;'G-1 All Habitats'!$X$3,H241-S241-T241,IF(AND(P241='G-1 All Habitats'!$X$3,Y241="No"),AC241,IF(AND(P241='G-1 All Habitats'!$X$3,Y241=""),AC241,IF(AND(P241='G-1 All Habitats'!$X$3,AC241="None"),AC241,IF(AND(P241='G-1 All Habitats'!$X$3,AC241&gt;0),H241-S241-T241)))))))</f>
        <v/>
      </c>
      <c r="X241" s="306" t="str">
        <f>IFERROR(IF(H241="","",IF(H241-S241-T241=0&lt;0,"Error in Areas ▲",IF(S241+T241&gt;H241,"Error in Areas ▲",IF(AND(P241='G-1 All Habitats'!$X$3,Y241="Yes"),"Alternative Compensation ✓",IF(W241=0,0,IF(P241='G-1 All Habitats'!$X$3,"Any Loss Unacceptable ▲",Q241-U241-V241)))))),"Check Data ▲")</f>
        <v/>
      </c>
      <c r="Y241" s="39"/>
      <c r="Z241" s="46"/>
      <c r="AA241" s="419"/>
      <c r="AB241" s="101"/>
      <c r="AC241" s="495" t="str">
        <f>IF(OR(P241="", Y241="Yes"),"", IF(P241='G-1 All Habitats'!$X$3,H241-S241-T241,"None"))</f>
        <v/>
      </c>
      <c r="AD241" s="496" t="str">
        <f>IF(P241="","", IF(P241='G-1 All Habitats'!$X$3, AC241*J241*L241*O241,"None"))</f>
        <v/>
      </c>
      <c r="AE241" s="20" t="str">
        <f t="shared" si="21"/>
        <v/>
      </c>
      <c r="AF241" s="25" t="str">
        <f t="shared" si="22"/>
        <v/>
      </c>
      <c r="AG241" s="25" t="str">
        <f t="shared" si="18"/>
        <v/>
      </c>
      <c r="AH241" s="25" t="str">
        <f>IF(I241="","",IF(#REF!&gt;0,TRUE,FALSE))</f>
        <v/>
      </c>
      <c r="AI241" s="25">
        <v>231</v>
      </c>
      <c r="AJ241" s="25"/>
      <c r="AK241" s="25" t="str">
        <f t="array" ref="AK241">IFERROR(INDEX($AI$11:$AI$259, MATCH(0, IF(TRUE=$AF$11:$AF$259, COUNTIF($AK$10:$AK240, $AI$11:$AI$259), ""), 0)),"")</f>
        <v/>
      </c>
      <c r="AL241" s="25" t="str">
        <f t="array" ref="AL241">IFERROR(INDEX($AI$11:$AI$259, MATCH(0, IF(TRUE=$AG$11:$AG$259, COUNTIF($AL$10:$AL240, $AI$11:$AI$259), ""), 0)),"")</f>
        <v/>
      </c>
      <c r="AM241" s="25" t="str">
        <f t="array" ref="AM241">IFERROR(INDEX($AI$11:$AI$259, MATCH(0, IF(TRUE=$AH$11:$AH$259, COUNTIF($AM$10:$AM240, $AI$11:$AI$259), ""), 0)),"")</f>
        <v/>
      </c>
      <c r="AN241" s="25"/>
      <c r="AQ241" s="20">
        <f t="shared" si="23"/>
        <v>0</v>
      </c>
      <c r="AV241" s="540" t="str">
        <f>IFERROR(INDEX('G-1 All Habitats'!$B$3:$B$135,MATCH(F241,'G-1 All Habitats'!$A$3:$A$135,0)),"")</f>
        <v/>
      </c>
      <c r="AW241" s="20" t="str">
        <f>IF(AV241="","",VLOOKUP(AV241,'G-1 All Habitats'!$B$1:$T$135,19,FALSE))</f>
        <v/>
      </c>
    </row>
    <row r="242" spans="1:49" ht="14.5" thickBot="1" x14ac:dyDescent="0.35">
      <c r="A242" s="20" t="str">
        <f>IFERROR(INDEX('G-1 All Habitats'!$AG$3:$AG$17,MATCH(E242,'G-1 All Habitats'!$AF$3:$AF$17,0)),"")</f>
        <v/>
      </c>
      <c r="B242" s="20" t="str">
        <f>IFERROR(INDEX('G-8 Condition Look up'!$I$4:$I$135,MATCH(AV242,'G-8 Condition Look up'!$A$4:$A$135,0)),"")</f>
        <v/>
      </c>
      <c r="D242" s="238">
        <v>232</v>
      </c>
      <c r="E242" s="223"/>
      <c r="F242" s="45"/>
      <c r="G242" s="272"/>
      <c r="H242" s="37"/>
      <c r="I242" s="290" t="str">
        <f>IF(AV242="","",VLOOKUP(AV242,'G-1 All Habitats'!$B$2:$M$135,10,FALSE))</f>
        <v/>
      </c>
      <c r="J242" s="291" t="str">
        <f>IFERROR(VLOOKUP(I242,'G-1 All Habitats'!$V$3:$W$7,2,FALSE),"")</f>
        <v/>
      </c>
      <c r="K242" s="38"/>
      <c r="L242" s="291" t="str">
        <f>IFERROR(INDEX('G-8 Condition Look up'!$A$3:$H$135,MATCH(AV242,'G-8 Condition Look up'!$A$3:$A$135,0),MATCH(K242,'G-8 Condition Look up'!$A$3:$H$3,0)),"")</f>
        <v/>
      </c>
      <c r="M242" s="38"/>
      <c r="N242" s="310" t="str">
        <f>IF(M242="","",IF(VLOOKUP(M242,'G-3 Multipliers'!$L$3:$N$6,2,FALSE)=0,"Spatial Data Missing",VLOOKUP(M242,'G-3 Multipliers'!$L$3:$N$6,2,FALSE)))</f>
        <v/>
      </c>
      <c r="O242" s="296" t="str">
        <f>IF(M242="","",IF(VLOOKUP(M242,'G-3 Multipliers'!$L$3:$N$6,3,FALSE)=0,"Spatial Data Missing ▲",VLOOKUP(M242,'G-3 Multipliers'!$L$3:$N$6,3,FALSE)))</f>
        <v/>
      </c>
      <c r="P242" s="297" t="str">
        <f>(IF(G242="Yes","Bespoke compensation likely to be required 🛠",(IFERROR(VLOOKUP(AV242,'G-1 All Habitats'!$B$2:$M$135,12,FALSE),""))))</f>
        <v/>
      </c>
      <c r="Q242" s="304" t="str">
        <f>IFERROR(IF(AND(E242="Individual trees",T242&gt;0), "Error - you cannot enhance individual trees ▲", (IF(AND(U242="Irreplaceable habitat - no units generated ⚠",(S242+T242)&lt;H242, OR(Y242="No", Y242="")),"Any Loss Unacceptable ⚠", (IF(U242="Irreplaceable habitat - no units generated ⚠", T242*J242*L242*O242, IF(AND(P242='G-1 All Habitats'!$X$3, AC242&gt;0, S242&lt;=0, T242&lt;=0, OR(Y242="No", Y242="")),"Any Loss Unacceptable ⚠", IF(AND(P242='G-1 All Habitats'!$X$3, AC242&gt;0, S242&lt;=0, T242&lt;=0, Y242="Yes"), 0, (IF(AND(P242='G-1 All Habitats'!$X$3,(S242+T242)&lt;H242, OR(Y242="No", Y242="")),"Any Loss Unacceptable ⚠", (IF(P242="","",IF(AND(P242='G-1 All Habitats'!$X$3,T242&gt;0),U242+V242,IF(AND(P242='G-1 All Habitats'!$X$3,S242&gt;0),U242+V242,H242*J242*L242*O242))))))))))))),"Check Data ▲")</f>
        <v/>
      </c>
      <c r="R242" s="23"/>
      <c r="S242" s="38"/>
      <c r="T242" s="39"/>
      <c r="U242" s="302" t="str">
        <f t="shared" si="19"/>
        <v/>
      </c>
      <c r="V242" s="302" t="str">
        <f t="shared" si="20"/>
        <v/>
      </c>
      <c r="W242" s="302" t="str">
        <f>IF(E242="","",IF(H242&lt;S242+T242,"Error in Areas ▲",IF(P242&lt;&gt;'G-1 All Habitats'!$X$3,H242-S242-T242,IF(AND(P242='G-1 All Habitats'!$X$3,Y242="No"),AC242,IF(AND(P242='G-1 All Habitats'!$X$3,Y242=""),AC242,IF(AND(P242='G-1 All Habitats'!$X$3,AC242="None"),AC242,IF(AND(P242='G-1 All Habitats'!$X$3,AC242&gt;0),H242-S242-T242)))))))</f>
        <v/>
      </c>
      <c r="X242" s="306" t="str">
        <f>IFERROR(IF(H242="","",IF(H242-S242-T242=0&lt;0,"Error in Areas ▲",IF(S242+T242&gt;H242,"Error in Areas ▲",IF(AND(P242='G-1 All Habitats'!$X$3,Y242="Yes"),"Alternative Compensation ✓",IF(W242=0,0,IF(P242='G-1 All Habitats'!$X$3,"Any Loss Unacceptable ▲",Q242-U242-V242)))))),"Check Data ▲")</f>
        <v/>
      </c>
      <c r="Y242" s="39"/>
      <c r="Z242" s="46"/>
      <c r="AA242" s="419"/>
      <c r="AB242" s="101"/>
      <c r="AC242" s="495" t="str">
        <f>IF(OR(P242="", Y242="Yes"),"", IF(P242='G-1 All Habitats'!$X$3,H242-S242-T242,"None"))</f>
        <v/>
      </c>
      <c r="AD242" s="496" t="str">
        <f>IF(P242="","", IF(P242='G-1 All Habitats'!$X$3, AC242*J242*L242*O242,"None"))</f>
        <v/>
      </c>
      <c r="AE242" s="20" t="str">
        <f t="shared" si="21"/>
        <v/>
      </c>
      <c r="AF242" s="25" t="str">
        <f t="shared" si="22"/>
        <v/>
      </c>
      <c r="AG242" s="25" t="str">
        <f t="shared" si="18"/>
        <v/>
      </c>
      <c r="AH242" s="25" t="str">
        <f>IF(I242="","",IF(#REF!&gt;0,TRUE,FALSE))</f>
        <v/>
      </c>
      <c r="AI242" s="25">
        <v>232</v>
      </c>
      <c r="AJ242" s="25"/>
      <c r="AK242" s="25" t="str">
        <f t="array" ref="AK242">IFERROR(INDEX($AI$11:$AI$259, MATCH(0, IF(TRUE=$AF$11:$AF$259, COUNTIF($AK$10:$AK241, $AI$11:$AI$259), ""), 0)),"")</f>
        <v/>
      </c>
      <c r="AL242" s="25" t="str">
        <f t="array" ref="AL242">IFERROR(INDEX($AI$11:$AI$259, MATCH(0, IF(TRUE=$AG$11:$AG$259, COUNTIF($AL$10:$AL241, $AI$11:$AI$259), ""), 0)),"")</f>
        <v/>
      </c>
      <c r="AM242" s="25" t="str">
        <f t="array" ref="AM242">IFERROR(INDEX($AI$11:$AI$259, MATCH(0, IF(TRUE=$AH$11:$AH$259, COUNTIF($AM$10:$AM241, $AI$11:$AI$259), ""), 0)),"")</f>
        <v/>
      </c>
      <c r="AN242" s="25"/>
      <c r="AQ242" s="20">
        <f t="shared" si="23"/>
        <v>0</v>
      </c>
      <c r="AV242" s="540" t="str">
        <f>IFERROR(INDEX('G-1 All Habitats'!$B$3:$B$135,MATCH(F242,'G-1 All Habitats'!$A$3:$A$135,0)),"")</f>
        <v/>
      </c>
      <c r="AW242" s="20" t="str">
        <f>IF(AV242="","",VLOOKUP(AV242,'G-1 All Habitats'!$B$1:$T$135,19,FALSE))</f>
        <v/>
      </c>
    </row>
    <row r="243" spans="1:49" ht="14.5" thickBot="1" x14ac:dyDescent="0.35">
      <c r="A243" s="20" t="str">
        <f>IFERROR(INDEX('G-1 All Habitats'!$AG$3:$AG$17,MATCH(E243,'G-1 All Habitats'!$AF$3:$AF$17,0)),"")</f>
        <v/>
      </c>
      <c r="B243" s="20" t="str">
        <f>IFERROR(INDEX('G-8 Condition Look up'!$I$4:$I$135,MATCH(AV243,'G-8 Condition Look up'!$A$4:$A$135,0)),"")</f>
        <v/>
      </c>
      <c r="D243" s="238">
        <v>233</v>
      </c>
      <c r="E243" s="223"/>
      <c r="F243" s="45"/>
      <c r="G243" s="272"/>
      <c r="H243" s="37"/>
      <c r="I243" s="290" t="str">
        <f>IF(AV243="","",VLOOKUP(AV243,'G-1 All Habitats'!$B$2:$M$135,10,FALSE))</f>
        <v/>
      </c>
      <c r="J243" s="291" t="str">
        <f>IFERROR(VLOOKUP(I243,'G-1 All Habitats'!$V$3:$W$7,2,FALSE),"")</f>
        <v/>
      </c>
      <c r="K243" s="38"/>
      <c r="L243" s="291" t="str">
        <f>IFERROR(INDEX('G-8 Condition Look up'!$A$3:$H$135,MATCH(AV243,'G-8 Condition Look up'!$A$3:$A$135,0),MATCH(K243,'G-8 Condition Look up'!$A$3:$H$3,0)),"")</f>
        <v/>
      </c>
      <c r="M243" s="38"/>
      <c r="N243" s="310" t="str">
        <f>IF(M243="","",IF(VLOOKUP(M243,'G-3 Multipliers'!$L$3:$N$6,2,FALSE)=0,"Spatial Data Missing",VLOOKUP(M243,'G-3 Multipliers'!$L$3:$N$6,2,FALSE)))</f>
        <v/>
      </c>
      <c r="O243" s="296" t="str">
        <f>IF(M243="","",IF(VLOOKUP(M243,'G-3 Multipliers'!$L$3:$N$6,3,FALSE)=0,"Spatial Data Missing ▲",VLOOKUP(M243,'G-3 Multipliers'!$L$3:$N$6,3,FALSE)))</f>
        <v/>
      </c>
      <c r="P243" s="297" t="str">
        <f>(IF(G243="Yes","Bespoke compensation likely to be required 🛠",(IFERROR(VLOOKUP(AV243,'G-1 All Habitats'!$B$2:$M$135,12,FALSE),""))))</f>
        <v/>
      </c>
      <c r="Q243" s="304" t="str">
        <f>IFERROR(IF(AND(E243="Individual trees",T243&gt;0), "Error - you cannot enhance individual trees ▲", (IF(AND(U243="Irreplaceable habitat - no units generated ⚠",(S243+T243)&lt;H243, OR(Y243="No", Y243="")),"Any Loss Unacceptable ⚠", (IF(U243="Irreplaceable habitat - no units generated ⚠", T243*J243*L243*O243, IF(AND(P243='G-1 All Habitats'!$X$3, AC243&gt;0, S243&lt;=0, T243&lt;=0, OR(Y243="No", Y243="")),"Any Loss Unacceptable ⚠", IF(AND(P243='G-1 All Habitats'!$X$3, AC243&gt;0, S243&lt;=0, T243&lt;=0, Y243="Yes"), 0, (IF(AND(P243='G-1 All Habitats'!$X$3,(S243+T243)&lt;H243, OR(Y243="No", Y243="")),"Any Loss Unacceptable ⚠", (IF(P243="","",IF(AND(P243='G-1 All Habitats'!$X$3,T243&gt;0),U243+V243,IF(AND(P243='G-1 All Habitats'!$X$3,S243&gt;0),U243+V243,H243*J243*L243*O243))))))))))))),"Check Data ▲")</f>
        <v/>
      </c>
      <c r="R243" s="23"/>
      <c r="S243" s="38"/>
      <c r="T243" s="39"/>
      <c r="U243" s="302" t="str">
        <f t="shared" si="19"/>
        <v/>
      </c>
      <c r="V243" s="302" t="str">
        <f t="shared" si="20"/>
        <v/>
      </c>
      <c r="W243" s="302" t="str">
        <f>IF(E243="","",IF(H243&lt;S243+T243,"Error in Areas ▲",IF(P243&lt;&gt;'G-1 All Habitats'!$X$3,H243-S243-T243,IF(AND(P243='G-1 All Habitats'!$X$3,Y243="No"),AC243,IF(AND(P243='G-1 All Habitats'!$X$3,Y243=""),AC243,IF(AND(P243='G-1 All Habitats'!$X$3,AC243="None"),AC243,IF(AND(P243='G-1 All Habitats'!$X$3,AC243&gt;0),H243-S243-T243)))))))</f>
        <v/>
      </c>
      <c r="X243" s="306" t="str">
        <f>IFERROR(IF(H243="","",IF(H243-S243-T243=0&lt;0,"Error in Areas ▲",IF(S243+T243&gt;H243,"Error in Areas ▲",IF(AND(P243='G-1 All Habitats'!$X$3,Y243="Yes"),"Alternative Compensation ✓",IF(W243=0,0,IF(P243='G-1 All Habitats'!$X$3,"Any Loss Unacceptable ▲",Q243-U243-V243)))))),"Check Data ▲")</f>
        <v/>
      </c>
      <c r="Y243" s="39"/>
      <c r="Z243" s="46"/>
      <c r="AA243" s="419"/>
      <c r="AB243" s="101"/>
      <c r="AC243" s="495" t="str">
        <f>IF(OR(P243="", Y243="Yes"),"", IF(P243='G-1 All Habitats'!$X$3,H243-S243-T243,"None"))</f>
        <v/>
      </c>
      <c r="AD243" s="496" t="str">
        <f>IF(P243="","", IF(P243='G-1 All Habitats'!$X$3, AC243*J243*L243*O243,"None"))</f>
        <v/>
      </c>
      <c r="AE243" s="20" t="str">
        <f t="shared" si="21"/>
        <v/>
      </c>
      <c r="AF243" s="25" t="str">
        <f t="shared" si="22"/>
        <v/>
      </c>
      <c r="AG243" s="25" t="str">
        <f t="shared" si="18"/>
        <v/>
      </c>
      <c r="AH243" s="25" t="str">
        <f>IF(I243="","",IF(#REF!&gt;0,TRUE,FALSE))</f>
        <v/>
      </c>
      <c r="AI243" s="25">
        <v>233</v>
      </c>
      <c r="AJ243" s="25"/>
      <c r="AK243" s="25" t="str">
        <f t="array" ref="AK243">IFERROR(INDEX($AI$11:$AI$259, MATCH(0, IF(TRUE=$AF$11:$AF$259, COUNTIF($AK$10:$AK242, $AI$11:$AI$259), ""), 0)),"")</f>
        <v/>
      </c>
      <c r="AL243" s="25" t="str">
        <f t="array" ref="AL243">IFERROR(INDEX($AI$11:$AI$259, MATCH(0, IF(TRUE=$AG$11:$AG$259, COUNTIF($AL$10:$AL242, $AI$11:$AI$259), ""), 0)),"")</f>
        <v/>
      </c>
      <c r="AM243" s="25" t="str">
        <f t="array" ref="AM243">IFERROR(INDEX($AI$11:$AI$259, MATCH(0, IF(TRUE=$AH$11:$AH$259, COUNTIF($AM$10:$AM242, $AI$11:$AI$259), ""), 0)),"")</f>
        <v/>
      </c>
      <c r="AN243" s="25"/>
      <c r="AQ243" s="20">
        <f t="shared" si="23"/>
        <v>0</v>
      </c>
      <c r="AV243" s="540" t="str">
        <f>IFERROR(INDEX('G-1 All Habitats'!$B$3:$B$135,MATCH(F243,'G-1 All Habitats'!$A$3:$A$135,0)),"")</f>
        <v/>
      </c>
      <c r="AW243" s="20" t="str">
        <f>IF(AV243="","",VLOOKUP(AV243,'G-1 All Habitats'!$B$1:$T$135,19,FALSE))</f>
        <v/>
      </c>
    </row>
    <row r="244" spans="1:49" ht="14.5" thickBot="1" x14ac:dyDescent="0.35">
      <c r="A244" s="20" t="str">
        <f>IFERROR(INDEX('G-1 All Habitats'!$AG$3:$AG$17,MATCH(E244,'G-1 All Habitats'!$AF$3:$AF$17,0)),"")</f>
        <v/>
      </c>
      <c r="B244" s="20" t="str">
        <f>IFERROR(INDEX('G-8 Condition Look up'!$I$4:$I$135,MATCH(AV244,'G-8 Condition Look up'!$A$4:$A$135,0)),"")</f>
        <v/>
      </c>
      <c r="D244" s="238">
        <v>234</v>
      </c>
      <c r="E244" s="223"/>
      <c r="F244" s="45"/>
      <c r="G244" s="272"/>
      <c r="H244" s="37"/>
      <c r="I244" s="290" t="str">
        <f>IF(AV244="","",VLOOKUP(AV244,'G-1 All Habitats'!$B$2:$M$135,10,FALSE))</f>
        <v/>
      </c>
      <c r="J244" s="291" t="str">
        <f>IFERROR(VLOOKUP(I244,'G-1 All Habitats'!$V$3:$W$7,2,FALSE),"")</f>
        <v/>
      </c>
      <c r="K244" s="38"/>
      <c r="L244" s="291" t="str">
        <f>IFERROR(INDEX('G-8 Condition Look up'!$A$3:$H$135,MATCH(AV244,'G-8 Condition Look up'!$A$3:$A$135,0),MATCH(K244,'G-8 Condition Look up'!$A$3:$H$3,0)),"")</f>
        <v/>
      </c>
      <c r="M244" s="38"/>
      <c r="N244" s="310" t="str">
        <f>IF(M244="","",IF(VLOOKUP(M244,'G-3 Multipliers'!$L$3:$N$6,2,FALSE)=0,"Spatial Data Missing",VLOOKUP(M244,'G-3 Multipliers'!$L$3:$N$6,2,FALSE)))</f>
        <v/>
      </c>
      <c r="O244" s="296" t="str">
        <f>IF(M244="","",IF(VLOOKUP(M244,'G-3 Multipliers'!$L$3:$N$6,3,FALSE)=0,"Spatial Data Missing ▲",VLOOKUP(M244,'G-3 Multipliers'!$L$3:$N$6,3,FALSE)))</f>
        <v/>
      </c>
      <c r="P244" s="297" t="str">
        <f>(IF(G244="Yes","Bespoke compensation likely to be required 🛠",(IFERROR(VLOOKUP(AV244,'G-1 All Habitats'!$B$2:$M$135,12,FALSE),""))))</f>
        <v/>
      </c>
      <c r="Q244" s="304" t="str">
        <f>IFERROR(IF(AND(E244="Individual trees",T244&gt;0), "Error - you cannot enhance individual trees ▲", (IF(AND(U244="Irreplaceable habitat - no units generated ⚠",(S244+T244)&lt;H244, OR(Y244="No", Y244="")),"Any Loss Unacceptable ⚠", (IF(U244="Irreplaceable habitat - no units generated ⚠", T244*J244*L244*O244, IF(AND(P244='G-1 All Habitats'!$X$3, AC244&gt;0, S244&lt;=0, T244&lt;=0, OR(Y244="No", Y244="")),"Any Loss Unacceptable ⚠", IF(AND(P244='G-1 All Habitats'!$X$3, AC244&gt;0, S244&lt;=0, T244&lt;=0, Y244="Yes"), 0, (IF(AND(P244='G-1 All Habitats'!$X$3,(S244+T244)&lt;H244, OR(Y244="No", Y244="")),"Any Loss Unacceptable ⚠", (IF(P244="","",IF(AND(P244='G-1 All Habitats'!$X$3,T244&gt;0),U244+V244,IF(AND(P244='G-1 All Habitats'!$X$3,S244&gt;0),U244+V244,H244*J244*L244*O244))))))))))))),"Check Data ▲")</f>
        <v/>
      </c>
      <c r="R244" s="23"/>
      <c r="S244" s="38"/>
      <c r="T244" s="39"/>
      <c r="U244" s="302" t="str">
        <f t="shared" si="19"/>
        <v/>
      </c>
      <c r="V244" s="302" t="str">
        <f t="shared" si="20"/>
        <v/>
      </c>
      <c r="W244" s="302" t="str">
        <f>IF(E244="","",IF(H244&lt;S244+T244,"Error in Areas ▲",IF(P244&lt;&gt;'G-1 All Habitats'!$X$3,H244-S244-T244,IF(AND(P244='G-1 All Habitats'!$X$3,Y244="No"),AC244,IF(AND(P244='G-1 All Habitats'!$X$3,Y244=""),AC244,IF(AND(P244='G-1 All Habitats'!$X$3,AC244="None"),AC244,IF(AND(P244='G-1 All Habitats'!$X$3,AC244&gt;0),H244-S244-T244)))))))</f>
        <v/>
      </c>
      <c r="X244" s="306" t="str">
        <f>IFERROR(IF(H244="","",IF(H244-S244-T244=0&lt;0,"Error in Areas ▲",IF(S244+T244&gt;H244,"Error in Areas ▲",IF(AND(P244='G-1 All Habitats'!$X$3,Y244="Yes"),"Alternative Compensation ✓",IF(W244=0,0,IF(P244='G-1 All Habitats'!$X$3,"Any Loss Unacceptable ▲",Q244-U244-V244)))))),"Check Data ▲")</f>
        <v/>
      </c>
      <c r="Y244" s="39"/>
      <c r="Z244" s="46"/>
      <c r="AA244" s="419"/>
      <c r="AB244" s="101"/>
      <c r="AC244" s="495" t="str">
        <f>IF(OR(P244="", Y244="Yes"),"", IF(P244='G-1 All Habitats'!$X$3,H244-S244-T244,"None"))</f>
        <v/>
      </c>
      <c r="AD244" s="496" t="str">
        <f>IF(P244="","", IF(P244='G-1 All Habitats'!$X$3, AC244*J244*L244*O244,"None"))</f>
        <v/>
      </c>
      <c r="AE244" s="20" t="str">
        <f t="shared" si="21"/>
        <v/>
      </c>
      <c r="AF244" s="25" t="str">
        <f t="shared" si="22"/>
        <v/>
      </c>
      <c r="AG244" s="25" t="str">
        <f t="shared" si="18"/>
        <v/>
      </c>
      <c r="AH244" s="25" t="str">
        <f>IF(I244="","",IF(#REF!&gt;0,TRUE,FALSE))</f>
        <v/>
      </c>
      <c r="AI244" s="25">
        <v>234</v>
      </c>
      <c r="AJ244" s="25"/>
      <c r="AK244" s="25" t="str">
        <f t="array" ref="AK244">IFERROR(INDEX($AI$11:$AI$259, MATCH(0, IF(TRUE=$AF$11:$AF$259, COUNTIF($AK$10:$AK243, $AI$11:$AI$259), ""), 0)),"")</f>
        <v/>
      </c>
      <c r="AL244" s="25" t="str">
        <f t="array" ref="AL244">IFERROR(INDEX($AI$11:$AI$259, MATCH(0, IF(TRUE=$AG$11:$AG$259, COUNTIF($AL$10:$AL243, $AI$11:$AI$259), ""), 0)),"")</f>
        <v/>
      </c>
      <c r="AM244" s="25" t="str">
        <f t="array" ref="AM244">IFERROR(INDEX($AI$11:$AI$259, MATCH(0, IF(TRUE=$AH$11:$AH$259, COUNTIF($AM$10:$AM243, $AI$11:$AI$259), ""), 0)),"")</f>
        <v/>
      </c>
      <c r="AN244" s="25"/>
      <c r="AQ244" s="20">
        <f t="shared" si="23"/>
        <v>0</v>
      </c>
      <c r="AV244" s="540" t="str">
        <f>IFERROR(INDEX('G-1 All Habitats'!$B$3:$B$135,MATCH(F244,'G-1 All Habitats'!$A$3:$A$135,0)),"")</f>
        <v/>
      </c>
      <c r="AW244" s="20" t="str">
        <f>IF(AV244="","",VLOOKUP(AV244,'G-1 All Habitats'!$B$1:$T$135,19,FALSE))</f>
        <v/>
      </c>
    </row>
    <row r="245" spans="1:49" ht="14.5" thickBot="1" x14ac:dyDescent="0.35">
      <c r="A245" s="20" t="str">
        <f>IFERROR(INDEX('G-1 All Habitats'!$AG$3:$AG$17,MATCH(E245,'G-1 All Habitats'!$AF$3:$AF$17,0)),"")</f>
        <v/>
      </c>
      <c r="B245" s="20" t="str">
        <f>IFERROR(INDEX('G-8 Condition Look up'!$I$4:$I$135,MATCH(AV245,'G-8 Condition Look up'!$A$4:$A$135,0)),"")</f>
        <v/>
      </c>
      <c r="D245" s="238">
        <v>235</v>
      </c>
      <c r="E245" s="223"/>
      <c r="F245" s="45"/>
      <c r="G245" s="272"/>
      <c r="H245" s="37"/>
      <c r="I245" s="290" t="str">
        <f>IF(AV245="","",VLOOKUP(AV245,'G-1 All Habitats'!$B$2:$M$135,10,FALSE))</f>
        <v/>
      </c>
      <c r="J245" s="291" t="str">
        <f>IFERROR(VLOOKUP(I245,'G-1 All Habitats'!$V$3:$W$7,2,FALSE),"")</f>
        <v/>
      </c>
      <c r="K245" s="38"/>
      <c r="L245" s="291" t="str">
        <f>IFERROR(INDEX('G-8 Condition Look up'!$A$3:$H$135,MATCH(AV245,'G-8 Condition Look up'!$A$3:$A$135,0),MATCH(K245,'G-8 Condition Look up'!$A$3:$H$3,0)),"")</f>
        <v/>
      </c>
      <c r="M245" s="38"/>
      <c r="N245" s="310" t="str">
        <f>IF(M245="","",IF(VLOOKUP(M245,'G-3 Multipliers'!$L$3:$N$6,2,FALSE)=0,"Spatial Data Missing",VLOOKUP(M245,'G-3 Multipliers'!$L$3:$N$6,2,FALSE)))</f>
        <v/>
      </c>
      <c r="O245" s="296" t="str">
        <f>IF(M245="","",IF(VLOOKUP(M245,'G-3 Multipliers'!$L$3:$N$6,3,FALSE)=0,"Spatial Data Missing ▲",VLOOKUP(M245,'G-3 Multipliers'!$L$3:$N$6,3,FALSE)))</f>
        <v/>
      </c>
      <c r="P245" s="297" t="str">
        <f>(IF(G245="Yes","Bespoke compensation likely to be required 🛠",(IFERROR(VLOOKUP(AV245,'G-1 All Habitats'!$B$2:$M$135,12,FALSE),""))))</f>
        <v/>
      </c>
      <c r="Q245" s="304" t="str">
        <f>IFERROR(IF(AND(E245="Individual trees",T245&gt;0), "Error - you cannot enhance individual trees ▲", (IF(AND(U245="Irreplaceable habitat - no units generated ⚠",(S245+T245)&lt;H245, OR(Y245="No", Y245="")),"Any Loss Unacceptable ⚠", (IF(U245="Irreplaceable habitat - no units generated ⚠", T245*J245*L245*O245, IF(AND(P245='G-1 All Habitats'!$X$3, AC245&gt;0, S245&lt;=0, T245&lt;=0, OR(Y245="No", Y245="")),"Any Loss Unacceptable ⚠", IF(AND(P245='G-1 All Habitats'!$X$3, AC245&gt;0, S245&lt;=0, T245&lt;=0, Y245="Yes"), 0, (IF(AND(P245='G-1 All Habitats'!$X$3,(S245+T245)&lt;H245, OR(Y245="No", Y245="")),"Any Loss Unacceptable ⚠", (IF(P245="","",IF(AND(P245='G-1 All Habitats'!$X$3,T245&gt;0),U245+V245,IF(AND(P245='G-1 All Habitats'!$X$3,S245&gt;0),U245+V245,H245*J245*L245*O245))))))))))))),"Check Data ▲")</f>
        <v/>
      </c>
      <c r="R245" s="23"/>
      <c r="S245" s="38"/>
      <c r="T245" s="39"/>
      <c r="U245" s="302" t="str">
        <f t="shared" si="19"/>
        <v/>
      </c>
      <c r="V245" s="302" t="str">
        <f t="shared" si="20"/>
        <v/>
      </c>
      <c r="W245" s="302" t="str">
        <f>IF(E245="","",IF(H245&lt;S245+T245,"Error in Areas ▲",IF(P245&lt;&gt;'G-1 All Habitats'!$X$3,H245-S245-T245,IF(AND(P245='G-1 All Habitats'!$X$3,Y245="No"),AC245,IF(AND(P245='G-1 All Habitats'!$X$3,Y245=""),AC245,IF(AND(P245='G-1 All Habitats'!$X$3,AC245="None"),AC245,IF(AND(P245='G-1 All Habitats'!$X$3,AC245&gt;0),H245-S245-T245)))))))</f>
        <v/>
      </c>
      <c r="X245" s="306" t="str">
        <f>IFERROR(IF(H245="","",IF(H245-S245-T245=0&lt;0,"Error in Areas ▲",IF(S245+T245&gt;H245,"Error in Areas ▲",IF(AND(P245='G-1 All Habitats'!$X$3,Y245="Yes"),"Alternative Compensation ✓",IF(W245=0,0,IF(P245='G-1 All Habitats'!$X$3,"Any Loss Unacceptable ▲",Q245-U245-V245)))))),"Check Data ▲")</f>
        <v/>
      </c>
      <c r="Y245" s="39"/>
      <c r="Z245" s="46"/>
      <c r="AA245" s="419"/>
      <c r="AB245" s="101"/>
      <c r="AC245" s="495" t="str">
        <f>IF(OR(P245="", Y245="Yes"),"", IF(P245='G-1 All Habitats'!$X$3,H245-S245-T245,"None"))</f>
        <v/>
      </c>
      <c r="AD245" s="496" t="str">
        <f>IF(P245="","", IF(P245='G-1 All Habitats'!$X$3, AC245*J245*L245*O245,"None"))</f>
        <v/>
      </c>
      <c r="AE245" s="20" t="str">
        <f t="shared" si="21"/>
        <v/>
      </c>
      <c r="AF245" s="25" t="str">
        <f t="shared" si="22"/>
        <v/>
      </c>
      <c r="AG245" s="25" t="str">
        <f t="shared" si="18"/>
        <v/>
      </c>
      <c r="AH245" s="25" t="str">
        <f>IF(I245="","",IF(#REF!&gt;0,TRUE,FALSE))</f>
        <v/>
      </c>
      <c r="AI245" s="25">
        <v>235</v>
      </c>
      <c r="AJ245" s="25"/>
      <c r="AK245" s="25" t="str">
        <f t="array" ref="AK245">IFERROR(INDEX($AI$11:$AI$259, MATCH(0, IF(TRUE=$AF$11:$AF$259, COUNTIF($AK$10:$AK244, $AI$11:$AI$259), ""), 0)),"")</f>
        <v/>
      </c>
      <c r="AL245" s="25" t="str">
        <f t="array" ref="AL245">IFERROR(INDEX($AI$11:$AI$259, MATCH(0, IF(TRUE=$AG$11:$AG$259, COUNTIF($AL$10:$AL244, $AI$11:$AI$259), ""), 0)),"")</f>
        <v/>
      </c>
      <c r="AM245" s="25" t="str">
        <f t="array" ref="AM245">IFERROR(INDEX($AI$11:$AI$259, MATCH(0, IF(TRUE=$AH$11:$AH$259, COUNTIF($AM$10:$AM244, $AI$11:$AI$259), ""), 0)),"")</f>
        <v/>
      </c>
      <c r="AN245" s="25"/>
      <c r="AQ245" s="20">
        <f t="shared" si="23"/>
        <v>0</v>
      </c>
      <c r="AV245" s="540" t="str">
        <f>IFERROR(INDEX('G-1 All Habitats'!$B$3:$B$135,MATCH(F245,'G-1 All Habitats'!$A$3:$A$135,0)),"")</f>
        <v/>
      </c>
      <c r="AW245" s="20" t="str">
        <f>IF(AV245="","",VLOOKUP(AV245,'G-1 All Habitats'!$B$1:$T$135,19,FALSE))</f>
        <v/>
      </c>
    </row>
    <row r="246" spans="1:49" ht="14.5" thickBot="1" x14ac:dyDescent="0.35">
      <c r="A246" s="20" t="str">
        <f>IFERROR(INDEX('G-1 All Habitats'!$AG$3:$AG$17,MATCH(E246,'G-1 All Habitats'!$AF$3:$AF$17,0)),"")</f>
        <v/>
      </c>
      <c r="B246" s="20" t="str">
        <f>IFERROR(INDEX('G-8 Condition Look up'!$I$4:$I$135,MATCH(AV246,'G-8 Condition Look up'!$A$4:$A$135,0)),"")</f>
        <v/>
      </c>
      <c r="D246" s="238">
        <v>236</v>
      </c>
      <c r="E246" s="223"/>
      <c r="F246" s="45"/>
      <c r="G246" s="272"/>
      <c r="H246" s="37"/>
      <c r="I246" s="290" t="str">
        <f>IF(AV246="","",VLOOKUP(AV246,'G-1 All Habitats'!$B$2:$M$135,10,FALSE))</f>
        <v/>
      </c>
      <c r="J246" s="291" t="str">
        <f>IFERROR(VLOOKUP(I246,'G-1 All Habitats'!$V$3:$W$7,2,FALSE),"")</f>
        <v/>
      </c>
      <c r="K246" s="38"/>
      <c r="L246" s="291" t="str">
        <f>IFERROR(INDEX('G-8 Condition Look up'!$A$3:$H$135,MATCH(AV246,'G-8 Condition Look up'!$A$3:$A$135,0),MATCH(K246,'G-8 Condition Look up'!$A$3:$H$3,0)),"")</f>
        <v/>
      </c>
      <c r="M246" s="38"/>
      <c r="N246" s="310" t="str">
        <f>IF(M246="","",IF(VLOOKUP(M246,'G-3 Multipliers'!$L$3:$N$6,2,FALSE)=0,"Spatial Data Missing",VLOOKUP(M246,'G-3 Multipliers'!$L$3:$N$6,2,FALSE)))</f>
        <v/>
      </c>
      <c r="O246" s="296" t="str">
        <f>IF(M246="","",IF(VLOOKUP(M246,'G-3 Multipliers'!$L$3:$N$6,3,FALSE)=0,"Spatial Data Missing ▲",VLOOKUP(M246,'G-3 Multipliers'!$L$3:$N$6,3,FALSE)))</f>
        <v/>
      </c>
      <c r="P246" s="297" t="str">
        <f>(IF(G246="Yes","Bespoke compensation likely to be required 🛠",(IFERROR(VLOOKUP(AV246,'G-1 All Habitats'!$B$2:$M$135,12,FALSE),""))))</f>
        <v/>
      </c>
      <c r="Q246" s="304" t="str">
        <f>IFERROR(IF(AND(E246="Individual trees",T246&gt;0), "Error - you cannot enhance individual trees ▲", (IF(AND(U246="Irreplaceable habitat - no units generated ⚠",(S246+T246)&lt;H246, OR(Y246="No", Y246="")),"Any Loss Unacceptable ⚠", (IF(U246="Irreplaceable habitat - no units generated ⚠", T246*J246*L246*O246, IF(AND(P246='G-1 All Habitats'!$X$3, AC246&gt;0, S246&lt;=0, T246&lt;=0, OR(Y246="No", Y246="")),"Any Loss Unacceptable ⚠", IF(AND(P246='G-1 All Habitats'!$X$3, AC246&gt;0, S246&lt;=0, T246&lt;=0, Y246="Yes"), 0, (IF(AND(P246='G-1 All Habitats'!$X$3,(S246+T246)&lt;H246, OR(Y246="No", Y246="")),"Any Loss Unacceptable ⚠", (IF(P246="","",IF(AND(P246='G-1 All Habitats'!$X$3,T246&gt;0),U246+V246,IF(AND(P246='G-1 All Habitats'!$X$3,S246&gt;0),U246+V246,H246*J246*L246*O246))))))))))))),"Check Data ▲")</f>
        <v/>
      </c>
      <c r="R246" s="23"/>
      <c r="S246" s="38"/>
      <c r="T246" s="39"/>
      <c r="U246" s="302" t="str">
        <f t="shared" si="19"/>
        <v/>
      </c>
      <c r="V246" s="302" t="str">
        <f t="shared" si="20"/>
        <v/>
      </c>
      <c r="W246" s="302" t="str">
        <f>IF(E246="","",IF(H246&lt;S246+T246,"Error in Areas ▲",IF(P246&lt;&gt;'G-1 All Habitats'!$X$3,H246-S246-T246,IF(AND(P246='G-1 All Habitats'!$X$3,Y246="No"),AC246,IF(AND(P246='G-1 All Habitats'!$X$3,Y246=""),AC246,IF(AND(P246='G-1 All Habitats'!$X$3,AC246="None"),AC246,IF(AND(P246='G-1 All Habitats'!$X$3,AC246&gt;0),H246-S246-T246)))))))</f>
        <v/>
      </c>
      <c r="X246" s="306" t="str">
        <f>IFERROR(IF(H246="","",IF(H246-S246-T246=0&lt;0,"Error in Areas ▲",IF(S246+T246&gt;H246,"Error in Areas ▲",IF(AND(P246='G-1 All Habitats'!$X$3,Y246="Yes"),"Alternative Compensation ✓",IF(W246=0,0,IF(P246='G-1 All Habitats'!$X$3,"Any Loss Unacceptable ▲",Q246-U246-V246)))))),"Check Data ▲")</f>
        <v/>
      </c>
      <c r="Y246" s="39"/>
      <c r="Z246" s="46"/>
      <c r="AA246" s="419"/>
      <c r="AB246" s="101"/>
      <c r="AC246" s="495" t="str">
        <f>IF(OR(P246="", Y246="Yes"),"", IF(P246='G-1 All Habitats'!$X$3,H246-S246-T246,"None"))</f>
        <v/>
      </c>
      <c r="AD246" s="496" t="str">
        <f>IF(P246="","", IF(P246='G-1 All Habitats'!$X$3, AC246*J246*L246*O246,"None"))</f>
        <v/>
      </c>
      <c r="AE246" s="20" t="str">
        <f t="shared" si="21"/>
        <v/>
      </c>
      <c r="AF246" s="25" t="str">
        <f t="shared" si="22"/>
        <v/>
      </c>
      <c r="AG246" s="25" t="str">
        <f t="shared" si="18"/>
        <v/>
      </c>
      <c r="AH246" s="25" t="str">
        <f>IF(I246="","",IF(#REF!&gt;0,TRUE,FALSE))</f>
        <v/>
      </c>
      <c r="AI246" s="25">
        <v>236</v>
      </c>
      <c r="AJ246" s="25"/>
      <c r="AK246" s="25" t="str">
        <f t="array" ref="AK246">IFERROR(INDEX($AI$11:$AI$259, MATCH(0, IF(TRUE=$AF$11:$AF$259, COUNTIF($AK$10:$AK245, $AI$11:$AI$259), ""), 0)),"")</f>
        <v/>
      </c>
      <c r="AL246" s="25" t="str">
        <f t="array" ref="AL246">IFERROR(INDEX($AI$11:$AI$259, MATCH(0, IF(TRUE=$AG$11:$AG$259, COUNTIF($AL$10:$AL245, $AI$11:$AI$259), ""), 0)),"")</f>
        <v/>
      </c>
      <c r="AM246" s="25" t="str">
        <f t="array" ref="AM246">IFERROR(INDEX($AI$11:$AI$259, MATCH(0, IF(TRUE=$AH$11:$AH$259, COUNTIF($AM$10:$AM245, $AI$11:$AI$259), ""), 0)),"")</f>
        <v/>
      </c>
      <c r="AN246" s="25"/>
      <c r="AQ246" s="20">
        <f t="shared" si="23"/>
        <v>0</v>
      </c>
      <c r="AV246" s="540" t="str">
        <f>IFERROR(INDEX('G-1 All Habitats'!$B$3:$B$135,MATCH(F246,'G-1 All Habitats'!$A$3:$A$135,0)),"")</f>
        <v/>
      </c>
      <c r="AW246" s="20" t="str">
        <f>IF(AV246="","",VLOOKUP(AV246,'G-1 All Habitats'!$B$1:$T$135,19,FALSE))</f>
        <v/>
      </c>
    </row>
    <row r="247" spans="1:49" ht="14.5" thickBot="1" x14ac:dyDescent="0.35">
      <c r="A247" s="20" t="str">
        <f>IFERROR(INDEX('G-1 All Habitats'!$AG$3:$AG$17,MATCH(E247,'G-1 All Habitats'!$AF$3:$AF$17,0)),"")</f>
        <v/>
      </c>
      <c r="B247" s="20" t="str">
        <f>IFERROR(INDEX('G-8 Condition Look up'!$I$4:$I$135,MATCH(AV247,'G-8 Condition Look up'!$A$4:$A$135,0)),"")</f>
        <v/>
      </c>
      <c r="D247" s="238">
        <v>237</v>
      </c>
      <c r="E247" s="223"/>
      <c r="F247" s="45"/>
      <c r="G247" s="272"/>
      <c r="H247" s="37"/>
      <c r="I247" s="290" t="str">
        <f>IF(AV247="","",VLOOKUP(AV247,'G-1 All Habitats'!$B$2:$M$135,10,FALSE))</f>
        <v/>
      </c>
      <c r="J247" s="291" t="str">
        <f>IFERROR(VLOOKUP(I247,'G-1 All Habitats'!$V$3:$W$7,2,FALSE),"")</f>
        <v/>
      </c>
      <c r="K247" s="38"/>
      <c r="L247" s="291" t="str">
        <f>IFERROR(INDEX('G-8 Condition Look up'!$A$3:$H$135,MATCH(AV247,'G-8 Condition Look up'!$A$3:$A$135,0),MATCH(K247,'G-8 Condition Look up'!$A$3:$H$3,0)),"")</f>
        <v/>
      </c>
      <c r="M247" s="38"/>
      <c r="N247" s="310" t="str">
        <f>IF(M247="","",IF(VLOOKUP(M247,'G-3 Multipliers'!$L$3:$N$6,2,FALSE)=0,"Spatial Data Missing",VLOOKUP(M247,'G-3 Multipliers'!$L$3:$N$6,2,FALSE)))</f>
        <v/>
      </c>
      <c r="O247" s="296" t="str">
        <f>IF(M247="","",IF(VLOOKUP(M247,'G-3 Multipliers'!$L$3:$N$6,3,FALSE)=0,"Spatial Data Missing ▲",VLOOKUP(M247,'G-3 Multipliers'!$L$3:$N$6,3,FALSE)))</f>
        <v/>
      </c>
      <c r="P247" s="297" t="str">
        <f>(IF(G247="Yes","Bespoke compensation likely to be required 🛠",(IFERROR(VLOOKUP(AV247,'G-1 All Habitats'!$B$2:$M$135,12,FALSE),""))))</f>
        <v/>
      </c>
      <c r="Q247" s="304" t="str">
        <f>IFERROR(IF(AND(E247="Individual trees",T247&gt;0), "Error - you cannot enhance individual trees ▲", (IF(AND(U247="Irreplaceable habitat - no units generated ⚠",(S247+T247)&lt;H247, OR(Y247="No", Y247="")),"Any Loss Unacceptable ⚠", (IF(U247="Irreplaceable habitat - no units generated ⚠", T247*J247*L247*O247, IF(AND(P247='G-1 All Habitats'!$X$3, AC247&gt;0, S247&lt;=0, T247&lt;=0, OR(Y247="No", Y247="")),"Any Loss Unacceptable ⚠", IF(AND(P247='G-1 All Habitats'!$X$3, AC247&gt;0, S247&lt;=0, T247&lt;=0, Y247="Yes"), 0, (IF(AND(P247='G-1 All Habitats'!$X$3,(S247+T247)&lt;H247, OR(Y247="No", Y247="")),"Any Loss Unacceptable ⚠", (IF(P247="","",IF(AND(P247='G-1 All Habitats'!$X$3,T247&gt;0),U247+V247,IF(AND(P247='G-1 All Habitats'!$X$3,S247&gt;0),U247+V247,H247*J247*L247*O247))))))))))))),"Check Data ▲")</f>
        <v/>
      </c>
      <c r="R247" s="23"/>
      <c r="S247" s="38"/>
      <c r="T247" s="39"/>
      <c r="U247" s="302" t="str">
        <f t="shared" si="19"/>
        <v/>
      </c>
      <c r="V247" s="302" t="str">
        <f t="shared" si="20"/>
        <v/>
      </c>
      <c r="W247" s="302" t="str">
        <f>IF(E247="","",IF(H247&lt;S247+T247,"Error in Areas ▲",IF(P247&lt;&gt;'G-1 All Habitats'!$X$3,H247-S247-T247,IF(AND(P247='G-1 All Habitats'!$X$3,Y247="No"),AC247,IF(AND(P247='G-1 All Habitats'!$X$3,Y247=""),AC247,IF(AND(P247='G-1 All Habitats'!$X$3,AC247="None"),AC247,IF(AND(P247='G-1 All Habitats'!$X$3,AC247&gt;0),H247-S247-T247)))))))</f>
        <v/>
      </c>
      <c r="X247" s="306" t="str">
        <f>IFERROR(IF(H247="","",IF(H247-S247-T247=0&lt;0,"Error in Areas ▲",IF(S247+T247&gt;H247,"Error in Areas ▲",IF(AND(P247='G-1 All Habitats'!$X$3,Y247="Yes"),"Alternative Compensation ✓",IF(W247=0,0,IF(P247='G-1 All Habitats'!$X$3,"Any Loss Unacceptable ▲",Q247-U247-V247)))))),"Check Data ▲")</f>
        <v/>
      </c>
      <c r="Y247" s="39"/>
      <c r="Z247" s="46"/>
      <c r="AA247" s="419"/>
      <c r="AB247" s="101"/>
      <c r="AC247" s="495" t="str">
        <f>IF(OR(P247="", Y247="Yes"),"", IF(P247='G-1 All Habitats'!$X$3,H247-S247-T247,"None"))</f>
        <v/>
      </c>
      <c r="AD247" s="496" t="str">
        <f>IF(P247="","", IF(P247='G-1 All Habitats'!$X$3, AC247*J247*L247*O247,"None"))</f>
        <v/>
      </c>
      <c r="AE247" s="20" t="str">
        <f t="shared" si="21"/>
        <v/>
      </c>
      <c r="AF247" s="25" t="str">
        <f t="shared" si="22"/>
        <v/>
      </c>
      <c r="AG247" s="25" t="str">
        <f t="shared" si="18"/>
        <v/>
      </c>
      <c r="AH247" s="25" t="str">
        <f>IF(I247="","",IF(#REF!&gt;0,TRUE,FALSE))</f>
        <v/>
      </c>
      <c r="AI247" s="25">
        <v>237</v>
      </c>
      <c r="AJ247" s="25"/>
      <c r="AK247" s="25" t="str">
        <f t="array" ref="AK247">IFERROR(INDEX($AI$11:$AI$259, MATCH(0, IF(TRUE=$AF$11:$AF$259, COUNTIF($AK$10:$AK246, $AI$11:$AI$259), ""), 0)),"")</f>
        <v/>
      </c>
      <c r="AL247" s="25" t="str">
        <f t="array" ref="AL247">IFERROR(INDEX($AI$11:$AI$259, MATCH(0, IF(TRUE=$AG$11:$AG$259, COUNTIF($AL$10:$AL246, $AI$11:$AI$259), ""), 0)),"")</f>
        <v/>
      </c>
      <c r="AM247" s="25" t="str">
        <f t="array" ref="AM247">IFERROR(INDEX($AI$11:$AI$259, MATCH(0, IF(TRUE=$AH$11:$AH$259, COUNTIF($AM$10:$AM246, $AI$11:$AI$259), ""), 0)),"")</f>
        <v/>
      </c>
      <c r="AN247" s="25"/>
      <c r="AQ247" s="20">
        <f t="shared" si="23"/>
        <v>0</v>
      </c>
      <c r="AV247" s="540" t="str">
        <f>IFERROR(INDEX('G-1 All Habitats'!$B$3:$B$135,MATCH(F247,'G-1 All Habitats'!$A$3:$A$135,0)),"")</f>
        <v/>
      </c>
      <c r="AW247" s="20" t="str">
        <f>IF(AV247="","",VLOOKUP(AV247,'G-1 All Habitats'!$B$1:$T$135,19,FALSE))</f>
        <v/>
      </c>
    </row>
    <row r="248" spans="1:49" ht="14.5" thickBot="1" x14ac:dyDescent="0.35">
      <c r="A248" s="20" t="str">
        <f>IFERROR(INDEX('G-1 All Habitats'!$AG$3:$AG$17,MATCH(E248,'G-1 All Habitats'!$AF$3:$AF$17,0)),"")</f>
        <v/>
      </c>
      <c r="B248" s="20" t="str">
        <f>IFERROR(INDEX('G-8 Condition Look up'!$I$4:$I$135,MATCH(AV248,'G-8 Condition Look up'!$A$4:$A$135,0)),"")</f>
        <v/>
      </c>
      <c r="D248" s="238">
        <v>238</v>
      </c>
      <c r="E248" s="223"/>
      <c r="F248" s="45"/>
      <c r="G248" s="272"/>
      <c r="H248" s="37"/>
      <c r="I248" s="290" t="str">
        <f>IF(AV248="","",VLOOKUP(AV248,'G-1 All Habitats'!$B$2:$M$135,10,FALSE))</f>
        <v/>
      </c>
      <c r="J248" s="291" t="str">
        <f>IFERROR(VLOOKUP(I248,'G-1 All Habitats'!$V$3:$W$7,2,FALSE),"")</f>
        <v/>
      </c>
      <c r="K248" s="38"/>
      <c r="L248" s="291" t="str">
        <f>IFERROR(INDEX('G-8 Condition Look up'!$A$3:$H$135,MATCH(AV248,'G-8 Condition Look up'!$A$3:$A$135,0),MATCH(K248,'G-8 Condition Look up'!$A$3:$H$3,0)),"")</f>
        <v/>
      </c>
      <c r="M248" s="38"/>
      <c r="N248" s="310" t="str">
        <f>IF(M248="","",IF(VLOOKUP(M248,'G-3 Multipliers'!$L$3:$N$6,2,FALSE)=0,"Spatial Data Missing",VLOOKUP(M248,'G-3 Multipliers'!$L$3:$N$6,2,FALSE)))</f>
        <v/>
      </c>
      <c r="O248" s="296" t="str">
        <f>IF(M248="","",IF(VLOOKUP(M248,'G-3 Multipliers'!$L$3:$N$6,3,FALSE)=0,"Spatial Data Missing ▲",VLOOKUP(M248,'G-3 Multipliers'!$L$3:$N$6,3,FALSE)))</f>
        <v/>
      </c>
      <c r="P248" s="297" t="str">
        <f>(IF(G248="Yes","Bespoke compensation likely to be required 🛠",(IFERROR(VLOOKUP(AV248,'G-1 All Habitats'!$B$2:$M$135,12,FALSE),""))))</f>
        <v/>
      </c>
      <c r="Q248" s="304" t="str">
        <f>IFERROR(IF(AND(E248="Individual trees",T248&gt;0), "Error - you cannot enhance individual trees ▲", (IF(AND(U248="Irreplaceable habitat - no units generated ⚠",(S248+T248)&lt;H248, OR(Y248="No", Y248="")),"Any Loss Unacceptable ⚠", (IF(U248="Irreplaceable habitat - no units generated ⚠", T248*J248*L248*O248, IF(AND(P248='G-1 All Habitats'!$X$3, AC248&gt;0, S248&lt;=0, T248&lt;=0, OR(Y248="No", Y248="")),"Any Loss Unacceptable ⚠", IF(AND(P248='G-1 All Habitats'!$X$3, AC248&gt;0, S248&lt;=0, T248&lt;=0, Y248="Yes"), 0, (IF(AND(P248='G-1 All Habitats'!$X$3,(S248+T248)&lt;H248, OR(Y248="No", Y248="")),"Any Loss Unacceptable ⚠", (IF(P248="","",IF(AND(P248='G-1 All Habitats'!$X$3,T248&gt;0),U248+V248,IF(AND(P248='G-1 All Habitats'!$X$3,S248&gt;0),U248+V248,H248*J248*L248*O248))))))))))))),"Check Data ▲")</f>
        <v/>
      </c>
      <c r="R248" s="23"/>
      <c r="S248" s="38"/>
      <c r="T248" s="39"/>
      <c r="U248" s="302" t="str">
        <f t="shared" si="19"/>
        <v/>
      </c>
      <c r="V248" s="302" t="str">
        <f t="shared" si="20"/>
        <v/>
      </c>
      <c r="W248" s="302" t="str">
        <f>IF(E248="","",IF(H248&lt;S248+T248,"Error in Areas ▲",IF(P248&lt;&gt;'G-1 All Habitats'!$X$3,H248-S248-T248,IF(AND(P248='G-1 All Habitats'!$X$3,Y248="No"),AC248,IF(AND(P248='G-1 All Habitats'!$X$3,Y248=""),AC248,IF(AND(P248='G-1 All Habitats'!$X$3,AC248="None"),AC248,IF(AND(P248='G-1 All Habitats'!$X$3,AC248&gt;0),H248-S248-T248)))))))</f>
        <v/>
      </c>
      <c r="X248" s="306" t="str">
        <f>IFERROR(IF(H248="","",IF(H248-S248-T248=0&lt;0,"Error in Areas ▲",IF(S248+T248&gt;H248,"Error in Areas ▲",IF(AND(P248='G-1 All Habitats'!$X$3,Y248="Yes"),"Alternative Compensation ✓",IF(W248=0,0,IF(P248='G-1 All Habitats'!$X$3,"Any Loss Unacceptable ▲",Q248-U248-V248)))))),"Check Data ▲")</f>
        <v/>
      </c>
      <c r="Y248" s="39"/>
      <c r="Z248" s="46"/>
      <c r="AA248" s="419"/>
      <c r="AB248" s="101"/>
      <c r="AC248" s="495" t="str">
        <f>IF(OR(P248="", Y248="Yes"),"", IF(P248='G-1 All Habitats'!$X$3,H248-S248-T248,"None"))</f>
        <v/>
      </c>
      <c r="AD248" s="496" t="str">
        <f>IF(P248="","", IF(P248='G-1 All Habitats'!$X$3, AC248*J248*L248*O248,"None"))</f>
        <v/>
      </c>
      <c r="AE248" s="20" t="str">
        <f t="shared" si="21"/>
        <v/>
      </c>
      <c r="AF248" s="25" t="str">
        <f t="shared" si="22"/>
        <v/>
      </c>
      <c r="AG248" s="25" t="str">
        <f t="shared" si="18"/>
        <v/>
      </c>
      <c r="AH248" s="25" t="str">
        <f>IF(I248="","",IF(#REF!&gt;0,TRUE,FALSE))</f>
        <v/>
      </c>
      <c r="AI248" s="25">
        <v>238</v>
      </c>
      <c r="AJ248" s="25"/>
      <c r="AK248" s="25" t="str">
        <f t="array" ref="AK248">IFERROR(INDEX($AI$11:$AI$259, MATCH(0, IF(TRUE=$AF$11:$AF$259, COUNTIF($AK$10:$AK247, $AI$11:$AI$259), ""), 0)),"")</f>
        <v/>
      </c>
      <c r="AL248" s="25" t="str">
        <f t="array" ref="AL248">IFERROR(INDEX($AI$11:$AI$259, MATCH(0, IF(TRUE=$AG$11:$AG$259, COUNTIF($AL$10:$AL247, $AI$11:$AI$259), ""), 0)),"")</f>
        <v/>
      </c>
      <c r="AM248" s="25" t="str">
        <f t="array" ref="AM248">IFERROR(INDEX($AI$11:$AI$259, MATCH(0, IF(TRUE=$AH$11:$AH$259, COUNTIF($AM$10:$AM247, $AI$11:$AI$259), ""), 0)),"")</f>
        <v/>
      </c>
      <c r="AN248" s="25"/>
      <c r="AQ248" s="20">
        <f t="shared" si="23"/>
        <v>0</v>
      </c>
      <c r="AV248" s="540" t="str">
        <f>IFERROR(INDEX('G-1 All Habitats'!$B$3:$B$135,MATCH(F248,'G-1 All Habitats'!$A$3:$A$135,0)),"")</f>
        <v/>
      </c>
      <c r="AW248" s="20" t="str">
        <f>IF(AV248="","",VLOOKUP(AV248,'G-1 All Habitats'!$B$1:$T$135,19,FALSE))</f>
        <v/>
      </c>
    </row>
    <row r="249" spans="1:49" ht="14.5" thickBot="1" x14ac:dyDescent="0.35">
      <c r="A249" s="20" t="str">
        <f>IFERROR(INDEX('G-1 All Habitats'!$AG$3:$AG$17,MATCH(E249,'G-1 All Habitats'!$AF$3:$AF$17,0)),"")</f>
        <v/>
      </c>
      <c r="B249" s="20" t="str">
        <f>IFERROR(INDEX('G-8 Condition Look up'!$I$4:$I$135,MATCH(AV249,'G-8 Condition Look up'!$A$4:$A$135,0)),"")</f>
        <v/>
      </c>
      <c r="D249" s="238">
        <v>239</v>
      </c>
      <c r="E249" s="223"/>
      <c r="F249" s="45"/>
      <c r="G249" s="272"/>
      <c r="H249" s="37"/>
      <c r="I249" s="290" t="str">
        <f>IF(AV249="","",VLOOKUP(AV249,'G-1 All Habitats'!$B$2:$M$135,10,FALSE))</f>
        <v/>
      </c>
      <c r="J249" s="291" t="str">
        <f>IFERROR(VLOOKUP(I249,'G-1 All Habitats'!$V$3:$W$7,2,FALSE),"")</f>
        <v/>
      </c>
      <c r="K249" s="38"/>
      <c r="L249" s="291" t="str">
        <f>IFERROR(INDEX('G-8 Condition Look up'!$A$3:$H$135,MATCH(AV249,'G-8 Condition Look up'!$A$3:$A$135,0),MATCH(K249,'G-8 Condition Look up'!$A$3:$H$3,0)),"")</f>
        <v/>
      </c>
      <c r="M249" s="38"/>
      <c r="N249" s="310" t="str">
        <f>IF(M249="","",IF(VLOOKUP(M249,'G-3 Multipliers'!$L$3:$N$6,2,FALSE)=0,"Spatial Data Missing",VLOOKUP(M249,'G-3 Multipliers'!$L$3:$N$6,2,FALSE)))</f>
        <v/>
      </c>
      <c r="O249" s="296" t="str">
        <f>IF(M249="","",IF(VLOOKUP(M249,'G-3 Multipliers'!$L$3:$N$6,3,FALSE)=0,"Spatial Data Missing ▲",VLOOKUP(M249,'G-3 Multipliers'!$L$3:$N$6,3,FALSE)))</f>
        <v/>
      </c>
      <c r="P249" s="297" t="str">
        <f>(IF(G249="Yes","Bespoke compensation likely to be required 🛠",(IFERROR(VLOOKUP(AV249,'G-1 All Habitats'!$B$2:$M$135,12,FALSE),""))))</f>
        <v/>
      </c>
      <c r="Q249" s="304" t="str">
        <f>IFERROR(IF(AND(E249="Individual trees",T249&gt;0), "Error - you cannot enhance individual trees ▲", (IF(AND(U249="Irreplaceable habitat - no units generated ⚠",(S249+T249)&lt;H249, OR(Y249="No", Y249="")),"Any Loss Unacceptable ⚠", (IF(U249="Irreplaceable habitat - no units generated ⚠", T249*J249*L249*O249, IF(AND(P249='G-1 All Habitats'!$X$3, AC249&gt;0, S249&lt;=0, T249&lt;=0, OR(Y249="No", Y249="")),"Any Loss Unacceptable ⚠", IF(AND(P249='G-1 All Habitats'!$X$3, AC249&gt;0, S249&lt;=0, T249&lt;=0, Y249="Yes"), 0, (IF(AND(P249='G-1 All Habitats'!$X$3,(S249+T249)&lt;H249, OR(Y249="No", Y249="")),"Any Loss Unacceptable ⚠", (IF(P249="","",IF(AND(P249='G-1 All Habitats'!$X$3,T249&gt;0),U249+V249,IF(AND(P249='G-1 All Habitats'!$X$3,S249&gt;0),U249+V249,H249*J249*L249*O249))))))))))))),"Check Data ▲")</f>
        <v/>
      </c>
      <c r="R249" s="23"/>
      <c r="S249" s="38"/>
      <c r="T249" s="39"/>
      <c r="U249" s="302" t="str">
        <f t="shared" si="19"/>
        <v/>
      </c>
      <c r="V249" s="302" t="str">
        <f t="shared" si="20"/>
        <v/>
      </c>
      <c r="W249" s="302" t="str">
        <f>IF(E249="","",IF(H249&lt;S249+T249,"Error in Areas ▲",IF(P249&lt;&gt;'G-1 All Habitats'!$X$3,H249-S249-T249,IF(AND(P249='G-1 All Habitats'!$X$3,Y249="No"),AC249,IF(AND(P249='G-1 All Habitats'!$X$3,Y249=""),AC249,IF(AND(P249='G-1 All Habitats'!$X$3,AC249="None"),AC249,IF(AND(P249='G-1 All Habitats'!$X$3,AC249&gt;0),H249-S249-T249)))))))</f>
        <v/>
      </c>
      <c r="X249" s="306" t="str">
        <f>IFERROR(IF(H249="","",IF(H249-S249-T249=0&lt;0,"Error in Areas ▲",IF(S249+T249&gt;H249,"Error in Areas ▲",IF(AND(P249='G-1 All Habitats'!$X$3,Y249="Yes"),"Alternative Compensation ✓",IF(W249=0,0,IF(P249='G-1 All Habitats'!$X$3,"Any Loss Unacceptable ▲",Q249-U249-V249)))))),"Check Data ▲")</f>
        <v/>
      </c>
      <c r="Y249" s="39"/>
      <c r="Z249" s="46"/>
      <c r="AA249" s="419"/>
      <c r="AB249" s="101"/>
      <c r="AC249" s="495" t="str">
        <f>IF(OR(P249="", Y249="Yes"),"", IF(P249='G-1 All Habitats'!$X$3,H249-S249-T249,"None"))</f>
        <v/>
      </c>
      <c r="AD249" s="496" t="str">
        <f>IF(P249="","", IF(P249='G-1 All Habitats'!$X$3, AC249*J249*L249*O249,"None"))</f>
        <v/>
      </c>
      <c r="AE249" s="20" t="str">
        <f t="shared" si="21"/>
        <v/>
      </c>
      <c r="AF249" s="25" t="str">
        <f t="shared" si="22"/>
        <v/>
      </c>
      <c r="AG249" s="25" t="str">
        <f t="shared" si="18"/>
        <v/>
      </c>
      <c r="AH249" s="25" t="str">
        <f>IF(I249="","",IF(#REF!&gt;0,TRUE,FALSE))</f>
        <v/>
      </c>
      <c r="AI249" s="25">
        <v>239</v>
      </c>
      <c r="AJ249" s="25"/>
      <c r="AK249" s="25" t="str">
        <f t="array" ref="AK249">IFERROR(INDEX($AI$11:$AI$259, MATCH(0, IF(TRUE=$AF$11:$AF$259, COUNTIF($AK$10:$AK248, $AI$11:$AI$259), ""), 0)),"")</f>
        <v/>
      </c>
      <c r="AL249" s="25" t="str">
        <f t="array" ref="AL249">IFERROR(INDEX($AI$11:$AI$259, MATCH(0, IF(TRUE=$AG$11:$AG$259, COUNTIF($AL$10:$AL248, $AI$11:$AI$259), ""), 0)),"")</f>
        <v/>
      </c>
      <c r="AM249" s="25" t="str">
        <f t="array" ref="AM249">IFERROR(INDEX($AI$11:$AI$259, MATCH(0, IF(TRUE=$AH$11:$AH$259, COUNTIF($AM$10:$AM248, $AI$11:$AI$259), ""), 0)),"")</f>
        <v/>
      </c>
      <c r="AN249" s="25"/>
      <c r="AQ249" s="20">
        <f t="shared" si="23"/>
        <v>0</v>
      </c>
      <c r="AV249" s="540" t="str">
        <f>IFERROR(INDEX('G-1 All Habitats'!$B$3:$B$135,MATCH(F249,'G-1 All Habitats'!$A$3:$A$135,0)),"")</f>
        <v/>
      </c>
      <c r="AW249" s="20" t="str">
        <f>IF(AV249="","",VLOOKUP(AV249,'G-1 All Habitats'!$B$1:$T$135,19,FALSE))</f>
        <v/>
      </c>
    </row>
    <row r="250" spans="1:49" ht="14.5" thickBot="1" x14ac:dyDescent="0.35">
      <c r="A250" s="20" t="str">
        <f>IFERROR(INDEX('G-1 All Habitats'!$AG$3:$AG$17,MATCH(E250,'G-1 All Habitats'!$AF$3:$AF$17,0)),"")</f>
        <v/>
      </c>
      <c r="B250" s="20" t="str">
        <f>IFERROR(INDEX('G-8 Condition Look up'!$I$4:$I$135,MATCH(AV250,'G-8 Condition Look up'!$A$4:$A$135,0)),"")</f>
        <v/>
      </c>
      <c r="D250" s="238">
        <v>240</v>
      </c>
      <c r="E250" s="223"/>
      <c r="F250" s="45"/>
      <c r="G250" s="272"/>
      <c r="H250" s="37"/>
      <c r="I250" s="290" t="str">
        <f>IF(AV250="","",VLOOKUP(AV250,'G-1 All Habitats'!$B$2:$M$135,10,FALSE))</f>
        <v/>
      </c>
      <c r="J250" s="291" t="str">
        <f>IFERROR(VLOOKUP(I250,'G-1 All Habitats'!$V$3:$W$7,2,FALSE),"")</f>
        <v/>
      </c>
      <c r="K250" s="38"/>
      <c r="L250" s="291" t="str">
        <f>IFERROR(INDEX('G-8 Condition Look up'!$A$3:$H$135,MATCH(AV250,'G-8 Condition Look up'!$A$3:$A$135,0),MATCH(K250,'G-8 Condition Look up'!$A$3:$H$3,0)),"")</f>
        <v/>
      </c>
      <c r="M250" s="38"/>
      <c r="N250" s="310" t="str">
        <f>IF(M250="","",IF(VLOOKUP(M250,'G-3 Multipliers'!$L$3:$N$6,2,FALSE)=0,"Spatial Data Missing",VLOOKUP(M250,'G-3 Multipliers'!$L$3:$N$6,2,FALSE)))</f>
        <v/>
      </c>
      <c r="O250" s="296" t="str">
        <f>IF(M250="","",IF(VLOOKUP(M250,'G-3 Multipliers'!$L$3:$N$6,3,FALSE)=0,"Spatial Data Missing ▲",VLOOKUP(M250,'G-3 Multipliers'!$L$3:$N$6,3,FALSE)))</f>
        <v/>
      </c>
      <c r="P250" s="297" t="str">
        <f>(IF(G250="Yes","Bespoke compensation likely to be required 🛠",(IFERROR(VLOOKUP(AV250,'G-1 All Habitats'!$B$2:$M$135,12,FALSE),""))))</f>
        <v/>
      </c>
      <c r="Q250" s="304" t="str">
        <f>IFERROR(IF(AND(E250="Individual trees",T250&gt;0), "Error - you cannot enhance individual trees ▲", (IF(AND(U250="Irreplaceable habitat - no units generated ⚠",(S250+T250)&lt;H250, OR(Y250="No", Y250="")),"Any Loss Unacceptable ⚠", (IF(U250="Irreplaceable habitat - no units generated ⚠", T250*J250*L250*O250, IF(AND(P250='G-1 All Habitats'!$X$3, AC250&gt;0, S250&lt;=0, T250&lt;=0, OR(Y250="No", Y250="")),"Any Loss Unacceptable ⚠", IF(AND(P250='G-1 All Habitats'!$X$3, AC250&gt;0, S250&lt;=0, T250&lt;=0, Y250="Yes"), 0, (IF(AND(P250='G-1 All Habitats'!$X$3,(S250+T250)&lt;H250, OR(Y250="No", Y250="")),"Any Loss Unacceptable ⚠", (IF(P250="","",IF(AND(P250='G-1 All Habitats'!$X$3,T250&gt;0),U250+V250,IF(AND(P250='G-1 All Habitats'!$X$3,S250&gt;0),U250+V250,H250*J250*L250*O250))))))))))))),"Check Data ▲")</f>
        <v/>
      </c>
      <c r="R250" s="23"/>
      <c r="S250" s="38"/>
      <c r="T250" s="39"/>
      <c r="U250" s="302" t="str">
        <f t="shared" si="19"/>
        <v/>
      </c>
      <c r="V250" s="302" t="str">
        <f t="shared" si="20"/>
        <v/>
      </c>
      <c r="W250" s="302" t="str">
        <f>IF(E250="","",IF(H250&lt;S250+T250,"Error in Areas ▲",IF(P250&lt;&gt;'G-1 All Habitats'!$X$3,H250-S250-T250,IF(AND(P250='G-1 All Habitats'!$X$3,Y250="No"),AC250,IF(AND(P250='G-1 All Habitats'!$X$3,Y250=""),AC250,IF(AND(P250='G-1 All Habitats'!$X$3,AC250="None"),AC250,IF(AND(P250='G-1 All Habitats'!$X$3,AC250&gt;0),H250-S250-T250)))))))</f>
        <v/>
      </c>
      <c r="X250" s="306" t="str">
        <f>IFERROR(IF(H250="","",IF(H250-S250-T250=0&lt;0,"Error in Areas ▲",IF(S250+T250&gt;H250,"Error in Areas ▲",IF(AND(P250='G-1 All Habitats'!$X$3,Y250="Yes"),"Alternative Compensation ✓",IF(W250=0,0,IF(P250='G-1 All Habitats'!$X$3,"Any Loss Unacceptable ▲",Q250-U250-V250)))))),"Check Data ▲")</f>
        <v/>
      </c>
      <c r="Y250" s="39"/>
      <c r="Z250" s="46"/>
      <c r="AA250" s="419"/>
      <c r="AB250" s="101"/>
      <c r="AC250" s="495" t="str">
        <f>IF(OR(P250="", Y250="Yes"),"", IF(P250='G-1 All Habitats'!$X$3,H250-S250-T250,"None"))</f>
        <v/>
      </c>
      <c r="AD250" s="496" t="str">
        <f>IF(P250="","", IF(P250='G-1 All Habitats'!$X$3, AC250*J250*L250*O250,"None"))</f>
        <v/>
      </c>
      <c r="AE250" s="20" t="str">
        <f t="shared" si="21"/>
        <v/>
      </c>
      <c r="AF250" s="25" t="str">
        <f t="shared" si="22"/>
        <v/>
      </c>
      <c r="AG250" s="25" t="str">
        <f t="shared" si="18"/>
        <v/>
      </c>
      <c r="AH250" s="25" t="str">
        <f>IF(I250="","",IF(#REF!&gt;0,TRUE,FALSE))</f>
        <v/>
      </c>
      <c r="AI250" s="25">
        <v>240</v>
      </c>
      <c r="AJ250" s="25"/>
      <c r="AK250" s="25" t="str">
        <f t="array" ref="AK250">IFERROR(INDEX($AI$11:$AI$259, MATCH(0, IF(TRUE=$AF$11:$AF$259, COUNTIF($AK$10:$AK249, $AI$11:$AI$259), ""), 0)),"")</f>
        <v/>
      </c>
      <c r="AL250" s="25" t="str">
        <f t="array" ref="AL250">IFERROR(INDEX($AI$11:$AI$259, MATCH(0, IF(TRUE=$AG$11:$AG$259, COUNTIF($AL$10:$AL249, $AI$11:$AI$259), ""), 0)),"")</f>
        <v/>
      </c>
      <c r="AM250" s="25" t="str">
        <f t="array" ref="AM250">IFERROR(INDEX($AI$11:$AI$259, MATCH(0, IF(TRUE=$AH$11:$AH$259, COUNTIF($AM$10:$AM249, $AI$11:$AI$259), ""), 0)),"")</f>
        <v/>
      </c>
      <c r="AN250" s="25"/>
      <c r="AQ250" s="20">
        <f t="shared" si="23"/>
        <v>0</v>
      </c>
      <c r="AV250" s="540" t="str">
        <f>IFERROR(INDEX('G-1 All Habitats'!$B$3:$B$135,MATCH(F250,'G-1 All Habitats'!$A$3:$A$135,0)),"")</f>
        <v/>
      </c>
      <c r="AW250" s="20" t="str">
        <f>IF(AV250="","",VLOOKUP(AV250,'G-1 All Habitats'!$B$1:$T$135,19,FALSE))</f>
        <v/>
      </c>
    </row>
    <row r="251" spans="1:49" ht="14.5" thickBot="1" x14ac:dyDescent="0.35">
      <c r="A251" s="20" t="str">
        <f>IFERROR(INDEX('G-1 All Habitats'!$AG$3:$AG$17,MATCH(E251,'G-1 All Habitats'!$AF$3:$AF$17,0)),"")</f>
        <v/>
      </c>
      <c r="B251" s="20" t="str">
        <f>IFERROR(INDEX('G-8 Condition Look up'!$I$4:$I$135,MATCH(AV251,'G-8 Condition Look up'!$A$4:$A$135,0)),"")</f>
        <v/>
      </c>
      <c r="D251" s="238">
        <v>241</v>
      </c>
      <c r="E251" s="223"/>
      <c r="F251" s="45"/>
      <c r="G251" s="272"/>
      <c r="H251" s="37"/>
      <c r="I251" s="290" t="str">
        <f>IF(AV251="","",VLOOKUP(AV251,'G-1 All Habitats'!$B$2:$M$135,10,FALSE))</f>
        <v/>
      </c>
      <c r="J251" s="291" t="str">
        <f>IFERROR(VLOOKUP(I251,'G-1 All Habitats'!$V$3:$W$7,2,FALSE),"")</f>
        <v/>
      </c>
      <c r="K251" s="38"/>
      <c r="L251" s="291" t="str">
        <f>IFERROR(INDEX('G-8 Condition Look up'!$A$3:$H$135,MATCH(AV251,'G-8 Condition Look up'!$A$3:$A$135,0),MATCH(K251,'G-8 Condition Look up'!$A$3:$H$3,0)),"")</f>
        <v/>
      </c>
      <c r="M251" s="38"/>
      <c r="N251" s="310" t="str">
        <f>IF(M251="","",IF(VLOOKUP(M251,'G-3 Multipliers'!$L$3:$N$6,2,FALSE)=0,"Spatial Data Missing",VLOOKUP(M251,'G-3 Multipliers'!$L$3:$N$6,2,FALSE)))</f>
        <v/>
      </c>
      <c r="O251" s="296" t="str">
        <f>IF(M251="","",IF(VLOOKUP(M251,'G-3 Multipliers'!$L$3:$N$6,3,FALSE)=0,"Spatial Data Missing ▲",VLOOKUP(M251,'G-3 Multipliers'!$L$3:$N$6,3,FALSE)))</f>
        <v/>
      </c>
      <c r="P251" s="297" t="str">
        <f>(IF(G251="Yes","Bespoke compensation likely to be required 🛠",(IFERROR(VLOOKUP(AV251,'G-1 All Habitats'!$B$2:$M$135,12,FALSE),""))))</f>
        <v/>
      </c>
      <c r="Q251" s="304" t="str">
        <f>IFERROR(IF(AND(E251="Individual trees",T251&gt;0), "Error - you cannot enhance individual trees ▲", (IF(AND(U251="Irreplaceable habitat - no units generated ⚠",(S251+T251)&lt;H251, OR(Y251="No", Y251="")),"Any Loss Unacceptable ⚠", (IF(U251="Irreplaceable habitat - no units generated ⚠", T251*J251*L251*O251, IF(AND(P251='G-1 All Habitats'!$X$3, AC251&gt;0, S251&lt;=0, T251&lt;=0, OR(Y251="No", Y251="")),"Any Loss Unacceptable ⚠", IF(AND(P251='G-1 All Habitats'!$X$3, AC251&gt;0, S251&lt;=0, T251&lt;=0, Y251="Yes"), 0, (IF(AND(P251='G-1 All Habitats'!$X$3,(S251+T251)&lt;H251, OR(Y251="No", Y251="")),"Any Loss Unacceptable ⚠", (IF(P251="","",IF(AND(P251='G-1 All Habitats'!$X$3,T251&gt;0),U251+V251,IF(AND(P251='G-1 All Habitats'!$X$3,S251&gt;0),U251+V251,H251*J251*L251*O251))))))))))))),"Check Data ▲")</f>
        <v/>
      </c>
      <c r="R251" s="23"/>
      <c r="S251" s="38"/>
      <c r="T251" s="39"/>
      <c r="U251" s="302" t="str">
        <f t="shared" si="19"/>
        <v/>
      </c>
      <c r="V251" s="302" t="str">
        <f t="shared" si="20"/>
        <v/>
      </c>
      <c r="W251" s="302" t="str">
        <f>IF(E251="","",IF(H251&lt;S251+T251,"Error in Areas ▲",IF(P251&lt;&gt;'G-1 All Habitats'!$X$3,H251-S251-T251,IF(AND(P251='G-1 All Habitats'!$X$3,Y251="No"),AC251,IF(AND(P251='G-1 All Habitats'!$X$3,Y251=""),AC251,IF(AND(P251='G-1 All Habitats'!$X$3,AC251="None"),AC251,IF(AND(P251='G-1 All Habitats'!$X$3,AC251&gt;0),H251-S251-T251)))))))</f>
        <v/>
      </c>
      <c r="X251" s="306" t="str">
        <f>IFERROR(IF(H251="","",IF(H251-S251-T251=0&lt;0,"Error in Areas ▲",IF(S251+T251&gt;H251,"Error in Areas ▲",IF(AND(P251='G-1 All Habitats'!$X$3,Y251="Yes"),"Alternative Compensation ✓",IF(W251=0,0,IF(P251='G-1 All Habitats'!$X$3,"Any Loss Unacceptable ▲",Q251-U251-V251)))))),"Check Data ▲")</f>
        <v/>
      </c>
      <c r="Y251" s="39"/>
      <c r="Z251" s="46"/>
      <c r="AA251" s="419"/>
      <c r="AB251" s="101"/>
      <c r="AC251" s="495" t="str">
        <f>IF(OR(P251="", Y251="Yes"),"", IF(P251='G-1 All Habitats'!$X$3,H251-S251-T251,"None"))</f>
        <v/>
      </c>
      <c r="AD251" s="496" t="str">
        <f>IF(P251="","", IF(P251='G-1 All Habitats'!$X$3, AC251*J251*L251*O251,"None"))</f>
        <v/>
      </c>
      <c r="AE251" s="20" t="str">
        <f t="shared" si="21"/>
        <v/>
      </c>
      <c r="AF251" s="25" t="str">
        <f t="shared" si="22"/>
        <v/>
      </c>
      <c r="AG251" s="25" t="str">
        <f t="shared" si="18"/>
        <v/>
      </c>
      <c r="AH251" s="25" t="str">
        <f>IF(I251="","",IF(#REF!&gt;0,TRUE,FALSE))</f>
        <v/>
      </c>
      <c r="AI251" s="25">
        <v>241</v>
      </c>
      <c r="AJ251" s="25"/>
      <c r="AK251" s="25" t="str">
        <f t="array" ref="AK251">IFERROR(INDEX($AI$11:$AI$259, MATCH(0, IF(TRUE=$AF$11:$AF$259, COUNTIF($AK$10:$AK250, $AI$11:$AI$259), ""), 0)),"")</f>
        <v/>
      </c>
      <c r="AL251" s="25" t="str">
        <f t="array" ref="AL251">IFERROR(INDEX($AI$11:$AI$259, MATCH(0, IF(TRUE=$AG$11:$AG$259, COUNTIF($AL$10:$AL250, $AI$11:$AI$259), ""), 0)),"")</f>
        <v/>
      </c>
      <c r="AM251" s="25" t="str">
        <f t="array" ref="AM251">IFERROR(INDEX($AI$11:$AI$259, MATCH(0, IF(TRUE=$AH$11:$AH$259, COUNTIF($AM$10:$AM250, $AI$11:$AI$259), ""), 0)),"")</f>
        <v/>
      </c>
      <c r="AN251" s="25"/>
      <c r="AQ251" s="20">
        <f t="shared" si="23"/>
        <v>0</v>
      </c>
      <c r="AV251" s="540" t="str">
        <f>IFERROR(INDEX('G-1 All Habitats'!$B$3:$B$135,MATCH(F251,'G-1 All Habitats'!$A$3:$A$135,0)),"")</f>
        <v/>
      </c>
      <c r="AW251" s="20" t="str">
        <f>IF(AV251="","",VLOOKUP(AV251,'G-1 All Habitats'!$B$1:$T$135,19,FALSE))</f>
        <v/>
      </c>
    </row>
    <row r="252" spans="1:49" ht="14.5" thickBot="1" x14ac:dyDescent="0.35">
      <c r="A252" s="20" t="str">
        <f>IFERROR(INDEX('G-1 All Habitats'!$AG$3:$AG$17,MATCH(E252,'G-1 All Habitats'!$AF$3:$AF$17,0)),"")</f>
        <v/>
      </c>
      <c r="B252" s="20" t="str">
        <f>IFERROR(INDEX('G-8 Condition Look up'!$I$4:$I$135,MATCH(AV252,'G-8 Condition Look up'!$A$4:$A$135,0)),"")</f>
        <v/>
      </c>
      <c r="D252" s="238">
        <v>242</v>
      </c>
      <c r="E252" s="223"/>
      <c r="F252" s="45"/>
      <c r="G252" s="272"/>
      <c r="H252" s="37"/>
      <c r="I252" s="290" t="str">
        <f>IF(AV252="","",VLOOKUP(AV252,'G-1 All Habitats'!$B$2:$M$135,10,FALSE))</f>
        <v/>
      </c>
      <c r="J252" s="291" t="str">
        <f>IFERROR(VLOOKUP(I252,'G-1 All Habitats'!$V$3:$W$7,2,FALSE),"")</f>
        <v/>
      </c>
      <c r="K252" s="38"/>
      <c r="L252" s="291" t="str">
        <f>IFERROR(INDEX('G-8 Condition Look up'!$A$3:$H$135,MATCH(AV252,'G-8 Condition Look up'!$A$3:$A$135,0),MATCH(K252,'G-8 Condition Look up'!$A$3:$H$3,0)),"")</f>
        <v/>
      </c>
      <c r="M252" s="38"/>
      <c r="N252" s="310" t="str">
        <f>IF(M252="","",IF(VLOOKUP(M252,'G-3 Multipliers'!$L$3:$N$6,2,FALSE)=0,"Spatial Data Missing",VLOOKUP(M252,'G-3 Multipliers'!$L$3:$N$6,2,FALSE)))</f>
        <v/>
      </c>
      <c r="O252" s="296" t="str">
        <f>IF(M252="","",IF(VLOOKUP(M252,'G-3 Multipliers'!$L$3:$N$6,3,FALSE)=0,"Spatial Data Missing ▲",VLOOKUP(M252,'G-3 Multipliers'!$L$3:$N$6,3,FALSE)))</f>
        <v/>
      </c>
      <c r="P252" s="297" t="str">
        <f>(IF(G252="Yes","Bespoke compensation likely to be required 🛠",(IFERROR(VLOOKUP(AV252,'G-1 All Habitats'!$B$2:$M$135,12,FALSE),""))))</f>
        <v/>
      </c>
      <c r="Q252" s="304" t="str">
        <f>IFERROR(IF(AND(E252="Individual trees",T252&gt;0), "Error - you cannot enhance individual trees ▲", (IF(AND(U252="Irreplaceable habitat - no units generated ⚠",(S252+T252)&lt;H252, OR(Y252="No", Y252="")),"Any Loss Unacceptable ⚠", (IF(U252="Irreplaceable habitat - no units generated ⚠", T252*J252*L252*O252, IF(AND(P252='G-1 All Habitats'!$X$3, AC252&gt;0, S252&lt;=0, T252&lt;=0, OR(Y252="No", Y252="")),"Any Loss Unacceptable ⚠", IF(AND(P252='G-1 All Habitats'!$X$3, AC252&gt;0, S252&lt;=0, T252&lt;=0, Y252="Yes"), 0, (IF(AND(P252='G-1 All Habitats'!$X$3,(S252+T252)&lt;H252, OR(Y252="No", Y252="")),"Any Loss Unacceptable ⚠", (IF(P252="","",IF(AND(P252='G-1 All Habitats'!$X$3,T252&gt;0),U252+V252,IF(AND(P252='G-1 All Habitats'!$X$3,S252&gt;0),U252+V252,H252*J252*L252*O252))))))))))))),"Check Data ▲")</f>
        <v/>
      </c>
      <c r="R252" s="23"/>
      <c r="S252" s="38"/>
      <c r="T252" s="39"/>
      <c r="U252" s="302" t="str">
        <f t="shared" si="19"/>
        <v/>
      </c>
      <c r="V252" s="302" t="str">
        <f t="shared" si="20"/>
        <v/>
      </c>
      <c r="W252" s="302" t="str">
        <f>IF(E252="","",IF(H252&lt;S252+T252,"Error in Areas ▲",IF(P252&lt;&gt;'G-1 All Habitats'!$X$3,H252-S252-T252,IF(AND(P252='G-1 All Habitats'!$X$3,Y252="No"),AC252,IF(AND(P252='G-1 All Habitats'!$X$3,Y252=""),AC252,IF(AND(P252='G-1 All Habitats'!$X$3,AC252="None"),AC252,IF(AND(P252='G-1 All Habitats'!$X$3,AC252&gt;0),H252-S252-T252)))))))</f>
        <v/>
      </c>
      <c r="X252" s="306" t="str">
        <f>IFERROR(IF(H252="","",IF(H252-S252-T252=0&lt;0,"Error in Areas ▲",IF(S252+T252&gt;H252,"Error in Areas ▲",IF(AND(P252='G-1 All Habitats'!$X$3,Y252="Yes"),"Alternative Compensation ✓",IF(W252=0,0,IF(P252='G-1 All Habitats'!$X$3,"Any Loss Unacceptable ▲",Q252-U252-V252)))))),"Check Data ▲")</f>
        <v/>
      </c>
      <c r="Y252" s="39"/>
      <c r="Z252" s="46"/>
      <c r="AA252" s="419"/>
      <c r="AB252" s="101"/>
      <c r="AC252" s="495" t="str">
        <f>IF(OR(P252="", Y252="Yes"),"", IF(P252='G-1 All Habitats'!$X$3,H252-S252-T252,"None"))</f>
        <v/>
      </c>
      <c r="AD252" s="496" t="str">
        <f>IF(P252="","", IF(P252='G-1 All Habitats'!$X$3, AC252*J252*L252*O252,"None"))</f>
        <v/>
      </c>
      <c r="AE252" s="20" t="str">
        <f t="shared" si="21"/>
        <v/>
      </c>
      <c r="AF252" s="25" t="str">
        <f t="shared" si="22"/>
        <v/>
      </c>
      <c r="AG252" s="25" t="str">
        <f t="shared" si="18"/>
        <v/>
      </c>
      <c r="AH252" s="25" t="str">
        <f>IF(I252="","",IF(#REF!&gt;0,TRUE,FALSE))</f>
        <v/>
      </c>
      <c r="AI252" s="25">
        <v>242</v>
      </c>
      <c r="AJ252" s="25"/>
      <c r="AK252" s="25" t="str">
        <f t="array" ref="AK252">IFERROR(INDEX($AI$11:$AI$259, MATCH(0, IF(TRUE=$AF$11:$AF$259, COUNTIF($AK$10:$AK251, $AI$11:$AI$259), ""), 0)),"")</f>
        <v/>
      </c>
      <c r="AL252" s="25" t="str">
        <f t="array" ref="AL252">IFERROR(INDEX($AI$11:$AI$259, MATCH(0, IF(TRUE=$AG$11:$AG$259, COUNTIF($AL$10:$AL251, $AI$11:$AI$259), ""), 0)),"")</f>
        <v/>
      </c>
      <c r="AM252" s="25" t="str">
        <f t="array" ref="AM252">IFERROR(INDEX($AI$11:$AI$259, MATCH(0, IF(TRUE=$AH$11:$AH$259, COUNTIF($AM$10:$AM251, $AI$11:$AI$259), ""), 0)),"")</f>
        <v/>
      </c>
      <c r="AN252" s="25"/>
      <c r="AQ252" s="20">
        <f t="shared" si="23"/>
        <v>0</v>
      </c>
      <c r="AV252" s="540" t="str">
        <f>IFERROR(INDEX('G-1 All Habitats'!$B$3:$B$135,MATCH(F252,'G-1 All Habitats'!$A$3:$A$135,0)),"")</f>
        <v/>
      </c>
      <c r="AW252" s="20" t="str">
        <f>IF(AV252="","",VLOOKUP(AV252,'G-1 All Habitats'!$B$1:$T$135,19,FALSE))</f>
        <v/>
      </c>
    </row>
    <row r="253" spans="1:49" ht="14.5" thickBot="1" x14ac:dyDescent="0.35">
      <c r="A253" s="20" t="str">
        <f>IFERROR(INDEX('G-1 All Habitats'!$AG$3:$AG$17,MATCH(E253,'G-1 All Habitats'!$AF$3:$AF$17,0)),"")</f>
        <v/>
      </c>
      <c r="B253" s="20" t="str">
        <f>IFERROR(INDEX('G-8 Condition Look up'!$I$4:$I$135,MATCH(AV253,'G-8 Condition Look up'!$A$4:$A$135,0)),"")</f>
        <v/>
      </c>
      <c r="D253" s="238">
        <v>243</v>
      </c>
      <c r="E253" s="223"/>
      <c r="F253" s="45"/>
      <c r="G253" s="272"/>
      <c r="H253" s="37"/>
      <c r="I253" s="290" t="str">
        <f>IF(AV253="","",VLOOKUP(AV253,'G-1 All Habitats'!$B$2:$M$135,10,FALSE))</f>
        <v/>
      </c>
      <c r="J253" s="291" t="str">
        <f>IFERROR(VLOOKUP(I253,'G-1 All Habitats'!$V$3:$W$7,2,FALSE),"")</f>
        <v/>
      </c>
      <c r="K253" s="38"/>
      <c r="L253" s="291" t="str">
        <f>IFERROR(INDEX('G-8 Condition Look up'!$A$3:$H$135,MATCH(AV253,'G-8 Condition Look up'!$A$3:$A$135,0),MATCH(K253,'G-8 Condition Look up'!$A$3:$H$3,0)),"")</f>
        <v/>
      </c>
      <c r="M253" s="38"/>
      <c r="N253" s="310" t="str">
        <f>IF(M253="","",IF(VLOOKUP(M253,'G-3 Multipliers'!$L$3:$N$6,2,FALSE)=0,"Spatial Data Missing",VLOOKUP(M253,'G-3 Multipliers'!$L$3:$N$6,2,FALSE)))</f>
        <v/>
      </c>
      <c r="O253" s="296" t="str">
        <f>IF(M253="","",IF(VLOOKUP(M253,'G-3 Multipliers'!$L$3:$N$6,3,FALSE)=0,"Spatial Data Missing ▲",VLOOKUP(M253,'G-3 Multipliers'!$L$3:$N$6,3,FALSE)))</f>
        <v/>
      </c>
      <c r="P253" s="297" t="str">
        <f>(IF(G253="Yes","Bespoke compensation likely to be required 🛠",(IFERROR(VLOOKUP(AV253,'G-1 All Habitats'!$B$2:$M$135,12,FALSE),""))))</f>
        <v/>
      </c>
      <c r="Q253" s="304" t="str">
        <f>IFERROR(IF(AND(E253="Individual trees",T253&gt;0), "Error - you cannot enhance individual trees ▲", (IF(AND(U253="Irreplaceable habitat - no units generated ⚠",(S253+T253)&lt;H253, OR(Y253="No", Y253="")),"Any Loss Unacceptable ⚠", (IF(U253="Irreplaceable habitat - no units generated ⚠", T253*J253*L253*O253, IF(AND(P253='G-1 All Habitats'!$X$3, AC253&gt;0, S253&lt;=0, T253&lt;=0, OR(Y253="No", Y253="")),"Any Loss Unacceptable ⚠", IF(AND(P253='G-1 All Habitats'!$X$3, AC253&gt;0, S253&lt;=0, T253&lt;=0, Y253="Yes"), 0, (IF(AND(P253='G-1 All Habitats'!$X$3,(S253+T253)&lt;H253, OR(Y253="No", Y253="")),"Any Loss Unacceptable ⚠", (IF(P253="","",IF(AND(P253='G-1 All Habitats'!$X$3,T253&gt;0),U253+V253,IF(AND(P253='G-1 All Habitats'!$X$3,S253&gt;0),U253+V253,H253*J253*L253*O253))))))))))))),"Check Data ▲")</f>
        <v/>
      </c>
      <c r="R253" s="23"/>
      <c r="S253" s="38"/>
      <c r="T253" s="39"/>
      <c r="U253" s="302" t="str">
        <f t="shared" si="19"/>
        <v/>
      </c>
      <c r="V253" s="302" t="str">
        <f t="shared" si="20"/>
        <v/>
      </c>
      <c r="W253" s="302" t="str">
        <f>IF(E253="","",IF(H253&lt;S253+T253,"Error in Areas ▲",IF(P253&lt;&gt;'G-1 All Habitats'!$X$3,H253-S253-T253,IF(AND(P253='G-1 All Habitats'!$X$3,Y253="No"),AC253,IF(AND(P253='G-1 All Habitats'!$X$3,Y253=""),AC253,IF(AND(P253='G-1 All Habitats'!$X$3,AC253="None"),AC253,IF(AND(P253='G-1 All Habitats'!$X$3,AC253&gt;0),H253-S253-T253)))))))</f>
        <v/>
      </c>
      <c r="X253" s="306" t="str">
        <f>IFERROR(IF(H253="","",IF(H253-S253-T253=0&lt;0,"Error in Areas ▲",IF(S253+T253&gt;H253,"Error in Areas ▲",IF(AND(P253='G-1 All Habitats'!$X$3,Y253="Yes"),"Alternative Compensation ✓",IF(W253=0,0,IF(P253='G-1 All Habitats'!$X$3,"Any Loss Unacceptable ▲",Q253-U253-V253)))))),"Check Data ▲")</f>
        <v/>
      </c>
      <c r="Y253" s="39"/>
      <c r="Z253" s="46"/>
      <c r="AA253" s="419"/>
      <c r="AB253" s="101"/>
      <c r="AC253" s="495" t="str">
        <f>IF(OR(P253="", Y253="Yes"),"", IF(P253='G-1 All Habitats'!$X$3,H253-S253-T253,"None"))</f>
        <v/>
      </c>
      <c r="AD253" s="496" t="str">
        <f>IF(P253="","", IF(P253='G-1 All Habitats'!$X$3, AC253*J253*L253*O253,"None"))</f>
        <v/>
      </c>
      <c r="AE253" s="20" t="str">
        <f t="shared" si="21"/>
        <v/>
      </c>
      <c r="AF253" s="25" t="str">
        <f t="shared" si="22"/>
        <v/>
      </c>
      <c r="AG253" s="25" t="str">
        <f t="shared" si="18"/>
        <v/>
      </c>
      <c r="AH253" s="25" t="str">
        <f>IF(I253="","",IF(#REF!&gt;0,TRUE,FALSE))</f>
        <v/>
      </c>
      <c r="AI253" s="25">
        <v>243</v>
      </c>
      <c r="AJ253" s="25"/>
      <c r="AK253" s="25" t="str">
        <f t="array" ref="AK253">IFERROR(INDEX($AI$11:$AI$259, MATCH(0, IF(TRUE=$AF$11:$AF$259, COUNTIF($AK$10:$AK252, $AI$11:$AI$259), ""), 0)),"")</f>
        <v/>
      </c>
      <c r="AL253" s="25" t="str">
        <f t="array" ref="AL253">IFERROR(INDEX($AI$11:$AI$259, MATCH(0, IF(TRUE=$AG$11:$AG$259, COUNTIF($AL$10:$AL252, $AI$11:$AI$259), ""), 0)),"")</f>
        <v/>
      </c>
      <c r="AM253" s="25" t="str">
        <f t="array" ref="AM253">IFERROR(INDEX($AI$11:$AI$259, MATCH(0, IF(TRUE=$AH$11:$AH$259, COUNTIF($AM$10:$AM252, $AI$11:$AI$259), ""), 0)),"")</f>
        <v/>
      </c>
      <c r="AN253" s="25"/>
      <c r="AQ253" s="20">
        <f t="shared" si="23"/>
        <v>0</v>
      </c>
      <c r="AV253" s="540" t="str">
        <f>IFERROR(INDEX('G-1 All Habitats'!$B$3:$B$135,MATCH(F253,'G-1 All Habitats'!$A$3:$A$135,0)),"")</f>
        <v/>
      </c>
      <c r="AW253" s="20" t="str">
        <f>IF(AV253="","",VLOOKUP(AV253,'G-1 All Habitats'!$B$1:$T$135,19,FALSE))</f>
        <v/>
      </c>
    </row>
    <row r="254" spans="1:49" ht="14.5" thickBot="1" x14ac:dyDescent="0.35">
      <c r="A254" s="20" t="str">
        <f>IFERROR(INDEX('G-1 All Habitats'!$AG$3:$AG$17,MATCH(E254,'G-1 All Habitats'!$AF$3:$AF$17,0)),"")</f>
        <v/>
      </c>
      <c r="B254" s="20" t="str">
        <f>IFERROR(INDEX('G-8 Condition Look up'!$I$4:$I$135,MATCH(AV254,'G-8 Condition Look up'!$A$4:$A$135,0)),"")</f>
        <v/>
      </c>
      <c r="D254" s="238">
        <v>244</v>
      </c>
      <c r="E254" s="223"/>
      <c r="F254" s="45"/>
      <c r="G254" s="272"/>
      <c r="H254" s="37"/>
      <c r="I254" s="290" t="str">
        <f>IF(AV254="","",VLOOKUP(AV254,'G-1 All Habitats'!$B$2:$M$135,10,FALSE))</f>
        <v/>
      </c>
      <c r="J254" s="291" t="str">
        <f>IFERROR(VLOOKUP(I254,'G-1 All Habitats'!$V$3:$W$7,2,FALSE),"")</f>
        <v/>
      </c>
      <c r="K254" s="38"/>
      <c r="L254" s="291" t="str">
        <f>IFERROR(INDEX('G-8 Condition Look up'!$A$3:$H$135,MATCH(AV254,'G-8 Condition Look up'!$A$3:$A$135,0),MATCH(K254,'G-8 Condition Look up'!$A$3:$H$3,0)),"")</f>
        <v/>
      </c>
      <c r="M254" s="38"/>
      <c r="N254" s="310" t="str">
        <f>IF(M254="","",IF(VLOOKUP(M254,'G-3 Multipliers'!$L$3:$N$6,2,FALSE)=0,"Spatial Data Missing",VLOOKUP(M254,'G-3 Multipliers'!$L$3:$N$6,2,FALSE)))</f>
        <v/>
      </c>
      <c r="O254" s="296" t="str">
        <f>IF(M254="","",IF(VLOOKUP(M254,'G-3 Multipliers'!$L$3:$N$6,3,FALSE)=0,"Spatial Data Missing ▲",VLOOKUP(M254,'G-3 Multipliers'!$L$3:$N$6,3,FALSE)))</f>
        <v/>
      </c>
      <c r="P254" s="297" t="str">
        <f>(IF(G254="Yes","Bespoke compensation likely to be required 🛠",(IFERROR(VLOOKUP(AV254,'G-1 All Habitats'!$B$2:$M$135,12,FALSE),""))))</f>
        <v/>
      </c>
      <c r="Q254" s="304" t="str">
        <f>IFERROR(IF(AND(E254="Individual trees",T254&gt;0), "Error - you cannot enhance individual trees ▲", (IF(AND(U254="Irreplaceable habitat - no units generated ⚠",(S254+T254)&lt;H254, OR(Y254="No", Y254="")),"Any Loss Unacceptable ⚠", (IF(U254="Irreplaceable habitat - no units generated ⚠", T254*J254*L254*O254, IF(AND(P254='G-1 All Habitats'!$X$3, AC254&gt;0, S254&lt;=0, T254&lt;=0, OR(Y254="No", Y254="")),"Any Loss Unacceptable ⚠", IF(AND(P254='G-1 All Habitats'!$X$3, AC254&gt;0, S254&lt;=0, T254&lt;=0, Y254="Yes"), 0, (IF(AND(P254='G-1 All Habitats'!$X$3,(S254+T254)&lt;H254, OR(Y254="No", Y254="")),"Any Loss Unacceptable ⚠", (IF(P254="","",IF(AND(P254='G-1 All Habitats'!$X$3,T254&gt;0),U254+V254,IF(AND(P254='G-1 All Habitats'!$X$3,S254&gt;0),U254+V254,H254*J254*L254*O254))))))))))))),"Check Data ▲")</f>
        <v/>
      </c>
      <c r="R254" s="23"/>
      <c r="S254" s="38"/>
      <c r="T254" s="39"/>
      <c r="U254" s="302" t="str">
        <f t="shared" si="19"/>
        <v/>
      </c>
      <c r="V254" s="302" t="str">
        <f t="shared" si="20"/>
        <v/>
      </c>
      <c r="W254" s="302" t="str">
        <f>IF(E254="","",IF(H254&lt;S254+T254,"Error in Areas ▲",IF(P254&lt;&gt;'G-1 All Habitats'!$X$3,H254-S254-T254,IF(AND(P254='G-1 All Habitats'!$X$3,Y254="No"),AC254,IF(AND(P254='G-1 All Habitats'!$X$3,Y254=""),AC254,IF(AND(P254='G-1 All Habitats'!$X$3,AC254="None"),AC254,IF(AND(P254='G-1 All Habitats'!$X$3,AC254&gt;0),H254-S254-T254)))))))</f>
        <v/>
      </c>
      <c r="X254" s="306" t="str">
        <f>IFERROR(IF(H254="","",IF(H254-S254-T254=0&lt;0,"Error in Areas ▲",IF(S254+T254&gt;H254,"Error in Areas ▲",IF(AND(P254='G-1 All Habitats'!$X$3,Y254="Yes"),"Alternative Compensation ✓",IF(W254=0,0,IF(P254='G-1 All Habitats'!$X$3,"Any Loss Unacceptable ▲",Q254-U254-V254)))))),"Check Data ▲")</f>
        <v/>
      </c>
      <c r="Y254" s="39"/>
      <c r="Z254" s="46"/>
      <c r="AA254" s="419"/>
      <c r="AB254" s="101"/>
      <c r="AC254" s="495" t="str">
        <f>IF(OR(P254="", Y254="Yes"),"", IF(P254='G-1 All Habitats'!$X$3,H254-S254-T254,"None"))</f>
        <v/>
      </c>
      <c r="AD254" s="496" t="str">
        <f>IF(P254="","", IF(P254='G-1 All Habitats'!$X$3, AC254*J254*L254*O254,"None"))</f>
        <v/>
      </c>
      <c r="AE254" s="20" t="str">
        <f t="shared" si="21"/>
        <v/>
      </c>
      <c r="AF254" s="25" t="str">
        <f t="shared" si="22"/>
        <v/>
      </c>
      <c r="AG254" s="25" t="str">
        <f t="shared" si="18"/>
        <v/>
      </c>
      <c r="AH254" s="25" t="str">
        <f>IF(I254="","",IF(#REF!&gt;0,TRUE,FALSE))</f>
        <v/>
      </c>
      <c r="AI254" s="25">
        <v>244</v>
      </c>
      <c r="AJ254" s="25"/>
      <c r="AK254" s="25" t="str">
        <f t="array" ref="AK254">IFERROR(INDEX($AI$11:$AI$259, MATCH(0, IF(TRUE=$AF$11:$AF$259, COUNTIF($AK$10:$AK253, $AI$11:$AI$259), ""), 0)),"")</f>
        <v/>
      </c>
      <c r="AL254" s="25" t="str">
        <f t="array" ref="AL254">IFERROR(INDEX($AI$11:$AI$259, MATCH(0, IF(TRUE=$AG$11:$AG$259, COUNTIF($AL$10:$AL253, $AI$11:$AI$259), ""), 0)),"")</f>
        <v/>
      </c>
      <c r="AM254" s="25" t="str">
        <f t="array" ref="AM254">IFERROR(INDEX($AI$11:$AI$259, MATCH(0, IF(TRUE=$AH$11:$AH$259, COUNTIF($AM$10:$AM253, $AI$11:$AI$259), ""), 0)),"")</f>
        <v/>
      </c>
      <c r="AN254" s="25"/>
      <c r="AQ254" s="20">
        <f t="shared" si="23"/>
        <v>0</v>
      </c>
      <c r="AV254" s="540" t="str">
        <f>IFERROR(INDEX('G-1 All Habitats'!$B$3:$B$135,MATCH(F254,'G-1 All Habitats'!$A$3:$A$135,0)),"")</f>
        <v/>
      </c>
      <c r="AW254" s="20" t="str">
        <f>IF(AV254="","",VLOOKUP(AV254,'G-1 All Habitats'!$B$1:$T$135,19,FALSE))</f>
        <v/>
      </c>
    </row>
    <row r="255" spans="1:49" ht="14.5" thickBot="1" x14ac:dyDescent="0.35">
      <c r="A255" s="20" t="str">
        <f>IFERROR(INDEX('G-1 All Habitats'!$AG$3:$AG$17,MATCH(E255,'G-1 All Habitats'!$AF$3:$AF$17,0)),"")</f>
        <v/>
      </c>
      <c r="B255" s="20" t="str">
        <f>IFERROR(INDEX('G-8 Condition Look up'!$I$4:$I$135,MATCH(AV255,'G-8 Condition Look up'!$A$4:$A$135,0)),"")</f>
        <v/>
      </c>
      <c r="D255" s="238">
        <v>245</v>
      </c>
      <c r="E255" s="223"/>
      <c r="F255" s="45"/>
      <c r="G255" s="272"/>
      <c r="H255" s="37"/>
      <c r="I255" s="290" t="str">
        <f>IF(AV255="","",VLOOKUP(AV255,'G-1 All Habitats'!$B$2:$M$135,10,FALSE))</f>
        <v/>
      </c>
      <c r="J255" s="291" t="str">
        <f>IFERROR(VLOOKUP(I255,'G-1 All Habitats'!$V$3:$W$7,2,FALSE),"")</f>
        <v/>
      </c>
      <c r="K255" s="38"/>
      <c r="L255" s="291" t="str">
        <f>IFERROR(INDEX('G-8 Condition Look up'!$A$3:$H$135,MATCH(AV255,'G-8 Condition Look up'!$A$3:$A$135,0),MATCH(K255,'G-8 Condition Look up'!$A$3:$H$3,0)),"")</f>
        <v/>
      </c>
      <c r="M255" s="38"/>
      <c r="N255" s="310" t="str">
        <f>IF(M255="","",IF(VLOOKUP(M255,'G-3 Multipliers'!$L$3:$N$6,2,FALSE)=0,"Spatial Data Missing",VLOOKUP(M255,'G-3 Multipliers'!$L$3:$N$6,2,FALSE)))</f>
        <v/>
      </c>
      <c r="O255" s="296" t="str">
        <f>IF(M255="","",IF(VLOOKUP(M255,'G-3 Multipliers'!$L$3:$N$6,3,FALSE)=0,"Spatial Data Missing ▲",VLOOKUP(M255,'G-3 Multipliers'!$L$3:$N$6,3,FALSE)))</f>
        <v/>
      </c>
      <c r="P255" s="297" t="str">
        <f>(IF(G255="Yes","Bespoke compensation likely to be required 🛠",(IFERROR(VLOOKUP(AV255,'G-1 All Habitats'!$B$2:$M$135,12,FALSE),""))))</f>
        <v/>
      </c>
      <c r="Q255" s="304" t="str">
        <f>IFERROR(IF(AND(E255="Individual trees",T255&gt;0), "Error - you cannot enhance individual trees ▲", (IF(AND(U255="Irreplaceable habitat - no units generated ⚠",(S255+T255)&lt;H255, OR(Y255="No", Y255="")),"Any Loss Unacceptable ⚠", (IF(U255="Irreplaceable habitat - no units generated ⚠", T255*J255*L255*O255, IF(AND(P255='G-1 All Habitats'!$X$3, AC255&gt;0, S255&lt;=0, T255&lt;=0, OR(Y255="No", Y255="")),"Any Loss Unacceptable ⚠", IF(AND(P255='G-1 All Habitats'!$X$3, AC255&gt;0, S255&lt;=0, T255&lt;=0, Y255="Yes"), 0, (IF(AND(P255='G-1 All Habitats'!$X$3,(S255+T255)&lt;H255, OR(Y255="No", Y255="")),"Any Loss Unacceptable ⚠", (IF(P255="","",IF(AND(P255='G-1 All Habitats'!$X$3,T255&gt;0),U255+V255,IF(AND(P255='G-1 All Habitats'!$X$3,S255&gt;0),U255+V255,H255*J255*L255*O255))))))))))))),"Check Data ▲")</f>
        <v/>
      </c>
      <c r="R255" s="23"/>
      <c r="S255" s="38"/>
      <c r="T255" s="39"/>
      <c r="U255" s="302" t="str">
        <f t="shared" si="19"/>
        <v/>
      </c>
      <c r="V255" s="302" t="str">
        <f t="shared" si="20"/>
        <v/>
      </c>
      <c r="W255" s="302" t="str">
        <f>IF(E255="","",IF(H255&lt;S255+T255,"Error in Areas ▲",IF(P255&lt;&gt;'G-1 All Habitats'!$X$3,H255-S255-T255,IF(AND(P255='G-1 All Habitats'!$X$3,Y255="No"),AC255,IF(AND(P255='G-1 All Habitats'!$X$3,Y255=""),AC255,IF(AND(P255='G-1 All Habitats'!$X$3,AC255="None"),AC255,IF(AND(P255='G-1 All Habitats'!$X$3,AC255&gt;0),H255-S255-T255)))))))</f>
        <v/>
      </c>
      <c r="X255" s="306" t="str">
        <f>IFERROR(IF(H255="","",IF(H255-S255-T255=0&lt;0,"Error in Areas ▲",IF(S255+T255&gt;H255,"Error in Areas ▲",IF(AND(P255='G-1 All Habitats'!$X$3,Y255="Yes"),"Alternative Compensation ✓",IF(W255=0,0,IF(P255='G-1 All Habitats'!$X$3,"Any Loss Unacceptable ▲",Q255-U255-V255)))))),"Check Data ▲")</f>
        <v/>
      </c>
      <c r="Y255" s="39"/>
      <c r="Z255" s="46"/>
      <c r="AA255" s="419"/>
      <c r="AB255" s="101"/>
      <c r="AC255" s="495" t="str">
        <f>IF(OR(P255="", Y255="Yes"),"", IF(P255='G-1 All Habitats'!$X$3,H255-S255-T255,"None"))</f>
        <v/>
      </c>
      <c r="AD255" s="496" t="str">
        <f>IF(P255="","", IF(P255='G-1 All Habitats'!$X$3, AC255*J255*L255*O255,"None"))</f>
        <v/>
      </c>
      <c r="AE255" s="20" t="str">
        <f t="shared" si="21"/>
        <v/>
      </c>
      <c r="AF255" s="25" t="str">
        <f t="shared" si="22"/>
        <v/>
      </c>
      <c r="AG255" s="25" t="str">
        <f t="shared" si="18"/>
        <v/>
      </c>
      <c r="AH255" s="25" t="str">
        <f>IF(I255="","",IF(#REF!&gt;0,TRUE,FALSE))</f>
        <v/>
      </c>
      <c r="AI255" s="25">
        <v>245</v>
      </c>
      <c r="AJ255" s="25"/>
      <c r="AK255" s="25" t="str">
        <f t="array" ref="AK255">IFERROR(INDEX($AI$11:$AI$259, MATCH(0, IF(TRUE=$AF$11:$AF$259, COUNTIF($AK$10:$AK254, $AI$11:$AI$259), ""), 0)),"")</f>
        <v/>
      </c>
      <c r="AL255" s="25" t="str">
        <f t="array" ref="AL255">IFERROR(INDEX($AI$11:$AI$259, MATCH(0, IF(TRUE=$AG$11:$AG$259, COUNTIF($AL$10:$AL254, $AI$11:$AI$259), ""), 0)),"")</f>
        <v/>
      </c>
      <c r="AM255" s="25" t="str">
        <f t="array" ref="AM255">IFERROR(INDEX($AI$11:$AI$259, MATCH(0, IF(TRUE=$AH$11:$AH$259, COUNTIF($AM$10:$AM254, $AI$11:$AI$259), ""), 0)),"")</f>
        <v/>
      </c>
      <c r="AN255" s="25"/>
      <c r="AQ255" s="20">
        <f t="shared" si="23"/>
        <v>0</v>
      </c>
      <c r="AV255" s="540" t="str">
        <f>IFERROR(INDEX('G-1 All Habitats'!$B$3:$B$135,MATCH(F255,'G-1 All Habitats'!$A$3:$A$135,0)),"")</f>
        <v/>
      </c>
      <c r="AW255" s="20" t="str">
        <f>IF(AV255="","",VLOOKUP(AV255,'G-1 All Habitats'!$B$1:$T$135,19,FALSE))</f>
        <v/>
      </c>
    </row>
    <row r="256" spans="1:49" ht="14.5" thickBot="1" x14ac:dyDescent="0.35">
      <c r="A256" s="20" t="str">
        <f>IFERROR(INDEX('G-1 All Habitats'!$AG$3:$AG$17,MATCH(E256,'G-1 All Habitats'!$AF$3:$AF$17,0)),"")</f>
        <v/>
      </c>
      <c r="B256" s="20" t="str">
        <f>IFERROR(INDEX('G-8 Condition Look up'!$I$4:$I$135,MATCH(AV256,'G-8 Condition Look up'!$A$4:$A$135,0)),"")</f>
        <v/>
      </c>
      <c r="D256" s="238">
        <v>246</v>
      </c>
      <c r="E256" s="223"/>
      <c r="F256" s="45"/>
      <c r="G256" s="272"/>
      <c r="H256" s="37"/>
      <c r="I256" s="290" t="str">
        <f>IF(AV256="","",VLOOKUP(AV256,'G-1 All Habitats'!$B$2:$M$135,10,FALSE))</f>
        <v/>
      </c>
      <c r="J256" s="291" t="str">
        <f>IFERROR(VLOOKUP(I256,'G-1 All Habitats'!$V$3:$W$7,2,FALSE),"")</f>
        <v/>
      </c>
      <c r="K256" s="38"/>
      <c r="L256" s="291" t="str">
        <f>IFERROR(INDEX('G-8 Condition Look up'!$A$3:$H$135,MATCH(AV256,'G-8 Condition Look up'!$A$3:$A$135,0),MATCH(K256,'G-8 Condition Look up'!$A$3:$H$3,0)),"")</f>
        <v/>
      </c>
      <c r="M256" s="38"/>
      <c r="N256" s="310" t="str">
        <f>IF(M256="","",IF(VLOOKUP(M256,'G-3 Multipliers'!$L$3:$N$6,2,FALSE)=0,"Spatial Data Missing",VLOOKUP(M256,'G-3 Multipliers'!$L$3:$N$6,2,FALSE)))</f>
        <v/>
      </c>
      <c r="O256" s="296" t="str">
        <f>IF(M256="","",IF(VLOOKUP(M256,'G-3 Multipliers'!$L$3:$N$6,3,FALSE)=0,"Spatial Data Missing ▲",VLOOKUP(M256,'G-3 Multipliers'!$L$3:$N$6,3,FALSE)))</f>
        <v/>
      </c>
      <c r="P256" s="297" t="str">
        <f>(IF(G256="Yes","Bespoke compensation likely to be required 🛠",(IFERROR(VLOOKUP(AV256,'G-1 All Habitats'!$B$2:$M$135,12,FALSE),""))))</f>
        <v/>
      </c>
      <c r="Q256" s="304" t="str">
        <f>IFERROR(IF(AND(E256="Individual trees",T256&gt;0), "Error - you cannot enhance individual trees ▲", (IF(AND(U256="Irreplaceable habitat - no units generated ⚠",(S256+T256)&lt;H256, OR(Y256="No", Y256="")),"Any Loss Unacceptable ⚠", (IF(U256="Irreplaceable habitat - no units generated ⚠", T256*J256*L256*O256, IF(AND(P256='G-1 All Habitats'!$X$3, AC256&gt;0, S256&lt;=0, T256&lt;=0, OR(Y256="No", Y256="")),"Any Loss Unacceptable ⚠", IF(AND(P256='G-1 All Habitats'!$X$3, AC256&gt;0, S256&lt;=0, T256&lt;=0, Y256="Yes"), 0, (IF(AND(P256='G-1 All Habitats'!$X$3,(S256+T256)&lt;H256, OR(Y256="No", Y256="")),"Any Loss Unacceptable ⚠", (IF(P256="","",IF(AND(P256='G-1 All Habitats'!$X$3,T256&gt;0),U256+V256,IF(AND(P256='G-1 All Habitats'!$X$3,S256&gt;0),U256+V256,H256*J256*L256*O256))))))))))))),"Check Data ▲")</f>
        <v/>
      </c>
      <c r="R256" s="23"/>
      <c r="S256" s="38"/>
      <c r="T256" s="39"/>
      <c r="U256" s="302" t="str">
        <f t="shared" si="19"/>
        <v/>
      </c>
      <c r="V256" s="302" t="str">
        <f t="shared" si="20"/>
        <v/>
      </c>
      <c r="W256" s="302" t="str">
        <f>IF(E256="","",IF(H256&lt;S256+T256,"Error in Areas ▲",IF(P256&lt;&gt;'G-1 All Habitats'!$X$3,H256-S256-T256,IF(AND(P256='G-1 All Habitats'!$X$3,Y256="No"),AC256,IF(AND(P256='G-1 All Habitats'!$X$3,Y256=""),AC256,IF(AND(P256='G-1 All Habitats'!$X$3,AC256="None"),AC256,IF(AND(P256='G-1 All Habitats'!$X$3,AC256&gt;0),H256-S256-T256)))))))</f>
        <v/>
      </c>
      <c r="X256" s="306" t="str">
        <f>IFERROR(IF(H256="","",IF(H256-S256-T256=0&lt;0,"Error in Areas ▲",IF(S256+T256&gt;H256,"Error in Areas ▲",IF(AND(P256='G-1 All Habitats'!$X$3,Y256="Yes"),"Alternative Compensation ✓",IF(W256=0,0,IF(P256='G-1 All Habitats'!$X$3,"Any Loss Unacceptable ▲",Q256-U256-V256)))))),"Check Data ▲")</f>
        <v/>
      </c>
      <c r="Y256" s="39"/>
      <c r="Z256" s="46"/>
      <c r="AA256" s="419"/>
      <c r="AB256" s="101"/>
      <c r="AC256" s="495" t="str">
        <f>IF(OR(P256="", Y256="Yes"),"", IF(P256='G-1 All Habitats'!$X$3,H256-S256-T256,"None"))</f>
        <v/>
      </c>
      <c r="AD256" s="496" t="str">
        <f>IF(P256="","", IF(P256='G-1 All Habitats'!$X$3, AC256*J256*L256*O256,"None"))</f>
        <v/>
      </c>
      <c r="AE256" s="20" t="str">
        <f t="shared" si="21"/>
        <v/>
      </c>
      <c r="AF256" s="25" t="str">
        <f t="shared" si="22"/>
        <v/>
      </c>
      <c r="AG256" s="25" t="str">
        <f t="shared" si="18"/>
        <v/>
      </c>
      <c r="AH256" s="25" t="str">
        <f>IF(I256="","",IF(#REF!&gt;0,TRUE,FALSE))</f>
        <v/>
      </c>
      <c r="AI256" s="25">
        <v>246</v>
      </c>
      <c r="AJ256" s="25"/>
      <c r="AK256" s="25" t="str">
        <f t="array" ref="AK256">IFERROR(INDEX($AI$11:$AI$259, MATCH(0, IF(TRUE=$AF$11:$AF$259, COUNTIF($AK$10:$AK255, $AI$11:$AI$259), ""), 0)),"")</f>
        <v/>
      </c>
      <c r="AL256" s="25" t="str">
        <f t="array" ref="AL256">IFERROR(INDEX($AI$11:$AI$259, MATCH(0, IF(TRUE=$AG$11:$AG$259, COUNTIF($AL$10:$AL255, $AI$11:$AI$259), ""), 0)),"")</f>
        <v/>
      </c>
      <c r="AM256" s="25" t="str">
        <f t="array" ref="AM256">IFERROR(INDEX($AI$11:$AI$259, MATCH(0, IF(TRUE=$AH$11:$AH$259, COUNTIF($AM$10:$AM255, $AI$11:$AI$259), ""), 0)),"")</f>
        <v/>
      </c>
      <c r="AN256" s="25"/>
      <c r="AQ256" s="20">
        <f t="shared" si="23"/>
        <v>0</v>
      </c>
      <c r="AV256" s="540" t="str">
        <f>IFERROR(INDEX('G-1 All Habitats'!$B$3:$B$135,MATCH(F256,'G-1 All Habitats'!$A$3:$A$135,0)),"")</f>
        <v/>
      </c>
      <c r="AW256" s="20" t="str">
        <f>IF(AV256="","",VLOOKUP(AV256,'G-1 All Habitats'!$B$1:$T$135,19,FALSE))</f>
        <v/>
      </c>
    </row>
    <row r="257" spans="1:49" ht="14.5" thickBot="1" x14ac:dyDescent="0.35">
      <c r="A257" s="20" t="str">
        <f>IFERROR(INDEX('G-1 All Habitats'!$AG$3:$AG$17,MATCH(E257,'G-1 All Habitats'!$AF$3:$AF$17,0)),"")</f>
        <v/>
      </c>
      <c r="B257" s="20" t="str">
        <f>IFERROR(INDEX('G-8 Condition Look up'!$I$4:$I$135,MATCH(AV257,'G-8 Condition Look up'!$A$4:$A$135,0)),"")</f>
        <v/>
      </c>
      <c r="D257" s="238">
        <v>247</v>
      </c>
      <c r="E257" s="223"/>
      <c r="F257" s="45"/>
      <c r="G257" s="272"/>
      <c r="H257" s="37"/>
      <c r="I257" s="290" t="str">
        <f>IF(AV257="","",VLOOKUP(AV257,'G-1 All Habitats'!$B$2:$M$135,10,FALSE))</f>
        <v/>
      </c>
      <c r="J257" s="291" t="str">
        <f>IFERROR(VLOOKUP(I257,'G-1 All Habitats'!$V$3:$W$7,2,FALSE),"")</f>
        <v/>
      </c>
      <c r="K257" s="38"/>
      <c r="L257" s="291" t="str">
        <f>IFERROR(INDEX('G-8 Condition Look up'!$A$3:$H$135,MATCH(AV257,'G-8 Condition Look up'!$A$3:$A$135,0),MATCH(K257,'G-8 Condition Look up'!$A$3:$H$3,0)),"")</f>
        <v/>
      </c>
      <c r="M257" s="38"/>
      <c r="N257" s="310" t="str">
        <f>IF(M257="","",IF(VLOOKUP(M257,'G-3 Multipliers'!$L$3:$N$6,2,FALSE)=0,"Spatial Data Missing",VLOOKUP(M257,'G-3 Multipliers'!$L$3:$N$6,2,FALSE)))</f>
        <v/>
      </c>
      <c r="O257" s="296" t="str">
        <f>IF(M257="","",IF(VLOOKUP(M257,'G-3 Multipliers'!$L$3:$N$6,3,FALSE)=0,"Spatial Data Missing ▲",VLOOKUP(M257,'G-3 Multipliers'!$L$3:$N$6,3,FALSE)))</f>
        <v/>
      </c>
      <c r="P257" s="297" t="str">
        <f>(IF(G257="Yes","Bespoke compensation likely to be required 🛠",(IFERROR(VLOOKUP(AV257,'G-1 All Habitats'!$B$2:$M$135,12,FALSE),""))))</f>
        <v/>
      </c>
      <c r="Q257" s="304" t="str">
        <f>IFERROR(IF(AND(E257="Individual trees",T257&gt;0), "Error - you cannot enhance individual trees ▲", (IF(AND(U257="Irreplaceable habitat - no units generated ⚠",(S257+T257)&lt;H257, OR(Y257="No", Y257="")),"Any Loss Unacceptable ⚠", (IF(U257="Irreplaceable habitat - no units generated ⚠", T257*J257*L257*O257, IF(AND(P257='G-1 All Habitats'!$X$3, AC257&gt;0, S257&lt;=0, T257&lt;=0, OR(Y257="No", Y257="")),"Any Loss Unacceptable ⚠", IF(AND(P257='G-1 All Habitats'!$X$3, AC257&gt;0, S257&lt;=0, T257&lt;=0, Y257="Yes"), 0, (IF(AND(P257='G-1 All Habitats'!$X$3,(S257+T257)&lt;H257, OR(Y257="No", Y257="")),"Any Loss Unacceptable ⚠", (IF(P257="","",IF(AND(P257='G-1 All Habitats'!$X$3,T257&gt;0),U257+V257,IF(AND(P257='G-1 All Habitats'!$X$3,S257&gt;0),U257+V257,H257*J257*L257*O257))))))))))))),"Check Data ▲")</f>
        <v/>
      </c>
      <c r="R257" s="23"/>
      <c r="S257" s="38"/>
      <c r="T257" s="39"/>
      <c r="U257" s="302" t="str">
        <f t="shared" si="19"/>
        <v/>
      </c>
      <c r="V257" s="302" t="str">
        <f t="shared" si="20"/>
        <v/>
      </c>
      <c r="W257" s="302" t="str">
        <f>IF(E257="","",IF(H257&lt;S257+T257,"Error in Areas ▲",IF(P257&lt;&gt;'G-1 All Habitats'!$X$3,H257-S257-T257,IF(AND(P257='G-1 All Habitats'!$X$3,Y257="No"),AC257,IF(AND(P257='G-1 All Habitats'!$X$3,Y257=""),AC257,IF(AND(P257='G-1 All Habitats'!$X$3,AC257="None"),AC257,IF(AND(P257='G-1 All Habitats'!$X$3,AC257&gt;0),H257-S257-T257)))))))</f>
        <v/>
      </c>
      <c r="X257" s="306" t="str">
        <f>IFERROR(IF(H257="","",IF(H257-S257-T257=0&lt;0,"Error in Areas ▲",IF(S257+T257&gt;H257,"Error in Areas ▲",IF(AND(P257='G-1 All Habitats'!$X$3,Y257="Yes"),"Alternative Compensation ✓",IF(W257=0,0,IF(P257='G-1 All Habitats'!$X$3,"Any Loss Unacceptable ▲",Q257-U257-V257)))))),"Check Data ▲")</f>
        <v/>
      </c>
      <c r="Y257" s="39"/>
      <c r="Z257" s="46"/>
      <c r="AA257" s="419"/>
      <c r="AB257" s="101"/>
      <c r="AC257" s="495" t="str">
        <f>IF(OR(P257="", Y257="Yes"),"", IF(P257='G-1 All Habitats'!$X$3,H257-S257-T257,"None"))</f>
        <v/>
      </c>
      <c r="AD257" s="496" t="str">
        <f>IF(P257="","", IF(P257='G-1 All Habitats'!$X$3, AC257*J257*L257*O257,"None"))</f>
        <v/>
      </c>
      <c r="AE257" s="20" t="str">
        <f t="shared" si="21"/>
        <v/>
      </c>
      <c r="AF257" s="25" t="str">
        <f t="shared" si="22"/>
        <v/>
      </c>
      <c r="AG257" s="25" t="str">
        <f t="shared" si="18"/>
        <v/>
      </c>
      <c r="AH257" s="25" t="str">
        <f>IF(I257="","",IF(#REF!&gt;0,TRUE,FALSE))</f>
        <v/>
      </c>
      <c r="AI257" s="25">
        <v>247</v>
      </c>
      <c r="AJ257" s="25"/>
      <c r="AK257" s="25" t="str">
        <f t="array" ref="AK257">IFERROR(INDEX($AI$11:$AI$259, MATCH(0, IF(TRUE=$AF$11:$AF$259, COUNTIF($AK$10:$AK256, $AI$11:$AI$259), ""), 0)),"")</f>
        <v/>
      </c>
      <c r="AL257" s="25" t="str">
        <f t="array" ref="AL257">IFERROR(INDEX($AI$11:$AI$259, MATCH(0, IF(TRUE=$AG$11:$AG$259, COUNTIF($AL$10:$AL256, $AI$11:$AI$259), ""), 0)),"")</f>
        <v/>
      </c>
      <c r="AM257" s="25" t="str">
        <f t="array" ref="AM257">IFERROR(INDEX($AI$11:$AI$259, MATCH(0, IF(TRUE=$AH$11:$AH$259, COUNTIF($AM$10:$AM256, $AI$11:$AI$259), ""), 0)),"")</f>
        <v/>
      </c>
      <c r="AN257" s="25"/>
      <c r="AQ257" s="20">
        <f t="shared" si="23"/>
        <v>0</v>
      </c>
      <c r="AV257" s="540" t="str">
        <f>IFERROR(INDEX('G-1 All Habitats'!$B$3:$B$135,MATCH(F257,'G-1 All Habitats'!$A$3:$A$135,0)),"")</f>
        <v/>
      </c>
      <c r="AW257" s="20" t="str">
        <f>IF(AV257="","",VLOOKUP(AV257,'G-1 All Habitats'!$B$1:$T$135,19,FALSE))</f>
        <v/>
      </c>
    </row>
    <row r="258" spans="1:49" ht="14.5" thickBot="1" x14ac:dyDescent="0.35">
      <c r="A258" s="20" t="str">
        <f>IFERROR(INDEX('G-1 All Habitats'!$AG$3:$AG$17,MATCH(E258,'G-1 All Habitats'!$AF$3:$AF$17,0)),"")</f>
        <v/>
      </c>
      <c r="B258" s="20" t="str">
        <f>IFERROR(INDEX('G-8 Condition Look up'!$I$4:$I$135,MATCH(AV258,'G-8 Condition Look up'!$A$4:$A$135,0)),"")</f>
        <v/>
      </c>
      <c r="D258" s="30">
        <v>248</v>
      </c>
      <c r="E258" s="165"/>
      <c r="F258" s="165"/>
      <c r="G258" s="273"/>
      <c r="H258" s="215"/>
      <c r="I258" s="547" t="str">
        <f>IF(AV258="","",VLOOKUP(AV258,'G-1 All Habitats'!$B$2:$M$135,10,FALSE))</f>
        <v/>
      </c>
      <c r="J258" s="548" t="str">
        <f>IFERROR(VLOOKUP(I258,'G-1 All Habitats'!$V$3:$W$7,2,FALSE),"")</f>
        <v/>
      </c>
      <c r="K258" s="213"/>
      <c r="L258" s="548" t="str">
        <f>IFERROR(INDEX('G-8 Condition Look up'!$A$3:$H$135,MATCH(AV258,'G-8 Condition Look up'!$A$3:$A$135,0),MATCH(K258,'G-8 Condition Look up'!$A$3:$H$3,0)),"")</f>
        <v/>
      </c>
      <c r="M258" s="213"/>
      <c r="N258" s="549" t="str">
        <f>IF(M258="","",IF(VLOOKUP(M258,'G-3 Multipliers'!$L$3:$N$6,2,FALSE)=0,"Spatial Data Missing",VLOOKUP(M258,'G-3 Multipliers'!$L$3:$N$6,2,FALSE)))</f>
        <v/>
      </c>
      <c r="O258" s="300" t="str">
        <f>IF(M258="","",IF(VLOOKUP(M258,'G-3 Multipliers'!$L$3:$N$6,3,FALSE)=0,"Spatial Data Missing ▲",VLOOKUP(M258,'G-3 Multipliers'!$L$3:$N$6,3,FALSE)))</f>
        <v/>
      </c>
      <c r="P258" s="550" t="str">
        <f>(IF(G258="Yes","Bespoke compensation likely to be required 🛠",(IFERROR(VLOOKUP(AV258,'G-1 All Habitats'!$B$2:$M$135,12,FALSE),""))))</f>
        <v/>
      </c>
      <c r="Q258" s="304" t="str">
        <f>IFERROR(IF(AND(E258="Individual trees",T258&gt;0), "Error - you cannot enhance individual trees ▲", (IF(AND(U258="Irreplaceable habitat - no units generated ⚠",(S258+T258)&lt;H258, OR(Y258="No", Y258="")),"Any Loss Unacceptable ⚠", (IF(U258="Irreplaceable habitat - no units generated ⚠", T258*J258*L258*O258, IF(AND(P258='G-1 All Habitats'!$X$3, AC258&gt;0, S258&lt;=0, T258&lt;=0, OR(Y258="No", Y258="")),"Any Loss Unacceptable ⚠", IF(AND(P258='G-1 All Habitats'!$X$3, AC258&gt;0, S258&lt;=0, T258&lt;=0, Y258="Yes"), 0, (IF(AND(P258='G-1 All Habitats'!$X$3,(S258+T258)&lt;H258, OR(Y258="No", Y258="")),"Any Loss Unacceptable ⚠", (IF(P258="","",IF(AND(P258='G-1 All Habitats'!$X$3,T258&gt;0),U258+V258,IF(AND(P258='G-1 All Habitats'!$X$3,S258&gt;0),U258+V258,H258*J258*L258*O258))))))))))))),"Check Data ▲")</f>
        <v/>
      </c>
      <c r="R258" s="23"/>
      <c r="S258" s="213"/>
      <c r="T258" s="214"/>
      <c r="U258" s="303" t="str">
        <f t="shared" si="19"/>
        <v/>
      </c>
      <c r="V258" s="303" t="str">
        <f t="shared" si="20"/>
        <v/>
      </c>
      <c r="W258" s="555" t="str">
        <f>IF(E258="","",IF(H258&lt;S258+T258,"Error in Areas ▲",IF(P258&lt;&gt;'G-1 All Habitats'!$X$3,H258-S258-T258,IF(AND(P258='G-1 All Habitats'!$X$3,Y258="No"),AC258,IF(AND(P258='G-1 All Habitats'!$X$3,Y258=""),AC258,IF(AND(P258='G-1 All Habitats'!$X$3,AC258="None"),AC258,IF(AND(P258='G-1 All Habitats'!$X$3,AC258&gt;0),H258-S258-T258)))))))</f>
        <v/>
      </c>
      <c r="X258" s="556" t="str">
        <f>IFERROR(IF(H258="","",IF(H258-S258-T258=0&lt;0,"Error in Areas ▲",IF(S258+T258&gt;H258,"Error in Areas ▲",IF(AND(P258='G-1 All Habitats'!$X$3,Y258="Yes"),"Alternative Compensation ✓",IF(W258=0,0,IF(P258='G-1 All Habitats'!$X$3,"Any Loss Unacceptable ▲",Q258-U258-V258)))))),"Check Data ▲")</f>
        <v/>
      </c>
      <c r="Y258" s="557"/>
      <c r="Z258" s="48"/>
      <c r="AA258" s="420"/>
      <c r="AB258" s="112"/>
      <c r="AC258" s="495" t="str">
        <f>IF(OR(P258="", Y258="Yes"),"", IF(P258='G-1 All Habitats'!$X$3,H258-S258-T258,"None"))</f>
        <v/>
      </c>
      <c r="AD258" s="496" t="str">
        <f>IF(P258="","", IF(P258='G-1 All Habitats'!$X$3, AC258*J258*L258*O258,"None"))</f>
        <v/>
      </c>
      <c r="AE258" s="20" t="str">
        <f t="shared" si="21"/>
        <v/>
      </c>
      <c r="AF258" s="25" t="str">
        <f t="shared" si="22"/>
        <v/>
      </c>
      <c r="AG258" s="25" t="str">
        <f t="shared" si="18"/>
        <v/>
      </c>
      <c r="AH258" s="25" t="str">
        <f>IF(I258="","",IF(#REF!&gt;0,TRUE,FALSE))</f>
        <v/>
      </c>
      <c r="AI258" s="25">
        <v>248</v>
      </c>
      <c r="AJ258" s="25"/>
      <c r="AK258" s="25" t="str">
        <f t="array" ref="AK258">IFERROR(INDEX($AI$11:$AI$259, MATCH(0, IF(TRUE=$AF$11:$AF$259, COUNTIF($AK$10:$AK257, $AI$11:$AI$259), ""), 0)),"")</f>
        <v/>
      </c>
      <c r="AL258" s="25" t="str">
        <f t="array" ref="AL258">IFERROR(INDEX($AI$11:$AI$259, MATCH(0, IF(TRUE=$AG$11:$AG$259, COUNTIF($AL$10:$AL257, $AI$11:$AI$259), ""), 0)),"")</f>
        <v/>
      </c>
      <c r="AM258" s="25" t="str">
        <f t="array" ref="AM258">IFERROR(INDEX($AI$11:$AI$259, MATCH(0, IF(TRUE=$AH$11:$AH$259, COUNTIF($AM$10:$AM257, $AI$11:$AI$259), ""), 0)),"")</f>
        <v/>
      </c>
      <c r="AN258" s="25"/>
      <c r="AQ258" s="20">
        <f t="shared" si="23"/>
        <v>0</v>
      </c>
      <c r="AV258" s="540" t="str">
        <f>IFERROR(INDEX('G-1 All Habitats'!$B$3:$B$135,MATCH(F258,'G-1 All Habitats'!$A$3:$A$135,0)),"")</f>
        <v/>
      </c>
      <c r="AW258" s="20" t="str">
        <f>IF(AV258="","",VLOOKUP(AV258,'G-1 All Habitats'!$B$1:$T$135,19,FALSE))</f>
        <v/>
      </c>
    </row>
    <row r="259" spans="1:49" ht="15" customHeight="1" thickBot="1" x14ac:dyDescent="0.35">
      <c r="F259" s="1114" t="s">
        <v>172</v>
      </c>
      <c r="G259" s="1115"/>
      <c r="H259" s="537">
        <f>SUM(H11:H258)</f>
        <v>0</v>
      </c>
      <c r="N259" s="23"/>
      <c r="P259" s="538"/>
      <c r="Q259" s="330">
        <f>SUM(Q11:Q258)</f>
        <v>0</v>
      </c>
      <c r="R259" s="49"/>
      <c r="S259" s="551">
        <f t="shared" ref="S259:X259" si="24">SUM(S11:S258)</f>
        <v>0</v>
      </c>
      <c r="T259" s="274">
        <f t="shared" si="24"/>
        <v>0</v>
      </c>
      <c r="U259" s="274">
        <f t="shared" si="24"/>
        <v>0</v>
      </c>
      <c r="V259" s="274">
        <f t="shared" si="24"/>
        <v>0</v>
      </c>
      <c r="W259" s="274">
        <f t="shared" si="24"/>
        <v>0</v>
      </c>
      <c r="X259" s="330">
        <f t="shared" si="24"/>
        <v>0</v>
      </c>
      <c r="AC259" s="676">
        <f>SUM(AC11:AC258)</f>
        <v>0</v>
      </c>
      <c r="AQ259" s="26">
        <f>SUM(AQ11:AQ258)</f>
        <v>0</v>
      </c>
      <c r="AV259" s="607"/>
    </row>
    <row r="260" spans="1:49" ht="28.5" customHeight="1" thickBot="1" x14ac:dyDescent="0.35">
      <c r="F260" s="1116" t="s">
        <v>1531</v>
      </c>
      <c r="G260" s="1117"/>
      <c r="H260" s="309">
        <f>SUMIFS($H$11:$H$258,$AV$11:$AV$258,"&lt;&gt;"&amp;'G-1 All Habitats'!B80,$AV$11:$AV$258,"&lt;&gt;"&amp;'G-1 All Habitats'!B81,$AV$11:$AV$258,"&lt;&gt;"&amp;'G-1 All Habitats'!B67,$AV$11:$AV$258,"&lt;&gt;"&amp;'G-1 All Habitats'!B68,$AV$11:$AV$258,"&lt;&gt;"&amp;'G-1 All Habitats'!B134)</f>
        <v>0</v>
      </c>
      <c r="P260" s="23"/>
      <c r="Y260" s="50"/>
    </row>
    <row r="261" spans="1:49" ht="34" customHeight="1" thickBot="1" x14ac:dyDescent="0.35">
      <c r="D261" s="23"/>
      <c r="E261" s="23"/>
      <c r="F261" s="50"/>
      <c r="H261" s="49"/>
      <c r="S261" s="1136" t="s">
        <v>1532</v>
      </c>
      <c r="T261" s="1137"/>
      <c r="U261" s="1137"/>
      <c r="V261" s="1138"/>
      <c r="W261" s="294">
        <f>SUMIFS($W$11:$W$258,$AV$11:$AV$258,"&lt;&gt;"&amp;'G-1 All Habitats'!B67,$AV$11:$AV$258,"&lt;&gt;"&amp;'G-1 All Habitats'!B68,$AV$11:$AV$258,"&lt;&gt;"&amp;'G-1 All Habitats'!B80,$AV$11:$AV$258,"&lt;&gt;"&amp;'G-1 All Habitats'!B81,$AV$11:$AV$258,"&lt;&gt;"&amp;'G-1 All Habitats'!B134)</f>
        <v>0</v>
      </c>
    </row>
    <row r="262" spans="1:49" x14ac:dyDescent="0.3">
      <c r="D262" s="23"/>
      <c r="E262" s="23"/>
    </row>
    <row r="263" spans="1:49" ht="14.5" thickBot="1" x14ac:dyDescent="0.35">
      <c r="D263" s="23"/>
      <c r="E263" s="23"/>
      <c r="F263" s="23"/>
      <c r="H263" s="23"/>
      <c r="I263" s="23"/>
      <c r="J263" s="23"/>
      <c r="K263" s="23"/>
      <c r="L263" s="23"/>
      <c r="M263" s="23"/>
      <c r="N263" s="23"/>
      <c r="O263" s="23"/>
    </row>
    <row r="264" spans="1:49" ht="22" customHeight="1" thickBot="1" x14ac:dyDescent="0.35">
      <c r="D264" s="23"/>
      <c r="E264" s="23"/>
      <c r="F264" s="1110" t="s">
        <v>173</v>
      </c>
      <c r="G264" s="1111"/>
      <c r="H264" s="498" t="s">
        <v>174</v>
      </c>
      <c r="I264" s="502" t="s">
        <v>175</v>
      </c>
      <c r="J264" s="1131" t="s">
        <v>176</v>
      </c>
      <c r="K264" s="1132"/>
      <c r="L264" s="23"/>
      <c r="M264" s="23"/>
      <c r="N264" s="23"/>
      <c r="O264" s="23"/>
    </row>
    <row r="265" spans="1:49" ht="15" customHeight="1" thickBot="1" x14ac:dyDescent="0.35">
      <c r="D265" s="23"/>
      <c r="E265" s="23"/>
      <c r="F265" s="1112"/>
      <c r="G265" s="1113"/>
      <c r="H265" s="674"/>
      <c r="I265" s="301" t="str">
        <f>IF(H264="Hectares",H265,IF(H264="M²",H265/10000,""))</f>
        <v/>
      </c>
      <c r="J265" s="1133" t="str">
        <f>IF(H264="M²",H265,IF(H264="Hectares",H265*10000,""))</f>
        <v/>
      </c>
      <c r="K265" s="1134"/>
      <c r="L265" s="23"/>
      <c r="M265" s="23"/>
      <c r="N265" s="23"/>
      <c r="O265" s="23"/>
    </row>
    <row r="275" x14ac:dyDescent="0.3"/>
  </sheetData>
  <sheetProtection algorithmName="SHA-512" hashValue="mJpvpK3yNL19QfqCeAZWwIBCU1Q2B6xSXMP31pdLIzHTeaa1WjTpr5TJ2zG0kUxNA5Nplxxyk23CfVSOGkVU+Q==" saltValue="XSNI7jmzs0Qg19JvfR3VsA==" spinCount="100000" sheet="1" objects="1" scenarios="1"/>
  <customSheetViews>
    <customSheetView guid="{8BDA793C-C9C5-4FC6-A0A5-F1109F6D4F22}" topLeftCell="C1">
      <pane ySplit="10" topLeftCell="A11" activePane="bottomLeft" state="frozen"/>
      <selection pane="bottomLeft"/>
    </customSheetView>
  </customSheetViews>
  <mergeCells count="25">
    <mergeCell ref="E9:H9"/>
    <mergeCell ref="I9:J9"/>
    <mergeCell ref="K9:L9"/>
    <mergeCell ref="L3:M3"/>
    <mergeCell ref="L4:M4"/>
    <mergeCell ref="L5:M5"/>
    <mergeCell ref="I3:K3"/>
    <mergeCell ref="I4:K4"/>
    <mergeCell ref="I5:K5"/>
    <mergeCell ref="F264:G265"/>
    <mergeCell ref="F259:G259"/>
    <mergeCell ref="F260:G260"/>
    <mergeCell ref="I2:M2"/>
    <mergeCell ref="Z9:AB9"/>
    <mergeCell ref="M9:O9"/>
    <mergeCell ref="S9:X9"/>
    <mergeCell ref="P9:P10"/>
    <mergeCell ref="Y9:Y10"/>
    <mergeCell ref="I6:M8"/>
    <mergeCell ref="J264:K264"/>
    <mergeCell ref="J265:K265"/>
    <mergeCell ref="Q2:X5"/>
    <mergeCell ref="S261:V261"/>
    <mergeCell ref="D3:F4"/>
    <mergeCell ref="D2:F2"/>
  </mergeCells>
  <conditionalFormatting sqref="AC11:AC258">
    <cfRule type="cellIs" dxfId="383" priority="191" operator="equal">
      <formula>""</formula>
    </cfRule>
    <cfRule type="cellIs" dxfId="382" priority="192" operator="equal">
      <formula>"None"</formula>
    </cfRule>
    <cfRule type="cellIs" dxfId="381" priority="196" operator="greaterThan">
      <formula>0</formula>
    </cfRule>
  </conditionalFormatting>
  <conditionalFormatting sqref="AD12">
    <cfRule type="cellIs" dxfId="380" priority="187" operator="equal">
      <formula>"None"</formula>
    </cfRule>
    <cfRule type="cellIs" dxfId="379" priority="190" operator="equal">
      <formula>""</formula>
    </cfRule>
    <cfRule type="cellIs" dxfId="378" priority="193" operator="greaterThan">
      <formula>0</formula>
    </cfRule>
  </conditionalFormatting>
  <conditionalFormatting sqref="AC11:AC258">
    <cfRule type="cellIs" dxfId="377" priority="176" operator="equal">
      <formula>""</formula>
    </cfRule>
    <cfRule type="cellIs" dxfId="376" priority="177" operator="equal">
      <formula>"None"</formula>
    </cfRule>
    <cfRule type="cellIs" dxfId="375" priority="180" operator="greaterThan">
      <formula>0</formula>
    </cfRule>
  </conditionalFormatting>
  <conditionalFormatting sqref="AD11:AD258">
    <cfRule type="cellIs" dxfId="374" priority="172" operator="equal">
      <formula>"None"</formula>
    </cfRule>
    <cfRule type="cellIs" dxfId="373" priority="175" operator="equal">
      <formula>""</formula>
    </cfRule>
    <cfRule type="cellIs" dxfId="372" priority="178" operator="greaterThan">
      <formula>0</formula>
    </cfRule>
  </conditionalFormatting>
  <conditionalFormatting sqref="AC11:AC258">
    <cfRule type="cellIs" dxfId="371" priority="161" operator="equal">
      <formula>""</formula>
    </cfRule>
    <cfRule type="cellIs" dxfId="370" priority="162" operator="equal">
      <formula>"None"</formula>
    </cfRule>
    <cfRule type="cellIs" dxfId="369" priority="165" operator="greaterThan">
      <formula>0</formula>
    </cfRule>
  </conditionalFormatting>
  <conditionalFormatting sqref="AD13:AD258">
    <cfRule type="cellIs" dxfId="368" priority="157" operator="equal">
      <formula>"None"</formula>
    </cfRule>
    <cfRule type="cellIs" dxfId="367" priority="160" operator="equal">
      <formula>""</formula>
    </cfRule>
    <cfRule type="cellIs" dxfId="366" priority="163" operator="greaterThan">
      <formula>0</formula>
    </cfRule>
  </conditionalFormatting>
  <conditionalFormatting sqref="AC11:AC258">
    <cfRule type="cellIs" dxfId="365" priority="154" operator="equal">
      <formula>0</formula>
    </cfRule>
  </conditionalFormatting>
  <conditionalFormatting sqref="L11:L258">
    <cfRule type="cellIs" dxfId="364" priority="146" operator="equal">
      <formula>"Not Possible"</formula>
    </cfRule>
  </conditionalFormatting>
  <conditionalFormatting sqref="W11:W258">
    <cfRule type="cellIs" dxfId="363" priority="74" operator="equal">
      <formula>"Error in Areas ▲"</formula>
    </cfRule>
    <cfRule type="cellIs" dxfId="362" priority="104" operator="equal">
      <formula>"Unacceptable Loss ▲"</formula>
    </cfRule>
  </conditionalFormatting>
  <conditionalFormatting sqref="Q11:Q258">
    <cfRule type="cellIs" dxfId="361" priority="82" operator="equal">
      <formula>"Any loss Unacceptable ⚠"</formula>
    </cfRule>
  </conditionalFormatting>
  <conditionalFormatting sqref="Q11:Q258">
    <cfRule type="expression" dxfId="360" priority="84">
      <formula>"p18=""Avoid"""</formula>
    </cfRule>
  </conditionalFormatting>
  <conditionalFormatting sqref="Q11:Q258">
    <cfRule type="cellIs" dxfId="359" priority="83" operator="equal">
      <formula>"Any loss Unacceptable ⚠"</formula>
    </cfRule>
  </conditionalFormatting>
  <conditionalFormatting sqref="Q11:Q258">
    <cfRule type="cellIs" dxfId="358" priority="79" operator="equal">
      <formula>"Any loss Unacceptable ⚠"</formula>
    </cfRule>
  </conditionalFormatting>
  <conditionalFormatting sqref="Q11:Q258">
    <cfRule type="expression" dxfId="357" priority="81">
      <formula>"p18=""Avoid"""</formula>
    </cfRule>
  </conditionalFormatting>
  <conditionalFormatting sqref="Q11:Q258">
    <cfRule type="cellIs" dxfId="356" priority="80" operator="equal">
      <formula>"Any loss Unacceptable ⚠"</formula>
    </cfRule>
  </conditionalFormatting>
  <conditionalFormatting sqref="Q11:Q258">
    <cfRule type="cellIs" dxfId="355" priority="76" operator="equal">
      <formula>"Any loss Unacceptable ▲"</formula>
    </cfRule>
  </conditionalFormatting>
  <conditionalFormatting sqref="Q11:Q258">
    <cfRule type="expression" dxfId="354" priority="78">
      <formula>"p18=""Avoid"""</formula>
    </cfRule>
  </conditionalFormatting>
  <conditionalFormatting sqref="Q11:Q258">
    <cfRule type="cellIs" dxfId="353" priority="77" operator="equal">
      <formula>"Any loss Unacceptable ▲"</formula>
    </cfRule>
  </conditionalFormatting>
  <conditionalFormatting sqref="Q11:Q258">
    <cfRule type="cellIs" dxfId="352" priority="75" operator="equal">
      <formula>"Check Data ▲"</formula>
    </cfRule>
  </conditionalFormatting>
  <conditionalFormatting sqref="Y11:Y258">
    <cfRule type="cellIs" dxfId="351" priority="142" operator="equal">
      <formula>"No"</formula>
    </cfRule>
    <cfRule type="cellIs" dxfId="350" priority="143" operator="equal">
      <formula>"Yes"</formula>
    </cfRule>
  </conditionalFormatting>
  <conditionalFormatting sqref="X11:X258">
    <cfRule type="containsText" dxfId="349" priority="18" operator="containsText" text="✓">
      <formula>NOT(ISERROR(SEARCH("✓",X11)))</formula>
    </cfRule>
    <cfRule type="containsText" dxfId="348" priority="48" operator="containsText" text="Check">
      <formula>NOT(ISERROR(SEARCH("Check",X11)))</formula>
    </cfRule>
    <cfRule type="cellIs" dxfId="347" priority="59" operator="equal">
      <formula>"Error in Areas ▲"</formula>
    </cfRule>
  </conditionalFormatting>
  <conditionalFormatting sqref="X11:X258">
    <cfRule type="containsText" dxfId="346" priority="60" operator="containsText" text="Unacceptable">
      <formula>NOT(ISERROR(SEARCH("Unacceptable",X11)))</formula>
    </cfRule>
  </conditionalFormatting>
  <conditionalFormatting sqref="W12 W15 W18 W21 W24 W27 W30 W33 W36 W39 W42 W45 W48 W51 W54 W57 W60 W63 W66 W69 W72 W75 W78 W81 W84 W87 W90 W93 W96 W99 W102 W105 W108 W111 W114 W117 W120 W123 W126 W129 W132 W135 W138 W141 W144 W147 W150 W153 W156 W159 W162 W165 W168 W171 W174 W177 W180 W183 W186 W189 W192 W195 W198 W201 W204 W207 W210 W213 W216 W219 W222 W225 W228 W231 W234 W237 W240 W243 W246 W249 W252 W255 W258">
    <cfRule type="cellIs" dxfId="345" priority="44" operator="equal">
      <formula>"Error in Areas"</formula>
    </cfRule>
    <cfRule type="cellIs" dxfId="344" priority="45" operator="equal">
      <formula>"Unacceptable Loss"</formula>
    </cfRule>
  </conditionalFormatting>
  <conditionalFormatting sqref="W11:W258">
    <cfRule type="cellIs" dxfId="343" priority="37" operator="equal">
      <formula>"Error in Areas ▲"</formula>
    </cfRule>
    <cfRule type="cellIs" dxfId="342" priority="38" operator="equal">
      <formula>"Unacceptable Loss ⚠"</formula>
    </cfRule>
  </conditionalFormatting>
  <conditionalFormatting sqref="L3">
    <cfRule type="containsText" dxfId="341" priority="32" operator="containsText" text="Error">
      <formula>NOT(ISERROR(SEARCH("Error",L3)))</formula>
    </cfRule>
    <cfRule type="containsText" dxfId="340" priority="33" operator="containsText" text="Check">
      <formula>NOT(ISERROR(SEARCH("Check",L3)))</formula>
    </cfRule>
  </conditionalFormatting>
  <conditionalFormatting sqref="L4">
    <cfRule type="containsText" dxfId="339" priority="21" operator="containsText" text="Check">
      <formula>NOT(ISERROR(SEARCH("Check",L4)))</formula>
    </cfRule>
    <cfRule type="containsText" dxfId="338" priority="22" operator="containsText" text="Error">
      <formula>NOT(ISERROR(SEARCH("Error",L4)))</formula>
    </cfRule>
  </conditionalFormatting>
  <conditionalFormatting sqref="L5">
    <cfRule type="containsText" dxfId="337" priority="26" operator="containsText" text="No">
      <formula>NOT(ISERROR(SEARCH("No",L5)))</formula>
    </cfRule>
    <cfRule type="containsText" dxfId="336" priority="27" operator="containsText" text="Yes">
      <formula>NOT(ISERROR(SEARCH("Yes",L5)))</formula>
    </cfRule>
  </conditionalFormatting>
  <conditionalFormatting sqref="L4">
    <cfRule type="cellIs" dxfId="335" priority="20" operator="equal">
      <formula>0</formula>
    </cfRule>
  </conditionalFormatting>
  <conditionalFormatting sqref="Q2">
    <cfRule type="containsText" dxfId="334" priority="19" operator="containsText" text="Check">
      <formula>NOT(ISERROR(SEARCH("Check",Q2)))</formula>
    </cfRule>
  </conditionalFormatting>
  <conditionalFormatting sqref="U259:V259">
    <cfRule type="containsText" dxfId="333" priority="17" operator="containsText" text="Error">
      <formula>NOT(ISERROR(SEARCH("Error",U259)))</formula>
    </cfRule>
  </conditionalFormatting>
  <conditionalFormatting sqref="I6:M8">
    <cfRule type="containsText" dxfId="332" priority="16" operator="containsText" text="⚠">
      <formula>NOT(ISERROR(SEARCH("⚠",I6)))</formula>
    </cfRule>
  </conditionalFormatting>
  <conditionalFormatting sqref="L4:M4">
    <cfRule type="cellIs" dxfId="331" priority="434" operator="lessThan">
      <formula>0</formula>
    </cfRule>
  </conditionalFormatting>
  <conditionalFormatting sqref="X259">
    <cfRule type="containsText" dxfId="330" priority="14" operator="containsText" text="▲">
      <formula>NOT(ISERROR(SEARCH("▲",X259)))</formula>
    </cfRule>
  </conditionalFormatting>
  <conditionalFormatting sqref="W259">
    <cfRule type="containsText" dxfId="329" priority="13" operator="containsText" text="▲">
      <formula>NOT(ISERROR(SEARCH("▲",W259)))</formula>
    </cfRule>
  </conditionalFormatting>
  <conditionalFormatting sqref="Q259:T259">
    <cfRule type="containsText" dxfId="328" priority="12" operator="containsText" text="Error">
      <formula>NOT(ISERROR(SEARCH("Error",Q259)))</formula>
    </cfRule>
  </conditionalFormatting>
  <conditionalFormatting sqref="W261">
    <cfRule type="containsText" dxfId="327" priority="11" operator="containsText" text="▲">
      <formula>NOT(ISERROR(SEARCH("▲",W261)))</formula>
    </cfRule>
  </conditionalFormatting>
  <conditionalFormatting sqref="H259:H260">
    <cfRule type="containsText" dxfId="326" priority="10" operator="containsText" text="▲">
      <formula>NOT(ISERROR(SEARCH("▲",H259)))</formula>
    </cfRule>
  </conditionalFormatting>
  <conditionalFormatting sqref="L3:M5">
    <cfRule type="containsText" dxfId="325" priority="15" operator="containsText" text="N/A">
      <formula>NOT(ISERROR(SEARCH("N/A",L3)))</formula>
    </cfRule>
  </conditionalFormatting>
  <conditionalFormatting sqref="G11:G258">
    <cfRule type="containsText" dxfId="324" priority="8" operator="containsText" text="Yes">
      <formula>NOT(ISERROR(SEARCH("Yes",G11)))</formula>
    </cfRule>
  </conditionalFormatting>
  <conditionalFormatting sqref="Q1:Q1048576">
    <cfRule type="containsText" dxfId="323" priority="6" operator="containsText" text="▲">
      <formula>NOT(ISERROR(SEARCH("▲",Q1)))</formula>
    </cfRule>
  </conditionalFormatting>
  <conditionalFormatting sqref="U1:U1048576">
    <cfRule type="containsText" dxfId="322" priority="5" operator="containsText" text="⚠">
      <formula>NOT(ISERROR(SEARCH("⚠",U1)))</formula>
    </cfRule>
  </conditionalFormatting>
  <conditionalFormatting sqref="V11">
    <cfRule type="containsText" dxfId="321" priority="3" operator="containsText" text="Error">
      <formula>NOT(ISERROR(SEARCH("Error",V11)))</formula>
    </cfRule>
  </conditionalFormatting>
  <conditionalFormatting sqref="L1:L1048576">
    <cfRule type="containsText" dxfId="320" priority="2" operator="containsText" text="▲">
      <formula>NOT(ISERROR(SEARCH("▲",L1)))</formula>
    </cfRule>
  </conditionalFormatting>
  <conditionalFormatting sqref="K1:K1048576">
    <cfRule type="containsText" dxfId="319" priority="1" operator="containsText" text="▲">
      <formula>NOT(ISERROR(SEARCH("▲",K1)))</formula>
    </cfRule>
  </conditionalFormatting>
  <dataValidations xWindow="350" yWindow="550" count="5">
    <dataValidation type="list" allowBlank="1" showInputMessage="1" showErrorMessage="1" sqref="F11:F258" xr:uid="{00000000-0002-0000-0900-000000000000}">
      <formula1>INDIRECT(A11)</formula1>
    </dataValidation>
    <dataValidation allowBlank="1" showErrorMessage="1" errorTitle="Invalid Habitat" error="Select from List" sqref="AV11:AV259" xr:uid="{00000000-0002-0000-0900-000001000000}"/>
    <dataValidation type="list" allowBlank="1" showInputMessage="1" showErrorMessage="1" sqref="K11:K258" xr:uid="{00000000-0002-0000-0900-000002000000}">
      <formula1>INDIRECT(B11)</formula1>
    </dataValidation>
    <dataValidation type="list" allowBlank="1" showInputMessage="1" showErrorMessage="1" sqref="H264" xr:uid="{F330C1E3-9A2C-4C34-A2AB-21E5BF8C9B02}">
      <formula1>"Hectares, M²"</formula1>
    </dataValidation>
    <dataValidation type="list" allowBlank="1" showErrorMessage="1" errorTitle="Invalid Habitat" error="Select from List" sqref="G11:G258" xr:uid="{3704E9D1-BD03-43AE-9225-E4D6CFCAE178}">
      <formula1>IF(AW11="Yes",$AX$11, IF(AW11="No",$AX$12,IF(AW11="No", $AX$12,$AX$11:$AX$12)))</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4" id="{08D7ECD3-6775-451D-B0DE-120E56B532F5}">
            <xm:f>#REF!=0</xm:f>
            <x14:dxf>
              <font>
                <color auto="1"/>
              </font>
              <fill>
                <patternFill>
                  <bgColor rgb="FFE0DCD3"/>
                </patternFill>
              </fill>
            </x14:dxf>
          </x14:cfRule>
          <xm:sqref>L4:M4</xm:sqref>
        </x14:conditionalFormatting>
        <x14:conditionalFormatting xmlns:xm="http://schemas.microsoft.com/office/excel/2006/main">
          <x14:cfRule type="cellIs" priority="151" operator="equal" id="{78251F4B-D9B8-491B-A3CB-C3E31CF4FAF9}">
            <xm:f>'G-1 All Habitats'!$X$6</xm:f>
            <x14:dxf>
              <font>
                <color rgb="FF383745"/>
              </font>
              <fill>
                <patternFill>
                  <fgColor auto="1"/>
                  <bgColor theme="8" tint="0.59996337778862885"/>
                </patternFill>
              </fill>
            </x14:dxf>
          </x14:cfRule>
          <x14:cfRule type="cellIs" priority="254" operator="equal" id="{CE433DA3-276C-48D8-8968-BAC21DBC1720}">
            <xm:f>'G-1 All Habitats'!$X$5</xm:f>
            <x14:dxf>
              <font>
                <color rgb="FF383745"/>
              </font>
              <fill>
                <patternFill>
                  <bgColor theme="8" tint="-0.24994659260841701"/>
                </patternFill>
              </fill>
            </x14:dxf>
          </x14:cfRule>
          <x14:cfRule type="cellIs" priority="255" operator="equal" id="{FAF3837B-61C2-4812-84DC-4861E4B549AE}">
            <xm:f>'G-1 All Habitats'!$X$4</xm:f>
            <x14:dxf>
              <font>
                <color rgb="FF383745"/>
              </font>
              <fill>
                <patternFill>
                  <bgColor theme="6"/>
                </patternFill>
              </fill>
            </x14:dxf>
          </x14:cfRule>
          <x14:cfRule type="cellIs" priority="256" operator="equal" id="{2A68A61E-692A-4682-9F37-0417491DB7B1}">
            <xm:f>'G-1 All Habitats'!$X$3</xm:f>
            <x14:dxf>
              <font>
                <color rgb="FF000000"/>
              </font>
              <fill>
                <patternFill>
                  <bgColor theme="6" tint="-0.24994659260841701"/>
                </patternFill>
              </fill>
            </x14:dxf>
          </x14:cfRule>
          <xm:sqref>P11:P258</xm:sqref>
        </x14:conditionalFormatting>
        <x14:conditionalFormatting xmlns:xm="http://schemas.microsoft.com/office/excel/2006/main">
          <x14:cfRule type="cellIs" priority="9" operator="lessThan" id="{593D0BA2-2099-43F5-91C6-6C5B4FA9AD26}">
            <xm:f>Start!$F$22</xm:f>
            <x14:dxf>
              <font>
                <color rgb="FF383745"/>
              </font>
              <fill>
                <patternFill>
                  <bgColor rgb="FFFFC000"/>
                </patternFill>
              </fill>
            </x14:dxf>
          </x14:cfRule>
          <x14:cfRule type="cellIs" priority="435" operator="greaterThanOrEqual" id="{F95202D6-4765-40D2-A5FC-CA0B91DFE22A}">
            <xm:f>Start!$F$22</xm:f>
            <x14:dxf>
              <font>
                <color rgb="FF383745"/>
              </font>
              <fill>
                <patternFill>
                  <bgColor rgb="FF92D050"/>
                </patternFill>
              </fill>
            </x14:dxf>
          </x14:cfRule>
          <xm:sqref>L4</xm:sqref>
        </x14:conditionalFormatting>
      </x14:conditionalFormattings>
    </ext>
    <ext xmlns:x14="http://schemas.microsoft.com/office/spreadsheetml/2009/9/main" uri="{CCE6A557-97BC-4b89-ADB6-D9C93CAAB3DF}">
      <x14:dataValidations xmlns:xm="http://schemas.microsoft.com/office/excel/2006/main" xWindow="350" yWindow="550" count="3">
        <x14:dataValidation type="list" allowBlank="1" showErrorMessage="1" prompt=" _x000a_" xr:uid="{00000000-0002-0000-0900-000004000000}">
          <x14:formula1>
            <xm:f>'G-3 Multipliers'!$L$4:$L$6</xm:f>
          </x14:formula1>
          <xm:sqref>M11:M258</xm:sqref>
        </x14:dataValidation>
        <x14:dataValidation type="list" allowBlank="1" showInputMessage="1" showErrorMessage="1" xr:uid="{00000000-0002-0000-0900-000003000000}">
          <x14:formula1>
            <xm:f>'G-1 All Habitats'!$AD$3:$AD$4</xm:f>
          </x14:formula1>
          <xm:sqref>Y11:Y258</xm:sqref>
        </x14:dataValidation>
        <x14:dataValidation type="list" allowBlank="1" showInputMessage="1" showErrorMessage="1" xr:uid="{9B4FE825-6319-43FB-AB2F-2970C1D1BF96}">
          <x14:formula1>
            <xm:f>'G-1 All Habitats'!$AF$3:$AF$17</xm:f>
          </x14:formula1>
          <xm:sqref>E11:E258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tabColor rgb="FF006600"/>
  </sheetPr>
  <dimension ref="A1:XFC266"/>
  <sheetViews>
    <sheetView topLeftCell="B1" zoomScaleNormal="100" workbookViewId="0">
      <pane ySplit="10" topLeftCell="A11" activePane="bottomLeft" state="frozen"/>
      <selection activeCell="D11" sqref="D11"/>
      <selection pane="bottomLeft" activeCell="D11" sqref="D11"/>
    </sheetView>
  </sheetViews>
  <sheetFormatPr defaultColWidth="0" defaultRowHeight="14" zeroHeight="1" x14ac:dyDescent="0.3"/>
  <cols>
    <col min="1" max="1" width="19.81640625" style="20" hidden="1" customWidth="1"/>
    <col min="2" max="2" width="10.81640625" style="20" customWidth="1"/>
    <col min="3" max="3" width="25.453125" style="20" hidden="1" customWidth="1"/>
    <col min="4" max="4" width="27.1796875" style="20" customWidth="1"/>
    <col min="5" max="5" width="75" style="22" customWidth="1"/>
    <col min="6" max="6" width="24.453125" style="20" hidden="1" customWidth="1"/>
    <col min="7" max="7" width="14.81640625" style="20" customWidth="1"/>
    <col min="8" max="8" width="18" style="20" customWidth="1"/>
    <col min="9" max="9" width="14.1796875" style="20" customWidth="1"/>
    <col min="10" max="11" width="12.54296875" style="20" customWidth="1"/>
    <col min="12" max="12" width="42.26953125" style="20" customWidth="1"/>
    <col min="13" max="13" width="19.54296875" style="20" customWidth="1"/>
    <col min="14" max="14" width="13.1796875" style="20" customWidth="1"/>
    <col min="15" max="15" width="18" style="20" customWidth="1"/>
    <col min="16" max="16" width="17.81640625" style="20" customWidth="1"/>
    <col min="17" max="17" width="17.7265625" style="20" customWidth="1"/>
    <col min="18" max="18" width="49.54296875" style="20" customWidth="1"/>
    <col min="19" max="19" width="18.26953125" style="20" customWidth="1"/>
    <col min="20" max="20" width="15.26953125" style="20" customWidth="1"/>
    <col min="21" max="21" width="13.7265625" style="20" customWidth="1"/>
    <col min="22" max="22" width="36.54296875" style="20" customWidth="1"/>
    <col min="23" max="23" width="15.1796875" style="20" customWidth="1"/>
    <col min="24" max="24" width="14.26953125" style="20" customWidth="1"/>
    <col min="25" max="25" width="12.7265625" style="20" customWidth="1"/>
    <col min="26" max="26" width="39.7265625" style="20" customWidth="1"/>
    <col min="27" max="27" width="43.1796875" style="20" customWidth="1"/>
    <col min="28" max="28" width="16.453125" style="20" customWidth="1"/>
    <col min="29" max="29" width="12" style="20" customWidth="1"/>
    <col min="30" max="30" width="8.81640625" style="20" customWidth="1"/>
    <col min="31" max="31" width="10.81640625" style="20" hidden="1"/>
    <col min="32" max="32" width="11.81640625" style="20" hidden="1"/>
    <col min="33" max="16383" width="8.81640625" style="20" hidden="1"/>
    <col min="16384" max="16384" width="1.81640625" style="20" hidden="1"/>
  </cols>
  <sheetData>
    <row r="1" spans="1:34" ht="14.5" thickBot="1" x14ac:dyDescent="0.35"/>
    <row r="2" spans="1:34" ht="18.75" customHeight="1" thickBot="1" x14ac:dyDescent="0.4">
      <c r="D2" s="1160" t="str">
        <f>CONCATENATE("Project Name:", " ", Start!F12, "     ", "Map Reference:", " ", Start!K55)</f>
        <v xml:space="preserve">Project Name: Gain Site 2 for Digital     Map Reference: </v>
      </c>
      <c r="E2" s="1161"/>
      <c r="G2" s="604">
        <v>0.01</v>
      </c>
      <c r="H2" s="1118" t="s">
        <v>130</v>
      </c>
      <c r="I2" s="1119"/>
      <c r="J2" s="1119"/>
      <c r="K2" s="1119"/>
      <c r="L2" s="1120"/>
      <c r="N2" s="1171" t="str">
        <f>IF(OR(COUNTIF($O$11:O256,"*30+*")&gt;0,COUNTIF($S$11:S256,"*30+*")&gt;0),"Note; Habitat selected has a time to target condition greater than 30 years. Non standard agreement may be required.","")</f>
        <v/>
      </c>
      <c r="O2" s="1171"/>
      <c r="P2" s="1171"/>
      <c r="Q2" s="1171"/>
      <c r="R2" s="1171"/>
      <c r="S2" s="1175" t="str" cm="1">
        <f t="array" ref="S2">IF(OR(J11:J256 = "Fairly Good", J11:J256 = "Fairly Poor"),"A 'Fairly' Category has been used - check evidence to ensure this is appropriate ⚠", "")</f>
        <v/>
      </c>
      <c r="T2" s="1175"/>
      <c r="U2" s="1175"/>
      <c r="V2" s="1175"/>
      <c r="W2" s="1175"/>
      <c r="X2" s="1175"/>
    </row>
    <row r="3" spans="1:34" ht="24" customHeight="1" thickBot="1" x14ac:dyDescent="0.35">
      <c r="D3" s="1162" t="str">
        <f ca="1">MID(CELL("filename",D1),FIND("]",CELL("filename",D1))+1,256)</f>
        <v>A-2 On-Site Habitat Creation</v>
      </c>
      <c r="E3" s="1163"/>
      <c r="H3" s="1179" t="s">
        <v>131</v>
      </c>
      <c r="I3" s="1180"/>
      <c r="J3" s="1181"/>
      <c r="K3" s="1182" t="e">
        <f>#REF!</f>
        <v>#REF!</v>
      </c>
      <c r="L3" s="1183"/>
      <c r="N3" s="1171"/>
      <c r="O3" s="1171"/>
      <c r="P3" s="1171"/>
      <c r="Q3" s="1171"/>
      <c r="R3" s="1171"/>
      <c r="S3" s="1175"/>
      <c r="T3" s="1175"/>
      <c r="U3" s="1175"/>
      <c r="V3" s="1175"/>
      <c r="W3" s="1175"/>
      <c r="X3" s="1175"/>
    </row>
    <row r="4" spans="1:34" ht="12.65" customHeight="1" x14ac:dyDescent="0.3">
      <c r="H4" s="1184" t="s">
        <v>133</v>
      </c>
      <c r="I4" s="1185"/>
      <c r="J4" s="1186"/>
      <c r="K4" s="1187" t="e">
        <f>#REF!</f>
        <v>#REF!</v>
      </c>
      <c r="L4" s="1188"/>
      <c r="N4" s="1172"/>
      <c r="O4" s="1172"/>
      <c r="P4" s="1172"/>
      <c r="Q4" s="1172"/>
      <c r="R4" s="1172"/>
      <c r="S4" s="1175"/>
      <c r="T4" s="1175"/>
      <c r="U4" s="1175"/>
      <c r="V4" s="1175"/>
      <c r="W4" s="1175"/>
      <c r="X4" s="1175"/>
    </row>
    <row r="5" spans="1:34" ht="15.65" customHeight="1" x14ac:dyDescent="0.3">
      <c r="H5" s="1184" t="s">
        <v>135</v>
      </c>
      <c r="I5" s="1185"/>
      <c r="J5" s="1186"/>
      <c r="K5" s="1189" t="e" cm="1">
        <f t="array" ref="K5">IF(OR(#REF!="No ▲"), "No - check trading summaries ▲", "Yes ✓")</f>
        <v>#REF!</v>
      </c>
      <c r="L5" s="1190"/>
      <c r="M5" s="166"/>
      <c r="N5" s="1172"/>
      <c r="O5" s="1172"/>
      <c r="P5" s="1172"/>
      <c r="Q5" s="1172"/>
      <c r="R5" s="1172"/>
      <c r="S5" s="1175"/>
      <c r="T5" s="1175"/>
      <c r="U5" s="1175"/>
      <c r="V5" s="1175"/>
      <c r="W5" s="1175"/>
      <c r="X5" s="1175"/>
    </row>
    <row r="6" spans="1:34" ht="36" customHeight="1" thickBot="1" x14ac:dyDescent="0.35">
      <c r="H6" s="1193" t="s">
        <v>1490</v>
      </c>
      <c r="I6" s="1194"/>
      <c r="J6" s="1195"/>
      <c r="K6" s="1191" t="str">
        <f>IF(ABS('A-1 On-Site Habitat Baseline'!W261 - G259)&lt;=G2,  "Area Acceptable 🗸", "Error - Area created does not equal area lost ▲")</f>
        <v>Area Acceptable 🗸</v>
      </c>
      <c r="L6" s="1192"/>
      <c r="N6" s="1172"/>
      <c r="O6" s="1172"/>
      <c r="P6" s="1172"/>
      <c r="Q6" s="1172"/>
      <c r="R6" s="1172"/>
    </row>
    <row r="7" spans="1:34" ht="39" customHeight="1" thickBot="1" x14ac:dyDescent="0.4">
      <c r="E7" s="23"/>
      <c r="H7" s="1196" t="str" cm="1">
        <f t="array" ref="H7">IF(OR(E11:E258="watercourse footprint"),"Please ensure the watercourse details for any watercourse footprints recorded are included in the watercourse tabs ⚠", "")</f>
        <v/>
      </c>
      <c r="I7" s="1196"/>
      <c r="J7" s="1196"/>
      <c r="K7" s="1196"/>
      <c r="L7" s="1196"/>
      <c r="P7" s="688"/>
      <c r="Q7" s="688"/>
      <c r="R7" s="688"/>
      <c r="S7" s="255"/>
      <c r="T7" s="255"/>
      <c r="U7" s="255"/>
      <c r="V7" s="255"/>
      <c r="W7" s="255"/>
    </row>
    <row r="8" spans="1:34" ht="15" customHeight="1" thickBot="1" x14ac:dyDescent="0.35">
      <c r="D8" s="896" t="s">
        <v>177</v>
      </c>
      <c r="E8" s="899"/>
      <c r="F8" s="899"/>
      <c r="G8" s="899"/>
      <c r="H8" s="899"/>
      <c r="I8" s="899"/>
      <c r="J8" s="899"/>
      <c r="K8" s="899"/>
      <c r="L8" s="899"/>
      <c r="M8" s="899"/>
      <c r="N8" s="899"/>
      <c r="O8" s="899"/>
      <c r="P8" s="899"/>
      <c r="Q8" s="899"/>
      <c r="R8" s="899"/>
      <c r="S8" s="899"/>
      <c r="T8" s="899"/>
      <c r="U8" s="899"/>
      <c r="V8" s="899"/>
      <c r="W8" s="899"/>
      <c r="X8" s="899"/>
      <c r="Y8" s="899"/>
      <c r="Z8" s="899"/>
      <c r="AA8" s="899"/>
      <c r="AB8" s="932"/>
      <c r="AE8" s="1159" t="s">
        <v>178</v>
      </c>
    </row>
    <row r="9" spans="1:34" s="22" customFormat="1" ht="15" customHeight="1" thickBot="1" x14ac:dyDescent="0.35">
      <c r="B9" s="20"/>
      <c r="D9" s="1169" t="s">
        <v>150</v>
      </c>
      <c r="E9" s="1164" t="s">
        <v>179</v>
      </c>
      <c r="F9" s="1164" t="s">
        <v>179</v>
      </c>
      <c r="G9" s="1168" t="s">
        <v>153</v>
      </c>
      <c r="H9" s="1165" t="s">
        <v>137</v>
      </c>
      <c r="I9" s="1167"/>
      <c r="J9" s="1165" t="s">
        <v>138</v>
      </c>
      <c r="K9" s="1167"/>
      <c r="L9" s="1165" t="s">
        <v>139</v>
      </c>
      <c r="M9" s="1166"/>
      <c r="N9" s="1167"/>
      <c r="O9" s="1165" t="s">
        <v>180</v>
      </c>
      <c r="P9" s="1166"/>
      <c r="Q9" s="1166"/>
      <c r="R9" s="1166"/>
      <c r="S9" s="1166"/>
      <c r="T9" s="1167"/>
      <c r="U9" s="1176" t="s">
        <v>181</v>
      </c>
      <c r="V9" s="1177"/>
      <c r="W9" s="1177"/>
      <c r="X9" s="1178"/>
      <c r="Y9" s="1170" t="s">
        <v>182</v>
      </c>
      <c r="Z9" s="1124" t="s">
        <v>144</v>
      </c>
      <c r="AA9" s="1125"/>
      <c r="AB9" s="1126"/>
      <c r="AC9" s="20"/>
      <c r="AD9" s="20"/>
      <c r="AE9" s="1159"/>
      <c r="AF9" s="20"/>
      <c r="AG9" s="20"/>
      <c r="AH9" s="20"/>
    </row>
    <row r="10" spans="1:34" ht="66" customHeight="1" thickBot="1" x14ac:dyDescent="0.35">
      <c r="A10" s="26" t="s">
        <v>148</v>
      </c>
      <c r="B10" s="29" t="s">
        <v>149</v>
      </c>
      <c r="D10" s="1169"/>
      <c r="E10" s="1164"/>
      <c r="F10" s="1164"/>
      <c r="G10" s="1168"/>
      <c r="H10" s="558" t="s">
        <v>137</v>
      </c>
      <c r="I10" s="250" t="s">
        <v>154</v>
      </c>
      <c r="J10" s="559" t="s">
        <v>138</v>
      </c>
      <c r="K10" s="560" t="s">
        <v>154</v>
      </c>
      <c r="L10" s="30" t="s">
        <v>139</v>
      </c>
      <c r="M10" s="32" t="s">
        <v>139</v>
      </c>
      <c r="N10" s="33" t="s">
        <v>183</v>
      </c>
      <c r="O10" s="34" t="s">
        <v>184</v>
      </c>
      <c r="P10" s="508" t="s">
        <v>185</v>
      </c>
      <c r="Q10" s="508" t="s">
        <v>186</v>
      </c>
      <c r="R10" s="508" t="s">
        <v>187</v>
      </c>
      <c r="S10" s="508" t="s">
        <v>188</v>
      </c>
      <c r="T10" s="561" t="s">
        <v>189</v>
      </c>
      <c r="U10" s="505" t="s">
        <v>190</v>
      </c>
      <c r="V10" s="504" t="s">
        <v>191</v>
      </c>
      <c r="W10" s="504" t="s">
        <v>192</v>
      </c>
      <c r="X10" s="475" t="s">
        <v>193</v>
      </c>
      <c r="Y10" s="1128"/>
      <c r="Z10" s="585" t="s">
        <v>163</v>
      </c>
      <c r="AA10" s="586" t="s">
        <v>164</v>
      </c>
      <c r="AB10" s="586" t="s">
        <v>1539</v>
      </c>
      <c r="AE10" s="20" t="s">
        <v>194</v>
      </c>
    </row>
    <row r="11" spans="1:34" ht="14.5" thickBot="1" x14ac:dyDescent="0.35">
      <c r="A11" s="20" t="str">
        <f>IFERROR(INDEX('G-8 Condition Look up'!$I$4:$I$135,MATCH(F11,'G-8 Condition Look up'!$A$4:$A$135,0)),"")</f>
        <v/>
      </c>
      <c r="B11" s="678">
        <v>1</v>
      </c>
      <c r="C11" s="247" t="str">
        <f>IFERROR(INDEX('G-1 All Habitats'!$AG$25:$AG$41,MATCH(D11,'G-1 All Habitats'!AF$25:AF$41,0)),"")</f>
        <v/>
      </c>
      <c r="D11" s="543"/>
      <c r="E11" s="563"/>
      <c r="F11" s="564" t="str">
        <f>IFERROR(INDEX('G-1 All Habitats'!$B$3:$B$135,MATCH(E11,'G-1 All Habitats'!$A$3:$A$135,0)),"")</f>
        <v/>
      </c>
      <c r="G11" s="541"/>
      <c r="H11" s="363" t="str">
        <f>IF(F11="","",VLOOKUP(F11,'G-1 All Habitats'!$B$2:$M$135,10,FALSE))</f>
        <v/>
      </c>
      <c r="I11" s="542" t="str">
        <f>IFERROR(VLOOKUP(H11,'G-1 All Habitats'!$V$3:$W$7,2,FALSE),"")</f>
        <v/>
      </c>
      <c r="J11" s="543"/>
      <c r="K11" s="542" t="str">
        <f>IFERROR(INDEX('G-8 Condition Look up'!$A$3:$H$135,MATCH(F11,'G-8 Condition Look up'!$A$3:$A$135,0),MATCH(J11,'G-8 Condition Look up'!$A$3:$H$3,0)),"")</f>
        <v/>
      </c>
      <c r="L11" s="38"/>
      <c r="M11" s="298" t="str">
        <f>IF(L11="","",IF(VLOOKUP(L11,'G-3 Multipliers'!$L$3:$N$6,2,FALSE)=0,"Spatial Data Missing",VLOOKUP(L11,'G-3 Multipliers'!$L$3:$N$6,2,FALSE)))</f>
        <v/>
      </c>
      <c r="N11" s="296" t="str">
        <f>IF(L11="","",IF(VLOOKUP(L11,'G-3 Multipliers'!$L$3:$N$6,3,FALSE)=0,"Spatial Data Missing",VLOOKUP(L11,'G-3 Multipliers'!$L$3:$N$6,3,FALSE)))</f>
        <v/>
      </c>
      <c r="O11" s="363" t="str">
        <f>IFERROR(INDEX(TemporalData,MATCH(F11,TemporalHabitats,0),MATCH(J11,TemporalConditions,0)),"")</f>
        <v/>
      </c>
      <c r="P11" s="563"/>
      <c r="Q11" s="563"/>
      <c r="R11" s="295" t="str">
        <f>IF(E11="","",IF(AND(P11&gt;0,Q11&gt;0),"Error -both advance and delayed habitat creation ▲",IF(I11=0,"Standard time to target condition applied",IF(AND(J11="N/A -Agricultural",O11&lt;=P11),"Check details - Is there evidence habitat creation in place? ⚠",IF(AND(O11&lt;=P11,Q11=0),"Check details - Is there evidence that habitat has reached target condition? ⚠",IF(O11="","",IF(AND(P11&gt;=AE11,P11&gt;0),"Check details - Is there evidence habitat creation started and the threshold for Poor condition reached? ⚠",IF(Q11&gt;0,"Check details- Delay in starting habitat in required condition? ⚠",IF(P11&gt;0,"Check details - Is there evidence habitat creation started/in place? ⚠","Standard time to target condition applied")))))))))</f>
        <v/>
      </c>
      <c r="S11" s="366" t="str">
        <f>IF(R11="Error -both advance and delayed habitat creation ▲","Check Data ⚠",IF(O11="Not Possible","Check Data ⚠",IF(O11="","",IF(AND(O11="30+",P11=0),"30+",IF(AND(O11="30+",P11="30+"),0,IF(AND(O11="30+",P11&lt;32),30-P11,IF(O11="30+",30-P11,IF(P11&gt;O11,0,IF(Q11="30+","30+",IF(O11+Q11&gt;30,"30+",IF(O11+Q11&gt;30,"30+",IF(O11-P11&gt;30,"30+",IF(O11+Q11-P11&gt;0,O11+Q11-P11,IF(O11-P11&gt;0,O11-P11,O11+Q11-P11))))))))))))))</f>
        <v/>
      </c>
      <c r="T11" s="565" t="str">
        <f>IFERROR(IF(S11="Check Data ⚠","Check Data ⚠",VLOOKUP(S11,'G-4 Temporal multipliers'!$A$4:$C$37,3,FALSE)),"")</f>
        <v/>
      </c>
      <c r="U11" s="566" t="str">
        <f>IF(F11="","",VLOOKUP(F11,'G-3 Multipliers'!$A$2:$E$134,2,FALSE))</f>
        <v/>
      </c>
      <c r="V11" s="295" t="str">
        <f>IF(F11="","",IF($R11="Check details - Is there evidence that habitat has reached target condition? ⚠","Low Difficulty - only applicable if all habitat created before losses ⚠",IF(AND($R11="Check details - Is there evidence habitat creation started and the threshold for Poor condition reached? ⚠",$E11&lt;&gt;"Traditional orchards", $E11&lt;&gt;"Ornamental lake or pond", $E11&lt;&gt;"Ponds (non-priority habitat)", $E11&lt;&gt;"Ruderal/Ephemeral", $E11&lt;&gt;"Tall forbs", $E11&lt;&gt;"Developed land; sealed surface"),"Enhancement difficulty applied","Standard difficulty applied")))</f>
        <v/>
      </c>
      <c r="W11" s="295" t="str">
        <f>IF(E11="","",IF(AND(V11="Standard difficulty applied",O11&gt;P11),U11,IF(AND(V11="Low Difficulty - only applicable if all habitat created before losses ⚠",P11&gt;=O11),"Low",VLOOKUP(F11,'G-3 Multipliers'!$A$2:$E$134,4,FALSE))))</f>
        <v/>
      </c>
      <c r="X11" s="542" t="str">
        <f>IFERROR(IF(E11="","",VLOOKUP(W11, 'G-3 Multipliers'!$P$2:$Q$6,2,FALSE)),"")</f>
        <v/>
      </c>
      <c r="Y11" s="317" t="str">
        <f>IFERROR(G11*I11*K11*N11*T11*X11,"")</f>
        <v/>
      </c>
      <c r="Z11" s="163"/>
      <c r="AA11" s="164"/>
      <c r="AB11" s="99"/>
      <c r="AE11" s="25" t="str">
        <f t="shared" ref="AE11:AE74" si="0">IFERROR(INDEX(TemporalData,MATCH(F11,TemporalHabitats,0),MATCH($AE$10,TemporalConditions,0)),"")</f>
        <v/>
      </c>
    </row>
    <row r="12" spans="1:34" ht="14.5" thickBot="1" x14ac:dyDescent="0.35">
      <c r="A12" s="20" t="str">
        <f>IFERROR(INDEX('G-8 Condition Look up'!$I$4:$I$135,MATCH(F12,'G-8 Condition Look up'!$A$4:$A$135,0)),"")</f>
        <v/>
      </c>
      <c r="B12" s="679">
        <v>2</v>
      </c>
      <c r="C12" s="247" t="str">
        <f>IFERROR(INDEX('G-1 All Habitats'!$AG$25:$AG$41,MATCH(D12,'G-1 All Habitats'!AF$25:AF$41,0)),"")</f>
        <v/>
      </c>
      <c r="D12" s="38"/>
      <c r="E12" s="45"/>
      <c r="F12" s="244" t="str">
        <f>IFERROR(INDEX('G-1 All Habitats'!$B$3:$B$135,MATCH(E12,'G-1 All Habitats'!$A$3:$A$135,0)),"")</f>
        <v/>
      </c>
      <c r="G12" s="37"/>
      <c r="H12" s="290" t="str">
        <f>IF(F12="","",VLOOKUP(F12,'G-1 All Habitats'!$B$2:$M$135,10,FALSE))</f>
        <v/>
      </c>
      <c r="I12" s="291" t="str">
        <f>IFERROR(VLOOKUP(H12,'G-1 All Habitats'!$V$3:$W$7,2,FALSE),"")</f>
        <v/>
      </c>
      <c r="J12" s="38"/>
      <c r="K12" s="291" t="str">
        <f>IFERROR(INDEX('G-8 Condition Look up'!$A$3:$H$135,MATCH(F12,'G-8 Condition Look up'!$A$3:$A$135,0),MATCH(J12,'G-8 Condition Look up'!$A$3:$H$3,0)),"")</f>
        <v/>
      </c>
      <c r="L12" s="38"/>
      <c r="M12" s="298" t="str">
        <f>IF(L12="","",IF(VLOOKUP(L12,'G-3 Multipliers'!$L$3:$N$6,2,FALSE)=0,"Spatial Data Missing",VLOOKUP(L12,'G-3 Multipliers'!$L$3:$N$6,2,FALSE)))</f>
        <v/>
      </c>
      <c r="N12" s="296" t="str">
        <f>IF(L12="","",IF(VLOOKUP(L12,'G-3 Multipliers'!$L$3:$N$6,3,FALSE)=0,"Spatial Data Missing",VLOOKUP(L12,'G-3 Multipliers'!$L$3:$N$6,3,FALSE)))</f>
        <v/>
      </c>
      <c r="O12" s="290" t="str">
        <f t="shared" ref="O12:O74" si="1">IFERROR(INDEX(TemporalData,MATCH(F12,TemporalHabitats,0),MATCH(J12,TemporalConditions,0)),"")</f>
        <v/>
      </c>
      <c r="P12" s="47"/>
      <c r="Q12" s="47"/>
      <c r="R12" s="298" t="str">
        <f t="shared" ref="R12:R75" si="2">IF(E12="","",IF(AND(P12&gt;0,Q12&gt;0),"Error -both advance and delayed habitat creation ▲",IF(I12=0,"Standard time to target condition applied",IF(AND(J12="N/A -Agricultural",O12&lt;=P12),"Check details - Is there evidence habitat creation in place? ⚠",IF(AND(O12&lt;=P12,Q12=0),"Check details - Is there evidence that habitat has reached target condition? ⚠",IF(O12="","",IF(AND(P12&gt;=AE12,P12&gt;0),"Check details - Is there evidence habitat creation started and the threshold for Poor condition reached? ⚠",IF(Q12&gt;0,"Check details- Delay in starting habitat in required condition? ⚠",IF(P12&gt;0,"Check details - Is there evidence habitat creation started/in place? ⚠","Standard time to target condition applied")))))))))</f>
        <v/>
      </c>
      <c r="S12" s="311" t="str">
        <f t="shared" ref="S12:S75" si="3">IF(R12="Error -both advance and delayed habitat creation ▲","Check Data ⚠",IF(O12="Not Possible","Check Data ⚠",IF(O12="","",IF(AND(O12="30+",P12=0),"30+",IF(AND(O12="30+",P12="30+"),0,IF(AND(O12="30+",P12&lt;32),30-P12,IF(O12="30+",30-P12,IF(P12&gt;O12,0,IF(Q12="30+","30+",IF(O12+Q12&gt;30,"30+",IF(O12+Q12&gt;30,"30+",IF(O12-P12&gt;30,"30+",IF(O12+Q12-P12&gt;0,O12+Q12-P12,IF(O12-P12&gt;0,O12-P12,O12+Q12-P12))))))))))))))</f>
        <v/>
      </c>
      <c r="T12" s="312" t="str">
        <f>IFERROR(IF(S12="Check Data ⚠","Check Data ⚠",VLOOKUP(S12,'G-4 Temporal multipliers'!$A$4:$C$37,3,FALSE)),"")</f>
        <v/>
      </c>
      <c r="U12" s="313" t="str">
        <f>IF(F12="","",VLOOKUP(F12,'G-3 Multipliers'!$A$2:$E$134,2,FALSE))</f>
        <v/>
      </c>
      <c r="V12" s="310" t="str">
        <f t="shared" ref="V12:V75" si="4">IF(F12="","",IF($R12="Check details - Is there evidence that habitat has reached target condition? ⚠","Low Difficulty - only applicable if all habitat created before losses ⚠",IF(AND($R12="Check details - Is there evidence habitat creation started and the threshold for Poor condition reached? ⚠",$E12&lt;&gt;"Traditional orchards", $E12&lt;&gt;"Ornamental lake or pond", $E12&lt;&gt;"Ponds (non-priority habitat)", $E12&lt;&gt;"Ruderal/Ephemeral", $E12&lt;&gt;"Tall forbs", $E12&lt;&gt;"Developed land; sealed surface"),"Enhancement difficulty applied","Standard difficulty applied")))</f>
        <v/>
      </c>
      <c r="W12" s="295" t="str">
        <f>IF(E12="","",IF(AND(V12="Standard difficulty applied",O12&gt;P12),U12,IF(AND(V12="Low Difficulty - only applicable if all habitat created before losses ⚠",P12&gt;=O12),"Low",VLOOKUP(F12,'G-3 Multipliers'!$A$2:$E$134,4,FALSE))))</f>
        <v/>
      </c>
      <c r="X12" s="314" t="str">
        <f>IFERROR(IF(E12="","",VLOOKUP(W12, 'G-3 Multipliers'!$P$2:$Q$6,2,FALSE)),"")</f>
        <v/>
      </c>
      <c r="Y12" s="317" t="str">
        <f t="shared" ref="Y12:Y75" si="5">IFERROR(G12*I12*K12*N12*T12*X12,"")</f>
        <v/>
      </c>
      <c r="Z12" s="163"/>
      <c r="AA12" s="164"/>
      <c r="AB12" s="101"/>
      <c r="AE12" s="25" t="str">
        <f t="shared" si="0"/>
        <v/>
      </c>
    </row>
    <row r="13" spans="1:34" ht="14.5" thickBot="1" x14ac:dyDescent="0.35">
      <c r="A13" s="20" t="str">
        <f>IFERROR(INDEX('G-8 Condition Look up'!$I$4:$I$135,MATCH(F13,'G-8 Condition Look up'!$A$4:$A$135,0)),"")</f>
        <v/>
      </c>
      <c r="B13" s="679">
        <v>3</v>
      </c>
      <c r="C13" s="247" t="str">
        <f>IFERROR(INDEX('G-1 All Habitats'!$AG$25:$AG$41,MATCH(D13,'G-1 All Habitats'!AF$25:AF$41,0)),"")</f>
        <v/>
      </c>
      <c r="D13" s="38"/>
      <c r="E13" s="45"/>
      <c r="F13" s="244" t="str">
        <f>IFERROR(INDEX('G-1 All Habitats'!$B$3:$B$135,MATCH(E13,'G-1 All Habitats'!$A$3:$A$135,0)),"")</f>
        <v/>
      </c>
      <c r="G13" s="37"/>
      <c r="H13" s="290" t="str">
        <f>IF(F13="","",VLOOKUP(F13,'G-1 All Habitats'!$B$2:$M$135,10,FALSE))</f>
        <v/>
      </c>
      <c r="I13" s="291" t="str">
        <f>IFERROR(VLOOKUP(H13,'G-1 All Habitats'!$V$3:$W$7,2,FALSE),"")</f>
        <v/>
      </c>
      <c r="J13" s="38"/>
      <c r="K13" s="291" t="str">
        <f>IFERROR(INDEX('G-8 Condition Look up'!$A$3:$H$135,MATCH(F13,'G-8 Condition Look up'!$A$3:$A$135,0),MATCH(J13,'G-8 Condition Look up'!$A$3:$H$3,0)),"")</f>
        <v/>
      </c>
      <c r="L13" s="38"/>
      <c r="M13" s="298" t="str">
        <f>IF(L13="","",IF(VLOOKUP(L13,'G-3 Multipliers'!$L$3:$N$6,2,FALSE)=0,"Spatial Data Missing",VLOOKUP(L13,'G-3 Multipliers'!$L$3:$N$6,2,FALSE)))</f>
        <v/>
      </c>
      <c r="N13" s="296" t="str">
        <f>IF(L13="","",IF(VLOOKUP(L13,'G-3 Multipliers'!$L$3:$N$6,3,FALSE)=0,"Spatial Data Missing",VLOOKUP(L13,'G-3 Multipliers'!$L$3:$N$6,3,FALSE)))</f>
        <v/>
      </c>
      <c r="O13" s="290" t="str">
        <f t="shared" si="1"/>
        <v/>
      </c>
      <c r="P13" s="47"/>
      <c r="Q13" s="47"/>
      <c r="R13" s="298" t="str">
        <f t="shared" si="2"/>
        <v/>
      </c>
      <c r="S13" s="311" t="str">
        <f>IF(R13="Error -both advance and delayed habitat creation ▲","Check Data ⚠",IF(O13="Not Possible","Check Data ⚠",IF(O13="","",IF(AND(O13="30+",P13=0),"30+",IF(AND(O13="30+",P13="30+"),0,IF(AND(O13="30+",P13&lt;32),30-P13,IF(O13="30+",30-P13,IF(P13&gt;O13,0,IF(Q13="30+","30+",IF(O13+Q13&gt;30,"30+",IF(O13+Q13&gt;30,"30+",IF(O13-P13&gt;30,"30+",IF(O13+Q13-P13&gt;0,O13+Q13-P13,IF(O13-P13&gt;0,O13-P13,O13+Q13-P13))))))))))))))</f>
        <v/>
      </c>
      <c r="T13" s="312" t="str">
        <f>IFERROR(IF(S13="Check Data ⚠","Check Data ⚠",VLOOKUP(S13,'G-4 Temporal multipliers'!$A$4:$C$37,3,FALSE)),"")</f>
        <v/>
      </c>
      <c r="U13" s="313" t="str">
        <f>IF(F13="","",VLOOKUP(F13,'G-3 Multipliers'!$A$2:$E$134,2,FALSE))</f>
        <v/>
      </c>
      <c r="V13" s="310" t="str">
        <f t="shared" si="4"/>
        <v/>
      </c>
      <c r="W13" s="295" t="str">
        <f>IF(E13="","",IF(AND(V13="Standard difficulty applied",O13&gt;P13),U13,IF(AND(V13="Low Difficulty - only applicable if all habitat created before losses ⚠",P13&gt;=O13),"Low",VLOOKUP(F13,'G-3 Multipliers'!$A$2:$E$134,4,FALSE))))</f>
        <v/>
      </c>
      <c r="X13" s="314" t="str">
        <f>IFERROR(IF(E13="","",VLOOKUP(W13, 'G-3 Multipliers'!$P$2:$Q$6,2,FALSE)),"")</f>
        <v/>
      </c>
      <c r="Y13" s="317" t="str">
        <f t="shared" si="5"/>
        <v/>
      </c>
      <c r="Z13" s="163"/>
      <c r="AA13" s="164"/>
      <c r="AB13" s="101"/>
      <c r="AE13" s="25" t="str">
        <f t="shared" si="0"/>
        <v/>
      </c>
    </row>
    <row r="14" spans="1:34" ht="14.5" thickBot="1" x14ac:dyDescent="0.35">
      <c r="A14" s="20" t="str">
        <f>IFERROR(INDEX('G-8 Condition Look up'!$I$4:$I$135,MATCH(F14,'G-8 Condition Look up'!$A$4:$A$135,0)),"")</f>
        <v/>
      </c>
      <c r="B14" s="679">
        <v>4</v>
      </c>
      <c r="C14" s="247" t="str">
        <f>IFERROR(INDEX('G-1 All Habitats'!$AG$25:$AG$41,MATCH(D14,'G-1 All Habitats'!AF$25:AF$41,0)),"")</f>
        <v/>
      </c>
      <c r="D14" s="38"/>
      <c r="E14" s="45"/>
      <c r="F14" s="244" t="str">
        <f>IFERROR(INDEX('G-1 All Habitats'!$B$3:$B$135,MATCH(E14,'G-1 All Habitats'!$A$3:$A$135,0)),"")</f>
        <v/>
      </c>
      <c r="G14" s="37"/>
      <c r="H14" s="290" t="str">
        <f>IF(F14="","",VLOOKUP(F14,'G-1 All Habitats'!$B$2:$M$135,10,FALSE))</f>
        <v/>
      </c>
      <c r="I14" s="291" t="str">
        <f>IFERROR(VLOOKUP(H14,'G-1 All Habitats'!$V$3:$W$7,2,FALSE),"")</f>
        <v/>
      </c>
      <c r="J14" s="38"/>
      <c r="K14" s="291" t="str">
        <f>IFERROR(INDEX('G-8 Condition Look up'!$A$3:$H$135,MATCH(F14,'G-8 Condition Look up'!$A$3:$A$135,0),MATCH(J14,'G-8 Condition Look up'!$A$3:$H$3,0)),"")</f>
        <v/>
      </c>
      <c r="L14" s="38"/>
      <c r="M14" s="298" t="str">
        <f>IF(L14="","",IF(VLOOKUP(L14,'G-3 Multipliers'!$L$3:$N$6,2,FALSE)=0,"Spatial Data Missing",VLOOKUP(L14,'G-3 Multipliers'!$L$3:$N$6,2,FALSE)))</f>
        <v/>
      </c>
      <c r="N14" s="296" t="str">
        <f>IF(L14="","",IF(VLOOKUP(L14,'G-3 Multipliers'!$L$3:$N$6,3,FALSE)=0,"Spatial Data Missing",VLOOKUP(L14,'G-3 Multipliers'!$L$3:$N$6,3,FALSE)))</f>
        <v/>
      </c>
      <c r="O14" s="290" t="str">
        <f t="shared" si="1"/>
        <v/>
      </c>
      <c r="P14" s="47"/>
      <c r="Q14" s="47"/>
      <c r="R14" s="298" t="str">
        <f t="shared" si="2"/>
        <v/>
      </c>
      <c r="S14" s="311" t="str">
        <f t="shared" si="3"/>
        <v/>
      </c>
      <c r="T14" s="312" t="str">
        <f>IFERROR(IF(S14="Check Data ⚠","Check Data ⚠",VLOOKUP(S14,'G-4 Temporal multipliers'!$A$4:$C$37,3,FALSE)),"")</f>
        <v/>
      </c>
      <c r="U14" s="313" t="str">
        <f>IF(F14="","",VLOOKUP(F14,'G-3 Multipliers'!$A$2:$E$134,2,FALSE))</f>
        <v/>
      </c>
      <c r="V14" s="310" t="str">
        <f t="shared" si="4"/>
        <v/>
      </c>
      <c r="W14" s="295" t="str">
        <f>IF(E14="","",IF(AND(V14="Standard difficulty applied",O14&gt;P14),U14,IF(AND(V14="Low Difficulty - only applicable if all habitat created before losses ⚠",P14&gt;=O14),"Low",VLOOKUP(F14,'G-3 Multipliers'!$A$2:$E$134,4,FALSE))))</f>
        <v/>
      </c>
      <c r="X14" s="314" t="str">
        <f>IFERROR(IF(E14="","",VLOOKUP(W14, 'G-3 Multipliers'!$P$2:$Q$6,2,FALSE)),"")</f>
        <v/>
      </c>
      <c r="Y14" s="317" t="str">
        <f t="shared" si="5"/>
        <v/>
      </c>
      <c r="Z14" s="163"/>
      <c r="AA14" s="164"/>
      <c r="AB14" s="101"/>
      <c r="AE14" s="25" t="str">
        <f t="shared" si="0"/>
        <v/>
      </c>
    </row>
    <row r="15" spans="1:34" ht="14.5" thickBot="1" x14ac:dyDescent="0.35">
      <c r="A15" s="20" t="str">
        <f>IFERROR(INDEX('G-8 Condition Look up'!$I$4:$I$135,MATCH(F15,'G-8 Condition Look up'!$A$4:$A$135,0)),"")</f>
        <v/>
      </c>
      <c r="B15" s="679">
        <v>5</v>
      </c>
      <c r="C15" s="247" t="str">
        <f>IFERROR(INDEX('G-1 All Habitats'!$AG$25:$AG$41,MATCH(D15,'G-1 All Habitats'!AF$25:AF$41,0)),"")</f>
        <v/>
      </c>
      <c r="D15" s="38"/>
      <c r="E15" s="45"/>
      <c r="F15" s="244" t="str">
        <f>IFERROR(INDEX('G-1 All Habitats'!$B$3:$B$135,MATCH(E15,'G-1 All Habitats'!$A$3:$A$135,0)),"")</f>
        <v/>
      </c>
      <c r="G15" s="37"/>
      <c r="H15" s="290" t="str">
        <f>IF(F15="","",VLOOKUP(F15,'G-1 All Habitats'!$B$2:$M$135,10,FALSE))</f>
        <v/>
      </c>
      <c r="I15" s="291" t="str">
        <f>IFERROR(VLOOKUP(H15,'G-1 All Habitats'!$V$3:$W$7,2,FALSE),"")</f>
        <v/>
      </c>
      <c r="J15" s="38"/>
      <c r="K15" s="291" t="str">
        <f>IFERROR(INDEX('G-8 Condition Look up'!$A$3:$H$135,MATCH(F15,'G-8 Condition Look up'!$A$3:$A$135,0),MATCH(J15,'G-8 Condition Look up'!$A$3:$H$3,0)),"")</f>
        <v/>
      </c>
      <c r="L15" s="38"/>
      <c r="M15" s="298" t="str">
        <f>IF(L15="","",IF(VLOOKUP(L15,'G-3 Multipliers'!$L$3:$N$6,2,FALSE)=0,"Spatial Data Missing",VLOOKUP(L15,'G-3 Multipliers'!$L$3:$N$6,2,FALSE)))</f>
        <v/>
      </c>
      <c r="N15" s="296" t="str">
        <f>IF(L15="","",IF(VLOOKUP(L15,'G-3 Multipliers'!$L$3:$N$6,3,FALSE)=0,"Spatial Data Missing",VLOOKUP(L15,'G-3 Multipliers'!$L$3:$N$6,3,FALSE)))</f>
        <v/>
      </c>
      <c r="O15" s="290" t="str">
        <f t="shared" si="1"/>
        <v/>
      </c>
      <c r="P15" s="47"/>
      <c r="Q15" s="47"/>
      <c r="R15" s="298" t="str">
        <f t="shared" si="2"/>
        <v/>
      </c>
      <c r="S15" s="311" t="str">
        <f t="shared" si="3"/>
        <v/>
      </c>
      <c r="T15" s="312" t="str">
        <f>IFERROR(IF(S15="Check Data ⚠","Check Data ⚠",VLOOKUP(S15,'G-4 Temporal multipliers'!$A$4:$C$37,3,FALSE)),"")</f>
        <v/>
      </c>
      <c r="U15" s="313" t="str">
        <f>IF(F15="","",VLOOKUP(F15,'G-3 Multipliers'!$A$2:$E$134,2,FALSE))</f>
        <v/>
      </c>
      <c r="V15" s="310" t="str">
        <f t="shared" si="4"/>
        <v/>
      </c>
      <c r="W15" s="295" t="str">
        <f>IF(E15="","",IF(AND(V15="Standard difficulty applied",O15&gt;P15),U15,IF(AND(V15="Low Difficulty - only applicable if all habitat created before losses ⚠",P15&gt;=O15),"Low",VLOOKUP(F15,'G-3 Multipliers'!$A$2:$E$134,4,FALSE))))</f>
        <v/>
      </c>
      <c r="X15" s="314" t="str">
        <f>IFERROR(IF(E15="","",VLOOKUP(W15, 'G-3 Multipliers'!$P$2:$Q$6,2,FALSE)),"")</f>
        <v/>
      </c>
      <c r="Y15" s="317" t="str">
        <f t="shared" si="5"/>
        <v/>
      </c>
      <c r="Z15" s="163"/>
      <c r="AA15" s="164"/>
      <c r="AB15" s="101"/>
      <c r="AE15" s="25" t="str">
        <f t="shared" si="0"/>
        <v/>
      </c>
    </row>
    <row r="16" spans="1:34" ht="14.5" thickBot="1" x14ac:dyDescent="0.35">
      <c r="A16" s="20" t="str">
        <f>IFERROR(INDEX('G-8 Condition Look up'!$I$4:$I$135,MATCH(F16,'G-8 Condition Look up'!$A$4:$A$135,0)),"")</f>
        <v/>
      </c>
      <c r="B16" s="679">
        <v>6</v>
      </c>
      <c r="C16" s="247" t="str">
        <f>IFERROR(INDEX('G-1 All Habitats'!$AG$25:$AG$41,MATCH(D16,'G-1 All Habitats'!AF$25:AF$41,0)),"")</f>
        <v/>
      </c>
      <c r="D16" s="38"/>
      <c r="E16" s="45"/>
      <c r="F16" s="244" t="str">
        <f>IFERROR(INDEX('G-1 All Habitats'!$B$3:$B$135,MATCH(E16,'G-1 All Habitats'!$A$3:$A$135,0)),"")</f>
        <v/>
      </c>
      <c r="G16" s="37"/>
      <c r="H16" s="290" t="str">
        <f>IF(F16="","",VLOOKUP(F16,'G-1 All Habitats'!$B$2:$M$135,10,FALSE))</f>
        <v/>
      </c>
      <c r="I16" s="291" t="str">
        <f>IFERROR(VLOOKUP(H16,'G-1 All Habitats'!$V$3:$W$7,2,FALSE),"")</f>
        <v/>
      </c>
      <c r="J16" s="38"/>
      <c r="K16" s="291" t="str">
        <f>IFERROR(INDEX('G-8 Condition Look up'!$A$3:$H$135,MATCH(F16,'G-8 Condition Look up'!$A$3:$A$135,0),MATCH(J16,'G-8 Condition Look up'!$A$3:$H$3,0)),"")</f>
        <v/>
      </c>
      <c r="L16" s="38"/>
      <c r="M16" s="298" t="str">
        <f>IF(L16="","",IF(VLOOKUP(L16,'G-3 Multipliers'!$L$3:$N$6,2,FALSE)=0,"Spatial Data Missing",VLOOKUP(L16,'G-3 Multipliers'!$L$3:$N$6,2,FALSE)))</f>
        <v/>
      </c>
      <c r="N16" s="296" t="str">
        <f>IF(L16="","",IF(VLOOKUP(L16,'G-3 Multipliers'!$L$3:$N$6,3,FALSE)=0,"Spatial Data Missing",VLOOKUP(L16,'G-3 Multipliers'!$L$3:$N$6,3,FALSE)))</f>
        <v/>
      </c>
      <c r="O16" s="290" t="str">
        <f t="shared" si="1"/>
        <v/>
      </c>
      <c r="P16" s="47"/>
      <c r="Q16" s="47"/>
      <c r="R16" s="298" t="str">
        <f t="shared" si="2"/>
        <v/>
      </c>
      <c r="S16" s="311" t="str">
        <f t="shared" si="3"/>
        <v/>
      </c>
      <c r="T16" s="312" t="str">
        <f>IFERROR(IF(S16="Check Data ⚠","Check Data ⚠",VLOOKUP(S16,'G-4 Temporal multipliers'!$A$4:$C$37,3,FALSE)),"")</f>
        <v/>
      </c>
      <c r="U16" s="313" t="str">
        <f>IF(F16="","",VLOOKUP(F16,'G-3 Multipliers'!$A$2:$E$134,2,FALSE))</f>
        <v/>
      </c>
      <c r="V16" s="310" t="str">
        <f t="shared" si="4"/>
        <v/>
      </c>
      <c r="W16" s="295" t="str">
        <f>IF(E16="","",IF(AND(V16="Standard difficulty applied",O16&gt;P16),U16,IF(AND(V16="Low Difficulty - only applicable if all habitat created before losses ⚠",P16&gt;=O16),"Low",VLOOKUP(F16,'G-3 Multipliers'!$A$2:$E$134,4,FALSE))))</f>
        <v/>
      </c>
      <c r="X16" s="314" t="str">
        <f>IFERROR(IF(E16="","",VLOOKUP(W16, 'G-3 Multipliers'!$P$2:$Q$6,2,FALSE)),"")</f>
        <v/>
      </c>
      <c r="Y16" s="317" t="str">
        <f t="shared" si="5"/>
        <v/>
      </c>
      <c r="Z16" s="163"/>
      <c r="AA16" s="164"/>
      <c r="AB16" s="101"/>
      <c r="AE16" s="25" t="str">
        <f t="shared" si="0"/>
        <v/>
      </c>
    </row>
    <row r="17" spans="1:31" ht="14.5" thickBot="1" x14ac:dyDescent="0.35">
      <c r="A17" s="20" t="str">
        <f>IFERROR(INDEX('G-8 Condition Look up'!$I$4:$I$135,MATCH(F17,'G-8 Condition Look up'!$A$4:$A$135,0)),"")</f>
        <v/>
      </c>
      <c r="B17" s="679">
        <v>7</v>
      </c>
      <c r="C17" s="247" t="str">
        <f>IFERROR(INDEX('G-1 All Habitats'!$AG$25:$AG$41,MATCH(D17,'G-1 All Habitats'!AF$25:AF$41,0)),"")</f>
        <v/>
      </c>
      <c r="D17" s="38"/>
      <c r="E17" s="45"/>
      <c r="F17" s="244" t="str">
        <f>IFERROR(INDEX('G-1 All Habitats'!$B$3:$B$135,MATCH(E17,'G-1 All Habitats'!$A$3:$A$135,0)),"")</f>
        <v/>
      </c>
      <c r="G17" s="37"/>
      <c r="H17" s="290" t="str">
        <f>IF(F17="","",VLOOKUP(F17,'G-1 All Habitats'!$B$2:$M$135,10,FALSE))</f>
        <v/>
      </c>
      <c r="I17" s="291" t="str">
        <f>IFERROR(VLOOKUP(H17,'G-1 All Habitats'!$V$3:$W$7,2,FALSE),"")</f>
        <v/>
      </c>
      <c r="J17" s="38"/>
      <c r="K17" s="291" t="str">
        <f>IFERROR(INDEX('G-8 Condition Look up'!$A$3:$H$135,MATCH(F17,'G-8 Condition Look up'!$A$3:$A$135,0),MATCH(J17,'G-8 Condition Look up'!$A$3:$H$3,0)),"")</f>
        <v/>
      </c>
      <c r="L17" s="38"/>
      <c r="M17" s="298" t="str">
        <f>IF(L17="","",IF(VLOOKUP(L17,'G-3 Multipliers'!$L$3:$N$6,2,FALSE)=0,"Spatial Data Missing",VLOOKUP(L17,'G-3 Multipliers'!$L$3:$N$6,2,FALSE)))</f>
        <v/>
      </c>
      <c r="N17" s="296" t="str">
        <f>IF(L17="","",IF(VLOOKUP(L17,'G-3 Multipliers'!$L$3:$N$6,3,FALSE)=0,"Spatial Data Missing",VLOOKUP(L17,'G-3 Multipliers'!$L$3:$N$6,3,FALSE)))</f>
        <v/>
      </c>
      <c r="O17" s="290" t="str">
        <f t="shared" si="1"/>
        <v/>
      </c>
      <c r="P17" s="47"/>
      <c r="Q17" s="47"/>
      <c r="R17" s="298" t="str">
        <f t="shared" si="2"/>
        <v/>
      </c>
      <c r="S17" s="311" t="str">
        <f t="shared" si="3"/>
        <v/>
      </c>
      <c r="T17" s="312" t="str">
        <f>IFERROR(IF(S17="Check Data ⚠","Check Data ⚠",VLOOKUP(S17,'G-4 Temporal multipliers'!$A$4:$C$37,3,FALSE)),"")</f>
        <v/>
      </c>
      <c r="U17" s="313" t="str">
        <f>IF(F17="","",VLOOKUP(F17,'G-3 Multipliers'!$A$2:$E$134,2,FALSE))</f>
        <v/>
      </c>
      <c r="V17" s="310" t="str">
        <f t="shared" si="4"/>
        <v/>
      </c>
      <c r="W17" s="295" t="str">
        <f>IF(E17="","",IF(AND(V17="Standard difficulty applied",O17&gt;P17),U17,IF(AND(V17="Low Difficulty - only applicable if all habitat created before losses ⚠",P17&gt;=O17),"Low",VLOOKUP(F17,'G-3 Multipliers'!$A$2:$E$134,4,FALSE))))</f>
        <v/>
      </c>
      <c r="X17" s="314" t="str">
        <f>IFERROR(IF(E17="","",VLOOKUP(W17, 'G-3 Multipliers'!$P$2:$Q$6,2,FALSE)),"")</f>
        <v/>
      </c>
      <c r="Y17" s="317" t="str">
        <f t="shared" si="5"/>
        <v/>
      </c>
      <c r="Z17" s="163"/>
      <c r="AA17" s="164"/>
      <c r="AB17" s="101"/>
      <c r="AE17" s="25" t="str">
        <f t="shared" si="0"/>
        <v/>
      </c>
    </row>
    <row r="18" spans="1:31" ht="14.5" thickBot="1" x14ac:dyDescent="0.35">
      <c r="A18" s="20" t="str">
        <f>IFERROR(INDEX('G-8 Condition Look up'!$I$4:$I$135,MATCH(F18,'G-8 Condition Look up'!$A$4:$A$135,0)),"")</f>
        <v/>
      </c>
      <c r="B18" s="679">
        <v>8</v>
      </c>
      <c r="C18" s="247" t="str">
        <f>IFERROR(INDEX('G-1 All Habitats'!$AG$25:$AG$41,MATCH(D18,'G-1 All Habitats'!AF$25:AF$41,0)),"")</f>
        <v/>
      </c>
      <c r="D18" s="38"/>
      <c r="E18" s="45"/>
      <c r="F18" s="244" t="str">
        <f>IFERROR(INDEX('G-1 All Habitats'!$B$3:$B$135,MATCH(E18,'G-1 All Habitats'!$A$3:$A$135,0)),"")</f>
        <v/>
      </c>
      <c r="G18" s="37"/>
      <c r="H18" s="290" t="str">
        <f>IF(F18="","",VLOOKUP(F18,'G-1 All Habitats'!$B$2:$M$135,10,FALSE))</f>
        <v/>
      </c>
      <c r="I18" s="291" t="str">
        <f>IFERROR(VLOOKUP(H18,'G-1 All Habitats'!$V$3:$W$7,2,FALSE),"")</f>
        <v/>
      </c>
      <c r="J18" s="38"/>
      <c r="K18" s="291" t="str">
        <f>IFERROR(INDEX('G-8 Condition Look up'!$A$3:$H$135,MATCH(F18,'G-8 Condition Look up'!$A$3:$A$135,0),MATCH(J18,'G-8 Condition Look up'!$A$3:$H$3,0)),"")</f>
        <v/>
      </c>
      <c r="L18" s="38"/>
      <c r="M18" s="298" t="str">
        <f>IF(L18="","",IF(VLOOKUP(L18,'G-3 Multipliers'!$L$3:$N$6,2,FALSE)=0,"Spatial Data Missing",VLOOKUP(L18,'G-3 Multipliers'!$L$3:$N$6,2,FALSE)))</f>
        <v/>
      </c>
      <c r="N18" s="296" t="str">
        <f>IF(L18="","",IF(VLOOKUP(L18,'G-3 Multipliers'!$L$3:$N$6,3,FALSE)=0,"Spatial Data Missing",VLOOKUP(L18,'G-3 Multipliers'!$L$3:$N$6,3,FALSE)))</f>
        <v/>
      </c>
      <c r="O18" s="290" t="str">
        <f t="shared" si="1"/>
        <v/>
      </c>
      <c r="P18" s="47"/>
      <c r="Q18" s="47"/>
      <c r="R18" s="298" t="str">
        <f t="shared" si="2"/>
        <v/>
      </c>
      <c r="S18" s="311" t="str">
        <f t="shared" si="3"/>
        <v/>
      </c>
      <c r="T18" s="312" t="str">
        <f>IFERROR(IF(S18="Check Data ⚠","Check Data ⚠",VLOOKUP(S18,'G-4 Temporal multipliers'!$A$4:$C$37,3,FALSE)),"")</f>
        <v/>
      </c>
      <c r="U18" s="313" t="str">
        <f>IF(F18="","",VLOOKUP(F18,'G-3 Multipliers'!$A$2:$E$134,2,FALSE))</f>
        <v/>
      </c>
      <c r="V18" s="310" t="str">
        <f t="shared" si="4"/>
        <v/>
      </c>
      <c r="W18" s="295" t="str">
        <f>IF(E18="","",IF(AND(V18="Standard difficulty applied",O18&gt;P18),U18,IF(AND(V18="Low Difficulty - only applicable if all habitat created before losses ⚠",P18&gt;=O18),"Low",VLOOKUP(F18,'G-3 Multipliers'!$A$2:$E$134,4,FALSE))))</f>
        <v/>
      </c>
      <c r="X18" s="314" t="str">
        <f>IFERROR(IF(E18="","",VLOOKUP(W18, 'G-3 Multipliers'!$P$2:$Q$6,2,FALSE)),"")</f>
        <v/>
      </c>
      <c r="Y18" s="317" t="str">
        <f t="shared" si="5"/>
        <v/>
      </c>
      <c r="Z18" s="163"/>
      <c r="AA18" s="164"/>
      <c r="AB18" s="101"/>
      <c r="AE18" s="25" t="str">
        <f t="shared" si="0"/>
        <v/>
      </c>
    </row>
    <row r="19" spans="1:31" ht="14.5" thickBot="1" x14ac:dyDescent="0.35">
      <c r="A19" s="20" t="str">
        <f>IFERROR(INDEX('G-8 Condition Look up'!$I$4:$I$135,MATCH(F19,'G-8 Condition Look up'!$A$4:$A$135,0)),"")</f>
        <v/>
      </c>
      <c r="B19" s="679">
        <v>9</v>
      </c>
      <c r="C19" s="247" t="str">
        <f>IFERROR(INDEX('G-1 All Habitats'!$AG$25:$AG$41,MATCH(D19,'G-1 All Habitats'!AF$25:AF$41,0)),"")</f>
        <v/>
      </c>
      <c r="D19" s="38"/>
      <c r="E19" s="45"/>
      <c r="F19" s="244" t="str">
        <f>IFERROR(INDEX('G-1 All Habitats'!$B$3:$B$135,MATCH(E19,'G-1 All Habitats'!$A$3:$A$135,0)),"")</f>
        <v/>
      </c>
      <c r="G19" s="37"/>
      <c r="H19" s="290" t="str">
        <f>IF(F19="","",VLOOKUP(F19,'G-1 All Habitats'!$B$2:$M$135,10,FALSE))</f>
        <v/>
      </c>
      <c r="I19" s="291" t="str">
        <f>IFERROR(VLOOKUP(H19,'G-1 All Habitats'!$V$3:$W$7,2,FALSE),"")</f>
        <v/>
      </c>
      <c r="J19" s="38"/>
      <c r="K19" s="291" t="str">
        <f>IFERROR(INDEX('G-8 Condition Look up'!$A$3:$H$135,MATCH(F19,'G-8 Condition Look up'!$A$3:$A$135,0),MATCH(J19,'G-8 Condition Look up'!$A$3:$H$3,0)),"")</f>
        <v/>
      </c>
      <c r="L19" s="38"/>
      <c r="M19" s="298" t="str">
        <f>IF(L19="","",IF(VLOOKUP(L19,'G-3 Multipliers'!$L$3:$N$6,2,FALSE)=0,"Spatial Data Missing",VLOOKUP(L19,'G-3 Multipliers'!$L$3:$N$6,2,FALSE)))</f>
        <v/>
      </c>
      <c r="N19" s="296" t="str">
        <f>IF(L19="","",IF(VLOOKUP(L19,'G-3 Multipliers'!$L$3:$N$6,3,FALSE)=0,"Spatial Data Missing",VLOOKUP(L19,'G-3 Multipliers'!$L$3:$N$6,3,FALSE)))</f>
        <v/>
      </c>
      <c r="O19" s="290" t="str">
        <f t="shared" si="1"/>
        <v/>
      </c>
      <c r="P19" s="47"/>
      <c r="Q19" s="47"/>
      <c r="R19" s="298" t="str">
        <f t="shared" si="2"/>
        <v/>
      </c>
      <c r="S19" s="311" t="str">
        <f t="shared" si="3"/>
        <v/>
      </c>
      <c r="T19" s="312" t="str">
        <f>IFERROR(IF(S19="Check Data ⚠","Check Data ⚠",VLOOKUP(S19,'G-4 Temporal multipliers'!$A$4:$C$37,3,FALSE)),"")</f>
        <v/>
      </c>
      <c r="U19" s="313" t="str">
        <f>IF(F19="","",VLOOKUP(F19,'G-3 Multipliers'!$A$2:$E$134,2,FALSE))</f>
        <v/>
      </c>
      <c r="V19" s="310" t="str">
        <f t="shared" si="4"/>
        <v/>
      </c>
      <c r="W19" s="295" t="str">
        <f>IF(E19="","",IF(AND(V19="Standard difficulty applied",O19&gt;P19),U19,IF(AND(V19="Low Difficulty - only applicable if all habitat created before losses ⚠",P19&gt;=O19),"Low",VLOOKUP(F19,'G-3 Multipliers'!$A$2:$E$134,4,FALSE))))</f>
        <v/>
      </c>
      <c r="X19" s="314" t="str">
        <f>IFERROR(IF(E19="","",VLOOKUP(W19, 'G-3 Multipliers'!$P$2:$Q$6,2,FALSE)),"")</f>
        <v/>
      </c>
      <c r="Y19" s="317" t="str">
        <f t="shared" si="5"/>
        <v/>
      </c>
      <c r="Z19" s="163"/>
      <c r="AA19" s="164"/>
      <c r="AB19" s="101"/>
      <c r="AE19" s="25" t="str">
        <f t="shared" si="0"/>
        <v/>
      </c>
    </row>
    <row r="20" spans="1:31" ht="14.5" thickBot="1" x14ac:dyDescent="0.35">
      <c r="A20" s="20" t="str">
        <f>IFERROR(INDEX('G-8 Condition Look up'!$I$4:$I$135,MATCH(F20,'G-8 Condition Look up'!$A$4:$A$135,0)),"")</f>
        <v/>
      </c>
      <c r="B20" s="679">
        <v>10</v>
      </c>
      <c r="C20" s="247" t="str">
        <f>IFERROR(INDEX('G-1 All Habitats'!$AG$25:$AG$41,MATCH(D20,'G-1 All Habitats'!AF$25:AF$41,0)),"")</f>
        <v/>
      </c>
      <c r="D20" s="38"/>
      <c r="E20" s="45"/>
      <c r="F20" s="244" t="str">
        <f>IFERROR(INDEX('G-1 All Habitats'!$B$3:$B$135,MATCH(E20,'G-1 All Habitats'!$A$3:$A$135,0)),"")</f>
        <v/>
      </c>
      <c r="G20" s="37"/>
      <c r="H20" s="290" t="str">
        <f>IF(F20="","",VLOOKUP(F20,'G-1 All Habitats'!$B$2:$M$135,10,FALSE))</f>
        <v/>
      </c>
      <c r="I20" s="291" t="str">
        <f>IFERROR(VLOOKUP(H20,'G-1 All Habitats'!$V$3:$W$7,2,FALSE),"")</f>
        <v/>
      </c>
      <c r="J20" s="38"/>
      <c r="K20" s="291" t="str">
        <f>IFERROR(INDEX('G-8 Condition Look up'!$A$3:$H$135,MATCH(F20,'G-8 Condition Look up'!$A$3:$A$135,0),MATCH(J20,'G-8 Condition Look up'!$A$3:$H$3,0)),"")</f>
        <v/>
      </c>
      <c r="L20" s="38"/>
      <c r="M20" s="298" t="str">
        <f>IF(L20="","",IF(VLOOKUP(L20,'G-3 Multipliers'!$L$3:$N$6,2,FALSE)=0,"Spatial Data Missing",VLOOKUP(L20,'G-3 Multipliers'!$L$3:$N$6,2,FALSE)))</f>
        <v/>
      </c>
      <c r="N20" s="296" t="str">
        <f>IF(L20="","",IF(VLOOKUP(L20,'G-3 Multipliers'!$L$3:$N$6,3,FALSE)=0,"Spatial Data Missing",VLOOKUP(L20,'G-3 Multipliers'!$L$3:$N$6,3,FALSE)))</f>
        <v/>
      </c>
      <c r="O20" s="290" t="str">
        <f t="shared" si="1"/>
        <v/>
      </c>
      <c r="P20" s="47"/>
      <c r="Q20" s="47"/>
      <c r="R20" s="298" t="str">
        <f t="shared" si="2"/>
        <v/>
      </c>
      <c r="S20" s="311" t="str">
        <f t="shared" si="3"/>
        <v/>
      </c>
      <c r="T20" s="312" t="str">
        <f>IFERROR(IF(S20="Check Data ⚠","Check Data ⚠",VLOOKUP(S20,'G-4 Temporal multipliers'!$A$4:$C$37,3,FALSE)),"")</f>
        <v/>
      </c>
      <c r="U20" s="313" t="str">
        <f>IF(F20="","",VLOOKUP(F20,'G-3 Multipliers'!$A$2:$E$134,2,FALSE))</f>
        <v/>
      </c>
      <c r="V20" s="310" t="str">
        <f t="shared" si="4"/>
        <v/>
      </c>
      <c r="W20" s="295" t="str">
        <f>IF(E20="","",IF(AND(V20="Standard difficulty applied",O20&gt;P20),U20,IF(AND(V20="Low Difficulty - only applicable if all habitat created before losses ⚠",P20&gt;=O20),"Low",VLOOKUP(F20,'G-3 Multipliers'!$A$2:$E$134,4,FALSE))))</f>
        <v/>
      </c>
      <c r="X20" s="314" t="str">
        <f>IFERROR(IF(E20="","",VLOOKUP(W20, 'G-3 Multipliers'!$P$2:$Q$6,2,FALSE)),"")</f>
        <v/>
      </c>
      <c r="Y20" s="317" t="str">
        <f t="shared" si="5"/>
        <v/>
      </c>
      <c r="Z20" s="163"/>
      <c r="AA20" s="164"/>
      <c r="AB20" s="101"/>
      <c r="AE20" s="25" t="str">
        <f t="shared" si="0"/>
        <v/>
      </c>
    </row>
    <row r="21" spans="1:31" ht="14.5" thickBot="1" x14ac:dyDescent="0.35">
      <c r="A21" s="20" t="str">
        <f>IFERROR(INDEX('G-8 Condition Look up'!$I$4:$I$135,MATCH(F21,'G-8 Condition Look up'!$A$4:$A$135,0)),"")</f>
        <v/>
      </c>
      <c r="B21" s="679">
        <v>11</v>
      </c>
      <c r="C21" s="247" t="str">
        <f>IFERROR(INDEX('G-1 All Habitats'!$AG$25:$AG$41,MATCH(D21,'G-1 All Habitats'!AF$25:AF$41,0)),"")</f>
        <v/>
      </c>
      <c r="D21" s="38"/>
      <c r="E21" s="45"/>
      <c r="F21" s="244" t="str">
        <f>IFERROR(INDEX('G-1 All Habitats'!$B$3:$B$135,MATCH(E21,'G-1 All Habitats'!$A$3:$A$135,0)),"")</f>
        <v/>
      </c>
      <c r="G21" s="37"/>
      <c r="H21" s="290" t="str">
        <f>IF(F21="","",VLOOKUP(F21,'G-1 All Habitats'!$B$2:$M$135,10,FALSE))</f>
        <v/>
      </c>
      <c r="I21" s="291" t="str">
        <f>IFERROR(VLOOKUP(H21,'G-1 All Habitats'!$V$3:$W$7,2,FALSE),"")</f>
        <v/>
      </c>
      <c r="J21" s="38"/>
      <c r="K21" s="291" t="str">
        <f>IFERROR(INDEX('G-8 Condition Look up'!$A$3:$H$135,MATCH(F21,'G-8 Condition Look up'!$A$3:$A$135,0),MATCH(J21,'G-8 Condition Look up'!$A$3:$H$3,0)),"")</f>
        <v/>
      </c>
      <c r="L21" s="38"/>
      <c r="M21" s="298" t="str">
        <f>IF(L21="","",IF(VLOOKUP(L21,'G-3 Multipliers'!$L$3:$N$6,2,FALSE)=0,"Spatial Data Missing",VLOOKUP(L21,'G-3 Multipliers'!$L$3:$N$6,2,FALSE)))</f>
        <v/>
      </c>
      <c r="N21" s="296" t="str">
        <f>IF(L21="","",IF(VLOOKUP(L21,'G-3 Multipliers'!$L$3:$N$6,3,FALSE)=0,"Spatial Data Missing",VLOOKUP(L21,'G-3 Multipliers'!$L$3:$N$6,3,FALSE)))</f>
        <v/>
      </c>
      <c r="O21" s="290" t="str">
        <f t="shared" si="1"/>
        <v/>
      </c>
      <c r="P21" s="47"/>
      <c r="Q21" s="47"/>
      <c r="R21" s="298" t="str">
        <f t="shared" si="2"/>
        <v/>
      </c>
      <c r="S21" s="311" t="str">
        <f t="shared" si="3"/>
        <v/>
      </c>
      <c r="T21" s="312" t="str">
        <f>IFERROR(IF(S21="Check Data ⚠","Check Data ⚠",VLOOKUP(S21,'G-4 Temporal multipliers'!$A$4:$C$37,3,FALSE)),"")</f>
        <v/>
      </c>
      <c r="U21" s="313" t="str">
        <f>IF(F21="","",VLOOKUP(F21,'G-3 Multipliers'!$A$2:$E$134,2,FALSE))</f>
        <v/>
      </c>
      <c r="V21" s="310" t="str">
        <f t="shared" si="4"/>
        <v/>
      </c>
      <c r="W21" s="295" t="str">
        <f>IF(E21="","",IF(AND(V21="Standard difficulty applied",O21&gt;P21),U21,IF(AND(V21="Low Difficulty - only applicable if all habitat created before losses ⚠",P21&gt;=O21),"Low",VLOOKUP(F21,'G-3 Multipliers'!$A$2:$E$134,4,FALSE))))</f>
        <v/>
      </c>
      <c r="X21" s="314" t="str">
        <f>IFERROR(IF(E21="","",VLOOKUP(W21, 'G-3 Multipliers'!$P$2:$Q$6,2,FALSE)),"")</f>
        <v/>
      </c>
      <c r="Y21" s="317" t="str">
        <f t="shared" si="5"/>
        <v/>
      </c>
      <c r="Z21" s="163"/>
      <c r="AA21" s="164"/>
      <c r="AB21" s="101"/>
      <c r="AE21" s="25" t="str">
        <f t="shared" si="0"/>
        <v/>
      </c>
    </row>
    <row r="22" spans="1:31" ht="14.5" thickBot="1" x14ac:dyDescent="0.35">
      <c r="A22" s="20" t="str">
        <f>IFERROR(INDEX('G-8 Condition Look up'!$I$4:$I$135,MATCH(F22,'G-8 Condition Look up'!$A$4:$A$135,0)),"")</f>
        <v/>
      </c>
      <c r="B22" s="679">
        <v>12</v>
      </c>
      <c r="C22" s="247" t="str">
        <f>IFERROR(INDEX('G-1 All Habitats'!$AG$25:$AG$41,MATCH(D22,'G-1 All Habitats'!AF$25:AF$41,0)),"")</f>
        <v/>
      </c>
      <c r="D22" s="38"/>
      <c r="E22" s="45"/>
      <c r="F22" s="244" t="str">
        <f>IFERROR(INDEX('G-1 All Habitats'!$B$3:$B$135,MATCH(E22,'G-1 All Habitats'!$A$3:$A$135,0)),"")</f>
        <v/>
      </c>
      <c r="G22" s="37"/>
      <c r="H22" s="290" t="str">
        <f>IF(F22="","",VLOOKUP(F22,'G-1 All Habitats'!$B$2:$M$135,10,FALSE))</f>
        <v/>
      </c>
      <c r="I22" s="291" t="str">
        <f>IFERROR(VLOOKUP(H22,'G-1 All Habitats'!$V$3:$W$7,2,FALSE),"")</f>
        <v/>
      </c>
      <c r="J22" s="38"/>
      <c r="K22" s="291" t="str">
        <f>IFERROR(INDEX('G-8 Condition Look up'!$A$3:$H$135,MATCH(F22,'G-8 Condition Look up'!$A$3:$A$135,0),MATCH(J22,'G-8 Condition Look up'!$A$3:$H$3,0)),"")</f>
        <v/>
      </c>
      <c r="L22" s="38"/>
      <c r="M22" s="298" t="str">
        <f>IF(L22="","",IF(VLOOKUP(L22,'G-3 Multipliers'!$L$3:$N$6,2,FALSE)=0,"Spatial Data Missing",VLOOKUP(L22,'G-3 Multipliers'!$L$3:$N$6,2,FALSE)))</f>
        <v/>
      </c>
      <c r="N22" s="296" t="str">
        <f>IF(L22="","",IF(VLOOKUP(L22,'G-3 Multipliers'!$L$3:$N$6,3,FALSE)=0,"Spatial Data Missing",VLOOKUP(L22,'G-3 Multipliers'!$L$3:$N$6,3,FALSE)))</f>
        <v/>
      </c>
      <c r="O22" s="290" t="str">
        <f t="shared" si="1"/>
        <v/>
      </c>
      <c r="P22" s="47"/>
      <c r="Q22" s="47"/>
      <c r="R22" s="298" t="str">
        <f t="shared" si="2"/>
        <v/>
      </c>
      <c r="S22" s="311" t="str">
        <f t="shared" si="3"/>
        <v/>
      </c>
      <c r="T22" s="312" t="str">
        <f>IFERROR(IF(S22="Check Data ⚠","Check Data ⚠",VLOOKUP(S22,'G-4 Temporal multipliers'!$A$4:$C$37,3,FALSE)),"")</f>
        <v/>
      </c>
      <c r="U22" s="313" t="str">
        <f>IF(F22="","",VLOOKUP(F22,'G-3 Multipliers'!$A$2:$E$134,2,FALSE))</f>
        <v/>
      </c>
      <c r="V22" s="310" t="str">
        <f t="shared" si="4"/>
        <v/>
      </c>
      <c r="W22" s="295" t="str">
        <f>IF(E22="","",IF(AND(V22="Standard difficulty applied",O22&gt;P22),U22,IF(AND(V22="Low Difficulty - only applicable if all habitat created before losses ⚠",P22&gt;=O22),"Low",VLOOKUP(F22,'G-3 Multipliers'!$A$2:$E$134,4,FALSE))))</f>
        <v/>
      </c>
      <c r="X22" s="314" t="str">
        <f>IFERROR(IF(E22="","",VLOOKUP(W22, 'G-3 Multipliers'!$P$2:$Q$6,2,FALSE)),"")</f>
        <v/>
      </c>
      <c r="Y22" s="317" t="str">
        <f t="shared" si="5"/>
        <v/>
      </c>
      <c r="Z22" s="163"/>
      <c r="AA22" s="164"/>
      <c r="AB22" s="101"/>
      <c r="AE22" s="25" t="str">
        <f t="shared" si="0"/>
        <v/>
      </c>
    </row>
    <row r="23" spans="1:31" ht="14.5" thickBot="1" x14ac:dyDescent="0.35">
      <c r="A23" s="20" t="str">
        <f>IFERROR(INDEX('G-8 Condition Look up'!$I$4:$I$135,MATCH(F23,'G-8 Condition Look up'!$A$4:$A$135,0)),"")</f>
        <v/>
      </c>
      <c r="B23" s="679">
        <v>13</v>
      </c>
      <c r="C23" s="247" t="str">
        <f>IFERROR(INDEX('G-1 All Habitats'!$AG$25:$AG$41,MATCH(D23,'G-1 All Habitats'!AF$25:AF$41,0)),"")</f>
        <v/>
      </c>
      <c r="D23" s="38"/>
      <c r="E23" s="45"/>
      <c r="F23" s="244" t="str">
        <f>IFERROR(INDEX('G-1 All Habitats'!$B$3:$B$135,MATCH(E23,'G-1 All Habitats'!$A$3:$A$135,0)),"")</f>
        <v/>
      </c>
      <c r="G23" s="37"/>
      <c r="H23" s="290" t="str">
        <f>IF(F23="","",VLOOKUP(F23,'G-1 All Habitats'!$B$2:$M$135,10,FALSE))</f>
        <v/>
      </c>
      <c r="I23" s="291" t="str">
        <f>IFERROR(VLOOKUP(H23,'G-1 All Habitats'!$V$3:$W$7,2,FALSE),"")</f>
        <v/>
      </c>
      <c r="J23" s="38"/>
      <c r="K23" s="291" t="str">
        <f>IFERROR(INDEX('G-8 Condition Look up'!$A$3:$H$135,MATCH(F23,'G-8 Condition Look up'!$A$3:$A$135,0),MATCH(J23,'G-8 Condition Look up'!$A$3:$H$3,0)),"")</f>
        <v/>
      </c>
      <c r="L23" s="38"/>
      <c r="M23" s="298" t="str">
        <f>IF(L23="","",IF(VLOOKUP(L23,'G-3 Multipliers'!$L$3:$N$6,2,FALSE)=0,"Spatial Data Missing",VLOOKUP(L23,'G-3 Multipliers'!$L$3:$N$6,2,FALSE)))</f>
        <v/>
      </c>
      <c r="N23" s="296" t="str">
        <f>IF(L23="","",IF(VLOOKUP(L23,'G-3 Multipliers'!$L$3:$N$6,3,FALSE)=0,"Spatial Data Missing",VLOOKUP(L23,'G-3 Multipliers'!$L$3:$N$6,3,FALSE)))</f>
        <v/>
      </c>
      <c r="O23" s="290" t="str">
        <f t="shared" si="1"/>
        <v/>
      </c>
      <c r="P23" s="47"/>
      <c r="Q23" s="47"/>
      <c r="R23" s="298" t="str">
        <f t="shared" si="2"/>
        <v/>
      </c>
      <c r="S23" s="311" t="str">
        <f t="shared" si="3"/>
        <v/>
      </c>
      <c r="T23" s="312" t="str">
        <f>IFERROR(IF(S23="Check Data ⚠","Check Data ⚠",VLOOKUP(S23,'G-4 Temporal multipliers'!$A$4:$C$37,3,FALSE)),"")</f>
        <v/>
      </c>
      <c r="U23" s="313" t="str">
        <f>IF(F23="","",VLOOKUP(F23,'G-3 Multipliers'!$A$2:$E$134,2,FALSE))</f>
        <v/>
      </c>
      <c r="V23" s="310" t="str">
        <f t="shared" si="4"/>
        <v/>
      </c>
      <c r="W23" s="295" t="str">
        <f>IF(E23="","",IF(AND(V23="Standard difficulty applied",O23&gt;P23),U23,IF(AND(V23="Low Difficulty - only applicable if all habitat created before losses ⚠",P23&gt;=O23),"Low",VLOOKUP(F23,'G-3 Multipliers'!$A$2:$E$134,4,FALSE))))</f>
        <v/>
      </c>
      <c r="X23" s="314" t="str">
        <f>IFERROR(IF(E23="","",VLOOKUP(W23, 'G-3 Multipliers'!$P$2:$Q$6,2,FALSE)),"")</f>
        <v/>
      </c>
      <c r="Y23" s="317" t="str">
        <f t="shared" si="5"/>
        <v/>
      </c>
      <c r="Z23" s="163"/>
      <c r="AA23" s="164"/>
      <c r="AB23" s="101"/>
      <c r="AE23" s="25" t="str">
        <f t="shared" si="0"/>
        <v/>
      </c>
    </row>
    <row r="24" spans="1:31" ht="14.5" thickBot="1" x14ac:dyDescent="0.35">
      <c r="A24" s="20" t="str">
        <f>IFERROR(INDEX('G-8 Condition Look up'!$I$4:$I$135,MATCH(F24,'G-8 Condition Look up'!$A$4:$A$135,0)),"")</f>
        <v/>
      </c>
      <c r="B24" s="679">
        <v>14</v>
      </c>
      <c r="C24" s="247" t="str">
        <f>IFERROR(INDEX('G-1 All Habitats'!$AG$25:$AG$41,MATCH(D24,'G-1 All Habitats'!AF$25:AF$41,0)),"")</f>
        <v/>
      </c>
      <c r="D24" s="38"/>
      <c r="E24" s="45"/>
      <c r="F24" s="244" t="str">
        <f>IFERROR(INDEX('G-1 All Habitats'!$B$3:$B$135,MATCH(E24,'G-1 All Habitats'!$A$3:$A$135,0)),"")</f>
        <v/>
      </c>
      <c r="G24" s="37"/>
      <c r="H24" s="290" t="str">
        <f>IF(F24="","",VLOOKUP(F24,'G-1 All Habitats'!$B$2:$M$135,10,FALSE))</f>
        <v/>
      </c>
      <c r="I24" s="291" t="str">
        <f>IFERROR(VLOOKUP(H24,'G-1 All Habitats'!$V$3:$W$7,2,FALSE),"")</f>
        <v/>
      </c>
      <c r="J24" s="38"/>
      <c r="K24" s="291" t="str">
        <f>IFERROR(INDEX('G-8 Condition Look up'!$A$3:$H$135,MATCH(F24,'G-8 Condition Look up'!$A$3:$A$135,0),MATCH(J24,'G-8 Condition Look up'!$A$3:$H$3,0)),"")</f>
        <v/>
      </c>
      <c r="L24" s="38"/>
      <c r="M24" s="298" t="str">
        <f>IF(L24="","",IF(VLOOKUP(L24,'G-3 Multipliers'!$L$3:$N$6,2,FALSE)=0,"Spatial Data Missing",VLOOKUP(L24,'G-3 Multipliers'!$L$3:$N$6,2,FALSE)))</f>
        <v/>
      </c>
      <c r="N24" s="296" t="str">
        <f>IF(L24="","",IF(VLOOKUP(L24,'G-3 Multipliers'!$L$3:$N$6,3,FALSE)=0,"Spatial Data Missing",VLOOKUP(L24,'G-3 Multipliers'!$L$3:$N$6,3,FALSE)))</f>
        <v/>
      </c>
      <c r="O24" s="290" t="str">
        <f t="shared" si="1"/>
        <v/>
      </c>
      <c r="P24" s="47"/>
      <c r="Q24" s="47"/>
      <c r="R24" s="298" t="str">
        <f t="shared" si="2"/>
        <v/>
      </c>
      <c r="S24" s="311" t="str">
        <f t="shared" si="3"/>
        <v/>
      </c>
      <c r="T24" s="312" t="str">
        <f>IFERROR(IF(S24="Check Data ⚠","Check Data ⚠",VLOOKUP(S24,'G-4 Temporal multipliers'!$A$4:$C$37,3,FALSE)),"")</f>
        <v/>
      </c>
      <c r="U24" s="313" t="str">
        <f>IF(F24="","",VLOOKUP(F24,'G-3 Multipliers'!$A$2:$E$134,2,FALSE))</f>
        <v/>
      </c>
      <c r="V24" s="310" t="str">
        <f t="shared" si="4"/>
        <v/>
      </c>
      <c r="W24" s="295" t="str">
        <f>IF(E24="","",IF(AND(V24="Standard difficulty applied",O24&gt;P24),U24,IF(AND(V24="Low Difficulty - only applicable if all habitat created before losses ⚠",P24&gt;=O24),"Low",VLOOKUP(F24,'G-3 Multipliers'!$A$2:$E$134,4,FALSE))))</f>
        <v/>
      </c>
      <c r="X24" s="314" t="str">
        <f>IFERROR(IF(E24="","",VLOOKUP(W24, 'G-3 Multipliers'!$P$2:$Q$6,2,FALSE)),"")</f>
        <v/>
      </c>
      <c r="Y24" s="317" t="str">
        <f t="shared" si="5"/>
        <v/>
      </c>
      <c r="Z24" s="163"/>
      <c r="AA24" s="164"/>
      <c r="AB24" s="101"/>
      <c r="AE24" s="25" t="str">
        <f t="shared" si="0"/>
        <v/>
      </c>
    </row>
    <row r="25" spans="1:31" ht="14.5" thickBot="1" x14ac:dyDescent="0.35">
      <c r="A25" s="20" t="str">
        <f>IFERROR(INDEX('G-8 Condition Look up'!$I$4:$I$135,MATCH(F25,'G-8 Condition Look up'!$A$4:$A$135,0)),"")</f>
        <v/>
      </c>
      <c r="B25" s="679">
        <v>15</v>
      </c>
      <c r="C25" s="247" t="str">
        <f>IFERROR(INDEX('G-1 All Habitats'!$AG$25:$AG$41,MATCH(D25,'G-1 All Habitats'!AF$25:AF$41,0)),"")</f>
        <v/>
      </c>
      <c r="D25" s="38"/>
      <c r="E25" s="45"/>
      <c r="F25" s="244" t="str">
        <f>IFERROR(INDEX('G-1 All Habitats'!$B$3:$B$135,MATCH(E25,'G-1 All Habitats'!$A$3:$A$135,0)),"")</f>
        <v/>
      </c>
      <c r="G25" s="37"/>
      <c r="H25" s="290" t="str">
        <f>IF(F25="","",VLOOKUP(F25,'G-1 All Habitats'!$B$2:$M$135,10,FALSE))</f>
        <v/>
      </c>
      <c r="I25" s="291" t="str">
        <f>IFERROR(VLOOKUP(H25,'G-1 All Habitats'!$V$3:$W$7,2,FALSE),"")</f>
        <v/>
      </c>
      <c r="J25" s="38"/>
      <c r="K25" s="291" t="str">
        <f>IFERROR(INDEX('G-8 Condition Look up'!$A$3:$H$135,MATCH(F25,'G-8 Condition Look up'!$A$3:$A$135,0),MATCH(J25,'G-8 Condition Look up'!$A$3:$H$3,0)),"")</f>
        <v/>
      </c>
      <c r="L25" s="38"/>
      <c r="M25" s="298" t="str">
        <f>IF(L25="","",IF(VLOOKUP(L25,'G-3 Multipliers'!$L$3:$N$6,2,FALSE)=0,"Spatial Data Missing",VLOOKUP(L25,'G-3 Multipliers'!$L$3:$N$6,2,FALSE)))</f>
        <v/>
      </c>
      <c r="N25" s="296" t="str">
        <f>IF(L25="","",IF(VLOOKUP(L25,'G-3 Multipliers'!$L$3:$N$6,3,FALSE)=0,"Spatial Data Missing",VLOOKUP(L25,'G-3 Multipliers'!$L$3:$N$6,3,FALSE)))</f>
        <v/>
      </c>
      <c r="O25" s="290" t="str">
        <f t="shared" si="1"/>
        <v/>
      </c>
      <c r="P25" s="47"/>
      <c r="Q25" s="47"/>
      <c r="R25" s="298" t="str">
        <f t="shared" si="2"/>
        <v/>
      </c>
      <c r="S25" s="311" t="str">
        <f t="shared" si="3"/>
        <v/>
      </c>
      <c r="T25" s="312" t="str">
        <f>IFERROR(IF(S25="Check Data ⚠","Check Data ⚠",VLOOKUP(S25,'G-4 Temporal multipliers'!$A$4:$C$37,3,FALSE)),"")</f>
        <v/>
      </c>
      <c r="U25" s="313" t="str">
        <f>IF(F25="","",VLOOKUP(F25,'G-3 Multipliers'!$A$2:$E$134,2,FALSE))</f>
        <v/>
      </c>
      <c r="V25" s="310" t="str">
        <f t="shared" si="4"/>
        <v/>
      </c>
      <c r="W25" s="295" t="str">
        <f>IF(E25="","",IF(AND(V25="Standard difficulty applied",O25&gt;P25),U25,IF(AND(V25="Low Difficulty - only applicable if all habitat created before losses ⚠",P25&gt;=O25),"Low",VLOOKUP(F25,'G-3 Multipliers'!$A$2:$E$134,4,FALSE))))</f>
        <v/>
      </c>
      <c r="X25" s="314" t="str">
        <f>IFERROR(IF(E25="","",VLOOKUP(W25, 'G-3 Multipliers'!$P$2:$Q$6,2,FALSE)),"")</f>
        <v/>
      </c>
      <c r="Y25" s="317" t="str">
        <f t="shared" si="5"/>
        <v/>
      </c>
      <c r="Z25" s="163"/>
      <c r="AA25" s="164"/>
      <c r="AB25" s="101"/>
      <c r="AE25" s="25" t="str">
        <f t="shared" si="0"/>
        <v/>
      </c>
    </row>
    <row r="26" spans="1:31" ht="14.5" thickBot="1" x14ac:dyDescent="0.35">
      <c r="A26" s="20" t="str">
        <f>IFERROR(INDEX('G-8 Condition Look up'!$I$4:$I$135,MATCH(F26,'G-8 Condition Look up'!$A$4:$A$135,0)),"")</f>
        <v/>
      </c>
      <c r="B26" s="679">
        <v>16</v>
      </c>
      <c r="C26" s="247" t="str">
        <f>IFERROR(INDEX('G-1 All Habitats'!$AG$25:$AG$41,MATCH(D26,'G-1 All Habitats'!AF$25:AF$41,0)),"")</f>
        <v/>
      </c>
      <c r="D26" s="38"/>
      <c r="E26" s="45"/>
      <c r="F26" s="244" t="str">
        <f>IFERROR(INDEX('G-1 All Habitats'!$B$3:$B$135,MATCH(E26,'G-1 All Habitats'!$A$3:$A$135,0)),"")</f>
        <v/>
      </c>
      <c r="G26" s="37"/>
      <c r="H26" s="290" t="str">
        <f>IF(F26="","",VLOOKUP(F26,'G-1 All Habitats'!$B$2:$M$135,10,FALSE))</f>
        <v/>
      </c>
      <c r="I26" s="291" t="str">
        <f>IFERROR(VLOOKUP(H26,'G-1 All Habitats'!$V$3:$W$7,2,FALSE),"")</f>
        <v/>
      </c>
      <c r="J26" s="38"/>
      <c r="K26" s="291" t="str">
        <f>IFERROR(INDEX('G-8 Condition Look up'!$A$3:$H$135,MATCH(F26,'G-8 Condition Look up'!$A$3:$A$135,0),MATCH(J26,'G-8 Condition Look up'!$A$3:$H$3,0)),"")</f>
        <v/>
      </c>
      <c r="L26" s="38"/>
      <c r="M26" s="298" t="str">
        <f>IF(L26="","",IF(VLOOKUP(L26,'G-3 Multipliers'!$L$3:$N$6,2,FALSE)=0,"Spatial Data Missing",VLOOKUP(L26,'G-3 Multipliers'!$L$3:$N$6,2,FALSE)))</f>
        <v/>
      </c>
      <c r="N26" s="296" t="str">
        <f>IF(L26="","",IF(VLOOKUP(L26,'G-3 Multipliers'!$L$3:$N$6,3,FALSE)=0,"Spatial Data Missing",VLOOKUP(L26,'G-3 Multipliers'!$L$3:$N$6,3,FALSE)))</f>
        <v/>
      </c>
      <c r="O26" s="290" t="str">
        <f t="shared" si="1"/>
        <v/>
      </c>
      <c r="P26" s="47"/>
      <c r="Q26" s="47"/>
      <c r="R26" s="298" t="str">
        <f t="shared" si="2"/>
        <v/>
      </c>
      <c r="S26" s="311" t="str">
        <f t="shared" si="3"/>
        <v/>
      </c>
      <c r="T26" s="312" t="str">
        <f>IFERROR(IF(S26="Check Data ⚠","Check Data ⚠",VLOOKUP(S26,'G-4 Temporal multipliers'!$A$4:$C$37,3,FALSE)),"")</f>
        <v/>
      </c>
      <c r="U26" s="313" t="str">
        <f>IF(F26="","",VLOOKUP(F26,'G-3 Multipliers'!$A$2:$E$134,2,FALSE))</f>
        <v/>
      </c>
      <c r="V26" s="310" t="str">
        <f t="shared" si="4"/>
        <v/>
      </c>
      <c r="W26" s="295" t="str">
        <f>IF(E26="","",IF(AND(V26="Standard difficulty applied",O26&gt;P26),U26,IF(AND(V26="Low Difficulty - only applicable if all habitat created before losses ⚠",P26&gt;=O26),"Low",VLOOKUP(F26,'G-3 Multipliers'!$A$2:$E$134,4,FALSE))))</f>
        <v/>
      </c>
      <c r="X26" s="314" t="str">
        <f>IFERROR(IF(E26="","",VLOOKUP(W26, 'G-3 Multipliers'!$P$2:$Q$6,2,FALSE)),"")</f>
        <v/>
      </c>
      <c r="Y26" s="317" t="str">
        <f t="shared" si="5"/>
        <v/>
      </c>
      <c r="Z26" s="163"/>
      <c r="AA26" s="164"/>
      <c r="AB26" s="101"/>
      <c r="AE26" s="25" t="str">
        <f t="shared" si="0"/>
        <v/>
      </c>
    </row>
    <row r="27" spans="1:31" ht="14.5" thickBot="1" x14ac:dyDescent="0.35">
      <c r="A27" s="20" t="str">
        <f>IFERROR(INDEX('G-8 Condition Look up'!$I$4:$I$135,MATCH(F27,'G-8 Condition Look up'!$A$4:$A$135,0)),"")</f>
        <v/>
      </c>
      <c r="B27" s="679">
        <v>17</v>
      </c>
      <c r="C27" s="247" t="str">
        <f>IFERROR(INDEX('G-1 All Habitats'!$AG$25:$AG$41,MATCH(D27,'G-1 All Habitats'!AF$25:AF$41,0)),"")</f>
        <v/>
      </c>
      <c r="D27" s="38"/>
      <c r="E27" s="45"/>
      <c r="F27" s="244" t="str">
        <f>IFERROR(INDEX('G-1 All Habitats'!$B$3:$B$135,MATCH(E27,'G-1 All Habitats'!$A$3:$A$135,0)),"")</f>
        <v/>
      </c>
      <c r="G27" s="37"/>
      <c r="H27" s="290" t="str">
        <f>IF(F27="","",VLOOKUP(F27,'G-1 All Habitats'!$B$2:$M$135,10,FALSE))</f>
        <v/>
      </c>
      <c r="I27" s="291" t="str">
        <f>IFERROR(VLOOKUP(H27,'G-1 All Habitats'!$V$3:$W$7,2,FALSE),"")</f>
        <v/>
      </c>
      <c r="J27" s="38"/>
      <c r="K27" s="291" t="str">
        <f>IFERROR(INDEX('G-8 Condition Look up'!$A$3:$H$135,MATCH(F27,'G-8 Condition Look up'!$A$3:$A$135,0),MATCH(J27,'G-8 Condition Look up'!$A$3:$H$3,0)),"")</f>
        <v/>
      </c>
      <c r="L27" s="38"/>
      <c r="M27" s="298" t="str">
        <f>IF(L27="","",IF(VLOOKUP(L27,'G-3 Multipliers'!$L$3:$N$6,2,FALSE)=0,"Spatial Data Missing",VLOOKUP(L27,'G-3 Multipliers'!$L$3:$N$6,2,FALSE)))</f>
        <v/>
      </c>
      <c r="N27" s="296" t="str">
        <f>IF(L27="","",IF(VLOOKUP(L27,'G-3 Multipliers'!$L$3:$N$6,3,FALSE)=0,"Spatial Data Missing",VLOOKUP(L27,'G-3 Multipliers'!$L$3:$N$6,3,FALSE)))</f>
        <v/>
      </c>
      <c r="O27" s="290" t="str">
        <f t="shared" si="1"/>
        <v/>
      </c>
      <c r="P27" s="47"/>
      <c r="Q27" s="47"/>
      <c r="R27" s="298" t="str">
        <f t="shared" si="2"/>
        <v/>
      </c>
      <c r="S27" s="311" t="str">
        <f t="shared" si="3"/>
        <v/>
      </c>
      <c r="T27" s="312" t="str">
        <f>IFERROR(IF(S27="Check Data ⚠","Check Data ⚠",VLOOKUP(S27,'G-4 Temporal multipliers'!$A$4:$C$37,3,FALSE)),"")</f>
        <v/>
      </c>
      <c r="U27" s="313" t="str">
        <f>IF(F27="","",VLOOKUP(F27,'G-3 Multipliers'!$A$2:$E$134,2,FALSE))</f>
        <v/>
      </c>
      <c r="V27" s="310" t="str">
        <f t="shared" si="4"/>
        <v/>
      </c>
      <c r="W27" s="295" t="str">
        <f>IF(E27="","",IF(AND(V27="Standard difficulty applied",O27&gt;P27),U27,IF(AND(V27="Low Difficulty - only applicable if all habitat created before losses ⚠",P27&gt;=O27),"Low",VLOOKUP(F27,'G-3 Multipliers'!$A$2:$E$134,4,FALSE))))</f>
        <v/>
      </c>
      <c r="X27" s="314" t="str">
        <f>IFERROR(IF(E27="","",VLOOKUP(W27, 'G-3 Multipliers'!$P$2:$Q$6,2,FALSE)),"")</f>
        <v/>
      </c>
      <c r="Y27" s="317" t="str">
        <f t="shared" si="5"/>
        <v/>
      </c>
      <c r="Z27" s="163"/>
      <c r="AA27" s="164"/>
      <c r="AB27" s="101"/>
      <c r="AE27" s="25" t="str">
        <f t="shared" si="0"/>
        <v/>
      </c>
    </row>
    <row r="28" spans="1:31" ht="14.5" thickBot="1" x14ac:dyDescent="0.35">
      <c r="A28" s="20" t="str">
        <f>IFERROR(INDEX('G-8 Condition Look up'!$I$4:$I$135,MATCH(F28,'G-8 Condition Look up'!$A$4:$A$135,0)),"")</f>
        <v/>
      </c>
      <c r="B28" s="679">
        <v>18</v>
      </c>
      <c r="C28" s="247" t="str">
        <f>IFERROR(INDEX('G-1 All Habitats'!$AG$25:$AG$41,MATCH(D28,'G-1 All Habitats'!AF$25:AF$41,0)),"")</f>
        <v/>
      </c>
      <c r="D28" s="38"/>
      <c r="E28" s="45"/>
      <c r="F28" s="244" t="str">
        <f>IFERROR(INDEX('G-1 All Habitats'!$B$3:$B$135,MATCH(E28,'G-1 All Habitats'!$A$3:$A$135,0)),"")</f>
        <v/>
      </c>
      <c r="G28" s="37"/>
      <c r="H28" s="290" t="str">
        <f>IF(F28="","",VLOOKUP(F28,'G-1 All Habitats'!$B$2:$M$135,10,FALSE))</f>
        <v/>
      </c>
      <c r="I28" s="291" t="str">
        <f>IFERROR(VLOOKUP(H28,'G-1 All Habitats'!$V$3:$W$7,2,FALSE),"")</f>
        <v/>
      </c>
      <c r="J28" s="38"/>
      <c r="K28" s="291" t="str">
        <f>IFERROR(INDEX('G-8 Condition Look up'!$A$3:$H$135,MATCH(F28,'G-8 Condition Look up'!$A$3:$A$135,0),MATCH(J28,'G-8 Condition Look up'!$A$3:$H$3,0)),"")</f>
        <v/>
      </c>
      <c r="L28" s="38"/>
      <c r="M28" s="298" t="str">
        <f>IF(L28="","",IF(VLOOKUP(L28,'G-3 Multipliers'!$L$3:$N$6,2,FALSE)=0,"Spatial Data Missing",VLOOKUP(L28,'G-3 Multipliers'!$L$3:$N$6,2,FALSE)))</f>
        <v/>
      </c>
      <c r="N28" s="296" t="str">
        <f>IF(L28="","",IF(VLOOKUP(L28,'G-3 Multipliers'!$L$3:$N$6,3,FALSE)=0,"Spatial Data Missing",VLOOKUP(L28,'G-3 Multipliers'!$L$3:$N$6,3,FALSE)))</f>
        <v/>
      </c>
      <c r="O28" s="290" t="str">
        <f t="shared" si="1"/>
        <v/>
      </c>
      <c r="P28" s="47"/>
      <c r="Q28" s="47"/>
      <c r="R28" s="298" t="str">
        <f t="shared" si="2"/>
        <v/>
      </c>
      <c r="S28" s="311" t="str">
        <f t="shared" si="3"/>
        <v/>
      </c>
      <c r="T28" s="312" t="str">
        <f>IFERROR(IF(S28="Check Data ⚠","Check Data ⚠",VLOOKUP(S28,'G-4 Temporal multipliers'!$A$4:$C$37,3,FALSE)),"")</f>
        <v/>
      </c>
      <c r="U28" s="313" t="str">
        <f>IF(F28="","",VLOOKUP(F28,'G-3 Multipliers'!$A$2:$E$134,2,FALSE))</f>
        <v/>
      </c>
      <c r="V28" s="310" t="str">
        <f t="shared" si="4"/>
        <v/>
      </c>
      <c r="W28" s="295" t="str">
        <f>IF(E28="","",IF(AND(V28="Standard difficulty applied",O28&gt;P28),U28,IF(AND(V28="Low Difficulty - only applicable if all habitat created before losses ⚠",P28&gt;=O28),"Low",VLOOKUP(F28,'G-3 Multipliers'!$A$2:$E$134,4,FALSE))))</f>
        <v/>
      </c>
      <c r="X28" s="314" t="str">
        <f>IFERROR(IF(E28="","",VLOOKUP(W28, 'G-3 Multipliers'!$P$2:$Q$6,2,FALSE)),"")</f>
        <v/>
      </c>
      <c r="Y28" s="317" t="str">
        <f t="shared" si="5"/>
        <v/>
      </c>
      <c r="Z28" s="163"/>
      <c r="AA28" s="164"/>
      <c r="AB28" s="101"/>
      <c r="AE28" s="25" t="str">
        <f t="shared" si="0"/>
        <v/>
      </c>
    </row>
    <row r="29" spans="1:31" ht="14.5" thickBot="1" x14ac:dyDescent="0.35">
      <c r="A29" s="20" t="str">
        <f>IFERROR(INDEX('G-8 Condition Look up'!$I$4:$I$135,MATCH(F29,'G-8 Condition Look up'!$A$4:$A$135,0)),"")</f>
        <v/>
      </c>
      <c r="B29" s="679">
        <v>19</v>
      </c>
      <c r="C29" s="247" t="str">
        <f>IFERROR(INDEX('G-1 All Habitats'!$AG$25:$AG$41,MATCH(D29,'G-1 All Habitats'!AF$25:AF$41,0)),"")</f>
        <v/>
      </c>
      <c r="D29" s="38"/>
      <c r="E29" s="45"/>
      <c r="F29" s="244" t="str">
        <f>IFERROR(INDEX('G-1 All Habitats'!$B$3:$B$135,MATCH(E29,'G-1 All Habitats'!$A$3:$A$135,0)),"")</f>
        <v/>
      </c>
      <c r="G29" s="37"/>
      <c r="H29" s="290" t="str">
        <f>IF(F29="","",VLOOKUP(F29,'G-1 All Habitats'!$B$2:$M$135,10,FALSE))</f>
        <v/>
      </c>
      <c r="I29" s="291" t="str">
        <f>IFERROR(VLOOKUP(H29,'G-1 All Habitats'!$V$3:$W$7,2,FALSE),"")</f>
        <v/>
      </c>
      <c r="J29" s="38"/>
      <c r="K29" s="291" t="str">
        <f>IFERROR(INDEX('G-8 Condition Look up'!$A$3:$H$135,MATCH(F29,'G-8 Condition Look up'!$A$3:$A$135,0),MATCH(J29,'G-8 Condition Look up'!$A$3:$H$3,0)),"")</f>
        <v/>
      </c>
      <c r="L29" s="38"/>
      <c r="M29" s="298" t="str">
        <f>IF(L29="","",IF(VLOOKUP(L29,'G-3 Multipliers'!$L$3:$N$6,2,FALSE)=0,"Spatial Data Missing",VLOOKUP(L29,'G-3 Multipliers'!$L$3:$N$6,2,FALSE)))</f>
        <v/>
      </c>
      <c r="N29" s="296" t="str">
        <f>IF(L29="","",IF(VLOOKUP(L29,'G-3 Multipliers'!$L$3:$N$6,3,FALSE)=0,"Spatial Data Missing",VLOOKUP(L29,'G-3 Multipliers'!$L$3:$N$6,3,FALSE)))</f>
        <v/>
      </c>
      <c r="O29" s="290" t="str">
        <f t="shared" si="1"/>
        <v/>
      </c>
      <c r="P29" s="47"/>
      <c r="Q29" s="47"/>
      <c r="R29" s="298" t="str">
        <f t="shared" si="2"/>
        <v/>
      </c>
      <c r="S29" s="311" t="str">
        <f t="shared" si="3"/>
        <v/>
      </c>
      <c r="T29" s="312" t="str">
        <f>IFERROR(IF(S29="Check Data ⚠","Check Data ⚠",VLOOKUP(S29,'G-4 Temporal multipliers'!$A$4:$C$37,3,FALSE)),"")</f>
        <v/>
      </c>
      <c r="U29" s="313" t="str">
        <f>IF(F29="","",VLOOKUP(F29,'G-3 Multipliers'!$A$2:$E$134,2,FALSE))</f>
        <v/>
      </c>
      <c r="V29" s="310" t="str">
        <f t="shared" si="4"/>
        <v/>
      </c>
      <c r="W29" s="295" t="str">
        <f>IF(E29="","",IF(AND(V29="Standard difficulty applied",O29&gt;P29),U29,IF(AND(V29="Low Difficulty - only applicable if all habitat created before losses ⚠",P29&gt;=O29),"Low",VLOOKUP(F29,'G-3 Multipliers'!$A$2:$E$134,4,FALSE))))</f>
        <v/>
      </c>
      <c r="X29" s="314" t="str">
        <f>IFERROR(IF(E29="","",VLOOKUP(W29, 'G-3 Multipliers'!$P$2:$Q$6,2,FALSE)),"")</f>
        <v/>
      </c>
      <c r="Y29" s="317" t="str">
        <f t="shared" si="5"/>
        <v/>
      </c>
      <c r="Z29" s="163"/>
      <c r="AA29" s="164"/>
      <c r="AB29" s="101"/>
      <c r="AE29" s="25" t="str">
        <f t="shared" si="0"/>
        <v/>
      </c>
    </row>
    <row r="30" spans="1:31" ht="14.5" thickBot="1" x14ac:dyDescent="0.35">
      <c r="A30" s="20" t="str">
        <f>IFERROR(INDEX('G-8 Condition Look up'!$I$4:$I$135,MATCH(F30,'G-8 Condition Look up'!$A$4:$A$135,0)),"")</f>
        <v/>
      </c>
      <c r="B30" s="679">
        <v>20</v>
      </c>
      <c r="C30" s="247" t="str">
        <f>IFERROR(INDEX('G-1 All Habitats'!$AG$25:$AG$41,MATCH(D30,'G-1 All Habitats'!AF$25:AF$41,0)),"")</f>
        <v/>
      </c>
      <c r="D30" s="38"/>
      <c r="E30" s="45"/>
      <c r="F30" s="244" t="str">
        <f>IFERROR(INDEX('G-1 All Habitats'!$B$3:$B$135,MATCH(E30,'G-1 All Habitats'!$A$3:$A$135,0)),"")</f>
        <v/>
      </c>
      <c r="G30" s="37"/>
      <c r="H30" s="290" t="str">
        <f>IF(F30="","",VLOOKUP(F30,'G-1 All Habitats'!$B$2:$M$135,10,FALSE))</f>
        <v/>
      </c>
      <c r="I30" s="291" t="str">
        <f>IFERROR(VLOOKUP(H30,'G-1 All Habitats'!$V$3:$W$7,2,FALSE),"")</f>
        <v/>
      </c>
      <c r="J30" s="38"/>
      <c r="K30" s="291" t="str">
        <f>IFERROR(INDEX('G-8 Condition Look up'!$A$3:$H$135,MATCH(F30,'G-8 Condition Look up'!$A$3:$A$135,0),MATCH(J30,'G-8 Condition Look up'!$A$3:$H$3,0)),"")</f>
        <v/>
      </c>
      <c r="L30" s="38"/>
      <c r="M30" s="298" t="str">
        <f>IF(L30="","",IF(VLOOKUP(L30,'G-3 Multipliers'!$L$3:$N$6,2,FALSE)=0,"Spatial Data Missing",VLOOKUP(L30,'G-3 Multipliers'!$L$3:$N$6,2,FALSE)))</f>
        <v/>
      </c>
      <c r="N30" s="296" t="str">
        <f>IF(L30="","",IF(VLOOKUP(L30,'G-3 Multipliers'!$L$3:$N$6,3,FALSE)=0,"Spatial Data Missing",VLOOKUP(L30,'G-3 Multipliers'!$L$3:$N$6,3,FALSE)))</f>
        <v/>
      </c>
      <c r="O30" s="290" t="str">
        <f t="shared" si="1"/>
        <v/>
      </c>
      <c r="P30" s="47"/>
      <c r="Q30" s="47"/>
      <c r="R30" s="298" t="str">
        <f t="shared" si="2"/>
        <v/>
      </c>
      <c r="S30" s="311" t="str">
        <f t="shared" si="3"/>
        <v/>
      </c>
      <c r="T30" s="312" t="str">
        <f>IFERROR(IF(S30="Check Data ⚠","Check Data ⚠",VLOOKUP(S30,'G-4 Temporal multipliers'!$A$4:$C$37,3,FALSE)),"")</f>
        <v/>
      </c>
      <c r="U30" s="313" t="str">
        <f>IF(F30="","",VLOOKUP(F30,'G-3 Multipliers'!$A$2:$E$134,2,FALSE))</f>
        <v/>
      </c>
      <c r="V30" s="310" t="str">
        <f t="shared" si="4"/>
        <v/>
      </c>
      <c r="W30" s="295" t="str">
        <f>IF(E30="","",IF(AND(V30="Standard difficulty applied",O30&gt;P30),U30,IF(AND(V30="Low Difficulty - only applicable if all habitat created before losses ⚠",P30&gt;=O30),"Low",VLOOKUP(F30,'G-3 Multipliers'!$A$2:$E$134,4,FALSE))))</f>
        <v/>
      </c>
      <c r="X30" s="314" t="str">
        <f>IFERROR(IF(E30="","",VLOOKUP(W30, 'G-3 Multipliers'!$P$2:$Q$6,2,FALSE)),"")</f>
        <v/>
      </c>
      <c r="Y30" s="317" t="str">
        <f t="shared" si="5"/>
        <v/>
      </c>
      <c r="Z30" s="163"/>
      <c r="AA30" s="164"/>
      <c r="AB30" s="101"/>
      <c r="AE30" s="25" t="str">
        <f t="shared" si="0"/>
        <v/>
      </c>
    </row>
    <row r="31" spans="1:31" ht="14.5" thickBot="1" x14ac:dyDescent="0.35">
      <c r="A31" s="20" t="str">
        <f>IFERROR(INDEX('G-8 Condition Look up'!$I$4:$I$135,MATCH(F31,'G-8 Condition Look up'!$A$4:$A$135,0)),"")</f>
        <v/>
      </c>
      <c r="B31" s="679">
        <v>21</v>
      </c>
      <c r="C31" s="247" t="str">
        <f>IFERROR(INDEX('G-1 All Habitats'!$AG$25:$AG$41,MATCH(D31,'G-1 All Habitats'!AF$25:AF$41,0)),"")</f>
        <v/>
      </c>
      <c r="D31" s="38"/>
      <c r="E31" s="45"/>
      <c r="F31" s="244" t="str">
        <f>IFERROR(INDEX('G-1 All Habitats'!$B$3:$B$135,MATCH(E31,'G-1 All Habitats'!$A$3:$A$135,0)),"")</f>
        <v/>
      </c>
      <c r="G31" s="37"/>
      <c r="H31" s="290" t="str">
        <f>IF(F31="","",VLOOKUP(F31,'G-1 All Habitats'!$B$2:$M$135,10,FALSE))</f>
        <v/>
      </c>
      <c r="I31" s="291" t="str">
        <f>IFERROR(VLOOKUP(H31,'G-1 All Habitats'!$V$3:$W$7,2,FALSE),"")</f>
        <v/>
      </c>
      <c r="J31" s="38"/>
      <c r="K31" s="291" t="str">
        <f>IFERROR(INDEX('G-8 Condition Look up'!$A$3:$H$135,MATCH(F31,'G-8 Condition Look up'!$A$3:$A$135,0),MATCH(J31,'G-8 Condition Look up'!$A$3:$H$3,0)),"")</f>
        <v/>
      </c>
      <c r="L31" s="38"/>
      <c r="M31" s="298" t="str">
        <f>IF(L31="","",IF(VLOOKUP(L31,'G-3 Multipliers'!$L$3:$N$6,2,FALSE)=0,"Spatial Data Missing",VLOOKUP(L31,'G-3 Multipliers'!$L$3:$N$6,2,FALSE)))</f>
        <v/>
      </c>
      <c r="N31" s="296" t="str">
        <f>IF(L31="","",IF(VLOOKUP(L31,'G-3 Multipliers'!$L$3:$N$6,3,FALSE)=0,"Spatial Data Missing",VLOOKUP(L31,'G-3 Multipliers'!$L$3:$N$6,3,FALSE)))</f>
        <v/>
      </c>
      <c r="O31" s="290" t="str">
        <f t="shared" si="1"/>
        <v/>
      </c>
      <c r="P31" s="47"/>
      <c r="Q31" s="47"/>
      <c r="R31" s="298" t="str">
        <f t="shared" si="2"/>
        <v/>
      </c>
      <c r="S31" s="311" t="str">
        <f t="shared" si="3"/>
        <v/>
      </c>
      <c r="T31" s="312" t="str">
        <f>IFERROR(IF(S31="Check Data ⚠","Check Data ⚠",VLOOKUP(S31,'G-4 Temporal multipliers'!$A$4:$C$37,3,FALSE)),"")</f>
        <v/>
      </c>
      <c r="U31" s="313" t="str">
        <f>IF(F31="","",VLOOKUP(F31,'G-3 Multipliers'!$A$2:$E$134,2,FALSE))</f>
        <v/>
      </c>
      <c r="V31" s="310" t="str">
        <f t="shared" si="4"/>
        <v/>
      </c>
      <c r="W31" s="295" t="str">
        <f>IF(E31="","",IF(AND(V31="Standard difficulty applied",O31&gt;P31),U31,IF(AND(V31="Low Difficulty - only applicable if all habitat created before losses ⚠",P31&gt;=O31),"Low",VLOOKUP(F31,'G-3 Multipliers'!$A$2:$E$134,4,FALSE))))</f>
        <v/>
      </c>
      <c r="X31" s="314" t="str">
        <f>IFERROR(IF(E31="","",VLOOKUP(W31, 'G-3 Multipliers'!$P$2:$Q$6,2,FALSE)),"")</f>
        <v/>
      </c>
      <c r="Y31" s="317" t="str">
        <f t="shared" si="5"/>
        <v/>
      </c>
      <c r="Z31" s="163"/>
      <c r="AA31" s="164"/>
      <c r="AB31" s="101"/>
      <c r="AE31" s="25" t="str">
        <f t="shared" si="0"/>
        <v/>
      </c>
    </row>
    <row r="32" spans="1:31" ht="14.5" thickBot="1" x14ac:dyDescent="0.35">
      <c r="A32" s="20" t="str">
        <f>IFERROR(INDEX('G-8 Condition Look up'!$I$4:$I$135,MATCH(F32,'G-8 Condition Look up'!$A$4:$A$135,0)),"")</f>
        <v/>
      </c>
      <c r="B32" s="679">
        <v>22</v>
      </c>
      <c r="C32" s="247" t="str">
        <f>IFERROR(INDEX('G-1 All Habitats'!$AG$25:$AG$41,MATCH(D32,'G-1 All Habitats'!AF$25:AF$41,0)),"")</f>
        <v/>
      </c>
      <c r="D32" s="38"/>
      <c r="E32" s="45"/>
      <c r="F32" s="244" t="str">
        <f>IFERROR(INDEX('G-1 All Habitats'!$B$3:$B$135,MATCH(E32,'G-1 All Habitats'!$A$3:$A$135,0)),"")</f>
        <v/>
      </c>
      <c r="G32" s="37"/>
      <c r="H32" s="290" t="str">
        <f>IF(F32="","",VLOOKUP(F32,'G-1 All Habitats'!$B$2:$M$135,10,FALSE))</f>
        <v/>
      </c>
      <c r="I32" s="291" t="str">
        <f>IFERROR(VLOOKUP(H32,'G-1 All Habitats'!$V$3:$W$7,2,FALSE),"")</f>
        <v/>
      </c>
      <c r="J32" s="38"/>
      <c r="K32" s="291" t="str">
        <f>IFERROR(INDEX('G-8 Condition Look up'!$A$3:$H$135,MATCH(F32,'G-8 Condition Look up'!$A$3:$A$135,0),MATCH(J32,'G-8 Condition Look up'!$A$3:$H$3,0)),"")</f>
        <v/>
      </c>
      <c r="L32" s="38"/>
      <c r="M32" s="298" t="str">
        <f>IF(L32="","",IF(VLOOKUP(L32,'G-3 Multipliers'!$L$3:$N$6,2,FALSE)=0,"Spatial Data Missing",VLOOKUP(L32,'G-3 Multipliers'!$L$3:$N$6,2,FALSE)))</f>
        <v/>
      </c>
      <c r="N32" s="296" t="str">
        <f>IF(L32="","",IF(VLOOKUP(L32,'G-3 Multipliers'!$L$3:$N$6,3,FALSE)=0,"Spatial Data Missing",VLOOKUP(L32,'G-3 Multipliers'!$L$3:$N$6,3,FALSE)))</f>
        <v/>
      </c>
      <c r="O32" s="290" t="str">
        <f t="shared" si="1"/>
        <v/>
      </c>
      <c r="P32" s="47"/>
      <c r="Q32" s="47"/>
      <c r="R32" s="298" t="str">
        <f t="shared" si="2"/>
        <v/>
      </c>
      <c r="S32" s="311" t="str">
        <f t="shared" si="3"/>
        <v/>
      </c>
      <c r="T32" s="312" t="str">
        <f>IFERROR(IF(S32="Check Data ⚠","Check Data ⚠",VLOOKUP(S32,'G-4 Temporal multipliers'!$A$4:$C$37,3,FALSE)),"")</f>
        <v/>
      </c>
      <c r="U32" s="313" t="str">
        <f>IF(F32="","",VLOOKUP(F32,'G-3 Multipliers'!$A$2:$E$134,2,FALSE))</f>
        <v/>
      </c>
      <c r="V32" s="310" t="str">
        <f t="shared" si="4"/>
        <v/>
      </c>
      <c r="W32" s="295" t="str">
        <f>IF(E32="","",IF(AND(V32="Standard difficulty applied",O32&gt;P32),U32,IF(AND(V32="Low Difficulty - only applicable if all habitat created before losses ⚠",P32&gt;=O32),"Low",VLOOKUP(F32,'G-3 Multipliers'!$A$2:$E$134,4,FALSE))))</f>
        <v/>
      </c>
      <c r="X32" s="314" t="str">
        <f>IFERROR(IF(E32="","",VLOOKUP(W32, 'G-3 Multipliers'!$P$2:$Q$6,2,FALSE)),"")</f>
        <v/>
      </c>
      <c r="Y32" s="317" t="str">
        <f t="shared" si="5"/>
        <v/>
      </c>
      <c r="Z32" s="163"/>
      <c r="AA32" s="164"/>
      <c r="AB32" s="101"/>
      <c r="AE32" s="25" t="str">
        <f t="shared" si="0"/>
        <v/>
      </c>
    </row>
    <row r="33" spans="1:31" ht="14.5" thickBot="1" x14ac:dyDescent="0.35">
      <c r="A33" s="20" t="str">
        <f>IFERROR(INDEX('G-8 Condition Look up'!$I$4:$I$135,MATCH(F33,'G-8 Condition Look up'!$A$4:$A$135,0)),"")</f>
        <v/>
      </c>
      <c r="B33" s="679">
        <v>23</v>
      </c>
      <c r="C33" s="247" t="str">
        <f>IFERROR(INDEX('G-1 All Habitats'!$AG$25:$AG$41,MATCH(D33,'G-1 All Habitats'!AF$25:AF$41,0)),"")</f>
        <v/>
      </c>
      <c r="D33" s="38"/>
      <c r="E33" s="45"/>
      <c r="F33" s="244" t="str">
        <f>IFERROR(INDEX('G-1 All Habitats'!$B$3:$B$135,MATCH(E33,'G-1 All Habitats'!$A$3:$A$135,0)),"")</f>
        <v/>
      </c>
      <c r="G33" s="37"/>
      <c r="H33" s="290" t="str">
        <f>IF(F33="","",VLOOKUP(F33,'G-1 All Habitats'!$B$2:$M$135,10,FALSE))</f>
        <v/>
      </c>
      <c r="I33" s="291" t="str">
        <f>IFERROR(VLOOKUP(H33,'G-1 All Habitats'!$V$3:$W$7,2,FALSE),"")</f>
        <v/>
      </c>
      <c r="J33" s="38"/>
      <c r="K33" s="291" t="str">
        <f>IFERROR(INDEX('G-8 Condition Look up'!$A$3:$H$135,MATCH(F33,'G-8 Condition Look up'!$A$3:$A$135,0),MATCH(J33,'G-8 Condition Look up'!$A$3:$H$3,0)),"")</f>
        <v/>
      </c>
      <c r="L33" s="38"/>
      <c r="M33" s="298" t="str">
        <f>IF(L33="","",IF(VLOOKUP(L33,'G-3 Multipliers'!$L$3:$N$6,2,FALSE)=0,"Spatial Data Missing",VLOOKUP(L33,'G-3 Multipliers'!$L$3:$N$6,2,FALSE)))</f>
        <v/>
      </c>
      <c r="N33" s="296" t="str">
        <f>IF(L33="","",IF(VLOOKUP(L33,'G-3 Multipliers'!$L$3:$N$6,3,FALSE)=0,"Spatial Data Missing",VLOOKUP(L33,'G-3 Multipliers'!$L$3:$N$6,3,FALSE)))</f>
        <v/>
      </c>
      <c r="O33" s="290" t="str">
        <f t="shared" si="1"/>
        <v/>
      </c>
      <c r="P33" s="47"/>
      <c r="Q33" s="47"/>
      <c r="R33" s="298" t="str">
        <f t="shared" si="2"/>
        <v/>
      </c>
      <c r="S33" s="311" t="str">
        <f t="shared" si="3"/>
        <v/>
      </c>
      <c r="T33" s="312" t="str">
        <f>IFERROR(IF(S33="Check Data ⚠","Check Data ⚠",VLOOKUP(S33,'G-4 Temporal multipliers'!$A$4:$C$37,3,FALSE)),"")</f>
        <v/>
      </c>
      <c r="U33" s="313" t="str">
        <f>IF(F33="","",VLOOKUP(F33,'G-3 Multipliers'!$A$2:$E$134,2,FALSE))</f>
        <v/>
      </c>
      <c r="V33" s="310" t="str">
        <f t="shared" si="4"/>
        <v/>
      </c>
      <c r="W33" s="295" t="str">
        <f>IF(E33="","",IF(AND(V33="Standard difficulty applied",O33&gt;P33),U33,IF(AND(V33="Low Difficulty - only applicable if all habitat created before losses ⚠",P33&gt;=O33),"Low",VLOOKUP(F33,'G-3 Multipliers'!$A$2:$E$134,4,FALSE))))</f>
        <v/>
      </c>
      <c r="X33" s="314" t="str">
        <f>IFERROR(IF(E33="","",VLOOKUP(W33, 'G-3 Multipliers'!$P$2:$Q$6,2,FALSE)),"")</f>
        <v/>
      </c>
      <c r="Y33" s="317" t="str">
        <f t="shared" si="5"/>
        <v/>
      </c>
      <c r="Z33" s="163"/>
      <c r="AA33" s="164"/>
      <c r="AB33" s="101"/>
      <c r="AE33" s="25" t="str">
        <f t="shared" si="0"/>
        <v/>
      </c>
    </row>
    <row r="34" spans="1:31" ht="14.5" thickBot="1" x14ac:dyDescent="0.35">
      <c r="A34" s="20" t="str">
        <f>IFERROR(INDEX('G-8 Condition Look up'!$I$4:$I$135,MATCH(F34,'G-8 Condition Look up'!$A$4:$A$135,0)),"")</f>
        <v/>
      </c>
      <c r="B34" s="679">
        <v>24</v>
      </c>
      <c r="C34" s="247" t="str">
        <f>IFERROR(INDEX('G-1 All Habitats'!$AG$25:$AG$41,MATCH(D34,'G-1 All Habitats'!AF$25:AF$41,0)),"")</f>
        <v/>
      </c>
      <c r="D34" s="38"/>
      <c r="E34" s="45"/>
      <c r="F34" s="244" t="str">
        <f>IFERROR(INDEX('G-1 All Habitats'!$B$3:$B$135,MATCH(E34,'G-1 All Habitats'!$A$3:$A$135,0)),"")</f>
        <v/>
      </c>
      <c r="G34" s="37"/>
      <c r="H34" s="290" t="str">
        <f>IF(F34="","",VLOOKUP(F34,'G-1 All Habitats'!$B$2:$M$135,10,FALSE))</f>
        <v/>
      </c>
      <c r="I34" s="291" t="str">
        <f>IFERROR(VLOOKUP(H34,'G-1 All Habitats'!$V$3:$W$7,2,FALSE),"")</f>
        <v/>
      </c>
      <c r="J34" s="38"/>
      <c r="K34" s="291" t="str">
        <f>IFERROR(INDEX('G-8 Condition Look up'!$A$3:$H$135,MATCH(F34,'G-8 Condition Look up'!$A$3:$A$135,0),MATCH(J34,'G-8 Condition Look up'!$A$3:$H$3,0)),"")</f>
        <v/>
      </c>
      <c r="L34" s="38"/>
      <c r="M34" s="298" t="str">
        <f>IF(L34="","",IF(VLOOKUP(L34,'G-3 Multipliers'!$L$3:$N$6,2,FALSE)=0,"Spatial Data Missing",VLOOKUP(L34,'G-3 Multipliers'!$L$3:$N$6,2,FALSE)))</f>
        <v/>
      </c>
      <c r="N34" s="296" t="str">
        <f>IF(L34="","",IF(VLOOKUP(L34,'G-3 Multipliers'!$L$3:$N$6,3,FALSE)=0,"Spatial Data Missing",VLOOKUP(L34,'G-3 Multipliers'!$L$3:$N$6,3,FALSE)))</f>
        <v/>
      </c>
      <c r="O34" s="290" t="str">
        <f t="shared" si="1"/>
        <v/>
      </c>
      <c r="P34" s="47"/>
      <c r="Q34" s="47"/>
      <c r="R34" s="298" t="str">
        <f t="shared" si="2"/>
        <v/>
      </c>
      <c r="S34" s="311" t="str">
        <f t="shared" si="3"/>
        <v/>
      </c>
      <c r="T34" s="312" t="str">
        <f>IFERROR(IF(S34="Check Data ⚠","Check Data ⚠",VLOOKUP(S34,'G-4 Temporal multipliers'!$A$4:$C$37,3,FALSE)),"")</f>
        <v/>
      </c>
      <c r="U34" s="313" t="str">
        <f>IF(F34="","",VLOOKUP(F34,'G-3 Multipliers'!$A$2:$E$134,2,FALSE))</f>
        <v/>
      </c>
      <c r="V34" s="310" t="str">
        <f t="shared" si="4"/>
        <v/>
      </c>
      <c r="W34" s="295" t="str">
        <f>IF(E34="","",IF(AND(V34="Standard difficulty applied",O34&gt;P34),U34,IF(AND(V34="Low Difficulty - only applicable if all habitat created before losses ⚠",P34&gt;=O34),"Low",VLOOKUP(F34,'G-3 Multipliers'!$A$2:$E$134,4,FALSE))))</f>
        <v/>
      </c>
      <c r="X34" s="314" t="str">
        <f>IFERROR(IF(E34="","",VLOOKUP(W34, 'G-3 Multipliers'!$P$2:$Q$6,2,FALSE)),"")</f>
        <v/>
      </c>
      <c r="Y34" s="317" t="str">
        <f t="shared" si="5"/>
        <v/>
      </c>
      <c r="Z34" s="163"/>
      <c r="AA34" s="164"/>
      <c r="AB34" s="101"/>
      <c r="AE34" s="25" t="str">
        <f t="shared" si="0"/>
        <v/>
      </c>
    </row>
    <row r="35" spans="1:31" ht="14.5" thickBot="1" x14ac:dyDescent="0.35">
      <c r="A35" s="20" t="str">
        <f>IFERROR(INDEX('G-8 Condition Look up'!$I$4:$I$135,MATCH(F35,'G-8 Condition Look up'!$A$4:$A$135,0)),"")</f>
        <v/>
      </c>
      <c r="B35" s="679">
        <v>25</v>
      </c>
      <c r="C35" s="247" t="str">
        <f>IFERROR(INDEX('G-1 All Habitats'!$AG$25:$AG$41,MATCH(D35,'G-1 All Habitats'!AF$25:AF$41,0)),"")</f>
        <v/>
      </c>
      <c r="D35" s="38"/>
      <c r="E35" s="45"/>
      <c r="F35" s="244" t="str">
        <f>IFERROR(INDEX('G-1 All Habitats'!$B$3:$B$135,MATCH(E35,'G-1 All Habitats'!$A$3:$A$135,0)),"")</f>
        <v/>
      </c>
      <c r="G35" s="37"/>
      <c r="H35" s="290" t="str">
        <f>IF(F35="","",VLOOKUP(F35,'G-1 All Habitats'!$B$2:$M$135,10,FALSE))</f>
        <v/>
      </c>
      <c r="I35" s="291" t="str">
        <f>IFERROR(VLOOKUP(H35,'G-1 All Habitats'!$V$3:$W$7,2,FALSE),"")</f>
        <v/>
      </c>
      <c r="J35" s="38"/>
      <c r="K35" s="291" t="str">
        <f>IFERROR(INDEX('G-8 Condition Look up'!$A$3:$H$135,MATCH(F35,'G-8 Condition Look up'!$A$3:$A$135,0),MATCH(J35,'G-8 Condition Look up'!$A$3:$H$3,0)),"")</f>
        <v/>
      </c>
      <c r="L35" s="38"/>
      <c r="M35" s="298" t="str">
        <f>IF(L35="","",IF(VLOOKUP(L35,'G-3 Multipliers'!$L$3:$N$6,2,FALSE)=0,"Spatial Data Missing",VLOOKUP(L35,'G-3 Multipliers'!$L$3:$N$6,2,FALSE)))</f>
        <v/>
      </c>
      <c r="N35" s="296" t="str">
        <f>IF(L35="","",IF(VLOOKUP(L35,'G-3 Multipliers'!$L$3:$N$6,3,FALSE)=0,"Spatial Data Missing",VLOOKUP(L35,'G-3 Multipliers'!$L$3:$N$6,3,FALSE)))</f>
        <v/>
      </c>
      <c r="O35" s="290" t="str">
        <f t="shared" si="1"/>
        <v/>
      </c>
      <c r="P35" s="47"/>
      <c r="Q35" s="47"/>
      <c r="R35" s="298" t="str">
        <f t="shared" si="2"/>
        <v/>
      </c>
      <c r="S35" s="311" t="str">
        <f t="shared" si="3"/>
        <v/>
      </c>
      <c r="T35" s="312" t="str">
        <f>IFERROR(IF(S35="Check Data ⚠","Check Data ⚠",VLOOKUP(S35,'G-4 Temporal multipliers'!$A$4:$C$37,3,FALSE)),"")</f>
        <v/>
      </c>
      <c r="U35" s="313" t="str">
        <f>IF(F35="","",VLOOKUP(F35,'G-3 Multipliers'!$A$2:$E$134,2,FALSE))</f>
        <v/>
      </c>
      <c r="V35" s="310" t="str">
        <f t="shared" si="4"/>
        <v/>
      </c>
      <c r="W35" s="295" t="str">
        <f>IF(E35="","",IF(AND(V35="Standard difficulty applied",O35&gt;P35),U35,IF(AND(V35="Low Difficulty - only applicable if all habitat created before losses ⚠",P35&gt;=O35),"Low",VLOOKUP(F35,'G-3 Multipliers'!$A$2:$E$134,4,FALSE))))</f>
        <v/>
      </c>
      <c r="X35" s="314" t="str">
        <f>IFERROR(IF(E35="","",VLOOKUP(W35, 'G-3 Multipliers'!$P$2:$Q$6,2,FALSE)),"")</f>
        <v/>
      </c>
      <c r="Y35" s="317" t="str">
        <f t="shared" si="5"/>
        <v/>
      </c>
      <c r="Z35" s="163"/>
      <c r="AA35" s="164"/>
      <c r="AB35" s="101"/>
      <c r="AE35" s="25" t="str">
        <f t="shared" si="0"/>
        <v/>
      </c>
    </row>
    <row r="36" spans="1:31" ht="14.5" thickBot="1" x14ac:dyDescent="0.35">
      <c r="A36" s="20" t="str">
        <f>IFERROR(INDEX('G-8 Condition Look up'!$I$4:$I$135,MATCH(F36,'G-8 Condition Look up'!$A$4:$A$135,0)),"")</f>
        <v/>
      </c>
      <c r="B36" s="679">
        <v>26</v>
      </c>
      <c r="C36" s="247" t="str">
        <f>IFERROR(INDEX('G-1 All Habitats'!$AG$25:$AG$41,MATCH(D36,'G-1 All Habitats'!AF$25:AF$41,0)),"")</f>
        <v/>
      </c>
      <c r="D36" s="38"/>
      <c r="E36" s="45"/>
      <c r="F36" s="244" t="str">
        <f>IFERROR(INDEX('G-1 All Habitats'!$B$3:$B$135,MATCH(E36,'G-1 All Habitats'!$A$3:$A$135,0)),"")</f>
        <v/>
      </c>
      <c r="G36" s="37"/>
      <c r="H36" s="290" t="str">
        <f>IF(F36="","",VLOOKUP(F36,'G-1 All Habitats'!$B$2:$M$135,10,FALSE))</f>
        <v/>
      </c>
      <c r="I36" s="291" t="str">
        <f>IFERROR(VLOOKUP(H36,'G-1 All Habitats'!$V$3:$W$7,2,FALSE),"")</f>
        <v/>
      </c>
      <c r="J36" s="38"/>
      <c r="K36" s="291" t="str">
        <f>IFERROR(INDEX('G-8 Condition Look up'!$A$3:$H$135,MATCH(F36,'G-8 Condition Look up'!$A$3:$A$135,0),MATCH(J36,'G-8 Condition Look up'!$A$3:$H$3,0)),"")</f>
        <v/>
      </c>
      <c r="L36" s="38"/>
      <c r="M36" s="298" t="str">
        <f>IF(L36="","",IF(VLOOKUP(L36,'G-3 Multipliers'!$L$3:$N$6,2,FALSE)=0,"Spatial Data Missing",VLOOKUP(L36,'G-3 Multipliers'!$L$3:$N$6,2,FALSE)))</f>
        <v/>
      </c>
      <c r="N36" s="296" t="str">
        <f>IF(L36="","",IF(VLOOKUP(L36,'G-3 Multipliers'!$L$3:$N$6,3,FALSE)=0,"Spatial Data Missing",VLOOKUP(L36,'G-3 Multipliers'!$L$3:$N$6,3,FALSE)))</f>
        <v/>
      </c>
      <c r="O36" s="290" t="str">
        <f t="shared" si="1"/>
        <v/>
      </c>
      <c r="P36" s="47"/>
      <c r="Q36" s="47"/>
      <c r="R36" s="298" t="str">
        <f t="shared" si="2"/>
        <v/>
      </c>
      <c r="S36" s="311" t="str">
        <f t="shared" si="3"/>
        <v/>
      </c>
      <c r="T36" s="312" t="str">
        <f>IFERROR(IF(S36="Check Data ⚠","Check Data ⚠",VLOOKUP(S36,'G-4 Temporal multipliers'!$A$4:$C$37,3,FALSE)),"")</f>
        <v/>
      </c>
      <c r="U36" s="313" t="str">
        <f>IF(F36="","",VLOOKUP(F36,'G-3 Multipliers'!$A$2:$E$134,2,FALSE))</f>
        <v/>
      </c>
      <c r="V36" s="310" t="str">
        <f t="shared" si="4"/>
        <v/>
      </c>
      <c r="W36" s="295" t="str">
        <f>IF(E36="","",IF(AND(V36="Standard difficulty applied",O36&gt;P36),U36,IF(AND(V36="Low Difficulty - only applicable if all habitat created before losses ⚠",P36&gt;=O36),"Low",VLOOKUP(F36,'G-3 Multipliers'!$A$2:$E$134,4,FALSE))))</f>
        <v/>
      </c>
      <c r="X36" s="314" t="str">
        <f>IFERROR(IF(E36="","",VLOOKUP(W36, 'G-3 Multipliers'!$P$2:$Q$6,2,FALSE)),"")</f>
        <v/>
      </c>
      <c r="Y36" s="317" t="str">
        <f t="shared" si="5"/>
        <v/>
      </c>
      <c r="Z36" s="163"/>
      <c r="AA36" s="164"/>
      <c r="AB36" s="101"/>
      <c r="AE36" s="25" t="str">
        <f t="shared" si="0"/>
        <v/>
      </c>
    </row>
    <row r="37" spans="1:31" ht="14.5" thickBot="1" x14ac:dyDescent="0.35">
      <c r="A37" s="20" t="str">
        <f>IFERROR(INDEX('G-8 Condition Look up'!$I$4:$I$135,MATCH(F37,'G-8 Condition Look up'!$A$4:$A$135,0)),"")</f>
        <v/>
      </c>
      <c r="B37" s="679">
        <v>27</v>
      </c>
      <c r="C37" s="247" t="str">
        <f>IFERROR(INDEX('G-1 All Habitats'!$AG$25:$AG$41,MATCH(D37,'G-1 All Habitats'!AF$25:AF$41,0)),"")</f>
        <v/>
      </c>
      <c r="D37" s="38"/>
      <c r="E37" s="45"/>
      <c r="F37" s="244" t="str">
        <f>IFERROR(INDEX('G-1 All Habitats'!$B$3:$B$135,MATCH(E37,'G-1 All Habitats'!$A$3:$A$135,0)),"")</f>
        <v/>
      </c>
      <c r="G37" s="37"/>
      <c r="H37" s="290" t="str">
        <f>IF(F37="","",VLOOKUP(F37,'G-1 All Habitats'!$B$2:$M$135,10,FALSE))</f>
        <v/>
      </c>
      <c r="I37" s="291" t="str">
        <f>IFERROR(VLOOKUP(H37,'G-1 All Habitats'!$V$3:$W$7,2,FALSE),"")</f>
        <v/>
      </c>
      <c r="J37" s="38"/>
      <c r="K37" s="291" t="str">
        <f>IFERROR(INDEX('G-8 Condition Look up'!$A$3:$H$135,MATCH(F37,'G-8 Condition Look up'!$A$3:$A$135,0),MATCH(J37,'G-8 Condition Look up'!$A$3:$H$3,0)),"")</f>
        <v/>
      </c>
      <c r="L37" s="38"/>
      <c r="M37" s="298" t="str">
        <f>IF(L37="","",IF(VLOOKUP(L37,'G-3 Multipliers'!$L$3:$N$6,2,FALSE)=0,"Spatial Data Missing",VLOOKUP(L37,'G-3 Multipliers'!$L$3:$N$6,2,FALSE)))</f>
        <v/>
      </c>
      <c r="N37" s="296" t="str">
        <f>IF(L37="","",IF(VLOOKUP(L37,'G-3 Multipliers'!$L$3:$N$6,3,FALSE)=0,"Spatial Data Missing",VLOOKUP(L37,'G-3 Multipliers'!$L$3:$N$6,3,FALSE)))</f>
        <v/>
      </c>
      <c r="O37" s="290" t="str">
        <f t="shared" si="1"/>
        <v/>
      </c>
      <c r="P37" s="47"/>
      <c r="Q37" s="47"/>
      <c r="R37" s="298" t="str">
        <f t="shared" si="2"/>
        <v/>
      </c>
      <c r="S37" s="311" t="str">
        <f t="shared" si="3"/>
        <v/>
      </c>
      <c r="T37" s="312" t="str">
        <f>IFERROR(IF(S37="Check Data ⚠","Check Data ⚠",VLOOKUP(S37,'G-4 Temporal multipliers'!$A$4:$C$37,3,FALSE)),"")</f>
        <v/>
      </c>
      <c r="U37" s="313" t="str">
        <f>IF(F37="","",VLOOKUP(F37,'G-3 Multipliers'!$A$2:$E$134,2,FALSE))</f>
        <v/>
      </c>
      <c r="V37" s="310" t="str">
        <f t="shared" si="4"/>
        <v/>
      </c>
      <c r="W37" s="295" t="str">
        <f>IF(E37="","",IF(AND(V37="Standard difficulty applied",O37&gt;P37),U37,IF(AND(V37="Low Difficulty - only applicable if all habitat created before losses ⚠",P37&gt;=O37),"Low",VLOOKUP(F37,'G-3 Multipliers'!$A$2:$E$134,4,FALSE))))</f>
        <v/>
      </c>
      <c r="X37" s="314" t="str">
        <f>IFERROR(IF(E37="","",VLOOKUP(W37, 'G-3 Multipliers'!$P$2:$Q$6,2,FALSE)),"")</f>
        <v/>
      </c>
      <c r="Y37" s="317" t="str">
        <f t="shared" si="5"/>
        <v/>
      </c>
      <c r="Z37" s="163"/>
      <c r="AA37" s="164"/>
      <c r="AB37" s="101"/>
      <c r="AE37" s="25" t="str">
        <f t="shared" si="0"/>
        <v/>
      </c>
    </row>
    <row r="38" spans="1:31" ht="14.5" thickBot="1" x14ac:dyDescent="0.35">
      <c r="A38" s="20" t="str">
        <f>IFERROR(INDEX('G-8 Condition Look up'!$I$4:$I$135,MATCH(F38,'G-8 Condition Look up'!$A$4:$A$135,0)),"")</f>
        <v/>
      </c>
      <c r="B38" s="679">
        <v>28</v>
      </c>
      <c r="C38" s="247" t="str">
        <f>IFERROR(INDEX('G-1 All Habitats'!$AG$25:$AG$41,MATCH(D38,'G-1 All Habitats'!AF$25:AF$41,0)),"")</f>
        <v/>
      </c>
      <c r="D38" s="38"/>
      <c r="E38" s="45"/>
      <c r="F38" s="244" t="str">
        <f>IFERROR(INDEX('G-1 All Habitats'!$B$3:$B$135,MATCH(E38,'G-1 All Habitats'!$A$3:$A$135,0)),"")</f>
        <v/>
      </c>
      <c r="G38" s="37"/>
      <c r="H38" s="290" t="str">
        <f>IF(F38="","",VLOOKUP(F38,'G-1 All Habitats'!$B$2:$M$135,10,FALSE))</f>
        <v/>
      </c>
      <c r="I38" s="291" t="str">
        <f>IFERROR(VLOOKUP(H38,'G-1 All Habitats'!$V$3:$W$7,2,FALSE),"")</f>
        <v/>
      </c>
      <c r="J38" s="38"/>
      <c r="K38" s="291" t="str">
        <f>IFERROR(INDEX('G-8 Condition Look up'!$A$3:$H$135,MATCH(F38,'G-8 Condition Look up'!$A$3:$A$135,0),MATCH(J38,'G-8 Condition Look up'!$A$3:$H$3,0)),"")</f>
        <v/>
      </c>
      <c r="L38" s="38"/>
      <c r="M38" s="298" t="str">
        <f>IF(L38="","",IF(VLOOKUP(L38,'G-3 Multipliers'!$L$3:$N$6,2,FALSE)=0,"Spatial Data Missing",VLOOKUP(L38,'G-3 Multipliers'!$L$3:$N$6,2,FALSE)))</f>
        <v/>
      </c>
      <c r="N38" s="296" t="str">
        <f>IF(L38="","",IF(VLOOKUP(L38,'G-3 Multipliers'!$L$3:$N$6,3,FALSE)=0,"Spatial Data Missing",VLOOKUP(L38,'G-3 Multipliers'!$L$3:$N$6,3,FALSE)))</f>
        <v/>
      </c>
      <c r="O38" s="290" t="str">
        <f t="shared" si="1"/>
        <v/>
      </c>
      <c r="P38" s="47"/>
      <c r="Q38" s="47"/>
      <c r="R38" s="298" t="str">
        <f t="shared" si="2"/>
        <v/>
      </c>
      <c r="S38" s="311" t="str">
        <f t="shared" si="3"/>
        <v/>
      </c>
      <c r="T38" s="312" t="str">
        <f>IFERROR(IF(S38="Check Data ⚠","Check Data ⚠",VLOOKUP(S38,'G-4 Temporal multipliers'!$A$4:$C$37,3,FALSE)),"")</f>
        <v/>
      </c>
      <c r="U38" s="313" t="str">
        <f>IF(F38="","",VLOOKUP(F38,'G-3 Multipliers'!$A$2:$E$134,2,FALSE))</f>
        <v/>
      </c>
      <c r="V38" s="310" t="str">
        <f t="shared" si="4"/>
        <v/>
      </c>
      <c r="W38" s="295" t="str">
        <f>IF(E38="","",IF(AND(V38="Standard difficulty applied",O38&gt;P38),U38,IF(AND(V38="Low Difficulty - only applicable if all habitat created before losses ⚠",P38&gt;=O38),"Low",VLOOKUP(F38,'G-3 Multipliers'!$A$2:$E$134,4,FALSE))))</f>
        <v/>
      </c>
      <c r="X38" s="314" t="str">
        <f>IFERROR(IF(E38="","",VLOOKUP(W38, 'G-3 Multipliers'!$P$2:$Q$6,2,FALSE)),"")</f>
        <v/>
      </c>
      <c r="Y38" s="317" t="str">
        <f t="shared" si="5"/>
        <v/>
      </c>
      <c r="Z38" s="163"/>
      <c r="AA38" s="164"/>
      <c r="AB38" s="101"/>
      <c r="AE38" s="25" t="str">
        <f t="shared" si="0"/>
        <v/>
      </c>
    </row>
    <row r="39" spans="1:31" ht="14.5" thickBot="1" x14ac:dyDescent="0.35">
      <c r="A39" s="20" t="str">
        <f>IFERROR(INDEX('G-8 Condition Look up'!$I$4:$I$135,MATCH(F39,'G-8 Condition Look up'!$A$4:$A$135,0)),"")</f>
        <v/>
      </c>
      <c r="B39" s="679">
        <v>29</v>
      </c>
      <c r="C39" s="247" t="str">
        <f>IFERROR(INDEX('G-1 All Habitats'!$AG$25:$AG$41,MATCH(D39,'G-1 All Habitats'!AF$25:AF$41,0)),"")</f>
        <v/>
      </c>
      <c r="D39" s="38"/>
      <c r="E39" s="45"/>
      <c r="F39" s="244" t="str">
        <f>IFERROR(INDEX('G-1 All Habitats'!$B$3:$B$135,MATCH(E39,'G-1 All Habitats'!$A$3:$A$135,0)),"")</f>
        <v/>
      </c>
      <c r="G39" s="37"/>
      <c r="H39" s="290" t="str">
        <f>IF(F39="","",VLOOKUP(F39,'G-1 All Habitats'!$B$2:$M$135,10,FALSE))</f>
        <v/>
      </c>
      <c r="I39" s="291" t="str">
        <f>IFERROR(VLOOKUP(H39,'G-1 All Habitats'!$V$3:$W$7,2,FALSE),"")</f>
        <v/>
      </c>
      <c r="J39" s="38"/>
      <c r="K39" s="291" t="str">
        <f>IFERROR(INDEX('G-8 Condition Look up'!$A$3:$H$135,MATCH(F39,'G-8 Condition Look up'!$A$3:$A$135,0),MATCH(J39,'G-8 Condition Look up'!$A$3:$H$3,0)),"")</f>
        <v/>
      </c>
      <c r="L39" s="38"/>
      <c r="M39" s="298" t="str">
        <f>IF(L39="","",IF(VLOOKUP(L39,'G-3 Multipliers'!$L$3:$N$6,2,FALSE)=0,"Spatial Data Missing",VLOOKUP(L39,'G-3 Multipliers'!$L$3:$N$6,2,FALSE)))</f>
        <v/>
      </c>
      <c r="N39" s="296" t="str">
        <f>IF(L39="","",IF(VLOOKUP(L39,'G-3 Multipliers'!$L$3:$N$6,3,FALSE)=0,"Spatial Data Missing",VLOOKUP(L39,'G-3 Multipliers'!$L$3:$N$6,3,FALSE)))</f>
        <v/>
      </c>
      <c r="O39" s="290" t="str">
        <f t="shared" si="1"/>
        <v/>
      </c>
      <c r="P39" s="47"/>
      <c r="Q39" s="47"/>
      <c r="R39" s="298" t="str">
        <f t="shared" si="2"/>
        <v/>
      </c>
      <c r="S39" s="311" t="str">
        <f t="shared" si="3"/>
        <v/>
      </c>
      <c r="T39" s="312" t="str">
        <f>IFERROR(IF(S39="Check Data ⚠","Check Data ⚠",VLOOKUP(S39,'G-4 Temporal multipliers'!$A$4:$C$37,3,FALSE)),"")</f>
        <v/>
      </c>
      <c r="U39" s="313" t="str">
        <f>IF(F39="","",VLOOKUP(F39,'G-3 Multipliers'!$A$2:$E$134,2,FALSE))</f>
        <v/>
      </c>
      <c r="V39" s="310" t="str">
        <f t="shared" si="4"/>
        <v/>
      </c>
      <c r="W39" s="295" t="str">
        <f>IF(E39="","",IF(AND(V39="Standard difficulty applied",O39&gt;P39),U39,IF(AND(V39="Low Difficulty - only applicable if all habitat created before losses ⚠",P39&gt;=O39),"Low",VLOOKUP(F39,'G-3 Multipliers'!$A$2:$E$134,4,FALSE))))</f>
        <v/>
      </c>
      <c r="X39" s="314" t="str">
        <f>IFERROR(IF(E39="","",VLOOKUP(W39, 'G-3 Multipliers'!$P$2:$Q$6,2,FALSE)),"")</f>
        <v/>
      </c>
      <c r="Y39" s="317" t="str">
        <f t="shared" si="5"/>
        <v/>
      </c>
      <c r="Z39" s="163"/>
      <c r="AA39" s="164"/>
      <c r="AB39" s="101"/>
      <c r="AE39" s="25" t="str">
        <f t="shared" si="0"/>
        <v/>
      </c>
    </row>
    <row r="40" spans="1:31" ht="14.5" thickBot="1" x14ac:dyDescent="0.35">
      <c r="A40" s="20" t="str">
        <f>IFERROR(INDEX('G-8 Condition Look up'!$I$4:$I$135,MATCH(F40,'G-8 Condition Look up'!$A$4:$A$135,0)),"")</f>
        <v/>
      </c>
      <c r="B40" s="679">
        <v>30</v>
      </c>
      <c r="C40" s="247" t="str">
        <f>IFERROR(INDEX('G-1 All Habitats'!$AG$25:$AG$41,MATCH(D40,'G-1 All Habitats'!AF$25:AF$41,0)),"")</f>
        <v/>
      </c>
      <c r="D40" s="38"/>
      <c r="E40" s="45"/>
      <c r="F40" s="244" t="str">
        <f>IFERROR(INDEX('G-1 All Habitats'!$B$3:$B$135,MATCH(E40,'G-1 All Habitats'!$A$3:$A$135,0)),"")</f>
        <v/>
      </c>
      <c r="G40" s="37"/>
      <c r="H40" s="290" t="str">
        <f>IF(F40="","",VLOOKUP(F40,'G-1 All Habitats'!$B$2:$M$135,10,FALSE))</f>
        <v/>
      </c>
      <c r="I40" s="291" t="str">
        <f>IFERROR(VLOOKUP(H40,'G-1 All Habitats'!$V$3:$W$7,2,FALSE),"")</f>
        <v/>
      </c>
      <c r="J40" s="38"/>
      <c r="K40" s="291" t="str">
        <f>IFERROR(INDEX('G-8 Condition Look up'!$A$3:$H$135,MATCH(F40,'G-8 Condition Look up'!$A$3:$A$135,0),MATCH(J40,'G-8 Condition Look up'!$A$3:$H$3,0)),"")</f>
        <v/>
      </c>
      <c r="L40" s="38"/>
      <c r="M40" s="298" t="str">
        <f>IF(L40="","",IF(VLOOKUP(L40,'G-3 Multipliers'!$L$3:$N$6,2,FALSE)=0,"Spatial Data Missing",VLOOKUP(L40,'G-3 Multipliers'!$L$3:$N$6,2,FALSE)))</f>
        <v/>
      </c>
      <c r="N40" s="296" t="str">
        <f>IF(L40="","",IF(VLOOKUP(L40,'G-3 Multipliers'!$L$3:$N$6,3,FALSE)=0,"Spatial Data Missing",VLOOKUP(L40,'G-3 Multipliers'!$L$3:$N$6,3,FALSE)))</f>
        <v/>
      </c>
      <c r="O40" s="290" t="str">
        <f t="shared" si="1"/>
        <v/>
      </c>
      <c r="P40" s="47"/>
      <c r="Q40" s="47"/>
      <c r="R40" s="298" t="str">
        <f t="shared" si="2"/>
        <v/>
      </c>
      <c r="S40" s="311" t="str">
        <f t="shared" si="3"/>
        <v/>
      </c>
      <c r="T40" s="312" t="str">
        <f>IFERROR(IF(S40="Check Data ⚠","Check Data ⚠",VLOOKUP(S40,'G-4 Temporal multipliers'!$A$4:$C$37,3,FALSE)),"")</f>
        <v/>
      </c>
      <c r="U40" s="313" t="str">
        <f>IF(F40="","",VLOOKUP(F40,'G-3 Multipliers'!$A$2:$E$134,2,FALSE))</f>
        <v/>
      </c>
      <c r="V40" s="310" t="str">
        <f t="shared" si="4"/>
        <v/>
      </c>
      <c r="W40" s="295" t="str">
        <f>IF(E40="","",IF(AND(V40="Standard difficulty applied",O40&gt;P40),U40,IF(AND(V40="Low Difficulty - only applicable if all habitat created before losses ⚠",P40&gt;=O40),"Low",VLOOKUP(F40,'G-3 Multipliers'!$A$2:$E$134,4,FALSE))))</f>
        <v/>
      </c>
      <c r="X40" s="314" t="str">
        <f>IFERROR(IF(E40="","",VLOOKUP(W40, 'G-3 Multipliers'!$P$2:$Q$6,2,FALSE)),"")</f>
        <v/>
      </c>
      <c r="Y40" s="317" t="str">
        <f t="shared" si="5"/>
        <v/>
      </c>
      <c r="Z40" s="163"/>
      <c r="AA40" s="164"/>
      <c r="AB40" s="101"/>
      <c r="AE40" s="25" t="str">
        <f t="shared" si="0"/>
        <v/>
      </c>
    </row>
    <row r="41" spans="1:31" ht="14.5" thickBot="1" x14ac:dyDescent="0.35">
      <c r="A41" s="20" t="str">
        <f>IFERROR(INDEX('G-8 Condition Look up'!$I$4:$I$135,MATCH(F41,'G-8 Condition Look up'!$A$4:$A$135,0)),"")</f>
        <v/>
      </c>
      <c r="B41" s="679">
        <v>31</v>
      </c>
      <c r="C41" s="247" t="str">
        <f>IFERROR(INDEX('G-1 All Habitats'!$AG$25:$AG$41,MATCH(D41,'G-1 All Habitats'!AF$25:AF$41,0)),"")</f>
        <v/>
      </c>
      <c r="D41" s="38"/>
      <c r="E41" s="45"/>
      <c r="F41" s="244" t="str">
        <f>IFERROR(INDEX('G-1 All Habitats'!$B$3:$B$135,MATCH(E41,'G-1 All Habitats'!$A$3:$A$135,0)),"")</f>
        <v/>
      </c>
      <c r="G41" s="37"/>
      <c r="H41" s="290" t="str">
        <f>IF(F41="","",VLOOKUP(F41,'G-1 All Habitats'!$B$2:$M$135,10,FALSE))</f>
        <v/>
      </c>
      <c r="I41" s="291" t="str">
        <f>IFERROR(VLOOKUP(H41,'G-1 All Habitats'!$V$3:$W$7,2,FALSE),"")</f>
        <v/>
      </c>
      <c r="J41" s="38"/>
      <c r="K41" s="291" t="str">
        <f>IFERROR(INDEX('G-8 Condition Look up'!$A$3:$H$135,MATCH(F41,'G-8 Condition Look up'!$A$3:$A$135,0),MATCH(J41,'G-8 Condition Look up'!$A$3:$H$3,0)),"")</f>
        <v/>
      </c>
      <c r="L41" s="38"/>
      <c r="M41" s="298" t="str">
        <f>IF(L41="","",IF(VLOOKUP(L41,'G-3 Multipliers'!$L$3:$N$6,2,FALSE)=0,"Spatial Data Missing",VLOOKUP(L41,'G-3 Multipliers'!$L$3:$N$6,2,FALSE)))</f>
        <v/>
      </c>
      <c r="N41" s="296" t="str">
        <f>IF(L41="","",IF(VLOOKUP(L41,'G-3 Multipliers'!$L$3:$N$6,3,FALSE)=0,"Spatial Data Missing",VLOOKUP(L41,'G-3 Multipliers'!$L$3:$N$6,3,FALSE)))</f>
        <v/>
      </c>
      <c r="O41" s="290" t="str">
        <f t="shared" si="1"/>
        <v/>
      </c>
      <c r="P41" s="47"/>
      <c r="Q41" s="47"/>
      <c r="R41" s="298" t="str">
        <f t="shared" si="2"/>
        <v/>
      </c>
      <c r="S41" s="311" t="str">
        <f t="shared" si="3"/>
        <v/>
      </c>
      <c r="T41" s="312" t="str">
        <f>IFERROR(IF(S41="Check Data ⚠","Check Data ⚠",VLOOKUP(S41,'G-4 Temporal multipliers'!$A$4:$C$37,3,FALSE)),"")</f>
        <v/>
      </c>
      <c r="U41" s="313" t="str">
        <f>IF(F41="","",VLOOKUP(F41,'G-3 Multipliers'!$A$2:$E$134,2,FALSE))</f>
        <v/>
      </c>
      <c r="V41" s="310" t="str">
        <f t="shared" si="4"/>
        <v/>
      </c>
      <c r="W41" s="295" t="str">
        <f>IF(E41="","",IF(AND(V41="Standard difficulty applied",O41&gt;P41),U41,IF(AND(V41="Low Difficulty - only applicable if all habitat created before losses ⚠",P41&gt;=O41),"Low",VLOOKUP(F41,'G-3 Multipliers'!$A$2:$E$134,4,FALSE))))</f>
        <v/>
      </c>
      <c r="X41" s="314" t="str">
        <f>IFERROR(IF(E41="","",VLOOKUP(W41, 'G-3 Multipliers'!$P$2:$Q$6,2,FALSE)),"")</f>
        <v/>
      </c>
      <c r="Y41" s="317" t="str">
        <f t="shared" si="5"/>
        <v/>
      </c>
      <c r="Z41" s="163"/>
      <c r="AA41" s="164"/>
      <c r="AB41" s="101"/>
      <c r="AE41" s="25" t="str">
        <f t="shared" si="0"/>
        <v/>
      </c>
    </row>
    <row r="42" spans="1:31" ht="14.5" thickBot="1" x14ac:dyDescent="0.35">
      <c r="A42" s="20" t="str">
        <f>IFERROR(INDEX('G-8 Condition Look up'!$I$4:$I$135,MATCH(F42,'G-8 Condition Look up'!$A$4:$A$135,0)),"")</f>
        <v/>
      </c>
      <c r="B42" s="679">
        <v>32</v>
      </c>
      <c r="C42" s="247" t="str">
        <f>IFERROR(INDEX('G-1 All Habitats'!$AG$25:$AG$41,MATCH(D42,'G-1 All Habitats'!AF$25:AF$41,0)),"")</f>
        <v/>
      </c>
      <c r="D42" s="38"/>
      <c r="E42" s="45"/>
      <c r="F42" s="244" t="str">
        <f>IFERROR(INDEX('G-1 All Habitats'!$B$3:$B$135,MATCH(E42,'G-1 All Habitats'!$A$3:$A$135,0)),"")</f>
        <v/>
      </c>
      <c r="G42" s="37"/>
      <c r="H42" s="290" t="str">
        <f>IF(F42="","",VLOOKUP(F42,'G-1 All Habitats'!$B$2:$M$135,10,FALSE))</f>
        <v/>
      </c>
      <c r="I42" s="291" t="str">
        <f>IFERROR(VLOOKUP(H42,'G-1 All Habitats'!$V$3:$W$7,2,FALSE),"")</f>
        <v/>
      </c>
      <c r="J42" s="38"/>
      <c r="K42" s="291" t="str">
        <f>IFERROR(INDEX('G-8 Condition Look up'!$A$3:$H$135,MATCH(F42,'G-8 Condition Look up'!$A$3:$A$135,0),MATCH(J42,'G-8 Condition Look up'!$A$3:$H$3,0)),"")</f>
        <v/>
      </c>
      <c r="L42" s="38"/>
      <c r="M42" s="298" t="str">
        <f>IF(L42="","",IF(VLOOKUP(L42,'G-3 Multipliers'!$L$3:$N$6,2,FALSE)=0,"Spatial Data Missing",VLOOKUP(L42,'G-3 Multipliers'!$L$3:$N$6,2,FALSE)))</f>
        <v/>
      </c>
      <c r="N42" s="296" t="str">
        <f>IF(L42="","",IF(VLOOKUP(L42,'G-3 Multipliers'!$L$3:$N$6,3,FALSE)=0,"Spatial Data Missing",VLOOKUP(L42,'G-3 Multipliers'!$L$3:$N$6,3,FALSE)))</f>
        <v/>
      </c>
      <c r="O42" s="290" t="str">
        <f t="shared" si="1"/>
        <v/>
      </c>
      <c r="P42" s="47"/>
      <c r="Q42" s="47"/>
      <c r="R42" s="298" t="str">
        <f t="shared" si="2"/>
        <v/>
      </c>
      <c r="S42" s="311" t="str">
        <f t="shared" si="3"/>
        <v/>
      </c>
      <c r="T42" s="312" t="str">
        <f>IFERROR(IF(S42="Check Data ⚠","Check Data ⚠",VLOOKUP(S42,'G-4 Temporal multipliers'!$A$4:$C$37,3,FALSE)),"")</f>
        <v/>
      </c>
      <c r="U42" s="313" t="str">
        <f>IF(F42="","",VLOOKUP(F42,'G-3 Multipliers'!$A$2:$E$134,2,FALSE))</f>
        <v/>
      </c>
      <c r="V42" s="310" t="str">
        <f t="shared" si="4"/>
        <v/>
      </c>
      <c r="W42" s="295" t="str">
        <f>IF(E42="","",IF(AND(V42="Standard difficulty applied",O42&gt;P42),U42,IF(AND(V42="Low Difficulty - only applicable if all habitat created before losses ⚠",P42&gt;=O42),"Low",VLOOKUP(F42,'G-3 Multipliers'!$A$2:$E$134,4,FALSE))))</f>
        <v/>
      </c>
      <c r="X42" s="314" t="str">
        <f>IFERROR(IF(E42="","",VLOOKUP(W42, 'G-3 Multipliers'!$P$2:$Q$6,2,FALSE)),"")</f>
        <v/>
      </c>
      <c r="Y42" s="317" t="str">
        <f t="shared" si="5"/>
        <v/>
      </c>
      <c r="Z42" s="163"/>
      <c r="AA42" s="164"/>
      <c r="AB42" s="101"/>
      <c r="AE42" s="25" t="str">
        <f t="shared" si="0"/>
        <v/>
      </c>
    </row>
    <row r="43" spans="1:31" ht="14.5" thickBot="1" x14ac:dyDescent="0.35">
      <c r="A43" s="20" t="str">
        <f>IFERROR(INDEX('G-8 Condition Look up'!$I$4:$I$135,MATCH(F43,'G-8 Condition Look up'!$A$4:$A$135,0)),"")</f>
        <v/>
      </c>
      <c r="B43" s="679">
        <v>33</v>
      </c>
      <c r="C43" s="247" t="str">
        <f>IFERROR(INDEX('G-1 All Habitats'!$AG$25:$AG$41,MATCH(D43,'G-1 All Habitats'!AF$25:AF$41,0)),"")</f>
        <v/>
      </c>
      <c r="D43" s="38"/>
      <c r="E43" s="45"/>
      <c r="F43" s="244" t="str">
        <f>IFERROR(INDEX('G-1 All Habitats'!$B$3:$B$135,MATCH(E43,'G-1 All Habitats'!$A$3:$A$135,0)),"")</f>
        <v/>
      </c>
      <c r="G43" s="37"/>
      <c r="H43" s="290" t="str">
        <f>IF(F43="","",VLOOKUP(F43,'G-1 All Habitats'!$B$2:$M$135,10,FALSE))</f>
        <v/>
      </c>
      <c r="I43" s="291" t="str">
        <f>IFERROR(VLOOKUP(H43,'G-1 All Habitats'!$V$3:$W$7,2,FALSE),"")</f>
        <v/>
      </c>
      <c r="J43" s="38"/>
      <c r="K43" s="291" t="str">
        <f>IFERROR(INDEX('G-8 Condition Look up'!$A$3:$H$135,MATCH(F43,'G-8 Condition Look up'!$A$3:$A$135,0),MATCH(J43,'G-8 Condition Look up'!$A$3:$H$3,0)),"")</f>
        <v/>
      </c>
      <c r="L43" s="38"/>
      <c r="M43" s="298" t="str">
        <f>IF(L43="","",IF(VLOOKUP(L43,'G-3 Multipliers'!$L$3:$N$6,2,FALSE)=0,"Spatial Data Missing",VLOOKUP(L43,'G-3 Multipliers'!$L$3:$N$6,2,FALSE)))</f>
        <v/>
      </c>
      <c r="N43" s="296" t="str">
        <f>IF(L43="","",IF(VLOOKUP(L43,'G-3 Multipliers'!$L$3:$N$6,3,FALSE)=0,"Spatial Data Missing",VLOOKUP(L43,'G-3 Multipliers'!$L$3:$N$6,3,FALSE)))</f>
        <v/>
      </c>
      <c r="O43" s="290" t="str">
        <f t="shared" si="1"/>
        <v/>
      </c>
      <c r="P43" s="47"/>
      <c r="Q43" s="47"/>
      <c r="R43" s="298" t="str">
        <f t="shared" si="2"/>
        <v/>
      </c>
      <c r="S43" s="311" t="str">
        <f t="shared" si="3"/>
        <v/>
      </c>
      <c r="T43" s="312" t="str">
        <f>IFERROR(IF(S43="Check Data ⚠","Check Data ⚠",VLOOKUP(S43,'G-4 Temporal multipliers'!$A$4:$C$37,3,FALSE)),"")</f>
        <v/>
      </c>
      <c r="U43" s="313" t="str">
        <f>IF(F43="","",VLOOKUP(F43,'G-3 Multipliers'!$A$2:$E$134,2,FALSE))</f>
        <v/>
      </c>
      <c r="V43" s="310" t="str">
        <f t="shared" si="4"/>
        <v/>
      </c>
      <c r="W43" s="295" t="str">
        <f>IF(E43="","",IF(AND(V43="Standard difficulty applied",O43&gt;P43),U43,IF(AND(V43="Low Difficulty - only applicable if all habitat created before losses ⚠",P43&gt;=O43),"Low",VLOOKUP(F43,'G-3 Multipliers'!$A$2:$E$134,4,FALSE))))</f>
        <v/>
      </c>
      <c r="X43" s="314" t="str">
        <f>IFERROR(IF(E43="","",VLOOKUP(W43, 'G-3 Multipliers'!$P$2:$Q$6,2,FALSE)),"")</f>
        <v/>
      </c>
      <c r="Y43" s="317" t="str">
        <f t="shared" si="5"/>
        <v/>
      </c>
      <c r="Z43" s="163"/>
      <c r="AA43" s="164"/>
      <c r="AB43" s="101"/>
      <c r="AE43" s="25" t="str">
        <f t="shared" si="0"/>
        <v/>
      </c>
    </row>
    <row r="44" spans="1:31" ht="14.5" thickBot="1" x14ac:dyDescent="0.35">
      <c r="A44" s="20" t="str">
        <f>IFERROR(INDEX('G-8 Condition Look up'!$I$4:$I$135,MATCH(F44,'G-8 Condition Look up'!$A$4:$A$135,0)),"")</f>
        <v/>
      </c>
      <c r="B44" s="679">
        <v>34</v>
      </c>
      <c r="C44" s="247" t="str">
        <f>IFERROR(INDEX('G-1 All Habitats'!$AG$25:$AG$41,MATCH(D44,'G-1 All Habitats'!AF$25:AF$41,0)),"")</f>
        <v/>
      </c>
      <c r="D44" s="38"/>
      <c r="E44" s="45"/>
      <c r="F44" s="244" t="str">
        <f>IFERROR(INDEX('G-1 All Habitats'!$B$3:$B$135,MATCH(E44,'G-1 All Habitats'!$A$3:$A$135,0)),"")</f>
        <v/>
      </c>
      <c r="G44" s="37"/>
      <c r="H44" s="290" t="str">
        <f>IF(F44="","",VLOOKUP(F44,'G-1 All Habitats'!$B$2:$M$135,10,FALSE))</f>
        <v/>
      </c>
      <c r="I44" s="291" t="str">
        <f>IFERROR(VLOOKUP(H44,'G-1 All Habitats'!$V$3:$W$7,2,FALSE),"")</f>
        <v/>
      </c>
      <c r="J44" s="38"/>
      <c r="K44" s="291" t="str">
        <f>IFERROR(INDEX('G-8 Condition Look up'!$A$3:$H$135,MATCH(F44,'G-8 Condition Look up'!$A$3:$A$135,0),MATCH(J44,'G-8 Condition Look up'!$A$3:$H$3,0)),"")</f>
        <v/>
      </c>
      <c r="L44" s="38"/>
      <c r="M44" s="298" t="str">
        <f>IF(L44="","",IF(VLOOKUP(L44,'G-3 Multipliers'!$L$3:$N$6,2,FALSE)=0,"Spatial Data Missing",VLOOKUP(L44,'G-3 Multipliers'!$L$3:$N$6,2,FALSE)))</f>
        <v/>
      </c>
      <c r="N44" s="296" t="str">
        <f>IF(L44="","",IF(VLOOKUP(L44,'G-3 Multipliers'!$L$3:$N$6,3,FALSE)=0,"Spatial Data Missing",VLOOKUP(L44,'G-3 Multipliers'!$L$3:$N$6,3,FALSE)))</f>
        <v/>
      </c>
      <c r="O44" s="290" t="str">
        <f t="shared" si="1"/>
        <v/>
      </c>
      <c r="P44" s="47"/>
      <c r="Q44" s="47"/>
      <c r="R44" s="298" t="str">
        <f t="shared" si="2"/>
        <v/>
      </c>
      <c r="S44" s="311" t="str">
        <f t="shared" si="3"/>
        <v/>
      </c>
      <c r="T44" s="312" t="str">
        <f>IFERROR(IF(S44="Check Data ⚠","Check Data ⚠",VLOOKUP(S44,'G-4 Temporal multipliers'!$A$4:$C$37,3,FALSE)),"")</f>
        <v/>
      </c>
      <c r="U44" s="313" t="str">
        <f>IF(F44="","",VLOOKUP(F44,'G-3 Multipliers'!$A$2:$E$134,2,FALSE))</f>
        <v/>
      </c>
      <c r="V44" s="310" t="str">
        <f t="shared" si="4"/>
        <v/>
      </c>
      <c r="W44" s="295" t="str">
        <f>IF(E44="","",IF(AND(V44="Standard difficulty applied",O44&gt;P44),U44,IF(AND(V44="Low Difficulty - only applicable if all habitat created before losses ⚠",P44&gt;=O44),"Low",VLOOKUP(F44,'G-3 Multipliers'!$A$2:$E$134,4,FALSE))))</f>
        <v/>
      </c>
      <c r="X44" s="314" t="str">
        <f>IFERROR(IF(E44="","",VLOOKUP(W44, 'G-3 Multipliers'!$P$2:$Q$6,2,FALSE)),"")</f>
        <v/>
      </c>
      <c r="Y44" s="317" t="str">
        <f t="shared" si="5"/>
        <v/>
      </c>
      <c r="Z44" s="163"/>
      <c r="AA44" s="164"/>
      <c r="AB44" s="101"/>
      <c r="AE44" s="25" t="str">
        <f t="shared" si="0"/>
        <v/>
      </c>
    </row>
    <row r="45" spans="1:31" ht="14.5" thickBot="1" x14ac:dyDescent="0.35">
      <c r="A45" s="20" t="str">
        <f>IFERROR(INDEX('G-8 Condition Look up'!$I$4:$I$135,MATCH(F45,'G-8 Condition Look up'!$A$4:$A$135,0)),"")</f>
        <v/>
      </c>
      <c r="B45" s="679">
        <v>35</v>
      </c>
      <c r="C45" s="247" t="str">
        <f>IFERROR(INDEX('G-1 All Habitats'!$AG$25:$AG$41,MATCH(D45,'G-1 All Habitats'!AF$25:AF$41,0)),"")</f>
        <v/>
      </c>
      <c r="D45" s="38"/>
      <c r="E45" s="45"/>
      <c r="F45" s="244" t="str">
        <f>IFERROR(INDEX('G-1 All Habitats'!$B$3:$B$135,MATCH(E45,'G-1 All Habitats'!$A$3:$A$135,0)),"")</f>
        <v/>
      </c>
      <c r="G45" s="37"/>
      <c r="H45" s="290" t="str">
        <f>IF(F45="","",VLOOKUP(F45,'G-1 All Habitats'!$B$2:$M$135,10,FALSE))</f>
        <v/>
      </c>
      <c r="I45" s="291" t="str">
        <f>IFERROR(VLOOKUP(H45,'G-1 All Habitats'!$V$3:$W$7,2,FALSE),"")</f>
        <v/>
      </c>
      <c r="J45" s="38"/>
      <c r="K45" s="291" t="str">
        <f>IFERROR(INDEX('G-8 Condition Look up'!$A$3:$H$135,MATCH(F45,'G-8 Condition Look up'!$A$3:$A$135,0),MATCH(J45,'G-8 Condition Look up'!$A$3:$H$3,0)),"")</f>
        <v/>
      </c>
      <c r="L45" s="38"/>
      <c r="M45" s="298" t="str">
        <f>IF(L45="","",IF(VLOOKUP(L45,'G-3 Multipliers'!$L$3:$N$6,2,FALSE)=0,"Spatial Data Missing",VLOOKUP(L45,'G-3 Multipliers'!$L$3:$N$6,2,FALSE)))</f>
        <v/>
      </c>
      <c r="N45" s="296" t="str">
        <f>IF(L45="","",IF(VLOOKUP(L45,'G-3 Multipliers'!$L$3:$N$6,3,FALSE)=0,"Spatial Data Missing",VLOOKUP(L45,'G-3 Multipliers'!$L$3:$N$6,3,FALSE)))</f>
        <v/>
      </c>
      <c r="O45" s="290" t="str">
        <f t="shared" si="1"/>
        <v/>
      </c>
      <c r="P45" s="47"/>
      <c r="Q45" s="47"/>
      <c r="R45" s="298" t="str">
        <f t="shared" si="2"/>
        <v/>
      </c>
      <c r="S45" s="311" t="str">
        <f t="shared" si="3"/>
        <v/>
      </c>
      <c r="T45" s="312" t="str">
        <f>IFERROR(IF(S45="Check Data ⚠","Check Data ⚠",VLOOKUP(S45,'G-4 Temporal multipliers'!$A$4:$C$37,3,FALSE)),"")</f>
        <v/>
      </c>
      <c r="U45" s="313" t="str">
        <f>IF(F45="","",VLOOKUP(F45,'G-3 Multipliers'!$A$2:$E$134,2,FALSE))</f>
        <v/>
      </c>
      <c r="V45" s="310" t="str">
        <f t="shared" si="4"/>
        <v/>
      </c>
      <c r="W45" s="295" t="str">
        <f>IF(E45="","",IF(AND(V45="Standard difficulty applied",O45&gt;P45),U45,IF(AND(V45="Low Difficulty - only applicable if all habitat created before losses ⚠",P45&gt;=O45),"Low",VLOOKUP(F45,'G-3 Multipliers'!$A$2:$E$134,4,FALSE))))</f>
        <v/>
      </c>
      <c r="X45" s="314" t="str">
        <f>IFERROR(IF(E45="","",VLOOKUP(W45, 'G-3 Multipliers'!$P$2:$Q$6,2,FALSE)),"")</f>
        <v/>
      </c>
      <c r="Y45" s="317" t="str">
        <f t="shared" si="5"/>
        <v/>
      </c>
      <c r="Z45" s="163"/>
      <c r="AA45" s="164"/>
      <c r="AB45" s="101"/>
      <c r="AE45" s="25" t="str">
        <f t="shared" si="0"/>
        <v/>
      </c>
    </row>
    <row r="46" spans="1:31" ht="14.5" thickBot="1" x14ac:dyDescent="0.35">
      <c r="A46" s="20" t="str">
        <f>IFERROR(INDEX('G-8 Condition Look up'!$I$4:$I$135,MATCH(F46,'G-8 Condition Look up'!$A$4:$A$135,0)),"")</f>
        <v/>
      </c>
      <c r="B46" s="679">
        <v>36</v>
      </c>
      <c r="C46" s="247" t="str">
        <f>IFERROR(INDEX('G-1 All Habitats'!$AG$25:$AG$41,MATCH(D46,'G-1 All Habitats'!AF$25:AF$41,0)),"")</f>
        <v/>
      </c>
      <c r="D46" s="38"/>
      <c r="E46" s="45"/>
      <c r="F46" s="244" t="str">
        <f>IFERROR(INDEX('G-1 All Habitats'!$B$3:$B$135,MATCH(E46,'G-1 All Habitats'!$A$3:$A$135,0)),"")</f>
        <v/>
      </c>
      <c r="G46" s="37"/>
      <c r="H46" s="290" t="str">
        <f>IF(F46="","",VLOOKUP(F46,'G-1 All Habitats'!$B$2:$M$135,10,FALSE))</f>
        <v/>
      </c>
      <c r="I46" s="291" t="str">
        <f>IFERROR(VLOOKUP(H46,'G-1 All Habitats'!$V$3:$W$7,2,FALSE),"")</f>
        <v/>
      </c>
      <c r="J46" s="38"/>
      <c r="K46" s="291" t="str">
        <f>IFERROR(INDEX('G-8 Condition Look up'!$A$3:$H$135,MATCH(F46,'G-8 Condition Look up'!$A$3:$A$135,0),MATCH(J46,'G-8 Condition Look up'!$A$3:$H$3,0)),"")</f>
        <v/>
      </c>
      <c r="L46" s="38"/>
      <c r="M46" s="298" t="str">
        <f>IF(L46="","",IF(VLOOKUP(L46,'G-3 Multipliers'!$L$3:$N$6,2,FALSE)=0,"Spatial Data Missing",VLOOKUP(L46,'G-3 Multipliers'!$L$3:$N$6,2,FALSE)))</f>
        <v/>
      </c>
      <c r="N46" s="296" t="str">
        <f>IF(L46="","",IF(VLOOKUP(L46,'G-3 Multipliers'!$L$3:$N$6,3,FALSE)=0,"Spatial Data Missing",VLOOKUP(L46,'G-3 Multipliers'!$L$3:$N$6,3,FALSE)))</f>
        <v/>
      </c>
      <c r="O46" s="290" t="str">
        <f t="shared" si="1"/>
        <v/>
      </c>
      <c r="P46" s="47"/>
      <c r="Q46" s="47"/>
      <c r="R46" s="298" t="str">
        <f t="shared" si="2"/>
        <v/>
      </c>
      <c r="S46" s="311" t="str">
        <f t="shared" si="3"/>
        <v/>
      </c>
      <c r="T46" s="312" t="str">
        <f>IFERROR(IF(S46="Check Data ⚠","Check Data ⚠",VLOOKUP(S46,'G-4 Temporal multipliers'!$A$4:$C$37,3,FALSE)),"")</f>
        <v/>
      </c>
      <c r="U46" s="313" t="str">
        <f>IF(F46="","",VLOOKUP(F46,'G-3 Multipliers'!$A$2:$E$134,2,FALSE))</f>
        <v/>
      </c>
      <c r="V46" s="310" t="str">
        <f t="shared" si="4"/>
        <v/>
      </c>
      <c r="W46" s="295" t="str">
        <f>IF(E46="","",IF(AND(V46="Standard difficulty applied",O46&gt;P46),U46,IF(AND(V46="Low Difficulty - only applicable if all habitat created before losses ⚠",P46&gt;=O46),"Low",VLOOKUP(F46,'G-3 Multipliers'!$A$2:$E$134,4,FALSE))))</f>
        <v/>
      </c>
      <c r="X46" s="314" t="str">
        <f>IFERROR(IF(E46="","",VLOOKUP(W46, 'G-3 Multipliers'!$P$2:$Q$6,2,FALSE)),"")</f>
        <v/>
      </c>
      <c r="Y46" s="317" t="str">
        <f t="shared" si="5"/>
        <v/>
      </c>
      <c r="Z46" s="163"/>
      <c r="AA46" s="164"/>
      <c r="AB46" s="101"/>
      <c r="AE46" s="25" t="str">
        <f t="shared" si="0"/>
        <v/>
      </c>
    </row>
    <row r="47" spans="1:31" ht="14.5" thickBot="1" x14ac:dyDescent="0.35">
      <c r="A47" s="20" t="str">
        <f>IFERROR(INDEX('G-8 Condition Look up'!$I$4:$I$135,MATCH(F47,'G-8 Condition Look up'!$A$4:$A$135,0)),"")</f>
        <v/>
      </c>
      <c r="B47" s="679">
        <v>37</v>
      </c>
      <c r="C47" s="247" t="str">
        <f>IFERROR(INDEX('G-1 All Habitats'!$AG$25:$AG$41,MATCH(D47,'G-1 All Habitats'!AF$25:AF$41,0)),"")</f>
        <v/>
      </c>
      <c r="D47" s="38"/>
      <c r="E47" s="45"/>
      <c r="F47" s="244" t="str">
        <f>IFERROR(INDEX('G-1 All Habitats'!$B$3:$B$135,MATCH(E47,'G-1 All Habitats'!$A$3:$A$135,0)),"")</f>
        <v/>
      </c>
      <c r="G47" s="37"/>
      <c r="H47" s="290" t="str">
        <f>IF(F47="","",VLOOKUP(F47,'G-1 All Habitats'!$B$2:$M$135,10,FALSE))</f>
        <v/>
      </c>
      <c r="I47" s="291" t="str">
        <f>IFERROR(VLOOKUP(H47,'G-1 All Habitats'!$V$3:$W$7,2,FALSE),"")</f>
        <v/>
      </c>
      <c r="J47" s="38"/>
      <c r="K47" s="291" t="str">
        <f>IFERROR(INDEX('G-8 Condition Look up'!$A$3:$H$135,MATCH(F47,'G-8 Condition Look up'!$A$3:$A$135,0),MATCH(J47,'G-8 Condition Look up'!$A$3:$H$3,0)),"")</f>
        <v/>
      </c>
      <c r="L47" s="38"/>
      <c r="M47" s="298" t="str">
        <f>IF(L47="","",IF(VLOOKUP(L47,'G-3 Multipliers'!$L$3:$N$6,2,FALSE)=0,"Spatial Data Missing",VLOOKUP(L47,'G-3 Multipliers'!$L$3:$N$6,2,FALSE)))</f>
        <v/>
      </c>
      <c r="N47" s="296" t="str">
        <f>IF(L47="","",IF(VLOOKUP(L47,'G-3 Multipliers'!$L$3:$N$6,3,FALSE)=0,"Spatial Data Missing",VLOOKUP(L47,'G-3 Multipliers'!$L$3:$N$6,3,FALSE)))</f>
        <v/>
      </c>
      <c r="O47" s="290" t="str">
        <f t="shared" si="1"/>
        <v/>
      </c>
      <c r="P47" s="47"/>
      <c r="Q47" s="47"/>
      <c r="R47" s="298" t="str">
        <f t="shared" si="2"/>
        <v/>
      </c>
      <c r="S47" s="311" t="str">
        <f t="shared" si="3"/>
        <v/>
      </c>
      <c r="T47" s="312" t="str">
        <f>IFERROR(IF(S47="Check Data ⚠","Check Data ⚠",VLOOKUP(S47,'G-4 Temporal multipliers'!$A$4:$C$37,3,FALSE)),"")</f>
        <v/>
      </c>
      <c r="U47" s="313" t="str">
        <f>IF(F47="","",VLOOKUP(F47,'G-3 Multipliers'!$A$2:$E$134,2,FALSE))</f>
        <v/>
      </c>
      <c r="V47" s="310" t="str">
        <f t="shared" si="4"/>
        <v/>
      </c>
      <c r="W47" s="295" t="str">
        <f>IF(E47="","",IF(AND(V47="Standard difficulty applied",O47&gt;P47),U47,IF(AND(V47="Low Difficulty - only applicable if all habitat created before losses ⚠",P47&gt;=O47),"Low",VLOOKUP(F47,'G-3 Multipliers'!$A$2:$E$134,4,FALSE))))</f>
        <v/>
      </c>
      <c r="X47" s="314" t="str">
        <f>IFERROR(IF(E47="","",VLOOKUP(W47, 'G-3 Multipliers'!$P$2:$Q$6,2,FALSE)),"")</f>
        <v/>
      </c>
      <c r="Y47" s="317" t="str">
        <f t="shared" si="5"/>
        <v/>
      </c>
      <c r="Z47" s="163"/>
      <c r="AA47" s="164"/>
      <c r="AB47" s="101"/>
      <c r="AE47" s="25" t="str">
        <f t="shared" si="0"/>
        <v/>
      </c>
    </row>
    <row r="48" spans="1:31" ht="14.5" thickBot="1" x14ac:dyDescent="0.35">
      <c r="A48" s="20" t="str">
        <f>IFERROR(INDEX('G-8 Condition Look up'!$I$4:$I$135,MATCH(F48,'G-8 Condition Look up'!$A$4:$A$135,0)),"")</f>
        <v/>
      </c>
      <c r="B48" s="679">
        <v>38</v>
      </c>
      <c r="C48" s="247" t="str">
        <f>IFERROR(INDEX('G-1 All Habitats'!$AG$25:$AG$41,MATCH(D48,'G-1 All Habitats'!AF$25:AF$41,0)),"")</f>
        <v/>
      </c>
      <c r="D48" s="38"/>
      <c r="E48" s="45"/>
      <c r="F48" s="244" t="str">
        <f>IFERROR(INDEX('G-1 All Habitats'!$B$3:$B$135,MATCH(E48,'G-1 All Habitats'!$A$3:$A$135,0)),"")</f>
        <v/>
      </c>
      <c r="G48" s="37"/>
      <c r="H48" s="290" t="str">
        <f>IF(F48="","",VLOOKUP(F48,'G-1 All Habitats'!$B$2:$M$135,10,FALSE))</f>
        <v/>
      </c>
      <c r="I48" s="291" t="str">
        <f>IFERROR(VLOOKUP(H48,'G-1 All Habitats'!$V$3:$W$7,2,FALSE),"")</f>
        <v/>
      </c>
      <c r="J48" s="38"/>
      <c r="K48" s="291" t="str">
        <f>IFERROR(INDEX('G-8 Condition Look up'!$A$3:$H$135,MATCH(F48,'G-8 Condition Look up'!$A$3:$A$135,0),MATCH(J48,'G-8 Condition Look up'!$A$3:$H$3,0)),"")</f>
        <v/>
      </c>
      <c r="L48" s="38"/>
      <c r="M48" s="298" t="str">
        <f>IF(L48="","",IF(VLOOKUP(L48,'G-3 Multipliers'!$L$3:$N$6,2,FALSE)=0,"Spatial Data Missing",VLOOKUP(L48,'G-3 Multipliers'!$L$3:$N$6,2,FALSE)))</f>
        <v/>
      </c>
      <c r="N48" s="296" t="str">
        <f>IF(L48="","",IF(VLOOKUP(L48,'G-3 Multipliers'!$L$3:$N$6,3,FALSE)=0,"Spatial Data Missing",VLOOKUP(L48,'G-3 Multipliers'!$L$3:$N$6,3,FALSE)))</f>
        <v/>
      </c>
      <c r="O48" s="290" t="str">
        <f t="shared" si="1"/>
        <v/>
      </c>
      <c r="P48" s="47"/>
      <c r="Q48" s="47"/>
      <c r="R48" s="298" t="str">
        <f t="shared" si="2"/>
        <v/>
      </c>
      <c r="S48" s="311" t="str">
        <f t="shared" si="3"/>
        <v/>
      </c>
      <c r="T48" s="312" t="str">
        <f>IFERROR(IF(S48="Check Data ⚠","Check Data ⚠",VLOOKUP(S48,'G-4 Temporal multipliers'!$A$4:$C$37,3,FALSE)),"")</f>
        <v/>
      </c>
      <c r="U48" s="313" t="str">
        <f>IF(F48="","",VLOOKUP(F48,'G-3 Multipliers'!$A$2:$E$134,2,FALSE))</f>
        <v/>
      </c>
      <c r="V48" s="310" t="str">
        <f t="shared" si="4"/>
        <v/>
      </c>
      <c r="W48" s="295" t="str">
        <f>IF(E48="","",IF(AND(V48="Standard difficulty applied",O48&gt;P48),U48,IF(AND(V48="Low Difficulty - only applicable if all habitat created before losses ⚠",P48&gt;=O48),"Low",VLOOKUP(F48,'G-3 Multipliers'!$A$2:$E$134,4,FALSE))))</f>
        <v/>
      </c>
      <c r="X48" s="314" t="str">
        <f>IFERROR(IF(E48="","",VLOOKUP(W48, 'G-3 Multipliers'!$P$2:$Q$6,2,FALSE)),"")</f>
        <v/>
      </c>
      <c r="Y48" s="317" t="str">
        <f t="shared" si="5"/>
        <v/>
      </c>
      <c r="Z48" s="163"/>
      <c r="AA48" s="164"/>
      <c r="AB48" s="101"/>
      <c r="AE48" s="25" t="str">
        <f t="shared" si="0"/>
        <v/>
      </c>
    </row>
    <row r="49" spans="1:31" ht="14.5" thickBot="1" x14ac:dyDescent="0.35">
      <c r="A49" s="20" t="str">
        <f>IFERROR(INDEX('G-8 Condition Look up'!$I$4:$I$135,MATCH(F49,'G-8 Condition Look up'!$A$4:$A$135,0)),"")</f>
        <v/>
      </c>
      <c r="B49" s="679">
        <v>39</v>
      </c>
      <c r="C49" s="247" t="str">
        <f>IFERROR(INDEX('G-1 All Habitats'!$AG$25:$AG$41,MATCH(D49,'G-1 All Habitats'!AF$25:AF$41,0)),"")</f>
        <v/>
      </c>
      <c r="D49" s="38"/>
      <c r="E49" s="45"/>
      <c r="F49" s="244" t="str">
        <f>IFERROR(INDEX('G-1 All Habitats'!$B$3:$B$135,MATCH(E49,'G-1 All Habitats'!$A$3:$A$135,0)),"")</f>
        <v/>
      </c>
      <c r="G49" s="37"/>
      <c r="H49" s="290" t="str">
        <f>IF(F49="","",VLOOKUP(F49,'G-1 All Habitats'!$B$2:$M$135,10,FALSE))</f>
        <v/>
      </c>
      <c r="I49" s="291" t="str">
        <f>IFERROR(VLOOKUP(H49,'G-1 All Habitats'!$V$3:$W$7,2,FALSE),"")</f>
        <v/>
      </c>
      <c r="J49" s="38"/>
      <c r="K49" s="291" t="str">
        <f>IFERROR(INDEX('G-8 Condition Look up'!$A$3:$H$135,MATCH(F49,'G-8 Condition Look up'!$A$3:$A$135,0),MATCH(J49,'G-8 Condition Look up'!$A$3:$H$3,0)),"")</f>
        <v/>
      </c>
      <c r="L49" s="38"/>
      <c r="M49" s="298" t="str">
        <f>IF(L49="","",IF(VLOOKUP(L49,'G-3 Multipliers'!$L$3:$N$6,2,FALSE)=0,"Spatial Data Missing",VLOOKUP(L49,'G-3 Multipliers'!$L$3:$N$6,2,FALSE)))</f>
        <v/>
      </c>
      <c r="N49" s="296" t="str">
        <f>IF(L49="","",IF(VLOOKUP(L49,'G-3 Multipliers'!$L$3:$N$6,3,FALSE)=0,"Spatial Data Missing",VLOOKUP(L49,'G-3 Multipliers'!$L$3:$N$6,3,FALSE)))</f>
        <v/>
      </c>
      <c r="O49" s="290" t="str">
        <f t="shared" si="1"/>
        <v/>
      </c>
      <c r="P49" s="47"/>
      <c r="Q49" s="47"/>
      <c r="R49" s="298" t="str">
        <f t="shared" si="2"/>
        <v/>
      </c>
      <c r="S49" s="311" t="str">
        <f t="shared" si="3"/>
        <v/>
      </c>
      <c r="T49" s="312" t="str">
        <f>IFERROR(IF(S49="Check Data ⚠","Check Data ⚠",VLOOKUP(S49,'G-4 Temporal multipliers'!$A$4:$C$37,3,FALSE)),"")</f>
        <v/>
      </c>
      <c r="U49" s="313" t="str">
        <f>IF(F49="","",VLOOKUP(F49,'G-3 Multipliers'!$A$2:$E$134,2,FALSE))</f>
        <v/>
      </c>
      <c r="V49" s="310" t="str">
        <f t="shared" si="4"/>
        <v/>
      </c>
      <c r="W49" s="295" t="str">
        <f>IF(E49="","",IF(AND(V49="Standard difficulty applied",O49&gt;P49),U49,IF(AND(V49="Low Difficulty - only applicable if all habitat created before losses ⚠",P49&gt;=O49),"Low",VLOOKUP(F49,'G-3 Multipliers'!$A$2:$E$134,4,FALSE))))</f>
        <v/>
      </c>
      <c r="X49" s="314" t="str">
        <f>IFERROR(IF(E49="","",VLOOKUP(W49, 'G-3 Multipliers'!$P$2:$Q$6,2,FALSE)),"")</f>
        <v/>
      </c>
      <c r="Y49" s="317" t="str">
        <f t="shared" si="5"/>
        <v/>
      </c>
      <c r="Z49" s="163"/>
      <c r="AA49" s="164"/>
      <c r="AB49" s="101"/>
      <c r="AE49" s="25" t="str">
        <f t="shared" si="0"/>
        <v/>
      </c>
    </row>
    <row r="50" spans="1:31" ht="14.5" thickBot="1" x14ac:dyDescent="0.35">
      <c r="A50" s="20" t="str">
        <f>IFERROR(INDEX('G-8 Condition Look up'!$I$4:$I$135,MATCH(F50,'G-8 Condition Look up'!$A$4:$A$135,0)),"")</f>
        <v/>
      </c>
      <c r="B50" s="679">
        <v>40</v>
      </c>
      <c r="C50" s="247" t="str">
        <f>IFERROR(INDEX('G-1 All Habitats'!$AG$25:$AG$41,MATCH(D50,'G-1 All Habitats'!AF$25:AF$41,0)),"")</f>
        <v/>
      </c>
      <c r="D50" s="38"/>
      <c r="E50" s="45"/>
      <c r="F50" s="244" t="str">
        <f>IFERROR(INDEX('G-1 All Habitats'!$B$3:$B$135,MATCH(E50,'G-1 All Habitats'!$A$3:$A$135,0)),"")</f>
        <v/>
      </c>
      <c r="G50" s="37"/>
      <c r="H50" s="290" t="str">
        <f>IF(F50="","",VLOOKUP(F50,'G-1 All Habitats'!$B$2:$M$135,10,FALSE))</f>
        <v/>
      </c>
      <c r="I50" s="291" t="str">
        <f>IFERROR(VLOOKUP(H50,'G-1 All Habitats'!$V$3:$W$7,2,FALSE),"")</f>
        <v/>
      </c>
      <c r="J50" s="38"/>
      <c r="K50" s="291" t="str">
        <f>IFERROR(INDEX('G-8 Condition Look up'!$A$3:$H$135,MATCH(F50,'G-8 Condition Look up'!$A$3:$A$135,0),MATCH(J50,'G-8 Condition Look up'!$A$3:$H$3,0)),"")</f>
        <v/>
      </c>
      <c r="L50" s="38"/>
      <c r="M50" s="298" t="str">
        <f>IF(L50="","",IF(VLOOKUP(L50,'G-3 Multipliers'!$L$3:$N$6,2,FALSE)=0,"Spatial Data Missing",VLOOKUP(L50,'G-3 Multipliers'!$L$3:$N$6,2,FALSE)))</f>
        <v/>
      </c>
      <c r="N50" s="296" t="str">
        <f>IF(L50="","",IF(VLOOKUP(L50,'G-3 Multipliers'!$L$3:$N$6,3,FALSE)=0,"Spatial Data Missing",VLOOKUP(L50,'G-3 Multipliers'!$L$3:$N$6,3,FALSE)))</f>
        <v/>
      </c>
      <c r="O50" s="290" t="str">
        <f t="shared" si="1"/>
        <v/>
      </c>
      <c r="P50" s="47"/>
      <c r="Q50" s="47"/>
      <c r="R50" s="298" t="str">
        <f t="shared" si="2"/>
        <v/>
      </c>
      <c r="S50" s="311" t="str">
        <f t="shared" si="3"/>
        <v/>
      </c>
      <c r="T50" s="312" t="str">
        <f>IFERROR(IF(S50="Check Data ⚠","Check Data ⚠",VLOOKUP(S50,'G-4 Temporal multipliers'!$A$4:$C$37,3,FALSE)),"")</f>
        <v/>
      </c>
      <c r="U50" s="313" t="str">
        <f>IF(F50="","",VLOOKUP(F50,'G-3 Multipliers'!$A$2:$E$134,2,FALSE))</f>
        <v/>
      </c>
      <c r="V50" s="310" t="str">
        <f t="shared" si="4"/>
        <v/>
      </c>
      <c r="W50" s="295" t="str">
        <f>IF(E50="","",IF(AND(V50="Standard difficulty applied",O50&gt;P50),U50,IF(AND(V50="Low Difficulty - only applicable if all habitat created before losses ⚠",P50&gt;=O50),"Low",VLOOKUP(F50,'G-3 Multipliers'!$A$2:$E$134,4,FALSE))))</f>
        <v/>
      </c>
      <c r="X50" s="314" t="str">
        <f>IFERROR(IF(E50="","",VLOOKUP(W50, 'G-3 Multipliers'!$P$2:$Q$6,2,FALSE)),"")</f>
        <v/>
      </c>
      <c r="Y50" s="317" t="str">
        <f t="shared" si="5"/>
        <v/>
      </c>
      <c r="Z50" s="163"/>
      <c r="AA50" s="164"/>
      <c r="AB50" s="101"/>
      <c r="AE50" s="25" t="str">
        <f t="shared" si="0"/>
        <v/>
      </c>
    </row>
    <row r="51" spans="1:31" ht="14.5" thickBot="1" x14ac:dyDescent="0.35">
      <c r="A51" s="20" t="str">
        <f>IFERROR(INDEX('G-8 Condition Look up'!$I$4:$I$135,MATCH(F51,'G-8 Condition Look up'!$A$4:$A$135,0)),"")</f>
        <v/>
      </c>
      <c r="B51" s="679">
        <v>41</v>
      </c>
      <c r="C51" s="247" t="str">
        <f>IFERROR(INDEX('G-1 All Habitats'!$AG$25:$AG$41,MATCH(D51,'G-1 All Habitats'!AF$25:AF$41,0)),"")</f>
        <v/>
      </c>
      <c r="D51" s="38"/>
      <c r="E51" s="45"/>
      <c r="F51" s="244" t="str">
        <f>IFERROR(INDEX('G-1 All Habitats'!$B$3:$B$135,MATCH(E51,'G-1 All Habitats'!$A$3:$A$135,0)),"")</f>
        <v/>
      </c>
      <c r="G51" s="37"/>
      <c r="H51" s="290" t="str">
        <f>IF(F51="","",VLOOKUP(F51,'G-1 All Habitats'!$B$2:$M$135,10,FALSE))</f>
        <v/>
      </c>
      <c r="I51" s="291" t="str">
        <f>IFERROR(VLOOKUP(H51,'G-1 All Habitats'!$V$3:$W$7,2,FALSE),"")</f>
        <v/>
      </c>
      <c r="J51" s="38"/>
      <c r="K51" s="291" t="str">
        <f>IFERROR(INDEX('G-8 Condition Look up'!$A$3:$H$135,MATCH(F51,'G-8 Condition Look up'!$A$3:$A$135,0),MATCH(J51,'G-8 Condition Look up'!$A$3:$H$3,0)),"")</f>
        <v/>
      </c>
      <c r="L51" s="38"/>
      <c r="M51" s="298" t="str">
        <f>IF(L51="","",IF(VLOOKUP(L51,'G-3 Multipliers'!$L$3:$N$6,2,FALSE)=0,"Spatial Data Missing",VLOOKUP(L51,'G-3 Multipliers'!$L$3:$N$6,2,FALSE)))</f>
        <v/>
      </c>
      <c r="N51" s="296" t="str">
        <f>IF(L51="","",IF(VLOOKUP(L51,'G-3 Multipliers'!$L$3:$N$6,3,FALSE)=0,"Spatial Data Missing",VLOOKUP(L51,'G-3 Multipliers'!$L$3:$N$6,3,FALSE)))</f>
        <v/>
      </c>
      <c r="O51" s="290" t="str">
        <f t="shared" si="1"/>
        <v/>
      </c>
      <c r="P51" s="47"/>
      <c r="Q51" s="47"/>
      <c r="R51" s="298" t="str">
        <f t="shared" si="2"/>
        <v/>
      </c>
      <c r="S51" s="311" t="str">
        <f t="shared" si="3"/>
        <v/>
      </c>
      <c r="T51" s="312" t="str">
        <f>IFERROR(IF(S51="Check Data ⚠","Check Data ⚠",VLOOKUP(S51,'G-4 Temporal multipliers'!$A$4:$C$37,3,FALSE)),"")</f>
        <v/>
      </c>
      <c r="U51" s="313" t="str">
        <f>IF(F51="","",VLOOKUP(F51,'G-3 Multipliers'!$A$2:$E$134,2,FALSE))</f>
        <v/>
      </c>
      <c r="V51" s="310" t="str">
        <f t="shared" si="4"/>
        <v/>
      </c>
      <c r="W51" s="295" t="str">
        <f>IF(E51="","",IF(AND(V51="Standard difficulty applied",O51&gt;P51),U51,IF(AND(V51="Low Difficulty - only applicable if all habitat created before losses ⚠",P51&gt;=O51),"Low",VLOOKUP(F51,'G-3 Multipliers'!$A$2:$E$134,4,FALSE))))</f>
        <v/>
      </c>
      <c r="X51" s="314" t="str">
        <f>IFERROR(IF(E51="","",VLOOKUP(W51, 'G-3 Multipliers'!$P$2:$Q$6,2,FALSE)),"")</f>
        <v/>
      </c>
      <c r="Y51" s="317" t="str">
        <f t="shared" si="5"/>
        <v/>
      </c>
      <c r="Z51" s="163"/>
      <c r="AA51" s="164"/>
      <c r="AB51" s="101"/>
      <c r="AE51" s="25" t="str">
        <f t="shared" si="0"/>
        <v/>
      </c>
    </row>
    <row r="52" spans="1:31" ht="14.5" thickBot="1" x14ac:dyDescent="0.35">
      <c r="A52" s="20" t="str">
        <f>IFERROR(INDEX('G-8 Condition Look up'!$I$4:$I$135,MATCH(F52,'G-8 Condition Look up'!$A$4:$A$135,0)),"")</f>
        <v/>
      </c>
      <c r="B52" s="679">
        <v>42</v>
      </c>
      <c r="C52" s="247" t="str">
        <f>IFERROR(INDEX('G-1 All Habitats'!$AG$25:$AG$41,MATCH(D52,'G-1 All Habitats'!AF$25:AF$41,0)),"")</f>
        <v/>
      </c>
      <c r="D52" s="38"/>
      <c r="E52" s="45"/>
      <c r="F52" s="244" t="str">
        <f>IFERROR(INDEX('G-1 All Habitats'!$B$3:$B$135,MATCH(E52,'G-1 All Habitats'!$A$3:$A$135,0)),"")</f>
        <v/>
      </c>
      <c r="G52" s="37"/>
      <c r="H52" s="290" t="str">
        <f>IF(F52="","",VLOOKUP(F52,'G-1 All Habitats'!$B$2:$M$135,10,FALSE))</f>
        <v/>
      </c>
      <c r="I52" s="291" t="str">
        <f>IFERROR(VLOOKUP(H52,'G-1 All Habitats'!$V$3:$W$7,2,FALSE),"")</f>
        <v/>
      </c>
      <c r="J52" s="38"/>
      <c r="K52" s="291" t="str">
        <f>IFERROR(INDEX('G-8 Condition Look up'!$A$3:$H$135,MATCH(F52,'G-8 Condition Look up'!$A$3:$A$135,0),MATCH(J52,'G-8 Condition Look up'!$A$3:$H$3,0)),"")</f>
        <v/>
      </c>
      <c r="L52" s="38"/>
      <c r="M52" s="298" t="str">
        <f>IF(L52="","",IF(VLOOKUP(L52,'G-3 Multipliers'!$L$3:$N$6,2,FALSE)=0,"Spatial Data Missing",VLOOKUP(L52,'G-3 Multipliers'!$L$3:$N$6,2,FALSE)))</f>
        <v/>
      </c>
      <c r="N52" s="296" t="str">
        <f>IF(L52="","",IF(VLOOKUP(L52,'G-3 Multipliers'!$L$3:$N$6,3,FALSE)=0,"Spatial Data Missing",VLOOKUP(L52,'G-3 Multipliers'!$L$3:$N$6,3,FALSE)))</f>
        <v/>
      </c>
      <c r="O52" s="290" t="str">
        <f t="shared" si="1"/>
        <v/>
      </c>
      <c r="P52" s="47"/>
      <c r="Q52" s="47"/>
      <c r="R52" s="298" t="str">
        <f t="shared" si="2"/>
        <v/>
      </c>
      <c r="S52" s="311" t="str">
        <f t="shared" si="3"/>
        <v/>
      </c>
      <c r="T52" s="312" t="str">
        <f>IFERROR(IF(S52="Check Data ⚠","Check Data ⚠",VLOOKUP(S52,'G-4 Temporal multipliers'!$A$4:$C$37,3,FALSE)),"")</f>
        <v/>
      </c>
      <c r="U52" s="313" t="str">
        <f>IF(F52="","",VLOOKUP(F52,'G-3 Multipliers'!$A$2:$E$134,2,FALSE))</f>
        <v/>
      </c>
      <c r="V52" s="310" t="str">
        <f t="shared" si="4"/>
        <v/>
      </c>
      <c r="W52" s="295" t="str">
        <f>IF(E52="","",IF(AND(V52="Standard difficulty applied",O52&gt;P52),U52,IF(AND(V52="Low Difficulty - only applicable if all habitat created before losses ⚠",P52&gt;=O52),"Low",VLOOKUP(F52,'G-3 Multipliers'!$A$2:$E$134,4,FALSE))))</f>
        <v/>
      </c>
      <c r="X52" s="314" t="str">
        <f>IFERROR(IF(E52="","",VLOOKUP(W52, 'G-3 Multipliers'!$P$2:$Q$6,2,FALSE)),"")</f>
        <v/>
      </c>
      <c r="Y52" s="317" t="str">
        <f t="shared" si="5"/>
        <v/>
      </c>
      <c r="Z52" s="163"/>
      <c r="AA52" s="164"/>
      <c r="AB52" s="101"/>
      <c r="AE52" s="25" t="str">
        <f t="shared" si="0"/>
        <v/>
      </c>
    </row>
    <row r="53" spans="1:31" ht="14.5" thickBot="1" x14ac:dyDescent="0.35">
      <c r="A53" s="20" t="str">
        <f>IFERROR(INDEX('G-8 Condition Look up'!$I$4:$I$135,MATCH(F53,'G-8 Condition Look up'!$A$4:$A$135,0)),"")</f>
        <v/>
      </c>
      <c r="B53" s="679">
        <v>43</v>
      </c>
      <c r="C53" s="247" t="str">
        <f>IFERROR(INDEX('G-1 All Habitats'!$AG$25:$AG$41,MATCH(D53,'G-1 All Habitats'!AF$25:AF$41,0)),"")</f>
        <v/>
      </c>
      <c r="D53" s="38"/>
      <c r="E53" s="45"/>
      <c r="F53" s="244" t="str">
        <f>IFERROR(INDEX('G-1 All Habitats'!$B$3:$B$135,MATCH(E53,'G-1 All Habitats'!$A$3:$A$135,0)),"")</f>
        <v/>
      </c>
      <c r="G53" s="37"/>
      <c r="H53" s="290" t="str">
        <f>IF(F53="","",VLOOKUP(F53,'G-1 All Habitats'!$B$2:$M$135,10,FALSE))</f>
        <v/>
      </c>
      <c r="I53" s="291" t="str">
        <f>IFERROR(VLOOKUP(H53,'G-1 All Habitats'!$V$3:$W$7,2,FALSE),"")</f>
        <v/>
      </c>
      <c r="J53" s="38"/>
      <c r="K53" s="291" t="str">
        <f>IFERROR(INDEX('G-8 Condition Look up'!$A$3:$H$135,MATCH(F53,'G-8 Condition Look up'!$A$3:$A$135,0),MATCH(J53,'G-8 Condition Look up'!$A$3:$H$3,0)),"")</f>
        <v/>
      </c>
      <c r="L53" s="38"/>
      <c r="M53" s="298" t="str">
        <f>IF(L53="","",IF(VLOOKUP(L53,'G-3 Multipliers'!$L$3:$N$6,2,FALSE)=0,"Spatial Data Missing",VLOOKUP(L53,'G-3 Multipliers'!$L$3:$N$6,2,FALSE)))</f>
        <v/>
      </c>
      <c r="N53" s="296" t="str">
        <f>IF(L53="","",IF(VLOOKUP(L53,'G-3 Multipliers'!$L$3:$N$6,3,FALSE)=0,"Spatial Data Missing",VLOOKUP(L53,'G-3 Multipliers'!$L$3:$N$6,3,FALSE)))</f>
        <v/>
      </c>
      <c r="O53" s="290" t="str">
        <f t="shared" si="1"/>
        <v/>
      </c>
      <c r="P53" s="47"/>
      <c r="Q53" s="47"/>
      <c r="R53" s="298" t="str">
        <f t="shared" si="2"/>
        <v/>
      </c>
      <c r="S53" s="311" t="str">
        <f t="shared" si="3"/>
        <v/>
      </c>
      <c r="T53" s="312" t="str">
        <f>IFERROR(IF(S53="Check Data ⚠","Check Data ⚠",VLOOKUP(S53,'G-4 Temporal multipliers'!$A$4:$C$37,3,FALSE)),"")</f>
        <v/>
      </c>
      <c r="U53" s="313" t="str">
        <f>IF(F53="","",VLOOKUP(F53,'G-3 Multipliers'!$A$2:$E$134,2,FALSE))</f>
        <v/>
      </c>
      <c r="V53" s="310" t="str">
        <f t="shared" si="4"/>
        <v/>
      </c>
      <c r="W53" s="295" t="str">
        <f>IF(E53="","",IF(AND(V53="Standard difficulty applied",O53&gt;P53),U53,IF(AND(V53="Low Difficulty - only applicable if all habitat created before losses ⚠",P53&gt;=O53),"Low",VLOOKUP(F53,'G-3 Multipliers'!$A$2:$E$134,4,FALSE))))</f>
        <v/>
      </c>
      <c r="X53" s="314" t="str">
        <f>IFERROR(IF(E53="","",VLOOKUP(W53, 'G-3 Multipliers'!$P$2:$Q$6,2,FALSE)),"")</f>
        <v/>
      </c>
      <c r="Y53" s="317" t="str">
        <f t="shared" si="5"/>
        <v/>
      </c>
      <c r="Z53" s="163"/>
      <c r="AA53" s="164"/>
      <c r="AB53" s="101"/>
      <c r="AE53" s="25" t="str">
        <f t="shared" si="0"/>
        <v/>
      </c>
    </row>
    <row r="54" spans="1:31" ht="14.5" thickBot="1" x14ac:dyDescent="0.35">
      <c r="A54" s="20" t="str">
        <f>IFERROR(INDEX('G-8 Condition Look up'!$I$4:$I$135,MATCH(F54,'G-8 Condition Look up'!$A$4:$A$135,0)),"")</f>
        <v/>
      </c>
      <c r="B54" s="679">
        <v>44</v>
      </c>
      <c r="C54" s="247" t="str">
        <f>IFERROR(INDEX('G-1 All Habitats'!$AG$25:$AG$41,MATCH(D54,'G-1 All Habitats'!AF$25:AF$41,0)),"")</f>
        <v/>
      </c>
      <c r="D54" s="38"/>
      <c r="E54" s="45"/>
      <c r="F54" s="244" t="str">
        <f>IFERROR(INDEX('G-1 All Habitats'!$B$3:$B$135,MATCH(E54,'G-1 All Habitats'!$A$3:$A$135,0)),"")</f>
        <v/>
      </c>
      <c r="G54" s="37"/>
      <c r="H54" s="290" t="str">
        <f>IF(F54="","",VLOOKUP(F54,'G-1 All Habitats'!$B$2:$M$135,10,FALSE))</f>
        <v/>
      </c>
      <c r="I54" s="291" t="str">
        <f>IFERROR(VLOOKUP(H54,'G-1 All Habitats'!$V$3:$W$7,2,FALSE),"")</f>
        <v/>
      </c>
      <c r="J54" s="38"/>
      <c r="K54" s="291" t="str">
        <f>IFERROR(INDEX('G-8 Condition Look up'!$A$3:$H$135,MATCH(F54,'G-8 Condition Look up'!$A$3:$A$135,0),MATCH(J54,'G-8 Condition Look up'!$A$3:$H$3,0)),"")</f>
        <v/>
      </c>
      <c r="L54" s="38"/>
      <c r="M54" s="298" t="str">
        <f>IF(L54="","",IF(VLOOKUP(L54,'G-3 Multipliers'!$L$3:$N$6,2,FALSE)=0,"Spatial Data Missing",VLOOKUP(L54,'G-3 Multipliers'!$L$3:$N$6,2,FALSE)))</f>
        <v/>
      </c>
      <c r="N54" s="296" t="str">
        <f>IF(L54="","",IF(VLOOKUP(L54,'G-3 Multipliers'!$L$3:$N$6,3,FALSE)=0,"Spatial Data Missing",VLOOKUP(L54,'G-3 Multipliers'!$L$3:$N$6,3,FALSE)))</f>
        <v/>
      </c>
      <c r="O54" s="290" t="str">
        <f t="shared" si="1"/>
        <v/>
      </c>
      <c r="P54" s="47"/>
      <c r="Q54" s="47"/>
      <c r="R54" s="298" t="str">
        <f t="shared" si="2"/>
        <v/>
      </c>
      <c r="S54" s="311" t="str">
        <f t="shared" si="3"/>
        <v/>
      </c>
      <c r="T54" s="312" t="str">
        <f>IFERROR(IF(S54="Check Data ⚠","Check Data ⚠",VLOOKUP(S54,'G-4 Temporal multipliers'!$A$4:$C$37,3,FALSE)),"")</f>
        <v/>
      </c>
      <c r="U54" s="313" t="str">
        <f>IF(F54="","",VLOOKUP(F54,'G-3 Multipliers'!$A$2:$E$134,2,FALSE))</f>
        <v/>
      </c>
      <c r="V54" s="310" t="str">
        <f t="shared" si="4"/>
        <v/>
      </c>
      <c r="W54" s="295" t="str">
        <f>IF(E54="","",IF(AND(V54="Standard difficulty applied",O54&gt;P54),U54,IF(AND(V54="Low Difficulty - only applicable if all habitat created before losses ⚠",P54&gt;=O54),"Low",VLOOKUP(F54,'G-3 Multipliers'!$A$2:$E$134,4,FALSE))))</f>
        <v/>
      </c>
      <c r="X54" s="314" t="str">
        <f>IFERROR(IF(E54="","",VLOOKUP(W54, 'G-3 Multipliers'!$P$2:$Q$6,2,FALSE)),"")</f>
        <v/>
      </c>
      <c r="Y54" s="317" t="str">
        <f t="shared" si="5"/>
        <v/>
      </c>
      <c r="Z54" s="163"/>
      <c r="AA54" s="164"/>
      <c r="AB54" s="101"/>
      <c r="AE54" s="25" t="str">
        <f t="shared" si="0"/>
        <v/>
      </c>
    </row>
    <row r="55" spans="1:31" ht="14.5" thickBot="1" x14ac:dyDescent="0.35">
      <c r="A55" s="20" t="str">
        <f>IFERROR(INDEX('G-8 Condition Look up'!$I$4:$I$135,MATCH(F55,'G-8 Condition Look up'!$A$4:$A$135,0)),"")</f>
        <v/>
      </c>
      <c r="B55" s="679">
        <v>45</v>
      </c>
      <c r="C55" s="247" t="str">
        <f>IFERROR(INDEX('G-1 All Habitats'!$AG$25:$AG$41,MATCH(D55,'G-1 All Habitats'!AF$25:AF$41,0)),"")</f>
        <v/>
      </c>
      <c r="D55" s="38"/>
      <c r="E55" s="45"/>
      <c r="F55" s="244" t="str">
        <f>IFERROR(INDEX('G-1 All Habitats'!$B$3:$B$135,MATCH(E55,'G-1 All Habitats'!$A$3:$A$135,0)),"")</f>
        <v/>
      </c>
      <c r="G55" s="37"/>
      <c r="H55" s="290" t="str">
        <f>IF(F55="","",VLOOKUP(F55,'G-1 All Habitats'!$B$2:$M$135,10,FALSE))</f>
        <v/>
      </c>
      <c r="I55" s="291" t="str">
        <f>IFERROR(VLOOKUP(H55,'G-1 All Habitats'!$V$3:$W$7,2,FALSE),"")</f>
        <v/>
      </c>
      <c r="J55" s="38"/>
      <c r="K55" s="291" t="str">
        <f>IFERROR(INDEX('G-8 Condition Look up'!$A$3:$H$135,MATCH(F55,'G-8 Condition Look up'!$A$3:$A$135,0),MATCH(J55,'G-8 Condition Look up'!$A$3:$H$3,0)),"")</f>
        <v/>
      </c>
      <c r="L55" s="38"/>
      <c r="M55" s="298" t="str">
        <f>IF(L55="","",IF(VLOOKUP(L55,'G-3 Multipliers'!$L$3:$N$6,2,FALSE)=0,"Spatial Data Missing",VLOOKUP(L55,'G-3 Multipliers'!$L$3:$N$6,2,FALSE)))</f>
        <v/>
      </c>
      <c r="N55" s="296" t="str">
        <f>IF(L55="","",IF(VLOOKUP(L55,'G-3 Multipliers'!$L$3:$N$6,3,FALSE)=0,"Spatial Data Missing",VLOOKUP(L55,'G-3 Multipliers'!$L$3:$N$6,3,FALSE)))</f>
        <v/>
      </c>
      <c r="O55" s="290" t="str">
        <f t="shared" si="1"/>
        <v/>
      </c>
      <c r="P55" s="47"/>
      <c r="Q55" s="47"/>
      <c r="R55" s="298" t="str">
        <f t="shared" si="2"/>
        <v/>
      </c>
      <c r="S55" s="311" t="str">
        <f t="shared" si="3"/>
        <v/>
      </c>
      <c r="T55" s="312" t="str">
        <f>IFERROR(IF(S55="Check Data ⚠","Check Data ⚠",VLOOKUP(S55,'G-4 Temporal multipliers'!$A$4:$C$37,3,FALSE)),"")</f>
        <v/>
      </c>
      <c r="U55" s="313" t="str">
        <f>IF(F55="","",VLOOKUP(F55,'G-3 Multipliers'!$A$2:$E$134,2,FALSE))</f>
        <v/>
      </c>
      <c r="V55" s="310" t="str">
        <f t="shared" si="4"/>
        <v/>
      </c>
      <c r="W55" s="295" t="str">
        <f>IF(E55="","",IF(AND(V55="Standard difficulty applied",O55&gt;P55),U55,IF(AND(V55="Low Difficulty - only applicable if all habitat created before losses ⚠",P55&gt;=O55),"Low",VLOOKUP(F55,'G-3 Multipliers'!$A$2:$E$134,4,FALSE))))</f>
        <v/>
      </c>
      <c r="X55" s="314" t="str">
        <f>IFERROR(IF(E55="","",VLOOKUP(W55, 'G-3 Multipliers'!$P$2:$Q$6,2,FALSE)),"")</f>
        <v/>
      </c>
      <c r="Y55" s="317" t="str">
        <f t="shared" si="5"/>
        <v/>
      </c>
      <c r="Z55" s="163"/>
      <c r="AA55" s="164"/>
      <c r="AB55" s="101"/>
      <c r="AE55" s="25" t="str">
        <f t="shared" si="0"/>
        <v/>
      </c>
    </row>
    <row r="56" spans="1:31" ht="14.5" thickBot="1" x14ac:dyDescent="0.35">
      <c r="A56" s="20" t="str">
        <f>IFERROR(INDEX('G-8 Condition Look up'!$I$4:$I$135,MATCH(F56,'G-8 Condition Look up'!$A$4:$A$135,0)),"")</f>
        <v/>
      </c>
      <c r="B56" s="679">
        <v>46</v>
      </c>
      <c r="C56" s="247" t="str">
        <f>IFERROR(INDEX('G-1 All Habitats'!$AG$25:$AG$41,MATCH(D56,'G-1 All Habitats'!AF$25:AF$41,0)),"")</f>
        <v/>
      </c>
      <c r="D56" s="38"/>
      <c r="E56" s="45"/>
      <c r="F56" s="244" t="str">
        <f>IFERROR(INDEX('G-1 All Habitats'!$B$3:$B$135,MATCH(E56,'G-1 All Habitats'!$A$3:$A$135,0)),"")</f>
        <v/>
      </c>
      <c r="G56" s="37"/>
      <c r="H56" s="290" t="str">
        <f>IF(F56="","",VLOOKUP(F56,'G-1 All Habitats'!$B$2:$M$135,10,FALSE))</f>
        <v/>
      </c>
      <c r="I56" s="291" t="str">
        <f>IFERROR(VLOOKUP(H56,'G-1 All Habitats'!$V$3:$W$7,2,FALSE),"")</f>
        <v/>
      </c>
      <c r="J56" s="38"/>
      <c r="K56" s="291" t="str">
        <f>IFERROR(INDEX('G-8 Condition Look up'!$A$3:$H$135,MATCH(F56,'G-8 Condition Look up'!$A$3:$A$135,0),MATCH(J56,'G-8 Condition Look up'!$A$3:$H$3,0)),"")</f>
        <v/>
      </c>
      <c r="L56" s="38"/>
      <c r="M56" s="298" t="str">
        <f>IF(L56="","",IF(VLOOKUP(L56,'G-3 Multipliers'!$L$3:$N$6,2,FALSE)=0,"Spatial Data Missing",VLOOKUP(L56,'G-3 Multipliers'!$L$3:$N$6,2,FALSE)))</f>
        <v/>
      </c>
      <c r="N56" s="296" t="str">
        <f>IF(L56="","",IF(VLOOKUP(L56,'G-3 Multipliers'!$L$3:$N$6,3,FALSE)=0,"Spatial Data Missing",VLOOKUP(L56,'G-3 Multipliers'!$L$3:$N$6,3,FALSE)))</f>
        <v/>
      </c>
      <c r="O56" s="290" t="str">
        <f t="shared" si="1"/>
        <v/>
      </c>
      <c r="P56" s="47"/>
      <c r="Q56" s="47"/>
      <c r="R56" s="298" t="str">
        <f t="shared" si="2"/>
        <v/>
      </c>
      <c r="S56" s="311" t="str">
        <f t="shared" si="3"/>
        <v/>
      </c>
      <c r="T56" s="312" t="str">
        <f>IFERROR(IF(S56="Check Data ⚠","Check Data ⚠",VLOOKUP(S56,'G-4 Temporal multipliers'!$A$4:$C$37,3,FALSE)),"")</f>
        <v/>
      </c>
      <c r="U56" s="313" t="str">
        <f>IF(F56="","",VLOOKUP(F56,'G-3 Multipliers'!$A$2:$E$134,2,FALSE))</f>
        <v/>
      </c>
      <c r="V56" s="310" t="str">
        <f t="shared" si="4"/>
        <v/>
      </c>
      <c r="W56" s="295" t="str">
        <f>IF(E56="","",IF(AND(V56="Standard difficulty applied",O56&gt;P56),U56,IF(AND(V56="Low Difficulty - only applicable if all habitat created before losses ⚠",P56&gt;=O56),"Low",VLOOKUP(F56,'G-3 Multipliers'!$A$2:$E$134,4,FALSE))))</f>
        <v/>
      </c>
      <c r="X56" s="314" t="str">
        <f>IFERROR(IF(E56="","",VLOOKUP(W56, 'G-3 Multipliers'!$P$2:$Q$6,2,FALSE)),"")</f>
        <v/>
      </c>
      <c r="Y56" s="317" t="str">
        <f t="shared" si="5"/>
        <v/>
      </c>
      <c r="Z56" s="163"/>
      <c r="AA56" s="164"/>
      <c r="AB56" s="101"/>
      <c r="AE56" s="25" t="str">
        <f t="shared" si="0"/>
        <v/>
      </c>
    </row>
    <row r="57" spans="1:31" ht="14.5" thickBot="1" x14ac:dyDescent="0.35">
      <c r="A57" s="20" t="str">
        <f>IFERROR(INDEX('G-8 Condition Look up'!$I$4:$I$135,MATCH(F57,'G-8 Condition Look up'!$A$4:$A$135,0)),"")</f>
        <v/>
      </c>
      <c r="B57" s="679">
        <v>47</v>
      </c>
      <c r="C57" s="247" t="str">
        <f>IFERROR(INDEX('G-1 All Habitats'!$AG$25:$AG$41,MATCH(D57,'G-1 All Habitats'!AF$25:AF$41,0)),"")</f>
        <v/>
      </c>
      <c r="D57" s="38"/>
      <c r="E57" s="45"/>
      <c r="F57" s="244" t="str">
        <f>IFERROR(INDEX('G-1 All Habitats'!$B$3:$B$135,MATCH(E57,'G-1 All Habitats'!$A$3:$A$135,0)),"")</f>
        <v/>
      </c>
      <c r="G57" s="37"/>
      <c r="H57" s="290" t="str">
        <f>IF(F57="","",VLOOKUP(F57,'G-1 All Habitats'!$B$2:$M$135,10,FALSE))</f>
        <v/>
      </c>
      <c r="I57" s="291" t="str">
        <f>IFERROR(VLOOKUP(H57,'G-1 All Habitats'!$V$3:$W$7,2,FALSE),"")</f>
        <v/>
      </c>
      <c r="J57" s="38"/>
      <c r="K57" s="291" t="str">
        <f>IFERROR(INDEX('G-8 Condition Look up'!$A$3:$H$135,MATCH(F57,'G-8 Condition Look up'!$A$3:$A$135,0),MATCH(J57,'G-8 Condition Look up'!$A$3:$H$3,0)),"")</f>
        <v/>
      </c>
      <c r="L57" s="38"/>
      <c r="M57" s="298" t="str">
        <f>IF(L57="","",IF(VLOOKUP(L57,'G-3 Multipliers'!$L$3:$N$6,2,FALSE)=0,"Spatial Data Missing",VLOOKUP(L57,'G-3 Multipliers'!$L$3:$N$6,2,FALSE)))</f>
        <v/>
      </c>
      <c r="N57" s="296" t="str">
        <f>IF(L57="","",IF(VLOOKUP(L57,'G-3 Multipliers'!$L$3:$N$6,3,FALSE)=0,"Spatial Data Missing",VLOOKUP(L57,'G-3 Multipliers'!$L$3:$N$6,3,FALSE)))</f>
        <v/>
      </c>
      <c r="O57" s="290" t="str">
        <f t="shared" si="1"/>
        <v/>
      </c>
      <c r="P57" s="47"/>
      <c r="Q57" s="47"/>
      <c r="R57" s="298" t="str">
        <f t="shared" si="2"/>
        <v/>
      </c>
      <c r="S57" s="311" t="str">
        <f t="shared" si="3"/>
        <v/>
      </c>
      <c r="T57" s="312" t="str">
        <f>IFERROR(IF(S57="Check Data ⚠","Check Data ⚠",VLOOKUP(S57,'G-4 Temporal multipliers'!$A$4:$C$37,3,FALSE)),"")</f>
        <v/>
      </c>
      <c r="U57" s="313" t="str">
        <f>IF(F57="","",VLOOKUP(F57,'G-3 Multipliers'!$A$2:$E$134,2,FALSE))</f>
        <v/>
      </c>
      <c r="V57" s="310" t="str">
        <f t="shared" si="4"/>
        <v/>
      </c>
      <c r="W57" s="295" t="str">
        <f>IF(E57="","",IF(AND(V57="Standard difficulty applied",O57&gt;P57),U57,IF(AND(V57="Low Difficulty - only applicable if all habitat created before losses ⚠",P57&gt;=O57),"Low",VLOOKUP(F57,'G-3 Multipliers'!$A$2:$E$134,4,FALSE))))</f>
        <v/>
      </c>
      <c r="X57" s="314" t="str">
        <f>IFERROR(IF(E57="","",VLOOKUP(W57, 'G-3 Multipliers'!$P$2:$Q$6,2,FALSE)),"")</f>
        <v/>
      </c>
      <c r="Y57" s="317" t="str">
        <f t="shared" si="5"/>
        <v/>
      </c>
      <c r="Z57" s="163"/>
      <c r="AA57" s="164"/>
      <c r="AB57" s="101"/>
      <c r="AE57" s="25" t="str">
        <f t="shared" si="0"/>
        <v/>
      </c>
    </row>
    <row r="58" spans="1:31" ht="14.5" thickBot="1" x14ac:dyDescent="0.35">
      <c r="A58" s="20" t="str">
        <f>IFERROR(INDEX('G-8 Condition Look up'!$I$4:$I$135,MATCH(F58,'G-8 Condition Look up'!$A$4:$A$135,0)),"")</f>
        <v/>
      </c>
      <c r="B58" s="679">
        <v>48</v>
      </c>
      <c r="C58" s="247" t="str">
        <f>IFERROR(INDEX('G-1 All Habitats'!$AG$25:$AG$41,MATCH(D58,'G-1 All Habitats'!AF$25:AF$41,0)),"")</f>
        <v/>
      </c>
      <c r="D58" s="38"/>
      <c r="E58" s="45"/>
      <c r="F58" s="244" t="str">
        <f>IFERROR(INDEX('G-1 All Habitats'!$B$3:$B$135,MATCH(E58,'G-1 All Habitats'!$A$3:$A$135,0)),"")</f>
        <v/>
      </c>
      <c r="G58" s="37"/>
      <c r="H58" s="290" t="str">
        <f>IF(F58="","",VLOOKUP(F58,'G-1 All Habitats'!$B$2:$M$135,10,FALSE))</f>
        <v/>
      </c>
      <c r="I58" s="291" t="str">
        <f>IFERROR(VLOOKUP(H58,'G-1 All Habitats'!$V$3:$W$7,2,FALSE),"")</f>
        <v/>
      </c>
      <c r="J58" s="38"/>
      <c r="K58" s="291" t="str">
        <f>IFERROR(INDEX('G-8 Condition Look up'!$A$3:$H$135,MATCH(F58,'G-8 Condition Look up'!$A$3:$A$135,0),MATCH(J58,'G-8 Condition Look up'!$A$3:$H$3,0)),"")</f>
        <v/>
      </c>
      <c r="L58" s="38"/>
      <c r="M58" s="298" t="str">
        <f>IF(L58="","",IF(VLOOKUP(L58,'G-3 Multipliers'!$L$3:$N$6,2,FALSE)=0,"Spatial Data Missing",VLOOKUP(L58,'G-3 Multipliers'!$L$3:$N$6,2,FALSE)))</f>
        <v/>
      </c>
      <c r="N58" s="296" t="str">
        <f>IF(L58="","",IF(VLOOKUP(L58,'G-3 Multipliers'!$L$3:$N$6,3,FALSE)=0,"Spatial Data Missing",VLOOKUP(L58,'G-3 Multipliers'!$L$3:$N$6,3,FALSE)))</f>
        <v/>
      </c>
      <c r="O58" s="290" t="str">
        <f t="shared" si="1"/>
        <v/>
      </c>
      <c r="P58" s="47"/>
      <c r="Q58" s="47"/>
      <c r="R58" s="298" t="str">
        <f t="shared" si="2"/>
        <v/>
      </c>
      <c r="S58" s="311" t="str">
        <f t="shared" si="3"/>
        <v/>
      </c>
      <c r="T58" s="312" t="str">
        <f>IFERROR(IF(S58="Check Data ⚠","Check Data ⚠",VLOOKUP(S58,'G-4 Temporal multipliers'!$A$4:$C$37,3,FALSE)),"")</f>
        <v/>
      </c>
      <c r="U58" s="313" t="str">
        <f>IF(F58="","",VLOOKUP(F58,'G-3 Multipliers'!$A$2:$E$134,2,FALSE))</f>
        <v/>
      </c>
      <c r="V58" s="310" t="str">
        <f t="shared" si="4"/>
        <v/>
      </c>
      <c r="W58" s="295" t="str">
        <f>IF(E58="","",IF(AND(V58="Standard difficulty applied",O58&gt;P58),U58,IF(AND(V58="Low Difficulty - only applicable if all habitat created before losses ⚠",P58&gt;=O58),"Low",VLOOKUP(F58,'G-3 Multipliers'!$A$2:$E$134,4,FALSE))))</f>
        <v/>
      </c>
      <c r="X58" s="314" t="str">
        <f>IFERROR(IF(E58="","",VLOOKUP(W58, 'G-3 Multipliers'!$P$2:$Q$6,2,FALSE)),"")</f>
        <v/>
      </c>
      <c r="Y58" s="317" t="str">
        <f t="shared" si="5"/>
        <v/>
      </c>
      <c r="Z58" s="163"/>
      <c r="AA58" s="164"/>
      <c r="AB58" s="101"/>
      <c r="AE58" s="25" t="str">
        <f t="shared" si="0"/>
        <v/>
      </c>
    </row>
    <row r="59" spans="1:31" ht="14.5" thickBot="1" x14ac:dyDescent="0.35">
      <c r="A59" s="20" t="str">
        <f>IFERROR(INDEX('G-8 Condition Look up'!$I$4:$I$135,MATCH(F59,'G-8 Condition Look up'!$A$4:$A$135,0)),"")</f>
        <v/>
      </c>
      <c r="B59" s="679">
        <v>49</v>
      </c>
      <c r="C59" s="247" t="str">
        <f>IFERROR(INDEX('G-1 All Habitats'!$AG$25:$AG$41,MATCH(D59,'G-1 All Habitats'!AF$25:AF$41,0)),"")</f>
        <v/>
      </c>
      <c r="D59" s="38"/>
      <c r="E59" s="45"/>
      <c r="F59" s="244" t="str">
        <f>IFERROR(INDEX('G-1 All Habitats'!$B$3:$B$135,MATCH(E59,'G-1 All Habitats'!$A$3:$A$135,0)),"")</f>
        <v/>
      </c>
      <c r="G59" s="37"/>
      <c r="H59" s="290" t="str">
        <f>IF(F59="","",VLOOKUP(F59,'G-1 All Habitats'!$B$2:$M$135,10,FALSE))</f>
        <v/>
      </c>
      <c r="I59" s="291" t="str">
        <f>IFERROR(VLOOKUP(H59,'G-1 All Habitats'!$V$3:$W$7,2,FALSE),"")</f>
        <v/>
      </c>
      <c r="J59" s="38"/>
      <c r="K59" s="291" t="str">
        <f>IFERROR(INDEX('G-8 Condition Look up'!$A$3:$H$135,MATCH(F59,'G-8 Condition Look up'!$A$3:$A$135,0),MATCH(J59,'G-8 Condition Look up'!$A$3:$H$3,0)),"")</f>
        <v/>
      </c>
      <c r="L59" s="38"/>
      <c r="M59" s="298" t="str">
        <f>IF(L59="","",IF(VLOOKUP(L59,'G-3 Multipliers'!$L$3:$N$6,2,FALSE)=0,"Spatial Data Missing",VLOOKUP(L59,'G-3 Multipliers'!$L$3:$N$6,2,FALSE)))</f>
        <v/>
      </c>
      <c r="N59" s="296" t="str">
        <f>IF(L59="","",IF(VLOOKUP(L59,'G-3 Multipliers'!$L$3:$N$6,3,FALSE)=0,"Spatial Data Missing",VLOOKUP(L59,'G-3 Multipliers'!$L$3:$N$6,3,FALSE)))</f>
        <v/>
      </c>
      <c r="O59" s="290" t="str">
        <f t="shared" si="1"/>
        <v/>
      </c>
      <c r="P59" s="47"/>
      <c r="Q59" s="47"/>
      <c r="R59" s="298" t="str">
        <f t="shared" si="2"/>
        <v/>
      </c>
      <c r="S59" s="311" t="str">
        <f t="shared" si="3"/>
        <v/>
      </c>
      <c r="T59" s="312" t="str">
        <f>IFERROR(IF(S59="Check Data ⚠","Check Data ⚠",VLOOKUP(S59,'G-4 Temporal multipliers'!$A$4:$C$37,3,FALSE)),"")</f>
        <v/>
      </c>
      <c r="U59" s="313" t="str">
        <f>IF(F59="","",VLOOKUP(F59,'G-3 Multipliers'!$A$2:$E$134,2,FALSE))</f>
        <v/>
      </c>
      <c r="V59" s="310" t="str">
        <f t="shared" si="4"/>
        <v/>
      </c>
      <c r="W59" s="295" t="str">
        <f>IF(E59="","",IF(AND(V59="Standard difficulty applied",O59&gt;P59),U59,IF(AND(V59="Low Difficulty - only applicable if all habitat created before losses ⚠",P59&gt;=O59),"Low",VLOOKUP(F59,'G-3 Multipliers'!$A$2:$E$134,4,FALSE))))</f>
        <v/>
      </c>
      <c r="X59" s="314" t="str">
        <f>IFERROR(IF(E59="","",VLOOKUP(W59, 'G-3 Multipliers'!$P$2:$Q$6,2,FALSE)),"")</f>
        <v/>
      </c>
      <c r="Y59" s="317" t="str">
        <f t="shared" si="5"/>
        <v/>
      </c>
      <c r="Z59" s="163"/>
      <c r="AA59" s="164"/>
      <c r="AB59" s="101"/>
      <c r="AE59" s="25" t="str">
        <f t="shared" si="0"/>
        <v/>
      </c>
    </row>
    <row r="60" spans="1:31" ht="14.5" thickBot="1" x14ac:dyDescent="0.35">
      <c r="A60" s="20" t="str">
        <f>IFERROR(INDEX('G-8 Condition Look up'!$I$4:$I$135,MATCH(F60,'G-8 Condition Look up'!$A$4:$A$135,0)),"")</f>
        <v/>
      </c>
      <c r="B60" s="679">
        <v>50</v>
      </c>
      <c r="C60" s="247" t="str">
        <f>IFERROR(INDEX('G-1 All Habitats'!$AG$25:$AG$41,MATCH(D60,'G-1 All Habitats'!AF$25:AF$41,0)),"")</f>
        <v/>
      </c>
      <c r="D60" s="38"/>
      <c r="E60" s="45"/>
      <c r="F60" s="244" t="str">
        <f>IFERROR(INDEX('G-1 All Habitats'!$B$3:$B$135,MATCH(E60,'G-1 All Habitats'!$A$3:$A$135,0)),"")</f>
        <v/>
      </c>
      <c r="G60" s="37"/>
      <c r="H60" s="290" t="str">
        <f>IF(F60="","",VLOOKUP(F60,'G-1 All Habitats'!$B$2:$M$135,10,FALSE))</f>
        <v/>
      </c>
      <c r="I60" s="291" t="str">
        <f>IFERROR(VLOOKUP(H60,'G-1 All Habitats'!$V$3:$W$7,2,FALSE),"")</f>
        <v/>
      </c>
      <c r="J60" s="38"/>
      <c r="K60" s="291" t="str">
        <f>IFERROR(INDEX('G-8 Condition Look up'!$A$3:$H$135,MATCH(F60,'G-8 Condition Look up'!$A$3:$A$135,0),MATCH(J60,'G-8 Condition Look up'!$A$3:$H$3,0)),"")</f>
        <v/>
      </c>
      <c r="L60" s="38"/>
      <c r="M60" s="298" t="str">
        <f>IF(L60="","",IF(VLOOKUP(L60,'G-3 Multipliers'!$L$3:$N$6,2,FALSE)=0,"Spatial Data Missing",VLOOKUP(L60,'G-3 Multipliers'!$L$3:$N$6,2,FALSE)))</f>
        <v/>
      </c>
      <c r="N60" s="296" t="str">
        <f>IF(L60="","",IF(VLOOKUP(L60,'G-3 Multipliers'!$L$3:$N$6,3,FALSE)=0,"Spatial Data Missing",VLOOKUP(L60,'G-3 Multipliers'!$L$3:$N$6,3,FALSE)))</f>
        <v/>
      </c>
      <c r="O60" s="290" t="str">
        <f t="shared" si="1"/>
        <v/>
      </c>
      <c r="P60" s="47"/>
      <c r="Q60" s="47"/>
      <c r="R60" s="298" t="str">
        <f t="shared" si="2"/>
        <v/>
      </c>
      <c r="S60" s="311" t="str">
        <f t="shared" si="3"/>
        <v/>
      </c>
      <c r="T60" s="312" t="str">
        <f>IFERROR(IF(S60="Check Data ⚠","Check Data ⚠",VLOOKUP(S60,'G-4 Temporal multipliers'!$A$4:$C$37,3,FALSE)),"")</f>
        <v/>
      </c>
      <c r="U60" s="313" t="str">
        <f>IF(F60="","",VLOOKUP(F60,'G-3 Multipliers'!$A$2:$E$134,2,FALSE))</f>
        <v/>
      </c>
      <c r="V60" s="310" t="str">
        <f t="shared" si="4"/>
        <v/>
      </c>
      <c r="W60" s="295" t="str">
        <f>IF(E60="","",IF(AND(V60="Standard difficulty applied",O60&gt;P60),U60,IF(AND(V60="Low Difficulty - only applicable if all habitat created before losses ⚠",P60&gt;=O60),"Low",VLOOKUP(F60,'G-3 Multipliers'!$A$2:$E$134,4,FALSE))))</f>
        <v/>
      </c>
      <c r="X60" s="314" t="str">
        <f>IFERROR(IF(E60="","",VLOOKUP(W60, 'G-3 Multipliers'!$P$2:$Q$6,2,FALSE)),"")</f>
        <v/>
      </c>
      <c r="Y60" s="317" t="str">
        <f t="shared" si="5"/>
        <v/>
      </c>
      <c r="Z60" s="163"/>
      <c r="AA60" s="164"/>
      <c r="AB60" s="101"/>
      <c r="AE60" s="25" t="str">
        <f t="shared" si="0"/>
        <v/>
      </c>
    </row>
    <row r="61" spans="1:31" ht="14.5" thickBot="1" x14ac:dyDescent="0.35">
      <c r="A61" s="20" t="str">
        <f>IFERROR(INDEX('G-8 Condition Look up'!$I$4:$I$135,MATCH(F61,'G-8 Condition Look up'!$A$4:$A$135,0)),"")</f>
        <v/>
      </c>
      <c r="B61" s="679">
        <v>51</v>
      </c>
      <c r="C61" s="247" t="str">
        <f>IFERROR(INDEX('G-1 All Habitats'!$AG$25:$AG$41,MATCH(D61,'G-1 All Habitats'!AF$25:AF$41,0)),"")</f>
        <v/>
      </c>
      <c r="D61" s="38"/>
      <c r="E61" s="45"/>
      <c r="F61" s="244" t="str">
        <f>IFERROR(INDEX('G-1 All Habitats'!$B$3:$B$135,MATCH(E61,'G-1 All Habitats'!$A$3:$A$135,0)),"")</f>
        <v/>
      </c>
      <c r="G61" s="37"/>
      <c r="H61" s="290" t="str">
        <f>IF(F61="","",VLOOKUP(F61,'G-1 All Habitats'!$B$2:$M$135,10,FALSE))</f>
        <v/>
      </c>
      <c r="I61" s="291" t="str">
        <f>IFERROR(VLOOKUP(H61,'G-1 All Habitats'!$V$3:$W$7,2,FALSE),"")</f>
        <v/>
      </c>
      <c r="J61" s="38"/>
      <c r="K61" s="291" t="str">
        <f>IFERROR(INDEX('G-8 Condition Look up'!$A$3:$H$135,MATCH(F61,'G-8 Condition Look up'!$A$3:$A$135,0),MATCH(J61,'G-8 Condition Look up'!$A$3:$H$3,0)),"")</f>
        <v/>
      </c>
      <c r="L61" s="38"/>
      <c r="M61" s="298" t="str">
        <f>IF(L61="","",IF(VLOOKUP(L61,'G-3 Multipliers'!$L$3:$N$6,2,FALSE)=0,"Spatial Data Missing",VLOOKUP(L61,'G-3 Multipliers'!$L$3:$N$6,2,FALSE)))</f>
        <v/>
      </c>
      <c r="N61" s="296" t="str">
        <f>IF(L61="","",IF(VLOOKUP(L61,'G-3 Multipliers'!$L$3:$N$6,3,FALSE)=0,"Spatial Data Missing",VLOOKUP(L61,'G-3 Multipliers'!$L$3:$N$6,3,FALSE)))</f>
        <v/>
      </c>
      <c r="O61" s="290" t="str">
        <f t="shared" si="1"/>
        <v/>
      </c>
      <c r="P61" s="47"/>
      <c r="Q61" s="47"/>
      <c r="R61" s="298" t="str">
        <f t="shared" si="2"/>
        <v/>
      </c>
      <c r="S61" s="311" t="str">
        <f t="shared" si="3"/>
        <v/>
      </c>
      <c r="T61" s="312" t="str">
        <f>IFERROR(IF(S61="Check Data ⚠","Check Data ⚠",VLOOKUP(S61,'G-4 Temporal multipliers'!$A$4:$C$37,3,FALSE)),"")</f>
        <v/>
      </c>
      <c r="U61" s="313" t="str">
        <f>IF(F61="","",VLOOKUP(F61,'G-3 Multipliers'!$A$2:$E$134,2,FALSE))</f>
        <v/>
      </c>
      <c r="V61" s="310" t="str">
        <f t="shared" si="4"/>
        <v/>
      </c>
      <c r="W61" s="295" t="str">
        <f>IF(E61="","",IF(AND(V61="Standard difficulty applied",O61&gt;P61),U61,IF(AND(V61="Low Difficulty - only applicable if all habitat created before losses ⚠",P61&gt;=O61),"Low",VLOOKUP(F61,'G-3 Multipliers'!$A$2:$E$134,4,FALSE))))</f>
        <v/>
      </c>
      <c r="X61" s="314" t="str">
        <f>IFERROR(IF(E61="","",VLOOKUP(W61, 'G-3 Multipliers'!$P$2:$Q$6,2,FALSE)),"")</f>
        <v/>
      </c>
      <c r="Y61" s="317" t="str">
        <f t="shared" si="5"/>
        <v/>
      </c>
      <c r="Z61" s="163"/>
      <c r="AA61" s="164"/>
      <c r="AB61" s="101"/>
      <c r="AE61" s="25" t="str">
        <f t="shared" si="0"/>
        <v/>
      </c>
    </row>
    <row r="62" spans="1:31" ht="14.5" thickBot="1" x14ac:dyDescent="0.35">
      <c r="A62" s="20" t="str">
        <f>IFERROR(INDEX('G-8 Condition Look up'!$I$4:$I$135,MATCH(F62,'G-8 Condition Look up'!$A$4:$A$135,0)),"")</f>
        <v/>
      </c>
      <c r="B62" s="679">
        <v>52</v>
      </c>
      <c r="C62" s="247" t="str">
        <f>IFERROR(INDEX('G-1 All Habitats'!$AG$25:$AG$41,MATCH(D62,'G-1 All Habitats'!AF$25:AF$41,0)),"")</f>
        <v/>
      </c>
      <c r="D62" s="38"/>
      <c r="E62" s="45"/>
      <c r="F62" s="244" t="str">
        <f>IFERROR(INDEX('G-1 All Habitats'!$B$3:$B$135,MATCH(E62,'G-1 All Habitats'!$A$3:$A$135,0)),"")</f>
        <v/>
      </c>
      <c r="G62" s="37"/>
      <c r="H62" s="290" t="str">
        <f>IF(F62="","",VLOOKUP(F62,'G-1 All Habitats'!$B$2:$M$135,10,FALSE))</f>
        <v/>
      </c>
      <c r="I62" s="291" t="str">
        <f>IFERROR(VLOOKUP(H62,'G-1 All Habitats'!$V$3:$W$7,2,FALSE),"")</f>
        <v/>
      </c>
      <c r="J62" s="38"/>
      <c r="K62" s="291" t="str">
        <f>IFERROR(INDEX('G-8 Condition Look up'!$A$3:$H$135,MATCH(F62,'G-8 Condition Look up'!$A$3:$A$135,0),MATCH(J62,'G-8 Condition Look up'!$A$3:$H$3,0)),"")</f>
        <v/>
      </c>
      <c r="L62" s="38"/>
      <c r="M62" s="298" t="str">
        <f>IF(L62="","",IF(VLOOKUP(L62,'G-3 Multipliers'!$L$3:$N$6,2,FALSE)=0,"Spatial Data Missing",VLOOKUP(L62,'G-3 Multipliers'!$L$3:$N$6,2,FALSE)))</f>
        <v/>
      </c>
      <c r="N62" s="296" t="str">
        <f>IF(L62="","",IF(VLOOKUP(L62,'G-3 Multipliers'!$L$3:$N$6,3,FALSE)=0,"Spatial Data Missing",VLOOKUP(L62,'G-3 Multipliers'!$L$3:$N$6,3,FALSE)))</f>
        <v/>
      </c>
      <c r="O62" s="290" t="str">
        <f t="shared" si="1"/>
        <v/>
      </c>
      <c r="P62" s="47"/>
      <c r="Q62" s="47"/>
      <c r="R62" s="298" t="str">
        <f t="shared" si="2"/>
        <v/>
      </c>
      <c r="S62" s="311" t="str">
        <f t="shared" si="3"/>
        <v/>
      </c>
      <c r="T62" s="312" t="str">
        <f>IFERROR(IF(S62="Check Data ⚠","Check Data ⚠",VLOOKUP(S62,'G-4 Temporal multipliers'!$A$4:$C$37,3,FALSE)),"")</f>
        <v/>
      </c>
      <c r="U62" s="313" t="str">
        <f>IF(F62="","",VLOOKUP(F62,'G-3 Multipliers'!$A$2:$E$134,2,FALSE))</f>
        <v/>
      </c>
      <c r="V62" s="310" t="str">
        <f t="shared" si="4"/>
        <v/>
      </c>
      <c r="W62" s="295" t="str">
        <f>IF(E62="","",IF(AND(V62="Standard difficulty applied",O62&gt;P62),U62,IF(AND(V62="Low Difficulty - only applicable if all habitat created before losses ⚠",P62&gt;=O62),"Low",VLOOKUP(F62,'G-3 Multipliers'!$A$2:$E$134,4,FALSE))))</f>
        <v/>
      </c>
      <c r="X62" s="314" t="str">
        <f>IFERROR(IF(E62="","",VLOOKUP(W62, 'G-3 Multipliers'!$P$2:$Q$6,2,FALSE)),"")</f>
        <v/>
      </c>
      <c r="Y62" s="317" t="str">
        <f t="shared" si="5"/>
        <v/>
      </c>
      <c r="Z62" s="163"/>
      <c r="AA62" s="164"/>
      <c r="AB62" s="101"/>
      <c r="AE62" s="25" t="str">
        <f t="shared" si="0"/>
        <v/>
      </c>
    </row>
    <row r="63" spans="1:31" ht="14.5" thickBot="1" x14ac:dyDescent="0.35">
      <c r="A63" s="20" t="str">
        <f>IFERROR(INDEX('G-8 Condition Look up'!$I$4:$I$135,MATCH(F63,'G-8 Condition Look up'!$A$4:$A$135,0)),"")</f>
        <v/>
      </c>
      <c r="B63" s="679">
        <v>53</v>
      </c>
      <c r="C63" s="247" t="str">
        <f>IFERROR(INDEX('G-1 All Habitats'!$AG$25:$AG$41,MATCH(D63,'G-1 All Habitats'!AF$25:AF$41,0)),"")</f>
        <v/>
      </c>
      <c r="D63" s="38"/>
      <c r="E63" s="45"/>
      <c r="F63" s="244" t="str">
        <f>IFERROR(INDEX('G-1 All Habitats'!$B$3:$B$135,MATCH(E63,'G-1 All Habitats'!$A$3:$A$135,0)),"")</f>
        <v/>
      </c>
      <c r="G63" s="37"/>
      <c r="H63" s="290" t="str">
        <f>IF(F63="","",VLOOKUP(F63,'G-1 All Habitats'!$B$2:$M$135,10,FALSE))</f>
        <v/>
      </c>
      <c r="I63" s="291" t="str">
        <f>IFERROR(VLOOKUP(H63,'G-1 All Habitats'!$V$3:$W$7,2,FALSE),"")</f>
        <v/>
      </c>
      <c r="J63" s="38"/>
      <c r="K63" s="291" t="str">
        <f>IFERROR(INDEX('G-8 Condition Look up'!$A$3:$H$135,MATCH(F63,'G-8 Condition Look up'!$A$3:$A$135,0),MATCH(J63,'G-8 Condition Look up'!$A$3:$H$3,0)),"")</f>
        <v/>
      </c>
      <c r="L63" s="38"/>
      <c r="M63" s="298" t="str">
        <f>IF(L63="","",IF(VLOOKUP(L63,'G-3 Multipliers'!$L$3:$N$6,2,FALSE)=0,"Spatial Data Missing",VLOOKUP(L63,'G-3 Multipliers'!$L$3:$N$6,2,FALSE)))</f>
        <v/>
      </c>
      <c r="N63" s="296" t="str">
        <f>IF(L63="","",IF(VLOOKUP(L63,'G-3 Multipliers'!$L$3:$N$6,3,FALSE)=0,"Spatial Data Missing",VLOOKUP(L63,'G-3 Multipliers'!$L$3:$N$6,3,FALSE)))</f>
        <v/>
      </c>
      <c r="O63" s="290" t="str">
        <f t="shared" si="1"/>
        <v/>
      </c>
      <c r="P63" s="47"/>
      <c r="Q63" s="47"/>
      <c r="R63" s="298" t="str">
        <f t="shared" si="2"/>
        <v/>
      </c>
      <c r="S63" s="311" t="str">
        <f t="shared" si="3"/>
        <v/>
      </c>
      <c r="T63" s="312" t="str">
        <f>IFERROR(IF(S63="Check Data ⚠","Check Data ⚠",VLOOKUP(S63,'G-4 Temporal multipliers'!$A$4:$C$37,3,FALSE)),"")</f>
        <v/>
      </c>
      <c r="U63" s="313" t="str">
        <f>IF(F63="","",VLOOKUP(F63,'G-3 Multipliers'!$A$2:$E$134,2,FALSE))</f>
        <v/>
      </c>
      <c r="V63" s="310" t="str">
        <f t="shared" si="4"/>
        <v/>
      </c>
      <c r="W63" s="295" t="str">
        <f>IF(E63="","",IF(AND(V63="Standard difficulty applied",O63&gt;P63),U63,IF(AND(V63="Low Difficulty - only applicable if all habitat created before losses ⚠",P63&gt;=O63),"Low",VLOOKUP(F63,'G-3 Multipliers'!$A$2:$E$134,4,FALSE))))</f>
        <v/>
      </c>
      <c r="X63" s="314" t="str">
        <f>IFERROR(IF(E63="","",VLOOKUP(W63, 'G-3 Multipliers'!$P$2:$Q$6,2,FALSE)),"")</f>
        <v/>
      </c>
      <c r="Y63" s="317" t="str">
        <f t="shared" si="5"/>
        <v/>
      </c>
      <c r="Z63" s="163"/>
      <c r="AA63" s="164"/>
      <c r="AB63" s="101"/>
      <c r="AE63" s="25" t="str">
        <f t="shared" si="0"/>
        <v/>
      </c>
    </row>
    <row r="64" spans="1:31" ht="14.5" thickBot="1" x14ac:dyDescent="0.35">
      <c r="A64" s="20" t="str">
        <f>IFERROR(INDEX('G-8 Condition Look up'!$I$4:$I$135,MATCH(F64,'G-8 Condition Look up'!$A$4:$A$135,0)),"")</f>
        <v/>
      </c>
      <c r="B64" s="679">
        <v>54</v>
      </c>
      <c r="C64" s="247" t="str">
        <f>IFERROR(INDEX('G-1 All Habitats'!$AG$25:$AG$41,MATCH(D64,'G-1 All Habitats'!AF$25:AF$41,0)),"")</f>
        <v/>
      </c>
      <c r="D64" s="38"/>
      <c r="E64" s="45"/>
      <c r="F64" s="244" t="str">
        <f>IFERROR(INDEX('G-1 All Habitats'!$B$3:$B$135,MATCH(E64,'G-1 All Habitats'!$A$3:$A$135,0)),"")</f>
        <v/>
      </c>
      <c r="G64" s="37"/>
      <c r="H64" s="290" t="str">
        <f>IF(F64="","",VLOOKUP(F64,'G-1 All Habitats'!$B$2:$M$135,10,FALSE))</f>
        <v/>
      </c>
      <c r="I64" s="291" t="str">
        <f>IFERROR(VLOOKUP(H64,'G-1 All Habitats'!$V$3:$W$7,2,FALSE),"")</f>
        <v/>
      </c>
      <c r="J64" s="38"/>
      <c r="K64" s="291" t="str">
        <f>IFERROR(INDEX('G-8 Condition Look up'!$A$3:$H$135,MATCH(F64,'G-8 Condition Look up'!$A$3:$A$135,0),MATCH(J64,'G-8 Condition Look up'!$A$3:$H$3,0)),"")</f>
        <v/>
      </c>
      <c r="L64" s="38"/>
      <c r="M64" s="298" t="str">
        <f>IF(L64="","",IF(VLOOKUP(L64,'G-3 Multipliers'!$L$3:$N$6,2,FALSE)=0,"Spatial Data Missing",VLOOKUP(L64,'G-3 Multipliers'!$L$3:$N$6,2,FALSE)))</f>
        <v/>
      </c>
      <c r="N64" s="296" t="str">
        <f>IF(L64="","",IF(VLOOKUP(L64,'G-3 Multipliers'!$L$3:$N$6,3,FALSE)=0,"Spatial Data Missing",VLOOKUP(L64,'G-3 Multipliers'!$L$3:$N$6,3,FALSE)))</f>
        <v/>
      </c>
      <c r="O64" s="290" t="str">
        <f t="shared" si="1"/>
        <v/>
      </c>
      <c r="P64" s="47"/>
      <c r="Q64" s="47"/>
      <c r="R64" s="298" t="str">
        <f t="shared" si="2"/>
        <v/>
      </c>
      <c r="S64" s="311" t="str">
        <f t="shared" si="3"/>
        <v/>
      </c>
      <c r="T64" s="312" t="str">
        <f>IFERROR(IF(S64="Check Data ⚠","Check Data ⚠",VLOOKUP(S64,'G-4 Temporal multipliers'!$A$4:$C$37,3,FALSE)),"")</f>
        <v/>
      </c>
      <c r="U64" s="313" t="str">
        <f>IF(F64="","",VLOOKUP(F64,'G-3 Multipliers'!$A$2:$E$134,2,FALSE))</f>
        <v/>
      </c>
      <c r="V64" s="310" t="str">
        <f t="shared" si="4"/>
        <v/>
      </c>
      <c r="W64" s="295" t="str">
        <f>IF(E64="","",IF(AND(V64="Standard difficulty applied",O64&gt;P64),U64,IF(AND(V64="Low Difficulty - only applicable if all habitat created before losses ⚠",P64&gt;=O64),"Low",VLOOKUP(F64,'G-3 Multipliers'!$A$2:$E$134,4,FALSE))))</f>
        <v/>
      </c>
      <c r="X64" s="314" t="str">
        <f>IFERROR(IF(E64="","",VLOOKUP(W64, 'G-3 Multipliers'!$P$2:$Q$6,2,FALSE)),"")</f>
        <v/>
      </c>
      <c r="Y64" s="317" t="str">
        <f t="shared" si="5"/>
        <v/>
      </c>
      <c r="Z64" s="163"/>
      <c r="AA64" s="164"/>
      <c r="AB64" s="101"/>
      <c r="AE64" s="25" t="str">
        <f t="shared" si="0"/>
        <v/>
      </c>
    </row>
    <row r="65" spans="1:31" ht="14.5" thickBot="1" x14ac:dyDescent="0.35">
      <c r="A65" s="20" t="str">
        <f>IFERROR(INDEX('G-8 Condition Look up'!$I$4:$I$135,MATCH(F65,'G-8 Condition Look up'!$A$4:$A$135,0)),"")</f>
        <v/>
      </c>
      <c r="B65" s="679">
        <v>55</v>
      </c>
      <c r="C65" s="247" t="str">
        <f>IFERROR(INDEX('G-1 All Habitats'!$AG$25:$AG$41,MATCH(D65,'G-1 All Habitats'!AF$25:AF$41,0)),"")</f>
        <v/>
      </c>
      <c r="D65" s="38"/>
      <c r="E65" s="45"/>
      <c r="F65" s="244" t="str">
        <f>IFERROR(INDEX('G-1 All Habitats'!$B$3:$B$135,MATCH(E65,'G-1 All Habitats'!$A$3:$A$135,0)),"")</f>
        <v/>
      </c>
      <c r="G65" s="37"/>
      <c r="H65" s="290" t="str">
        <f>IF(F65="","",VLOOKUP(F65,'G-1 All Habitats'!$B$2:$M$135,10,FALSE))</f>
        <v/>
      </c>
      <c r="I65" s="291" t="str">
        <f>IFERROR(VLOOKUP(H65,'G-1 All Habitats'!$V$3:$W$7,2,FALSE),"")</f>
        <v/>
      </c>
      <c r="J65" s="38"/>
      <c r="K65" s="291" t="str">
        <f>IFERROR(INDEX('G-8 Condition Look up'!$A$3:$H$135,MATCH(F65,'G-8 Condition Look up'!$A$3:$A$135,0),MATCH(J65,'G-8 Condition Look up'!$A$3:$H$3,0)),"")</f>
        <v/>
      </c>
      <c r="L65" s="38"/>
      <c r="M65" s="298" t="str">
        <f>IF(L65="","",IF(VLOOKUP(L65,'G-3 Multipliers'!$L$3:$N$6,2,FALSE)=0,"Spatial Data Missing",VLOOKUP(L65,'G-3 Multipliers'!$L$3:$N$6,2,FALSE)))</f>
        <v/>
      </c>
      <c r="N65" s="296" t="str">
        <f>IF(L65="","",IF(VLOOKUP(L65,'G-3 Multipliers'!$L$3:$N$6,3,FALSE)=0,"Spatial Data Missing",VLOOKUP(L65,'G-3 Multipliers'!$L$3:$N$6,3,FALSE)))</f>
        <v/>
      </c>
      <c r="O65" s="290" t="str">
        <f t="shared" si="1"/>
        <v/>
      </c>
      <c r="P65" s="47"/>
      <c r="Q65" s="47"/>
      <c r="R65" s="298" t="str">
        <f t="shared" si="2"/>
        <v/>
      </c>
      <c r="S65" s="311" t="str">
        <f t="shared" si="3"/>
        <v/>
      </c>
      <c r="T65" s="312" t="str">
        <f>IFERROR(IF(S65="Check Data ⚠","Check Data ⚠",VLOOKUP(S65,'G-4 Temporal multipliers'!$A$4:$C$37,3,FALSE)),"")</f>
        <v/>
      </c>
      <c r="U65" s="313" t="str">
        <f>IF(F65="","",VLOOKUP(F65,'G-3 Multipliers'!$A$2:$E$134,2,FALSE))</f>
        <v/>
      </c>
      <c r="V65" s="310" t="str">
        <f t="shared" si="4"/>
        <v/>
      </c>
      <c r="W65" s="295" t="str">
        <f>IF(E65="","",IF(AND(V65="Standard difficulty applied",O65&gt;P65),U65,IF(AND(V65="Low Difficulty - only applicable if all habitat created before losses ⚠",P65&gt;=O65),"Low",VLOOKUP(F65,'G-3 Multipliers'!$A$2:$E$134,4,FALSE))))</f>
        <v/>
      </c>
      <c r="X65" s="314" t="str">
        <f>IFERROR(IF(E65="","",VLOOKUP(W65, 'G-3 Multipliers'!$P$2:$Q$6,2,FALSE)),"")</f>
        <v/>
      </c>
      <c r="Y65" s="317" t="str">
        <f t="shared" si="5"/>
        <v/>
      </c>
      <c r="Z65" s="163"/>
      <c r="AA65" s="164"/>
      <c r="AB65" s="101"/>
      <c r="AE65" s="25" t="str">
        <f t="shared" si="0"/>
        <v/>
      </c>
    </row>
    <row r="66" spans="1:31" ht="14.5" thickBot="1" x14ac:dyDescent="0.35">
      <c r="A66" s="20" t="str">
        <f>IFERROR(INDEX('G-8 Condition Look up'!$I$4:$I$135,MATCH(F66,'G-8 Condition Look up'!$A$4:$A$135,0)),"")</f>
        <v/>
      </c>
      <c r="B66" s="679">
        <v>56</v>
      </c>
      <c r="C66" s="247" t="str">
        <f>IFERROR(INDEX('G-1 All Habitats'!$AG$25:$AG$41,MATCH(D66,'G-1 All Habitats'!AF$25:AF$41,0)),"")</f>
        <v/>
      </c>
      <c r="D66" s="38"/>
      <c r="E66" s="45"/>
      <c r="F66" s="244" t="str">
        <f>IFERROR(INDEX('G-1 All Habitats'!$B$3:$B$135,MATCH(E66,'G-1 All Habitats'!$A$3:$A$135,0)),"")</f>
        <v/>
      </c>
      <c r="G66" s="37"/>
      <c r="H66" s="290" t="str">
        <f>IF(F66="","",VLOOKUP(F66,'G-1 All Habitats'!$B$2:$M$135,10,FALSE))</f>
        <v/>
      </c>
      <c r="I66" s="291" t="str">
        <f>IFERROR(VLOOKUP(H66,'G-1 All Habitats'!$V$3:$W$7,2,FALSE),"")</f>
        <v/>
      </c>
      <c r="J66" s="38"/>
      <c r="K66" s="291" t="str">
        <f>IFERROR(INDEX('G-8 Condition Look up'!$A$3:$H$135,MATCH(F66,'G-8 Condition Look up'!$A$3:$A$135,0),MATCH(J66,'G-8 Condition Look up'!$A$3:$H$3,0)),"")</f>
        <v/>
      </c>
      <c r="L66" s="38"/>
      <c r="M66" s="298" t="str">
        <f>IF(L66="","",IF(VLOOKUP(L66,'G-3 Multipliers'!$L$3:$N$6,2,FALSE)=0,"Spatial Data Missing",VLOOKUP(L66,'G-3 Multipliers'!$L$3:$N$6,2,FALSE)))</f>
        <v/>
      </c>
      <c r="N66" s="296" t="str">
        <f>IF(L66="","",IF(VLOOKUP(L66,'G-3 Multipliers'!$L$3:$N$6,3,FALSE)=0,"Spatial Data Missing",VLOOKUP(L66,'G-3 Multipliers'!$L$3:$N$6,3,FALSE)))</f>
        <v/>
      </c>
      <c r="O66" s="290" t="str">
        <f t="shared" si="1"/>
        <v/>
      </c>
      <c r="P66" s="47"/>
      <c r="Q66" s="47"/>
      <c r="R66" s="298" t="str">
        <f t="shared" si="2"/>
        <v/>
      </c>
      <c r="S66" s="311" t="str">
        <f t="shared" si="3"/>
        <v/>
      </c>
      <c r="T66" s="312" t="str">
        <f>IFERROR(IF(S66="Check Data ⚠","Check Data ⚠",VLOOKUP(S66,'G-4 Temporal multipliers'!$A$4:$C$37,3,FALSE)),"")</f>
        <v/>
      </c>
      <c r="U66" s="313" t="str">
        <f>IF(F66="","",VLOOKUP(F66,'G-3 Multipliers'!$A$2:$E$134,2,FALSE))</f>
        <v/>
      </c>
      <c r="V66" s="310" t="str">
        <f t="shared" si="4"/>
        <v/>
      </c>
      <c r="W66" s="295" t="str">
        <f>IF(E66="","",IF(AND(V66="Standard difficulty applied",O66&gt;P66),U66,IF(AND(V66="Low Difficulty - only applicable if all habitat created before losses ⚠",P66&gt;=O66),"Low",VLOOKUP(F66,'G-3 Multipliers'!$A$2:$E$134,4,FALSE))))</f>
        <v/>
      </c>
      <c r="X66" s="314" t="str">
        <f>IFERROR(IF(E66="","",VLOOKUP(W66, 'G-3 Multipliers'!$P$2:$Q$6,2,FALSE)),"")</f>
        <v/>
      </c>
      <c r="Y66" s="317" t="str">
        <f t="shared" si="5"/>
        <v/>
      </c>
      <c r="Z66" s="163"/>
      <c r="AA66" s="164"/>
      <c r="AB66" s="101"/>
      <c r="AE66" s="25" t="str">
        <f t="shared" si="0"/>
        <v/>
      </c>
    </row>
    <row r="67" spans="1:31" ht="14.5" thickBot="1" x14ac:dyDescent="0.35">
      <c r="A67" s="20" t="str">
        <f>IFERROR(INDEX('G-8 Condition Look up'!$I$4:$I$135,MATCH(F67,'G-8 Condition Look up'!$A$4:$A$135,0)),"")</f>
        <v/>
      </c>
      <c r="B67" s="679">
        <v>57</v>
      </c>
      <c r="C67" s="247" t="str">
        <f>IFERROR(INDEX('G-1 All Habitats'!$AG$25:$AG$41,MATCH(D67,'G-1 All Habitats'!AF$25:AF$41,0)),"")</f>
        <v/>
      </c>
      <c r="D67" s="38"/>
      <c r="E67" s="45"/>
      <c r="F67" s="244" t="str">
        <f>IFERROR(INDEX('G-1 All Habitats'!$B$3:$B$135,MATCH(E67,'G-1 All Habitats'!$A$3:$A$135,0)),"")</f>
        <v/>
      </c>
      <c r="G67" s="37"/>
      <c r="H67" s="290" t="str">
        <f>IF(F67="","",VLOOKUP(F67,'G-1 All Habitats'!$B$2:$M$135,10,FALSE))</f>
        <v/>
      </c>
      <c r="I67" s="291" t="str">
        <f>IFERROR(VLOOKUP(H67,'G-1 All Habitats'!$V$3:$W$7,2,FALSE),"")</f>
        <v/>
      </c>
      <c r="J67" s="38"/>
      <c r="K67" s="291" t="str">
        <f>IFERROR(INDEX('G-8 Condition Look up'!$A$3:$H$135,MATCH(F67,'G-8 Condition Look up'!$A$3:$A$135,0),MATCH(J67,'G-8 Condition Look up'!$A$3:$H$3,0)),"")</f>
        <v/>
      </c>
      <c r="L67" s="38"/>
      <c r="M67" s="298" t="str">
        <f>IF(L67="","",IF(VLOOKUP(L67,'G-3 Multipliers'!$L$3:$N$6,2,FALSE)=0,"Spatial Data Missing",VLOOKUP(L67,'G-3 Multipliers'!$L$3:$N$6,2,FALSE)))</f>
        <v/>
      </c>
      <c r="N67" s="296" t="str">
        <f>IF(L67="","",IF(VLOOKUP(L67,'G-3 Multipliers'!$L$3:$N$6,3,FALSE)=0,"Spatial Data Missing",VLOOKUP(L67,'G-3 Multipliers'!$L$3:$N$6,3,FALSE)))</f>
        <v/>
      </c>
      <c r="O67" s="290" t="str">
        <f t="shared" si="1"/>
        <v/>
      </c>
      <c r="P67" s="47"/>
      <c r="Q67" s="47"/>
      <c r="R67" s="298" t="str">
        <f t="shared" si="2"/>
        <v/>
      </c>
      <c r="S67" s="311" t="str">
        <f t="shared" si="3"/>
        <v/>
      </c>
      <c r="T67" s="312" t="str">
        <f>IFERROR(IF(S67="Check Data ⚠","Check Data ⚠",VLOOKUP(S67,'G-4 Temporal multipliers'!$A$4:$C$37,3,FALSE)),"")</f>
        <v/>
      </c>
      <c r="U67" s="313" t="str">
        <f>IF(F67="","",VLOOKUP(F67,'G-3 Multipliers'!$A$2:$E$134,2,FALSE))</f>
        <v/>
      </c>
      <c r="V67" s="310" t="str">
        <f t="shared" si="4"/>
        <v/>
      </c>
      <c r="W67" s="295" t="str">
        <f>IF(E67="","",IF(AND(V67="Standard difficulty applied",O67&gt;P67),U67,IF(AND(V67="Low Difficulty - only applicable if all habitat created before losses ⚠",P67&gt;=O67),"Low",VLOOKUP(F67,'G-3 Multipliers'!$A$2:$E$134,4,FALSE))))</f>
        <v/>
      </c>
      <c r="X67" s="314" t="str">
        <f>IFERROR(IF(E67="","",VLOOKUP(W67, 'G-3 Multipliers'!$P$2:$Q$6,2,FALSE)),"")</f>
        <v/>
      </c>
      <c r="Y67" s="317" t="str">
        <f t="shared" si="5"/>
        <v/>
      </c>
      <c r="Z67" s="163"/>
      <c r="AA67" s="164"/>
      <c r="AB67" s="101"/>
      <c r="AE67" s="25" t="str">
        <f t="shared" si="0"/>
        <v/>
      </c>
    </row>
    <row r="68" spans="1:31" ht="14.5" thickBot="1" x14ac:dyDescent="0.35">
      <c r="A68" s="20" t="str">
        <f>IFERROR(INDEX('G-8 Condition Look up'!$I$4:$I$135,MATCH(F68,'G-8 Condition Look up'!$A$4:$A$135,0)),"")</f>
        <v/>
      </c>
      <c r="B68" s="679">
        <v>58</v>
      </c>
      <c r="C68" s="247" t="str">
        <f>IFERROR(INDEX('G-1 All Habitats'!$AG$25:$AG$41,MATCH(D68,'G-1 All Habitats'!AF$25:AF$41,0)),"")</f>
        <v/>
      </c>
      <c r="D68" s="38"/>
      <c r="E68" s="45"/>
      <c r="F68" s="244" t="str">
        <f>IFERROR(INDEX('G-1 All Habitats'!$B$3:$B$135,MATCH(E68,'G-1 All Habitats'!$A$3:$A$135,0)),"")</f>
        <v/>
      </c>
      <c r="G68" s="37"/>
      <c r="H68" s="290" t="str">
        <f>IF(F68="","",VLOOKUP(F68,'G-1 All Habitats'!$B$2:$M$135,10,FALSE))</f>
        <v/>
      </c>
      <c r="I68" s="291" t="str">
        <f>IFERROR(VLOOKUP(H68,'G-1 All Habitats'!$V$3:$W$7,2,FALSE),"")</f>
        <v/>
      </c>
      <c r="J68" s="38"/>
      <c r="K68" s="291" t="str">
        <f>IFERROR(INDEX('G-8 Condition Look up'!$A$3:$H$135,MATCH(F68,'G-8 Condition Look up'!$A$3:$A$135,0),MATCH(J68,'G-8 Condition Look up'!$A$3:$H$3,0)),"")</f>
        <v/>
      </c>
      <c r="L68" s="38"/>
      <c r="M68" s="298" t="str">
        <f>IF(L68="","",IF(VLOOKUP(L68,'G-3 Multipliers'!$L$3:$N$6,2,FALSE)=0,"Spatial Data Missing",VLOOKUP(L68,'G-3 Multipliers'!$L$3:$N$6,2,FALSE)))</f>
        <v/>
      </c>
      <c r="N68" s="296" t="str">
        <f>IF(L68="","",IF(VLOOKUP(L68,'G-3 Multipliers'!$L$3:$N$6,3,FALSE)=0,"Spatial Data Missing",VLOOKUP(L68,'G-3 Multipliers'!$L$3:$N$6,3,FALSE)))</f>
        <v/>
      </c>
      <c r="O68" s="290" t="str">
        <f t="shared" si="1"/>
        <v/>
      </c>
      <c r="P68" s="47"/>
      <c r="Q68" s="47"/>
      <c r="R68" s="298" t="str">
        <f t="shared" si="2"/>
        <v/>
      </c>
      <c r="S68" s="311" t="str">
        <f t="shared" si="3"/>
        <v/>
      </c>
      <c r="T68" s="312" t="str">
        <f>IFERROR(IF(S68="Check Data ⚠","Check Data ⚠",VLOOKUP(S68,'G-4 Temporal multipliers'!$A$4:$C$37,3,FALSE)),"")</f>
        <v/>
      </c>
      <c r="U68" s="313" t="str">
        <f>IF(F68="","",VLOOKUP(F68,'G-3 Multipliers'!$A$2:$E$134,2,FALSE))</f>
        <v/>
      </c>
      <c r="V68" s="310" t="str">
        <f t="shared" si="4"/>
        <v/>
      </c>
      <c r="W68" s="295" t="str">
        <f>IF(E68="","",IF(AND(V68="Standard difficulty applied",O68&gt;P68),U68,IF(AND(V68="Low Difficulty - only applicable if all habitat created before losses ⚠",P68&gt;=O68),"Low",VLOOKUP(F68,'G-3 Multipliers'!$A$2:$E$134,4,FALSE))))</f>
        <v/>
      </c>
      <c r="X68" s="314" t="str">
        <f>IFERROR(IF(E68="","",VLOOKUP(W68, 'G-3 Multipliers'!$P$2:$Q$6,2,FALSE)),"")</f>
        <v/>
      </c>
      <c r="Y68" s="317" t="str">
        <f t="shared" si="5"/>
        <v/>
      </c>
      <c r="Z68" s="163"/>
      <c r="AA68" s="164"/>
      <c r="AB68" s="101"/>
      <c r="AE68" s="25" t="str">
        <f t="shared" si="0"/>
        <v/>
      </c>
    </row>
    <row r="69" spans="1:31" ht="14.5" thickBot="1" x14ac:dyDescent="0.35">
      <c r="A69" s="20" t="str">
        <f>IFERROR(INDEX('G-8 Condition Look up'!$I$4:$I$135,MATCH(F69,'G-8 Condition Look up'!$A$4:$A$135,0)),"")</f>
        <v/>
      </c>
      <c r="B69" s="679">
        <v>59</v>
      </c>
      <c r="C69" s="247" t="str">
        <f>IFERROR(INDEX('G-1 All Habitats'!$AG$25:$AG$41,MATCH(D69,'G-1 All Habitats'!AF$25:AF$41,0)),"")</f>
        <v/>
      </c>
      <c r="D69" s="38"/>
      <c r="E69" s="45"/>
      <c r="F69" s="244" t="str">
        <f>IFERROR(INDEX('G-1 All Habitats'!$B$3:$B$135,MATCH(E69,'G-1 All Habitats'!$A$3:$A$135,0)),"")</f>
        <v/>
      </c>
      <c r="G69" s="37"/>
      <c r="H69" s="290" t="str">
        <f>IF(F69="","",VLOOKUP(F69,'G-1 All Habitats'!$B$2:$M$135,10,FALSE))</f>
        <v/>
      </c>
      <c r="I69" s="291" t="str">
        <f>IFERROR(VLOOKUP(H69,'G-1 All Habitats'!$V$3:$W$7,2,FALSE),"")</f>
        <v/>
      </c>
      <c r="J69" s="38"/>
      <c r="K69" s="291" t="str">
        <f>IFERROR(INDEX('G-8 Condition Look up'!$A$3:$H$135,MATCH(F69,'G-8 Condition Look up'!$A$3:$A$135,0),MATCH(J69,'G-8 Condition Look up'!$A$3:$H$3,0)),"")</f>
        <v/>
      </c>
      <c r="L69" s="38"/>
      <c r="M69" s="298" t="str">
        <f>IF(L69="","",IF(VLOOKUP(L69,'G-3 Multipliers'!$L$3:$N$6,2,FALSE)=0,"Spatial Data Missing",VLOOKUP(L69,'G-3 Multipliers'!$L$3:$N$6,2,FALSE)))</f>
        <v/>
      </c>
      <c r="N69" s="296" t="str">
        <f>IF(L69="","",IF(VLOOKUP(L69,'G-3 Multipliers'!$L$3:$N$6,3,FALSE)=0,"Spatial Data Missing",VLOOKUP(L69,'G-3 Multipliers'!$L$3:$N$6,3,FALSE)))</f>
        <v/>
      </c>
      <c r="O69" s="290" t="str">
        <f t="shared" si="1"/>
        <v/>
      </c>
      <c r="P69" s="47"/>
      <c r="Q69" s="47"/>
      <c r="R69" s="298" t="str">
        <f t="shared" si="2"/>
        <v/>
      </c>
      <c r="S69" s="311" t="str">
        <f t="shared" si="3"/>
        <v/>
      </c>
      <c r="T69" s="312" t="str">
        <f>IFERROR(IF(S69="Check Data ⚠","Check Data ⚠",VLOOKUP(S69,'G-4 Temporal multipliers'!$A$4:$C$37,3,FALSE)),"")</f>
        <v/>
      </c>
      <c r="U69" s="313" t="str">
        <f>IF(F69="","",VLOOKUP(F69,'G-3 Multipliers'!$A$2:$E$134,2,FALSE))</f>
        <v/>
      </c>
      <c r="V69" s="310" t="str">
        <f t="shared" si="4"/>
        <v/>
      </c>
      <c r="W69" s="295" t="str">
        <f>IF(E69="","",IF(AND(V69="Standard difficulty applied",O69&gt;P69),U69,IF(AND(V69="Low Difficulty - only applicable if all habitat created before losses ⚠",P69&gt;=O69),"Low",VLOOKUP(F69,'G-3 Multipliers'!$A$2:$E$134,4,FALSE))))</f>
        <v/>
      </c>
      <c r="X69" s="314" t="str">
        <f>IFERROR(IF(E69="","",VLOOKUP(W69, 'G-3 Multipliers'!$P$2:$Q$6,2,FALSE)),"")</f>
        <v/>
      </c>
      <c r="Y69" s="317" t="str">
        <f t="shared" si="5"/>
        <v/>
      </c>
      <c r="Z69" s="163"/>
      <c r="AA69" s="164"/>
      <c r="AB69" s="101"/>
      <c r="AE69" s="25" t="str">
        <f t="shared" si="0"/>
        <v/>
      </c>
    </row>
    <row r="70" spans="1:31" ht="14.5" thickBot="1" x14ac:dyDescent="0.35">
      <c r="A70" s="20" t="str">
        <f>IFERROR(INDEX('G-8 Condition Look up'!$I$4:$I$135,MATCH(F70,'G-8 Condition Look up'!$A$4:$A$135,0)),"")</f>
        <v/>
      </c>
      <c r="B70" s="679">
        <v>60</v>
      </c>
      <c r="C70" s="247" t="str">
        <f>IFERROR(INDEX('G-1 All Habitats'!$AG$25:$AG$41,MATCH(D70,'G-1 All Habitats'!AF$25:AF$41,0)),"")</f>
        <v/>
      </c>
      <c r="D70" s="38"/>
      <c r="E70" s="45"/>
      <c r="F70" s="244" t="str">
        <f>IFERROR(INDEX('G-1 All Habitats'!$B$3:$B$135,MATCH(E70,'G-1 All Habitats'!$A$3:$A$135,0)),"")</f>
        <v/>
      </c>
      <c r="G70" s="37"/>
      <c r="H70" s="290" t="str">
        <f>IF(F70="","",VLOOKUP(F70,'G-1 All Habitats'!$B$2:$M$135,10,FALSE))</f>
        <v/>
      </c>
      <c r="I70" s="291" t="str">
        <f>IFERROR(VLOOKUP(H70,'G-1 All Habitats'!$V$3:$W$7,2,FALSE),"")</f>
        <v/>
      </c>
      <c r="J70" s="38"/>
      <c r="K70" s="291" t="str">
        <f>IFERROR(INDEX('G-8 Condition Look up'!$A$3:$H$135,MATCH(F70,'G-8 Condition Look up'!$A$3:$A$135,0),MATCH(J70,'G-8 Condition Look up'!$A$3:$H$3,0)),"")</f>
        <v/>
      </c>
      <c r="L70" s="38"/>
      <c r="M70" s="298" t="str">
        <f>IF(L70="","",IF(VLOOKUP(L70,'G-3 Multipliers'!$L$3:$N$6,2,FALSE)=0,"Spatial Data Missing",VLOOKUP(L70,'G-3 Multipliers'!$L$3:$N$6,2,FALSE)))</f>
        <v/>
      </c>
      <c r="N70" s="296" t="str">
        <f>IF(L70="","",IF(VLOOKUP(L70,'G-3 Multipliers'!$L$3:$N$6,3,FALSE)=0,"Spatial Data Missing",VLOOKUP(L70,'G-3 Multipliers'!$L$3:$N$6,3,FALSE)))</f>
        <v/>
      </c>
      <c r="O70" s="290" t="str">
        <f t="shared" si="1"/>
        <v/>
      </c>
      <c r="P70" s="47"/>
      <c r="Q70" s="47"/>
      <c r="R70" s="298" t="str">
        <f t="shared" si="2"/>
        <v/>
      </c>
      <c r="S70" s="311" t="str">
        <f t="shared" si="3"/>
        <v/>
      </c>
      <c r="T70" s="312" t="str">
        <f>IFERROR(IF(S70="Check Data ⚠","Check Data ⚠",VLOOKUP(S70,'G-4 Temporal multipliers'!$A$4:$C$37,3,FALSE)),"")</f>
        <v/>
      </c>
      <c r="U70" s="313" t="str">
        <f>IF(F70="","",VLOOKUP(F70,'G-3 Multipliers'!$A$2:$E$134,2,FALSE))</f>
        <v/>
      </c>
      <c r="V70" s="310" t="str">
        <f t="shared" si="4"/>
        <v/>
      </c>
      <c r="W70" s="295" t="str">
        <f>IF(E70="","",IF(AND(V70="Standard difficulty applied",O70&gt;P70),U70,IF(AND(V70="Low Difficulty - only applicable if all habitat created before losses ⚠",P70&gt;=O70),"Low",VLOOKUP(F70,'G-3 Multipliers'!$A$2:$E$134,4,FALSE))))</f>
        <v/>
      </c>
      <c r="X70" s="314" t="str">
        <f>IFERROR(IF(E70="","",VLOOKUP(W70, 'G-3 Multipliers'!$P$2:$Q$6,2,FALSE)),"")</f>
        <v/>
      </c>
      <c r="Y70" s="317" t="str">
        <f t="shared" si="5"/>
        <v/>
      </c>
      <c r="Z70" s="163"/>
      <c r="AA70" s="164"/>
      <c r="AB70" s="101"/>
      <c r="AE70" s="25" t="str">
        <f t="shared" si="0"/>
        <v/>
      </c>
    </row>
    <row r="71" spans="1:31" ht="14.5" thickBot="1" x14ac:dyDescent="0.35">
      <c r="A71" s="20" t="str">
        <f>IFERROR(INDEX('G-8 Condition Look up'!$I$4:$I$135,MATCH(F71,'G-8 Condition Look up'!$A$4:$A$135,0)),"")</f>
        <v/>
      </c>
      <c r="B71" s="679">
        <v>61</v>
      </c>
      <c r="C71" s="247" t="str">
        <f>IFERROR(INDEX('G-1 All Habitats'!$AG$25:$AG$41,MATCH(D71,'G-1 All Habitats'!AF$25:AF$41,0)),"")</f>
        <v/>
      </c>
      <c r="D71" s="38"/>
      <c r="E71" s="45"/>
      <c r="F71" s="244" t="str">
        <f>IFERROR(INDEX('G-1 All Habitats'!$B$3:$B$135,MATCH(E71,'G-1 All Habitats'!$A$3:$A$135,0)),"")</f>
        <v/>
      </c>
      <c r="G71" s="37"/>
      <c r="H71" s="290" t="str">
        <f>IF(F71="","",VLOOKUP(F71,'G-1 All Habitats'!$B$2:$M$135,10,FALSE))</f>
        <v/>
      </c>
      <c r="I71" s="291" t="str">
        <f>IFERROR(VLOOKUP(H71,'G-1 All Habitats'!$V$3:$W$7,2,FALSE),"")</f>
        <v/>
      </c>
      <c r="J71" s="38"/>
      <c r="K71" s="291" t="str">
        <f>IFERROR(INDEX('G-8 Condition Look up'!$A$3:$H$135,MATCH(F71,'G-8 Condition Look up'!$A$3:$A$135,0),MATCH(J71,'G-8 Condition Look up'!$A$3:$H$3,0)),"")</f>
        <v/>
      </c>
      <c r="L71" s="38"/>
      <c r="M71" s="298" t="str">
        <f>IF(L71="","",IF(VLOOKUP(L71,'G-3 Multipliers'!$L$3:$N$6,2,FALSE)=0,"Spatial Data Missing",VLOOKUP(L71,'G-3 Multipliers'!$L$3:$N$6,2,FALSE)))</f>
        <v/>
      </c>
      <c r="N71" s="296" t="str">
        <f>IF(L71="","",IF(VLOOKUP(L71,'G-3 Multipliers'!$L$3:$N$6,3,FALSE)=0,"Spatial Data Missing",VLOOKUP(L71,'G-3 Multipliers'!$L$3:$N$6,3,FALSE)))</f>
        <v/>
      </c>
      <c r="O71" s="290" t="str">
        <f t="shared" si="1"/>
        <v/>
      </c>
      <c r="P71" s="47"/>
      <c r="Q71" s="47"/>
      <c r="R71" s="298" t="str">
        <f t="shared" si="2"/>
        <v/>
      </c>
      <c r="S71" s="311" t="str">
        <f t="shared" si="3"/>
        <v/>
      </c>
      <c r="T71" s="312" t="str">
        <f>IFERROR(IF(S71="Check Data ⚠","Check Data ⚠",VLOOKUP(S71,'G-4 Temporal multipliers'!$A$4:$C$37,3,FALSE)),"")</f>
        <v/>
      </c>
      <c r="U71" s="313" t="str">
        <f>IF(F71="","",VLOOKUP(F71,'G-3 Multipliers'!$A$2:$E$134,2,FALSE))</f>
        <v/>
      </c>
      <c r="V71" s="310" t="str">
        <f t="shared" si="4"/>
        <v/>
      </c>
      <c r="W71" s="295" t="str">
        <f>IF(E71="","",IF(AND(V71="Standard difficulty applied",O71&gt;P71),U71,IF(AND(V71="Low Difficulty - only applicable if all habitat created before losses ⚠",P71&gt;=O71),"Low",VLOOKUP(F71,'G-3 Multipliers'!$A$2:$E$134,4,FALSE))))</f>
        <v/>
      </c>
      <c r="X71" s="314" t="str">
        <f>IFERROR(IF(E71="","",VLOOKUP(W71, 'G-3 Multipliers'!$P$2:$Q$6,2,FALSE)),"")</f>
        <v/>
      </c>
      <c r="Y71" s="317" t="str">
        <f t="shared" si="5"/>
        <v/>
      </c>
      <c r="Z71" s="163"/>
      <c r="AA71" s="164"/>
      <c r="AB71" s="101"/>
      <c r="AE71" s="25" t="str">
        <f t="shared" si="0"/>
        <v/>
      </c>
    </row>
    <row r="72" spans="1:31" ht="14.5" thickBot="1" x14ac:dyDescent="0.35">
      <c r="A72" s="20" t="str">
        <f>IFERROR(INDEX('G-8 Condition Look up'!$I$4:$I$135,MATCH(F72,'G-8 Condition Look up'!$A$4:$A$135,0)),"")</f>
        <v/>
      </c>
      <c r="B72" s="679">
        <v>62</v>
      </c>
      <c r="C72" s="247" t="str">
        <f>IFERROR(INDEX('G-1 All Habitats'!$AG$25:$AG$41,MATCH(D72,'G-1 All Habitats'!AF$25:AF$41,0)),"")</f>
        <v/>
      </c>
      <c r="D72" s="38"/>
      <c r="E72" s="45"/>
      <c r="F72" s="244" t="str">
        <f>IFERROR(INDEX('G-1 All Habitats'!$B$3:$B$135,MATCH(E72,'G-1 All Habitats'!$A$3:$A$135,0)),"")</f>
        <v/>
      </c>
      <c r="G72" s="37"/>
      <c r="H72" s="290" t="str">
        <f>IF(F72="","",VLOOKUP(F72,'G-1 All Habitats'!$B$2:$M$135,10,FALSE))</f>
        <v/>
      </c>
      <c r="I72" s="291" t="str">
        <f>IFERROR(VLOOKUP(H72,'G-1 All Habitats'!$V$3:$W$7,2,FALSE),"")</f>
        <v/>
      </c>
      <c r="J72" s="38"/>
      <c r="K72" s="291" t="str">
        <f>IFERROR(INDEX('G-8 Condition Look up'!$A$3:$H$135,MATCH(F72,'G-8 Condition Look up'!$A$3:$A$135,0),MATCH(J72,'G-8 Condition Look up'!$A$3:$H$3,0)),"")</f>
        <v/>
      </c>
      <c r="L72" s="38"/>
      <c r="M72" s="298" t="str">
        <f>IF(L72="","",IF(VLOOKUP(L72,'G-3 Multipliers'!$L$3:$N$6,2,FALSE)=0,"Spatial Data Missing",VLOOKUP(L72,'G-3 Multipliers'!$L$3:$N$6,2,FALSE)))</f>
        <v/>
      </c>
      <c r="N72" s="296" t="str">
        <f>IF(L72="","",IF(VLOOKUP(L72,'G-3 Multipliers'!$L$3:$N$6,3,FALSE)=0,"Spatial Data Missing",VLOOKUP(L72,'G-3 Multipliers'!$L$3:$N$6,3,FALSE)))</f>
        <v/>
      </c>
      <c r="O72" s="290" t="str">
        <f t="shared" si="1"/>
        <v/>
      </c>
      <c r="P72" s="47"/>
      <c r="Q72" s="47"/>
      <c r="R72" s="298" t="str">
        <f t="shared" si="2"/>
        <v/>
      </c>
      <c r="S72" s="311" t="str">
        <f t="shared" si="3"/>
        <v/>
      </c>
      <c r="T72" s="312" t="str">
        <f>IFERROR(IF(S72="Check Data ⚠","Check Data ⚠",VLOOKUP(S72,'G-4 Temporal multipliers'!$A$4:$C$37,3,FALSE)),"")</f>
        <v/>
      </c>
      <c r="U72" s="313" t="str">
        <f>IF(F72="","",VLOOKUP(F72,'G-3 Multipliers'!$A$2:$E$134,2,FALSE))</f>
        <v/>
      </c>
      <c r="V72" s="310" t="str">
        <f t="shared" si="4"/>
        <v/>
      </c>
      <c r="W72" s="295" t="str">
        <f>IF(E72="","",IF(AND(V72="Standard difficulty applied",O72&gt;P72),U72,IF(AND(V72="Low Difficulty - only applicable if all habitat created before losses ⚠",P72&gt;=O72),"Low",VLOOKUP(F72,'G-3 Multipliers'!$A$2:$E$134,4,FALSE))))</f>
        <v/>
      </c>
      <c r="X72" s="314" t="str">
        <f>IFERROR(IF(E72="","",VLOOKUP(W72, 'G-3 Multipliers'!$P$2:$Q$6,2,FALSE)),"")</f>
        <v/>
      </c>
      <c r="Y72" s="317" t="str">
        <f t="shared" si="5"/>
        <v/>
      </c>
      <c r="Z72" s="163"/>
      <c r="AA72" s="164"/>
      <c r="AB72" s="101"/>
      <c r="AE72" s="25" t="str">
        <f t="shared" si="0"/>
        <v/>
      </c>
    </row>
    <row r="73" spans="1:31" ht="14.5" thickBot="1" x14ac:dyDescent="0.35">
      <c r="A73" s="20" t="str">
        <f>IFERROR(INDEX('G-8 Condition Look up'!$I$4:$I$135,MATCH(F73,'G-8 Condition Look up'!$A$4:$A$135,0)),"")</f>
        <v/>
      </c>
      <c r="B73" s="679">
        <v>63</v>
      </c>
      <c r="C73" s="247" t="str">
        <f>IFERROR(INDEX('G-1 All Habitats'!$AG$25:$AG$41,MATCH(D73,'G-1 All Habitats'!AF$25:AF$41,0)),"")</f>
        <v/>
      </c>
      <c r="D73" s="38"/>
      <c r="E73" s="45"/>
      <c r="F73" s="244" t="str">
        <f>IFERROR(INDEX('G-1 All Habitats'!$B$3:$B$135,MATCH(E73,'G-1 All Habitats'!$A$3:$A$135,0)),"")</f>
        <v/>
      </c>
      <c r="G73" s="37"/>
      <c r="H73" s="290" t="str">
        <f>IF(F73="","",VLOOKUP(F73,'G-1 All Habitats'!$B$2:$M$135,10,FALSE))</f>
        <v/>
      </c>
      <c r="I73" s="291" t="str">
        <f>IFERROR(VLOOKUP(H73,'G-1 All Habitats'!$V$3:$W$7,2,FALSE),"")</f>
        <v/>
      </c>
      <c r="J73" s="38"/>
      <c r="K73" s="291" t="str">
        <f>IFERROR(INDEX('G-8 Condition Look up'!$A$3:$H$135,MATCH(F73,'G-8 Condition Look up'!$A$3:$A$135,0),MATCH(J73,'G-8 Condition Look up'!$A$3:$H$3,0)),"")</f>
        <v/>
      </c>
      <c r="L73" s="38"/>
      <c r="M73" s="298" t="str">
        <f>IF(L73="","",IF(VLOOKUP(L73,'G-3 Multipliers'!$L$3:$N$6,2,FALSE)=0,"Spatial Data Missing",VLOOKUP(L73,'G-3 Multipliers'!$L$3:$N$6,2,FALSE)))</f>
        <v/>
      </c>
      <c r="N73" s="296" t="str">
        <f>IF(L73="","",IF(VLOOKUP(L73,'G-3 Multipliers'!$L$3:$N$6,3,FALSE)=0,"Spatial Data Missing",VLOOKUP(L73,'G-3 Multipliers'!$L$3:$N$6,3,FALSE)))</f>
        <v/>
      </c>
      <c r="O73" s="290" t="str">
        <f t="shared" si="1"/>
        <v/>
      </c>
      <c r="P73" s="47"/>
      <c r="Q73" s="47"/>
      <c r="R73" s="298" t="str">
        <f t="shared" si="2"/>
        <v/>
      </c>
      <c r="S73" s="311" t="str">
        <f t="shared" si="3"/>
        <v/>
      </c>
      <c r="T73" s="312" t="str">
        <f>IFERROR(IF(S73="Check Data ⚠","Check Data ⚠",VLOOKUP(S73,'G-4 Temporal multipliers'!$A$4:$C$37,3,FALSE)),"")</f>
        <v/>
      </c>
      <c r="U73" s="313" t="str">
        <f>IF(F73="","",VLOOKUP(F73,'G-3 Multipliers'!$A$2:$E$134,2,FALSE))</f>
        <v/>
      </c>
      <c r="V73" s="310" t="str">
        <f t="shared" si="4"/>
        <v/>
      </c>
      <c r="W73" s="295" t="str">
        <f>IF(E73="","",IF(AND(V73="Standard difficulty applied",O73&gt;P73),U73,IF(AND(V73="Low Difficulty - only applicable if all habitat created before losses ⚠",P73&gt;=O73),"Low",VLOOKUP(F73,'G-3 Multipliers'!$A$2:$E$134,4,FALSE))))</f>
        <v/>
      </c>
      <c r="X73" s="314" t="str">
        <f>IFERROR(IF(E73="","",VLOOKUP(W73, 'G-3 Multipliers'!$P$2:$Q$6,2,FALSE)),"")</f>
        <v/>
      </c>
      <c r="Y73" s="317" t="str">
        <f t="shared" si="5"/>
        <v/>
      </c>
      <c r="Z73" s="163"/>
      <c r="AA73" s="164"/>
      <c r="AB73" s="101"/>
      <c r="AE73" s="25" t="str">
        <f t="shared" si="0"/>
        <v/>
      </c>
    </row>
    <row r="74" spans="1:31" ht="14.5" thickBot="1" x14ac:dyDescent="0.35">
      <c r="A74" s="20" t="str">
        <f>IFERROR(INDEX('G-8 Condition Look up'!$I$4:$I$135,MATCH(F74,'G-8 Condition Look up'!$A$4:$A$135,0)),"")</f>
        <v/>
      </c>
      <c r="B74" s="679">
        <v>64</v>
      </c>
      <c r="C74" s="247" t="str">
        <f>IFERROR(INDEX('G-1 All Habitats'!$AG$25:$AG$41,MATCH(D74,'G-1 All Habitats'!AF$25:AF$41,0)),"")</f>
        <v/>
      </c>
      <c r="D74" s="38"/>
      <c r="E74" s="45"/>
      <c r="F74" s="244" t="str">
        <f>IFERROR(INDEX('G-1 All Habitats'!$B$3:$B$135,MATCH(E74,'G-1 All Habitats'!$A$3:$A$135,0)),"")</f>
        <v/>
      </c>
      <c r="G74" s="37"/>
      <c r="H74" s="290" t="str">
        <f>IF(F74="","",VLOOKUP(F74,'G-1 All Habitats'!$B$2:$M$135,10,FALSE))</f>
        <v/>
      </c>
      <c r="I74" s="291" t="str">
        <f>IFERROR(VLOOKUP(H74,'G-1 All Habitats'!$V$3:$W$7,2,FALSE),"")</f>
        <v/>
      </c>
      <c r="J74" s="38"/>
      <c r="K74" s="291" t="str">
        <f>IFERROR(INDEX('G-8 Condition Look up'!$A$3:$H$135,MATCH(F74,'G-8 Condition Look up'!$A$3:$A$135,0),MATCH(J74,'G-8 Condition Look up'!$A$3:$H$3,0)),"")</f>
        <v/>
      </c>
      <c r="L74" s="38"/>
      <c r="M74" s="298" t="str">
        <f>IF(L74="","",IF(VLOOKUP(L74,'G-3 Multipliers'!$L$3:$N$6,2,FALSE)=0,"Spatial Data Missing",VLOOKUP(L74,'G-3 Multipliers'!$L$3:$N$6,2,FALSE)))</f>
        <v/>
      </c>
      <c r="N74" s="296" t="str">
        <f>IF(L74="","",IF(VLOOKUP(L74,'G-3 Multipliers'!$L$3:$N$6,3,FALSE)=0,"Spatial Data Missing",VLOOKUP(L74,'G-3 Multipliers'!$L$3:$N$6,3,FALSE)))</f>
        <v/>
      </c>
      <c r="O74" s="290" t="str">
        <f t="shared" si="1"/>
        <v/>
      </c>
      <c r="P74" s="47"/>
      <c r="Q74" s="47"/>
      <c r="R74" s="298" t="str">
        <f t="shared" si="2"/>
        <v/>
      </c>
      <c r="S74" s="311" t="str">
        <f t="shared" si="3"/>
        <v/>
      </c>
      <c r="T74" s="312" t="str">
        <f>IFERROR(IF(S74="Check Data ⚠","Check Data ⚠",VLOOKUP(S74,'G-4 Temporal multipliers'!$A$4:$C$37,3,FALSE)),"")</f>
        <v/>
      </c>
      <c r="U74" s="313" t="str">
        <f>IF(F74="","",VLOOKUP(F74,'G-3 Multipliers'!$A$2:$E$134,2,FALSE))</f>
        <v/>
      </c>
      <c r="V74" s="310" t="str">
        <f t="shared" si="4"/>
        <v/>
      </c>
      <c r="W74" s="295" t="str">
        <f>IF(E74="","",IF(AND(V74="Standard difficulty applied",O74&gt;P74),U74,IF(AND(V74="Low Difficulty - only applicable if all habitat created before losses ⚠",P74&gt;=O74),"Low",VLOOKUP(F74,'G-3 Multipliers'!$A$2:$E$134,4,FALSE))))</f>
        <v/>
      </c>
      <c r="X74" s="314" t="str">
        <f>IFERROR(IF(E74="","",VLOOKUP(W74, 'G-3 Multipliers'!$P$2:$Q$6,2,FALSE)),"")</f>
        <v/>
      </c>
      <c r="Y74" s="317" t="str">
        <f t="shared" si="5"/>
        <v/>
      </c>
      <c r="Z74" s="163"/>
      <c r="AA74" s="164"/>
      <c r="AB74" s="101"/>
      <c r="AE74" s="25" t="str">
        <f t="shared" si="0"/>
        <v/>
      </c>
    </row>
    <row r="75" spans="1:31" ht="14.5" thickBot="1" x14ac:dyDescent="0.35">
      <c r="A75" s="20" t="str">
        <f>IFERROR(INDEX('G-8 Condition Look up'!$I$4:$I$135,MATCH(F75,'G-8 Condition Look up'!$A$4:$A$135,0)),"")</f>
        <v/>
      </c>
      <c r="B75" s="679">
        <v>65</v>
      </c>
      <c r="C75" s="247" t="str">
        <f>IFERROR(INDEX('G-1 All Habitats'!$AG$25:$AG$41,MATCH(D75,'G-1 All Habitats'!AF$25:AF$41,0)),"")</f>
        <v/>
      </c>
      <c r="D75" s="38"/>
      <c r="E75" s="45"/>
      <c r="F75" s="244" t="str">
        <f>IFERROR(INDEX('G-1 All Habitats'!$B$3:$B$135,MATCH(E75,'G-1 All Habitats'!$A$3:$A$135,0)),"")</f>
        <v/>
      </c>
      <c r="G75" s="37"/>
      <c r="H75" s="290" t="str">
        <f>IF(F75="","",VLOOKUP(F75,'G-1 All Habitats'!$B$2:$M$135,10,FALSE))</f>
        <v/>
      </c>
      <c r="I75" s="291" t="str">
        <f>IFERROR(VLOOKUP(H75,'G-1 All Habitats'!$V$3:$W$7,2,FALSE),"")</f>
        <v/>
      </c>
      <c r="J75" s="38"/>
      <c r="K75" s="291" t="str">
        <f>IFERROR(INDEX('G-8 Condition Look up'!$A$3:$H$135,MATCH(F75,'G-8 Condition Look up'!$A$3:$A$135,0),MATCH(J75,'G-8 Condition Look up'!$A$3:$H$3,0)),"")</f>
        <v/>
      </c>
      <c r="L75" s="38"/>
      <c r="M75" s="298" t="str">
        <f>IF(L75="","",IF(VLOOKUP(L75,'G-3 Multipliers'!$L$3:$N$6,2,FALSE)=0,"Spatial Data Missing",VLOOKUP(L75,'G-3 Multipliers'!$L$3:$N$6,2,FALSE)))</f>
        <v/>
      </c>
      <c r="N75" s="296" t="str">
        <f>IF(L75="","",IF(VLOOKUP(L75,'G-3 Multipliers'!$L$3:$N$6,3,FALSE)=0,"Spatial Data Missing",VLOOKUP(L75,'G-3 Multipliers'!$L$3:$N$6,3,FALSE)))</f>
        <v/>
      </c>
      <c r="O75" s="290" t="str">
        <f t="shared" ref="O75:O138" si="6">IFERROR(INDEX(TemporalData,MATCH(F75,TemporalHabitats,0),MATCH(J75,TemporalConditions,0)),"")</f>
        <v/>
      </c>
      <c r="P75" s="47"/>
      <c r="Q75" s="47"/>
      <c r="R75" s="298" t="str">
        <f t="shared" si="2"/>
        <v/>
      </c>
      <c r="S75" s="311" t="str">
        <f t="shared" si="3"/>
        <v/>
      </c>
      <c r="T75" s="312" t="str">
        <f>IFERROR(IF(S75="Check Data ⚠","Check Data ⚠",VLOOKUP(S75,'G-4 Temporal multipliers'!$A$4:$C$37,3,FALSE)),"")</f>
        <v/>
      </c>
      <c r="U75" s="313" t="str">
        <f>IF(F75="","",VLOOKUP(F75,'G-3 Multipliers'!$A$2:$E$134,2,FALSE))</f>
        <v/>
      </c>
      <c r="V75" s="310" t="str">
        <f t="shared" si="4"/>
        <v/>
      </c>
      <c r="W75" s="295" t="str">
        <f>IF(E75="","",IF(AND(V75="Standard difficulty applied",O75&gt;P75),U75,IF(AND(V75="Low Difficulty - only applicable if all habitat created before losses ⚠",P75&gt;=O75),"Low",VLOOKUP(F75,'G-3 Multipliers'!$A$2:$E$134,4,FALSE))))</f>
        <v/>
      </c>
      <c r="X75" s="314" t="str">
        <f>IFERROR(IF(E75="","",VLOOKUP(W75, 'G-3 Multipliers'!$P$2:$Q$6,2,FALSE)),"")</f>
        <v/>
      </c>
      <c r="Y75" s="317" t="str">
        <f t="shared" si="5"/>
        <v/>
      </c>
      <c r="Z75" s="163"/>
      <c r="AA75" s="164"/>
      <c r="AB75" s="101"/>
      <c r="AE75" s="25" t="str">
        <f t="shared" ref="AE75:AE138" si="7">IFERROR(INDEX(TemporalData,MATCH(F75,TemporalHabitats,0),MATCH($AE$10,TemporalConditions,0)),"")</f>
        <v/>
      </c>
    </row>
    <row r="76" spans="1:31" ht="14.5" thickBot="1" x14ac:dyDescent="0.35">
      <c r="A76" s="20" t="str">
        <f>IFERROR(INDEX('G-8 Condition Look up'!$I$4:$I$135,MATCH(F76,'G-8 Condition Look up'!$A$4:$A$135,0)),"")</f>
        <v/>
      </c>
      <c r="B76" s="679">
        <v>66</v>
      </c>
      <c r="C76" s="247" t="str">
        <f>IFERROR(INDEX('G-1 All Habitats'!$AG$25:$AG$41,MATCH(D76,'G-1 All Habitats'!AF$25:AF$41,0)),"")</f>
        <v/>
      </c>
      <c r="D76" s="38"/>
      <c r="E76" s="45"/>
      <c r="F76" s="244" t="str">
        <f>IFERROR(INDEX('G-1 All Habitats'!$B$3:$B$135,MATCH(E76,'G-1 All Habitats'!$A$3:$A$135,0)),"")</f>
        <v/>
      </c>
      <c r="G76" s="37"/>
      <c r="H76" s="290" t="str">
        <f>IF(F76="","",VLOOKUP(F76,'G-1 All Habitats'!$B$2:$M$135,10,FALSE))</f>
        <v/>
      </c>
      <c r="I76" s="291" t="str">
        <f>IFERROR(VLOOKUP(H76,'G-1 All Habitats'!$V$3:$W$7,2,FALSE),"")</f>
        <v/>
      </c>
      <c r="J76" s="38"/>
      <c r="K76" s="291" t="str">
        <f>IFERROR(INDEX('G-8 Condition Look up'!$A$3:$H$135,MATCH(F76,'G-8 Condition Look up'!$A$3:$A$135,0),MATCH(J76,'G-8 Condition Look up'!$A$3:$H$3,0)),"")</f>
        <v/>
      </c>
      <c r="L76" s="38"/>
      <c r="M76" s="298" t="str">
        <f>IF(L76="","",IF(VLOOKUP(L76,'G-3 Multipliers'!$L$3:$N$6,2,FALSE)=0,"Spatial Data Missing",VLOOKUP(L76,'G-3 Multipliers'!$L$3:$N$6,2,FALSE)))</f>
        <v/>
      </c>
      <c r="N76" s="296" t="str">
        <f>IF(L76="","",IF(VLOOKUP(L76,'G-3 Multipliers'!$L$3:$N$6,3,FALSE)=0,"Spatial Data Missing",VLOOKUP(L76,'G-3 Multipliers'!$L$3:$N$6,3,FALSE)))</f>
        <v/>
      </c>
      <c r="O76" s="290" t="str">
        <f t="shared" si="6"/>
        <v/>
      </c>
      <c r="P76" s="47"/>
      <c r="Q76" s="47"/>
      <c r="R76" s="298" t="str">
        <f t="shared" ref="R76:R139" si="8">IF(E76="","",IF(AND(P76&gt;0,Q76&gt;0),"Error -both advance and delayed habitat creation ▲",IF(I76=0,"Standard time to target condition applied",IF(AND(J76="N/A -Agricultural",O76&lt;=P76),"Check details - Is there evidence habitat creation in place? ⚠",IF(AND(O76&lt;=P76,Q76=0),"Check details - Is there evidence that habitat has reached target condition? ⚠",IF(O76="","",IF(AND(P76&gt;=AE76,P76&gt;0),"Check details - Is there evidence habitat creation started and the threshold for Poor condition reached? ⚠",IF(Q76&gt;0,"Check details- Delay in starting habitat in required condition? ⚠",IF(P76&gt;0,"Check details - Is there evidence habitat creation started/in place? ⚠","Standard time to target condition applied")))))))))</f>
        <v/>
      </c>
      <c r="S76" s="311" t="str">
        <f t="shared" ref="S76:S139" si="9">IF(R76="Error -both advance and delayed habitat creation ▲","Check Data ⚠",IF(O76="Not Possible","Check Data ⚠",IF(O76="","",IF(AND(O76="30+",P76=0),"30+",IF(AND(O76="30+",P76="30+"),0,IF(AND(O76="30+",P76&lt;32),30-P76,IF(O76="30+",30-P76,IF(P76&gt;O76,0,IF(Q76="30+","30+",IF(O76+Q76&gt;30,"30+",IF(O76+Q76&gt;30,"30+",IF(O76-P76&gt;30,"30+",IF(O76+Q76-P76&gt;0,O76+Q76-P76,IF(O76-P76&gt;0,O76-P76,O76+Q76-P76))))))))))))))</f>
        <v/>
      </c>
      <c r="T76" s="312" t="str">
        <f>IFERROR(IF(S76="Check Data ⚠","Check Data ⚠",VLOOKUP(S76,'G-4 Temporal multipliers'!$A$4:$C$37,3,FALSE)),"")</f>
        <v/>
      </c>
      <c r="U76" s="313" t="str">
        <f>IF(F76="","",VLOOKUP(F76,'G-3 Multipliers'!$A$2:$E$134,2,FALSE))</f>
        <v/>
      </c>
      <c r="V76" s="310" t="str">
        <f t="shared" ref="V76:V139" si="10">IF(F76="","",IF($R76="Check details - Is there evidence that habitat has reached target condition? ⚠","Low Difficulty - only applicable if all habitat created before losses ⚠",IF(AND($R76="Check details - Is there evidence habitat creation started and the threshold for Poor condition reached? ⚠",$E76&lt;&gt;"Traditional orchards", $E76&lt;&gt;"Ornamental lake or pond", $E76&lt;&gt;"Ponds (non-priority habitat)", $E76&lt;&gt;"Ruderal/Ephemeral", $E76&lt;&gt;"Tall forbs", $E76&lt;&gt;"Developed land; sealed surface"),"Enhancement difficulty applied","Standard difficulty applied")))</f>
        <v/>
      </c>
      <c r="W76" s="295" t="str">
        <f>IF(E76="","",IF(AND(V76="Standard difficulty applied",O76&gt;P76),U76,IF(AND(V76="Low Difficulty - only applicable if all habitat created before losses ⚠",P76&gt;=O76),"Low",VLOOKUP(F76,'G-3 Multipliers'!$A$2:$E$134,4,FALSE))))</f>
        <v/>
      </c>
      <c r="X76" s="314" t="str">
        <f>IFERROR(IF(E76="","",VLOOKUP(W76, 'G-3 Multipliers'!$P$2:$Q$6,2,FALSE)),"")</f>
        <v/>
      </c>
      <c r="Y76" s="317" t="str">
        <f t="shared" ref="Y76:Y139" si="11">IFERROR(G76*I76*K76*N76*T76*X76,"")</f>
        <v/>
      </c>
      <c r="Z76" s="163"/>
      <c r="AA76" s="164"/>
      <c r="AB76" s="101"/>
      <c r="AE76" s="25" t="str">
        <f t="shared" si="7"/>
        <v/>
      </c>
    </row>
    <row r="77" spans="1:31" ht="14.5" thickBot="1" x14ac:dyDescent="0.35">
      <c r="A77" s="20" t="str">
        <f>IFERROR(INDEX('G-8 Condition Look up'!$I$4:$I$135,MATCH(F77,'G-8 Condition Look up'!$A$4:$A$135,0)),"")</f>
        <v/>
      </c>
      <c r="B77" s="679">
        <v>67</v>
      </c>
      <c r="C77" s="247" t="str">
        <f>IFERROR(INDEX('G-1 All Habitats'!$AG$25:$AG$41,MATCH(D77,'G-1 All Habitats'!AF$25:AF$41,0)),"")</f>
        <v/>
      </c>
      <c r="D77" s="38"/>
      <c r="E77" s="45"/>
      <c r="F77" s="244" t="str">
        <f>IFERROR(INDEX('G-1 All Habitats'!$B$3:$B$135,MATCH(E77,'G-1 All Habitats'!$A$3:$A$135,0)),"")</f>
        <v/>
      </c>
      <c r="G77" s="37"/>
      <c r="H77" s="290" t="str">
        <f>IF(F77="","",VLOOKUP(F77,'G-1 All Habitats'!$B$2:$M$135,10,FALSE))</f>
        <v/>
      </c>
      <c r="I77" s="291" t="str">
        <f>IFERROR(VLOOKUP(H77,'G-1 All Habitats'!$V$3:$W$7,2,FALSE),"")</f>
        <v/>
      </c>
      <c r="J77" s="38"/>
      <c r="K77" s="291" t="str">
        <f>IFERROR(INDEX('G-8 Condition Look up'!$A$3:$H$135,MATCH(F77,'G-8 Condition Look up'!$A$3:$A$135,0),MATCH(J77,'G-8 Condition Look up'!$A$3:$H$3,0)),"")</f>
        <v/>
      </c>
      <c r="L77" s="38"/>
      <c r="M77" s="298" t="str">
        <f>IF(L77="","",IF(VLOOKUP(L77,'G-3 Multipliers'!$L$3:$N$6,2,FALSE)=0,"Spatial Data Missing",VLOOKUP(L77,'G-3 Multipliers'!$L$3:$N$6,2,FALSE)))</f>
        <v/>
      </c>
      <c r="N77" s="296" t="str">
        <f>IF(L77="","",IF(VLOOKUP(L77,'G-3 Multipliers'!$L$3:$N$6,3,FALSE)=0,"Spatial Data Missing",VLOOKUP(L77,'G-3 Multipliers'!$L$3:$N$6,3,FALSE)))</f>
        <v/>
      </c>
      <c r="O77" s="290" t="str">
        <f t="shared" si="6"/>
        <v/>
      </c>
      <c r="P77" s="47"/>
      <c r="Q77" s="47"/>
      <c r="R77" s="298" t="str">
        <f t="shared" si="8"/>
        <v/>
      </c>
      <c r="S77" s="311" t="str">
        <f t="shared" si="9"/>
        <v/>
      </c>
      <c r="T77" s="312" t="str">
        <f>IFERROR(IF(S77="Check Data ⚠","Check Data ⚠",VLOOKUP(S77,'G-4 Temporal multipliers'!$A$4:$C$37,3,FALSE)),"")</f>
        <v/>
      </c>
      <c r="U77" s="313" t="str">
        <f>IF(F77="","",VLOOKUP(F77,'G-3 Multipliers'!$A$2:$E$134,2,FALSE))</f>
        <v/>
      </c>
      <c r="V77" s="310" t="str">
        <f t="shared" si="10"/>
        <v/>
      </c>
      <c r="W77" s="295" t="str">
        <f>IF(E77="","",IF(AND(V77="Standard difficulty applied",O77&gt;P77),U77,IF(AND(V77="Low Difficulty - only applicable if all habitat created before losses ⚠",P77&gt;=O77),"Low",VLOOKUP(F77,'G-3 Multipliers'!$A$2:$E$134,4,FALSE))))</f>
        <v/>
      </c>
      <c r="X77" s="314" t="str">
        <f>IFERROR(IF(E77="","",VLOOKUP(W77, 'G-3 Multipliers'!$P$2:$Q$6,2,FALSE)),"")</f>
        <v/>
      </c>
      <c r="Y77" s="317" t="str">
        <f t="shared" si="11"/>
        <v/>
      </c>
      <c r="Z77" s="163"/>
      <c r="AA77" s="164"/>
      <c r="AB77" s="101"/>
      <c r="AE77" s="25" t="str">
        <f t="shared" si="7"/>
        <v/>
      </c>
    </row>
    <row r="78" spans="1:31" ht="14.5" thickBot="1" x14ac:dyDescent="0.35">
      <c r="A78" s="20" t="str">
        <f>IFERROR(INDEX('G-8 Condition Look up'!$I$4:$I$135,MATCH(F78,'G-8 Condition Look up'!$A$4:$A$135,0)),"")</f>
        <v/>
      </c>
      <c r="B78" s="679">
        <v>68</v>
      </c>
      <c r="C78" s="247" t="str">
        <f>IFERROR(INDEX('G-1 All Habitats'!$AG$25:$AG$41,MATCH(D78,'G-1 All Habitats'!AF$25:AF$41,0)),"")</f>
        <v/>
      </c>
      <c r="D78" s="38"/>
      <c r="E78" s="45"/>
      <c r="F78" s="244" t="str">
        <f>IFERROR(INDEX('G-1 All Habitats'!$B$3:$B$135,MATCH(E78,'G-1 All Habitats'!$A$3:$A$135,0)),"")</f>
        <v/>
      </c>
      <c r="G78" s="37"/>
      <c r="H78" s="290" t="str">
        <f>IF(F78="","",VLOOKUP(F78,'G-1 All Habitats'!$B$2:$M$135,10,FALSE))</f>
        <v/>
      </c>
      <c r="I78" s="291" t="str">
        <f>IFERROR(VLOOKUP(H78,'G-1 All Habitats'!$V$3:$W$7,2,FALSE),"")</f>
        <v/>
      </c>
      <c r="J78" s="38"/>
      <c r="K78" s="291" t="str">
        <f>IFERROR(INDEX('G-8 Condition Look up'!$A$3:$H$135,MATCH(F78,'G-8 Condition Look up'!$A$3:$A$135,0),MATCH(J78,'G-8 Condition Look up'!$A$3:$H$3,0)),"")</f>
        <v/>
      </c>
      <c r="L78" s="38"/>
      <c r="M78" s="298" t="str">
        <f>IF(L78="","",IF(VLOOKUP(L78,'G-3 Multipliers'!$L$3:$N$6,2,FALSE)=0,"Spatial Data Missing",VLOOKUP(L78,'G-3 Multipliers'!$L$3:$N$6,2,FALSE)))</f>
        <v/>
      </c>
      <c r="N78" s="296" t="str">
        <f>IF(L78="","",IF(VLOOKUP(L78,'G-3 Multipliers'!$L$3:$N$6,3,FALSE)=0,"Spatial Data Missing",VLOOKUP(L78,'G-3 Multipliers'!$L$3:$N$6,3,FALSE)))</f>
        <v/>
      </c>
      <c r="O78" s="290" t="str">
        <f t="shared" si="6"/>
        <v/>
      </c>
      <c r="P78" s="47"/>
      <c r="Q78" s="47"/>
      <c r="R78" s="298" t="str">
        <f t="shared" si="8"/>
        <v/>
      </c>
      <c r="S78" s="311" t="str">
        <f t="shared" si="9"/>
        <v/>
      </c>
      <c r="T78" s="312" t="str">
        <f>IFERROR(IF(S78="Check Data ⚠","Check Data ⚠",VLOOKUP(S78,'G-4 Temporal multipliers'!$A$4:$C$37,3,FALSE)),"")</f>
        <v/>
      </c>
      <c r="U78" s="313" t="str">
        <f>IF(F78="","",VLOOKUP(F78,'G-3 Multipliers'!$A$2:$E$134,2,FALSE))</f>
        <v/>
      </c>
      <c r="V78" s="310" t="str">
        <f t="shared" si="10"/>
        <v/>
      </c>
      <c r="W78" s="295" t="str">
        <f>IF(E78="","",IF(AND(V78="Standard difficulty applied",O78&gt;P78),U78,IF(AND(V78="Low Difficulty - only applicable if all habitat created before losses ⚠",P78&gt;=O78),"Low",VLOOKUP(F78,'G-3 Multipliers'!$A$2:$E$134,4,FALSE))))</f>
        <v/>
      </c>
      <c r="X78" s="314" t="str">
        <f>IFERROR(IF(E78="","",VLOOKUP(W78, 'G-3 Multipliers'!$P$2:$Q$6,2,FALSE)),"")</f>
        <v/>
      </c>
      <c r="Y78" s="317" t="str">
        <f t="shared" si="11"/>
        <v/>
      </c>
      <c r="Z78" s="163"/>
      <c r="AA78" s="164"/>
      <c r="AB78" s="101"/>
      <c r="AE78" s="25" t="str">
        <f t="shared" si="7"/>
        <v/>
      </c>
    </row>
    <row r="79" spans="1:31" ht="14.5" thickBot="1" x14ac:dyDescent="0.35">
      <c r="A79" s="20" t="str">
        <f>IFERROR(INDEX('G-8 Condition Look up'!$I$4:$I$135,MATCH(F79,'G-8 Condition Look up'!$A$4:$A$135,0)),"")</f>
        <v/>
      </c>
      <c r="B79" s="679">
        <v>69</v>
      </c>
      <c r="C79" s="247" t="str">
        <f>IFERROR(INDEX('G-1 All Habitats'!$AG$25:$AG$41,MATCH(D79,'G-1 All Habitats'!AF$25:AF$41,0)),"")</f>
        <v/>
      </c>
      <c r="D79" s="38"/>
      <c r="E79" s="45"/>
      <c r="F79" s="244" t="str">
        <f>IFERROR(INDEX('G-1 All Habitats'!$B$3:$B$135,MATCH(E79,'G-1 All Habitats'!$A$3:$A$135,0)),"")</f>
        <v/>
      </c>
      <c r="G79" s="37"/>
      <c r="H79" s="290" t="str">
        <f>IF(F79="","",VLOOKUP(F79,'G-1 All Habitats'!$B$2:$M$135,10,FALSE))</f>
        <v/>
      </c>
      <c r="I79" s="291" t="str">
        <f>IFERROR(VLOOKUP(H79,'G-1 All Habitats'!$V$3:$W$7,2,FALSE),"")</f>
        <v/>
      </c>
      <c r="J79" s="38"/>
      <c r="K79" s="291" t="str">
        <f>IFERROR(INDEX('G-8 Condition Look up'!$A$3:$H$135,MATCH(F79,'G-8 Condition Look up'!$A$3:$A$135,0),MATCH(J79,'G-8 Condition Look up'!$A$3:$H$3,0)),"")</f>
        <v/>
      </c>
      <c r="L79" s="38"/>
      <c r="M79" s="298" t="str">
        <f>IF(L79="","",IF(VLOOKUP(L79,'G-3 Multipliers'!$L$3:$N$6,2,FALSE)=0,"Spatial Data Missing",VLOOKUP(L79,'G-3 Multipliers'!$L$3:$N$6,2,FALSE)))</f>
        <v/>
      </c>
      <c r="N79" s="296" t="str">
        <f>IF(L79="","",IF(VLOOKUP(L79,'G-3 Multipliers'!$L$3:$N$6,3,FALSE)=0,"Spatial Data Missing",VLOOKUP(L79,'G-3 Multipliers'!$L$3:$N$6,3,FALSE)))</f>
        <v/>
      </c>
      <c r="O79" s="290" t="str">
        <f t="shared" si="6"/>
        <v/>
      </c>
      <c r="P79" s="47"/>
      <c r="Q79" s="47"/>
      <c r="R79" s="298" t="str">
        <f t="shared" si="8"/>
        <v/>
      </c>
      <c r="S79" s="311" t="str">
        <f t="shared" si="9"/>
        <v/>
      </c>
      <c r="T79" s="312" t="str">
        <f>IFERROR(IF(S79="Check Data ⚠","Check Data ⚠",VLOOKUP(S79,'G-4 Temporal multipliers'!$A$4:$C$37,3,FALSE)),"")</f>
        <v/>
      </c>
      <c r="U79" s="313" t="str">
        <f>IF(F79="","",VLOOKUP(F79,'G-3 Multipliers'!$A$2:$E$134,2,FALSE))</f>
        <v/>
      </c>
      <c r="V79" s="310" t="str">
        <f t="shared" si="10"/>
        <v/>
      </c>
      <c r="W79" s="295" t="str">
        <f>IF(E79="","",IF(AND(V79="Standard difficulty applied",O79&gt;P79),U79,IF(AND(V79="Low Difficulty - only applicable if all habitat created before losses ⚠",P79&gt;=O79),"Low",VLOOKUP(F79,'G-3 Multipliers'!$A$2:$E$134,4,FALSE))))</f>
        <v/>
      </c>
      <c r="X79" s="314" t="str">
        <f>IFERROR(IF(E79="","",VLOOKUP(W79, 'G-3 Multipliers'!$P$2:$Q$6,2,FALSE)),"")</f>
        <v/>
      </c>
      <c r="Y79" s="317" t="str">
        <f t="shared" si="11"/>
        <v/>
      </c>
      <c r="Z79" s="163"/>
      <c r="AA79" s="164"/>
      <c r="AB79" s="101"/>
      <c r="AE79" s="25" t="str">
        <f t="shared" si="7"/>
        <v/>
      </c>
    </row>
    <row r="80" spans="1:31" ht="14.5" thickBot="1" x14ac:dyDescent="0.35">
      <c r="A80" s="20" t="str">
        <f>IFERROR(INDEX('G-8 Condition Look up'!$I$4:$I$135,MATCH(F80,'G-8 Condition Look up'!$A$4:$A$135,0)),"")</f>
        <v/>
      </c>
      <c r="B80" s="679">
        <v>70</v>
      </c>
      <c r="C80" s="247" t="str">
        <f>IFERROR(INDEX('G-1 All Habitats'!$AG$25:$AG$41,MATCH(D80,'G-1 All Habitats'!AF$25:AF$41,0)),"")</f>
        <v/>
      </c>
      <c r="D80" s="38"/>
      <c r="E80" s="45"/>
      <c r="F80" s="244" t="str">
        <f>IFERROR(INDEX('G-1 All Habitats'!$B$3:$B$135,MATCH(E80,'G-1 All Habitats'!$A$3:$A$135,0)),"")</f>
        <v/>
      </c>
      <c r="G80" s="37"/>
      <c r="H80" s="290" t="str">
        <f>IF(F80="","",VLOOKUP(F80,'G-1 All Habitats'!$B$2:$M$135,10,FALSE))</f>
        <v/>
      </c>
      <c r="I80" s="291" t="str">
        <f>IFERROR(VLOOKUP(H80,'G-1 All Habitats'!$V$3:$W$7,2,FALSE),"")</f>
        <v/>
      </c>
      <c r="J80" s="38"/>
      <c r="K80" s="291" t="str">
        <f>IFERROR(INDEX('G-8 Condition Look up'!$A$3:$H$135,MATCH(F80,'G-8 Condition Look up'!$A$3:$A$135,0),MATCH(J80,'G-8 Condition Look up'!$A$3:$H$3,0)),"")</f>
        <v/>
      </c>
      <c r="L80" s="38"/>
      <c r="M80" s="298" t="str">
        <f>IF(L80="","",IF(VLOOKUP(L80,'G-3 Multipliers'!$L$3:$N$6,2,FALSE)=0,"Spatial Data Missing",VLOOKUP(L80,'G-3 Multipliers'!$L$3:$N$6,2,FALSE)))</f>
        <v/>
      </c>
      <c r="N80" s="296" t="str">
        <f>IF(L80="","",IF(VLOOKUP(L80,'G-3 Multipliers'!$L$3:$N$6,3,FALSE)=0,"Spatial Data Missing",VLOOKUP(L80,'G-3 Multipliers'!$L$3:$N$6,3,FALSE)))</f>
        <v/>
      </c>
      <c r="O80" s="290" t="str">
        <f t="shared" si="6"/>
        <v/>
      </c>
      <c r="P80" s="47"/>
      <c r="Q80" s="47"/>
      <c r="R80" s="298" t="str">
        <f t="shared" si="8"/>
        <v/>
      </c>
      <c r="S80" s="311" t="str">
        <f t="shared" si="9"/>
        <v/>
      </c>
      <c r="T80" s="312" t="str">
        <f>IFERROR(IF(S80="Check Data ⚠","Check Data ⚠",VLOOKUP(S80,'G-4 Temporal multipliers'!$A$4:$C$37,3,FALSE)),"")</f>
        <v/>
      </c>
      <c r="U80" s="313" t="str">
        <f>IF(F80="","",VLOOKUP(F80,'G-3 Multipliers'!$A$2:$E$134,2,FALSE))</f>
        <v/>
      </c>
      <c r="V80" s="310" t="str">
        <f t="shared" si="10"/>
        <v/>
      </c>
      <c r="W80" s="295" t="str">
        <f>IF(E80="","",IF(AND(V80="Standard difficulty applied",O80&gt;P80),U80,IF(AND(V80="Low Difficulty - only applicable if all habitat created before losses ⚠",P80&gt;=O80),"Low",VLOOKUP(F80,'G-3 Multipliers'!$A$2:$E$134,4,FALSE))))</f>
        <v/>
      </c>
      <c r="X80" s="314" t="str">
        <f>IFERROR(IF(E80="","",VLOOKUP(W80, 'G-3 Multipliers'!$P$2:$Q$6,2,FALSE)),"")</f>
        <v/>
      </c>
      <c r="Y80" s="317" t="str">
        <f t="shared" si="11"/>
        <v/>
      </c>
      <c r="Z80" s="163"/>
      <c r="AA80" s="164"/>
      <c r="AB80" s="101"/>
      <c r="AE80" s="25" t="str">
        <f t="shared" si="7"/>
        <v/>
      </c>
    </row>
    <row r="81" spans="1:31" ht="14.5" thickBot="1" x14ac:dyDescent="0.35">
      <c r="A81" s="20" t="str">
        <f>IFERROR(INDEX('G-8 Condition Look up'!$I$4:$I$135,MATCH(F81,'G-8 Condition Look up'!$A$4:$A$135,0)),"")</f>
        <v/>
      </c>
      <c r="B81" s="679">
        <v>71</v>
      </c>
      <c r="C81" s="247" t="str">
        <f>IFERROR(INDEX('G-1 All Habitats'!$AG$25:$AG$41,MATCH(D81,'G-1 All Habitats'!AF$25:AF$41,0)),"")</f>
        <v/>
      </c>
      <c r="D81" s="38"/>
      <c r="E81" s="45"/>
      <c r="F81" s="244" t="str">
        <f>IFERROR(INDEX('G-1 All Habitats'!$B$3:$B$135,MATCH(E81,'G-1 All Habitats'!$A$3:$A$135,0)),"")</f>
        <v/>
      </c>
      <c r="G81" s="37"/>
      <c r="H81" s="290" t="str">
        <f>IF(F81="","",VLOOKUP(F81,'G-1 All Habitats'!$B$2:$M$135,10,FALSE))</f>
        <v/>
      </c>
      <c r="I81" s="291" t="str">
        <f>IFERROR(VLOOKUP(H81,'G-1 All Habitats'!$V$3:$W$7,2,FALSE),"")</f>
        <v/>
      </c>
      <c r="J81" s="38"/>
      <c r="K81" s="291" t="str">
        <f>IFERROR(INDEX('G-8 Condition Look up'!$A$3:$H$135,MATCH(F81,'G-8 Condition Look up'!$A$3:$A$135,0),MATCH(J81,'G-8 Condition Look up'!$A$3:$H$3,0)),"")</f>
        <v/>
      </c>
      <c r="L81" s="38"/>
      <c r="M81" s="298" t="str">
        <f>IF(L81="","",IF(VLOOKUP(L81,'G-3 Multipliers'!$L$3:$N$6,2,FALSE)=0,"Spatial Data Missing",VLOOKUP(L81,'G-3 Multipliers'!$L$3:$N$6,2,FALSE)))</f>
        <v/>
      </c>
      <c r="N81" s="296" t="str">
        <f>IF(L81="","",IF(VLOOKUP(L81,'G-3 Multipliers'!$L$3:$N$6,3,FALSE)=0,"Spatial Data Missing",VLOOKUP(L81,'G-3 Multipliers'!$L$3:$N$6,3,FALSE)))</f>
        <v/>
      </c>
      <c r="O81" s="290" t="str">
        <f t="shared" si="6"/>
        <v/>
      </c>
      <c r="P81" s="47"/>
      <c r="Q81" s="47"/>
      <c r="R81" s="298" t="str">
        <f t="shared" si="8"/>
        <v/>
      </c>
      <c r="S81" s="311" t="str">
        <f t="shared" si="9"/>
        <v/>
      </c>
      <c r="T81" s="312" t="str">
        <f>IFERROR(IF(S81="Check Data ⚠","Check Data ⚠",VLOOKUP(S81,'G-4 Temporal multipliers'!$A$4:$C$37,3,FALSE)),"")</f>
        <v/>
      </c>
      <c r="U81" s="313" t="str">
        <f>IF(F81="","",VLOOKUP(F81,'G-3 Multipliers'!$A$2:$E$134,2,FALSE))</f>
        <v/>
      </c>
      <c r="V81" s="310" t="str">
        <f t="shared" si="10"/>
        <v/>
      </c>
      <c r="W81" s="295" t="str">
        <f>IF(E81="","",IF(AND(V81="Standard difficulty applied",O81&gt;P81),U81,IF(AND(V81="Low Difficulty - only applicable if all habitat created before losses ⚠",P81&gt;=O81),"Low",VLOOKUP(F81,'G-3 Multipliers'!$A$2:$E$134,4,FALSE))))</f>
        <v/>
      </c>
      <c r="X81" s="314" t="str">
        <f>IFERROR(IF(E81="","",VLOOKUP(W81, 'G-3 Multipliers'!$P$2:$Q$6,2,FALSE)),"")</f>
        <v/>
      </c>
      <c r="Y81" s="317" t="str">
        <f t="shared" si="11"/>
        <v/>
      </c>
      <c r="Z81" s="163"/>
      <c r="AA81" s="164"/>
      <c r="AB81" s="101"/>
      <c r="AE81" s="25" t="str">
        <f t="shared" si="7"/>
        <v/>
      </c>
    </row>
    <row r="82" spans="1:31" ht="14.5" thickBot="1" x14ac:dyDescent="0.35">
      <c r="A82" s="20" t="str">
        <f>IFERROR(INDEX('G-8 Condition Look up'!$I$4:$I$135,MATCH(F82,'G-8 Condition Look up'!$A$4:$A$135,0)),"")</f>
        <v/>
      </c>
      <c r="B82" s="679">
        <v>72</v>
      </c>
      <c r="C82" s="247" t="str">
        <f>IFERROR(INDEX('G-1 All Habitats'!$AG$25:$AG$41,MATCH(D82,'G-1 All Habitats'!AF$25:AF$41,0)),"")</f>
        <v/>
      </c>
      <c r="D82" s="38"/>
      <c r="E82" s="45"/>
      <c r="F82" s="244" t="str">
        <f>IFERROR(INDEX('G-1 All Habitats'!$B$3:$B$135,MATCH(E82,'G-1 All Habitats'!$A$3:$A$135,0)),"")</f>
        <v/>
      </c>
      <c r="G82" s="37"/>
      <c r="H82" s="290" t="str">
        <f>IF(F82="","",VLOOKUP(F82,'G-1 All Habitats'!$B$2:$M$135,10,FALSE))</f>
        <v/>
      </c>
      <c r="I82" s="291" t="str">
        <f>IFERROR(VLOOKUP(H82,'G-1 All Habitats'!$V$3:$W$7,2,FALSE),"")</f>
        <v/>
      </c>
      <c r="J82" s="38"/>
      <c r="K82" s="291" t="str">
        <f>IFERROR(INDEX('G-8 Condition Look up'!$A$3:$H$135,MATCH(F82,'G-8 Condition Look up'!$A$3:$A$135,0),MATCH(J82,'G-8 Condition Look up'!$A$3:$H$3,0)),"")</f>
        <v/>
      </c>
      <c r="L82" s="38"/>
      <c r="M82" s="298" t="str">
        <f>IF(L82="","",IF(VLOOKUP(L82,'G-3 Multipliers'!$L$3:$N$6,2,FALSE)=0,"Spatial Data Missing",VLOOKUP(L82,'G-3 Multipliers'!$L$3:$N$6,2,FALSE)))</f>
        <v/>
      </c>
      <c r="N82" s="296" t="str">
        <f>IF(L82="","",IF(VLOOKUP(L82,'G-3 Multipliers'!$L$3:$N$6,3,FALSE)=0,"Spatial Data Missing",VLOOKUP(L82,'G-3 Multipliers'!$L$3:$N$6,3,FALSE)))</f>
        <v/>
      </c>
      <c r="O82" s="290" t="str">
        <f t="shared" si="6"/>
        <v/>
      </c>
      <c r="P82" s="47"/>
      <c r="Q82" s="47"/>
      <c r="R82" s="298" t="str">
        <f t="shared" si="8"/>
        <v/>
      </c>
      <c r="S82" s="311" t="str">
        <f t="shared" si="9"/>
        <v/>
      </c>
      <c r="T82" s="312" t="str">
        <f>IFERROR(IF(S82="Check Data ⚠","Check Data ⚠",VLOOKUP(S82,'G-4 Temporal multipliers'!$A$4:$C$37,3,FALSE)),"")</f>
        <v/>
      </c>
      <c r="U82" s="313" t="str">
        <f>IF(F82="","",VLOOKUP(F82,'G-3 Multipliers'!$A$2:$E$134,2,FALSE))</f>
        <v/>
      </c>
      <c r="V82" s="310" t="str">
        <f t="shared" si="10"/>
        <v/>
      </c>
      <c r="W82" s="295" t="str">
        <f>IF(E82="","",IF(AND(V82="Standard difficulty applied",O82&gt;P82),U82,IF(AND(V82="Low Difficulty - only applicable if all habitat created before losses ⚠",P82&gt;=O82),"Low",VLOOKUP(F82,'G-3 Multipliers'!$A$2:$E$134,4,FALSE))))</f>
        <v/>
      </c>
      <c r="X82" s="314" t="str">
        <f>IFERROR(IF(E82="","",VLOOKUP(W82, 'G-3 Multipliers'!$P$2:$Q$6,2,FALSE)),"")</f>
        <v/>
      </c>
      <c r="Y82" s="317" t="str">
        <f t="shared" si="11"/>
        <v/>
      </c>
      <c r="Z82" s="163"/>
      <c r="AA82" s="164"/>
      <c r="AB82" s="101"/>
      <c r="AE82" s="25" t="str">
        <f t="shared" si="7"/>
        <v/>
      </c>
    </row>
    <row r="83" spans="1:31" ht="14.5" thickBot="1" x14ac:dyDescent="0.35">
      <c r="A83" s="20" t="str">
        <f>IFERROR(INDEX('G-8 Condition Look up'!$I$4:$I$135,MATCH(F83,'G-8 Condition Look up'!$A$4:$A$135,0)),"")</f>
        <v/>
      </c>
      <c r="B83" s="679">
        <v>73</v>
      </c>
      <c r="C83" s="247" t="str">
        <f>IFERROR(INDEX('G-1 All Habitats'!$AG$25:$AG$41,MATCH(D83,'G-1 All Habitats'!AF$25:AF$41,0)),"")</f>
        <v/>
      </c>
      <c r="D83" s="38"/>
      <c r="E83" s="45"/>
      <c r="F83" s="244" t="str">
        <f>IFERROR(INDEX('G-1 All Habitats'!$B$3:$B$135,MATCH(E83,'G-1 All Habitats'!$A$3:$A$135,0)),"")</f>
        <v/>
      </c>
      <c r="G83" s="37"/>
      <c r="H83" s="290" t="str">
        <f>IF(F83="","",VLOOKUP(F83,'G-1 All Habitats'!$B$2:$M$135,10,FALSE))</f>
        <v/>
      </c>
      <c r="I83" s="291" t="str">
        <f>IFERROR(VLOOKUP(H83,'G-1 All Habitats'!$V$3:$W$7,2,FALSE),"")</f>
        <v/>
      </c>
      <c r="J83" s="38"/>
      <c r="K83" s="291" t="str">
        <f>IFERROR(INDEX('G-8 Condition Look up'!$A$3:$H$135,MATCH(F83,'G-8 Condition Look up'!$A$3:$A$135,0),MATCH(J83,'G-8 Condition Look up'!$A$3:$H$3,0)),"")</f>
        <v/>
      </c>
      <c r="L83" s="38"/>
      <c r="M83" s="298" t="str">
        <f>IF(L83="","",IF(VLOOKUP(L83,'G-3 Multipliers'!$L$3:$N$6,2,FALSE)=0,"Spatial Data Missing",VLOOKUP(L83,'G-3 Multipliers'!$L$3:$N$6,2,FALSE)))</f>
        <v/>
      </c>
      <c r="N83" s="296" t="str">
        <f>IF(L83="","",IF(VLOOKUP(L83,'G-3 Multipliers'!$L$3:$N$6,3,FALSE)=0,"Spatial Data Missing",VLOOKUP(L83,'G-3 Multipliers'!$L$3:$N$6,3,FALSE)))</f>
        <v/>
      </c>
      <c r="O83" s="290" t="str">
        <f t="shared" si="6"/>
        <v/>
      </c>
      <c r="P83" s="47"/>
      <c r="Q83" s="47"/>
      <c r="R83" s="298" t="str">
        <f t="shared" si="8"/>
        <v/>
      </c>
      <c r="S83" s="311" t="str">
        <f t="shared" si="9"/>
        <v/>
      </c>
      <c r="T83" s="312" t="str">
        <f>IFERROR(IF(S83="Check Data ⚠","Check Data ⚠",VLOOKUP(S83,'G-4 Temporal multipliers'!$A$4:$C$37,3,FALSE)),"")</f>
        <v/>
      </c>
      <c r="U83" s="313" t="str">
        <f>IF(F83="","",VLOOKUP(F83,'G-3 Multipliers'!$A$2:$E$134,2,FALSE))</f>
        <v/>
      </c>
      <c r="V83" s="310" t="str">
        <f t="shared" si="10"/>
        <v/>
      </c>
      <c r="W83" s="295" t="str">
        <f>IF(E83="","",IF(AND(V83="Standard difficulty applied",O83&gt;P83),U83,IF(AND(V83="Low Difficulty - only applicable if all habitat created before losses ⚠",P83&gt;=O83),"Low",VLOOKUP(F83,'G-3 Multipliers'!$A$2:$E$134,4,FALSE))))</f>
        <v/>
      </c>
      <c r="X83" s="314" t="str">
        <f>IFERROR(IF(E83="","",VLOOKUP(W83, 'G-3 Multipliers'!$P$2:$Q$6,2,FALSE)),"")</f>
        <v/>
      </c>
      <c r="Y83" s="317" t="str">
        <f t="shared" si="11"/>
        <v/>
      </c>
      <c r="Z83" s="163"/>
      <c r="AA83" s="164"/>
      <c r="AB83" s="101"/>
      <c r="AE83" s="25" t="str">
        <f t="shared" si="7"/>
        <v/>
      </c>
    </row>
    <row r="84" spans="1:31" ht="14.5" thickBot="1" x14ac:dyDescent="0.35">
      <c r="A84" s="20" t="str">
        <f>IFERROR(INDEX('G-8 Condition Look up'!$I$4:$I$135,MATCH(F84,'G-8 Condition Look up'!$A$4:$A$135,0)),"")</f>
        <v/>
      </c>
      <c r="B84" s="679">
        <v>74</v>
      </c>
      <c r="C84" s="247" t="str">
        <f>IFERROR(INDEX('G-1 All Habitats'!$AG$25:$AG$41,MATCH(D84,'G-1 All Habitats'!AF$25:AF$41,0)),"")</f>
        <v/>
      </c>
      <c r="D84" s="38"/>
      <c r="E84" s="45"/>
      <c r="F84" s="244" t="str">
        <f>IFERROR(INDEX('G-1 All Habitats'!$B$3:$B$135,MATCH(E84,'G-1 All Habitats'!$A$3:$A$135,0)),"")</f>
        <v/>
      </c>
      <c r="G84" s="37"/>
      <c r="H84" s="290" t="str">
        <f>IF(F84="","",VLOOKUP(F84,'G-1 All Habitats'!$B$2:$M$135,10,FALSE))</f>
        <v/>
      </c>
      <c r="I84" s="291" t="str">
        <f>IFERROR(VLOOKUP(H84,'G-1 All Habitats'!$V$3:$W$7,2,FALSE),"")</f>
        <v/>
      </c>
      <c r="J84" s="38"/>
      <c r="K84" s="291" t="str">
        <f>IFERROR(INDEX('G-8 Condition Look up'!$A$3:$H$135,MATCH(F84,'G-8 Condition Look up'!$A$3:$A$135,0),MATCH(J84,'G-8 Condition Look up'!$A$3:$H$3,0)),"")</f>
        <v/>
      </c>
      <c r="L84" s="38"/>
      <c r="M84" s="298" t="str">
        <f>IF(L84="","",IF(VLOOKUP(L84,'G-3 Multipliers'!$L$3:$N$6,2,FALSE)=0,"Spatial Data Missing",VLOOKUP(L84,'G-3 Multipliers'!$L$3:$N$6,2,FALSE)))</f>
        <v/>
      </c>
      <c r="N84" s="296" t="str">
        <f>IF(L84="","",IF(VLOOKUP(L84,'G-3 Multipliers'!$L$3:$N$6,3,FALSE)=0,"Spatial Data Missing",VLOOKUP(L84,'G-3 Multipliers'!$L$3:$N$6,3,FALSE)))</f>
        <v/>
      </c>
      <c r="O84" s="290" t="str">
        <f t="shared" si="6"/>
        <v/>
      </c>
      <c r="P84" s="47"/>
      <c r="Q84" s="47"/>
      <c r="R84" s="298" t="str">
        <f t="shared" si="8"/>
        <v/>
      </c>
      <c r="S84" s="311" t="str">
        <f t="shared" si="9"/>
        <v/>
      </c>
      <c r="T84" s="312" t="str">
        <f>IFERROR(IF(S84="Check Data ⚠","Check Data ⚠",VLOOKUP(S84,'G-4 Temporal multipliers'!$A$4:$C$37,3,FALSE)),"")</f>
        <v/>
      </c>
      <c r="U84" s="313" t="str">
        <f>IF(F84="","",VLOOKUP(F84,'G-3 Multipliers'!$A$2:$E$134,2,FALSE))</f>
        <v/>
      </c>
      <c r="V84" s="310" t="str">
        <f t="shared" si="10"/>
        <v/>
      </c>
      <c r="W84" s="295" t="str">
        <f>IF(E84="","",IF(AND(V84="Standard difficulty applied",O84&gt;P84),U84,IF(AND(V84="Low Difficulty - only applicable if all habitat created before losses ⚠",P84&gt;=O84),"Low",VLOOKUP(F84,'G-3 Multipliers'!$A$2:$E$134,4,FALSE))))</f>
        <v/>
      </c>
      <c r="X84" s="314" t="str">
        <f>IFERROR(IF(E84="","",VLOOKUP(W84, 'G-3 Multipliers'!$P$2:$Q$6,2,FALSE)),"")</f>
        <v/>
      </c>
      <c r="Y84" s="317" t="str">
        <f t="shared" si="11"/>
        <v/>
      </c>
      <c r="Z84" s="163"/>
      <c r="AA84" s="164"/>
      <c r="AB84" s="101"/>
      <c r="AE84" s="25" t="str">
        <f t="shared" si="7"/>
        <v/>
      </c>
    </row>
    <row r="85" spans="1:31" ht="14.5" thickBot="1" x14ac:dyDescent="0.35">
      <c r="A85" s="20" t="str">
        <f>IFERROR(INDEX('G-8 Condition Look up'!$I$4:$I$135,MATCH(F85,'G-8 Condition Look up'!$A$4:$A$135,0)),"")</f>
        <v/>
      </c>
      <c r="B85" s="679">
        <v>75</v>
      </c>
      <c r="C85" s="247" t="str">
        <f>IFERROR(INDEX('G-1 All Habitats'!$AG$25:$AG$41,MATCH(D85,'G-1 All Habitats'!AF$25:AF$41,0)),"")</f>
        <v/>
      </c>
      <c r="D85" s="38"/>
      <c r="E85" s="45"/>
      <c r="F85" s="244" t="str">
        <f>IFERROR(INDEX('G-1 All Habitats'!$B$3:$B$135,MATCH(E85,'G-1 All Habitats'!$A$3:$A$135,0)),"")</f>
        <v/>
      </c>
      <c r="G85" s="37"/>
      <c r="H85" s="290" t="str">
        <f>IF(F85="","",VLOOKUP(F85,'G-1 All Habitats'!$B$2:$M$135,10,FALSE))</f>
        <v/>
      </c>
      <c r="I85" s="291" t="str">
        <f>IFERROR(VLOOKUP(H85,'G-1 All Habitats'!$V$3:$W$7,2,FALSE),"")</f>
        <v/>
      </c>
      <c r="J85" s="38"/>
      <c r="K85" s="291" t="str">
        <f>IFERROR(INDEX('G-8 Condition Look up'!$A$3:$H$135,MATCH(F85,'G-8 Condition Look up'!$A$3:$A$135,0),MATCH(J85,'G-8 Condition Look up'!$A$3:$H$3,0)),"")</f>
        <v/>
      </c>
      <c r="L85" s="38"/>
      <c r="M85" s="298" t="str">
        <f>IF(L85="","",IF(VLOOKUP(L85,'G-3 Multipliers'!$L$3:$N$6,2,FALSE)=0,"Spatial Data Missing",VLOOKUP(L85,'G-3 Multipliers'!$L$3:$N$6,2,FALSE)))</f>
        <v/>
      </c>
      <c r="N85" s="296" t="str">
        <f>IF(L85="","",IF(VLOOKUP(L85,'G-3 Multipliers'!$L$3:$N$6,3,FALSE)=0,"Spatial Data Missing",VLOOKUP(L85,'G-3 Multipliers'!$L$3:$N$6,3,FALSE)))</f>
        <v/>
      </c>
      <c r="O85" s="290" t="str">
        <f t="shared" si="6"/>
        <v/>
      </c>
      <c r="P85" s="47"/>
      <c r="Q85" s="47"/>
      <c r="R85" s="298" t="str">
        <f t="shared" si="8"/>
        <v/>
      </c>
      <c r="S85" s="311" t="str">
        <f t="shared" si="9"/>
        <v/>
      </c>
      <c r="T85" s="312" t="str">
        <f>IFERROR(IF(S85="Check Data ⚠","Check Data ⚠",VLOOKUP(S85,'G-4 Temporal multipliers'!$A$4:$C$37,3,FALSE)),"")</f>
        <v/>
      </c>
      <c r="U85" s="313" t="str">
        <f>IF(F85="","",VLOOKUP(F85,'G-3 Multipliers'!$A$2:$E$134,2,FALSE))</f>
        <v/>
      </c>
      <c r="V85" s="310" t="str">
        <f t="shared" si="10"/>
        <v/>
      </c>
      <c r="W85" s="295" t="str">
        <f>IF(E85="","",IF(AND(V85="Standard difficulty applied",O85&gt;P85),U85,IF(AND(V85="Low Difficulty - only applicable if all habitat created before losses ⚠",P85&gt;=O85),"Low",VLOOKUP(F85,'G-3 Multipliers'!$A$2:$E$134,4,FALSE))))</f>
        <v/>
      </c>
      <c r="X85" s="314" t="str">
        <f>IFERROR(IF(E85="","",VLOOKUP(W85, 'G-3 Multipliers'!$P$2:$Q$6,2,FALSE)),"")</f>
        <v/>
      </c>
      <c r="Y85" s="317" t="str">
        <f t="shared" si="11"/>
        <v/>
      </c>
      <c r="Z85" s="163"/>
      <c r="AA85" s="164"/>
      <c r="AB85" s="101"/>
      <c r="AE85" s="25" t="str">
        <f t="shared" si="7"/>
        <v/>
      </c>
    </row>
    <row r="86" spans="1:31" ht="14.5" thickBot="1" x14ac:dyDescent="0.35">
      <c r="A86" s="20" t="str">
        <f>IFERROR(INDEX('G-8 Condition Look up'!$I$4:$I$135,MATCH(F86,'G-8 Condition Look up'!$A$4:$A$135,0)),"")</f>
        <v/>
      </c>
      <c r="B86" s="679">
        <v>76</v>
      </c>
      <c r="C86" s="247" t="str">
        <f>IFERROR(INDEX('G-1 All Habitats'!$AG$25:$AG$41,MATCH(D86,'G-1 All Habitats'!AF$25:AF$41,0)),"")</f>
        <v/>
      </c>
      <c r="D86" s="38"/>
      <c r="E86" s="45"/>
      <c r="F86" s="244" t="str">
        <f>IFERROR(INDEX('G-1 All Habitats'!$B$3:$B$135,MATCH(E86,'G-1 All Habitats'!$A$3:$A$135,0)),"")</f>
        <v/>
      </c>
      <c r="G86" s="37"/>
      <c r="H86" s="290" t="str">
        <f>IF(F86="","",VLOOKUP(F86,'G-1 All Habitats'!$B$2:$M$135,10,FALSE))</f>
        <v/>
      </c>
      <c r="I86" s="291" t="str">
        <f>IFERROR(VLOOKUP(H86,'G-1 All Habitats'!$V$3:$W$7,2,FALSE),"")</f>
        <v/>
      </c>
      <c r="J86" s="38"/>
      <c r="K86" s="291" t="str">
        <f>IFERROR(INDEX('G-8 Condition Look up'!$A$3:$H$135,MATCH(F86,'G-8 Condition Look up'!$A$3:$A$135,0),MATCH(J86,'G-8 Condition Look up'!$A$3:$H$3,0)),"")</f>
        <v/>
      </c>
      <c r="L86" s="38"/>
      <c r="M86" s="298" t="str">
        <f>IF(L86="","",IF(VLOOKUP(L86,'G-3 Multipliers'!$L$3:$N$6,2,FALSE)=0,"Spatial Data Missing",VLOOKUP(L86,'G-3 Multipliers'!$L$3:$N$6,2,FALSE)))</f>
        <v/>
      </c>
      <c r="N86" s="296" t="str">
        <f>IF(L86="","",IF(VLOOKUP(L86,'G-3 Multipliers'!$L$3:$N$6,3,FALSE)=0,"Spatial Data Missing",VLOOKUP(L86,'G-3 Multipliers'!$L$3:$N$6,3,FALSE)))</f>
        <v/>
      </c>
      <c r="O86" s="290" t="str">
        <f t="shared" si="6"/>
        <v/>
      </c>
      <c r="P86" s="47"/>
      <c r="Q86" s="47"/>
      <c r="R86" s="298" t="str">
        <f t="shared" si="8"/>
        <v/>
      </c>
      <c r="S86" s="311" t="str">
        <f t="shared" si="9"/>
        <v/>
      </c>
      <c r="T86" s="312" t="str">
        <f>IFERROR(IF(S86="Check Data ⚠","Check Data ⚠",VLOOKUP(S86,'G-4 Temporal multipliers'!$A$4:$C$37,3,FALSE)),"")</f>
        <v/>
      </c>
      <c r="U86" s="313" t="str">
        <f>IF(F86="","",VLOOKUP(F86,'G-3 Multipliers'!$A$2:$E$134,2,FALSE))</f>
        <v/>
      </c>
      <c r="V86" s="310" t="str">
        <f t="shared" si="10"/>
        <v/>
      </c>
      <c r="W86" s="295" t="str">
        <f>IF(E86="","",IF(AND(V86="Standard difficulty applied",O86&gt;P86),U86,IF(AND(V86="Low Difficulty - only applicable if all habitat created before losses ⚠",P86&gt;=O86),"Low",VLOOKUP(F86,'G-3 Multipliers'!$A$2:$E$134,4,FALSE))))</f>
        <v/>
      </c>
      <c r="X86" s="314" t="str">
        <f>IFERROR(IF(E86="","",VLOOKUP(W86, 'G-3 Multipliers'!$P$2:$Q$6,2,FALSE)),"")</f>
        <v/>
      </c>
      <c r="Y86" s="317" t="str">
        <f t="shared" si="11"/>
        <v/>
      </c>
      <c r="Z86" s="163"/>
      <c r="AA86" s="164"/>
      <c r="AB86" s="101"/>
      <c r="AE86" s="25" t="str">
        <f t="shared" si="7"/>
        <v/>
      </c>
    </row>
    <row r="87" spans="1:31" ht="14.5" thickBot="1" x14ac:dyDescent="0.35">
      <c r="A87" s="20" t="str">
        <f>IFERROR(INDEX('G-8 Condition Look up'!$I$4:$I$135,MATCH(F87,'G-8 Condition Look up'!$A$4:$A$135,0)),"")</f>
        <v/>
      </c>
      <c r="B87" s="679">
        <v>77</v>
      </c>
      <c r="C87" s="247" t="str">
        <f>IFERROR(INDEX('G-1 All Habitats'!$AG$25:$AG$41,MATCH(D87,'G-1 All Habitats'!AF$25:AF$41,0)),"")</f>
        <v/>
      </c>
      <c r="D87" s="38"/>
      <c r="E87" s="45"/>
      <c r="F87" s="244" t="str">
        <f>IFERROR(INDEX('G-1 All Habitats'!$B$3:$B$135,MATCH(E87,'G-1 All Habitats'!$A$3:$A$135,0)),"")</f>
        <v/>
      </c>
      <c r="G87" s="37"/>
      <c r="H87" s="290" t="str">
        <f>IF(F87="","",VLOOKUP(F87,'G-1 All Habitats'!$B$2:$M$135,10,FALSE))</f>
        <v/>
      </c>
      <c r="I87" s="291" t="str">
        <f>IFERROR(VLOOKUP(H87,'G-1 All Habitats'!$V$3:$W$7,2,FALSE),"")</f>
        <v/>
      </c>
      <c r="J87" s="38"/>
      <c r="K87" s="291" t="str">
        <f>IFERROR(INDEX('G-8 Condition Look up'!$A$3:$H$135,MATCH(F87,'G-8 Condition Look up'!$A$3:$A$135,0),MATCH(J87,'G-8 Condition Look up'!$A$3:$H$3,0)),"")</f>
        <v/>
      </c>
      <c r="L87" s="38"/>
      <c r="M87" s="298" t="str">
        <f>IF(L87="","",IF(VLOOKUP(L87,'G-3 Multipliers'!$L$3:$N$6,2,FALSE)=0,"Spatial Data Missing",VLOOKUP(L87,'G-3 Multipliers'!$L$3:$N$6,2,FALSE)))</f>
        <v/>
      </c>
      <c r="N87" s="296" t="str">
        <f>IF(L87="","",IF(VLOOKUP(L87,'G-3 Multipliers'!$L$3:$N$6,3,FALSE)=0,"Spatial Data Missing",VLOOKUP(L87,'G-3 Multipliers'!$L$3:$N$6,3,FALSE)))</f>
        <v/>
      </c>
      <c r="O87" s="290" t="str">
        <f t="shared" si="6"/>
        <v/>
      </c>
      <c r="P87" s="47"/>
      <c r="Q87" s="47"/>
      <c r="R87" s="298" t="str">
        <f t="shared" si="8"/>
        <v/>
      </c>
      <c r="S87" s="311" t="str">
        <f t="shared" si="9"/>
        <v/>
      </c>
      <c r="T87" s="312" t="str">
        <f>IFERROR(IF(S87="Check Data ⚠","Check Data ⚠",VLOOKUP(S87,'G-4 Temporal multipliers'!$A$4:$C$37,3,FALSE)),"")</f>
        <v/>
      </c>
      <c r="U87" s="313" t="str">
        <f>IF(F87="","",VLOOKUP(F87,'G-3 Multipliers'!$A$2:$E$134,2,FALSE))</f>
        <v/>
      </c>
      <c r="V87" s="310" t="str">
        <f t="shared" si="10"/>
        <v/>
      </c>
      <c r="W87" s="295" t="str">
        <f>IF(E87="","",IF(AND(V87="Standard difficulty applied",O87&gt;P87),U87,IF(AND(V87="Low Difficulty - only applicable if all habitat created before losses ⚠",P87&gt;=O87),"Low",VLOOKUP(F87,'G-3 Multipliers'!$A$2:$E$134,4,FALSE))))</f>
        <v/>
      </c>
      <c r="X87" s="314" t="str">
        <f>IFERROR(IF(E87="","",VLOOKUP(W87, 'G-3 Multipliers'!$P$2:$Q$6,2,FALSE)),"")</f>
        <v/>
      </c>
      <c r="Y87" s="317" t="str">
        <f t="shared" si="11"/>
        <v/>
      </c>
      <c r="Z87" s="163"/>
      <c r="AA87" s="164"/>
      <c r="AB87" s="101"/>
      <c r="AE87" s="25" t="str">
        <f t="shared" si="7"/>
        <v/>
      </c>
    </row>
    <row r="88" spans="1:31" ht="14.5" thickBot="1" x14ac:dyDescent="0.35">
      <c r="A88" s="20" t="str">
        <f>IFERROR(INDEX('G-8 Condition Look up'!$I$4:$I$135,MATCH(F88,'G-8 Condition Look up'!$A$4:$A$135,0)),"")</f>
        <v/>
      </c>
      <c r="B88" s="679">
        <v>78</v>
      </c>
      <c r="C88" s="247" t="str">
        <f>IFERROR(INDEX('G-1 All Habitats'!$AG$25:$AG$41,MATCH(D88,'G-1 All Habitats'!AF$25:AF$41,0)),"")</f>
        <v/>
      </c>
      <c r="D88" s="38"/>
      <c r="E88" s="45"/>
      <c r="F88" s="244" t="str">
        <f>IFERROR(INDEX('G-1 All Habitats'!$B$3:$B$135,MATCH(E88,'G-1 All Habitats'!$A$3:$A$135,0)),"")</f>
        <v/>
      </c>
      <c r="G88" s="37"/>
      <c r="H88" s="290" t="str">
        <f>IF(F88="","",VLOOKUP(F88,'G-1 All Habitats'!$B$2:$M$135,10,FALSE))</f>
        <v/>
      </c>
      <c r="I88" s="291" t="str">
        <f>IFERROR(VLOOKUP(H88,'G-1 All Habitats'!$V$3:$W$7,2,FALSE),"")</f>
        <v/>
      </c>
      <c r="J88" s="38"/>
      <c r="K88" s="291" t="str">
        <f>IFERROR(INDEX('G-8 Condition Look up'!$A$3:$H$135,MATCH(F88,'G-8 Condition Look up'!$A$3:$A$135,0),MATCH(J88,'G-8 Condition Look up'!$A$3:$H$3,0)),"")</f>
        <v/>
      </c>
      <c r="L88" s="38"/>
      <c r="M88" s="298" t="str">
        <f>IF(L88="","",IF(VLOOKUP(L88,'G-3 Multipliers'!$L$3:$N$6,2,FALSE)=0,"Spatial Data Missing",VLOOKUP(L88,'G-3 Multipliers'!$L$3:$N$6,2,FALSE)))</f>
        <v/>
      </c>
      <c r="N88" s="296" t="str">
        <f>IF(L88="","",IF(VLOOKUP(L88,'G-3 Multipliers'!$L$3:$N$6,3,FALSE)=0,"Spatial Data Missing",VLOOKUP(L88,'G-3 Multipliers'!$L$3:$N$6,3,FALSE)))</f>
        <v/>
      </c>
      <c r="O88" s="290" t="str">
        <f t="shared" si="6"/>
        <v/>
      </c>
      <c r="P88" s="47"/>
      <c r="Q88" s="47"/>
      <c r="R88" s="298" t="str">
        <f t="shared" si="8"/>
        <v/>
      </c>
      <c r="S88" s="311" t="str">
        <f t="shared" si="9"/>
        <v/>
      </c>
      <c r="T88" s="312" t="str">
        <f>IFERROR(IF(S88="Check Data ⚠","Check Data ⚠",VLOOKUP(S88,'G-4 Temporal multipliers'!$A$4:$C$37,3,FALSE)),"")</f>
        <v/>
      </c>
      <c r="U88" s="313" t="str">
        <f>IF(F88="","",VLOOKUP(F88,'G-3 Multipliers'!$A$2:$E$134,2,FALSE))</f>
        <v/>
      </c>
      <c r="V88" s="310" t="str">
        <f t="shared" si="10"/>
        <v/>
      </c>
      <c r="W88" s="295" t="str">
        <f>IF(E88="","",IF(AND(V88="Standard difficulty applied",O88&gt;P88),U88,IF(AND(V88="Low Difficulty - only applicable if all habitat created before losses ⚠",P88&gt;=O88),"Low",VLOOKUP(F88,'G-3 Multipliers'!$A$2:$E$134,4,FALSE))))</f>
        <v/>
      </c>
      <c r="X88" s="314" t="str">
        <f>IFERROR(IF(E88="","",VLOOKUP(W88, 'G-3 Multipliers'!$P$2:$Q$6,2,FALSE)),"")</f>
        <v/>
      </c>
      <c r="Y88" s="317" t="str">
        <f t="shared" si="11"/>
        <v/>
      </c>
      <c r="Z88" s="163"/>
      <c r="AA88" s="164"/>
      <c r="AB88" s="101"/>
      <c r="AE88" s="25" t="str">
        <f t="shared" si="7"/>
        <v/>
      </c>
    </row>
    <row r="89" spans="1:31" ht="14.5" thickBot="1" x14ac:dyDescent="0.35">
      <c r="A89" s="20" t="str">
        <f>IFERROR(INDEX('G-8 Condition Look up'!$I$4:$I$135,MATCH(F89,'G-8 Condition Look up'!$A$4:$A$135,0)),"")</f>
        <v/>
      </c>
      <c r="B89" s="679">
        <v>79</v>
      </c>
      <c r="C89" s="247" t="str">
        <f>IFERROR(INDEX('G-1 All Habitats'!$AG$25:$AG$41,MATCH(D89,'G-1 All Habitats'!AF$25:AF$41,0)),"")</f>
        <v/>
      </c>
      <c r="D89" s="38"/>
      <c r="E89" s="45"/>
      <c r="F89" s="244" t="str">
        <f>IFERROR(INDEX('G-1 All Habitats'!$B$3:$B$135,MATCH(E89,'G-1 All Habitats'!$A$3:$A$135,0)),"")</f>
        <v/>
      </c>
      <c r="G89" s="37"/>
      <c r="H89" s="290" t="str">
        <f>IF(F89="","",VLOOKUP(F89,'G-1 All Habitats'!$B$2:$M$135,10,FALSE))</f>
        <v/>
      </c>
      <c r="I89" s="291" t="str">
        <f>IFERROR(VLOOKUP(H89,'G-1 All Habitats'!$V$3:$W$7,2,FALSE),"")</f>
        <v/>
      </c>
      <c r="J89" s="38"/>
      <c r="K89" s="291" t="str">
        <f>IFERROR(INDEX('G-8 Condition Look up'!$A$3:$H$135,MATCH(F89,'G-8 Condition Look up'!$A$3:$A$135,0),MATCH(J89,'G-8 Condition Look up'!$A$3:$H$3,0)),"")</f>
        <v/>
      </c>
      <c r="L89" s="38"/>
      <c r="M89" s="298" t="str">
        <f>IF(L89="","",IF(VLOOKUP(L89,'G-3 Multipliers'!$L$3:$N$6,2,FALSE)=0,"Spatial Data Missing",VLOOKUP(L89,'G-3 Multipliers'!$L$3:$N$6,2,FALSE)))</f>
        <v/>
      </c>
      <c r="N89" s="296" t="str">
        <f>IF(L89="","",IF(VLOOKUP(L89,'G-3 Multipliers'!$L$3:$N$6,3,FALSE)=0,"Spatial Data Missing",VLOOKUP(L89,'G-3 Multipliers'!$L$3:$N$6,3,FALSE)))</f>
        <v/>
      </c>
      <c r="O89" s="290" t="str">
        <f t="shared" si="6"/>
        <v/>
      </c>
      <c r="P89" s="47"/>
      <c r="Q89" s="47"/>
      <c r="R89" s="298" t="str">
        <f t="shared" si="8"/>
        <v/>
      </c>
      <c r="S89" s="311" t="str">
        <f t="shared" si="9"/>
        <v/>
      </c>
      <c r="T89" s="312" t="str">
        <f>IFERROR(IF(S89="Check Data ⚠","Check Data ⚠",VLOOKUP(S89,'G-4 Temporal multipliers'!$A$4:$C$37,3,FALSE)),"")</f>
        <v/>
      </c>
      <c r="U89" s="313" t="str">
        <f>IF(F89="","",VLOOKUP(F89,'G-3 Multipliers'!$A$2:$E$134,2,FALSE))</f>
        <v/>
      </c>
      <c r="V89" s="310" t="str">
        <f t="shared" si="10"/>
        <v/>
      </c>
      <c r="W89" s="295" t="str">
        <f>IF(E89="","",IF(AND(V89="Standard difficulty applied",O89&gt;P89),U89,IF(AND(V89="Low Difficulty - only applicable if all habitat created before losses ⚠",P89&gt;=O89),"Low",VLOOKUP(F89,'G-3 Multipliers'!$A$2:$E$134,4,FALSE))))</f>
        <v/>
      </c>
      <c r="X89" s="314" t="str">
        <f>IFERROR(IF(E89="","",VLOOKUP(W89, 'G-3 Multipliers'!$P$2:$Q$6,2,FALSE)),"")</f>
        <v/>
      </c>
      <c r="Y89" s="317" t="str">
        <f t="shared" si="11"/>
        <v/>
      </c>
      <c r="Z89" s="163"/>
      <c r="AA89" s="164"/>
      <c r="AB89" s="101"/>
      <c r="AE89" s="25" t="str">
        <f t="shared" si="7"/>
        <v/>
      </c>
    </row>
    <row r="90" spans="1:31" ht="14.5" thickBot="1" x14ac:dyDescent="0.35">
      <c r="A90" s="20" t="str">
        <f>IFERROR(INDEX('G-8 Condition Look up'!$I$4:$I$135,MATCH(F90,'G-8 Condition Look up'!$A$4:$A$135,0)),"")</f>
        <v/>
      </c>
      <c r="B90" s="679">
        <v>80</v>
      </c>
      <c r="C90" s="247" t="str">
        <f>IFERROR(INDEX('G-1 All Habitats'!$AG$25:$AG$41,MATCH(D90,'G-1 All Habitats'!AF$25:AF$41,0)),"")</f>
        <v/>
      </c>
      <c r="D90" s="38"/>
      <c r="E90" s="45"/>
      <c r="F90" s="244" t="str">
        <f>IFERROR(INDEX('G-1 All Habitats'!$B$3:$B$135,MATCH(E90,'G-1 All Habitats'!$A$3:$A$135,0)),"")</f>
        <v/>
      </c>
      <c r="G90" s="37"/>
      <c r="H90" s="290" t="str">
        <f>IF(F90="","",VLOOKUP(F90,'G-1 All Habitats'!$B$2:$M$135,10,FALSE))</f>
        <v/>
      </c>
      <c r="I90" s="291" t="str">
        <f>IFERROR(VLOOKUP(H90,'G-1 All Habitats'!$V$3:$W$7,2,FALSE),"")</f>
        <v/>
      </c>
      <c r="J90" s="38"/>
      <c r="K90" s="291" t="str">
        <f>IFERROR(INDEX('G-8 Condition Look up'!$A$3:$H$135,MATCH(F90,'G-8 Condition Look up'!$A$3:$A$135,0),MATCH(J90,'G-8 Condition Look up'!$A$3:$H$3,0)),"")</f>
        <v/>
      </c>
      <c r="L90" s="38"/>
      <c r="M90" s="298" t="str">
        <f>IF(L90="","",IF(VLOOKUP(L90,'G-3 Multipliers'!$L$3:$N$6,2,FALSE)=0,"Spatial Data Missing",VLOOKUP(L90,'G-3 Multipliers'!$L$3:$N$6,2,FALSE)))</f>
        <v/>
      </c>
      <c r="N90" s="296" t="str">
        <f>IF(L90="","",IF(VLOOKUP(L90,'G-3 Multipliers'!$L$3:$N$6,3,FALSE)=0,"Spatial Data Missing",VLOOKUP(L90,'G-3 Multipliers'!$L$3:$N$6,3,FALSE)))</f>
        <v/>
      </c>
      <c r="O90" s="290" t="str">
        <f t="shared" si="6"/>
        <v/>
      </c>
      <c r="P90" s="47"/>
      <c r="Q90" s="47"/>
      <c r="R90" s="298" t="str">
        <f t="shared" si="8"/>
        <v/>
      </c>
      <c r="S90" s="311" t="str">
        <f t="shared" si="9"/>
        <v/>
      </c>
      <c r="T90" s="312" t="str">
        <f>IFERROR(IF(S90="Check Data ⚠","Check Data ⚠",VLOOKUP(S90,'G-4 Temporal multipliers'!$A$4:$C$37,3,FALSE)),"")</f>
        <v/>
      </c>
      <c r="U90" s="313" t="str">
        <f>IF(F90="","",VLOOKUP(F90,'G-3 Multipliers'!$A$2:$E$134,2,FALSE))</f>
        <v/>
      </c>
      <c r="V90" s="310" t="str">
        <f t="shared" si="10"/>
        <v/>
      </c>
      <c r="W90" s="295" t="str">
        <f>IF(E90="","",IF(AND(V90="Standard difficulty applied",O90&gt;P90),U90,IF(AND(V90="Low Difficulty - only applicable if all habitat created before losses ⚠",P90&gt;=O90),"Low",VLOOKUP(F90,'G-3 Multipliers'!$A$2:$E$134,4,FALSE))))</f>
        <v/>
      </c>
      <c r="X90" s="314" t="str">
        <f>IFERROR(IF(E90="","",VLOOKUP(W90, 'G-3 Multipliers'!$P$2:$Q$6,2,FALSE)),"")</f>
        <v/>
      </c>
      <c r="Y90" s="317" t="str">
        <f t="shared" si="11"/>
        <v/>
      </c>
      <c r="Z90" s="163"/>
      <c r="AA90" s="164"/>
      <c r="AB90" s="101"/>
      <c r="AE90" s="25" t="str">
        <f t="shared" si="7"/>
        <v/>
      </c>
    </row>
    <row r="91" spans="1:31" ht="14.5" thickBot="1" x14ac:dyDescent="0.35">
      <c r="A91" s="20" t="str">
        <f>IFERROR(INDEX('G-8 Condition Look up'!$I$4:$I$135,MATCH(F91,'G-8 Condition Look up'!$A$4:$A$135,0)),"")</f>
        <v/>
      </c>
      <c r="B91" s="679">
        <v>81</v>
      </c>
      <c r="C91" s="247" t="str">
        <f>IFERROR(INDEX('G-1 All Habitats'!$AG$25:$AG$41,MATCH(D91,'G-1 All Habitats'!AF$25:AF$41,0)),"")</f>
        <v/>
      </c>
      <c r="D91" s="38"/>
      <c r="E91" s="45"/>
      <c r="F91" s="244" t="str">
        <f>IFERROR(INDEX('G-1 All Habitats'!$B$3:$B$135,MATCH(E91,'G-1 All Habitats'!$A$3:$A$135,0)),"")</f>
        <v/>
      </c>
      <c r="G91" s="37"/>
      <c r="H91" s="290" t="str">
        <f>IF(F91="","",VLOOKUP(F91,'G-1 All Habitats'!$B$2:$M$135,10,FALSE))</f>
        <v/>
      </c>
      <c r="I91" s="291" t="str">
        <f>IFERROR(VLOOKUP(H91,'G-1 All Habitats'!$V$3:$W$7,2,FALSE),"")</f>
        <v/>
      </c>
      <c r="J91" s="38"/>
      <c r="K91" s="291" t="str">
        <f>IFERROR(INDEX('G-8 Condition Look up'!$A$3:$H$135,MATCH(F91,'G-8 Condition Look up'!$A$3:$A$135,0),MATCH(J91,'G-8 Condition Look up'!$A$3:$H$3,0)),"")</f>
        <v/>
      </c>
      <c r="L91" s="38"/>
      <c r="M91" s="298" t="str">
        <f>IF(L91="","",IF(VLOOKUP(L91,'G-3 Multipliers'!$L$3:$N$6,2,FALSE)=0,"Spatial Data Missing",VLOOKUP(L91,'G-3 Multipliers'!$L$3:$N$6,2,FALSE)))</f>
        <v/>
      </c>
      <c r="N91" s="296" t="str">
        <f>IF(L91="","",IF(VLOOKUP(L91,'G-3 Multipliers'!$L$3:$N$6,3,FALSE)=0,"Spatial Data Missing",VLOOKUP(L91,'G-3 Multipliers'!$L$3:$N$6,3,FALSE)))</f>
        <v/>
      </c>
      <c r="O91" s="290" t="str">
        <f t="shared" si="6"/>
        <v/>
      </c>
      <c r="P91" s="47"/>
      <c r="Q91" s="47"/>
      <c r="R91" s="298" t="str">
        <f t="shared" si="8"/>
        <v/>
      </c>
      <c r="S91" s="311" t="str">
        <f t="shared" si="9"/>
        <v/>
      </c>
      <c r="T91" s="312" t="str">
        <f>IFERROR(IF(S91="Check Data ⚠","Check Data ⚠",VLOOKUP(S91,'G-4 Temporal multipliers'!$A$4:$C$37,3,FALSE)),"")</f>
        <v/>
      </c>
      <c r="U91" s="313" t="str">
        <f>IF(F91="","",VLOOKUP(F91,'G-3 Multipliers'!$A$2:$E$134,2,FALSE))</f>
        <v/>
      </c>
      <c r="V91" s="310" t="str">
        <f t="shared" si="10"/>
        <v/>
      </c>
      <c r="W91" s="295" t="str">
        <f>IF(E91="","",IF(AND(V91="Standard difficulty applied",O91&gt;P91),U91,IF(AND(V91="Low Difficulty - only applicable if all habitat created before losses ⚠",P91&gt;=O91),"Low",VLOOKUP(F91,'G-3 Multipliers'!$A$2:$E$134,4,FALSE))))</f>
        <v/>
      </c>
      <c r="X91" s="314" t="str">
        <f>IFERROR(IF(E91="","",VLOOKUP(W91, 'G-3 Multipliers'!$P$2:$Q$6,2,FALSE)),"")</f>
        <v/>
      </c>
      <c r="Y91" s="317" t="str">
        <f t="shared" si="11"/>
        <v/>
      </c>
      <c r="Z91" s="163"/>
      <c r="AA91" s="164"/>
      <c r="AB91" s="101"/>
      <c r="AE91" s="25" t="str">
        <f t="shared" si="7"/>
        <v/>
      </c>
    </row>
    <row r="92" spans="1:31" ht="14.5" thickBot="1" x14ac:dyDescent="0.35">
      <c r="A92" s="20" t="str">
        <f>IFERROR(INDEX('G-8 Condition Look up'!$I$4:$I$135,MATCH(F92,'G-8 Condition Look up'!$A$4:$A$135,0)),"")</f>
        <v/>
      </c>
      <c r="B92" s="679">
        <v>82</v>
      </c>
      <c r="C92" s="247" t="str">
        <f>IFERROR(INDEX('G-1 All Habitats'!$AG$25:$AG$41,MATCH(D92,'G-1 All Habitats'!AF$25:AF$41,0)),"")</f>
        <v/>
      </c>
      <c r="D92" s="38"/>
      <c r="E92" s="45"/>
      <c r="F92" s="244" t="str">
        <f>IFERROR(INDEX('G-1 All Habitats'!$B$3:$B$135,MATCH(E92,'G-1 All Habitats'!$A$3:$A$135,0)),"")</f>
        <v/>
      </c>
      <c r="G92" s="37"/>
      <c r="H92" s="290" t="str">
        <f>IF(F92="","",VLOOKUP(F92,'G-1 All Habitats'!$B$2:$M$135,10,FALSE))</f>
        <v/>
      </c>
      <c r="I92" s="291" t="str">
        <f>IFERROR(VLOOKUP(H92,'G-1 All Habitats'!$V$3:$W$7,2,FALSE),"")</f>
        <v/>
      </c>
      <c r="J92" s="38"/>
      <c r="K92" s="291" t="str">
        <f>IFERROR(INDEX('G-8 Condition Look up'!$A$3:$H$135,MATCH(F92,'G-8 Condition Look up'!$A$3:$A$135,0),MATCH(J92,'G-8 Condition Look up'!$A$3:$H$3,0)),"")</f>
        <v/>
      </c>
      <c r="L92" s="38"/>
      <c r="M92" s="298" t="str">
        <f>IF(L92="","",IF(VLOOKUP(L92,'G-3 Multipliers'!$L$3:$N$6,2,FALSE)=0,"Spatial Data Missing",VLOOKUP(L92,'G-3 Multipliers'!$L$3:$N$6,2,FALSE)))</f>
        <v/>
      </c>
      <c r="N92" s="296" t="str">
        <f>IF(L92="","",IF(VLOOKUP(L92,'G-3 Multipliers'!$L$3:$N$6,3,FALSE)=0,"Spatial Data Missing",VLOOKUP(L92,'G-3 Multipliers'!$L$3:$N$6,3,FALSE)))</f>
        <v/>
      </c>
      <c r="O92" s="290" t="str">
        <f t="shared" si="6"/>
        <v/>
      </c>
      <c r="P92" s="47"/>
      <c r="Q92" s="47"/>
      <c r="R92" s="298" t="str">
        <f t="shared" si="8"/>
        <v/>
      </c>
      <c r="S92" s="311" t="str">
        <f t="shared" si="9"/>
        <v/>
      </c>
      <c r="T92" s="312" t="str">
        <f>IFERROR(IF(S92="Check Data ⚠","Check Data ⚠",VLOOKUP(S92,'G-4 Temporal multipliers'!$A$4:$C$37,3,FALSE)),"")</f>
        <v/>
      </c>
      <c r="U92" s="313" t="str">
        <f>IF(F92="","",VLOOKUP(F92,'G-3 Multipliers'!$A$2:$E$134,2,FALSE))</f>
        <v/>
      </c>
      <c r="V92" s="310" t="str">
        <f t="shared" si="10"/>
        <v/>
      </c>
      <c r="W92" s="295" t="str">
        <f>IF(E92="","",IF(AND(V92="Standard difficulty applied",O92&gt;P92),U92,IF(AND(V92="Low Difficulty - only applicable if all habitat created before losses ⚠",P92&gt;=O92),"Low",VLOOKUP(F92,'G-3 Multipliers'!$A$2:$E$134,4,FALSE))))</f>
        <v/>
      </c>
      <c r="X92" s="314" t="str">
        <f>IFERROR(IF(E92="","",VLOOKUP(W92, 'G-3 Multipliers'!$P$2:$Q$6,2,FALSE)),"")</f>
        <v/>
      </c>
      <c r="Y92" s="317" t="str">
        <f t="shared" si="11"/>
        <v/>
      </c>
      <c r="Z92" s="163"/>
      <c r="AA92" s="164"/>
      <c r="AB92" s="101"/>
      <c r="AE92" s="25" t="str">
        <f t="shared" si="7"/>
        <v/>
      </c>
    </row>
    <row r="93" spans="1:31" ht="14.5" thickBot="1" x14ac:dyDescent="0.35">
      <c r="A93" s="20" t="str">
        <f>IFERROR(INDEX('G-8 Condition Look up'!$I$4:$I$135,MATCH(F93,'G-8 Condition Look up'!$A$4:$A$135,0)),"")</f>
        <v/>
      </c>
      <c r="B93" s="679">
        <v>83</v>
      </c>
      <c r="C93" s="247" t="str">
        <f>IFERROR(INDEX('G-1 All Habitats'!$AG$25:$AG$41,MATCH(D93,'G-1 All Habitats'!AF$25:AF$41,0)),"")</f>
        <v/>
      </c>
      <c r="D93" s="38"/>
      <c r="E93" s="45"/>
      <c r="F93" s="244" t="str">
        <f>IFERROR(INDEX('G-1 All Habitats'!$B$3:$B$135,MATCH(E93,'G-1 All Habitats'!$A$3:$A$135,0)),"")</f>
        <v/>
      </c>
      <c r="G93" s="37"/>
      <c r="H93" s="290" t="str">
        <f>IF(F93="","",VLOOKUP(F93,'G-1 All Habitats'!$B$2:$M$135,10,FALSE))</f>
        <v/>
      </c>
      <c r="I93" s="291" t="str">
        <f>IFERROR(VLOOKUP(H93,'G-1 All Habitats'!$V$3:$W$7,2,FALSE),"")</f>
        <v/>
      </c>
      <c r="J93" s="38"/>
      <c r="K93" s="291" t="str">
        <f>IFERROR(INDEX('G-8 Condition Look up'!$A$3:$H$135,MATCH(F93,'G-8 Condition Look up'!$A$3:$A$135,0),MATCH(J93,'G-8 Condition Look up'!$A$3:$H$3,0)),"")</f>
        <v/>
      </c>
      <c r="L93" s="38"/>
      <c r="M93" s="298" t="str">
        <f>IF(L93="","",IF(VLOOKUP(L93,'G-3 Multipliers'!$L$3:$N$6,2,FALSE)=0,"Spatial Data Missing",VLOOKUP(L93,'G-3 Multipliers'!$L$3:$N$6,2,FALSE)))</f>
        <v/>
      </c>
      <c r="N93" s="296" t="str">
        <f>IF(L93="","",IF(VLOOKUP(L93,'G-3 Multipliers'!$L$3:$N$6,3,FALSE)=0,"Spatial Data Missing",VLOOKUP(L93,'G-3 Multipliers'!$L$3:$N$6,3,FALSE)))</f>
        <v/>
      </c>
      <c r="O93" s="290" t="str">
        <f t="shared" si="6"/>
        <v/>
      </c>
      <c r="P93" s="47"/>
      <c r="Q93" s="47"/>
      <c r="R93" s="298" t="str">
        <f t="shared" si="8"/>
        <v/>
      </c>
      <c r="S93" s="311" t="str">
        <f t="shared" si="9"/>
        <v/>
      </c>
      <c r="T93" s="312" t="str">
        <f>IFERROR(IF(S93="Check Data ⚠","Check Data ⚠",VLOOKUP(S93,'G-4 Temporal multipliers'!$A$4:$C$37,3,FALSE)),"")</f>
        <v/>
      </c>
      <c r="U93" s="313" t="str">
        <f>IF(F93="","",VLOOKUP(F93,'G-3 Multipliers'!$A$2:$E$134,2,FALSE))</f>
        <v/>
      </c>
      <c r="V93" s="310" t="str">
        <f t="shared" si="10"/>
        <v/>
      </c>
      <c r="W93" s="295" t="str">
        <f>IF(E93="","",IF(AND(V93="Standard difficulty applied",O93&gt;P93),U93,IF(AND(V93="Low Difficulty - only applicable if all habitat created before losses ⚠",P93&gt;=O93),"Low",VLOOKUP(F93,'G-3 Multipliers'!$A$2:$E$134,4,FALSE))))</f>
        <v/>
      </c>
      <c r="X93" s="314" t="str">
        <f>IFERROR(IF(E93="","",VLOOKUP(W93, 'G-3 Multipliers'!$P$2:$Q$6,2,FALSE)),"")</f>
        <v/>
      </c>
      <c r="Y93" s="317" t="str">
        <f t="shared" si="11"/>
        <v/>
      </c>
      <c r="Z93" s="163"/>
      <c r="AA93" s="164"/>
      <c r="AB93" s="101"/>
      <c r="AE93" s="25" t="str">
        <f t="shared" si="7"/>
        <v/>
      </c>
    </row>
    <row r="94" spans="1:31" ht="14.5" thickBot="1" x14ac:dyDescent="0.35">
      <c r="A94" s="20" t="str">
        <f>IFERROR(INDEX('G-8 Condition Look up'!$I$4:$I$135,MATCH(F94,'G-8 Condition Look up'!$A$4:$A$135,0)),"")</f>
        <v/>
      </c>
      <c r="B94" s="679">
        <v>84</v>
      </c>
      <c r="C94" s="247" t="str">
        <f>IFERROR(INDEX('G-1 All Habitats'!$AG$25:$AG$41,MATCH(D94,'G-1 All Habitats'!AF$25:AF$41,0)),"")</f>
        <v/>
      </c>
      <c r="D94" s="38"/>
      <c r="E94" s="45"/>
      <c r="F94" s="244" t="str">
        <f>IFERROR(INDEX('G-1 All Habitats'!$B$3:$B$135,MATCH(E94,'G-1 All Habitats'!$A$3:$A$135,0)),"")</f>
        <v/>
      </c>
      <c r="G94" s="37"/>
      <c r="H94" s="290" t="str">
        <f>IF(F94="","",VLOOKUP(F94,'G-1 All Habitats'!$B$2:$M$135,10,FALSE))</f>
        <v/>
      </c>
      <c r="I94" s="291" t="str">
        <f>IFERROR(VLOOKUP(H94,'G-1 All Habitats'!$V$3:$W$7,2,FALSE),"")</f>
        <v/>
      </c>
      <c r="J94" s="38"/>
      <c r="K94" s="291" t="str">
        <f>IFERROR(INDEX('G-8 Condition Look up'!$A$3:$H$135,MATCH(F94,'G-8 Condition Look up'!$A$3:$A$135,0),MATCH(J94,'G-8 Condition Look up'!$A$3:$H$3,0)),"")</f>
        <v/>
      </c>
      <c r="L94" s="38"/>
      <c r="M94" s="298" t="str">
        <f>IF(L94="","",IF(VLOOKUP(L94,'G-3 Multipliers'!$L$3:$N$6,2,FALSE)=0,"Spatial Data Missing",VLOOKUP(L94,'G-3 Multipliers'!$L$3:$N$6,2,FALSE)))</f>
        <v/>
      </c>
      <c r="N94" s="296" t="str">
        <f>IF(L94="","",IF(VLOOKUP(L94,'G-3 Multipliers'!$L$3:$N$6,3,FALSE)=0,"Spatial Data Missing",VLOOKUP(L94,'G-3 Multipliers'!$L$3:$N$6,3,FALSE)))</f>
        <v/>
      </c>
      <c r="O94" s="290" t="str">
        <f t="shared" si="6"/>
        <v/>
      </c>
      <c r="P94" s="47"/>
      <c r="Q94" s="47"/>
      <c r="R94" s="298" t="str">
        <f t="shared" si="8"/>
        <v/>
      </c>
      <c r="S94" s="311" t="str">
        <f t="shared" si="9"/>
        <v/>
      </c>
      <c r="T94" s="312" t="str">
        <f>IFERROR(IF(S94="Check Data ⚠","Check Data ⚠",VLOOKUP(S94,'G-4 Temporal multipliers'!$A$4:$C$37,3,FALSE)),"")</f>
        <v/>
      </c>
      <c r="U94" s="313" t="str">
        <f>IF(F94="","",VLOOKUP(F94,'G-3 Multipliers'!$A$2:$E$134,2,FALSE))</f>
        <v/>
      </c>
      <c r="V94" s="310" t="str">
        <f t="shared" si="10"/>
        <v/>
      </c>
      <c r="W94" s="295" t="str">
        <f>IF(E94="","",IF(AND(V94="Standard difficulty applied",O94&gt;P94),U94,IF(AND(V94="Low Difficulty - only applicable if all habitat created before losses ⚠",P94&gt;=O94),"Low",VLOOKUP(F94,'G-3 Multipliers'!$A$2:$E$134,4,FALSE))))</f>
        <v/>
      </c>
      <c r="X94" s="314" t="str">
        <f>IFERROR(IF(E94="","",VLOOKUP(W94, 'G-3 Multipliers'!$P$2:$Q$6,2,FALSE)),"")</f>
        <v/>
      </c>
      <c r="Y94" s="317" t="str">
        <f t="shared" si="11"/>
        <v/>
      </c>
      <c r="Z94" s="163"/>
      <c r="AA94" s="164"/>
      <c r="AB94" s="101"/>
      <c r="AE94" s="25" t="str">
        <f t="shared" si="7"/>
        <v/>
      </c>
    </row>
    <row r="95" spans="1:31" ht="14.5" thickBot="1" x14ac:dyDescent="0.35">
      <c r="A95" s="20" t="str">
        <f>IFERROR(INDEX('G-8 Condition Look up'!$I$4:$I$135,MATCH(F95,'G-8 Condition Look up'!$A$4:$A$135,0)),"")</f>
        <v/>
      </c>
      <c r="B95" s="679">
        <v>85</v>
      </c>
      <c r="C95" s="247" t="str">
        <f>IFERROR(INDEX('G-1 All Habitats'!$AG$25:$AG$41,MATCH(D95,'G-1 All Habitats'!AF$25:AF$41,0)),"")</f>
        <v/>
      </c>
      <c r="D95" s="38"/>
      <c r="E95" s="45"/>
      <c r="F95" s="244" t="str">
        <f>IFERROR(INDEX('G-1 All Habitats'!$B$3:$B$135,MATCH(E95,'G-1 All Habitats'!$A$3:$A$135,0)),"")</f>
        <v/>
      </c>
      <c r="G95" s="37"/>
      <c r="H95" s="290" t="str">
        <f>IF(F95="","",VLOOKUP(F95,'G-1 All Habitats'!$B$2:$M$135,10,FALSE))</f>
        <v/>
      </c>
      <c r="I95" s="291" t="str">
        <f>IFERROR(VLOOKUP(H95,'G-1 All Habitats'!$V$3:$W$7,2,FALSE),"")</f>
        <v/>
      </c>
      <c r="J95" s="38"/>
      <c r="K95" s="291" t="str">
        <f>IFERROR(INDEX('G-8 Condition Look up'!$A$3:$H$135,MATCH(F95,'G-8 Condition Look up'!$A$3:$A$135,0),MATCH(J95,'G-8 Condition Look up'!$A$3:$H$3,0)),"")</f>
        <v/>
      </c>
      <c r="L95" s="38"/>
      <c r="M95" s="298" t="str">
        <f>IF(L95="","",IF(VLOOKUP(L95,'G-3 Multipliers'!$L$3:$N$6,2,FALSE)=0,"Spatial Data Missing",VLOOKUP(L95,'G-3 Multipliers'!$L$3:$N$6,2,FALSE)))</f>
        <v/>
      </c>
      <c r="N95" s="296" t="str">
        <f>IF(L95="","",IF(VLOOKUP(L95,'G-3 Multipliers'!$L$3:$N$6,3,FALSE)=0,"Spatial Data Missing",VLOOKUP(L95,'G-3 Multipliers'!$L$3:$N$6,3,FALSE)))</f>
        <v/>
      </c>
      <c r="O95" s="290" t="str">
        <f t="shared" si="6"/>
        <v/>
      </c>
      <c r="P95" s="47"/>
      <c r="Q95" s="47"/>
      <c r="R95" s="298" t="str">
        <f t="shared" si="8"/>
        <v/>
      </c>
      <c r="S95" s="311" t="str">
        <f t="shared" si="9"/>
        <v/>
      </c>
      <c r="T95" s="312" t="str">
        <f>IFERROR(IF(S95="Check Data ⚠","Check Data ⚠",VLOOKUP(S95,'G-4 Temporal multipliers'!$A$4:$C$37,3,FALSE)),"")</f>
        <v/>
      </c>
      <c r="U95" s="313" t="str">
        <f>IF(F95="","",VLOOKUP(F95,'G-3 Multipliers'!$A$2:$E$134,2,FALSE))</f>
        <v/>
      </c>
      <c r="V95" s="310" t="str">
        <f t="shared" si="10"/>
        <v/>
      </c>
      <c r="W95" s="295" t="str">
        <f>IF(E95="","",IF(AND(V95="Standard difficulty applied",O95&gt;P95),U95,IF(AND(V95="Low Difficulty - only applicable if all habitat created before losses ⚠",P95&gt;=O95),"Low",VLOOKUP(F95,'G-3 Multipliers'!$A$2:$E$134,4,FALSE))))</f>
        <v/>
      </c>
      <c r="X95" s="314" t="str">
        <f>IFERROR(IF(E95="","",VLOOKUP(W95, 'G-3 Multipliers'!$P$2:$Q$6,2,FALSE)),"")</f>
        <v/>
      </c>
      <c r="Y95" s="317" t="str">
        <f t="shared" si="11"/>
        <v/>
      </c>
      <c r="Z95" s="163"/>
      <c r="AA95" s="164"/>
      <c r="AB95" s="101"/>
      <c r="AE95" s="25" t="str">
        <f t="shared" si="7"/>
        <v/>
      </c>
    </row>
    <row r="96" spans="1:31" ht="14.5" thickBot="1" x14ac:dyDescent="0.35">
      <c r="A96" s="20" t="str">
        <f>IFERROR(INDEX('G-8 Condition Look up'!$I$4:$I$135,MATCH(F96,'G-8 Condition Look up'!$A$4:$A$135,0)),"")</f>
        <v/>
      </c>
      <c r="B96" s="679">
        <v>86</v>
      </c>
      <c r="C96" s="247" t="str">
        <f>IFERROR(INDEX('G-1 All Habitats'!$AG$25:$AG$41,MATCH(D96,'G-1 All Habitats'!AF$25:AF$41,0)),"")</f>
        <v/>
      </c>
      <c r="D96" s="38"/>
      <c r="E96" s="45"/>
      <c r="F96" s="244" t="str">
        <f>IFERROR(INDEX('G-1 All Habitats'!$B$3:$B$135,MATCH(E96,'G-1 All Habitats'!$A$3:$A$135,0)),"")</f>
        <v/>
      </c>
      <c r="G96" s="37"/>
      <c r="H96" s="290" t="str">
        <f>IF(F96="","",VLOOKUP(F96,'G-1 All Habitats'!$B$2:$M$135,10,FALSE))</f>
        <v/>
      </c>
      <c r="I96" s="291" t="str">
        <f>IFERROR(VLOOKUP(H96,'G-1 All Habitats'!$V$3:$W$7,2,FALSE),"")</f>
        <v/>
      </c>
      <c r="J96" s="38"/>
      <c r="K96" s="291" t="str">
        <f>IFERROR(INDEX('G-8 Condition Look up'!$A$3:$H$135,MATCH(F96,'G-8 Condition Look up'!$A$3:$A$135,0),MATCH(J96,'G-8 Condition Look up'!$A$3:$H$3,0)),"")</f>
        <v/>
      </c>
      <c r="L96" s="38"/>
      <c r="M96" s="298" t="str">
        <f>IF(L96="","",IF(VLOOKUP(L96,'G-3 Multipliers'!$L$3:$N$6,2,FALSE)=0,"Spatial Data Missing",VLOOKUP(L96,'G-3 Multipliers'!$L$3:$N$6,2,FALSE)))</f>
        <v/>
      </c>
      <c r="N96" s="296" t="str">
        <f>IF(L96="","",IF(VLOOKUP(L96,'G-3 Multipliers'!$L$3:$N$6,3,FALSE)=0,"Spatial Data Missing",VLOOKUP(L96,'G-3 Multipliers'!$L$3:$N$6,3,FALSE)))</f>
        <v/>
      </c>
      <c r="O96" s="290" t="str">
        <f t="shared" si="6"/>
        <v/>
      </c>
      <c r="P96" s="47"/>
      <c r="Q96" s="47"/>
      <c r="R96" s="298" t="str">
        <f t="shared" si="8"/>
        <v/>
      </c>
      <c r="S96" s="311" t="str">
        <f t="shared" si="9"/>
        <v/>
      </c>
      <c r="T96" s="312" t="str">
        <f>IFERROR(IF(S96="Check Data ⚠","Check Data ⚠",VLOOKUP(S96,'G-4 Temporal multipliers'!$A$4:$C$37,3,FALSE)),"")</f>
        <v/>
      </c>
      <c r="U96" s="313" t="str">
        <f>IF(F96="","",VLOOKUP(F96,'G-3 Multipliers'!$A$2:$E$134,2,FALSE))</f>
        <v/>
      </c>
      <c r="V96" s="310" t="str">
        <f t="shared" si="10"/>
        <v/>
      </c>
      <c r="W96" s="295" t="str">
        <f>IF(E96="","",IF(AND(V96="Standard difficulty applied",O96&gt;P96),U96,IF(AND(V96="Low Difficulty - only applicable if all habitat created before losses ⚠",P96&gt;=O96),"Low",VLOOKUP(F96,'G-3 Multipliers'!$A$2:$E$134,4,FALSE))))</f>
        <v/>
      </c>
      <c r="X96" s="314" t="str">
        <f>IFERROR(IF(E96="","",VLOOKUP(W96, 'G-3 Multipliers'!$P$2:$Q$6,2,FALSE)),"")</f>
        <v/>
      </c>
      <c r="Y96" s="317" t="str">
        <f t="shared" si="11"/>
        <v/>
      </c>
      <c r="Z96" s="163"/>
      <c r="AA96" s="164"/>
      <c r="AB96" s="101"/>
      <c r="AE96" s="25" t="str">
        <f t="shared" si="7"/>
        <v/>
      </c>
    </row>
    <row r="97" spans="1:31" ht="14.5" thickBot="1" x14ac:dyDescent="0.35">
      <c r="A97" s="20" t="str">
        <f>IFERROR(INDEX('G-8 Condition Look up'!$I$4:$I$135,MATCH(F97,'G-8 Condition Look up'!$A$4:$A$135,0)),"")</f>
        <v/>
      </c>
      <c r="B97" s="679">
        <v>87</v>
      </c>
      <c r="C97" s="247" t="str">
        <f>IFERROR(INDEX('G-1 All Habitats'!$AG$25:$AG$41,MATCH(D97,'G-1 All Habitats'!AF$25:AF$41,0)),"")</f>
        <v/>
      </c>
      <c r="D97" s="38"/>
      <c r="E97" s="45"/>
      <c r="F97" s="244" t="str">
        <f>IFERROR(INDEX('G-1 All Habitats'!$B$3:$B$135,MATCH(E97,'G-1 All Habitats'!$A$3:$A$135,0)),"")</f>
        <v/>
      </c>
      <c r="G97" s="37"/>
      <c r="H97" s="290" t="str">
        <f>IF(F97="","",VLOOKUP(F97,'G-1 All Habitats'!$B$2:$M$135,10,FALSE))</f>
        <v/>
      </c>
      <c r="I97" s="291" t="str">
        <f>IFERROR(VLOOKUP(H97,'G-1 All Habitats'!$V$3:$W$7,2,FALSE),"")</f>
        <v/>
      </c>
      <c r="J97" s="38"/>
      <c r="K97" s="291" t="str">
        <f>IFERROR(INDEX('G-8 Condition Look up'!$A$3:$H$135,MATCH(F97,'G-8 Condition Look up'!$A$3:$A$135,0),MATCH(J97,'G-8 Condition Look up'!$A$3:$H$3,0)),"")</f>
        <v/>
      </c>
      <c r="L97" s="38"/>
      <c r="M97" s="298" t="str">
        <f>IF(L97="","",IF(VLOOKUP(L97,'G-3 Multipliers'!$L$3:$N$6,2,FALSE)=0,"Spatial Data Missing",VLOOKUP(L97,'G-3 Multipliers'!$L$3:$N$6,2,FALSE)))</f>
        <v/>
      </c>
      <c r="N97" s="296" t="str">
        <f>IF(L97="","",IF(VLOOKUP(L97,'G-3 Multipliers'!$L$3:$N$6,3,FALSE)=0,"Spatial Data Missing",VLOOKUP(L97,'G-3 Multipliers'!$L$3:$N$6,3,FALSE)))</f>
        <v/>
      </c>
      <c r="O97" s="290" t="str">
        <f t="shared" si="6"/>
        <v/>
      </c>
      <c r="P97" s="47"/>
      <c r="Q97" s="47"/>
      <c r="R97" s="298" t="str">
        <f t="shared" si="8"/>
        <v/>
      </c>
      <c r="S97" s="311" t="str">
        <f t="shared" si="9"/>
        <v/>
      </c>
      <c r="T97" s="312" t="str">
        <f>IFERROR(IF(S97="Check Data ⚠","Check Data ⚠",VLOOKUP(S97,'G-4 Temporal multipliers'!$A$4:$C$37,3,FALSE)),"")</f>
        <v/>
      </c>
      <c r="U97" s="313" t="str">
        <f>IF(F97="","",VLOOKUP(F97,'G-3 Multipliers'!$A$2:$E$134,2,FALSE))</f>
        <v/>
      </c>
      <c r="V97" s="310" t="str">
        <f t="shared" si="10"/>
        <v/>
      </c>
      <c r="W97" s="295" t="str">
        <f>IF(E97="","",IF(AND(V97="Standard difficulty applied",O97&gt;P97),U97,IF(AND(V97="Low Difficulty - only applicable if all habitat created before losses ⚠",P97&gt;=O97),"Low",VLOOKUP(F97,'G-3 Multipliers'!$A$2:$E$134,4,FALSE))))</f>
        <v/>
      </c>
      <c r="X97" s="314" t="str">
        <f>IFERROR(IF(E97="","",VLOOKUP(W97, 'G-3 Multipliers'!$P$2:$Q$6,2,FALSE)),"")</f>
        <v/>
      </c>
      <c r="Y97" s="317" t="str">
        <f t="shared" si="11"/>
        <v/>
      </c>
      <c r="Z97" s="163"/>
      <c r="AA97" s="164"/>
      <c r="AB97" s="101"/>
      <c r="AE97" s="25" t="str">
        <f t="shared" si="7"/>
        <v/>
      </c>
    </row>
    <row r="98" spans="1:31" ht="14.5" thickBot="1" x14ac:dyDescent="0.35">
      <c r="A98" s="20" t="str">
        <f>IFERROR(INDEX('G-8 Condition Look up'!$I$4:$I$135,MATCH(F98,'G-8 Condition Look up'!$A$4:$A$135,0)),"")</f>
        <v/>
      </c>
      <c r="B98" s="679">
        <v>88</v>
      </c>
      <c r="C98" s="247" t="str">
        <f>IFERROR(INDEX('G-1 All Habitats'!$AG$25:$AG$41,MATCH(D98,'G-1 All Habitats'!AF$25:AF$41,0)),"")</f>
        <v/>
      </c>
      <c r="D98" s="38"/>
      <c r="E98" s="45"/>
      <c r="F98" s="244" t="str">
        <f>IFERROR(INDEX('G-1 All Habitats'!$B$3:$B$135,MATCH(E98,'G-1 All Habitats'!$A$3:$A$135,0)),"")</f>
        <v/>
      </c>
      <c r="G98" s="37"/>
      <c r="H98" s="290" t="str">
        <f>IF(F98="","",VLOOKUP(F98,'G-1 All Habitats'!$B$2:$M$135,10,FALSE))</f>
        <v/>
      </c>
      <c r="I98" s="291" t="str">
        <f>IFERROR(VLOOKUP(H98,'G-1 All Habitats'!$V$3:$W$7,2,FALSE),"")</f>
        <v/>
      </c>
      <c r="J98" s="38"/>
      <c r="K98" s="291" t="str">
        <f>IFERROR(INDEX('G-8 Condition Look up'!$A$3:$H$135,MATCH(F98,'G-8 Condition Look up'!$A$3:$A$135,0),MATCH(J98,'G-8 Condition Look up'!$A$3:$H$3,0)),"")</f>
        <v/>
      </c>
      <c r="L98" s="38"/>
      <c r="M98" s="298" t="str">
        <f>IF(L98="","",IF(VLOOKUP(L98,'G-3 Multipliers'!$L$3:$N$6,2,FALSE)=0,"Spatial Data Missing",VLOOKUP(L98,'G-3 Multipliers'!$L$3:$N$6,2,FALSE)))</f>
        <v/>
      </c>
      <c r="N98" s="296" t="str">
        <f>IF(L98="","",IF(VLOOKUP(L98,'G-3 Multipliers'!$L$3:$N$6,3,FALSE)=0,"Spatial Data Missing",VLOOKUP(L98,'G-3 Multipliers'!$L$3:$N$6,3,FALSE)))</f>
        <v/>
      </c>
      <c r="O98" s="290" t="str">
        <f t="shared" si="6"/>
        <v/>
      </c>
      <c r="P98" s="47"/>
      <c r="Q98" s="47"/>
      <c r="R98" s="298" t="str">
        <f t="shared" si="8"/>
        <v/>
      </c>
      <c r="S98" s="311" t="str">
        <f t="shared" si="9"/>
        <v/>
      </c>
      <c r="T98" s="312" t="str">
        <f>IFERROR(IF(S98="Check Data ⚠","Check Data ⚠",VLOOKUP(S98,'G-4 Temporal multipliers'!$A$4:$C$37,3,FALSE)),"")</f>
        <v/>
      </c>
      <c r="U98" s="313" t="str">
        <f>IF(F98="","",VLOOKUP(F98,'G-3 Multipliers'!$A$2:$E$134,2,FALSE))</f>
        <v/>
      </c>
      <c r="V98" s="310" t="str">
        <f t="shared" si="10"/>
        <v/>
      </c>
      <c r="W98" s="295" t="str">
        <f>IF(E98="","",IF(AND(V98="Standard difficulty applied",O98&gt;P98),U98,IF(AND(V98="Low Difficulty - only applicable if all habitat created before losses ⚠",P98&gt;=O98),"Low",VLOOKUP(F98,'G-3 Multipliers'!$A$2:$E$134,4,FALSE))))</f>
        <v/>
      </c>
      <c r="X98" s="314" t="str">
        <f>IFERROR(IF(E98="","",VLOOKUP(W98, 'G-3 Multipliers'!$P$2:$Q$6,2,FALSE)),"")</f>
        <v/>
      </c>
      <c r="Y98" s="317" t="str">
        <f t="shared" si="11"/>
        <v/>
      </c>
      <c r="Z98" s="163"/>
      <c r="AA98" s="164"/>
      <c r="AB98" s="101"/>
      <c r="AE98" s="25" t="str">
        <f t="shared" si="7"/>
        <v/>
      </c>
    </row>
    <row r="99" spans="1:31" ht="14.5" thickBot="1" x14ac:dyDescent="0.35">
      <c r="A99" s="20" t="str">
        <f>IFERROR(INDEX('G-8 Condition Look up'!$I$4:$I$135,MATCH(F99,'G-8 Condition Look up'!$A$4:$A$135,0)),"")</f>
        <v/>
      </c>
      <c r="B99" s="679">
        <v>89</v>
      </c>
      <c r="C99" s="247" t="str">
        <f>IFERROR(INDEX('G-1 All Habitats'!$AG$25:$AG$41,MATCH(D99,'G-1 All Habitats'!AF$25:AF$41,0)),"")</f>
        <v/>
      </c>
      <c r="D99" s="38"/>
      <c r="E99" s="45"/>
      <c r="F99" s="244" t="str">
        <f>IFERROR(INDEX('G-1 All Habitats'!$B$3:$B$135,MATCH(E99,'G-1 All Habitats'!$A$3:$A$135,0)),"")</f>
        <v/>
      </c>
      <c r="G99" s="37"/>
      <c r="H99" s="290" t="str">
        <f>IF(F99="","",VLOOKUP(F99,'G-1 All Habitats'!$B$2:$M$135,10,FALSE))</f>
        <v/>
      </c>
      <c r="I99" s="291" t="str">
        <f>IFERROR(VLOOKUP(H99,'G-1 All Habitats'!$V$3:$W$7,2,FALSE),"")</f>
        <v/>
      </c>
      <c r="J99" s="38"/>
      <c r="K99" s="291" t="str">
        <f>IFERROR(INDEX('G-8 Condition Look up'!$A$3:$H$135,MATCH(F99,'G-8 Condition Look up'!$A$3:$A$135,0),MATCH(J99,'G-8 Condition Look up'!$A$3:$H$3,0)),"")</f>
        <v/>
      </c>
      <c r="L99" s="38"/>
      <c r="M99" s="298" t="str">
        <f>IF(L99="","",IF(VLOOKUP(L99,'G-3 Multipliers'!$L$3:$N$6,2,FALSE)=0,"Spatial Data Missing",VLOOKUP(L99,'G-3 Multipliers'!$L$3:$N$6,2,FALSE)))</f>
        <v/>
      </c>
      <c r="N99" s="296" t="str">
        <f>IF(L99="","",IF(VLOOKUP(L99,'G-3 Multipliers'!$L$3:$N$6,3,FALSE)=0,"Spatial Data Missing",VLOOKUP(L99,'G-3 Multipliers'!$L$3:$N$6,3,FALSE)))</f>
        <v/>
      </c>
      <c r="O99" s="290" t="str">
        <f t="shared" si="6"/>
        <v/>
      </c>
      <c r="P99" s="47"/>
      <c r="Q99" s="47"/>
      <c r="R99" s="298" t="str">
        <f t="shared" si="8"/>
        <v/>
      </c>
      <c r="S99" s="311" t="str">
        <f t="shared" si="9"/>
        <v/>
      </c>
      <c r="T99" s="312" t="str">
        <f>IFERROR(IF(S99="Check Data ⚠","Check Data ⚠",VLOOKUP(S99,'G-4 Temporal multipliers'!$A$4:$C$37,3,FALSE)),"")</f>
        <v/>
      </c>
      <c r="U99" s="313" t="str">
        <f>IF(F99="","",VLOOKUP(F99,'G-3 Multipliers'!$A$2:$E$134,2,FALSE))</f>
        <v/>
      </c>
      <c r="V99" s="310" t="str">
        <f t="shared" si="10"/>
        <v/>
      </c>
      <c r="W99" s="295" t="str">
        <f>IF(E99="","",IF(AND(V99="Standard difficulty applied",O99&gt;P99),U99,IF(AND(V99="Low Difficulty - only applicable if all habitat created before losses ⚠",P99&gt;=O99),"Low",VLOOKUP(F99,'G-3 Multipliers'!$A$2:$E$134,4,FALSE))))</f>
        <v/>
      </c>
      <c r="X99" s="314" t="str">
        <f>IFERROR(IF(E99="","",VLOOKUP(W99, 'G-3 Multipliers'!$P$2:$Q$6,2,FALSE)),"")</f>
        <v/>
      </c>
      <c r="Y99" s="317" t="str">
        <f t="shared" si="11"/>
        <v/>
      </c>
      <c r="Z99" s="163"/>
      <c r="AA99" s="164"/>
      <c r="AB99" s="101"/>
      <c r="AE99" s="25" t="str">
        <f t="shared" si="7"/>
        <v/>
      </c>
    </row>
    <row r="100" spans="1:31" ht="14.5" thickBot="1" x14ac:dyDescent="0.35">
      <c r="A100" s="20" t="str">
        <f>IFERROR(INDEX('G-8 Condition Look up'!$I$4:$I$135,MATCH(F100,'G-8 Condition Look up'!$A$4:$A$135,0)),"")</f>
        <v/>
      </c>
      <c r="B100" s="679">
        <v>90</v>
      </c>
      <c r="C100" s="247" t="str">
        <f>IFERROR(INDEX('G-1 All Habitats'!$AG$25:$AG$41,MATCH(D100,'G-1 All Habitats'!AF$25:AF$41,0)),"")</f>
        <v/>
      </c>
      <c r="D100" s="38"/>
      <c r="E100" s="45"/>
      <c r="F100" s="244" t="str">
        <f>IFERROR(INDEX('G-1 All Habitats'!$B$3:$B$135,MATCH(E100,'G-1 All Habitats'!$A$3:$A$135,0)),"")</f>
        <v/>
      </c>
      <c r="G100" s="37"/>
      <c r="H100" s="290" t="str">
        <f>IF(F100="","",VLOOKUP(F100,'G-1 All Habitats'!$B$2:$M$135,10,FALSE))</f>
        <v/>
      </c>
      <c r="I100" s="291" t="str">
        <f>IFERROR(VLOOKUP(H100,'G-1 All Habitats'!$V$3:$W$7,2,FALSE),"")</f>
        <v/>
      </c>
      <c r="J100" s="38"/>
      <c r="K100" s="291" t="str">
        <f>IFERROR(INDEX('G-8 Condition Look up'!$A$3:$H$135,MATCH(F100,'G-8 Condition Look up'!$A$3:$A$135,0),MATCH(J100,'G-8 Condition Look up'!$A$3:$H$3,0)),"")</f>
        <v/>
      </c>
      <c r="L100" s="38"/>
      <c r="M100" s="298" t="str">
        <f>IF(L100="","",IF(VLOOKUP(L100,'G-3 Multipliers'!$L$3:$N$6,2,FALSE)=0,"Spatial Data Missing",VLOOKUP(L100,'G-3 Multipliers'!$L$3:$N$6,2,FALSE)))</f>
        <v/>
      </c>
      <c r="N100" s="296" t="str">
        <f>IF(L100="","",IF(VLOOKUP(L100,'G-3 Multipliers'!$L$3:$N$6,3,FALSE)=0,"Spatial Data Missing",VLOOKUP(L100,'G-3 Multipliers'!$L$3:$N$6,3,FALSE)))</f>
        <v/>
      </c>
      <c r="O100" s="290" t="str">
        <f t="shared" si="6"/>
        <v/>
      </c>
      <c r="P100" s="47"/>
      <c r="Q100" s="47"/>
      <c r="R100" s="298" t="str">
        <f t="shared" si="8"/>
        <v/>
      </c>
      <c r="S100" s="311" t="str">
        <f t="shared" si="9"/>
        <v/>
      </c>
      <c r="T100" s="312" t="str">
        <f>IFERROR(IF(S100="Check Data ⚠","Check Data ⚠",VLOOKUP(S100,'G-4 Temporal multipliers'!$A$4:$C$37,3,FALSE)),"")</f>
        <v/>
      </c>
      <c r="U100" s="313" t="str">
        <f>IF(F100="","",VLOOKUP(F100,'G-3 Multipliers'!$A$2:$E$134,2,FALSE))</f>
        <v/>
      </c>
      <c r="V100" s="310" t="str">
        <f t="shared" si="10"/>
        <v/>
      </c>
      <c r="W100" s="295" t="str">
        <f>IF(E100="","",IF(AND(V100="Standard difficulty applied",O100&gt;P100),U100,IF(AND(V100="Low Difficulty - only applicable if all habitat created before losses ⚠",P100&gt;=O100),"Low",VLOOKUP(F100,'G-3 Multipliers'!$A$2:$E$134,4,FALSE))))</f>
        <v/>
      </c>
      <c r="X100" s="314" t="str">
        <f>IFERROR(IF(E100="","",VLOOKUP(W100, 'G-3 Multipliers'!$P$2:$Q$6,2,FALSE)),"")</f>
        <v/>
      </c>
      <c r="Y100" s="317" t="str">
        <f t="shared" si="11"/>
        <v/>
      </c>
      <c r="Z100" s="163"/>
      <c r="AA100" s="164"/>
      <c r="AB100" s="101"/>
      <c r="AE100" s="25" t="str">
        <f t="shared" si="7"/>
        <v/>
      </c>
    </row>
    <row r="101" spans="1:31" ht="14.5" thickBot="1" x14ac:dyDescent="0.35">
      <c r="A101" s="20" t="str">
        <f>IFERROR(INDEX('G-8 Condition Look up'!$I$4:$I$135,MATCH(F101,'G-8 Condition Look up'!$A$4:$A$135,0)),"")</f>
        <v/>
      </c>
      <c r="B101" s="679">
        <v>91</v>
      </c>
      <c r="C101" s="247" t="str">
        <f>IFERROR(INDEX('G-1 All Habitats'!$AG$25:$AG$41,MATCH(D101,'G-1 All Habitats'!AF$25:AF$41,0)),"")</f>
        <v/>
      </c>
      <c r="D101" s="38"/>
      <c r="E101" s="45"/>
      <c r="F101" s="244" t="str">
        <f>IFERROR(INDEX('G-1 All Habitats'!$B$3:$B$135,MATCH(E101,'G-1 All Habitats'!$A$3:$A$135,0)),"")</f>
        <v/>
      </c>
      <c r="G101" s="37"/>
      <c r="H101" s="290" t="str">
        <f>IF(F101="","",VLOOKUP(F101,'G-1 All Habitats'!$B$2:$M$135,10,FALSE))</f>
        <v/>
      </c>
      <c r="I101" s="291" t="str">
        <f>IFERROR(VLOOKUP(H101,'G-1 All Habitats'!$V$3:$W$7,2,FALSE),"")</f>
        <v/>
      </c>
      <c r="J101" s="38"/>
      <c r="K101" s="291" t="str">
        <f>IFERROR(INDEX('G-8 Condition Look up'!$A$3:$H$135,MATCH(F101,'G-8 Condition Look up'!$A$3:$A$135,0),MATCH(J101,'G-8 Condition Look up'!$A$3:$H$3,0)),"")</f>
        <v/>
      </c>
      <c r="L101" s="38"/>
      <c r="M101" s="298" t="str">
        <f>IF(L101="","",IF(VLOOKUP(L101,'G-3 Multipliers'!$L$3:$N$6,2,FALSE)=0,"Spatial Data Missing",VLOOKUP(L101,'G-3 Multipliers'!$L$3:$N$6,2,FALSE)))</f>
        <v/>
      </c>
      <c r="N101" s="296" t="str">
        <f>IF(L101="","",IF(VLOOKUP(L101,'G-3 Multipliers'!$L$3:$N$6,3,FALSE)=0,"Spatial Data Missing",VLOOKUP(L101,'G-3 Multipliers'!$L$3:$N$6,3,FALSE)))</f>
        <v/>
      </c>
      <c r="O101" s="290" t="str">
        <f t="shared" si="6"/>
        <v/>
      </c>
      <c r="P101" s="47"/>
      <c r="Q101" s="47"/>
      <c r="R101" s="298" t="str">
        <f t="shared" si="8"/>
        <v/>
      </c>
      <c r="S101" s="311" t="str">
        <f t="shared" si="9"/>
        <v/>
      </c>
      <c r="T101" s="312" t="str">
        <f>IFERROR(IF(S101="Check Data ⚠","Check Data ⚠",VLOOKUP(S101,'G-4 Temporal multipliers'!$A$4:$C$37,3,FALSE)),"")</f>
        <v/>
      </c>
      <c r="U101" s="313" t="str">
        <f>IF(F101="","",VLOOKUP(F101,'G-3 Multipliers'!$A$2:$E$134,2,FALSE))</f>
        <v/>
      </c>
      <c r="V101" s="310" t="str">
        <f t="shared" si="10"/>
        <v/>
      </c>
      <c r="W101" s="295" t="str">
        <f>IF(E101="","",IF(AND(V101="Standard difficulty applied",O101&gt;P101),U101,IF(AND(V101="Low Difficulty - only applicable if all habitat created before losses ⚠",P101&gt;=O101),"Low",VLOOKUP(F101,'G-3 Multipliers'!$A$2:$E$134,4,FALSE))))</f>
        <v/>
      </c>
      <c r="X101" s="314" t="str">
        <f>IFERROR(IF(E101="","",VLOOKUP(W101, 'G-3 Multipliers'!$P$2:$Q$6,2,FALSE)),"")</f>
        <v/>
      </c>
      <c r="Y101" s="317" t="str">
        <f t="shared" si="11"/>
        <v/>
      </c>
      <c r="Z101" s="163"/>
      <c r="AA101" s="164"/>
      <c r="AB101" s="101"/>
      <c r="AE101" s="25" t="str">
        <f t="shared" si="7"/>
        <v/>
      </c>
    </row>
    <row r="102" spans="1:31" ht="14.5" thickBot="1" x14ac:dyDescent="0.35">
      <c r="A102" s="20" t="str">
        <f>IFERROR(INDEX('G-8 Condition Look up'!$I$4:$I$135,MATCH(F102,'G-8 Condition Look up'!$A$4:$A$135,0)),"")</f>
        <v/>
      </c>
      <c r="B102" s="679">
        <v>92</v>
      </c>
      <c r="C102" s="247" t="str">
        <f>IFERROR(INDEX('G-1 All Habitats'!$AG$25:$AG$41,MATCH(D102,'G-1 All Habitats'!AF$25:AF$41,0)),"")</f>
        <v/>
      </c>
      <c r="D102" s="38"/>
      <c r="E102" s="45"/>
      <c r="F102" s="244" t="str">
        <f>IFERROR(INDEX('G-1 All Habitats'!$B$3:$B$135,MATCH(E102,'G-1 All Habitats'!$A$3:$A$135,0)),"")</f>
        <v/>
      </c>
      <c r="G102" s="37"/>
      <c r="H102" s="290" t="str">
        <f>IF(F102="","",VLOOKUP(F102,'G-1 All Habitats'!$B$2:$M$135,10,FALSE))</f>
        <v/>
      </c>
      <c r="I102" s="291" t="str">
        <f>IFERROR(VLOOKUP(H102,'G-1 All Habitats'!$V$3:$W$7,2,FALSE),"")</f>
        <v/>
      </c>
      <c r="J102" s="38"/>
      <c r="K102" s="291" t="str">
        <f>IFERROR(INDEX('G-8 Condition Look up'!$A$3:$H$135,MATCH(F102,'G-8 Condition Look up'!$A$3:$A$135,0),MATCH(J102,'G-8 Condition Look up'!$A$3:$H$3,0)),"")</f>
        <v/>
      </c>
      <c r="L102" s="38"/>
      <c r="M102" s="298" t="str">
        <f>IF(L102="","",IF(VLOOKUP(L102,'G-3 Multipliers'!$L$3:$N$6,2,FALSE)=0,"Spatial Data Missing",VLOOKUP(L102,'G-3 Multipliers'!$L$3:$N$6,2,FALSE)))</f>
        <v/>
      </c>
      <c r="N102" s="296" t="str">
        <f>IF(L102="","",IF(VLOOKUP(L102,'G-3 Multipliers'!$L$3:$N$6,3,FALSE)=0,"Spatial Data Missing",VLOOKUP(L102,'G-3 Multipliers'!$L$3:$N$6,3,FALSE)))</f>
        <v/>
      </c>
      <c r="O102" s="290" t="str">
        <f t="shared" si="6"/>
        <v/>
      </c>
      <c r="P102" s="47"/>
      <c r="Q102" s="47"/>
      <c r="R102" s="298" t="str">
        <f t="shared" si="8"/>
        <v/>
      </c>
      <c r="S102" s="311" t="str">
        <f t="shared" si="9"/>
        <v/>
      </c>
      <c r="T102" s="312" t="str">
        <f>IFERROR(IF(S102="Check Data ⚠","Check Data ⚠",VLOOKUP(S102,'G-4 Temporal multipliers'!$A$4:$C$37,3,FALSE)),"")</f>
        <v/>
      </c>
      <c r="U102" s="313" t="str">
        <f>IF(F102="","",VLOOKUP(F102,'G-3 Multipliers'!$A$2:$E$134,2,FALSE))</f>
        <v/>
      </c>
      <c r="V102" s="310" t="str">
        <f t="shared" si="10"/>
        <v/>
      </c>
      <c r="W102" s="295" t="str">
        <f>IF(E102="","",IF(AND(V102="Standard difficulty applied",O102&gt;P102),U102,IF(AND(V102="Low Difficulty - only applicable if all habitat created before losses ⚠",P102&gt;=O102),"Low",VLOOKUP(F102,'G-3 Multipliers'!$A$2:$E$134,4,FALSE))))</f>
        <v/>
      </c>
      <c r="X102" s="314" t="str">
        <f>IFERROR(IF(E102="","",VLOOKUP(W102, 'G-3 Multipliers'!$P$2:$Q$6,2,FALSE)),"")</f>
        <v/>
      </c>
      <c r="Y102" s="317" t="str">
        <f t="shared" si="11"/>
        <v/>
      </c>
      <c r="Z102" s="163"/>
      <c r="AA102" s="164"/>
      <c r="AB102" s="101"/>
      <c r="AE102" s="25" t="str">
        <f t="shared" si="7"/>
        <v/>
      </c>
    </row>
    <row r="103" spans="1:31" ht="14.5" thickBot="1" x14ac:dyDescent="0.35">
      <c r="A103" s="20" t="str">
        <f>IFERROR(INDEX('G-8 Condition Look up'!$I$4:$I$135,MATCH(F103,'G-8 Condition Look up'!$A$4:$A$135,0)),"")</f>
        <v/>
      </c>
      <c r="B103" s="679">
        <v>93</v>
      </c>
      <c r="C103" s="247" t="str">
        <f>IFERROR(INDEX('G-1 All Habitats'!$AG$25:$AG$41,MATCH(D103,'G-1 All Habitats'!AF$25:AF$41,0)),"")</f>
        <v/>
      </c>
      <c r="D103" s="38"/>
      <c r="E103" s="45"/>
      <c r="F103" s="244" t="str">
        <f>IFERROR(INDEX('G-1 All Habitats'!$B$3:$B$135,MATCH(E103,'G-1 All Habitats'!$A$3:$A$135,0)),"")</f>
        <v/>
      </c>
      <c r="G103" s="37"/>
      <c r="H103" s="290" t="str">
        <f>IF(F103="","",VLOOKUP(F103,'G-1 All Habitats'!$B$2:$M$135,10,FALSE))</f>
        <v/>
      </c>
      <c r="I103" s="291" t="str">
        <f>IFERROR(VLOOKUP(H103,'G-1 All Habitats'!$V$3:$W$7,2,FALSE),"")</f>
        <v/>
      </c>
      <c r="J103" s="38"/>
      <c r="K103" s="291" t="str">
        <f>IFERROR(INDEX('G-8 Condition Look up'!$A$3:$H$135,MATCH(F103,'G-8 Condition Look up'!$A$3:$A$135,0),MATCH(J103,'G-8 Condition Look up'!$A$3:$H$3,0)),"")</f>
        <v/>
      </c>
      <c r="L103" s="38"/>
      <c r="M103" s="298" t="str">
        <f>IF(L103="","",IF(VLOOKUP(L103,'G-3 Multipliers'!$L$3:$N$6,2,FALSE)=0,"Spatial Data Missing",VLOOKUP(L103,'G-3 Multipliers'!$L$3:$N$6,2,FALSE)))</f>
        <v/>
      </c>
      <c r="N103" s="296" t="str">
        <f>IF(L103="","",IF(VLOOKUP(L103,'G-3 Multipliers'!$L$3:$N$6,3,FALSE)=0,"Spatial Data Missing",VLOOKUP(L103,'G-3 Multipliers'!$L$3:$N$6,3,FALSE)))</f>
        <v/>
      </c>
      <c r="O103" s="290" t="str">
        <f t="shared" si="6"/>
        <v/>
      </c>
      <c r="P103" s="47"/>
      <c r="Q103" s="47"/>
      <c r="R103" s="298" t="str">
        <f t="shared" si="8"/>
        <v/>
      </c>
      <c r="S103" s="311" t="str">
        <f t="shared" si="9"/>
        <v/>
      </c>
      <c r="T103" s="312" t="str">
        <f>IFERROR(IF(S103="Check Data ⚠","Check Data ⚠",VLOOKUP(S103,'G-4 Temporal multipliers'!$A$4:$C$37,3,FALSE)),"")</f>
        <v/>
      </c>
      <c r="U103" s="313" t="str">
        <f>IF(F103="","",VLOOKUP(F103,'G-3 Multipliers'!$A$2:$E$134,2,FALSE))</f>
        <v/>
      </c>
      <c r="V103" s="310" t="str">
        <f t="shared" si="10"/>
        <v/>
      </c>
      <c r="W103" s="295" t="str">
        <f>IF(E103="","",IF(AND(V103="Standard difficulty applied",O103&gt;P103),U103,IF(AND(V103="Low Difficulty - only applicable if all habitat created before losses ⚠",P103&gt;=O103),"Low",VLOOKUP(F103,'G-3 Multipliers'!$A$2:$E$134,4,FALSE))))</f>
        <v/>
      </c>
      <c r="X103" s="314" t="str">
        <f>IFERROR(IF(E103="","",VLOOKUP(W103, 'G-3 Multipliers'!$P$2:$Q$6,2,FALSE)),"")</f>
        <v/>
      </c>
      <c r="Y103" s="317" t="str">
        <f t="shared" si="11"/>
        <v/>
      </c>
      <c r="Z103" s="163"/>
      <c r="AA103" s="164"/>
      <c r="AB103" s="101"/>
      <c r="AE103" s="25" t="str">
        <f t="shared" si="7"/>
        <v/>
      </c>
    </row>
    <row r="104" spans="1:31" ht="14.5" thickBot="1" x14ac:dyDescent="0.35">
      <c r="A104" s="20" t="str">
        <f>IFERROR(INDEX('G-8 Condition Look up'!$I$4:$I$135,MATCH(F104,'G-8 Condition Look up'!$A$4:$A$135,0)),"")</f>
        <v/>
      </c>
      <c r="B104" s="679">
        <v>94</v>
      </c>
      <c r="C104" s="247" t="str">
        <f>IFERROR(INDEX('G-1 All Habitats'!$AG$25:$AG$41,MATCH(D104,'G-1 All Habitats'!AF$25:AF$41,0)),"")</f>
        <v/>
      </c>
      <c r="D104" s="38"/>
      <c r="E104" s="45"/>
      <c r="F104" s="244" t="str">
        <f>IFERROR(INDEX('G-1 All Habitats'!$B$3:$B$135,MATCH(E104,'G-1 All Habitats'!$A$3:$A$135,0)),"")</f>
        <v/>
      </c>
      <c r="G104" s="37"/>
      <c r="H104" s="290" t="str">
        <f>IF(F104="","",VLOOKUP(F104,'G-1 All Habitats'!$B$2:$M$135,10,FALSE))</f>
        <v/>
      </c>
      <c r="I104" s="291" t="str">
        <f>IFERROR(VLOOKUP(H104,'G-1 All Habitats'!$V$3:$W$7,2,FALSE),"")</f>
        <v/>
      </c>
      <c r="J104" s="38"/>
      <c r="K104" s="291" t="str">
        <f>IFERROR(INDEX('G-8 Condition Look up'!$A$3:$H$135,MATCH(F104,'G-8 Condition Look up'!$A$3:$A$135,0),MATCH(J104,'G-8 Condition Look up'!$A$3:$H$3,0)),"")</f>
        <v/>
      </c>
      <c r="L104" s="38"/>
      <c r="M104" s="298" t="str">
        <f>IF(L104="","",IF(VLOOKUP(L104,'G-3 Multipliers'!$L$3:$N$6,2,FALSE)=0,"Spatial Data Missing",VLOOKUP(L104,'G-3 Multipliers'!$L$3:$N$6,2,FALSE)))</f>
        <v/>
      </c>
      <c r="N104" s="296" t="str">
        <f>IF(L104="","",IF(VLOOKUP(L104,'G-3 Multipliers'!$L$3:$N$6,3,FALSE)=0,"Spatial Data Missing",VLOOKUP(L104,'G-3 Multipliers'!$L$3:$N$6,3,FALSE)))</f>
        <v/>
      </c>
      <c r="O104" s="290" t="str">
        <f t="shared" si="6"/>
        <v/>
      </c>
      <c r="P104" s="47"/>
      <c r="Q104" s="47"/>
      <c r="R104" s="298" t="str">
        <f t="shared" si="8"/>
        <v/>
      </c>
      <c r="S104" s="311" t="str">
        <f t="shared" si="9"/>
        <v/>
      </c>
      <c r="T104" s="312" t="str">
        <f>IFERROR(IF(S104="Check Data ⚠","Check Data ⚠",VLOOKUP(S104,'G-4 Temporal multipliers'!$A$4:$C$37,3,FALSE)),"")</f>
        <v/>
      </c>
      <c r="U104" s="313" t="str">
        <f>IF(F104="","",VLOOKUP(F104,'G-3 Multipliers'!$A$2:$E$134,2,FALSE))</f>
        <v/>
      </c>
      <c r="V104" s="310" t="str">
        <f t="shared" si="10"/>
        <v/>
      </c>
      <c r="W104" s="295" t="str">
        <f>IF(E104="","",IF(AND(V104="Standard difficulty applied",O104&gt;P104),U104,IF(AND(V104="Low Difficulty - only applicable if all habitat created before losses ⚠",P104&gt;=O104),"Low",VLOOKUP(F104,'G-3 Multipliers'!$A$2:$E$134,4,FALSE))))</f>
        <v/>
      </c>
      <c r="X104" s="314" t="str">
        <f>IFERROR(IF(E104="","",VLOOKUP(W104, 'G-3 Multipliers'!$P$2:$Q$6,2,FALSE)),"")</f>
        <v/>
      </c>
      <c r="Y104" s="317" t="str">
        <f t="shared" si="11"/>
        <v/>
      </c>
      <c r="Z104" s="163"/>
      <c r="AA104" s="164"/>
      <c r="AB104" s="101"/>
      <c r="AE104" s="25" t="str">
        <f t="shared" si="7"/>
        <v/>
      </c>
    </row>
    <row r="105" spans="1:31" ht="14.5" thickBot="1" x14ac:dyDescent="0.35">
      <c r="A105" s="20" t="str">
        <f>IFERROR(INDEX('G-8 Condition Look up'!$I$4:$I$135,MATCH(F105,'G-8 Condition Look up'!$A$4:$A$135,0)),"")</f>
        <v/>
      </c>
      <c r="B105" s="679">
        <v>95</v>
      </c>
      <c r="C105" s="247" t="str">
        <f>IFERROR(INDEX('G-1 All Habitats'!$AG$25:$AG$41,MATCH(D105,'G-1 All Habitats'!AF$25:AF$41,0)),"")</f>
        <v/>
      </c>
      <c r="D105" s="38"/>
      <c r="E105" s="45"/>
      <c r="F105" s="244" t="str">
        <f>IFERROR(INDEX('G-1 All Habitats'!$B$3:$B$135,MATCH(E105,'G-1 All Habitats'!$A$3:$A$135,0)),"")</f>
        <v/>
      </c>
      <c r="G105" s="37"/>
      <c r="H105" s="290" t="str">
        <f>IF(F105="","",VLOOKUP(F105,'G-1 All Habitats'!$B$2:$M$135,10,FALSE))</f>
        <v/>
      </c>
      <c r="I105" s="291" t="str">
        <f>IFERROR(VLOOKUP(H105,'G-1 All Habitats'!$V$3:$W$7,2,FALSE),"")</f>
        <v/>
      </c>
      <c r="J105" s="38"/>
      <c r="K105" s="291" t="str">
        <f>IFERROR(INDEX('G-8 Condition Look up'!$A$3:$H$135,MATCH(F105,'G-8 Condition Look up'!$A$3:$A$135,0),MATCH(J105,'G-8 Condition Look up'!$A$3:$H$3,0)),"")</f>
        <v/>
      </c>
      <c r="L105" s="38"/>
      <c r="M105" s="298" t="str">
        <f>IF(L105="","",IF(VLOOKUP(L105,'G-3 Multipliers'!$L$3:$N$6,2,FALSE)=0,"Spatial Data Missing",VLOOKUP(L105,'G-3 Multipliers'!$L$3:$N$6,2,FALSE)))</f>
        <v/>
      </c>
      <c r="N105" s="296" t="str">
        <f>IF(L105="","",IF(VLOOKUP(L105,'G-3 Multipliers'!$L$3:$N$6,3,FALSE)=0,"Spatial Data Missing",VLOOKUP(L105,'G-3 Multipliers'!$L$3:$N$6,3,FALSE)))</f>
        <v/>
      </c>
      <c r="O105" s="290" t="str">
        <f t="shared" si="6"/>
        <v/>
      </c>
      <c r="P105" s="47"/>
      <c r="Q105" s="47"/>
      <c r="R105" s="298" t="str">
        <f t="shared" si="8"/>
        <v/>
      </c>
      <c r="S105" s="311" t="str">
        <f t="shared" si="9"/>
        <v/>
      </c>
      <c r="T105" s="312" t="str">
        <f>IFERROR(IF(S105="Check Data ⚠","Check Data ⚠",VLOOKUP(S105,'G-4 Temporal multipliers'!$A$4:$C$37,3,FALSE)),"")</f>
        <v/>
      </c>
      <c r="U105" s="313" t="str">
        <f>IF(F105="","",VLOOKUP(F105,'G-3 Multipliers'!$A$2:$E$134,2,FALSE))</f>
        <v/>
      </c>
      <c r="V105" s="310" t="str">
        <f t="shared" si="10"/>
        <v/>
      </c>
      <c r="W105" s="295" t="str">
        <f>IF(E105="","",IF(AND(V105="Standard difficulty applied",O105&gt;P105),U105,IF(AND(V105="Low Difficulty - only applicable if all habitat created before losses ⚠",P105&gt;=O105),"Low",VLOOKUP(F105,'G-3 Multipliers'!$A$2:$E$134,4,FALSE))))</f>
        <v/>
      </c>
      <c r="X105" s="314" t="str">
        <f>IFERROR(IF(E105="","",VLOOKUP(W105, 'G-3 Multipliers'!$P$2:$Q$6,2,FALSE)),"")</f>
        <v/>
      </c>
      <c r="Y105" s="317" t="str">
        <f t="shared" si="11"/>
        <v/>
      </c>
      <c r="Z105" s="163"/>
      <c r="AA105" s="164"/>
      <c r="AB105" s="101"/>
      <c r="AE105" s="25" t="str">
        <f t="shared" si="7"/>
        <v/>
      </c>
    </row>
    <row r="106" spans="1:31" ht="14.5" thickBot="1" x14ac:dyDescent="0.35">
      <c r="A106" s="20" t="str">
        <f>IFERROR(INDEX('G-8 Condition Look up'!$I$4:$I$135,MATCH(F106,'G-8 Condition Look up'!$A$4:$A$135,0)),"")</f>
        <v/>
      </c>
      <c r="B106" s="679">
        <v>96</v>
      </c>
      <c r="C106" s="247" t="str">
        <f>IFERROR(INDEX('G-1 All Habitats'!$AG$25:$AG$41,MATCH(D106,'G-1 All Habitats'!AF$25:AF$41,0)),"")</f>
        <v/>
      </c>
      <c r="D106" s="38"/>
      <c r="E106" s="45"/>
      <c r="F106" s="244" t="str">
        <f>IFERROR(INDEX('G-1 All Habitats'!$B$3:$B$135,MATCH(E106,'G-1 All Habitats'!$A$3:$A$135,0)),"")</f>
        <v/>
      </c>
      <c r="G106" s="37"/>
      <c r="H106" s="290" t="str">
        <f>IF(F106="","",VLOOKUP(F106,'G-1 All Habitats'!$B$2:$M$135,10,FALSE))</f>
        <v/>
      </c>
      <c r="I106" s="291" t="str">
        <f>IFERROR(VLOOKUP(H106,'G-1 All Habitats'!$V$3:$W$7,2,FALSE),"")</f>
        <v/>
      </c>
      <c r="J106" s="38"/>
      <c r="K106" s="291" t="str">
        <f>IFERROR(INDEX('G-8 Condition Look up'!$A$3:$H$135,MATCH(F106,'G-8 Condition Look up'!$A$3:$A$135,0),MATCH(J106,'G-8 Condition Look up'!$A$3:$H$3,0)),"")</f>
        <v/>
      </c>
      <c r="L106" s="38"/>
      <c r="M106" s="298" t="str">
        <f>IF(L106="","",IF(VLOOKUP(L106,'G-3 Multipliers'!$L$3:$N$6,2,FALSE)=0,"Spatial Data Missing",VLOOKUP(L106,'G-3 Multipliers'!$L$3:$N$6,2,FALSE)))</f>
        <v/>
      </c>
      <c r="N106" s="296" t="str">
        <f>IF(L106="","",IF(VLOOKUP(L106,'G-3 Multipliers'!$L$3:$N$6,3,FALSE)=0,"Spatial Data Missing",VLOOKUP(L106,'G-3 Multipliers'!$L$3:$N$6,3,FALSE)))</f>
        <v/>
      </c>
      <c r="O106" s="290" t="str">
        <f t="shared" si="6"/>
        <v/>
      </c>
      <c r="P106" s="47"/>
      <c r="Q106" s="47"/>
      <c r="R106" s="298" t="str">
        <f t="shared" si="8"/>
        <v/>
      </c>
      <c r="S106" s="311" t="str">
        <f t="shared" si="9"/>
        <v/>
      </c>
      <c r="T106" s="312" t="str">
        <f>IFERROR(IF(S106="Check Data ⚠","Check Data ⚠",VLOOKUP(S106,'G-4 Temporal multipliers'!$A$4:$C$37,3,FALSE)),"")</f>
        <v/>
      </c>
      <c r="U106" s="313" t="str">
        <f>IF(F106="","",VLOOKUP(F106,'G-3 Multipliers'!$A$2:$E$134,2,FALSE))</f>
        <v/>
      </c>
      <c r="V106" s="310" t="str">
        <f t="shared" si="10"/>
        <v/>
      </c>
      <c r="W106" s="295" t="str">
        <f>IF(E106="","",IF(AND(V106="Standard difficulty applied",O106&gt;P106),U106,IF(AND(V106="Low Difficulty - only applicable if all habitat created before losses ⚠",P106&gt;=O106),"Low",VLOOKUP(F106,'G-3 Multipliers'!$A$2:$E$134,4,FALSE))))</f>
        <v/>
      </c>
      <c r="X106" s="314" t="str">
        <f>IFERROR(IF(E106="","",VLOOKUP(W106, 'G-3 Multipliers'!$P$2:$Q$6,2,FALSE)),"")</f>
        <v/>
      </c>
      <c r="Y106" s="317" t="str">
        <f t="shared" si="11"/>
        <v/>
      </c>
      <c r="Z106" s="163"/>
      <c r="AA106" s="164"/>
      <c r="AB106" s="101"/>
      <c r="AE106" s="25" t="str">
        <f t="shared" si="7"/>
        <v/>
      </c>
    </row>
    <row r="107" spans="1:31" ht="14.5" thickBot="1" x14ac:dyDescent="0.35">
      <c r="A107" s="20" t="str">
        <f>IFERROR(INDEX('G-8 Condition Look up'!$I$4:$I$135,MATCH(F107,'G-8 Condition Look up'!$A$4:$A$135,0)),"")</f>
        <v/>
      </c>
      <c r="B107" s="679">
        <v>97</v>
      </c>
      <c r="C107" s="247" t="str">
        <f>IFERROR(INDEX('G-1 All Habitats'!$AG$25:$AG$41,MATCH(D107,'G-1 All Habitats'!AF$25:AF$41,0)),"")</f>
        <v/>
      </c>
      <c r="D107" s="38"/>
      <c r="E107" s="45"/>
      <c r="F107" s="244" t="str">
        <f>IFERROR(INDEX('G-1 All Habitats'!$B$3:$B$135,MATCH(E107,'G-1 All Habitats'!$A$3:$A$135,0)),"")</f>
        <v/>
      </c>
      <c r="G107" s="37"/>
      <c r="H107" s="290" t="str">
        <f>IF(F107="","",VLOOKUP(F107,'G-1 All Habitats'!$B$2:$M$135,10,FALSE))</f>
        <v/>
      </c>
      <c r="I107" s="291" t="str">
        <f>IFERROR(VLOOKUP(H107,'G-1 All Habitats'!$V$3:$W$7,2,FALSE),"")</f>
        <v/>
      </c>
      <c r="J107" s="38"/>
      <c r="K107" s="291" t="str">
        <f>IFERROR(INDEX('G-8 Condition Look up'!$A$3:$H$135,MATCH(F107,'G-8 Condition Look up'!$A$3:$A$135,0),MATCH(J107,'G-8 Condition Look up'!$A$3:$H$3,0)),"")</f>
        <v/>
      </c>
      <c r="L107" s="38"/>
      <c r="M107" s="298" t="str">
        <f>IF(L107="","",IF(VLOOKUP(L107,'G-3 Multipliers'!$L$3:$N$6,2,FALSE)=0,"Spatial Data Missing",VLOOKUP(L107,'G-3 Multipliers'!$L$3:$N$6,2,FALSE)))</f>
        <v/>
      </c>
      <c r="N107" s="296" t="str">
        <f>IF(L107="","",IF(VLOOKUP(L107,'G-3 Multipliers'!$L$3:$N$6,3,FALSE)=0,"Spatial Data Missing",VLOOKUP(L107,'G-3 Multipliers'!$L$3:$N$6,3,FALSE)))</f>
        <v/>
      </c>
      <c r="O107" s="290" t="str">
        <f t="shared" si="6"/>
        <v/>
      </c>
      <c r="P107" s="47"/>
      <c r="Q107" s="47"/>
      <c r="R107" s="298" t="str">
        <f t="shared" si="8"/>
        <v/>
      </c>
      <c r="S107" s="311" t="str">
        <f t="shared" si="9"/>
        <v/>
      </c>
      <c r="T107" s="312" t="str">
        <f>IFERROR(IF(S107="Check Data ⚠","Check Data ⚠",VLOOKUP(S107,'G-4 Temporal multipliers'!$A$4:$C$37,3,FALSE)),"")</f>
        <v/>
      </c>
      <c r="U107" s="313" t="str">
        <f>IF(F107="","",VLOOKUP(F107,'G-3 Multipliers'!$A$2:$E$134,2,FALSE))</f>
        <v/>
      </c>
      <c r="V107" s="310" t="str">
        <f t="shared" si="10"/>
        <v/>
      </c>
      <c r="W107" s="295" t="str">
        <f>IF(E107="","",IF(AND(V107="Standard difficulty applied",O107&gt;P107),U107,IF(AND(V107="Low Difficulty - only applicable if all habitat created before losses ⚠",P107&gt;=O107),"Low",VLOOKUP(F107,'G-3 Multipliers'!$A$2:$E$134,4,FALSE))))</f>
        <v/>
      </c>
      <c r="X107" s="314" t="str">
        <f>IFERROR(IF(E107="","",VLOOKUP(W107, 'G-3 Multipliers'!$P$2:$Q$6,2,FALSE)),"")</f>
        <v/>
      </c>
      <c r="Y107" s="317" t="str">
        <f t="shared" si="11"/>
        <v/>
      </c>
      <c r="Z107" s="163"/>
      <c r="AA107" s="164"/>
      <c r="AB107" s="101"/>
      <c r="AE107" s="25" t="str">
        <f t="shared" si="7"/>
        <v/>
      </c>
    </row>
    <row r="108" spans="1:31" ht="14.5" thickBot="1" x14ac:dyDescent="0.35">
      <c r="A108" s="20" t="str">
        <f>IFERROR(INDEX('G-8 Condition Look up'!$I$4:$I$135,MATCH(F108,'G-8 Condition Look up'!$A$4:$A$135,0)),"")</f>
        <v/>
      </c>
      <c r="B108" s="679">
        <v>98</v>
      </c>
      <c r="C108" s="247" t="str">
        <f>IFERROR(INDEX('G-1 All Habitats'!$AG$25:$AG$41,MATCH(D108,'G-1 All Habitats'!AF$25:AF$41,0)),"")</f>
        <v/>
      </c>
      <c r="D108" s="38"/>
      <c r="E108" s="45"/>
      <c r="F108" s="244" t="str">
        <f>IFERROR(INDEX('G-1 All Habitats'!$B$3:$B$135,MATCH(E108,'G-1 All Habitats'!$A$3:$A$135,0)),"")</f>
        <v/>
      </c>
      <c r="G108" s="37"/>
      <c r="H108" s="290" t="str">
        <f>IF(F108="","",VLOOKUP(F108,'G-1 All Habitats'!$B$2:$M$135,10,FALSE))</f>
        <v/>
      </c>
      <c r="I108" s="291" t="str">
        <f>IFERROR(VLOOKUP(H108,'G-1 All Habitats'!$V$3:$W$7,2,FALSE),"")</f>
        <v/>
      </c>
      <c r="J108" s="38"/>
      <c r="K108" s="291" t="str">
        <f>IFERROR(INDEX('G-8 Condition Look up'!$A$3:$H$135,MATCH(F108,'G-8 Condition Look up'!$A$3:$A$135,0),MATCH(J108,'G-8 Condition Look up'!$A$3:$H$3,0)),"")</f>
        <v/>
      </c>
      <c r="L108" s="38"/>
      <c r="M108" s="298" t="str">
        <f>IF(L108="","",IF(VLOOKUP(L108,'G-3 Multipliers'!$L$3:$N$6,2,FALSE)=0,"Spatial Data Missing",VLOOKUP(L108,'G-3 Multipliers'!$L$3:$N$6,2,FALSE)))</f>
        <v/>
      </c>
      <c r="N108" s="296" t="str">
        <f>IF(L108="","",IF(VLOOKUP(L108,'G-3 Multipliers'!$L$3:$N$6,3,FALSE)=0,"Spatial Data Missing",VLOOKUP(L108,'G-3 Multipliers'!$L$3:$N$6,3,FALSE)))</f>
        <v/>
      </c>
      <c r="O108" s="290" t="str">
        <f t="shared" si="6"/>
        <v/>
      </c>
      <c r="P108" s="47"/>
      <c r="Q108" s="47"/>
      <c r="R108" s="298" t="str">
        <f t="shared" si="8"/>
        <v/>
      </c>
      <c r="S108" s="311" t="str">
        <f t="shared" si="9"/>
        <v/>
      </c>
      <c r="T108" s="312" t="str">
        <f>IFERROR(IF(S108="Check Data ⚠","Check Data ⚠",VLOOKUP(S108,'G-4 Temporal multipliers'!$A$4:$C$37,3,FALSE)),"")</f>
        <v/>
      </c>
      <c r="U108" s="313" t="str">
        <f>IF(F108="","",VLOOKUP(F108,'G-3 Multipliers'!$A$2:$E$134,2,FALSE))</f>
        <v/>
      </c>
      <c r="V108" s="310" t="str">
        <f t="shared" si="10"/>
        <v/>
      </c>
      <c r="W108" s="295" t="str">
        <f>IF(E108="","",IF(AND(V108="Standard difficulty applied",O108&gt;P108),U108,IF(AND(V108="Low Difficulty - only applicable if all habitat created before losses ⚠",P108&gt;=O108),"Low",VLOOKUP(F108,'G-3 Multipliers'!$A$2:$E$134,4,FALSE))))</f>
        <v/>
      </c>
      <c r="X108" s="314" t="str">
        <f>IFERROR(IF(E108="","",VLOOKUP(W108, 'G-3 Multipliers'!$P$2:$Q$6,2,FALSE)),"")</f>
        <v/>
      </c>
      <c r="Y108" s="317" t="str">
        <f t="shared" si="11"/>
        <v/>
      </c>
      <c r="Z108" s="163"/>
      <c r="AA108" s="164"/>
      <c r="AB108" s="101"/>
      <c r="AE108" s="25" t="str">
        <f t="shared" si="7"/>
        <v/>
      </c>
    </row>
    <row r="109" spans="1:31" ht="14.5" thickBot="1" x14ac:dyDescent="0.35">
      <c r="A109" s="20" t="str">
        <f>IFERROR(INDEX('G-8 Condition Look up'!$I$4:$I$135,MATCH(F109,'G-8 Condition Look up'!$A$4:$A$135,0)),"")</f>
        <v/>
      </c>
      <c r="B109" s="679">
        <v>99</v>
      </c>
      <c r="C109" s="247" t="str">
        <f>IFERROR(INDEX('G-1 All Habitats'!$AG$25:$AG$41,MATCH(D109,'G-1 All Habitats'!AF$25:AF$41,0)),"")</f>
        <v/>
      </c>
      <c r="D109" s="38"/>
      <c r="E109" s="45"/>
      <c r="F109" s="244" t="str">
        <f>IFERROR(INDEX('G-1 All Habitats'!$B$3:$B$135,MATCH(E109,'G-1 All Habitats'!$A$3:$A$135,0)),"")</f>
        <v/>
      </c>
      <c r="G109" s="37"/>
      <c r="H109" s="290" t="str">
        <f>IF(F109="","",VLOOKUP(F109,'G-1 All Habitats'!$B$2:$M$135,10,FALSE))</f>
        <v/>
      </c>
      <c r="I109" s="291" t="str">
        <f>IFERROR(VLOOKUP(H109,'G-1 All Habitats'!$V$3:$W$7,2,FALSE),"")</f>
        <v/>
      </c>
      <c r="J109" s="38"/>
      <c r="K109" s="291" t="str">
        <f>IFERROR(INDEX('G-8 Condition Look up'!$A$3:$H$135,MATCH(F109,'G-8 Condition Look up'!$A$3:$A$135,0),MATCH(J109,'G-8 Condition Look up'!$A$3:$H$3,0)),"")</f>
        <v/>
      </c>
      <c r="L109" s="38"/>
      <c r="M109" s="298" t="str">
        <f>IF(L109="","",IF(VLOOKUP(L109,'G-3 Multipliers'!$L$3:$N$6,2,FALSE)=0,"Spatial Data Missing",VLOOKUP(L109,'G-3 Multipliers'!$L$3:$N$6,2,FALSE)))</f>
        <v/>
      </c>
      <c r="N109" s="296" t="str">
        <f>IF(L109="","",IF(VLOOKUP(L109,'G-3 Multipliers'!$L$3:$N$6,3,FALSE)=0,"Spatial Data Missing",VLOOKUP(L109,'G-3 Multipliers'!$L$3:$N$6,3,FALSE)))</f>
        <v/>
      </c>
      <c r="O109" s="290" t="str">
        <f t="shared" si="6"/>
        <v/>
      </c>
      <c r="P109" s="47"/>
      <c r="Q109" s="47"/>
      <c r="R109" s="298" t="str">
        <f t="shared" si="8"/>
        <v/>
      </c>
      <c r="S109" s="311" t="str">
        <f t="shared" si="9"/>
        <v/>
      </c>
      <c r="T109" s="312" t="str">
        <f>IFERROR(IF(S109="Check Data ⚠","Check Data ⚠",VLOOKUP(S109,'G-4 Temporal multipliers'!$A$4:$C$37,3,FALSE)),"")</f>
        <v/>
      </c>
      <c r="U109" s="313" t="str">
        <f>IF(F109="","",VLOOKUP(F109,'G-3 Multipliers'!$A$2:$E$134,2,FALSE))</f>
        <v/>
      </c>
      <c r="V109" s="310" t="str">
        <f t="shared" si="10"/>
        <v/>
      </c>
      <c r="W109" s="295" t="str">
        <f>IF(E109="","",IF(AND(V109="Standard difficulty applied",O109&gt;P109),U109,IF(AND(V109="Low Difficulty - only applicable if all habitat created before losses ⚠",P109&gt;=O109),"Low",VLOOKUP(F109,'G-3 Multipliers'!$A$2:$E$134,4,FALSE))))</f>
        <v/>
      </c>
      <c r="X109" s="314" t="str">
        <f>IFERROR(IF(E109="","",VLOOKUP(W109, 'G-3 Multipliers'!$P$2:$Q$6,2,FALSE)),"")</f>
        <v/>
      </c>
      <c r="Y109" s="317" t="str">
        <f t="shared" si="11"/>
        <v/>
      </c>
      <c r="Z109" s="163"/>
      <c r="AA109" s="164"/>
      <c r="AB109" s="101"/>
      <c r="AE109" s="25" t="str">
        <f t="shared" si="7"/>
        <v/>
      </c>
    </row>
    <row r="110" spans="1:31" ht="14.5" thickBot="1" x14ac:dyDescent="0.35">
      <c r="A110" s="20" t="str">
        <f>IFERROR(INDEX('G-8 Condition Look up'!$I$4:$I$135,MATCH(F110,'G-8 Condition Look up'!$A$4:$A$135,0)),"")</f>
        <v/>
      </c>
      <c r="B110" s="679">
        <v>100</v>
      </c>
      <c r="C110" s="247" t="str">
        <f>IFERROR(INDEX('G-1 All Habitats'!$AG$25:$AG$41,MATCH(D110,'G-1 All Habitats'!AF$25:AF$41,0)),"")</f>
        <v/>
      </c>
      <c r="D110" s="38"/>
      <c r="E110" s="45"/>
      <c r="F110" s="244" t="str">
        <f>IFERROR(INDEX('G-1 All Habitats'!$B$3:$B$135,MATCH(E110,'G-1 All Habitats'!$A$3:$A$135,0)),"")</f>
        <v/>
      </c>
      <c r="G110" s="37"/>
      <c r="H110" s="290" t="str">
        <f>IF(F110="","",VLOOKUP(F110,'G-1 All Habitats'!$B$2:$M$135,10,FALSE))</f>
        <v/>
      </c>
      <c r="I110" s="291" t="str">
        <f>IFERROR(VLOOKUP(H110,'G-1 All Habitats'!$V$3:$W$7,2,FALSE),"")</f>
        <v/>
      </c>
      <c r="J110" s="38"/>
      <c r="K110" s="291" t="str">
        <f>IFERROR(INDEX('G-8 Condition Look up'!$A$3:$H$135,MATCH(F110,'G-8 Condition Look up'!$A$3:$A$135,0),MATCH(J110,'G-8 Condition Look up'!$A$3:$H$3,0)),"")</f>
        <v/>
      </c>
      <c r="L110" s="38"/>
      <c r="M110" s="298" t="str">
        <f>IF(L110="","",IF(VLOOKUP(L110,'G-3 Multipliers'!$L$3:$N$6,2,FALSE)=0,"Spatial Data Missing",VLOOKUP(L110,'G-3 Multipliers'!$L$3:$N$6,2,FALSE)))</f>
        <v/>
      </c>
      <c r="N110" s="296" t="str">
        <f>IF(L110="","",IF(VLOOKUP(L110,'G-3 Multipliers'!$L$3:$N$6,3,FALSE)=0,"Spatial Data Missing",VLOOKUP(L110,'G-3 Multipliers'!$L$3:$N$6,3,FALSE)))</f>
        <v/>
      </c>
      <c r="O110" s="290" t="str">
        <f t="shared" si="6"/>
        <v/>
      </c>
      <c r="P110" s="47"/>
      <c r="Q110" s="47"/>
      <c r="R110" s="298" t="str">
        <f t="shared" si="8"/>
        <v/>
      </c>
      <c r="S110" s="311" t="str">
        <f t="shared" si="9"/>
        <v/>
      </c>
      <c r="T110" s="312" t="str">
        <f>IFERROR(IF(S110="Check Data ⚠","Check Data ⚠",VLOOKUP(S110,'G-4 Temporal multipliers'!$A$4:$C$37,3,FALSE)),"")</f>
        <v/>
      </c>
      <c r="U110" s="313" t="str">
        <f>IF(F110="","",VLOOKUP(F110,'G-3 Multipliers'!$A$2:$E$134,2,FALSE))</f>
        <v/>
      </c>
      <c r="V110" s="310" t="str">
        <f t="shared" si="10"/>
        <v/>
      </c>
      <c r="W110" s="295" t="str">
        <f>IF(E110="","",IF(AND(V110="Standard difficulty applied",O110&gt;P110),U110,IF(AND(V110="Low Difficulty - only applicable if all habitat created before losses ⚠",P110&gt;=O110),"Low",VLOOKUP(F110,'G-3 Multipliers'!$A$2:$E$134,4,FALSE))))</f>
        <v/>
      </c>
      <c r="X110" s="314" t="str">
        <f>IFERROR(IF(E110="","",VLOOKUP(W110, 'G-3 Multipliers'!$P$2:$Q$6,2,FALSE)),"")</f>
        <v/>
      </c>
      <c r="Y110" s="317" t="str">
        <f t="shared" si="11"/>
        <v/>
      </c>
      <c r="Z110" s="163"/>
      <c r="AA110" s="164"/>
      <c r="AB110" s="101"/>
      <c r="AE110" s="25" t="str">
        <f t="shared" si="7"/>
        <v/>
      </c>
    </row>
    <row r="111" spans="1:31" ht="14.5" thickBot="1" x14ac:dyDescent="0.35">
      <c r="A111" s="20" t="str">
        <f>IFERROR(INDEX('G-8 Condition Look up'!$I$4:$I$135,MATCH(F111,'G-8 Condition Look up'!$A$4:$A$135,0)),"")</f>
        <v/>
      </c>
      <c r="B111" s="679">
        <v>101</v>
      </c>
      <c r="C111" s="247" t="str">
        <f>IFERROR(INDEX('G-1 All Habitats'!$AG$25:$AG$41,MATCH(D111,'G-1 All Habitats'!AF$25:AF$41,0)),"")</f>
        <v/>
      </c>
      <c r="D111" s="38"/>
      <c r="E111" s="45"/>
      <c r="F111" s="244" t="str">
        <f>IFERROR(INDEX('G-1 All Habitats'!$B$3:$B$135,MATCH(E111,'G-1 All Habitats'!$A$3:$A$135,0)),"")</f>
        <v/>
      </c>
      <c r="G111" s="37"/>
      <c r="H111" s="290" t="str">
        <f>IF(F111="","",VLOOKUP(F111,'G-1 All Habitats'!$B$2:$M$135,10,FALSE))</f>
        <v/>
      </c>
      <c r="I111" s="291" t="str">
        <f>IFERROR(VLOOKUP(H111,'G-1 All Habitats'!$V$3:$W$7,2,FALSE),"")</f>
        <v/>
      </c>
      <c r="J111" s="38"/>
      <c r="K111" s="291" t="str">
        <f>IFERROR(INDEX('G-8 Condition Look up'!$A$3:$H$135,MATCH(F111,'G-8 Condition Look up'!$A$3:$A$135,0),MATCH(J111,'G-8 Condition Look up'!$A$3:$H$3,0)),"")</f>
        <v/>
      </c>
      <c r="L111" s="38"/>
      <c r="M111" s="298" t="str">
        <f>IF(L111="","",IF(VLOOKUP(L111,'G-3 Multipliers'!$L$3:$N$6,2,FALSE)=0,"Spatial Data Missing",VLOOKUP(L111,'G-3 Multipliers'!$L$3:$N$6,2,FALSE)))</f>
        <v/>
      </c>
      <c r="N111" s="296" t="str">
        <f>IF(L111="","",IF(VLOOKUP(L111,'G-3 Multipliers'!$L$3:$N$6,3,FALSE)=0,"Spatial Data Missing",VLOOKUP(L111,'G-3 Multipliers'!$L$3:$N$6,3,FALSE)))</f>
        <v/>
      </c>
      <c r="O111" s="290" t="str">
        <f t="shared" si="6"/>
        <v/>
      </c>
      <c r="P111" s="47"/>
      <c r="Q111" s="47"/>
      <c r="R111" s="298" t="str">
        <f t="shared" si="8"/>
        <v/>
      </c>
      <c r="S111" s="311" t="str">
        <f t="shared" si="9"/>
        <v/>
      </c>
      <c r="T111" s="312" t="str">
        <f>IFERROR(IF(S111="Check Data ⚠","Check Data ⚠",VLOOKUP(S111,'G-4 Temporal multipliers'!$A$4:$C$37,3,FALSE)),"")</f>
        <v/>
      </c>
      <c r="U111" s="313" t="str">
        <f>IF(F111="","",VLOOKUP(F111,'G-3 Multipliers'!$A$2:$E$134,2,FALSE))</f>
        <v/>
      </c>
      <c r="V111" s="310" t="str">
        <f t="shared" si="10"/>
        <v/>
      </c>
      <c r="W111" s="295" t="str">
        <f>IF(E111="","",IF(AND(V111="Standard difficulty applied",O111&gt;P111),U111,IF(AND(V111="Low Difficulty - only applicable if all habitat created before losses ⚠",P111&gt;=O111),"Low",VLOOKUP(F111,'G-3 Multipliers'!$A$2:$E$134,4,FALSE))))</f>
        <v/>
      </c>
      <c r="X111" s="314" t="str">
        <f>IFERROR(IF(E111="","",VLOOKUP(W111, 'G-3 Multipliers'!$P$2:$Q$6,2,FALSE)),"")</f>
        <v/>
      </c>
      <c r="Y111" s="317" t="str">
        <f t="shared" si="11"/>
        <v/>
      </c>
      <c r="Z111" s="163"/>
      <c r="AA111" s="164"/>
      <c r="AB111" s="101"/>
      <c r="AE111" s="25" t="str">
        <f t="shared" si="7"/>
        <v/>
      </c>
    </row>
    <row r="112" spans="1:31" ht="14.5" thickBot="1" x14ac:dyDescent="0.35">
      <c r="A112" s="20" t="str">
        <f>IFERROR(INDEX('G-8 Condition Look up'!$I$4:$I$135,MATCH(F112,'G-8 Condition Look up'!$A$4:$A$135,0)),"")</f>
        <v/>
      </c>
      <c r="B112" s="679">
        <v>102</v>
      </c>
      <c r="C112" s="247" t="str">
        <f>IFERROR(INDEX('G-1 All Habitats'!$AG$25:$AG$41,MATCH(D112,'G-1 All Habitats'!AF$25:AF$41,0)),"")</f>
        <v/>
      </c>
      <c r="D112" s="38"/>
      <c r="E112" s="45"/>
      <c r="F112" s="244" t="str">
        <f>IFERROR(INDEX('G-1 All Habitats'!$B$3:$B$135,MATCH(E112,'G-1 All Habitats'!$A$3:$A$135,0)),"")</f>
        <v/>
      </c>
      <c r="G112" s="37"/>
      <c r="H112" s="290" t="str">
        <f>IF(F112="","",VLOOKUP(F112,'G-1 All Habitats'!$B$2:$M$135,10,FALSE))</f>
        <v/>
      </c>
      <c r="I112" s="291" t="str">
        <f>IFERROR(VLOOKUP(H112,'G-1 All Habitats'!$V$3:$W$7,2,FALSE),"")</f>
        <v/>
      </c>
      <c r="J112" s="38"/>
      <c r="K112" s="291" t="str">
        <f>IFERROR(INDEX('G-8 Condition Look up'!$A$3:$H$135,MATCH(F112,'G-8 Condition Look up'!$A$3:$A$135,0),MATCH(J112,'G-8 Condition Look up'!$A$3:$H$3,0)),"")</f>
        <v/>
      </c>
      <c r="L112" s="38"/>
      <c r="M112" s="298" t="str">
        <f>IF(L112="","",IF(VLOOKUP(L112,'G-3 Multipliers'!$L$3:$N$6,2,FALSE)=0,"Spatial Data Missing",VLOOKUP(L112,'G-3 Multipliers'!$L$3:$N$6,2,FALSE)))</f>
        <v/>
      </c>
      <c r="N112" s="296" t="str">
        <f>IF(L112="","",IF(VLOOKUP(L112,'G-3 Multipliers'!$L$3:$N$6,3,FALSE)=0,"Spatial Data Missing",VLOOKUP(L112,'G-3 Multipliers'!$L$3:$N$6,3,FALSE)))</f>
        <v/>
      </c>
      <c r="O112" s="290" t="str">
        <f t="shared" si="6"/>
        <v/>
      </c>
      <c r="P112" s="47"/>
      <c r="Q112" s="47"/>
      <c r="R112" s="298" t="str">
        <f t="shared" si="8"/>
        <v/>
      </c>
      <c r="S112" s="311" t="str">
        <f t="shared" si="9"/>
        <v/>
      </c>
      <c r="T112" s="312" t="str">
        <f>IFERROR(IF(S112="Check Data ⚠","Check Data ⚠",VLOOKUP(S112,'G-4 Temporal multipliers'!$A$4:$C$37,3,FALSE)),"")</f>
        <v/>
      </c>
      <c r="U112" s="313" t="str">
        <f>IF(F112="","",VLOOKUP(F112,'G-3 Multipliers'!$A$2:$E$134,2,FALSE))</f>
        <v/>
      </c>
      <c r="V112" s="310" t="str">
        <f t="shared" si="10"/>
        <v/>
      </c>
      <c r="W112" s="295" t="str">
        <f>IF(E112="","",IF(AND(V112="Standard difficulty applied",O112&gt;P112),U112,IF(AND(V112="Low Difficulty - only applicable if all habitat created before losses ⚠",P112&gt;=O112),"Low",VLOOKUP(F112,'G-3 Multipliers'!$A$2:$E$134,4,FALSE))))</f>
        <v/>
      </c>
      <c r="X112" s="314" t="str">
        <f>IFERROR(IF(E112="","",VLOOKUP(W112, 'G-3 Multipliers'!$P$2:$Q$6,2,FALSE)),"")</f>
        <v/>
      </c>
      <c r="Y112" s="317" t="str">
        <f t="shared" si="11"/>
        <v/>
      </c>
      <c r="Z112" s="163"/>
      <c r="AA112" s="164"/>
      <c r="AB112" s="101"/>
      <c r="AE112" s="25" t="str">
        <f t="shared" si="7"/>
        <v/>
      </c>
    </row>
    <row r="113" spans="1:31" ht="14.5" thickBot="1" x14ac:dyDescent="0.35">
      <c r="A113" s="20" t="str">
        <f>IFERROR(INDEX('G-8 Condition Look up'!$I$4:$I$135,MATCH(F113,'G-8 Condition Look up'!$A$4:$A$135,0)),"")</f>
        <v/>
      </c>
      <c r="B113" s="679">
        <v>103</v>
      </c>
      <c r="C113" s="247" t="str">
        <f>IFERROR(INDEX('G-1 All Habitats'!$AG$25:$AG$41,MATCH(D113,'G-1 All Habitats'!AF$25:AF$41,0)),"")</f>
        <v/>
      </c>
      <c r="D113" s="38"/>
      <c r="E113" s="45"/>
      <c r="F113" s="244" t="str">
        <f>IFERROR(INDEX('G-1 All Habitats'!$B$3:$B$135,MATCH(E113,'G-1 All Habitats'!$A$3:$A$135,0)),"")</f>
        <v/>
      </c>
      <c r="G113" s="37"/>
      <c r="H113" s="290" t="str">
        <f>IF(F113="","",VLOOKUP(F113,'G-1 All Habitats'!$B$2:$M$135,10,FALSE))</f>
        <v/>
      </c>
      <c r="I113" s="291" t="str">
        <f>IFERROR(VLOOKUP(H113,'G-1 All Habitats'!$V$3:$W$7,2,FALSE),"")</f>
        <v/>
      </c>
      <c r="J113" s="38"/>
      <c r="K113" s="291" t="str">
        <f>IFERROR(INDEX('G-8 Condition Look up'!$A$3:$H$135,MATCH(F113,'G-8 Condition Look up'!$A$3:$A$135,0),MATCH(J113,'G-8 Condition Look up'!$A$3:$H$3,0)),"")</f>
        <v/>
      </c>
      <c r="L113" s="38"/>
      <c r="M113" s="298" t="str">
        <f>IF(L113="","",IF(VLOOKUP(L113,'G-3 Multipliers'!$L$3:$N$6,2,FALSE)=0,"Spatial Data Missing",VLOOKUP(L113,'G-3 Multipliers'!$L$3:$N$6,2,FALSE)))</f>
        <v/>
      </c>
      <c r="N113" s="296" t="str">
        <f>IF(L113="","",IF(VLOOKUP(L113,'G-3 Multipliers'!$L$3:$N$6,3,FALSE)=0,"Spatial Data Missing",VLOOKUP(L113,'G-3 Multipliers'!$L$3:$N$6,3,FALSE)))</f>
        <v/>
      </c>
      <c r="O113" s="290" t="str">
        <f t="shared" si="6"/>
        <v/>
      </c>
      <c r="P113" s="47"/>
      <c r="Q113" s="47"/>
      <c r="R113" s="298" t="str">
        <f t="shared" si="8"/>
        <v/>
      </c>
      <c r="S113" s="311" t="str">
        <f t="shared" si="9"/>
        <v/>
      </c>
      <c r="T113" s="312" t="str">
        <f>IFERROR(IF(S113="Check Data ⚠","Check Data ⚠",VLOOKUP(S113,'G-4 Temporal multipliers'!$A$4:$C$37,3,FALSE)),"")</f>
        <v/>
      </c>
      <c r="U113" s="313" t="str">
        <f>IF(F113="","",VLOOKUP(F113,'G-3 Multipliers'!$A$2:$E$134,2,FALSE))</f>
        <v/>
      </c>
      <c r="V113" s="310" t="str">
        <f t="shared" si="10"/>
        <v/>
      </c>
      <c r="W113" s="295" t="str">
        <f>IF(E113="","",IF(AND(V113="Standard difficulty applied",O113&gt;P113),U113,IF(AND(V113="Low Difficulty - only applicable if all habitat created before losses ⚠",P113&gt;=O113),"Low",VLOOKUP(F113,'G-3 Multipliers'!$A$2:$E$134,4,FALSE))))</f>
        <v/>
      </c>
      <c r="X113" s="314" t="str">
        <f>IFERROR(IF(E113="","",VLOOKUP(W113, 'G-3 Multipliers'!$P$2:$Q$6,2,FALSE)),"")</f>
        <v/>
      </c>
      <c r="Y113" s="317" t="str">
        <f t="shared" si="11"/>
        <v/>
      </c>
      <c r="Z113" s="163"/>
      <c r="AA113" s="164"/>
      <c r="AB113" s="101"/>
      <c r="AE113" s="25" t="str">
        <f t="shared" si="7"/>
        <v/>
      </c>
    </row>
    <row r="114" spans="1:31" ht="14.5" thickBot="1" x14ac:dyDescent="0.35">
      <c r="A114" s="20" t="str">
        <f>IFERROR(INDEX('G-8 Condition Look up'!$I$4:$I$135,MATCH(F114,'G-8 Condition Look up'!$A$4:$A$135,0)),"")</f>
        <v/>
      </c>
      <c r="B114" s="679">
        <v>104</v>
      </c>
      <c r="C114" s="247" t="str">
        <f>IFERROR(INDEX('G-1 All Habitats'!$AG$25:$AG$41,MATCH(D114,'G-1 All Habitats'!AF$25:AF$41,0)),"")</f>
        <v/>
      </c>
      <c r="D114" s="38"/>
      <c r="E114" s="45"/>
      <c r="F114" s="244" t="str">
        <f>IFERROR(INDEX('G-1 All Habitats'!$B$3:$B$135,MATCH(E114,'G-1 All Habitats'!$A$3:$A$135,0)),"")</f>
        <v/>
      </c>
      <c r="G114" s="37"/>
      <c r="H114" s="290" t="str">
        <f>IF(F114="","",VLOOKUP(F114,'G-1 All Habitats'!$B$2:$M$135,10,FALSE))</f>
        <v/>
      </c>
      <c r="I114" s="291" t="str">
        <f>IFERROR(VLOOKUP(H114,'G-1 All Habitats'!$V$3:$W$7,2,FALSE),"")</f>
        <v/>
      </c>
      <c r="J114" s="38"/>
      <c r="K114" s="291" t="str">
        <f>IFERROR(INDEX('G-8 Condition Look up'!$A$3:$H$135,MATCH(F114,'G-8 Condition Look up'!$A$3:$A$135,0),MATCH(J114,'G-8 Condition Look up'!$A$3:$H$3,0)),"")</f>
        <v/>
      </c>
      <c r="L114" s="38"/>
      <c r="M114" s="298" t="str">
        <f>IF(L114="","",IF(VLOOKUP(L114,'G-3 Multipliers'!$L$3:$N$6,2,FALSE)=0,"Spatial Data Missing",VLOOKUP(L114,'G-3 Multipliers'!$L$3:$N$6,2,FALSE)))</f>
        <v/>
      </c>
      <c r="N114" s="296" t="str">
        <f>IF(L114="","",IF(VLOOKUP(L114,'G-3 Multipliers'!$L$3:$N$6,3,FALSE)=0,"Spatial Data Missing",VLOOKUP(L114,'G-3 Multipliers'!$L$3:$N$6,3,FALSE)))</f>
        <v/>
      </c>
      <c r="O114" s="290" t="str">
        <f t="shared" si="6"/>
        <v/>
      </c>
      <c r="P114" s="47"/>
      <c r="Q114" s="47"/>
      <c r="R114" s="298" t="str">
        <f t="shared" si="8"/>
        <v/>
      </c>
      <c r="S114" s="311" t="str">
        <f t="shared" si="9"/>
        <v/>
      </c>
      <c r="T114" s="312" t="str">
        <f>IFERROR(IF(S114="Check Data ⚠","Check Data ⚠",VLOOKUP(S114,'G-4 Temporal multipliers'!$A$4:$C$37,3,FALSE)),"")</f>
        <v/>
      </c>
      <c r="U114" s="313" t="str">
        <f>IF(F114="","",VLOOKUP(F114,'G-3 Multipliers'!$A$2:$E$134,2,FALSE))</f>
        <v/>
      </c>
      <c r="V114" s="310" t="str">
        <f t="shared" si="10"/>
        <v/>
      </c>
      <c r="W114" s="295" t="str">
        <f>IF(E114="","",IF(AND(V114="Standard difficulty applied",O114&gt;P114),U114,IF(AND(V114="Low Difficulty - only applicable if all habitat created before losses ⚠",P114&gt;=O114),"Low",VLOOKUP(F114,'G-3 Multipliers'!$A$2:$E$134,4,FALSE))))</f>
        <v/>
      </c>
      <c r="X114" s="314" t="str">
        <f>IFERROR(IF(E114="","",VLOOKUP(W114, 'G-3 Multipliers'!$P$2:$Q$6,2,FALSE)),"")</f>
        <v/>
      </c>
      <c r="Y114" s="317" t="str">
        <f t="shared" si="11"/>
        <v/>
      </c>
      <c r="Z114" s="163"/>
      <c r="AA114" s="164"/>
      <c r="AB114" s="101"/>
      <c r="AE114" s="25" t="str">
        <f t="shared" si="7"/>
        <v/>
      </c>
    </row>
    <row r="115" spans="1:31" ht="14.5" thickBot="1" x14ac:dyDescent="0.35">
      <c r="A115" s="20" t="str">
        <f>IFERROR(INDEX('G-8 Condition Look up'!$I$4:$I$135,MATCH(F115,'G-8 Condition Look up'!$A$4:$A$135,0)),"")</f>
        <v/>
      </c>
      <c r="B115" s="679">
        <v>105</v>
      </c>
      <c r="C115" s="247" t="str">
        <f>IFERROR(INDEX('G-1 All Habitats'!$AG$25:$AG$41,MATCH(D115,'G-1 All Habitats'!AF$25:AF$41,0)),"")</f>
        <v/>
      </c>
      <c r="D115" s="38"/>
      <c r="E115" s="45"/>
      <c r="F115" s="244" t="str">
        <f>IFERROR(INDEX('G-1 All Habitats'!$B$3:$B$135,MATCH(E115,'G-1 All Habitats'!$A$3:$A$135,0)),"")</f>
        <v/>
      </c>
      <c r="G115" s="37"/>
      <c r="H115" s="290" t="str">
        <f>IF(F115="","",VLOOKUP(F115,'G-1 All Habitats'!$B$2:$M$135,10,FALSE))</f>
        <v/>
      </c>
      <c r="I115" s="291" t="str">
        <f>IFERROR(VLOOKUP(H115,'G-1 All Habitats'!$V$3:$W$7,2,FALSE),"")</f>
        <v/>
      </c>
      <c r="J115" s="38"/>
      <c r="K115" s="291" t="str">
        <f>IFERROR(INDEX('G-8 Condition Look up'!$A$3:$H$135,MATCH(F115,'G-8 Condition Look up'!$A$3:$A$135,0),MATCH(J115,'G-8 Condition Look up'!$A$3:$H$3,0)),"")</f>
        <v/>
      </c>
      <c r="L115" s="38"/>
      <c r="M115" s="298" t="str">
        <f>IF(L115="","",IF(VLOOKUP(L115,'G-3 Multipliers'!$L$3:$N$6,2,FALSE)=0,"Spatial Data Missing",VLOOKUP(L115,'G-3 Multipliers'!$L$3:$N$6,2,FALSE)))</f>
        <v/>
      </c>
      <c r="N115" s="296" t="str">
        <f>IF(L115="","",IF(VLOOKUP(L115,'G-3 Multipliers'!$L$3:$N$6,3,FALSE)=0,"Spatial Data Missing",VLOOKUP(L115,'G-3 Multipliers'!$L$3:$N$6,3,FALSE)))</f>
        <v/>
      </c>
      <c r="O115" s="290" t="str">
        <f t="shared" si="6"/>
        <v/>
      </c>
      <c r="P115" s="47"/>
      <c r="Q115" s="47"/>
      <c r="R115" s="298" t="str">
        <f t="shared" si="8"/>
        <v/>
      </c>
      <c r="S115" s="311" t="str">
        <f t="shared" si="9"/>
        <v/>
      </c>
      <c r="T115" s="312" t="str">
        <f>IFERROR(IF(S115="Check Data ⚠","Check Data ⚠",VLOOKUP(S115,'G-4 Temporal multipliers'!$A$4:$C$37,3,FALSE)),"")</f>
        <v/>
      </c>
      <c r="U115" s="313" t="str">
        <f>IF(F115="","",VLOOKUP(F115,'G-3 Multipliers'!$A$2:$E$134,2,FALSE))</f>
        <v/>
      </c>
      <c r="V115" s="310" t="str">
        <f t="shared" si="10"/>
        <v/>
      </c>
      <c r="W115" s="295" t="str">
        <f>IF(E115="","",IF(AND(V115="Standard difficulty applied",O115&gt;P115),U115,IF(AND(V115="Low Difficulty - only applicable if all habitat created before losses ⚠",P115&gt;=O115),"Low",VLOOKUP(F115,'G-3 Multipliers'!$A$2:$E$134,4,FALSE))))</f>
        <v/>
      </c>
      <c r="X115" s="314" t="str">
        <f>IFERROR(IF(E115="","",VLOOKUP(W115, 'G-3 Multipliers'!$P$2:$Q$6,2,FALSE)),"")</f>
        <v/>
      </c>
      <c r="Y115" s="317" t="str">
        <f t="shared" si="11"/>
        <v/>
      </c>
      <c r="Z115" s="163"/>
      <c r="AA115" s="164"/>
      <c r="AB115" s="101"/>
      <c r="AE115" s="25" t="str">
        <f t="shared" si="7"/>
        <v/>
      </c>
    </row>
    <row r="116" spans="1:31" ht="14.5" thickBot="1" x14ac:dyDescent="0.35">
      <c r="A116" s="20" t="str">
        <f>IFERROR(INDEX('G-8 Condition Look up'!$I$4:$I$135,MATCH(F116,'G-8 Condition Look up'!$A$4:$A$135,0)),"")</f>
        <v/>
      </c>
      <c r="B116" s="679">
        <v>106</v>
      </c>
      <c r="C116" s="247" t="str">
        <f>IFERROR(INDEX('G-1 All Habitats'!$AG$25:$AG$41,MATCH(D116,'G-1 All Habitats'!AF$25:AF$41,0)),"")</f>
        <v/>
      </c>
      <c r="D116" s="38"/>
      <c r="E116" s="45"/>
      <c r="F116" s="244" t="str">
        <f>IFERROR(INDEX('G-1 All Habitats'!$B$3:$B$135,MATCH(E116,'G-1 All Habitats'!$A$3:$A$135,0)),"")</f>
        <v/>
      </c>
      <c r="G116" s="37"/>
      <c r="H116" s="290" t="str">
        <f>IF(F116="","",VLOOKUP(F116,'G-1 All Habitats'!$B$2:$M$135,10,FALSE))</f>
        <v/>
      </c>
      <c r="I116" s="291" t="str">
        <f>IFERROR(VLOOKUP(H116,'G-1 All Habitats'!$V$3:$W$7,2,FALSE),"")</f>
        <v/>
      </c>
      <c r="J116" s="38"/>
      <c r="K116" s="291" t="str">
        <f>IFERROR(INDEX('G-8 Condition Look up'!$A$3:$H$135,MATCH(F116,'G-8 Condition Look up'!$A$3:$A$135,0),MATCH(J116,'G-8 Condition Look up'!$A$3:$H$3,0)),"")</f>
        <v/>
      </c>
      <c r="L116" s="38"/>
      <c r="M116" s="298" t="str">
        <f>IF(L116="","",IF(VLOOKUP(L116,'G-3 Multipliers'!$L$3:$N$6,2,FALSE)=0,"Spatial Data Missing",VLOOKUP(L116,'G-3 Multipliers'!$L$3:$N$6,2,FALSE)))</f>
        <v/>
      </c>
      <c r="N116" s="296" t="str">
        <f>IF(L116="","",IF(VLOOKUP(L116,'G-3 Multipliers'!$L$3:$N$6,3,FALSE)=0,"Spatial Data Missing",VLOOKUP(L116,'G-3 Multipliers'!$L$3:$N$6,3,FALSE)))</f>
        <v/>
      </c>
      <c r="O116" s="290" t="str">
        <f t="shared" si="6"/>
        <v/>
      </c>
      <c r="P116" s="47"/>
      <c r="Q116" s="47"/>
      <c r="R116" s="298" t="str">
        <f t="shared" si="8"/>
        <v/>
      </c>
      <c r="S116" s="311" t="str">
        <f t="shared" si="9"/>
        <v/>
      </c>
      <c r="T116" s="312" t="str">
        <f>IFERROR(IF(S116="Check Data ⚠","Check Data ⚠",VLOOKUP(S116,'G-4 Temporal multipliers'!$A$4:$C$37,3,FALSE)),"")</f>
        <v/>
      </c>
      <c r="U116" s="313" t="str">
        <f>IF(F116="","",VLOOKUP(F116,'G-3 Multipliers'!$A$2:$E$134,2,FALSE))</f>
        <v/>
      </c>
      <c r="V116" s="310" t="str">
        <f t="shared" si="10"/>
        <v/>
      </c>
      <c r="W116" s="295" t="str">
        <f>IF(E116="","",IF(AND(V116="Standard difficulty applied",O116&gt;P116),U116,IF(AND(V116="Low Difficulty - only applicable if all habitat created before losses ⚠",P116&gt;=O116),"Low",VLOOKUP(F116,'G-3 Multipliers'!$A$2:$E$134,4,FALSE))))</f>
        <v/>
      </c>
      <c r="X116" s="314" t="str">
        <f>IFERROR(IF(E116="","",VLOOKUP(W116, 'G-3 Multipliers'!$P$2:$Q$6,2,FALSE)),"")</f>
        <v/>
      </c>
      <c r="Y116" s="317" t="str">
        <f t="shared" si="11"/>
        <v/>
      </c>
      <c r="Z116" s="163"/>
      <c r="AA116" s="164"/>
      <c r="AB116" s="101"/>
      <c r="AE116" s="25" t="str">
        <f t="shared" si="7"/>
        <v/>
      </c>
    </row>
    <row r="117" spans="1:31" ht="14.5" thickBot="1" x14ac:dyDescent="0.35">
      <c r="A117" s="20" t="str">
        <f>IFERROR(INDEX('G-8 Condition Look up'!$I$4:$I$135,MATCH(F117,'G-8 Condition Look up'!$A$4:$A$135,0)),"")</f>
        <v/>
      </c>
      <c r="B117" s="679">
        <v>107</v>
      </c>
      <c r="C117" s="247" t="str">
        <f>IFERROR(INDEX('G-1 All Habitats'!$AG$25:$AG$41,MATCH(D117,'G-1 All Habitats'!AF$25:AF$41,0)),"")</f>
        <v/>
      </c>
      <c r="D117" s="38"/>
      <c r="E117" s="45"/>
      <c r="F117" s="244" t="str">
        <f>IFERROR(INDEX('G-1 All Habitats'!$B$3:$B$135,MATCH(E117,'G-1 All Habitats'!$A$3:$A$135,0)),"")</f>
        <v/>
      </c>
      <c r="G117" s="37"/>
      <c r="H117" s="290" t="str">
        <f>IF(F117="","",VLOOKUP(F117,'G-1 All Habitats'!$B$2:$M$135,10,FALSE))</f>
        <v/>
      </c>
      <c r="I117" s="291" t="str">
        <f>IFERROR(VLOOKUP(H117,'G-1 All Habitats'!$V$3:$W$7,2,FALSE),"")</f>
        <v/>
      </c>
      <c r="J117" s="38"/>
      <c r="K117" s="291" t="str">
        <f>IFERROR(INDEX('G-8 Condition Look up'!$A$3:$H$135,MATCH(F117,'G-8 Condition Look up'!$A$3:$A$135,0),MATCH(J117,'G-8 Condition Look up'!$A$3:$H$3,0)),"")</f>
        <v/>
      </c>
      <c r="L117" s="38"/>
      <c r="M117" s="298" t="str">
        <f>IF(L117="","",IF(VLOOKUP(L117,'G-3 Multipliers'!$L$3:$N$6,2,FALSE)=0,"Spatial Data Missing",VLOOKUP(L117,'G-3 Multipliers'!$L$3:$N$6,2,FALSE)))</f>
        <v/>
      </c>
      <c r="N117" s="296" t="str">
        <f>IF(L117="","",IF(VLOOKUP(L117,'G-3 Multipliers'!$L$3:$N$6,3,FALSE)=0,"Spatial Data Missing",VLOOKUP(L117,'G-3 Multipliers'!$L$3:$N$6,3,FALSE)))</f>
        <v/>
      </c>
      <c r="O117" s="290" t="str">
        <f t="shared" si="6"/>
        <v/>
      </c>
      <c r="P117" s="47"/>
      <c r="Q117" s="47"/>
      <c r="R117" s="298" t="str">
        <f t="shared" si="8"/>
        <v/>
      </c>
      <c r="S117" s="311" t="str">
        <f t="shared" si="9"/>
        <v/>
      </c>
      <c r="T117" s="312" t="str">
        <f>IFERROR(IF(S117="Check Data ⚠","Check Data ⚠",VLOOKUP(S117,'G-4 Temporal multipliers'!$A$4:$C$37,3,FALSE)),"")</f>
        <v/>
      </c>
      <c r="U117" s="313" t="str">
        <f>IF(F117="","",VLOOKUP(F117,'G-3 Multipliers'!$A$2:$E$134,2,FALSE))</f>
        <v/>
      </c>
      <c r="V117" s="310" t="str">
        <f t="shared" si="10"/>
        <v/>
      </c>
      <c r="W117" s="295" t="str">
        <f>IF(E117="","",IF(AND(V117="Standard difficulty applied",O117&gt;P117),U117,IF(AND(V117="Low Difficulty - only applicable if all habitat created before losses ⚠",P117&gt;=O117),"Low",VLOOKUP(F117,'G-3 Multipliers'!$A$2:$E$134,4,FALSE))))</f>
        <v/>
      </c>
      <c r="X117" s="314" t="str">
        <f>IFERROR(IF(E117="","",VLOOKUP(W117, 'G-3 Multipliers'!$P$2:$Q$6,2,FALSE)),"")</f>
        <v/>
      </c>
      <c r="Y117" s="317" t="str">
        <f t="shared" si="11"/>
        <v/>
      </c>
      <c r="Z117" s="163"/>
      <c r="AA117" s="164"/>
      <c r="AB117" s="101"/>
      <c r="AE117" s="25" t="str">
        <f t="shared" si="7"/>
        <v/>
      </c>
    </row>
    <row r="118" spans="1:31" ht="14.5" thickBot="1" x14ac:dyDescent="0.35">
      <c r="A118" s="20" t="str">
        <f>IFERROR(INDEX('G-8 Condition Look up'!$I$4:$I$135,MATCH(F118,'G-8 Condition Look up'!$A$4:$A$135,0)),"")</f>
        <v/>
      </c>
      <c r="B118" s="679">
        <v>108</v>
      </c>
      <c r="C118" s="247" t="str">
        <f>IFERROR(INDEX('G-1 All Habitats'!$AG$25:$AG$41,MATCH(D118,'G-1 All Habitats'!AF$25:AF$41,0)),"")</f>
        <v/>
      </c>
      <c r="D118" s="38"/>
      <c r="E118" s="45"/>
      <c r="F118" s="244" t="str">
        <f>IFERROR(INDEX('G-1 All Habitats'!$B$3:$B$135,MATCH(E118,'G-1 All Habitats'!$A$3:$A$135,0)),"")</f>
        <v/>
      </c>
      <c r="G118" s="37"/>
      <c r="H118" s="290" t="str">
        <f>IF(F118="","",VLOOKUP(F118,'G-1 All Habitats'!$B$2:$M$135,10,FALSE))</f>
        <v/>
      </c>
      <c r="I118" s="291" t="str">
        <f>IFERROR(VLOOKUP(H118,'G-1 All Habitats'!$V$3:$W$7,2,FALSE),"")</f>
        <v/>
      </c>
      <c r="J118" s="38"/>
      <c r="K118" s="291" t="str">
        <f>IFERROR(INDEX('G-8 Condition Look up'!$A$3:$H$135,MATCH(F118,'G-8 Condition Look up'!$A$3:$A$135,0),MATCH(J118,'G-8 Condition Look up'!$A$3:$H$3,0)),"")</f>
        <v/>
      </c>
      <c r="L118" s="38"/>
      <c r="M118" s="298" t="str">
        <f>IF(L118="","",IF(VLOOKUP(L118,'G-3 Multipliers'!$L$3:$N$6,2,FALSE)=0,"Spatial Data Missing",VLOOKUP(L118,'G-3 Multipliers'!$L$3:$N$6,2,FALSE)))</f>
        <v/>
      </c>
      <c r="N118" s="296" t="str">
        <f>IF(L118="","",IF(VLOOKUP(L118,'G-3 Multipliers'!$L$3:$N$6,3,FALSE)=0,"Spatial Data Missing",VLOOKUP(L118,'G-3 Multipliers'!$L$3:$N$6,3,FALSE)))</f>
        <v/>
      </c>
      <c r="O118" s="290" t="str">
        <f t="shared" si="6"/>
        <v/>
      </c>
      <c r="P118" s="47"/>
      <c r="Q118" s="47"/>
      <c r="R118" s="298" t="str">
        <f t="shared" si="8"/>
        <v/>
      </c>
      <c r="S118" s="311" t="str">
        <f t="shared" si="9"/>
        <v/>
      </c>
      <c r="T118" s="312" t="str">
        <f>IFERROR(IF(S118="Check Data ⚠","Check Data ⚠",VLOOKUP(S118,'G-4 Temporal multipliers'!$A$4:$C$37,3,FALSE)),"")</f>
        <v/>
      </c>
      <c r="U118" s="313" t="str">
        <f>IF(F118="","",VLOOKUP(F118,'G-3 Multipliers'!$A$2:$E$134,2,FALSE))</f>
        <v/>
      </c>
      <c r="V118" s="310" t="str">
        <f t="shared" si="10"/>
        <v/>
      </c>
      <c r="W118" s="295" t="str">
        <f>IF(E118="","",IF(AND(V118="Standard difficulty applied",O118&gt;P118),U118,IF(AND(V118="Low Difficulty - only applicable if all habitat created before losses ⚠",P118&gt;=O118),"Low",VLOOKUP(F118,'G-3 Multipliers'!$A$2:$E$134,4,FALSE))))</f>
        <v/>
      </c>
      <c r="X118" s="314" t="str">
        <f>IFERROR(IF(E118="","",VLOOKUP(W118, 'G-3 Multipliers'!$P$2:$Q$6,2,FALSE)),"")</f>
        <v/>
      </c>
      <c r="Y118" s="317" t="str">
        <f t="shared" si="11"/>
        <v/>
      </c>
      <c r="Z118" s="163"/>
      <c r="AA118" s="164"/>
      <c r="AB118" s="101"/>
      <c r="AE118" s="25" t="str">
        <f t="shared" si="7"/>
        <v/>
      </c>
    </row>
    <row r="119" spans="1:31" ht="14.5" thickBot="1" x14ac:dyDescent="0.35">
      <c r="A119" s="20" t="str">
        <f>IFERROR(INDEX('G-8 Condition Look up'!$I$4:$I$135,MATCH(F119,'G-8 Condition Look up'!$A$4:$A$135,0)),"")</f>
        <v/>
      </c>
      <c r="B119" s="679">
        <v>109</v>
      </c>
      <c r="C119" s="247" t="str">
        <f>IFERROR(INDEX('G-1 All Habitats'!$AG$25:$AG$41,MATCH(D119,'G-1 All Habitats'!AF$25:AF$41,0)),"")</f>
        <v/>
      </c>
      <c r="D119" s="38"/>
      <c r="E119" s="45"/>
      <c r="F119" s="244" t="str">
        <f>IFERROR(INDEX('G-1 All Habitats'!$B$3:$B$135,MATCH(E119,'G-1 All Habitats'!$A$3:$A$135,0)),"")</f>
        <v/>
      </c>
      <c r="G119" s="37"/>
      <c r="H119" s="290" t="str">
        <f>IF(F119="","",VLOOKUP(F119,'G-1 All Habitats'!$B$2:$M$135,10,FALSE))</f>
        <v/>
      </c>
      <c r="I119" s="291" t="str">
        <f>IFERROR(VLOOKUP(H119,'G-1 All Habitats'!$V$3:$W$7,2,FALSE),"")</f>
        <v/>
      </c>
      <c r="J119" s="38"/>
      <c r="K119" s="291" t="str">
        <f>IFERROR(INDEX('G-8 Condition Look up'!$A$3:$H$135,MATCH(F119,'G-8 Condition Look up'!$A$3:$A$135,0),MATCH(J119,'G-8 Condition Look up'!$A$3:$H$3,0)),"")</f>
        <v/>
      </c>
      <c r="L119" s="38"/>
      <c r="M119" s="298" t="str">
        <f>IF(L119="","",IF(VLOOKUP(L119,'G-3 Multipliers'!$L$3:$N$6,2,FALSE)=0,"Spatial Data Missing",VLOOKUP(L119,'G-3 Multipliers'!$L$3:$N$6,2,FALSE)))</f>
        <v/>
      </c>
      <c r="N119" s="296" t="str">
        <f>IF(L119="","",IF(VLOOKUP(L119,'G-3 Multipliers'!$L$3:$N$6,3,FALSE)=0,"Spatial Data Missing",VLOOKUP(L119,'G-3 Multipliers'!$L$3:$N$6,3,FALSE)))</f>
        <v/>
      </c>
      <c r="O119" s="290" t="str">
        <f t="shared" si="6"/>
        <v/>
      </c>
      <c r="P119" s="47"/>
      <c r="Q119" s="47"/>
      <c r="R119" s="298" t="str">
        <f t="shared" si="8"/>
        <v/>
      </c>
      <c r="S119" s="311" t="str">
        <f t="shared" si="9"/>
        <v/>
      </c>
      <c r="T119" s="312" t="str">
        <f>IFERROR(IF(S119="Check Data ⚠","Check Data ⚠",VLOOKUP(S119,'G-4 Temporal multipliers'!$A$4:$C$37,3,FALSE)),"")</f>
        <v/>
      </c>
      <c r="U119" s="313" t="str">
        <f>IF(F119="","",VLOOKUP(F119,'G-3 Multipliers'!$A$2:$E$134,2,FALSE))</f>
        <v/>
      </c>
      <c r="V119" s="310" t="str">
        <f t="shared" si="10"/>
        <v/>
      </c>
      <c r="W119" s="295" t="str">
        <f>IF(E119="","",IF(AND(V119="Standard difficulty applied",O119&gt;P119),U119,IF(AND(V119="Low Difficulty - only applicable if all habitat created before losses ⚠",P119&gt;=O119),"Low",VLOOKUP(F119,'G-3 Multipliers'!$A$2:$E$134,4,FALSE))))</f>
        <v/>
      </c>
      <c r="X119" s="314" t="str">
        <f>IFERROR(IF(E119="","",VLOOKUP(W119, 'G-3 Multipliers'!$P$2:$Q$6,2,FALSE)),"")</f>
        <v/>
      </c>
      <c r="Y119" s="317" t="str">
        <f t="shared" si="11"/>
        <v/>
      </c>
      <c r="Z119" s="163"/>
      <c r="AA119" s="164"/>
      <c r="AB119" s="101"/>
      <c r="AE119" s="25" t="str">
        <f t="shared" si="7"/>
        <v/>
      </c>
    </row>
    <row r="120" spans="1:31" ht="14.5" thickBot="1" x14ac:dyDescent="0.35">
      <c r="A120" s="20" t="str">
        <f>IFERROR(INDEX('G-8 Condition Look up'!$I$4:$I$135,MATCH(F120,'G-8 Condition Look up'!$A$4:$A$135,0)),"")</f>
        <v/>
      </c>
      <c r="B120" s="679">
        <v>110</v>
      </c>
      <c r="C120" s="247" t="str">
        <f>IFERROR(INDEX('G-1 All Habitats'!$AG$25:$AG$41,MATCH(D120,'G-1 All Habitats'!AF$25:AF$41,0)),"")</f>
        <v/>
      </c>
      <c r="D120" s="38"/>
      <c r="E120" s="45"/>
      <c r="F120" s="244" t="str">
        <f>IFERROR(INDEX('G-1 All Habitats'!$B$3:$B$135,MATCH(E120,'G-1 All Habitats'!$A$3:$A$135,0)),"")</f>
        <v/>
      </c>
      <c r="G120" s="37"/>
      <c r="H120" s="290" t="str">
        <f>IF(F120="","",VLOOKUP(F120,'G-1 All Habitats'!$B$2:$M$135,10,FALSE))</f>
        <v/>
      </c>
      <c r="I120" s="291" t="str">
        <f>IFERROR(VLOOKUP(H120,'G-1 All Habitats'!$V$3:$W$7,2,FALSE),"")</f>
        <v/>
      </c>
      <c r="J120" s="38"/>
      <c r="K120" s="291" t="str">
        <f>IFERROR(INDEX('G-8 Condition Look up'!$A$3:$H$135,MATCH(F120,'G-8 Condition Look up'!$A$3:$A$135,0),MATCH(J120,'G-8 Condition Look up'!$A$3:$H$3,0)),"")</f>
        <v/>
      </c>
      <c r="L120" s="38"/>
      <c r="M120" s="298" t="str">
        <f>IF(L120="","",IF(VLOOKUP(L120,'G-3 Multipliers'!$L$3:$N$6,2,FALSE)=0,"Spatial Data Missing",VLOOKUP(L120,'G-3 Multipliers'!$L$3:$N$6,2,FALSE)))</f>
        <v/>
      </c>
      <c r="N120" s="296" t="str">
        <f>IF(L120="","",IF(VLOOKUP(L120,'G-3 Multipliers'!$L$3:$N$6,3,FALSE)=0,"Spatial Data Missing",VLOOKUP(L120,'G-3 Multipliers'!$L$3:$N$6,3,FALSE)))</f>
        <v/>
      </c>
      <c r="O120" s="290" t="str">
        <f t="shared" si="6"/>
        <v/>
      </c>
      <c r="P120" s="47"/>
      <c r="Q120" s="47"/>
      <c r="R120" s="298" t="str">
        <f t="shared" si="8"/>
        <v/>
      </c>
      <c r="S120" s="311" t="str">
        <f t="shared" si="9"/>
        <v/>
      </c>
      <c r="T120" s="312" t="str">
        <f>IFERROR(IF(S120="Check Data ⚠","Check Data ⚠",VLOOKUP(S120,'G-4 Temporal multipliers'!$A$4:$C$37,3,FALSE)),"")</f>
        <v/>
      </c>
      <c r="U120" s="313" t="str">
        <f>IF(F120="","",VLOOKUP(F120,'G-3 Multipliers'!$A$2:$E$134,2,FALSE))</f>
        <v/>
      </c>
      <c r="V120" s="310" t="str">
        <f t="shared" si="10"/>
        <v/>
      </c>
      <c r="W120" s="295" t="str">
        <f>IF(E120="","",IF(AND(V120="Standard difficulty applied",O120&gt;P120),U120,IF(AND(V120="Low Difficulty - only applicable if all habitat created before losses ⚠",P120&gt;=O120),"Low",VLOOKUP(F120,'G-3 Multipliers'!$A$2:$E$134,4,FALSE))))</f>
        <v/>
      </c>
      <c r="X120" s="314" t="str">
        <f>IFERROR(IF(E120="","",VLOOKUP(W120, 'G-3 Multipliers'!$P$2:$Q$6,2,FALSE)),"")</f>
        <v/>
      </c>
      <c r="Y120" s="317" t="str">
        <f t="shared" si="11"/>
        <v/>
      </c>
      <c r="Z120" s="163"/>
      <c r="AA120" s="164"/>
      <c r="AB120" s="101"/>
      <c r="AE120" s="25" t="str">
        <f t="shared" si="7"/>
        <v/>
      </c>
    </row>
    <row r="121" spans="1:31" ht="14.5" thickBot="1" x14ac:dyDescent="0.35">
      <c r="A121" s="20" t="str">
        <f>IFERROR(INDEX('G-8 Condition Look up'!$I$4:$I$135,MATCH(F121,'G-8 Condition Look up'!$A$4:$A$135,0)),"")</f>
        <v/>
      </c>
      <c r="B121" s="679">
        <v>111</v>
      </c>
      <c r="C121" s="247" t="str">
        <f>IFERROR(INDEX('G-1 All Habitats'!$AG$25:$AG$41,MATCH(D121,'G-1 All Habitats'!AF$25:AF$41,0)),"")</f>
        <v/>
      </c>
      <c r="D121" s="38"/>
      <c r="E121" s="45"/>
      <c r="F121" s="244" t="str">
        <f>IFERROR(INDEX('G-1 All Habitats'!$B$3:$B$135,MATCH(E121,'G-1 All Habitats'!$A$3:$A$135,0)),"")</f>
        <v/>
      </c>
      <c r="G121" s="37"/>
      <c r="H121" s="290" t="str">
        <f>IF(F121="","",VLOOKUP(F121,'G-1 All Habitats'!$B$2:$M$135,10,FALSE))</f>
        <v/>
      </c>
      <c r="I121" s="291" t="str">
        <f>IFERROR(VLOOKUP(H121,'G-1 All Habitats'!$V$3:$W$7,2,FALSE),"")</f>
        <v/>
      </c>
      <c r="J121" s="38"/>
      <c r="K121" s="291" t="str">
        <f>IFERROR(INDEX('G-8 Condition Look up'!$A$3:$H$135,MATCH(F121,'G-8 Condition Look up'!$A$3:$A$135,0),MATCH(J121,'G-8 Condition Look up'!$A$3:$H$3,0)),"")</f>
        <v/>
      </c>
      <c r="L121" s="38"/>
      <c r="M121" s="298" t="str">
        <f>IF(L121="","",IF(VLOOKUP(L121,'G-3 Multipliers'!$L$3:$N$6,2,FALSE)=0,"Spatial Data Missing",VLOOKUP(L121,'G-3 Multipliers'!$L$3:$N$6,2,FALSE)))</f>
        <v/>
      </c>
      <c r="N121" s="296" t="str">
        <f>IF(L121="","",IF(VLOOKUP(L121,'G-3 Multipliers'!$L$3:$N$6,3,FALSE)=0,"Spatial Data Missing",VLOOKUP(L121,'G-3 Multipliers'!$L$3:$N$6,3,FALSE)))</f>
        <v/>
      </c>
      <c r="O121" s="290" t="str">
        <f t="shared" si="6"/>
        <v/>
      </c>
      <c r="P121" s="47"/>
      <c r="Q121" s="47"/>
      <c r="R121" s="298" t="str">
        <f t="shared" si="8"/>
        <v/>
      </c>
      <c r="S121" s="311" t="str">
        <f t="shared" si="9"/>
        <v/>
      </c>
      <c r="T121" s="312" t="str">
        <f>IFERROR(IF(S121="Check Data ⚠","Check Data ⚠",VLOOKUP(S121,'G-4 Temporal multipliers'!$A$4:$C$37,3,FALSE)),"")</f>
        <v/>
      </c>
      <c r="U121" s="313" t="str">
        <f>IF(F121="","",VLOOKUP(F121,'G-3 Multipliers'!$A$2:$E$134,2,FALSE))</f>
        <v/>
      </c>
      <c r="V121" s="310" t="str">
        <f t="shared" si="10"/>
        <v/>
      </c>
      <c r="W121" s="295" t="str">
        <f>IF(E121="","",IF(AND(V121="Standard difficulty applied",O121&gt;P121),U121,IF(AND(V121="Low Difficulty - only applicable if all habitat created before losses ⚠",P121&gt;=O121),"Low",VLOOKUP(F121,'G-3 Multipliers'!$A$2:$E$134,4,FALSE))))</f>
        <v/>
      </c>
      <c r="X121" s="314" t="str">
        <f>IFERROR(IF(E121="","",VLOOKUP(W121, 'G-3 Multipliers'!$P$2:$Q$6,2,FALSE)),"")</f>
        <v/>
      </c>
      <c r="Y121" s="317" t="str">
        <f t="shared" si="11"/>
        <v/>
      </c>
      <c r="Z121" s="163"/>
      <c r="AA121" s="164"/>
      <c r="AB121" s="101"/>
      <c r="AE121" s="25" t="str">
        <f t="shared" si="7"/>
        <v/>
      </c>
    </row>
    <row r="122" spans="1:31" ht="14.5" thickBot="1" x14ac:dyDescent="0.35">
      <c r="A122" s="20" t="str">
        <f>IFERROR(INDEX('G-8 Condition Look up'!$I$4:$I$135,MATCH(F122,'G-8 Condition Look up'!$A$4:$A$135,0)),"")</f>
        <v/>
      </c>
      <c r="B122" s="679">
        <v>112</v>
      </c>
      <c r="C122" s="247" t="str">
        <f>IFERROR(INDEX('G-1 All Habitats'!$AG$25:$AG$41,MATCH(D122,'G-1 All Habitats'!AF$25:AF$41,0)),"")</f>
        <v/>
      </c>
      <c r="D122" s="38"/>
      <c r="E122" s="45"/>
      <c r="F122" s="244" t="str">
        <f>IFERROR(INDEX('G-1 All Habitats'!$B$3:$B$135,MATCH(E122,'G-1 All Habitats'!$A$3:$A$135,0)),"")</f>
        <v/>
      </c>
      <c r="G122" s="37"/>
      <c r="H122" s="290" t="str">
        <f>IF(F122="","",VLOOKUP(F122,'G-1 All Habitats'!$B$2:$M$135,10,FALSE))</f>
        <v/>
      </c>
      <c r="I122" s="291" t="str">
        <f>IFERROR(VLOOKUP(H122,'G-1 All Habitats'!$V$3:$W$7,2,FALSE),"")</f>
        <v/>
      </c>
      <c r="J122" s="38"/>
      <c r="K122" s="291" t="str">
        <f>IFERROR(INDEX('G-8 Condition Look up'!$A$3:$H$135,MATCH(F122,'G-8 Condition Look up'!$A$3:$A$135,0),MATCH(J122,'G-8 Condition Look up'!$A$3:$H$3,0)),"")</f>
        <v/>
      </c>
      <c r="L122" s="38"/>
      <c r="M122" s="298" t="str">
        <f>IF(L122="","",IF(VLOOKUP(L122,'G-3 Multipliers'!$L$3:$N$6,2,FALSE)=0,"Spatial Data Missing",VLOOKUP(L122,'G-3 Multipliers'!$L$3:$N$6,2,FALSE)))</f>
        <v/>
      </c>
      <c r="N122" s="296" t="str">
        <f>IF(L122="","",IF(VLOOKUP(L122,'G-3 Multipliers'!$L$3:$N$6,3,FALSE)=0,"Spatial Data Missing",VLOOKUP(L122,'G-3 Multipliers'!$L$3:$N$6,3,FALSE)))</f>
        <v/>
      </c>
      <c r="O122" s="290" t="str">
        <f t="shared" si="6"/>
        <v/>
      </c>
      <c r="P122" s="47"/>
      <c r="Q122" s="47"/>
      <c r="R122" s="298" t="str">
        <f t="shared" si="8"/>
        <v/>
      </c>
      <c r="S122" s="311" t="str">
        <f t="shared" si="9"/>
        <v/>
      </c>
      <c r="T122" s="312" t="str">
        <f>IFERROR(IF(S122="Check Data ⚠","Check Data ⚠",VLOOKUP(S122,'G-4 Temporal multipliers'!$A$4:$C$37,3,FALSE)),"")</f>
        <v/>
      </c>
      <c r="U122" s="313" t="str">
        <f>IF(F122="","",VLOOKUP(F122,'G-3 Multipliers'!$A$2:$E$134,2,FALSE))</f>
        <v/>
      </c>
      <c r="V122" s="310" t="str">
        <f t="shared" si="10"/>
        <v/>
      </c>
      <c r="W122" s="295" t="str">
        <f>IF(E122="","",IF(AND(V122="Standard difficulty applied",O122&gt;P122),U122,IF(AND(V122="Low Difficulty - only applicable if all habitat created before losses ⚠",P122&gt;=O122),"Low",VLOOKUP(F122,'G-3 Multipliers'!$A$2:$E$134,4,FALSE))))</f>
        <v/>
      </c>
      <c r="X122" s="314" t="str">
        <f>IFERROR(IF(E122="","",VLOOKUP(W122, 'G-3 Multipliers'!$P$2:$Q$6,2,FALSE)),"")</f>
        <v/>
      </c>
      <c r="Y122" s="317" t="str">
        <f t="shared" si="11"/>
        <v/>
      </c>
      <c r="Z122" s="163"/>
      <c r="AA122" s="164"/>
      <c r="AB122" s="101"/>
      <c r="AE122" s="25" t="str">
        <f t="shared" si="7"/>
        <v/>
      </c>
    </row>
    <row r="123" spans="1:31" ht="14.5" thickBot="1" x14ac:dyDescent="0.35">
      <c r="A123" s="20" t="str">
        <f>IFERROR(INDEX('G-8 Condition Look up'!$I$4:$I$135,MATCH(F123,'G-8 Condition Look up'!$A$4:$A$135,0)),"")</f>
        <v/>
      </c>
      <c r="B123" s="679">
        <v>113</v>
      </c>
      <c r="C123" s="247" t="str">
        <f>IFERROR(INDEX('G-1 All Habitats'!$AG$25:$AG$41,MATCH(D123,'G-1 All Habitats'!AF$25:AF$41,0)),"")</f>
        <v/>
      </c>
      <c r="D123" s="38"/>
      <c r="E123" s="45"/>
      <c r="F123" s="244" t="str">
        <f>IFERROR(INDEX('G-1 All Habitats'!$B$3:$B$135,MATCH(E123,'G-1 All Habitats'!$A$3:$A$135,0)),"")</f>
        <v/>
      </c>
      <c r="G123" s="37"/>
      <c r="H123" s="290" t="str">
        <f>IF(F123="","",VLOOKUP(F123,'G-1 All Habitats'!$B$2:$M$135,10,FALSE))</f>
        <v/>
      </c>
      <c r="I123" s="291" t="str">
        <f>IFERROR(VLOOKUP(H123,'G-1 All Habitats'!$V$3:$W$7,2,FALSE),"")</f>
        <v/>
      </c>
      <c r="J123" s="38"/>
      <c r="K123" s="291" t="str">
        <f>IFERROR(INDEX('G-8 Condition Look up'!$A$3:$H$135,MATCH(F123,'G-8 Condition Look up'!$A$3:$A$135,0),MATCH(J123,'G-8 Condition Look up'!$A$3:$H$3,0)),"")</f>
        <v/>
      </c>
      <c r="L123" s="38"/>
      <c r="M123" s="298" t="str">
        <f>IF(L123="","",IF(VLOOKUP(L123,'G-3 Multipliers'!$L$3:$N$6,2,FALSE)=0,"Spatial Data Missing",VLOOKUP(L123,'G-3 Multipliers'!$L$3:$N$6,2,FALSE)))</f>
        <v/>
      </c>
      <c r="N123" s="296" t="str">
        <f>IF(L123="","",IF(VLOOKUP(L123,'G-3 Multipliers'!$L$3:$N$6,3,FALSE)=0,"Spatial Data Missing",VLOOKUP(L123,'G-3 Multipliers'!$L$3:$N$6,3,FALSE)))</f>
        <v/>
      </c>
      <c r="O123" s="290" t="str">
        <f t="shared" si="6"/>
        <v/>
      </c>
      <c r="P123" s="47"/>
      <c r="Q123" s="47"/>
      <c r="R123" s="298" t="str">
        <f t="shared" si="8"/>
        <v/>
      </c>
      <c r="S123" s="311" t="str">
        <f t="shared" si="9"/>
        <v/>
      </c>
      <c r="T123" s="312" t="str">
        <f>IFERROR(IF(S123="Check Data ⚠","Check Data ⚠",VLOOKUP(S123,'G-4 Temporal multipliers'!$A$4:$C$37,3,FALSE)),"")</f>
        <v/>
      </c>
      <c r="U123" s="313" t="str">
        <f>IF(F123="","",VLOOKUP(F123,'G-3 Multipliers'!$A$2:$E$134,2,FALSE))</f>
        <v/>
      </c>
      <c r="V123" s="310" t="str">
        <f t="shared" si="10"/>
        <v/>
      </c>
      <c r="W123" s="295" t="str">
        <f>IF(E123="","",IF(AND(V123="Standard difficulty applied",O123&gt;P123),U123,IF(AND(V123="Low Difficulty - only applicable if all habitat created before losses ⚠",P123&gt;=O123),"Low",VLOOKUP(F123,'G-3 Multipliers'!$A$2:$E$134,4,FALSE))))</f>
        <v/>
      </c>
      <c r="X123" s="314" t="str">
        <f>IFERROR(IF(E123="","",VLOOKUP(W123, 'G-3 Multipliers'!$P$2:$Q$6,2,FALSE)),"")</f>
        <v/>
      </c>
      <c r="Y123" s="317" t="str">
        <f t="shared" si="11"/>
        <v/>
      </c>
      <c r="Z123" s="163"/>
      <c r="AA123" s="164"/>
      <c r="AB123" s="101"/>
      <c r="AE123" s="25" t="str">
        <f t="shared" si="7"/>
        <v/>
      </c>
    </row>
    <row r="124" spans="1:31" ht="14.5" thickBot="1" x14ac:dyDescent="0.35">
      <c r="A124" s="20" t="str">
        <f>IFERROR(INDEX('G-8 Condition Look up'!$I$4:$I$135,MATCH(F124,'G-8 Condition Look up'!$A$4:$A$135,0)),"")</f>
        <v/>
      </c>
      <c r="B124" s="679">
        <v>114</v>
      </c>
      <c r="C124" s="247" t="str">
        <f>IFERROR(INDEX('G-1 All Habitats'!$AG$25:$AG$41,MATCH(D124,'G-1 All Habitats'!AF$25:AF$41,0)),"")</f>
        <v/>
      </c>
      <c r="D124" s="38"/>
      <c r="E124" s="45"/>
      <c r="F124" s="244" t="str">
        <f>IFERROR(INDEX('G-1 All Habitats'!$B$3:$B$135,MATCH(E124,'G-1 All Habitats'!$A$3:$A$135,0)),"")</f>
        <v/>
      </c>
      <c r="G124" s="37"/>
      <c r="H124" s="290" t="str">
        <f>IF(F124="","",VLOOKUP(F124,'G-1 All Habitats'!$B$2:$M$135,10,FALSE))</f>
        <v/>
      </c>
      <c r="I124" s="291" t="str">
        <f>IFERROR(VLOOKUP(H124,'G-1 All Habitats'!$V$3:$W$7,2,FALSE),"")</f>
        <v/>
      </c>
      <c r="J124" s="38"/>
      <c r="K124" s="291" t="str">
        <f>IFERROR(INDEX('G-8 Condition Look up'!$A$3:$H$135,MATCH(F124,'G-8 Condition Look up'!$A$3:$A$135,0),MATCH(J124,'G-8 Condition Look up'!$A$3:$H$3,0)),"")</f>
        <v/>
      </c>
      <c r="L124" s="38"/>
      <c r="M124" s="298" t="str">
        <f>IF(L124="","",IF(VLOOKUP(L124,'G-3 Multipliers'!$L$3:$N$6,2,FALSE)=0,"Spatial Data Missing",VLOOKUP(L124,'G-3 Multipliers'!$L$3:$N$6,2,FALSE)))</f>
        <v/>
      </c>
      <c r="N124" s="296" t="str">
        <f>IF(L124="","",IF(VLOOKUP(L124,'G-3 Multipliers'!$L$3:$N$6,3,FALSE)=0,"Spatial Data Missing",VLOOKUP(L124,'G-3 Multipliers'!$L$3:$N$6,3,FALSE)))</f>
        <v/>
      </c>
      <c r="O124" s="290" t="str">
        <f t="shared" si="6"/>
        <v/>
      </c>
      <c r="P124" s="47"/>
      <c r="Q124" s="47"/>
      <c r="R124" s="298" t="str">
        <f t="shared" si="8"/>
        <v/>
      </c>
      <c r="S124" s="311" t="str">
        <f t="shared" si="9"/>
        <v/>
      </c>
      <c r="T124" s="312" t="str">
        <f>IFERROR(IF(S124="Check Data ⚠","Check Data ⚠",VLOOKUP(S124,'G-4 Temporal multipliers'!$A$4:$C$37,3,FALSE)),"")</f>
        <v/>
      </c>
      <c r="U124" s="313" t="str">
        <f>IF(F124="","",VLOOKUP(F124,'G-3 Multipliers'!$A$2:$E$134,2,FALSE))</f>
        <v/>
      </c>
      <c r="V124" s="310" t="str">
        <f t="shared" si="10"/>
        <v/>
      </c>
      <c r="W124" s="295" t="str">
        <f>IF(E124="","",IF(AND(V124="Standard difficulty applied",O124&gt;P124),U124,IF(AND(V124="Low Difficulty - only applicable if all habitat created before losses ⚠",P124&gt;=O124),"Low",VLOOKUP(F124,'G-3 Multipliers'!$A$2:$E$134,4,FALSE))))</f>
        <v/>
      </c>
      <c r="X124" s="314" t="str">
        <f>IFERROR(IF(E124="","",VLOOKUP(W124, 'G-3 Multipliers'!$P$2:$Q$6,2,FALSE)),"")</f>
        <v/>
      </c>
      <c r="Y124" s="317" t="str">
        <f t="shared" si="11"/>
        <v/>
      </c>
      <c r="Z124" s="163"/>
      <c r="AA124" s="164"/>
      <c r="AB124" s="101"/>
      <c r="AE124" s="25" t="str">
        <f t="shared" si="7"/>
        <v/>
      </c>
    </row>
    <row r="125" spans="1:31" ht="14.5" thickBot="1" x14ac:dyDescent="0.35">
      <c r="A125" s="20" t="str">
        <f>IFERROR(INDEX('G-8 Condition Look up'!$I$4:$I$135,MATCH(F125,'G-8 Condition Look up'!$A$4:$A$135,0)),"")</f>
        <v/>
      </c>
      <c r="B125" s="679">
        <v>115</v>
      </c>
      <c r="C125" s="247" t="str">
        <f>IFERROR(INDEX('G-1 All Habitats'!$AG$25:$AG$41,MATCH(D125,'G-1 All Habitats'!AF$25:AF$41,0)),"")</f>
        <v/>
      </c>
      <c r="D125" s="38"/>
      <c r="E125" s="45"/>
      <c r="F125" s="244" t="str">
        <f>IFERROR(INDEX('G-1 All Habitats'!$B$3:$B$135,MATCH(E125,'G-1 All Habitats'!$A$3:$A$135,0)),"")</f>
        <v/>
      </c>
      <c r="G125" s="37"/>
      <c r="H125" s="290" t="str">
        <f>IF(F125="","",VLOOKUP(F125,'G-1 All Habitats'!$B$2:$M$135,10,FALSE))</f>
        <v/>
      </c>
      <c r="I125" s="291" t="str">
        <f>IFERROR(VLOOKUP(H125,'G-1 All Habitats'!$V$3:$W$7,2,FALSE),"")</f>
        <v/>
      </c>
      <c r="J125" s="38"/>
      <c r="K125" s="291" t="str">
        <f>IFERROR(INDEX('G-8 Condition Look up'!$A$3:$H$135,MATCH(F125,'G-8 Condition Look up'!$A$3:$A$135,0),MATCH(J125,'G-8 Condition Look up'!$A$3:$H$3,0)),"")</f>
        <v/>
      </c>
      <c r="L125" s="38"/>
      <c r="M125" s="298" t="str">
        <f>IF(L125="","",IF(VLOOKUP(L125,'G-3 Multipliers'!$L$3:$N$6,2,FALSE)=0,"Spatial Data Missing",VLOOKUP(L125,'G-3 Multipliers'!$L$3:$N$6,2,FALSE)))</f>
        <v/>
      </c>
      <c r="N125" s="296" t="str">
        <f>IF(L125="","",IF(VLOOKUP(L125,'G-3 Multipliers'!$L$3:$N$6,3,FALSE)=0,"Spatial Data Missing",VLOOKUP(L125,'G-3 Multipliers'!$L$3:$N$6,3,FALSE)))</f>
        <v/>
      </c>
      <c r="O125" s="290" t="str">
        <f t="shared" si="6"/>
        <v/>
      </c>
      <c r="P125" s="47"/>
      <c r="Q125" s="47"/>
      <c r="R125" s="298" t="str">
        <f t="shared" si="8"/>
        <v/>
      </c>
      <c r="S125" s="311" t="str">
        <f t="shared" si="9"/>
        <v/>
      </c>
      <c r="T125" s="312" t="str">
        <f>IFERROR(IF(S125="Check Data ⚠","Check Data ⚠",VLOOKUP(S125,'G-4 Temporal multipliers'!$A$4:$C$37,3,FALSE)),"")</f>
        <v/>
      </c>
      <c r="U125" s="313" t="str">
        <f>IF(F125="","",VLOOKUP(F125,'G-3 Multipliers'!$A$2:$E$134,2,FALSE))</f>
        <v/>
      </c>
      <c r="V125" s="310" t="str">
        <f t="shared" si="10"/>
        <v/>
      </c>
      <c r="W125" s="295" t="str">
        <f>IF(E125="","",IF(AND(V125="Standard difficulty applied",O125&gt;P125),U125,IF(AND(V125="Low Difficulty - only applicable if all habitat created before losses ⚠",P125&gt;=O125),"Low",VLOOKUP(F125,'G-3 Multipliers'!$A$2:$E$134,4,FALSE))))</f>
        <v/>
      </c>
      <c r="X125" s="314" t="str">
        <f>IFERROR(IF(E125="","",VLOOKUP(W125, 'G-3 Multipliers'!$P$2:$Q$6,2,FALSE)),"")</f>
        <v/>
      </c>
      <c r="Y125" s="317" t="str">
        <f t="shared" si="11"/>
        <v/>
      </c>
      <c r="Z125" s="163"/>
      <c r="AA125" s="164"/>
      <c r="AB125" s="101"/>
      <c r="AE125" s="25" t="str">
        <f t="shared" si="7"/>
        <v/>
      </c>
    </row>
    <row r="126" spans="1:31" ht="14.5" thickBot="1" x14ac:dyDescent="0.35">
      <c r="A126" s="20" t="str">
        <f>IFERROR(INDEX('G-8 Condition Look up'!$I$4:$I$135,MATCH(F126,'G-8 Condition Look up'!$A$4:$A$135,0)),"")</f>
        <v/>
      </c>
      <c r="B126" s="679">
        <v>116</v>
      </c>
      <c r="C126" s="247" t="str">
        <f>IFERROR(INDEX('G-1 All Habitats'!$AG$25:$AG$41,MATCH(D126,'G-1 All Habitats'!AF$25:AF$41,0)),"")</f>
        <v/>
      </c>
      <c r="D126" s="38"/>
      <c r="E126" s="45"/>
      <c r="F126" s="244" t="str">
        <f>IFERROR(INDEX('G-1 All Habitats'!$B$3:$B$135,MATCH(E126,'G-1 All Habitats'!$A$3:$A$135,0)),"")</f>
        <v/>
      </c>
      <c r="G126" s="37"/>
      <c r="H126" s="290" t="str">
        <f>IF(F126="","",VLOOKUP(F126,'G-1 All Habitats'!$B$2:$M$135,10,FALSE))</f>
        <v/>
      </c>
      <c r="I126" s="291" t="str">
        <f>IFERROR(VLOOKUP(H126,'G-1 All Habitats'!$V$3:$W$7,2,FALSE),"")</f>
        <v/>
      </c>
      <c r="J126" s="38"/>
      <c r="K126" s="291" t="str">
        <f>IFERROR(INDEX('G-8 Condition Look up'!$A$3:$H$135,MATCH(F126,'G-8 Condition Look up'!$A$3:$A$135,0),MATCH(J126,'G-8 Condition Look up'!$A$3:$H$3,0)),"")</f>
        <v/>
      </c>
      <c r="L126" s="38"/>
      <c r="M126" s="298" t="str">
        <f>IF(L126="","",IF(VLOOKUP(L126,'G-3 Multipliers'!$L$3:$N$6,2,FALSE)=0,"Spatial Data Missing",VLOOKUP(L126,'G-3 Multipliers'!$L$3:$N$6,2,FALSE)))</f>
        <v/>
      </c>
      <c r="N126" s="296" t="str">
        <f>IF(L126="","",IF(VLOOKUP(L126,'G-3 Multipliers'!$L$3:$N$6,3,FALSE)=0,"Spatial Data Missing",VLOOKUP(L126,'G-3 Multipliers'!$L$3:$N$6,3,FALSE)))</f>
        <v/>
      </c>
      <c r="O126" s="290" t="str">
        <f t="shared" si="6"/>
        <v/>
      </c>
      <c r="P126" s="47"/>
      <c r="Q126" s="47"/>
      <c r="R126" s="298" t="str">
        <f t="shared" si="8"/>
        <v/>
      </c>
      <c r="S126" s="311" t="str">
        <f t="shared" si="9"/>
        <v/>
      </c>
      <c r="T126" s="312" t="str">
        <f>IFERROR(IF(S126="Check Data ⚠","Check Data ⚠",VLOOKUP(S126,'G-4 Temporal multipliers'!$A$4:$C$37,3,FALSE)),"")</f>
        <v/>
      </c>
      <c r="U126" s="313" t="str">
        <f>IF(F126="","",VLOOKUP(F126,'G-3 Multipliers'!$A$2:$E$134,2,FALSE))</f>
        <v/>
      </c>
      <c r="V126" s="310" t="str">
        <f t="shared" si="10"/>
        <v/>
      </c>
      <c r="W126" s="295" t="str">
        <f>IF(E126="","",IF(AND(V126="Standard difficulty applied",O126&gt;P126),U126,IF(AND(V126="Low Difficulty - only applicable if all habitat created before losses ⚠",P126&gt;=O126),"Low",VLOOKUP(F126,'G-3 Multipliers'!$A$2:$E$134,4,FALSE))))</f>
        <v/>
      </c>
      <c r="X126" s="314" t="str">
        <f>IFERROR(IF(E126="","",VLOOKUP(W126, 'G-3 Multipliers'!$P$2:$Q$6,2,FALSE)),"")</f>
        <v/>
      </c>
      <c r="Y126" s="317" t="str">
        <f t="shared" si="11"/>
        <v/>
      </c>
      <c r="Z126" s="163"/>
      <c r="AA126" s="164"/>
      <c r="AB126" s="101"/>
      <c r="AE126" s="25" t="str">
        <f t="shared" si="7"/>
        <v/>
      </c>
    </row>
    <row r="127" spans="1:31" ht="14.5" thickBot="1" x14ac:dyDescent="0.35">
      <c r="A127" s="20" t="str">
        <f>IFERROR(INDEX('G-8 Condition Look up'!$I$4:$I$135,MATCH(F127,'G-8 Condition Look up'!$A$4:$A$135,0)),"")</f>
        <v/>
      </c>
      <c r="B127" s="679">
        <v>117</v>
      </c>
      <c r="C127" s="247" t="str">
        <f>IFERROR(INDEX('G-1 All Habitats'!$AG$25:$AG$41,MATCH(D127,'G-1 All Habitats'!AF$25:AF$41,0)),"")</f>
        <v/>
      </c>
      <c r="D127" s="38"/>
      <c r="E127" s="45"/>
      <c r="F127" s="244" t="str">
        <f>IFERROR(INDEX('G-1 All Habitats'!$B$3:$B$135,MATCH(E127,'G-1 All Habitats'!$A$3:$A$135,0)),"")</f>
        <v/>
      </c>
      <c r="G127" s="37"/>
      <c r="H127" s="290" t="str">
        <f>IF(F127="","",VLOOKUP(F127,'G-1 All Habitats'!$B$2:$M$135,10,FALSE))</f>
        <v/>
      </c>
      <c r="I127" s="291" t="str">
        <f>IFERROR(VLOOKUP(H127,'G-1 All Habitats'!$V$3:$W$7,2,FALSE),"")</f>
        <v/>
      </c>
      <c r="J127" s="38"/>
      <c r="K127" s="291" t="str">
        <f>IFERROR(INDEX('G-8 Condition Look up'!$A$3:$H$135,MATCH(F127,'G-8 Condition Look up'!$A$3:$A$135,0),MATCH(J127,'G-8 Condition Look up'!$A$3:$H$3,0)),"")</f>
        <v/>
      </c>
      <c r="L127" s="38"/>
      <c r="M127" s="298" t="str">
        <f>IF(L127="","",IF(VLOOKUP(L127,'G-3 Multipliers'!$L$3:$N$6,2,FALSE)=0,"Spatial Data Missing",VLOOKUP(L127,'G-3 Multipliers'!$L$3:$N$6,2,FALSE)))</f>
        <v/>
      </c>
      <c r="N127" s="296" t="str">
        <f>IF(L127="","",IF(VLOOKUP(L127,'G-3 Multipliers'!$L$3:$N$6,3,FALSE)=0,"Spatial Data Missing",VLOOKUP(L127,'G-3 Multipliers'!$L$3:$N$6,3,FALSE)))</f>
        <v/>
      </c>
      <c r="O127" s="290" t="str">
        <f t="shared" si="6"/>
        <v/>
      </c>
      <c r="P127" s="47"/>
      <c r="Q127" s="47"/>
      <c r="R127" s="298" t="str">
        <f t="shared" si="8"/>
        <v/>
      </c>
      <c r="S127" s="311" t="str">
        <f t="shared" si="9"/>
        <v/>
      </c>
      <c r="T127" s="312" t="str">
        <f>IFERROR(IF(S127="Check Data ⚠","Check Data ⚠",VLOOKUP(S127,'G-4 Temporal multipliers'!$A$4:$C$37,3,FALSE)),"")</f>
        <v/>
      </c>
      <c r="U127" s="313" t="str">
        <f>IF(F127="","",VLOOKUP(F127,'G-3 Multipliers'!$A$2:$E$134,2,FALSE))</f>
        <v/>
      </c>
      <c r="V127" s="310" t="str">
        <f t="shared" si="10"/>
        <v/>
      </c>
      <c r="W127" s="295" t="str">
        <f>IF(E127="","",IF(AND(V127="Standard difficulty applied",O127&gt;P127),U127,IF(AND(V127="Low Difficulty - only applicable if all habitat created before losses ⚠",P127&gt;=O127),"Low",VLOOKUP(F127,'G-3 Multipliers'!$A$2:$E$134,4,FALSE))))</f>
        <v/>
      </c>
      <c r="X127" s="314" t="str">
        <f>IFERROR(IF(E127="","",VLOOKUP(W127, 'G-3 Multipliers'!$P$2:$Q$6,2,FALSE)),"")</f>
        <v/>
      </c>
      <c r="Y127" s="317" t="str">
        <f t="shared" si="11"/>
        <v/>
      </c>
      <c r="Z127" s="163"/>
      <c r="AA127" s="164"/>
      <c r="AB127" s="101"/>
      <c r="AE127" s="25" t="str">
        <f t="shared" si="7"/>
        <v/>
      </c>
    </row>
    <row r="128" spans="1:31" ht="14.5" thickBot="1" x14ac:dyDescent="0.35">
      <c r="A128" s="20" t="str">
        <f>IFERROR(INDEX('G-8 Condition Look up'!$I$4:$I$135,MATCH(F128,'G-8 Condition Look up'!$A$4:$A$135,0)),"")</f>
        <v/>
      </c>
      <c r="B128" s="679">
        <v>118</v>
      </c>
      <c r="C128" s="247" t="str">
        <f>IFERROR(INDEX('G-1 All Habitats'!$AG$25:$AG$41,MATCH(D128,'G-1 All Habitats'!AF$25:AF$41,0)),"")</f>
        <v/>
      </c>
      <c r="D128" s="38"/>
      <c r="E128" s="45"/>
      <c r="F128" s="244" t="str">
        <f>IFERROR(INDEX('G-1 All Habitats'!$B$3:$B$135,MATCH(E128,'G-1 All Habitats'!$A$3:$A$135,0)),"")</f>
        <v/>
      </c>
      <c r="G128" s="37"/>
      <c r="H128" s="290" t="str">
        <f>IF(F128="","",VLOOKUP(F128,'G-1 All Habitats'!$B$2:$M$135,10,FALSE))</f>
        <v/>
      </c>
      <c r="I128" s="291" t="str">
        <f>IFERROR(VLOOKUP(H128,'G-1 All Habitats'!$V$3:$W$7,2,FALSE),"")</f>
        <v/>
      </c>
      <c r="J128" s="38"/>
      <c r="K128" s="291" t="str">
        <f>IFERROR(INDEX('G-8 Condition Look up'!$A$3:$H$135,MATCH(F128,'G-8 Condition Look up'!$A$3:$A$135,0),MATCH(J128,'G-8 Condition Look up'!$A$3:$H$3,0)),"")</f>
        <v/>
      </c>
      <c r="L128" s="38"/>
      <c r="M128" s="298" t="str">
        <f>IF(L128="","",IF(VLOOKUP(L128,'G-3 Multipliers'!$L$3:$N$6,2,FALSE)=0,"Spatial Data Missing",VLOOKUP(L128,'G-3 Multipliers'!$L$3:$N$6,2,FALSE)))</f>
        <v/>
      </c>
      <c r="N128" s="296" t="str">
        <f>IF(L128="","",IF(VLOOKUP(L128,'G-3 Multipliers'!$L$3:$N$6,3,FALSE)=0,"Spatial Data Missing",VLOOKUP(L128,'G-3 Multipliers'!$L$3:$N$6,3,FALSE)))</f>
        <v/>
      </c>
      <c r="O128" s="290" t="str">
        <f t="shared" si="6"/>
        <v/>
      </c>
      <c r="P128" s="47"/>
      <c r="Q128" s="47"/>
      <c r="R128" s="298" t="str">
        <f t="shared" si="8"/>
        <v/>
      </c>
      <c r="S128" s="311" t="str">
        <f t="shared" si="9"/>
        <v/>
      </c>
      <c r="T128" s="312" t="str">
        <f>IFERROR(IF(S128="Check Data ⚠","Check Data ⚠",VLOOKUP(S128,'G-4 Temporal multipliers'!$A$4:$C$37,3,FALSE)),"")</f>
        <v/>
      </c>
      <c r="U128" s="313" t="str">
        <f>IF(F128="","",VLOOKUP(F128,'G-3 Multipliers'!$A$2:$E$134,2,FALSE))</f>
        <v/>
      </c>
      <c r="V128" s="310" t="str">
        <f t="shared" si="10"/>
        <v/>
      </c>
      <c r="W128" s="295" t="str">
        <f>IF(E128="","",IF(AND(V128="Standard difficulty applied",O128&gt;P128),U128,IF(AND(V128="Low Difficulty - only applicable if all habitat created before losses ⚠",P128&gt;=O128),"Low",VLOOKUP(F128,'G-3 Multipliers'!$A$2:$E$134,4,FALSE))))</f>
        <v/>
      </c>
      <c r="X128" s="314" t="str">
        <f>IFERROR(IF(E128="","",VLOOKUP(W128, 'G-3 Multipliers'!$P$2:$Q$6,2,FALSE)),"")</f>
        <v/>
      </c>
      <c r="Y128" s="317" t="str">
        <f t="shared" si="11"/>
        <v/>
      </c>
      <c r="Z128" s="163"/>
      <c r="AA128" s="164"/>
      <c r="AB128" s="101"/>
      <c r="AE128" s="25" t="str">
        <f t="shared" si="7"/>
        <v/>
      </c>
    </row>
    <row r="129" spans="1:31" ht="14.5" thickBot="1" x14ac:dyDescent="0.35">
      <c r="A129" s="20" t="str">
        <f>IFERROR(INDEX('G-8 Condition Look up'!$I$4:$I$135,MATCH(F129,'G-8 Condition Look up'!$A$4:$A$135,0)),"")</f>
        <v/>
      </c>
      <c r="B129" s="679">
        <v>119</v>
      </c>
      <c r="C129" s="247" t="str">
        <f>IFERROR(INDEX('G-1 All Habitats'!$AG$25:$AG$41,MATCH(D129,'G-1 All Habitats'!AF$25:AF$41,0)),"")</f>
        <v/>
      </c>
      <c r="D129" s="38"/>
      <c r="E129" s="45"/>
      <c r="F129" s="244" t="str">
        <f>IFERROR(INDEX('G-1 All Habitats'!$B$3:$B$135,MATCH(E129,'G-1 All Habitats'!$A$3:$A$135,0)),"")</f>
        <v/>
      </c>
      <c r="G129" s="37"/>
      <c r="H129" s="290" t="str">
        <f>IF(F129="","",VLOOKUP(F129,'G-1 All Habitats'!$B$2:$M$135,10,FALSE))</f>
        <v/>
      </c>
      <c r="I129" s="291" t="str">
        <f>IFERROR(VLOOKUP(H129,'G-1 All Habitats'!$V$3:$W$7,2,FALSE),"")</f>
        <v/>
      </c>
      <c r="J129" s="38"/>
      <c r="K129" s="291" t="str">
        <f>IFERROR(INDEX('G-8 Condition Look up'!$A$3:$H$135,MATCH(F129,'G-8 Condition Look up'!$A$3:$A$135,0),MATCH(J129,'G-8 Condition Look up'!$A$3:$H$3,0)),"")</f>
        <v/>
      </c>
      <c r="L129" s="38"/>
      <c r="M129" s="298" t="str">
        <f>IF(L129="","",IF(VLOOKUP(L129,'G-3 Multipliers'!$L$3:$N$6,2,FALSE)=0,"Spatial Data Missing",VLOOKUP(L129,'G-3 Multipliers'!$L$3:$N$6,2,FALSE)))</f>
        <v/>
      </c>
      <c r="N129" s="296" t="str">
        <f>IF(L129="","",IF(VLOOKUP(L129,'G-3 Multipliers'!$L$3:$N$6,3,FALSE)=0,"Spatial Data Missing",VLOOKUP(L129,'G-3 Multipliers'!$L$3:$N$6,3,FALSE)))</f>
        <v/>
      </c>
      <c r="O129" s="290" t="str">
        <f t="shared" si="6"/>
        <v/>
      </c>
      <c r="P129" s="47"/>
      <c r="Q129" s="47"/>
      <c r="R129" s="298" t="str">
        <f t="shared" si="8"/>
        <v/>
      </c>
      <c r="S129" s="311" t="str">
        <f t="shared" si="9"/>
        <v/>
      </c>
      <c r="T129" s="312" t="str">
        <f>IFERROR(IF(S129="Check Data ⚠","Check Data ⚠",VLOOKUP(S129,'G-4 Temporal multipliers'!$A$4:$C$37,3,FALSE)),"")</f>
        <v/>
      </c>
      <c r="U129" s="313" t="str">
        <f>IF(F129="","",VLOOKUP(F129,'G-3 Multipliers'!$A$2:$E$134,2,FALSE))</f>
        <v/>
      </c>
      <c r="V129" s="310" t="str">
        <f t="shared" si="10"/>
        <v/>
      </c>
      <c r="W129" s="295" t="str">
        <f>IF(E129="","",IF(AND(V129="Standard difficulty applied",O129&gt;P129),U129,IF(AND(V129="Low Difficulty - only applicable if all habitat created before losses ⚠",P129&gt;=O129),"Low",VLOOKUP(F129,'G-3 Multipliers'!$A$2:$E$134,4,FALSE))))</f>
        <v/>
      </c>
      <c r="X129" s="314" t="str">
        <f>IFERROR(IF(E129="","",VLOOKUP(W129, 'G-3 Multipliers'!$P$2:$Q$6,2,FALSE)),"")</f>
        <v/>
      </c>
      <c r="Y129" s="317" t="str">
        <f t="shared" si="11"/>
        <v/>
      </c>
      <c r="Z129" s="163"/>
      <c r="AA129" s="164"/>
      <c r="AB129" s="101"/>
      <c r="AE129" s="25" t="str">
        <f t="shared" si="7"/>
        <v/>
      </c>
    </row>
    <row r="130" spans="1:31" ht="14.5" thickBot="1" x14ac:dyDescent="0.35">
      <c r="A130" s="20" t="str">
        <f>IFERROR(INDEX('G-8 Condition Look up'!$I$4:$I$135,MATCH(F130,'G-8 Condition Look up'!$A$4:$A$135,0)),"")</f>
        <v/>
      </c>
      <c r="B130" s="679">
        <v>120</v>
      </c>
      <c r="C130" s="247" t="str">
        <f>IFERROR(INDEX('G-1 All Habitats'!$AG$25:$AG$41,MATCH(D130,'G-1 All Habitats'!AF$25:AF$41,0)),"")</f>
        <v/>
      </c>
      <c r="D130" s="38"/>
      <c r="E130" s="45"/>
      <c r="F130" s="244" t="str">
        <f>IFERROR(INDEX('G-1 All Habitats'!$B$3:$B$135,MATCH(E130,'G-1 All Habitats'!$A$3:$A$135,0)),"")</f>
        <v/>
      </c>
      <c r="G130" s="37"/>
      <c r="H130" s="290" t="str">
        <f>IF(F130="","",VLOOKUP(F130,'G-1 All Habitats'!$B$2:$M$135,10,FALSE))</f>
        <v/>
      </c>
      <c r="I130" s="291" t="str">
        <f>IFERROR(VLOOKUP(H130,'G-1 All Habitats'!$V$3:$W$7,2,FALSE),"")</f>
        <v/>
      </c>
      <c r="J130" s="38"/>
      <c r="K130" s="291" t="str">
        <f>IFERROR(INDEX('G-8 Condition Look up'!$A$3:$H$135,MATCH(F130,'G-8 Condition Look up'!$A$3:$A$135,0),MATCH(J130,'G-8 Condition Look up'!$A$3:$H$3,0)),"")</f>
        <v/>
      </c>
      <c r="L130" s="38"/>
      <c r="M130" s="298" t="str">
        <f>IF(L130="","",IF(VLOOKUP(L130,'G-3 Multipliers'!$L$3:$N$6,2,FALSE)=0,"Spatial Data Missing",VLOOKUP(L130,'G-3 Multipliers'!$L$3:$N$6,2,FALSE)))</f>
        <v/>
      </c>
      <c r="N130" s="296" t="str">
        <f>IF(L130="","",IF(VLOOKUP(L130,'G-3 Multipliers'!$L$3:$N$6,3,FALSE)=0,"Spatial Data Missing",VLOOKUP(L130,'G-3 Multipliers'!$L$3:$N$6,3,FALSE)))</f>
        <v/>
      </c>
      <c r="O130" s="290" t="str">
        <f t="shared" si="6"/>
        <v/>
      </c>
      <c r="P130" s="47"/>
      <c r="Q130" s="47"/>
      <c r="R130" s="298" t="str">
        <f t="shared" si="8"/>
        <v/>
      </c>
      <c r="S130" s="311" t="str">
        <f t="shared" si="9"/>
        <v/>
      </c>
      <c r="T130" s="312" t="str">
        <f>IFERROR(IF(S130="Check Data ⚠","Check Data ⚠",VLOOKUP(S130,'G-4 Temporal multipliers'!$A$4:$C$37,3,FALSE)),"")</f>
        <v/>
      </c>
      <c r="U130" s="313" t="str">
        <f>IF(F130="","",VLOOKUP(F130,'G-3 Multipliers'!$A$2:$E$134,2,FALSE))</f>
        <v/>
      </c>
      <c r="V130" s="310" t="str">
        <f t="shared" si="10"/>
        <v/>
      </c>
      <c r="W130" s="295" t="str">
        <f>IF(E130="","",IF(AND(V130="Standard difficulty applied",O130&gt;P130),U130,IF(AND(V130="Low Difficulty - only applicable if all habitat created before losses ⚠",P130&gt;=O130),"Low",VLOOKUP(F130,'G-3 Multipliers'!$A$2:$E$134,4,FALSE))))</f>
        <v/>
      </c>
      <c r="X130" s="314" t="str">
        <f>IFERROR(IF(E130="","",VLOOKUP(W130, 'G-3 Multipliers'!$P$2:$Q$6,2,FALSE)),"")</f>
        <v/>
      </c>
      <c r="Y130" s="317" t="str">
        <f t="shared" si="11"/>
        <v/>
      </c>
      <c r="Z130" s="163"/>
      <c r="AA130" s="164"/>
      <c r="AB130" s="101"/>
      <c r="AE130" s="25" t="str">
        <f t="shared" si="7"/>
        <v/>
      </c>
    </row>
    <row r="131" spans="1:31" ht="14.5" thickBot="1" x14ac:dyDescent="0.35">
      <c r="A131" s="20" t="str">
        <f>IFERROR(INDEX('G-8 Condition Look up'!$I$4:$I$135,MATCH(F131,'G-8 Condition Look up'!$A$4:$A$135,0)),"")</f>
        <v/>
      </c>
      <c r="B131" s="679">
        <v>121</v>
      </c>
      <c r="C131" s="247" t="str">
        <f>IFERROR(INDEX('G-1 All Habitats'!$AG$25:$AG$41,MATCH(D131,'G-1 All Habitats'!AF$25:AF$41,0)),"")</f>
        <v/>
      </c>
      <c r="D131" s="38"/>
      <c r="E131" s="45"/>
      <c r="F131" s="244" t="str">
        <f>IFERROR(INDEX('G-1 All Habitats'!$B$3:$B$135,MATCH(E131,'G-1 All Habitats'!$A$3:$A$135,0)),"")</f>
        <v/>
      </c>
      <c r="G131" s="37"/>
      <c r="H131" s="290" t="str">
        <f>IF(F131="","",VLOOKUP(F131,'G-1 All Habitats'!$B$2:$M$135,10,FALSE))</f>
        <v/>
      </c>
      <c r="I131" s="291" t="str">
        <f>IFERROR(VLOOKUP(H131,'G-1 All Habitats'!$V$3:$W$7,2,FALSE),"")</f>
        <v/>
      </c>
      <c r="J131" s="38"/>
      <c r="K131" s="291" t="str">
        <f>IFERROR(INDEX('G-8 Condition Look up'!$A$3:$H$135,MATCH(F131,'G-8 Condition Look up'!$A$3:$A$135,0),MATCH(J131,'G-8 Condition Look up'!$A$3:$H$3,0)),"")</f>
        <v/>
      </c>
      <c r="L131" s="38"/>
      <c r="M131" s="298" t="str">
        <f>IF(L131="","",IF(VLOOKUP(L131,'G-3 Multipliers'!$L$3:$N$6,2,FALSE)=0,"Spatial Data Missing",VLOOKUP(L131,'G-3 Multipliers'!$L$3:$N$6,2,FALSE)))</f>
        <v/>
      </c>
      <c r="N131" s="296" t="str">
        <f>IF(L131="","",IF(VLOOKUP(L131,'G-3 Multipliers'!$L$3:$N$6,3,FALSE)=0,"Spatial Data Missing",VLOOKUP(L131,'G-3 Multipliers'!$L$3:$N$6,3,FALSE)))</f>
        <v/>
      </c>
      <c r="O131" s="290" t="str">
        <f t="shared" si="6"/>
        <v/>
      </c>
      <c r="P131" s="47"/>
      <c r="Q131" s="47"/>
      <c r="R131" s="298" t="str">
        <f t="shared" si="8"/>
        <v/>
      </c>
      <c r="S131" s="311" t="str">
        <f t="shared" si="9"/>
        <v/>
      </c>
      <c r="T131" s="312" t="str">
        <f>IFERROR(IF(S131="Check Data ⚠","Check Data ⚠",VLOOKUP(S131,'G-4 Temporal multipliers'!$A$4:$C$37,3,FALSE)),"")</f>
        <v/>
      </c>
      <c r="U131" s="313" t="str">
        <f>IF(F131="","",VLOOKUP(F131,'G-3 Multipliers'!$A$2:$E$134,2,FALSE))</f>
        <v/>
      </c>
      <c r="V131" s="310" t="str">
        <f t="shared" si="10"/>
        <v/>
      </c>
      <c r="W131" s="295" t="str">
        <f>IF(E131="","",IF(AND(V131="Standard difficulty applied",O131&gt;P131),U131,IF(AND(V131="Low Difficulty - only applicable if all habitat created before losses ⚠",P131&gt;=O131),"Low",VLOOKUP(F131,'G-3 Multipliers'!$A$2:$E$134,4,FALSE))))</f>
        <v/>
      </c>
      <c r="X131" s="314" t="str">
        <f>IFERROR(IF(E131="","",VLOOKUP(W131, 'G-3 Multipliers'!$P$2:$Q$6,2,FALSE)),"")</f>
        <v/>
      </c>
      <c r="Y131" s="317" t="str">
        <f t="shared" si="11"/>
        <v/>
      </c>
      <c r="Z131" s="163"/>
      <c r="AA131" s="164"/>
      <c r="AB131" s="101"/>
      <c r="AE131" s="25" t="str">
        <f t="shared" si="7"/>
        <v/>
      </c>
    </row>
    <row r="132" spans="1:31" ht="14.5" thickBot="1" x14ac:dyDescent="0.35">
      <c r="A132" s="20" t="str">
        <f>IFERROR(INDEX('G-8 Condition Look up'!$I$4:$I$135,MATCH(F132,'G-8 Condition Look up'!$A$4:$A$135,0)),"")</f>
        <v/>
      </c>
      <c r="B132" s="679">
        <v>122</v>
      </c>
      <c r="C132" s="247" t="str">
        <f>IFERROR(INDEX('G-1 All Habitats'!$AG$25:$AG$41,MATCH(D132,'G-1 All Habitats'!AF$25:AF$41,0)),"")</f>
        <v/>
      </c>
      <c r="D132" s="38"/>
      <c r="E132" s="45"/>
      <c r="F132" s="244" t="str">
        <f>IFERROR(INDEX('G-1 All Habitats'!$B$3:$B$135,MATCH(E132,'G-1 All Habitats'!$A$3:$A$135,0)),"")</f>
        <v/>
      </c>
      <c r="G132" s="37"/>
      <c r="H132" s="290" t="str">
        <f>IF(F132="","",VLOOKUP(F132,'G-1 All Habitats'!$B$2:$M$135,10,FALSE))</f>
        <v/>
      </c>
      <c r="I132" s="291" t="str">
        <f>IFERROR(VLOOKUP(H132,'G-1 All Habitats'!$V$3:$W$7,2,FALSE),"")</f>
        <v/>
      </c>
      <c r="J132" s="38"/>
      <c r="K132" s="291" t="str">
        <f>IFERROR(INDEX('G-8 Condition Look up'!$A$3:$H$135,MATCH(F132,'G-8 Condition Look up'!$A$3:$A$135,0),MATCH(J132,'G-8 Condition Look up'!$A$3:$H$3,0)),"")</f>
        <v/>
      </c>
      <c r="L132" s="38"/>
      <c r="M132" s="298" t="str">
        <f>IF(L132="","",IF(VLOOKUP(L132,'G-3 Multipliers'!$L$3:$N$6,2,FALSE)=0,"Spatial Data Missing",VLOOKUP(L132,'G-3 Multipliers'!$L$3:$N$6,2,FALSE)))</f>
        <v/>
      </c>
      <c r="N132" s="296" t="str">
        <f>IF(L132="","",IF(VLOOKUP(L132,'G-3 Multipliers'!$L$3:$N$6,3,FALSE)=0,"Spatial Data Missing",VLOOKUP(L132,'G-3 Multipliers'!$L$3:$N$6,3,FALSE)))</f>
        <v/>
      </c>
      <c r="O132" s="290" t="str">
        <f t="shared" si="6"/>
        <v/>
      </c>
      <c r="P132" s="47"/>
      <c r="Q132" s="47"/>
      <c r="R132" s="298" t="str">
        <f t="shared" si="8"/>
        <v/>
      </c>
      <c r="S132" s="311" t="str">
        <f t="shared" si="9"/>
        <v/>
      </c>
      <c r="T132" s="312" t="str">
        <f>IFERROR(IF(S132="Check Data ⚠","Check Data ⚠",VLOOKUP(S132,'G-4 Temporal multipliers'!$A$4:$C$37,3,FALSE)),"")</f>
        <v/>
      </c>
      <c r="U132" s="313" t="str">
        <f>IF(F132="","",VLOOKUP(F132,'G-3 Multipliers'!$A$2:$E$134,2,FALSE))</f>
        <v/>
      </c>
      <c r="V132" s="310" t="str">
        <f t="shared" si="10"/>
        <v/>
      </c>
      <c r="W132" s="295" t="str">
        <f>IF(E132="","",IF(AND(V132="Standard difficulty applied",O132&gt;P132),U132,IF(AND(V132="Low Difficulty - only applicable if all habitat created before losses ⚠",P132&gt;=O132),"Low",VLOOKUP(F132,'G-3 Multipliers'!$A$2:$E$134,4,FALSE))))</f>
        <v/>
      </c>
      <c r="X132" s="314" t="str">
        <f>IFERROR(IF(E132="","",VLOOKUP(W132, 'G-3 Multipliers'!$P$2:$Q$6,2,FALSE)),"")</f>
        <v/>
      </c>
      <c r="Y132" s="317" t="str">
        <f t="shared" si="11"/>
        <v/>
      </c>
      <c r="Z132" s="163"/>
      <c r="AA132" s="164"/>
      <c r="AB132" s="101"/>
      <c r="AE132" s="25" t="str">
        <f t="shared" si="7"/>
        <v/>
      </c>
    </row>
    <row r="133" spans="1:31" ht="14.5" thickBot="1" x14ac:dyDescent="0.35">
      <c r="A133" s="20" t="str">
        <f>IFERROR(INDEX('G-8 Condition Look up'!$I$4:$I$135,MATCH(F133,'G-8 Condition Look up'!$A$4:$A$135,0)),"")</f>
        <v/>
      </c>
      <c r="B133" s="679">
        <v>123</v>
      </c>
      <c r="C133" s="247" t="str">
        <f>IFERROR(INDEX('G-1 All Habitats'!$AG$25:$AG$41,MATCH(D133,'G-1 All Habitats'!AF$25:AF$41,0)),"")</f>
        <v/>
      </c>
      <c r="D133" s="38"/>
      <c r="E133" s="45"/>
      <c r="F133" s="244" t="str">
        <f>IFERROR(INDEX('G-1 All Habitats'!$B$3:$B$135,MATCH(E133,'G-1 All Habitats'!$A$3:$A$135,0)),"")</f>
        <v/>
      </c>
      <c r="G133" s="37"/>
      <c r="H133" s="290" t="str">
        <f>IF(F133="","",VLOOKUP(F133,'G-1 All Habitats'!$B$2:$M$135,10,FALSE))</f>
        <v/>
      </c>
      <c r="I133" s="291" t="str">
        <f>IFERROR(VLOOKUP(H133,'G-1 All Habitats'!$V$3:$W$7,2,FALSE),"")</f>
        <v/>
      </c>
      <c r="J133" s="38"/>
      <c r="K133" s="291" t="str">
        <f>IFERROR(INDEX('G-8 Condition Look up'!$A$3:$H$135,MATCH(F133,'G-8 Condition Look up'!$A$3:$A$135,0),MATCH(J133,'G-8 Condition Look up'!$A$3:$H$3,0)),"")</f>
        <v/>
      </c>
      <c r="L133" s="38"/>
      <c r="M133" s="298" t="str">
        <f>IF(L133="","",IF(VLOOKUP(L133,'G-3 Multipliers'!$L$3:$N$6,2,FALSE)=0,"Spatial Data Missing",VLOOKUP(L133,'G-3 Multipliers'!$L$3:$N$6,2,FALSE)))</f>
        <v/>
      </c>
      <c r="N133" s="296" t="str">
        <f>IF(L133="","",IF(VLOOKUP(L133,'G-3 Multipliers'!$L$3:$N$6,3,FALSE)=0,"Spatial Data Missing",VLOOKUP(L133,'G-3 Multipliers'!$L$3:$N$6,3,FALSE)))</f>
        <v/>
      </c>
      <c r="O133" s="290" t="str">
        <f t="shared" si="6"/>
        <v/>
      </c>
      <c r="P133" s="47"/>
      <c r="Q133" s="47"/>
      <c r="R133" s="298" t="str">
        <f t="shared" si="8"/>
        <v/>
      </c>
      <c r="S133" s="311" t="str">
        <f t="shared" si="9"/>
        <v/>
      </c>
      <c r="T133" s="312" t="str">
        <f>IFERROR(IF(S133="Check Data ⚠","Check Data ⚠",VLOOKUP(S133,'G-4 Temporal multipliers'!$A$4:$C$37,3,FALSE)),"")</f>
        <v/>
      </c>
      <c r="U133" s="313" t="str">
        <f>IF(F133="","",VLOOKUP(F133,'G-3 Multipliers'!$A$2:$E$134,2,FALSE))</f>
        <v/>
      </c>
      <c r="V133" s="310" t="str">
        <f t="shared" si="10"/>
        <v/>
      </c>
      <c r="W133" s="295" t="str">
        <f>IF(E133="","",IF(AND(V133="Standard difficulty applied",O133&gt;P133),U133,IF(AND(V133="Low Difficulty - only applicable if all habitat created before losses ⚠",P133&gt;=O133),"Low",VLOOKUP(F133,'G-3 Multipliers'!$A$2:$E$134,4,FALSE))))</f>
        <v/>
      </c>
      <c r="X133" s="314" t="str">
        <f>IFERROR(IF(E133="","",VLOOKUP(W133, 'G-3 Multipliers'!$P$2:$Q$6,2,FALSE)),"")</f>
        <v/>
      </c>
      <c r="Y133" s="317" t="str">
        <f t="shared" si="11"/>
        <v/>
      </c>
      <c r="Z133" s="163"/>
      <c r="AA133" s="164"/>
      <c r="AB133" s="101"/>
      <c r="AE133" s="25" t="str">
        <f t="shared" si="7"/>
        <v/>
      </c>
    </row>
    <row r="134" spans="1:31" ht="14.5" thickBot="1" x14ac:dyDescent="0.35">
      <c r="A134" s="20" t="str">
        <f>IFERROR(INDEX('G-8 Condition Look up'!$I$4:$I$135,MATCH(F134,'G-8 Condition Look up'!$A$4:$A$135,0)),"")</f>
        <v/>
      </c>
      <c r="B134" s="679">
        <v>124</v>
      </c>
      <c r="C134" s="247" t="str">
        <f>IFERROR(INDEX('G-1 All Habitats'!$AG$25:$AG$41,MATCH(D134,'G-1 All Habitats'!AF$25:AF$41,0)),"")</f>
        <v/>
      </c>
      <c r="D134" s="38"/>
      <c r="E134" s="45"/>
      <c r="F134" s="244" t="str">
        <f>IFERROR(INDEX('G-1 All Habitats'!$B$3:$B$135,MATCH(E134,'G-1 All Habitats'!$A$3:$A$135,0)),"")</f>
        <v/>
      </c>
      <c r="G134" s="37"/>
      <c r="H134" s="290" t="str">
        <f>IF(F134="","",VLOOKUP(F134,'G-1 All Habitats'!$B$2:$M$135,10,FALSE))</f>
        <v/>
      </c>
      <c r="I134" s="291" t="str">
        <f>IFERROR(VLOOKUP(H134,'G-1 All Habitats'!$V$3:$W$7,2,FALSE),"")</f>
        <v/>
      </c>
      <c r="J134" s="38"/>
      <c r="K134" s="291" t="str">
        <f>IFERROR(INDEX('G-8 Condition Look up'!$A$3:$H$135,MATCH(F134,'G-8 Condition Look up'!$A$3:$A$135,0),MATCH(J134,'G-8 Condition Look up'!$A$3:$H$3,0)),"")</f>
        <v/>
      </c>
      <c r="L134" s="38"/>
      <c r="M134" s="298" t="str">
        <f>IF(L134="","",IF(VLOOKUP(L134,'G-3 Multipliers'!$L$3:$N$6,2,FALSE)=0,"Spatial Data Missing",VLOOKUP(L134,'G-3 Multipliers'!$L$3:$N$6,2,FALSE)))</f>
        <v/>
      </c>
      <c r="N134" s="296" t="str">
        <f>IF(L134="","",IF(VLOOKUP(L134,'G-3 Multipliers'!$L$3:$N$6,3,FALSE)=0,"Spatial Data Missing",VLOOKUP(L134,'G-3 Multipliers'!$L$3:$N$6,3,FALSE)))</f>
        <v/>
      </c>
      <c r="O134" s="290" t="str">
        <f t="shared" si="6"/>
        <v/>
      </c>
      <c r="P134" s="47"/>
      <c r="Q134" s="47"/>
      <c r="R134" s="298" t="str">
        <f t="shared" si="8"/>
        <v/>
      </c>
      <c r="S134" s="311" t="str">
        <f t="shared" si="9"/>
        <v/>
      </c>
      <c r="T134" s="312" t="str">
        <f>IFERROR(IF(S134="Check Data ⚠","Check Data ⚠",VLOOKUP(S134,'G-4 Temporal multipliers'!$A$4:$C$37,3,FALSE)),"")</f>
        <v/>
      </c>
      <c r="U134" s="313" t="str">
        <f>IF(F134="","",VLOOKUP(F134,'G-3 Multipliers'!$A$2:$E$134,2,FALSE))</f>
        <v/>
      </c>
      <c r="V134" s="310" t="str">
        <f t="shared" si="10"/>
        <v/>
      </c>
      <c r="W134" s="295" t="str">
        <f>IF(E134="","",IF(AND(V134="Standard difficulty applied",O134&gt;P134),U134,IF(AND(V134="Low Difficulty - only applicable if all habitat created before losses ⚠",P134&gt;=O134),"Low",VLOOKUP(F134,'G-3 Multipliers'!$A$2:$E$134,4,FALSE))))</f>
        <v/>
      </c>
      <c r="X134" s="314" t="str">
        <f>IFERROR(IF(E134="","",VLOOKUP(W134, 'G-3 Multipliers'!$P$2:$Q$6,2,FALSE)),"")</f>
        <v/>
      </c>
      <c r="Y134" s="317" t="str">
        <f t="shared" si="11"/>
        <v/>
      </c>
      <c r="Z134" s="163"/>
      <c r="AA134" s="164"/>
      <c r="AB134" s="101"/>
      <c r="AE134" s="25" t="str">
        <f t="shared" si="7"/>
        <v/>
      </c>
    </row>
    <row r="135" spans="1:31" ht="14.5" thickBot="1" x14ac:dyDescent="0.35">
      <c r="A135" s="20" t="str">
        <f>IFERROR(INDEX('G-8 Condition Look up'!$I$4:$I$135,MATCH(F135,'G-8 Condition Look up'!$A$4:$A$135,0)),"")</f>
        <v/>
      </c>
      <c r="B135" s="679">
        <v>125</v>
      </c>
      <c r="C135" s="247" t="str">
        <f>IFERROR(INDEX('G-1 All Habitats'!$AG$25:$AG$41,MATCH(D135,'G-1 All Habitats'!AF$25:AF$41,0)),"")</f>
        <v/>
      </c>
      <c r="D135" s="38"/>
      <c r="E135" s="45"/>
      <c r="F135" s="244" t="str">
        <f>IFERROR(INDEX('G-1 All Habitats'!$B$3:$B$135,MATCH(E135,'G-1 All Habitats'!$A$3:$A$135,0)),"")</f>
        <v/>
      </c>
      <c r="G135" s="37"/>
      <c r="H135" s="290" t="str">
        <f>IF(F135="","",VLOOKUP(F135,'G-1 All Habitats'!$B$2:$M$135,10,FALSE))</f>
        <v/>
      </c>
      <c r="I135" s="291" t="str">
        <f>IFERROR(VLOOKUP(H135,'G-1 All Habitats'!$V$3:$W$7,2,FALSE),"")</f>
        <v/>
      </c>
      <c r="J135" s="38"/>
      <c r="K135" s="291" t="str">
        <f>IFERROR(INDEX('G-8 Condition Look up'!$A$3:$H$135,MATCH(F135,'G-8 Condition Look up'!$A$3:$A$135,0),MATCH(J135,'G-8 Condition Look up'!$A$3:$H$3,0)),"")</f>
        <v/>
      </c>
      <c r="L135" s="38"/>
      <c r="M135" s="298" t="str">
        <f>IF(L135="","",IF(VLOOKUP(L135,'G-3 Multipliers'!$L$3:$N$6,2,FALSE)=0,"Spatial Data Missing",VLOOKUP(L135,'G-3 Multipliers'!$L$3:$N$6,2,FALSE)))</f>
        <v/>
      </c>
      <c r="N135" s="296" t="str">
        <f>IF(L135="","",IF(VLOOKUP(L135,'G-3 Multipliers'!$L$3:$N$6,3,FALSE)=0,"Spatial Data Missing",VLOOKUP(L135,'G-3 Multipliers'!$L$3:$N$6,3,FALSE)))</f>
        <v/>
      </c>
      <c r="O135" s="290" t="str">
        <f t="shared" si="6"/>
        <v/>
      </c>
      <c r="P135" s="47"/>
      <c r="Q135" s="47"/>
      <c r="R135" s="298" t="str">
        <f t="shared" si="8"/>
        <v/>
      </c>
      <c r="S135" s="311" t="str">
        <f t="shared" si="9"/>
        <v/>
      </c>
      <c r="T135" s="312" t="str">
        <f>IFERROR(IF(S135="Check Data ⚠","Check Data ⚠",VLOOKUP(S135,'G-4 Temporal multipliers'!$A$4:$C$37,3,FALSE)),"")</f>
        <v/>
      </c>
      <c r="U135" s="313" t="str">
        <f>IF(F135="","",VLOOKUP(F135,'G-3 Multipliers'!$A$2:$E$134,2,FALSE))</f>
        <v/>
      </c>
      <c r="V135" s="310" t="str">
        <f t="shared" si="10"/>
        <v/>
      </c>
      <c r="W135" s="295" t="str">
        <f>IF(E135="","",IF(AND(V135="Standard difficulty applied",O135&gt;P135),U135,IF(AND(V135="Low Difficulty - only applicable if all habitat created before losses ⚠",P135&gt;=O135),"Low",VLOOKUP(F135,'G-3 Multipliers'!$A$2:$E$134,4,FALSE))))</f>
        <v/>
      </c>
      <c r="X135" s="314" t="str">
        <f>IFERROR(IF(E135="","",VLOOKUP(W135, 'G-3 Multipliers'!$P$2:$Q$6,2,FALSE)),"")</f>
        <v/>
      </c>
      <c r="Y135" s="317" t="str">
        <f t="shared" si="11"/>
        <v/>
      </c>
      <c r="Z135" s="163"/>
      <c r="AA135" s="164"/>
      <c r="AB135" s="101"/>
      <c r="AE135" s="25" t="str">
        <f t="shared" si="7"/>
        <v/>
      </c>
    </row>
    <row r="136" spans="1:31" ht="14.5" thickBot="1" x14ac:dyDescent="0.35">
      <c r="A136" s="20" t="str">
        <f>IFERROR(INDEX('G-8 Condition Look up'!$I$4:$I$135,MATCH(F136,'G-8 Condition Look up'!$A$4:$A$135,0)),"")</f>
        <v/>
      </c>
      <c r="B136" s="679">
        <v>126</v>
      </c>
      <c r="C136" s="247" t="str">
        <f>IFERROR(INDEX('G-1 All Habitats'!$AG$25:$AG$41,MATCH(D136,'G-1 All Habitats'!AF$25:AF$41,0)),"")</f>
        <v/>
      </c>
      <c r="D136" s="38"/>
      <c r="E136" s="45"/>
      <c r="F136" s="244" t="str">
        <f>IFERROR(INDEX('G-1 All Habitats'!$B$3:$B$135,MATCH(E136,'G-1 All Habitats'!$A$3:$A$135,0)),"")</f>
        <v/>
      </c>
      <c r="G136" s="37"/>
      <c r="H136" s="290" t="str">
        <f>IF(F136="","",VLOOKUP(F136,'G-1 All Habitats'!$B$2:$M$135,10,FALSE))</f>
        <v/>
      </c>
      <c r="I136" s="291" t="str">
        <f>IFERROR(VLOOKUP(H136,'G-1 All Habitats'!$V$3:$W$7,2,FALSE),"")</f>
        <v/>
      </c>
      <c r="J136" s="38"/>
      <c r="K136" s="291" t="str">
        <f>IFERROR(INDEX('G-8 Condition Look up'!$A$3:$H$135,MATCH(F136,'G-8 Condition Look up'!$A$3:$A$135,0),MATCH(J136,'G-8 Condition Look up'!$A$3:$H$3,0)),"")</f>
        <v/>
      </c>
      <c r="L136" s="38"/>
      <c r="M136" s="298" t="str">
        <f>IF(L136="","",IF(VLOOKUP(L136,'G-3 Multipliers'!$L$3:$N$6,2,FALSE)=0,"Spatial Data Missing",VLOOKUP(L136,'G-3 Multipliers'!$L$3:$N$6,2,FALSE)))</f>
        <v/>
      </c>
      <c r="N136" s="296" t="str">
        <f>IF(L136="","",IF(VLOOKUP(L136,'G-3 Multipliers'!$L$3:$N$6,3,FALSE)=0,"Spatial Data Missing",VLOOKUP(L136,'G-3 Multipliers'!$L$3:$N$6,3,FALSE)))</f>
        <v/>
      </c>
      <c r="O136" s="290" t="str">
        <f t="shared" si="6"/>
        <v/>
      </c>
      <c r="P136" s="47"/>
      <c r="Q136" s="47"/>
      <c r="R136" s="298" t="str">
        <f t="shared" si="8"/>
        <v/>
      </c>
      <c r="S136" s="311" t="str">
        <f t="shared" si="9"/>
        <v/>
      </c>
      <c r="T136" s="312" t="str">
        <f>IFERROR(IF(S136="Check Data ⚠","Check Data ⚠",VLOOKUP(S136,'G-4 Temporal multipliers'!$A$4:$C$37,3,FALSE)),"")</f>
        <v/>
      </c>
      <c r="U136" s="313" t="str">
        <f>IF(F136="","",VLOOKUP(F136,'G-3 Multipliers'!$A$2:$E$134,2,FALSE))</f>
        <v/>
      </c>
      <c r="V136" s="310" t="str">
        <f t="shared" si="10"/>
        <v/>
      </c>
      <c r="W136" s="295" t="str">
        <f>IF(E136="","",IF(AND(V136="Standard difficulty applied",O136&gt;P136),U136,IF(AND(V136="Low Difficulty - only applicable if all habitat created before losses ⚠",P136&gt;=O136),"Low",VLOOKUP(F136,'G-3 Multipliers'!$A$2:$E$134,4,FALSE))))</f>
        <v/>
      </c>
      <c r="X136" s="314" t="str">
        <f>IFERROR(IF(E136="","",VLOOKUP(W136, 'G-3 Multipliers'!$P$2:$Q$6,2,FALSE)),"")</f>
        <v/>
      </c>
      <c r="Y136" s="317" t="str">
        <f t="shared" si="11"/>
        <v/>
      </c>
      <c r="Z136" s="163"/>
      <c r="AA136" s="164"/>
      <c r="AB136" s="101"/>
      <c r="AE136" s="25" t="str">
        <f t="shared" si="7"/>
        <v/>
      </c>
    </row>
    <row r="137" spans="1:31" ht="14.5" thickBot="1" x14ac:dyDescent="0.35">
      <c r="A137" s="20" t="str">
        <f>IFERROR(INDEX('G-8 Condition Look up'!$I$4:$I$135,MATCH(F137,'G-8 Condition Look up'!$A$4:$A$135,0)),"")</f>
        <v/>
      </c>
      <c r="B137" s="679">
        <v>127</v>
      </c>
      <c r="C137" s="247" t="str">
        <f>IFERROR(INDEX('G-1 All Habitats'!$AG$25:$AG$41,MATCH(D137,'G-1 All Habitats'!AF$25:AF$41,0)),"")</f>
        <v/>
      </c>
      <c r="D137" s="38"/>
      <c r="E137" s="45"/>
      <c r="F137" s="244" t="str">
        <f>IFERROR(INDEX('G-1 All Habitats'!$B$3:$B$135,MATCH(E137,'G-1 All Habitats'!$A$3:$A$135,0)),"")</f>
        <v/>
      </c>
      <c r="G137" s="37"/>
      <c r="H137" s="290" t="str">
        <f>IF(F137="","",VLOOKUP(F137,'G-1 All Habitats'!$B$2:$M$135,10,FALSE))</f>
        <v/>
      </c>
      <c r="I137" s="291" t="str">
        <f>IFERROR(VLOOKUP(H137,'G-1 All Habitats'!$V$3:$W$7,2,FALSE),"")</f>
        <v/>
      </c>
      <c r="J137" s="38"/>
      <c r="K137" s="291" t="str">
        <f>IFERROR(INDEX('G-8 Condition Look up'!$A$3:$H$135,MATCH(F137,'G-8 Condition Look up'!$A$3:$A$135,0),MATCH(J137,'G-8 Condition Look up'!$A$3:$H$3,0)),"")</f>
        <v/>
      </c>
      <c r="L137" s="38"/>
      <c r="M137" s="298" t="str">
        <f>IF(L137="","",IF(VLOOKUP(L137,'G-3 Multipliers'!$L$3:$N$6,2,FALSE)=0,"Spatial Data Missing",VLOOKUP(L137,'G-3 Multipliers'!$L$3:$N$6,2,FALSE)))</f>
        <v/>
      </c>
      <c r="N137" s="296" t="str">
        <f>IF(L137="","",IF(VLOOKUP(L137,'G-3 Multipliers'!$L$3:$N$6,3,FALSE)=0,"Spatial Data Missing",VLOOKUP(L137,'G-3 Multipliers'!$L$3:$N$6,3,FALSE)))</f>
        <v/>
      </c>
      <c r="O137" s="290" t="str">
        <f t="shared" si="6"/>
        <v/>
      </c>
      <c r="P137" s="47"/>
      <c r="Q137" s="47"/>
      <c r="R137" s="298" t="str">
        <f t="shared" si="8"/>
        <v/>
      </c>
      <c r="S137" s="311" t="str">
        <f t="shared" si="9"/>
        <v/>
      </c>
      <c r="T137" s="312" t="str">
        <f>IFERROR(IF(S137="Check Data ⚠","Check Data ⚠",VLOOKUP(S137,'G-4 Temporal multipliers'!$A$4:$C$37,3,FALSE)),"")</f>
        <v/>
      </c>
      <c r="U137" s="313" t="str">
        <f>IF(F137="","",VLOOKUP(F137,'G-3 Multipliers'!$A$2:$E$134,2,FALSE))</f>
        <v/>
      </c>
      <c r="V137" s="310" t="str">
        <f t="shared" si="10"/>
        <v/>
      </c>
      <c r="W137" s="295" t="str">
        <f>IF(E137="","",IF(AND(V137="Standard difficulty applied",O137&gt;P137),U137,IF(AND(V137="Low Difficulty - only applicable if all habitat created before losses ⚠",P137&gt;=O137),"Low",VLOOKUP(F137,'G-3 Multipliers'!$A$2:$E$134,4,FALSE))))</f>
        <v/>
      </c>
      <c r="X137" s="314" t="str">
        <f>IFERROR(IF(E137="","",VLOOKUP(W137, 'G-3 Multipliers'!$P$2:$Q$6,2,FALSE)),"")</f>
        <v/>
      </c>
      <c r="Y137" s="317" t="str">
        <f t="shared" si="11"/>
        <v/>
      </c>
      <c r="Z137" s="163"/>
      <c r="AA137" s="164"/>
      <c r="AB137" s="101"/>
      <c r="AE137" s="25" t="str">
        <f t="shared" si="7"/>
        <v/>
      </c>
    </row>
    <row r="138" spans="1:31" ht="14.5" thickBot="1" x14ac:dyDescent="0.35">
      <c r="A138" s="20" t="str">
        <f>IFERROR(INDEX('G-8 Condition Look up'!$I$4:$I$135,MATCH(F138,'G-8 Condition Look up'!$A$4:$A$135,0)),"")</f>
        <v/>
      </c>
      <c r="B138" s="679">
        <v>128</v>
      </c>
      <c r="C138" s="247" t="str">
        <f>IFERROR(INDEX('G-1 All Habitats'!$AG$25:$AG$41,MATCH(D138,'G-1 All Habitats'!AF$25:AF$41,0)),"")</f>
        <v/>
      </c>
      <c r="D138" s="38"/>
      <c r="E138" s="45"/>
      <c r="F138" s="244" t="str">
        <f>IFERROR(INDEX('G-1 All Habitats'!$B$3:$B$135,MATCH(E138,'G-1 All Habitats'!$A$3:$A$135,0)),"")</f>
        <v/>
      </c>
      <c r="G138" s="37"/>
      <c r="H138" s="290" t="str">
        <f>IF(F138="","",VLOOKUP(F138,'G-1 All Habitats'!$B$2:$M$135,10,FALSE))</f>
        <v/>
      </c>
      <c r="I138" s="291" t="str">
        <f>IFERROR(VLOOKUP(H138,'G-1 All Habitats'!$V$3:$W$7,2,FALSE),"")</f>
        <v/>
      </c>
      <c r="J138" s="38"/>
      <c r="K138" s="291" t="str">
        <f>IFERROR(INDEX('G-8 Condition Look up'!$A$3:$H$135,MATCH(F138,'G-8 Condition Look up'!$A$3:$A$135,0),MATCH(J138,'G-8 Condition Look up'!$A$3:$H$3,0)),"")</f>
        <v/>
      </c>
      <c r="L138" s="38"/>
      <c r="M138" s="298" t="str">
        <f>IF(L138="","",IF(VLOOKUP(L138,'G-3 Multipliers'!$L$3:$N$6,2,FALSE)=0,"Spatial Data Missing",VLOOKUP(L138,'G-3 Multipliers'!$L$3:$N$6,2,FALSE)))</f>
        <v/>
      </c>
      <c r="N138" s="296" t="str">
        <f>IF(L138="","",IF(VLOOKUP(L138,'G-3 Multipliers'!$L$3:$N$6,3,FALSE)=0,"Spatial Data Missing",VLOOKUP(L138,'G-3 Multipliers'!$L$3:$N$6,3,FALSE)))</f>
        <v/>
      </c>
      <c r="O138" s="290" t="str">
        <f t="shared" si="6"/>
        <v/>
      </c>
      <c r="P138" s="47"/>
      <c r="Q138" s="47"/>
      <c r="R138" s="298" t="str">
        <f t="shared" si="8"/>
        <v/>
      </c>
      <c r="S138" s="311" t="str">
        <f t="shared" si="9"/>
        <v/>
      </c>
      <c r="T138" s="312" t="str">
        <f>IFERROR(IF(S138="Check Data ⚠","Check Data ⚠",VLOOKUP(S138,'G-4 Temporal multipliers'!$A$4:$C$37,3,FALSE)),"")</f>
        <v/>
      </c>
      <c r="U138" s="313" t="str">
        <f>IF(F138="","",VLOOKUP(F138,'G-3 Multipliers'!$A$2:$E$134,2,FALSE))</f>
        <v/>
      </c>
      <c r="V138" s="310" t="str">
        <f t="shared" si="10"/>
        <v/>
      </c>
      <c r="W138" s="295" t="str">
        <f>IF(E138="","",IF(AND(V138="Standard difficulty applied",O138&gt;P138),U138,IF(AND(V138="Low Difficulty - only applicable if all habitat created before losses ⚠",P138&gt;=O138),"Low",VLOOKUP(F138,'G-3 Multipliers'!$A$2:$E$134,4,FALSE))))</f>
        <v/>
      </c>
      <c r="X138" s="314" t="str">
        <f>IFERROR(IF(E138="","",VLOOKUP(W138, 'G-3 Multipliers'!$P$2:$Q$6,2,FALSE)),"")</f>
        <v/>
      </c>
      <c r="Y138" s="317" t="str">
        <f t="shared" si="11"/>
        <v/>
      </c>
      <c r="Z138" s="163"/>
      <c r="AA138" s="164"/>
      <c r="AB138" s="101"/>
      <c r="AE138" s="25" t="str">
        <f t="shared" si="7"/>
        <v/>
      </c>
    </row>
    <row r="139" spans="1:31" ht="14.5" thickBot="1" x14ac:dyDescent="0.35">
      <c r="A139" s="20" t="str">
        <f>IFERROR(INDEX('G-8 Condition Look up'!$I$4:$I$135,MATCH(F139,'G-8 Condition Look up'!$A$4:$A$135,0)),"")</f>
        <v/>
      </c>
      <c r="B139" s="679">
        <v>129</v>
      </c>
      <c r="C139" s="247" t="str">
        <f>IFERROR(INDEX('G-1 All Habitats'!$AG$25:$AG$41,MATCH(D139,'G-1 All Habitats'!AF$25:AF$41,0)),"")</f>
        <v/>
      </c>
      <c r="D139" s="38"/>
      <c r="E139" s="45"/>
      <c r="F139" s="244" t="str">
        <f>IFERROR(INDEX('G-1 All Habitats'!$B$3:$B$135,MATCH(E139,'G-1 All Habitats'!$A$3:$A$135,0)),"")</f>
        <v/>
      </c>
      <c r="G139" s="37"/>
      <c r="H139" s="290" t="str">
        <f>IF(F139="","",VLOOKUP(F139,'G-1 All Habitats'!$B$2:$M$135,10,FALSE))</f>
        <v/>
      </c>
      <c r="I139" s="291" t="str">
        <f>IFERROR(VLOOKUP(H139,'G-1 All Habitats'!$V$3:$W$7,2,FALSE),"")</f>
        <v/>
      </c>
      <c r="J139" s="38"/>
      <c r="K139" s="291" t="str">
        <f>IFERROR(INDEX('G-8 Condition Look up'!$A$3:$H$135,MATCH(F139,'G-8 Condition Look up'!$A$3:$A$135,0),MATCH(J139,'G-8 Condition Look up'!$A$3:$H$3,0)),"")</f>
        <v/>
      </c>
      <c r="L139" s="38"/>
      <c r="M139" s="298" t="str">
        <f>IF(L139="","",IF(VLOOKUP(L139,'G-3 Multipliers'!$L$3:$N$6,2,FALSE)=0,"Spatial Data Missing",VLOOKUP(L139,'G-3 Multipliers'!$L$3:$N$6,2,FALSE)))</f>
        <v/>
      </c>
      <c r="N139" s="296" t="str">
        <f>IF(L139="","",IF(VLOOKUP(L139,'G-3 Multipliers'!$L$3:$N$6,3,FALSE)=0,"Spatial Data Missing",VLOOKUP(L139,'G-3 Multipliers'!$L$3:$N$6,3,FALSE)))</f>
        <v/>
      </c>
      <c r="O139" s="290" t="str">
        <f t="shared" ref="O139:O202" si="12">IFERROR(INDEX(TemporalData,MATCH(F139,TemporalHabitats,0),MATCH(J139,TemporalConditions,0)),"")</f>
        <v/>
      </c>
      <c r="P139" s="47"/>
      <c r="Q139" s="47"/>
      <c r="R139" s="298" t="str">
        <f t="shared" si="8"/>
        <v/>
      </c>
      <c r="S139" s="311" t="str">
        <f t="shared" si="9"/>
        <v/>
      </c>
      <c r="T139" s="312" t="str">
        <f>IFERROR(IF(S139="Check Data ⚠","Check Data ⚠",VLOOKUP(S139,'G-4 Temporal multipliers'!$A$4:$C$37,3,FALSE)),"")</f>
        <v/>
      </c>
      <c r="U139" s="313" t="str">
        <f>IF(F139="","",VLOOKUP(F139,'G-3 Multipliers'!$A$2:$E$134,2,FALSE))</f>
        <v/>
      </c>
      <c r="V139" s="310" t="str">
        <f t="shared" si="10"/>
        <v/>
      </c>
      <c r="W139" s="295" t="str">
        <f>IF(E139="","",IF(AND(V139="Standard difficulty applied",O139&gt;P139),U139,IF(AND(V139="Low Difficulty - only applicable if all habitat created before losses ⚠",P139&gt;=O139),"Low",VLOOKUP(F139,'G-3 Multipliers'!$A$2:$E$134,4,FALSE))))</f>
        <v/>
      </c>
      <c r="X139" s="314" t="str">
        <f>IFERROR(IF(E139="","",VLOOKUP(W139, 'G-3 Multipliers'!$P$2:$Q$6,2,FALSE)),"")</f>
        <v/>
      </c>
      <c r="Y139" s="317" t="str">
        <f t="shared" si="11"/>
        <v/>
      </c>
      <c r="Z139" s="163"/>
      <c r="AA139" s="164"/>
      <c r="AB139" s="101"/>
      <c r="AE139" s="25" t="str">
        <f t="shared" ref="AE139:AE202" si="13">IFERROR(INDEX(TemporalData,MATCH(F139,TemporalHabitats,0),MATCH($AE$10,TemporalConditions,0)),"")</f>
        <v/>
      </c>
    </row>
    <row r="140" spans="1:31" ht="14.5" thickBot="1" x14ac:dyDescent="0.35">
      <c r="A140" s="20" t="str">
        <f>IFERROR(INDEX('G-8 Condition Look up'!$I$4:$I$135,MATCH(F140,'G-8 Condition Look up'!$A$4:$A$135,0)),"")</f>
        <v/>
      </c>
      <c r="B140" s="679">
        <v>130</v>
      </c>
      <c r="C140" s="247" t="str">
        <f>IFERROR(INDEX('G-1 All Habitats'!$AG$25:$AG$41,MATCH(D140,'G-1 All Habitats'!AF$25:AF$41,0)),"")</f>
        <v/>
      </c>
      <c r="D140" s="38"/>
      <c r="E140" s="45"/>
      <c r="F140" s="244" t="str">
        <f>IFERROR(INDEX('G-1 All Habitats'!$B$3:$B$135,MATCH(E140,'G-1 All Habitats'!$A$3:$A$135,0)),"")</f>
        <v/>
      </c>
      <c r="G140" s="37"/>
      <c r="H140" s="290" t="str">
        <f>IF(F140="","",VLOOKUP(F140,'G-1 All Habitats'!$B$2:$M$135,10,FALSE))</f>
        <v/>
      </c>
      <c r="I140" s="291" t="str">
        <f>IFERROR(VLOOKUP(H140,'G-1 All Habitats'!$V$3:$W$7,2,FALSE),"")</f>
        <v/>
      </c>
      <c r="J140" s="38"/>
      <c r="K140" s="291" t="str">
        <f>IFERROR(INDEX('G-8 Condition Look up'!$A$3:$H$135,MATCH(F140,'G-8 Condition Look up'!$A$3:$A$135,0),MATCH(J140,'G-8 Condition Look up'!$A$3:$H$3,0)),"")</f>
        <v/>
      </c>
      <c r="L140" s="38"/>
      <c r="M140" s="298" t="str">
        <f>IF(L140="","",IF(VLOOKUP(L140,'G-3 Multipliers'!$L$3:$N$6,2,FALSE)=0,"Spatial Data Missing",VLOOKUP(L140,'G-3 Multipliers'!$L$3:$N$6,2,FALSE)))</f>
        <v/>
      </c>
      <c r="N140" s="296" t="str">
        <f>IF(L140="","",IF(VLOOKUP(L140,'G-3 Multipliers'!$L$3:$N$6,3,FALSE)=0,"Spatial Data Missing",VLOOKUP(L140,'G-3 Multipliers'!$L$3:$N$6,3,FALSE)))</f>
        <v/>
      </c>
      <c r="O140" s="290" t="str">
        <f t="shared" si="12"/>
        <v/>
      </c>
      <c r="P140" s="47"/>
      <c r="Q140" s="47"/>
      <c r="R140" s="298" t="str">
        <f t="shared" ref="R140:R203" si="14">IF(E140="","",IF(AND(P140&gt;0,Q140&gt;0),"Error -both advance and delayed habitat creation ▲",IF(I140=0,"Standard time to target condition applied",IF(AND(J140="N/A -Agricultural",O140&lt;=P140),"Check details - Is there evidence habitat creation in place? ⚠",IF(AND(O140&lt;=P140,Q140=0),"Check details - Is there evidence that habitat has reached target condition? ⚠",IF(O140="","",IF(AND(P140&gt;=AE140,P140&gt;0),"Check details - Is there evidence habitat creation started and the threshold for Poor condition reached? ⚠",IF(Q140&gt;0,"Check details- Delay in starting habitat in required condition? ⚠",IF(P140&gt;0,"Check details - Is there evidence habitat creation started/in place? ⚠","Standard time to target condition applied")))))))))</f>
        <v/>
      </c>
      <c r="S140" s="311" t="str">
        <f t="shared" ref="S140:S203" si="15">IF(R140="Error -both advance and delayed habitat creation ▲","Check Data ⚠",IF(O140="Not Possible","Check Data ⚠",IF(O140="","",IF(AND(O140="30+",P140=0),"30+",IF(AND(O140="30+",P140="30+"),0,IF(AND(O140="30+",P140&lt;32),30-P140,IF(O140="30+",30-P140,IF(P140&gt;O140,0,IF(Q140="30+","30+",IF(O140+Q140&gt;30,"30+",IF(O140+Q140&gt;30,"30+",IF(O140-P140&gt;30,"30+",IF(O140+Q140-P140&gt;0,O140+Q140-P140,IF(O140-P140&gt;0,O140-P140,O140+Q140-P140))))))))))))))</f>
        <v/>
      </c>
      <c r="T140" s="312" t="str">
        <f>IFERROR(IF(S140="Check Data ⚠","Check Data ⚠",VLOOKUP(S140,'G-4 Temporal multipliers'!$A$4:$C$37,3,FALSE)),"")</f>
        <v/>
      </c>
      <c r="U140" s="313" t="str">
        <f>IF(F140="","",VLOOKUP(F140,'G-3 Multipliers'!$A$2:$E$134,2,FALSE))</f>
        <v/>
      </c>
      <c r="V140" s="310" t="str">
        <f t="shared" ref="V140:V203" si="16">IF(F140="","",IF($R140="Check details - Is there evidence that habitat has reached target condition? ⚠","Low Difficulty - only applicable if all habitat created before losses ⚠",IF(AND($R140="Check details - Is there evidence habitat creation started and the threshold for Poor condition reached? ⚠",$E140&lt;&gt;"Traditional orchards", $E140&lt;&gt;"Ornamental lake or pond", $E140&lt;&gt;"Ponds (non-priority habitat)", $E140&lt;&gt;"Ruderal/Ephemeral", $E140&lt;&gt;"Tall forbs", $E140&lt;&gt;"Developed land; sealed surface"),"Enhancement difficulty applied","Standard difficulty applied")))</f>
        <v/>
      </c>
      <c r="W140" s="295" t="str">
        <f>IF(E140="","",IF(AND(V140="Standard difficulty applied",O140&gt;P140),U140,IF(AND(V140="Low Difficulty - only applicable if all habitat created before losses ⚠",P140&gt;=O140),"Low",VLOOKUP(F140,'G-3 Multipliers'!$A$2:$E$134,4,FALSE))))</f>
        <v/>
      </c>
      <c r="X140" s="314" t="str">
        <f>IFERROR(IF(E140="","",VLOOKUP(W140, 'G-3 Multipliers'!$P$2:$Q$6,2,FALSE)),"")</f>
        <v/>
      </c>
      <c r="Y140" s="317" t="str">
        <f t="shared" ref="Y140:Y203" si="17">IFERROR(G140*I140*K140*N140*T140*X140,"")</f>
        <v/>
      </c>
      <c r="Z140" s="163"/>
      <c r="AA140" s="164"/>
      <c r="AB140" s="101"/>
      <c r="AE140" s="25" t="str">
        <f t="shared" si="13"/>
        <v/>
      </c>
    </row>
    <row r="141" spans="1:31" ht="14.5" thickBot="1" x14ac:dyDescent="0.35">
      <c r="A141" s="20" t="str">
        <f>IFERROR(INDEX('G-8 Condition Look up'!$I$4:$I$135,MATCH(F141,'G-8 Condition Look up'!$A$4:$A$135,0)),"")</f>
        <v/>
      </c>
      <c r="B141" s="679">
        <v>131</v>
      </c>
      <c r="C141" s="247" t="str">
        <f>IFERROR(INDEX('G-1 All Habitats'!$AG$25:$AG$41,MATCH(D141,'G-1 All Habitats'!AF$25:AF$41,0)),"")</f>
        <v/>
      </c>
      <c r="D141" s="38"/>
      <c r="E141" s="45"/>
      <c r="F141" s="244" t="str">
        <f>IFERROR(INDEX('G-1 All Habitats'!$B$3:$B$135,MATCH(E141,'G-1 All Habitats'!$A$3:$A$135,0)),"")</f>
        <v/>
      </c>
      <c r="G141" s="37"/>
      <c r="H141" s="290" t="str">
        <f>IF(F141="","",VLOOKUP(F141,'G-1 All Habitats'!$B$2:$M$135,10,FALSE))</f>
        <v/>
      </c>
      <c r="I141" s="291" t="str">
        <f>IFERROR(VLOOKUP(H141,'G-1 All Habitats'!$V$3:$W$7,2,FALSE),"")</f>
        <v/>
      </c>
      <c r="J141" s="38"/>
      <c r="K141" s="291" t="str">
        <f>IFERROR(INDEX('G-8 Condition Look up'!$A$3:$H$135,MATCH(F141,'G-8 Condition Look up'!$A$3:$A$135,0),MATCH(J141,'G-8 Condition Look up'!$A$3:$H$3,0)),"")</f>
        <v/>
      </c>
      <c r="L141" s="38"/>
      <c r="M141" s="298" t="str">
        <f>IF(L141="","",IF(VLOOKUP(L141,'G-3 Multipliers'!$L$3:$N$6,2,FALSE)=0,"Spatial Data Missing",VLOOKUP(L141,'G-3 Multipliers'!$L$3:$N$6,2,FALSE)))</f>
        <v/>
      </c>
      <c r="N141" s="296" t="str">
        <f>IF(L141="","",IF(VLOOKUP(L141,'G-3 Multipliers'!$L$3:$N$6,3,FALSE)=0,"Spatial Data Missing",VLOOKUP(L141,'G-3 Multipliers'!$L$3:$N$6,3,FALSE)))</f>
        <v/>
      </c>
      <c r="O141" s="290" t="str">
        <f t="shared" si="12"/>
        <v/>
      </c>
      <c r="P141" s="47"/>
      <c r="Q141" s="47"/>
      <c r="R141" s="298" t="str">
        <f t="shared" si="14"/>
        <v/>
      </c>
      <c r="S141" s="311" t="str">
        <f t="shared" si="15"/>
        <v/>
      </c>
      <c r="T141" s="312" t="str">
        <f>IFERROR(IF(S141="Check Data ⚠","Check Data ⚠",VLOOKUP(S141,'G-4 Temporal multipliers'!$A$4:$C$37,3,FALSE)),"")</f>
        <v/>
      </c>
      <c r="U141" s="313" t="str">
        <f>IF(F141="","",VLOOKUP(F141,'G-3 Multipliers'!$A$2:$E$134,2,FALSE))</f>
        <v/>
      </c>
      <c r="V141" s="310" t="str">
        <f t="shared" si="16"/>
        <v/>
      </c>
      <c r="W141" s="295" t="str">
        <f>IF(E141="","",IF(AND(V141="Standard difficulty applied",O141&gt;P141),U141,IF(AND(V141="Low Difficulty - only applicable if all habitat created before losses ⚠",P141&gt;=O141),"Low",VLOOKUP(F141,'G-3 Multipliers'!$A$2:$E$134,4,FALSE))))</f>
        <v/>
      </c>
      <c r="X141" s="314" t="str">
        <f>IFERROR(IF(E141="","",VLOOKUP(W141, 'G-3 Multipliers'!$P$2:$Q$6,2,FALSE)),"")</f>
        <v/>
      </c>
      <c r="Y141" s="317" t="str">
        <f t="shared" si="17"/>
        <v/>
      </c>
      <c r="Z141" s="163"/>
      <c r="AA141" s="164"/>
      <c r="AB141" s="101"/>
      <c r="AE141" s="25" t="str">
        <f t="shared" si="13"/>
        <v/>
      </c>
    </row>
    <row r="142" spans="1:31" ht="14.5" thickBot="1" x14ac:dyDescent="0.35">
      <c r="A142" s="20" t="str">
        <f>IFERROR(INDEX('G-8 Condition Look up'!$I$4:$I$135,MATCH(F142,'G-8 Condition Look up'!$A$4:$A$135,0)),"")</f>
        <v/>
      </c>
      <c r="B142" s="679">
        <v>132</v>
      </c>
      <c r="C142" s="247" t="str">
        <f>IFERROR(INDEX('G-1 All Habitats'!$AG$25:$AG$41,MATCH(D142,'G-1 All Habitats'!AF$25:AF$41,0)),"")</f>
        <v/>
      </c>
      <c r="D142" s="38"/>
      <c r="E142" s="45"/>
      <c r="F142" s="244" t="str">
        <f>IFERROR(INDEX('G-1 All Habitats'!$B$3:$B$135,MATCH(E142,'G-1 All Habitats'!$A$3:$A$135,0)),"")</f>
        <v/>
      </c>
      <c r="G142" s="37"/>
      <c r="H142" s="290" t="str">
        <f>IF(F142="","",VLOOKUP(F142,'G-1 All Habitats'!$B$2:$M$135,10,FALSE))</f>
        <v/>
      </c>
      <c r="I142" s="291" t="str">
        <f>IFERROR(VLOOKUP(H142,'G-1 All Habitats'!$V$3:$W$7,2,FALSE),"")</f>
        <v/>
      </c>
      <c r="J142" s="38"/>
      <c r="K142" s="291" t="str">
        <f>IFERROR(INDEX('G-8 Condition Look up'!$A$3:$H$135,MATCH(F142,'G-8 Condition Look up'!$A$3:$A$135,0),MATCH(J142,'G-8 Condition Look up'!$A$3:$H$3,0)),"")</f>
        <v/>
      </c>
      <c r="L142" s="38"/>
      <c r="M142" s="298" t="str">
        <f>IF(L142="","",IF(VLOOKUP(L142,'G-3 Multipliers'!$L$3:$N$6,2,FALSE)=0,"Spatial Data Missing",VLOOKUP(L142,'G-3 Multipliers'!$L$3:$N$6,2,FALSE)))</f>
        <v/>
      </c>
      <c r="N142" s="296" t="str">
        <f>IF(L142="","",IF(VLOOKUP(L142,'G-3 Multipliers'!$L$3:$N$6,3,FALSE)=0,"Spatial Data Missing",VLOOKUP(L142,'G-3 Multipliers'!$L$3:$N$6,3,FALSE)))</f>
        <v/>
      </c>
      <c r="O142" s="290" t="str">
        <f t="shared" si="12"/>
        <v/>
      </c>
      <c r="P142" s="47"/>
      <c r="Q142" s="47"/>
      <c r="R142" s="298" t="str">
        <f t="shared" si="14"/>
        <v/>
      </c>
      <c r="S142" s="311" t="str">
        <f t="shared" si="15"/>
        <v/>
      </c>
      <c r="T142" s="312" t="str">
        <f>IFERROR(IF(S142="Check Data ⚠","Check Data ⚠",VLOOKUP(S142,'G-4 Temporal multipliers'!$A$4:$C$37,3,FALSE)),"")</f>
        <v/>
      </c>
      <c r="U142" s="313" t="str">
        <f>IF(F142="","",VLOOKUP(F142,'G-3 Multipliers'!$A$2:$E$134,2,FALSE))</f>
        <v/>
      </c>
      <c r="V142" s="310" t="str">
        <f t="shared" si="16"/>
        <v/>
      </c>
      <c r="W142" s="295" t="str">
        <f>IF(E142="","",IF(AND(V142="Standard difficulty applied",O142&gt;P142),U142,IF(AND(V142="Low Difficulty - only applicable if all habitat created before losses ⚠",P142&gt;=O142),"Low",VLOOKUP(F142,'G-3 Multipliers'!$A$2:$E$134,4,FALSE))))</f>
        <v/>
      </c>
      <c r="X142" s="314" t="str">
        <f>IFERROR(IF(E142="","",VLOOKUP(W142, 'G-3 Multipliers'!$P$2:$Q$6,2,FALSE)),"")</f>
        <v/>
      </c>
      <c r="Y142" s="317" t="str">
        <f t="shared" si="17"/>
        <v/>
      </c>
      <c r="Z142" s="163"/>
      <c r="AA142" s="164"/>
      <c r="AB142" s="101"/>
      <c r="AE142" s="25" t="str">
        <f t="shared" si="13"/>
        <v/>
      </c>
    </row>
    <row r="143" spans="1:31" ht="14.5" thickBot="1" x14ac:dyDescent="0.35">
      <c r="A143" s="20" t="str">
        <f>IFERROR(INDEX('G-8 Condition Look up'!$I$4:$I$135,MATCH(F143,'G-8 Condition Look up'!$A$4:$A$135,0)),"")</f>
        <v/>
      </c>
      <c r="B143" s="679">
        <v>133</v>
      </c>
      <c r="C143" s="247" t="str">
        <f>IFERROR(INDEX('G-1 All Habitats'!$AG$25:$AG$41,MATCH(D143,'G-1 All Habitats'!AF$25:AF$41,0)),"")</f>
        <v/>
      </c>
      <c r="D143" s="38"/>
      <c r="E143" s="45"/>
      <c r="F143" s="244" t="str">
        <f>IFERROR(INDEX('G-1 All Habitats'!$B$3:$B$135,MATCH(E143,'G-1 All Habitats'!$A$3:$A$135,0)),"")</f>
        <v/>
      </c>
      <c r="G143" s="37"/>
      <c r="H143" s="290" t="str">
        <f>IF(F143="","",VLOOKUP(F143,'G-1 All Habitats'!$B$2:$M$135,10,FALSE))</f>
        <v/>
      </c>
      <c r="I143" s="291" t="str">
        <f>IFERROR(VLOOKUP(H143,'G-1 All Habitats'!$V$3:$W$7,2,FALSE),"")</f>
        <v/>
      </c>
      <c r="J143" s="38"/>
      <c r="K143" s="291" t="str">
        <f>IFERROR(INDEX('G-8 Condition Look up'!$A$3:$H$135,MATCH(F143,'G-8 Condition Look up'!$A$3:$A$135,0),MATCH(J143,'G-8 Condition Look up'!$A$3:$H$3,0)),"")</f>
        <v/>
      </c>
      <c r="L143" s="38"/>
      <c r="M143" s="298" t="str">
        <f>IF(L143="","",IF(VLOOKUP(L143,'G-3 Multipliers'!$L$3:$N$6,2,FALSE)=0,"Spatial Data Missing",VLOOKUP(L143,'G-3 Multipliers'!$L$3:$N$6,2,FALSE)))</f>
        <v/>
      </c>
      <c r="N143" s="296" t="str">
        <f>IF(L143="","",IF(VLOOKUP(L143,'G-3 Multipliers'!$L$3:$N$6,3,FALSE)=0,"Spatial Data Missing",VLOOKUP(L143,'G-3 Multipliers'!$L$3:$N$6,3,FALSE)))</f>
        <v/>
      </c>
      <c r="O143" s="290" t="str">
        <f t="shared" si="12"/>
        <v/>
      </c>
      <c r="P143" s="47"/>
      <c r="Q143" s="47"/>
      <c r="R143" s="298" t="str">
        <f t="shared" si="14"/>
        <v/>
      </c>
      <c r="S143" s="311" t="str">
        <f t="shared" si="15"/>
        <v/>
      </c>
      <c r="T143" s="312" t="str">
        <f>IFERROR(IF(S143="Check Data ⚠","Check Data ⚠",VLOOKUP(S143,'G-4 Temporal multipliers'!$A$4:$C$37,3,FALSE)),"")</f>
        <v/>
      </c>
      <c r="U143" s="313" t="str">
        <f>IF(F143="","",VLOOKUP(F143,'G-3 Multipliers'!$A$2:$E$134,2,FALSE))</f>
        <v/>
      </c>
      <c r="V143" s="310" t="str">
        <f t="shared" si="16"/>
        <v/>
      </c>
      <c r="W143" s="295" t="str">
        <f>IF(E143="","",IF(AND(V143="Standard difficulty applied",O143&gt;P143),U143,IF(AND(V143="Low Difficulty - only applicable if all habitat created before losses ⚠",P143&gt;=O143),"Low",VLOOKUP(F143,'G-3 Multipliers'!$A$2:$E$134,4,FALSE))))</f>
        <v/>
      </c>
      <c r="X143" s="314" t="str">
        <f>IFERROR(IF(E143="","",VLOOKUP(W143, 'G-3 Multipliers'!$P$2:$Q$6,2,FALSE)),"")</f>
        <v/>
      </c>
      <c r="Y143" s="317" t="str">
        <f t="shared" si="17"/>
        <v/>
      </c>
      <c r="Z143" s="163"/>
      <c r="AA143" s="164"/>
      <c r="AB143" s="101"/>
      <c r="AE143" s="25" t="str">
        <f t="shared" si="13"/>
        <v/>
      </c>
    </row>
    <row r="144" spans="1:31" ht="14.5" thickBot="1" x14ac:dyDescent="0.35">
      <c r="A144" s="20" t="str">
        <f>IFERROR(INDEX('G-8 Condition Look up'!$I$4:$I$135,MATCH(F144,'G-8 Condition Look up'!$A$4:$A$135,0)),"")</f>
        <v/>
      </c>
      <c r="B144" s="679">
        <v>134</v>
      </c>
      <c r="C144" s="247" t="str">
        <f>IFERROR(INDEX('G-1 All Habitats'!$AG$25:$AG$41,MATCH(D144,'G-1 All Habitats'!AF$25:AF$41,0)),"")</f>
        <v/>
      </c>
      <c r="D144" s="38"/>
      <c r="E144" s="45"/>
      <c r="F144" s="244" t="str">
        <f>IFERROR(INDEX('G-1 All Habitats'!$B$3:$B$135,MATCH(E144,'G-1 All Habitats'!$A$3:$A$135,0)),"")</f>
        <v/>
      </c>
      <c r="G144" s="37"/>
      <c r="H144" s="290" t="str">
        <f>IF(F144="","",VLOOKUP(F144,'G-1 All Habitats'!$B$2:$M$135,10,FALSE))</f>
        <v/>
      </c>
      <c r="I144" s="291" t="str">
        <f>IFERROR(VLOOKUP(H144,'G-1 All Habitats'!$V$3:$W$7,2,FALSE),"")</f>
        <v/>
      </c>
      <c r="J144" s="38"/>
      <c r="K144" s="291" t="str">
        <f>IFERROR(INDEX('G-8 Condition Look up'!$A$3:$H$135,MATCH(F144,'G-8 Condition Look up'!$A$3:$A$135,0),MATCH(J144,'G-8 Condition Look up'!$A$3:$H$3,0)),"")</f>
        <v/>
      </c>
      <c r="L144" s="38"/>
      <c r="M144" s="298" t="str">
        <f>IF(L144="","",IF(VLOOKUP(L144,'G-3 Multipliers'!$L$3:$N$6,2,FALSE)=0,"Spatial Data Missing",VLOOKUP(L144,'G-3 Multipliers'!$L$3:$N$6,2,FALSE)))</f>
        <v/>
      </c>
      <c r="N144" s="296" t="str">
        <f>IF(L144="","",IF(VLOOKUP(L144,'G-3 Multipliers'!$L$3:$N$6,3,FALSE)=0,"Spatial Data Missing",VLOOKUP(L144,'G-3 Multipliers'!$L$3:$N$6,3,FALSE)))</f>
        <v/>
      </c>
      <c r="O144" s="290" t="str">
        <f t="shared" si="12"/>
        <v/>
      </c>
      <c r="P144" s="47"/>
      <c r="Q144" s="47"/>
      <c r="R144" s="298" t="str">
        <f t="shared" si="14"/>
        <v/>
      </c>
      <c r="S144" s="311" t="str">
        <f t="shared" si="15"/>
        <v/>
      </c>
      <c r="T144" s="312" t="str">
        <f>IFERROR(IF(S144="Check Data ⚠","Check Data ⚠",VLOOKUP(S144,'G-4 Temporal multipliers'!$A$4:$C$37,3,FALSE)),"")</f>
        <v/>
      </c>
      <c r="U144" s="313" t="str">
        <f>IF(F144="","",VLOOKUP(F144,'G-3 Multipliers'!$A$2:$E$134,2,FALSE))</f>
        <v/>
      </c>
      <c r="V144" s="310" t="str">
        <f t="shared" si="16"/>
        <v/>
      </c>
      <c r="W144" s="295" t="str">
        <f>IF(E144="","",IF(AND(V144="Standard difficulty applied",O144&gt;P144),U144,IF(AND(V144="Low Difficulty - only applicable if all habitat created before losses ⚠",P144&gt;=O144),"Low",VLOOKUP(F144,'G-3 Multipliers'!$A$2:$E$134,4,FALSE))))</f>
        <v/>
      </c>
      <c r="X144" s="314" t="str">
        <f>IFERROR(IF(E144="","",VLOOKUP(W144, 'G-3 Multipliers'!$P$2:$Q$6,2,FALSE)),"")</f>
        <v/>
      </c>
      <c r="Y144" s="317" t="str">
        <f t="shared" si="17"/>
        <v/>
      </c>
      <c r="Z144" s="163"/>
      <c r="AA144" s="164"/>
      <c r="AB144" s="101"/>
      <c r="AE144" s="25" t="str">
        <f t="shared" si="13"/>
        <v/>
      </c>
    </row>
    <row r="145" spans="1:31" ht="14.5" thickBot="1" x14ac:dyDescent="0.35">
      <c r="A145" s="20" t="str">
        <f>IFERROR(INDEX('G-8 Condition Look up'!$I$4:$I$135,MATCH(F145,'G-8 Condition Look up'!$A$4:$A$135,0)),"")</f>
        <v/>
      </c>
      <c r="B145" s="679">
        <v>135</v>
      </c>
      <c r="C145" s="247" t="str">
        <f>IFERROR(INDEX('G-1 All Habitats'!$AG$25:$AG$41,MATCH(D145,'G-1 All Habitats'!AF$25:AF$41,0)),"")</f>
        <v/>
      </c>
      <c r="D145" s="38"/>
      <c r="E145" s="45"/>
      <c r="F145" s="244" t="str">
        <f>IFERROR(INDEX('G-1 All Habitats'!$B$3:$B$135,MATCH(E145,'G-1 All Habitats'!$A$3:$A$135,0)),"")</f>
        <v/>
      </c>
      <c r="G145" s="37"/>
      <c r="H145" s="290" t="str">
        <f>IF(F145="","",VLOOKUP(F145,'G-1 All Habitats'!$B$2:$M$135,10,FALSE))</f>
        <v/>
      </c>
      <c r="I145" s="291" t="str">
        <f>IFERROR(VLOOKUP(H145,'G-1 All Habitats'!$V$3:$W$7,2,FALSE),"")</f>
        <v/>
      </c>
      <c r="J145" s="38"/>
      <c r="K145" s="291" t="str">
        <f>IFERROR(INDEX('G-8 Condition Look up'!$A$3:$H$135,MATCH(F145,'G-8 Condition Look up'!$A$3:$A$135,0),MATCH(J145,'G-8 Condition Look up'!$A$3:$H$3,0)),"")</f>
        <v/>
      </c>
      <c r="L145" s="38"/>
      <c r="M145" s="298" t="str">
        <f>IF(L145="","",IF(VLOOKUP(L145,'G-3 Multipliers'!$L$3:$N$6,2,FALSE)=0,"Spatial Data Missing",VLOOKUP(L145,'G-3 Multipliers'!$L$3:$N$6,2,FALSE)))</f>
        <v/>
      </c>
      <c r="N145" s="296" t="str">
        <f>IF(L145="","",IF(VLOOKUP(L145,'G-3 Multipliers'!$L$3:$N$6,3,FALSE)=0,"Spatial Data Missing",VLOOKUP(L145,'G-3 Multipliers'!$L$3:$N$6,3,FALSE)))</f>
        <v/>
      </c>
      <c r="O145" s="290" t="str">
        <f t="shared" si="12"/>
        <v/>
      </c>
      <c r="P145" s="47"/>
      <c r="Q145" s="47"/>
      <c r="R145" s="298" t="str">
        <f t="shared" si="14"/>
        <v/>
      </c>
      <c r="S145" s="311" t="str">
        <f t="shared" si="15"/>
        <v/>
      </c>
      <c r="T145" s="312" t="str">
        <f>IFERROR(IF(S145="Check Data ⚠","Check Data ⚠",VLOOKUP(S145,'G-4 Temporal multipliers'!$A$4:$C$37,3,FALSE)),"")</f>
        <v/>
      </c>
      <c r="U145" s="313" t="str">
        <f>IF(F145="","",VLOOKUP(F145,'G-3 Multipliers'!$A$2:$E$134,2,FALSE))</f>
        <v/>
      </c>
      <c r="V145" s="310" t="str">
        <f t="shared" si="16"/>
        <v/>
      </c>
      <c r="W145" s="295" t="str">
        <f>IF(E145="","",IF(AND(V145="Standard difficulty applied",O145&gt;P145),U145,IF(AND(V145="Low Difficulty - only applicable if all habitat created before losses ⚠",P145&gt;=O145),"Low",VLOOKUP(F145,'G-3 Multipliers'!$A$2:$E$134,4,FALSE))))</f>
        <v/>
      </c>
      <c r="X145" s="314" t="str">
        <f>IFERROR(IF(E145="","",VLOOKUP(W145, 'G-3 Multipliers'!$P$2:$Q$6,2,FALSE)),"")</f>
        <v/>
      </c>
      <c r="Y145" s="317" t="str">
        <f t="shared" si="17"/>
        <v/>
      </c>
      <c r="Z145" s="163"/>
      <c r="AA145" s="164"/>
      <c r="AB145" s="101"/>
      <c r="AE145" s="25" t="str">
        <f t="shared" si="13"/>
        <v/>
      </c>
    </row>
    <row r="146" spans="1:31" ht="14.5" thickBot="1" x14ac:dyDescent="0.35">
      <c r="A146" s="20" t="str">
        <f>IFERROR(INDEX('G-8 Condition Look up'!$I$4:$I$135,MATCH(F146,'G-8 Condition Look up'!$A$4:$A$135,0)),"")</f>
        <v/>
      </c>
      <c r="B146" s="679">
        <v>136</v>
      </c>
      <c r="C146" s="247" t="str">
        <f>IFERROR(INDEX('G-1 All Habitats'!$AG$25:$AG$41,MATCH(D146,'G-1 All Habitats'!AF$25:AF$41,0)),"")</f>
        <v/>
      </c>
      <c r="D146" s="38"/>
      <c r="E146" s="45"/>
      <c r="F146" s="244" t="str">
        <f>IFERROR(INDEX('G-1 All Habitats'!$B$3:$B$135,MATCH(E146,'G-1 All Habitats'!$A$3:$A$135,0)),"")</f>
        <v/>
      </c>
      <c r="G146" s="37"/>
      <c r="H146" s="290" t="str">
        <f>IF(F146="","",VLOOKUP(F146,'G-1 All Habitats'!$B$2:$M$135,10,FALSE))</f>
        <v/>
      </c>
      <c r="I146" s="291" t="str">
        <f>IFERROR(VLOOKUP(H146,'G-1 All Habitats'!$V$3:$W$7,2,FALSE),"")</f>
        <v/>
      </c>
      <c r="J146" s="38"/>
      <c r="K146" s="291" t="str">
        <f>IFERROR(INDEX('G-8 Condition Look up'!$A$3:$H$135,MATCH(F146,'G-8 Condition Look up'!$A$3:$A$135,0),MATCH(J146,'G-8 Condition Look up'!$A$3:$H$3,0)),"")</f>
        <v/>
      </c>
      <c r="L146" s="38"/>
      <c r="M146" s="298" t="str">
        <f>IF(L146="","",IF(VLOOKUP(L146,'G-3 Multipliers'!$L$3:$N$6,2,FALSE)=0,"Spatial Data Missing",VLOOKUP(L146,'G-3 Multipliers'!$L$3:$N$6,2,FALSE)))</f>
        <v/>
      </c>
      <c r="N146" s="296" t="str">
        <f>IF(L146="","",IF(VLOOKUP(L146,'G-3 Multipliers'!$L$3:$N$6,3,FALSE)=0,"Spatial Data Missing",VLOOKUP(L146,'G-3 Multipliers'!$L$3:$N$6,3,FALSE)))</f>
        <v/>
      </c>
      <c r="O146" s="290" t="str">
        <f t="shared" si="12"/>
        <v/>
      </c>
      <c r="P146" s="47"/>
      <c r="Q146" s="47"/>
      <c r="R146" s="298" t="str">
        <f t="shared" si="14"/>
        <v/>
      </c>
      <c r="S146" s="311" t="str">
        <f t="shared" si="15"/>
        <v/>
      </c>
      <c r="T146" s="312" t="str">
        <f>IFERROR(IF(S146="Check Data ⚠","Check Data ⚠",VLOOKUP(S146,'G-4 Temporal multipliers'!$A$4:$C$37,3,FALSE)),"")</f>
        <v/>
      </c>
      <c r="U146" s="313" t="str">
        <f>IF(F146="","",VLOOKUP(F146,'G-3 Multipliers'!$A$2:$E$134,2,FALSE))</f>
        <v/>
      </c>
      <c r="V146" s="310" t="str">
        <f t="shared" si="16"/>
        <v/>
      </c>
      <c r="W146" s="295" t="str">
        <f>IF(E146="","",IF(AND(V146="Standard difficulty applied",O146&gt;P146),U146,IF(AND(V146="Low Difficulty - only applicable if all habitat created before losses ⚠",P146&gt;=O146),"Low",VLOOKUP(F146,'G-3 Multipliers'!$A$2:$E$134,4,FALSE))))</f>
        <v/>
      </c>
      <c r="X146" s="314" t="str">
        <f>IFERROR(IF(E146="","",VLOOKUP(W146, 'G-3 Multipliers'!$P$2:$Q$6,2,FALSE)),"")</f>
        <v/>
      </c>
      <c r="Y146" s="317" t="str">
        <f t="shared" si="17"/>
        <v/>
      </c>
      <c r="Z146" s="163"/>
      <c r="AA146" s="164"/>
      <c r="AB146" s="101"/>
      <c r="AE146" s="25" t="str">
        <f t="shared" si="13"/>
        <v/>
      </c>
    </row>
    <row r="147" spans="1:31" ht="14.5" thickBot="1" x14ac:dyDescent="0.35">
      <c r="A147" s="20" t="str">
        <f>IFERROR(INDEX('G-8 Condition Look up'!$I$4:$I$135,MATCH(F147,'G-8 Condition Look up'!$A$4:$A$135,0)),"")</f>
        <v/>
      </c>
      <c r="B147" s="679">
        <v>137</v>
      </c>
      <c r="C147" s="247" t="str">
        <f>IFERROR(INDEX('G-1 All Habitats'!$AG$25:$AG$41,MATCH(D147,'G-1 All Habitats'!AF$25:AF$41,0)),"")</f>
        <v/>
      </c>
      <c r="D147" s="38"/>
      <c r="E147" s="45"/>
      <c r="F147" s="244" t="str">
        <f>IFERROR(INDEX('G-1 All Habitats'!$B$3:$B$135,MATCH(E147,'G-1 All Habitats'!$A$3:$A$135,0)),"")</f>
        <v/>
      </c>
      <c r="G147" s="37"/>
      <c r="H147" s="290" t="str">
        <f>IF(F147="","",VLOOKUP(F147,'G-1 All Habitats'!$B$2:$M$135,10,FALSE))</f>
        <v/>
      </c>
      <c r="I147" s="291" t="str">
        <f>IFERROR(VLOOKUP(H147,'G-1 All Habitats'!$V$3:$W$7,2,FALSE),"")</f>
        <v/>
      </c>
      <c r="J147" s="38"/>
      <c r="K147" s="291" t="str">
        <f>IFERROR(INDEX('G-8 Condition Look up'!$A$3:$H$135,MATCH(F147,'G-8 Condition Look up'!$A$3:$A$135,0),MATCH(J147,'G-8 Condition Look up'!$A$3:$H$3,0)),"")</f>
        <v/>
      </c>
      <c r="L147" s="38"/>
      <c r="M147" s="298" t="str">
        <f>IF(L147="","",IF(VLOOKUP(L147,'G-3 Multipliers'!$L$3:$N$6,2,FALSE)=0,"Spatial Data Missing",VLOOKUP(L147,'G-3 Multipliers'!$L$3:$N$6,2,FALSE)))</f>
        <v/>
      </c>
      <c r="N147" s="296" t="str">
        <f>IF(L147="","",IF(VLOOKUP(L147,'G-3 Multipliers'!$L$3:$N$6,3,FALSE)=0,"Spatial Data Missing",VLOOKUP(L147,'G-3 Multipliers'!$L$3:$N$6,3,FALSE)))</f>
        <v/>
      </c>
      <c r="O147" s="290" t="str">
        <f t="shared" si="12"/>
        <v/>
      </c>
      <c r="P147" s="47"/>
      <c r="Q147" s="47"/>
      <c r="R147" s="298" t="str">
        <f t="shared" si="14"/>
        <v/>
      </c>
      <c r="S147" s="311" t="str">
        <f t="shared" si="15"/>
        <v/>
      </c>
      <c r="T147" s="312" t="str">
        <f>IFERROR(IF(S147="Check Data ⚠","Check Data ⚠",VLOOKUP(S147,'G-4 Temporal multipliers'!$A$4:$C$37,3,FALSE)),"")</f>
        <v/>
      </c>
      <c r="U147" s="313" t="str">
        <f>IF(F147="","",VLOOKUP(F147,'G-3 Multipliers'!$A$2:$E$134,2,FALSE))</f>
        <v/>
      </c>
      <c r="V147" s="310" t="str">
        <f t="shared" si="16"/>
        <v/>
      </c>
      <c r="W147" s="295" t="str">
        <f>IF(E147="","",IF(AND(V147="Standard difficulty applied",O147&gt;P147),U147,IF(AND(V147="Low Difficulty - only applicable if all habitat created before losses ⚠",P147&gt;=O147),"Low",VLOOKUP(F147,'G-3 Multipliers'!$A$2:$E$134,4,FALSE))))</f>
        <v/>
      </c>
      <c r="X147" s="314" t="str">
        <f>IFERROR(IF(E147="","",VLOOKUP(W147, 'G-3 Multipliers'!$P$2:$Q$6,2,FALSE)),"")</f>
        <v/>
      </c>
      <c r="Y147" s="317" t="str">
        <f t="shared" si="17"/>
        <v/>
      </c>
      <c r="Z147" s="163"/>
      <c r="AA147" s="164"/>
      <c r="AB147" s="101"/>
      <c r="AE147" s="25" t="str">
        <f t="shared" si="13"/>
        <v/>
      </c>
    </row>
    <row r="148" spans="1:31" ht="14.5" thickBot="1" x14ac:dyDescent="0.35">
      <c r="A148" s="20" t="str">
        <f>IFERROR(INDEX('G-8 Condition Look up'!$I$4:$I$135,MATCH(F148,'G-8 Condition Look up'!$A$4:$A$135,0)),"")</f>
        <v/>
      </c>
      <c r="B148" s="679">
        <v>138</v>
      </c>
      <c r="C148" s="247" t="str">
        <f>IFERROR(INDEX('G-1 All Habitats'!$AG$25:$AG$41,MATCH(D148,'G-1 All Habitats'!AF$25:AF$41,0)),"")</f>
        <v/>
      </c>
      <c r="D148" s="38"/>
      <c r="E148" s="45"/>
      <c r="F148" s="244" t="str">
        <f>IFERROR(INDEX('G-1 All Habitats'!$B$3:$B$135,MATCH(E148,'G-1 All Habitats'!$A$3:$A$135,0)),"")</f>
        <v/>
      </c>
      <c r="G148" s="37"/>
      <c r="H148" s="290" t="str">
        <f>IF(F148="","",VLOOKUP(F148,'G-1 All Habitats'!$B$2:$M$135,10,FALSE))</f>
        <v/>
      </c>
      <c r="I148" s="291" t="str">
        <f>IFERROR(VLOOKUP(H148,'G-1 All Habitats'!$V$3:$W$7,2,FALSE),"")</f>
        <v/>
      </c>
      <c r="J148" s="38"/>
      <c r="K148" s="291" t="str">
        <f>IFERROR(INDEX('G-8 Condition Look up'!$A$3:$H$135,MATCH(F148,'G-8 Condition Look up'!$A$3:$A$135,0),MATCH(J148,'G-8 Condition Look up'!$A$3:$H$3,0)),"")</f>
        <v/>
      </c>
      <c r="L148" s="38"/>
      <c r="M148" s="298" t="str">
        <f>IF(L148="","",IF(VLOOKUP(L148,'G-3 Multipliers'!$L$3:$N$6,2,FALSE)=0,"Spatial Data Missing",VLOOKUP(L148,'G-3 Multipliers'!$L$3:$N$6,2,FALSE)))</f>
        <v/>
      </c>
      <c r="N148" s="296" t="str">
        <f>IF(L148="","",IF(VLOOKUP(L148,'G-3 Multipliers'!$L$3:$N$6,3,FALSE)=0,"Spatial Data Missing",VLOOKUP(L148,'G-3 Multipliers'!$L$3:$N$6,3,FALSE)))</f>
        <v/>
      </c>
      <c r="O148" s="290" t="str">
        <f t="shared" si="12"/>
        <v/>
      </c>
      <c r="P148" s="47"/>
      <c r="Q148" s="47"/>
      <c r="R148" s="298" t="str">
        <f t="shared" si="14"/>
        <v/>
      </c>
      <c r="S148" s="311" t="str">
        <f t="shared" si="15"/>
        <v/>
      </c>
      <c r="T148" s="312" t="str">
        <f>IFERROR(IF(S148="Check Data ⚠","Check Data ⚠",VLOOKUP(S148,'G-4 Temporal multipliers'!$A$4:$C$37,3,FALSE)),"")</f>
        <v/>
      </c>
      <c r="U148" s="313" t="str">
        <f>IF(F148="","",VLOOKUP(F148,'G-3 Multipliers'!$A$2:$E$134,2,FALSE))</f>
        <v/>
      </c>
      <c r="V148" s="310" t="str">
        <f t="shared" si="16"/>
        <v/>
      </c>
      <c r="W148" s="295" t="str">
        <f>IF(E148="","",IF(AND(V148="Standard difficulty applied",O148&gt;P148),U148,IF(AND(V148="Low Difficulty - only applicable if all habitat created before losses ⚠",P148&gt;=O148),"Low",VLOOKUP(F148,'G-3 Multipliers'!$A$2:$E$134,4,FALSE))))</f>
        <v/>
      </c>
      <c r="X148" s="314" t="str">
        <f>IFERROR(IF(E148="","",VLOOKUP(W148, 'G-3 Multipliers'!$P$2:$Q$6,2,FALSE)),"")</f>
        <v/>
      </c>
      <c r="Y148" s="317" t="str">
        <f t="shared" si="17"/>
        <v/>
      </c>
      <c r="Z148" s="163"/>
      <c r="AA148" s="164"/>
      <c r="AB148" s="101"/>
      <c r="AE148" s="25" t="str">
        <f t="shared" si="13"/>
        <v/>
      </c>
    </row>
    <row r="149" spans="1:31" ht="14.5" thickBot="1" x14ac:dyDescent="0.35">
      <c r="A149" s="20" t="str">
        <f>IFERROR(INDEX('G-8 Condition Look up'!$I$4:$I$135,MATCH(F149,'G-8 Condition Look up'!$A$4:$A$135,0)),"")</f>
        <v/>
      </c>
      <c r="B149" s="679">
        <v>139</v>
      </c>
      <c r="C149" s="247" t="str">
        <f>IFERROR(INDEX('G-1 All Habitats'!$AG$25:$AG$41,MATCH(D149,'G-1 All Habitats'!AF$25:AF$41,0)),"")</f>
        <v/>
      </c>
      <c r="D149" s="38"/>
      <c r="E149" s="45"/>
      <c r="F149" s="244" t="str">
        <f>IFERROR(INDEX('G-1 All Habitats'!$B$3:$B$135,MATCH(E149,'G-1 All Habitats'!$A$3:$A$135,0)),"")</f>
        <v/>
      </c>
      <c r="G149" s="37"/>
      <c r="H149" s="290" t="str">
        <f>IF(F149="","",VLOOKUP(F149,'G-1 All Habitats'!$B$2:$M$135,10,FALSE))</f>
        <v/>
      </c>
      <c r="I149" s="291" t="str">
        <f>IFERROR(VLOOKUP(H149,'G-1 All Habitats'!$V$3:$W$7,2,FALSE),"")</f>
        <v/>
      </c>
      <c r="J149" s="38"/>
      <c r="K149" s="291" t="str">
        <f>IFERROR(INDEX('G-8 Condition Look up'!$A$3:$H$135,MATCH(F149,'G-8 Condition Look up'!$A$3:$A$135,0),MATCH(J149,'G-8 Condition Look up'!$A$3:$H$3,0)),"")</f>
        <v/>
      </c>
      <c r="L149" s="38"/>
      <c r="M149" s="298" t="str">
        <f>IF(L149="","",IF(VLOOKUP(L149,'G-3 Multipliers'!$L$3:$N$6,2,FALSE)=0,"Spatial Data Missing",VLOOKUP(L149,'G-3 Multipliers'!$L$3:$N$6,2,FALSE)))</f>
        <v/>
      </c>
      <c r="N149" s="296" t="str">
        <f>IF(L149="","",IF(VLOOKUP(L149,'G-3 Multipliers'!$L$3:$N$6,3,FALSE)=0,"Spatial Data Missing",VLOOKUP(L149,'G-3 Multipliers'!$L$3:$N$6,3,FALSE)))</f>
        <v/>
      </c>
      <c r="O149" s="290" t="str">
        <f t="shared" si="12"/>
        <v/>
      </c>
      <c r="P149" s="47"/>
      <c r="Q149" s="47"/>
      <c r="R149" s="298" t="str">
        <f t="shared" si="14"/>
        <v/>
      </c>
      <c r="S149" s="311" t="str">
        <f t="shared" si="15"/>
        <v/>
      </c>
      <c r="T149" s="312" t="str">
        <f>IFERROR(IF(S149="Check Data ⚠","Check Data ⚠",VLOOKUP(S149,'G-4 Temporal multipliers'!$A$4:$C$37,3,FALSE)),"")</f>
        <v/>
      </c>
      <c r="U149" s="313" t="str">
        <f>IF(F149="","",VLOOKUP(F149,'G-3 Multipliers'!$A$2:$E$134,2,FALSE))</f>
        <v/>
      </c>
      <c r="V149" s="310" t="str">
        <f t="shared" si="16"/>
        <v/>
      </c>
      <c r="W149" s="295" t="str">
        <f>IF(E149="","",IF(AND(V149="Standard difficulty applied",O149&gt;P149),U149,IF(AND(V149="Low Difficulty - only applicable if all habitat created before losses ⚠",P149&gt;=O149),"Low",VLOOKUP(F149,'G-3 Multipliers'!$A$2:$E$134,4,FALSE))))</f>
        <v/>
      </c>
      <c r="X149" s="314" t="str">
        <f>IFERROR(IF(E149="","",VLOOKUP(W149, 'G-3 Multipliers'!$P$2:$Q$6,2,FALSE)),"")</f>
        <v/>
      </c>
      <c r="Y149" s="317" t="str">
        <f t="shared" si="17"/>
        <v/>
      </c>
      <c r="Z149" s="163"/>
      <c r="AA149" s="164"/>
      <c r="AB149" s="101"/>
      <c r="AE149" s="25" t="str">
        <f t="shared" si="13"/>
        <v/>
      </c>
    </row>
    <row r="150" spans="1:31" ht="14.5" thickBot="1" x14ac:dyDescent="0.35">
      <c r="A150" s="20" t="str">
        <f>IFERROR(INDEX('G-8 Condition Look up'!$I$4:$I$135,MATCH(F150,'G-8 Condition Look up'!$A$4:$A$135,0)),"")</f>
        <v/>
      </c>
      <c r="B150" s="679">
        <v>140</v>
      </c>
      <c r="C150" s="247" t="str">
        <f>IFERROR(INDEX('G-1 All Habitats'!$AG$25:$AG$41,MATCH(D150,'G-1 All Habitats'!AF$25:AF$41,0)),"")</f>
        <v/>
      </c>
      <c r="D150" s="38"/>
      <c r="E150" s="45"/>
      <c r="F150" s="244" t="str">
        <f>IFERROR(INDEX('G-1 All Habitats'!$B$3:$B$135,MATCH(E150,'G-1 All Habitats'!$A$3:$A$135,0)),"")</f>
        <v/>
      </c>
      <c r="G150" s="37"/>
      <c r="H150" s="290" t="str">
        <f>IF(F150="","",VLOOKUP(F150,'G-1 All Habitats'!$B$2:$M$135,10,FALSE))</f>
        <v/>
      </c>
      <c r="I150" s="291" t="str">
        <f>IFERROR(VLOOKUP(H150,'G-1 All Habitats'!$V$3:$W$7,2,FALSE),"")</f>
        <v/>
      </c>
      <c r="J150" s="38"/>
      <c r="K150" s="291" t="str">
        <f>IFERROR(INDEX('G-8 Condition Look up'!$A$3:$H$135,MATCH(F150,'G-8 Condition Look up'!$A$3:$A$135,0),MATCH(J150,'G-8 Condition Look up'!$A$3:$H$3,0)),"")</f>
        <v/>
      </c>
      <c r="L150" s="38"/>
      <c r="M150" s="298" t="str">
        <f>IF(L150="","",IF(VLOOKUP(L150,'G-3 Multipliers'!$L$3:$N$6,2,FALSE)=0,"Spatial Data Missing",VLOOKUP(L150,'G-3 Multipliers'!$L$3:$N$6,2,FALSE)))</f>
        <v/>
      </c>
      <c r="N150" s="296" t="str">
        <f>IF(L150="","",IF(VLOOKUP(L150,'G-3 Multipliers'!$L$3:$N$6,3,FALSE)=0,"Spatial Data Missing",VLOOKUP(L150,'G-3 Multipliers'!$L$3:$N$6,3,FALSE)))</f>
        <v/>
      </c>
      <c r="O150" s="290" t="str">
        <f t="shared" si="12"/>
        <v/>
      </c>
      <c r="P150" s="47"/>
      <c r="Q150" s="47"/>
      <c r="R150" s="298" t="str">
        <f t="shared" si="14"/>
        <v/>
      </c>
      <c r="S150" s="311" t="str">
        <f t="shared" si="15"/>
        <v/>
      </c>
      <c r="T150" s="312" t="str">
        <f>IFERROR(IF(S150="Check Data ⚠","Check Data ⚠",VLOOKUP(S150,'G-4 Temporal multipliers'!$A$4:$C$37,3,FALSE)),"")</f>
        <v/>
      </c>
      <c r="U150" s="313" t="str">
        <f>IF(F150="","",VLOOKUP(F150,'G-3 Multipliers'!$A$2:$E$134,2,FALSE))</f>
        <v/>
      </c>
      <c r="V150" s="310" t="str">
        <f t="shared" si="16"/>
        <v/>
      </c>
      <c r="W150" s="295" t="str">
        <f>IF(E150="","",IF(AND(V150="Standard difficulty applied",O150&gt;P150),U150,IF(AND(V150="Low Difficulty - only applicable if all habitat created before losses ⚠",P150&gt;=O150),"Low",VLOOKUP(F150,'G-3 Multipliers'!$A$2:$E$134,4,FALSE))))</f>
        <v/>
      </c>
      <c r="X150" s="314" t="str">
        <f>IFERROR(IF(E150="","",VLOOKUP(W150, 'G-3 Multipliers'!$P$2:$Q$6,2,FALSE)),"")</f>
        <v/>
      </c>
      <c r="Y150" s="317" t="str">
        <f t="shared" si="17"/>
        <v/>
      </c>
      <c r="Z150" s="163"/>
      <c r="AA150" s="164"/>
      <c r="AB150" s="101"/>
      <c r="AE150" s="25" t="str">
        <f t="shared" si="13"/>
        <v/>
      </c>
    </row>
    <row r="151" spans="1:31" ht="14.5" thickBot="1" x14ac:dyDescent="0.35">
      <c r="A151" s="20" t="str">
        <f>IFERROR(INDEX('G-8 Condition Look up'!$I$4:$I$135,MATCH(F151,'G-8 Condition Look up'!$A$4:$A$135,0)),"")</f>
        <v/>
      </c>
      <c r="B151" s="679">
        <v>141</v>
      </c>
      <c r="C151" s="247" t="str">
        <f>IFERROR(INDEX('G-1 All Habitats'!$AG$25:$AG$41,MATCH(D151,'G-1 All Habitats'!AF$25:AF$41,0)),"")</f>
        <v/>
      </c>
      <c r="D151" s="38"/>
      <c r="E151" s="45"/>
      <c r="F151" s="244" t="str">
        <f>IFERROR(INDEX('G-1 All Habitats'!$B$3:$B$135,MATCH(E151,'G-1 All Habitats'!$A$3:$A$135,0)),"")</f>
        <v/>
      </c>
      <c r="G151" s="37"/>
      <c r="H151" s="290" t="str">
        <f>IF(F151="","",VLOOKUP(F151,'G-1 All Habitats'!$B$2:$M$135,10,FALSE))</f>
        <v/>
      </c>
      <c r="I151" s="291" t="str">
        <f>IFERROR(VLOOKUP(H151,'G-1 All Habitats'!$V$3:$W$7,2,FALSE),"")</f>
        <v/>
      </c>
      <c r="J151" s="38"/>
      <c r="K151" s="291" t="str">
        <f>IFERROR(INDEX('G-8 Condition Look up'!$A$3:$H$135,MATCH(F151,'G-8 Condition Look up'!$A$3:$A$135,0),MATCH(J151,'G-8 Condition Look up'!$A$3:$H$3,0)),"")</f>
        <v/>
      </c>
      <c r="L151" s="38"/>
      <c r="M151" s="298" t="str">
        <f>IF(L151="","",IF(VLOOKUP(L151,'G-3 Multipliers'!$L$3:$N$6,2,FALSE)=0,"Spatial Data Missing",VLOOKUP(L151,'G-3 Multipliers'!$L$3:$N$6,2,FALSE)))</f>
        <v/>
      </c>
      <c r="N151" s="296" t="str">
        <f>IF(L151="","",IF(VLOOKUP(L151,'G-3 Multipliers'!$L$3:$N$6,3,FALSE)=0,"Spatial Data Missing",VLOOKUP(L151,'G-3 Multipliers'!$L$3:$N$6,3,FALSE)))</f>
        <v/>
      </c>
      <c r="O151" s="290" t="str">
        <f t="shared" si="12"/>
        <v/>
      </c>
      <c r="P151" s="47"/>
      <c r="Q151" s="47"/>
      <c r="R151" s="298" t="str">
        <f t="shared" si="14"/>
        <v/>
      </c>
      <c r="S151" s="311" t="str">
        <f t="shared" si="15"/>
        <v/>
      </c>
      <c r="T151" s="312" t="str">
        <f>IFERROR(IF(S151="Check Data ⚠","Check Data ⚠",VLOOKUP(S151,'G-4 Temporal multipliers'!$A$4:$C$37,3,FALSE)),"")</f>
        <v/>
      </c>
      <c r="U151" s="313" t="str">
        <f>IF(F151="","",VLOOKUP(F151,'G-3 Multipliers'!$A$2:$E$134,2,FALSE))</f>
        <v/>
      </c>
      <c r="V151" s="310" t="str">
        <f t="shared" si="16"/>
        <v/>
      </c>
      <c r="W151" s="295" t="str">
        <f>IF(E151="","",IF(AND(V151="Standard difficulty applied",O151&gt;P151),U151,IF(AND(V151="Low Difficulty - only applicable if all habitat created before losses ⚠",P151&gt;=O151),"Low",VLOOKUP(F151,'G-3 Multipliers'!$A$2:$E$134,4,FALSE))))</f>
        <v/>
      </c>
      <c r="X151" s="314" t="str">
        <f>IFERROR(IF(E151="","",VLOOKUP(W151, 'G-3 Multipliers'!$P$2:$Q$6,2,FALSE)),"")</f>
        <v/>
      </c>
      <c r="Y151" s="317" t="str">
        <f t="shared" si="17"/>
        <v/>
      </c>
      <c r="Z151" s="163"/>
      <c r="AA151" s="164"/>
      <c r="AB151" s="101"/>
      <c r="AE151" s="25" t="str">
        <f t="shared" si="13"/>
        <v/>
      </c>
    </row>
    <row r="152" spans="1:31" ht="14.5" thickBot="1" x14ac:dyDescent="0.35">
      <c r="A152" s="20" t="str">
        <f>IFERROR(INDEX('G-8 Condition Look up'!$I$4:$I$135,MATCH(F152,'G-8 Condition Look up'!$A$4:$A$135,0)),"")</f>
        <v/>
      </c>
      <c r="B152" s="679">
        <v>142</v>
      </c>
      <c r="C152" s="247" t="str">
        <f>IFERROR(INDEX('G-1 All Habitats'!$AG$25:$AG$41,MATCH(D152,'G-1 All Habitats'!AF$25:AF$41,0)),"")</f>
        <v/>
      </c>
      <c r="D152" s="38"/>
      <c r="E152" s="45"/>
      <c r="F152" s="244" t="str">
        <f>IFERROR(INDEX('G-1 All Habitats'!$B$3:$B$135,MATCH(E152,'G-1 All Habitats'!$A$3:$A$135,0)),"")</f>
        <v/>
      </c>
      <c r="G152" s="37"/>
      <c r="H152" s="290" t="str">
        <f>IF(F152="","",VLOOKUP(F152,'G-1 All Habitats'!$B$2:$M$135,10,FALSE))</f>
        <v/>
      </c>
      <c r="I152" s="291" t="str">
        <f>IFERROR(VLOOKUP(H152,'G-1 All Habitats'!$V$3:$W$7,2,FALSE),"")</f>
        <v/>
      </c>
      <c r="J152" s="38"/>
      <c r="K152" s="291" t="str">
        <f>IFERROR(INDEX('G-8 Condition Look up'!$A$3:$H$135,MATCH(F152,'G-8 Condition Look up'!$A$3:$A$135,0),MATCH(J152,'G-8 Condition Look up'!$A$3:$H$3,0)),"")</f>
        <v/>
      </c>
      <c r="L152" s="38"/>
      <c r="M152" s="298" t="str">
        <f>IF(L152="","",IF(VLOOKUP(L152,'G-3 Multipliers'!$L$3:$N$6,2,FALSE)=0,"Spatial Data Missing",VLOOKUP(L152,'G-3 Multipliers'!$L$3:$N$6,2,FALSE)))</f>
        <v/>
      </c>
      <c r="N152" s="296" t="str">
        <f>IF(L152="","",IF(VLOOKUP(L152,'G-3 Multipliers'!$L$3:$N$6,3,FALSE)=0,"Spatial Data Missing",VLOOKUP(L152,'G-3 Multipliers'!$L$3:$N$6,3,FALSE)))</f>
        <v/>
      </c>
      <c r="O152" s="290" t="str">
        <f t="shared" si="12"/>
        <v/>
      </c>
      <c r="P152" s="47"/>
      <c r="Q152" s="47"/>
      <c r="R152" s="298" t="str">
        <f t="shared" si="14"/>
        <v/>
      </c>
      <c r="S152" s="311" t="str">
        <f t="shared" si="15"/>
        <v/>
      </c>
      <c r="T152" s="312" t="str">
        <f>IFERROR(IF(S152="Check Data ⚠","Check Data ⚠",VLOOKUP(S152,'G-4 Temporal multipliers'!$A$4:$C$37,3,FALSE)),"")</f>
        <v/>
      </c>
      <c r="U152" s="313" t="str">
        <f>IF(F152="","",VLOOKUP(F152,'G-3 Multipliers'!$A$2:$E$134,2,FALSE))</f>
        <v/>
      </c>
      <c r="V152" s="310" t="str">
        <f t="shared" si="16"/>
        <v/>
      </c>
      <c r="W152" s="295" t="str">
        <f>IF(E152="","",IF(AND(V152="Standard difficulty applied",O152&gt;P152),U152,IF(AND(V152="Low Difficulty - only applicable if all habitat created before losses ⚠",P152&gt;=O152),"Low",VLOOKUP(F152,'G-3 Multipliers'!$A$2:$E$134,4,FALSE))))</f>
        <v/>
      </c>
      <c r="X152" s="314" t="str">
        <f>IFERROR(IF(E152="","",VLOOKUP(W152, 'G-3 Multipliers'!$P$2:$Q$6,2,FALSE)),"")</f>
        <v/>
      </c>
      <c r="Y152" s="317" t="str">
        <f t="shared" si="17"/>
        <v/>
      </c>
      <c r="Z152" s="163"/>
      <c r="AA152" s="164"/>
      <c r="AB152" s="101"/>
      <c r="AE152" s="25" t="str">
        <f t="shared" si="13"/>
        <v/>
      </c>
    </row>
    <row r="153" spans="1:31" ht="14.5" thickBot="1" x14ac:dyDescent="0.35">
      <c r="A153" s="20" t="str">
        <f>IFERROR(INDEX('G-8 Condition Look up'!$I$4:$I$135,MATCH(F153,'G-8 Condition Look up'!$A$4:$A$135,0)),"")</f>
        <v/>
      </c>
      <c r="B153" s="679">
        <v>143</v>
      </c>
      <c r="C153" s="247" t="str">
        <f>IFERROR(INDEX('G-1 All Habitats'!$AG$25:$AG$41,MATCH(D153,'G-1 All Habitats'!AF$25:AF$41,0)),"")</f>
        <v/>
      </c>
      <c r="D153" s="38"/>
      <c r="E153" s="45"/>
      <c r="F153" s="244" t="str">
        <f>IFERROR(INDEX('G-1 All Habitats'!$B$3:$B$135,MATCH(E153,'G-1 All Habitats'!$A$3:$A$135,0)),"")</f>
        <v/>
      </c>
      <c r="G153" s="37"/>
      <c r="H153" s="290" t="str">
        <f>IF(F153="","",VLOOKUP(F153,'G-1 All Habitats'!$B$2:$M$135,10,FALSE))</f>
        <v/>
      </c>
      <c r="I153" s="291" t="str">
        <f>IFERROR(VLOOKUP(H153,'G-1 All Habitats'!$V$3:$W$7,2,FALSE),"")</f>
        <v/>
      </c>
      <c r="J153" s="38"/>
      <c r="K153" s="291" t="str">
        <f>IFERROR(INDEX('G-8 Condition Look up'!$A$3:$H$135,MATCH(F153,'G-8 Condition Look up'!$A$3:$A$135,0),MATCH(J153,'G-8 Condition Look up'!$A$3:$H$3,0)),"")</f>
        <v/>
      </c>
      <c r="L153" s="38"/>
      <c r="M153" s="298" t="str">
        <f>IF(L153="","",IF(VLOOKUP(L153,'G-3 Multipliers'!$L$3:$N$6,2,FALSE)=0,"Spatial Data Missing",VLOOKUP(L153,'G-3 Multipliers'!$L$3:$N$6,2,FALSE)))</f>
        <v/>
      </c>
      <c r="N153" s="296" t="str">
        <f>IF(L153="","",IF(VLOOKUP(L153,'G-3 Multipliers'!$L$3:$N$6,3,FALSE)=0,"Spatial Data Missing",VLOOKUP(L153,'G-3 Multipliers'!$L$3:$N$6,3,FALSE)))</f>
        <v/>
      </c>
      <c r="O153" s="290" t="str">
        <f t="shared" si="12"/>
        <v/>
      </c>
      <c r="P153" s="47"/>
      <c r="Q153" s="47"/>
      <c r="R153" s="298" t="str">
        <f t="shared" si="14"/>
        <v/>
      </c>
      <c r="S153" s="311" t="str">
        <f t="shared" si="15"/>
        <v/>
      </c>
      <c r="T153" s="312" t="str">
        <f>IFERROR(IF(S153="Check Data ⚠","Check Data ⚠",VLOOKUP(S153,'G-4 Temporal multipliers'!$A$4:$C$37,3,FALSE)),"")</f>
        <v/>
      </c>
      <c r="U153" s="313" t="str">
        <f>IF(F153="","",VLOOKUP(F153,'G-3 Multipliers'!$A$2:$E$134,2,FALSE))</f>
        <v/>
      </c>
      <c r="V153" s="310" t="str">
        <f t="shared" si="16"/>
        <v/>
      </c>
      <c r="W153" s="295" t="str">
        <f>IF(E153="","",IF(AND(V153="Standard difficulty applied",O153&gt;P153),U153,IF(AND(V153="Low Difficulty - only applicable if all habitat created before losses ⚠",P153&gt;=O153),"Low",VLOOKUP(F153,'G-3 Multipliers'!$A$2:$E$134,4,FALSE))))</f>
        <v/>
      </c>
      <c r="X153" s="314" t="str">
        <f>IFERROR(IF(E153="","",VLOOKUP(W153, 'G-3 Multipliers'!$P$2:$Q$6,2,FALSE)),"")</f>
        <v/>
      </c>
      <c r="Y153" s="317" t="str">
        <f t="shared" si="17"/>
        <v/>
      </c>
      <c r="Z153" s="163"/>
      <c r="AA153" s="164"/>
      <c r="AB153" s="101"/>
      <c r="AE153" s="25" t="str">
        <f t="shared" si="13"/>
        <v/>
      </c>
    </row>
    <row r="154" spans="1:31" ht="14.5" thickBot="1" x14ac:dyDescent="0.35">
      <c r="A154" s="20" t="str">
        <f>IFERROR(INDEX('G-8 Condition Look up'!$I$4:$I$135,MATCH(F154,'G-8 Condition Look up'!$A$4:$A$135,0)),"")</f>
        <v/>
      </c>
      <c r="B154" s="679">
        <v>144</v>
      </c>
      <c r="C154" s="247" t="str">
        <f>IFERROR(INDEX('G-1 All Habitats'!$AG$25:$AG$41,MATCH(D154,'G-1 All Habitats'!AF$25:AF$41,0)),"")</f>
        <v/>
      </c>
      <c r="D154" s="38"/>
      <c r="E154" s="45"/>
      <c r="F154" s="244" t="str">
        <f>IFERROR(INDEX('G-1 All Habitats'!$B$3:$B$135,MATCH(E154,'G-1 All Habitats'!$A$3:$A$135,0)),"")</f>
        <v/>
      </c>
      <c r="G154" s="37"/>
      <c r="H154" s="290" t="str">
        <f>IF(F154="","",VLOOKUP(F154,'G-1 All Habitats'!$B$2:$M$135,10,FALSE))</f>
        <v/>
      </c>
      <c r="I154" s="291" t="str">
        <f>IFERROR(VLOOKUP(H154,'G-1 All Habitats'!$V$3:$W$7,2,FALSE),"")</f>
        <v/>
      </c>
      <c r="J154" s="38"/>
      <c r="K154" s="291" t="str">
        <f>IFERROR(INDEX('G-8 Condition Look up'!$A$3:$H$135,MATCH(F154,'G-8 Condition Look up'!$A$3:$A$135,0),MATCH(J154,'G-8 Condition Look up'!$A$3:$H$3,0)),"")</f>
        <v/>
      </c>
      <c r="L154" s="38"/>
      <c r="M154" s="298" t="str">
        <f>IF(L154="","",IF(VLOOKUP(L154,'G-3 Multipliers'!$L$3:$N$6,2,FALSE)=0,"Spatial Data Missing",VLOOKUP(L154,'G-3 Multipliers'!$L$3:$N$6,2,FALSE)))</f>
        <v/>
      </c>
      <c r="N154" s="296" t="str">
        <f>IF(L154="","",IF(VLOOKUP(L154,'G-3 Multipliers'!$L$3:$N$6,3,FALSE)=0,"Spatial Data Missing",VLOOKUP(L154,'G-3 Multipliers'!$L$3:$N$6,3,FALSE)))</f>
        <v/>
      </c>
      <c r="O154" s="290" t="str">
        <f t="shared" si="12"/>
        <v/>
      </c>
      <c r="P154" s="47"/>
      <c r="Q154" s="47"/>
      <c r="R154" s="298" t="str">
        <f t="shared" si="14"/>
        <v/>
      </c>
      <c r="S154" s="311" t="str">
        <f t="shared" si="15"/>
        <v/>
      </c>
      <c r="T154" s="312" t="str">
        <f>IFERROR(IF(S154="Check Data ⚠","Check Data ⚠",VLOOKUP(S154,'G-4 Temporal multipliers'!$A$4:$C$37,3,FALSE)),"")</f>
        <v/>
      </c>
      <c r="U154" s="313" t="str">
        <f>IF(F154="","",VLOOKUP(F154,'G-3 Multipliers'!$A$2:$E$134,2,FALSE))</f>
        <v/>
      </c>
      <c r="V154" s="310" t="str">
        <f t="shared" si="16"/>
        <v/>
      </c>
      <c r="W154" s="295" t="str">
        <f>IF(E154="","",IF(AND(V154="Standard difficulty applied",O154&gt;P154),U154,IF(AND(V154="Low Difficulty - only applicable if all habitat created before losses ⚠",P154&gt;=O154),"Low",VLOOKUP(F154,'G-3 Multipliers'!$A$2:$E$134,4,FALSE))))</f>
        <v/>
      </c>
      <c r="X154" s="314" t="str">
        <f>IFERROR(IF(E154="","",VLOOKUP(W154, 'G-3 Multipliers'!$P$2:$Q$6,2,FALSE)),"")</f>
        <v/>
      </c>
      <c r="Y154" s="317" t="str">
        <f t="shared" si="17"/>
        <v/>
      </c>
      <c r="Z154" s="163"/>
      <c r="AA154" s="164"/>
      <c r="AB154" s="101"/>
      <c r="AE154" s="25" t="str">
        <f t="shared" si="13"/>
        <v/>
      </c>
    </row>
    <row r="155" spans="1:31" ht="14.5" thickBot="1" x14ac:dyDescent="0.35">
      <c r="A155" s="20" t="str">
        <f>IFERROR(INDEX('G-8 Condition Look up'!$I$4:$I$135,MATCH(F155,'G-8 Condition Look up'!$A$4:$A$135,0)),"")</f>
        <v/>
      </c>
      <c r="B155" s="679">
        <v>145</v>
      </c>
      <c r="C155" s="247" t="str">
        <f>IFERROR(INDEX('G-1 All Habitats'!$AG$25:$AG$41,MATCH(D155,'G-1 All Habitats'!AF$25:AF$41,0)),"")</f>
        <v/>
      </c>
      <c r="D155" s="38"/>
      <c r="E155" s="45"/>
      <c r="F155" s="244" t="str">
        <f>IFERROR(INDEX('G-1 All Habitats'!$B$3:$B$135,MATCH(E155,'G-1 All Habitats'!$A$3:$A$135,0)),"")</f>
        <v/>
      </c>
      <c r="G155" s="37"/>
      <c r="H155" s="290" t="str">
        <f>IF(F155="","",VLOOKUP(F155,'G-1 All Habitats'!$B$2:$M$135,10,FALSE))</f>
        <v/>
      </c>
      <c r="I155" s="291" t="str">
        <f>IFERROR(VLOOKUP(H155,'G-1 All Habitats'!$V$3:$W$7,2,FALSE),"")</f>
        <v/>
      </c>
      <c r="J155" s="38"/>
      <c r="K155" s="291" t="str">
        <f>IFERROR(INDEX('G-8 Condition Look up'!$A$3:$H$135,MATCH(F155,'G-8 Condition Look up'!$A$3:$A$135,0),MATCH(J155,'G-8 Condition Look up'!$A$3:$H$3,0)),"")</f>
        <v/>
      </c>
      <c r="L155" s="38"/>
      <c r="M155" s="298" t="str">
        <f>IF(L155="","",IF(VLOOKUP(L155,'G-3 Multipliers'!$L$3:$N$6,2,FALSE)=0,"Spatial Data Missing",VLOOKUP(L155,'G-3 Multipliers'!$L$3:$N$6,2,FALSE)))</f>
        <v/>
      </c>
      <c r="N155" s="296" t="str">
        <f>IF(L155="","",IF(VLOOKUP(L155,'G-3 Multipliers'!$L$3:$N$6,3,FALSE)=0,"Spatial Data Missing",VLOOKUP(L155,'G-3 Multipliers'!$L$3:$N$6,3,FALSE)))</f>
        <v/>
      </c>
      <c r="O155" s="290" t="str">
        <f t="shared" si="12"/>
        <v/>
      </c>
      <c r="P155" s="47"/>
      <c r="Q155" s="47"/>
      <c r="R155" s="298" t="str">
        <f t="shared" si="14"/>
        <v/>
      </c>
      <c r="S155" s="311" t="str">
        <f t="shared" si="15"/>
        <v/>
      </c>
      <c r="T155" s="312" t="str">
        <f>IFERROR(IF(S155="Check Data ⚠","Check Data ⚠",VLOOKUP(S155,'G-4 Temporal multipliers'!$A$4:$C$37,3,FALSE)),"")</f>
        <v/>
      </c>
      <c r="U155" s="313" t="str">
        <f>IF(F155="","",VLOOKUP(F155,'G-3 Multipliers'!$A$2:$E$134,2,FALSE))</f>
        <v/>
      </c>
      <c r="V155" s="310" t="str">
        <f t="shared" si="16"/>
        <v/>
      </c>
      <c r="W155" s="295" t="str">
        <f>IF(E155="","",IF(AND(V155="Standard difficulty applied",O155&gt;P155),U155,IF(AND(V155="Low Difficulty - only applicable if all habitat created before losses ⚠",P155&gt;=O155),"Low",VLOOKUP(F155,'G-3 Multipliers'!$A$2:$E$134,4,FALSE))))</f>
        <v/>
      </c>
      <c r="X155" s="314" t="str">
        <f>IFERROR(IF(E155="","",VLOOKUP(W155, 'G-3 Multipliers'!$P$2:$Q$6,2,FALSE)),"")</f>
        <v/>
      </c>
      <c r="Y155" s="317" t="str">
        <f t="shared" si="17"/>
        <v/>
      </c>
      <c r="Z155" s="163"/>
      <c r="AA155" s="164"/>
      <c r="AB155" s="101"/>
      <c r="AE155" s="25" t="str">
        <f t="shared" si="13"/>
        <v/>
      </c>
    </row>
    <row r="156" spans="1:31" ht="14.5" thickBot="1" x14ac:dyDescent="0.35">
      <c r="A156" s="20" t="str">
        <f>IFERROR(INDEX('G-8 Condition Look up'!$I$4:$I$135,MATCH(F156,'G-8 Condition Look up'!$A$4:$A$135,0)),"")</f>
        <v/>
      </c>
      <c r="B156" s="679">
        <v>146</v>
      </c>
      <c r="C156" s="247" t="str">
        <f>IFERROR(INDEX('G-1 All Habitats'!$AG$25:$AG$41,MATCH(D156,'G-1 All Habitats'!AF$25:AF$41,0)),"")</f>
        <v/>
      </c>
      <c r="D156" s="38"/>
      <c r="E156" s="45"/>
      <c r="F156" s="244" t="str">
        <f>IFERROR(INDEX('G-1 All Habitats'!$B$3:$B$135,MATCH(E156,'G-1 All Habitats'!$A$3:$A$135,0)),"")</f>
        <v/>
      </c>
      <c r="G156" s="37"/>
      <c r="H156" s="290" t="str">
        <f>IF(F156="","",VLOOKUP(F156,'G-1 All Habitats'!$B$2:$M$135,10,FALSE))</f>
        <v/>
      </c>
      <c r="I156" s="291" t="str">
        <f>IFERROR(VLOOKUP(H156,'G-1 All Habitats'!$V$3:$W$7,2,FALSE),"")</f>
        <v/>
      </c>
      <c r="J156" s="38"/>
      <c r="K156" s="291" t="str">
        <f>IFERROR(INDEX('G-8 Condition Look up'!$A$3:$H$135,MATCH(F156,'G-8 Condition Look up'!$A$3:$A$135,0),MATCH(J156,'G-8 Condition Look up'!$A$3:$H$3,0)),"")</f>
        <v/>
      </c>
      <c r="L156" s="38"/>
      <c r="M156" s="298" t="str">
        <f>IF(L156="","",IF(VLOOKUP(L156,'G-3 Multipliers'!$L$3:$N$6,2,FALSE)=0,"Spatial Data Missing",VLOOKUP(L156,'G-3 Multipliers'!$L$3:$N$6,2,FALSE)))</f>
        <v/>
      </c>
      <c r="N156" s="296" t="str">
        <f>IF(L156="","",IF(VLOOKUP(L156,'G-3 Multipliers'!$L$3:$N$6,3,FALSE)=0,"Spatial Data Missing",VLOOKUP(L156,'G-3 Multipliers'!$L$3:$N$6,3,FALSE)))</f>
        <v/>
      </c>
      <c r="O156" s="290" t="str">
        <f t="shared" si="12"/>
        <v/>
      </c>
      <c r="P156" s="47"/>
      <c r="Q156" s="47"/>
      <c r="R156" s="298" t="str">
        <f t="shared" si="14"/>
        <v/>
      </c>
      <c r="S156" s="311" t="str">
        <f t="shared" si="15"/>
        <v/>
      </c>
      <c r="T156" s="312" t="str">
        <f>IFERROR(IF(S156="Check Data ⚠","Check Data ⚠",VLOOKUP(S156,'G-4 Temporal multipliers'!$A$4:$C$37,3,FALSE)),"")</f>
        <v/>
      </c>
      <c r="U156" s="313" t="str">
        <f>IF(F156="","",VLOOKUP(F156,'G-3 Multipliers'!$A$2:$E$134,2,FALSE))</f>
        <v/>
      </c>
      <c r="V156" s="310" t="str">
        <f t="shared" si="16"/>
        <v/>
      </c>
      <c r="W156" s="295" t="str">
        <f>IF(E156="","",IF(AND(V156="Standard difficulty applied",O156&gt;P156),U156,IF(AND(V156="Low Difficulty - only applicable if all habitat created before losses ⚠",P156&gt;=O156),"Low",VLOOKUP(F156,'G-3 Multipliers'!$A$2:$E$134,4,FALSE))))</f>
        <v/>
      </c>
      <c r="X156" s="314" t="str">
        <f>IFERROR(IF(E156="","",VLOOKUP(W156, 'G-3 Multipliers'!$P$2:$Q$6,2,FALSE)),"")</f>
        <v/>
      </c>
      <c r="Y156" s="317" t="str">
        <f t="shared" si="17"/>
        <v/>
      </c>
      <c r="Z156" s="163"/>
      <c r="AA156" s="164"/>
      <c r="AB156" s="101"/>
      <c r="AE156" s="25" t="str">
        <f t="shared" si="13"/>
        <v/>
      </c>
    </row>
    <row r="157" spans="1:31" ht="14.5" thickBot="1" x14ac:dyDescent="0.35">
      <c r="A157" s="20" t="str">
        <f>IFERROR(INDEX('G-8 Condition Look up'!$I$4:$I$135,MATCH(F157,'G-8 Condition Look up'!$A$4:$A$135,0)),"")</f>
        <v/>
      </c>
      <c r="B157" s="679">
        <v>147</v>
      </c>
      <c r="C157" s="247" t="str">
        <f>IFERROR(INDEX('G-1 All Habitats'!$AG$25:$AG$41,MATCH(D157,'G-1 All Habitats'!AF$25:AF$41,0)),"")</f>
        <v/>
      </c>
      <c r="D157" s="38"/>
      <c r="E157" s="45"/>
      <c r="F157" s="244" t="str">
        <f>IFERROR(INDEX('G-1 All Habitats'!$B$3:$B$135,MATCH(E157,'G-1 All Habitats'!$A$3:$A$135,0)),"")</f>
        <v/>
      </c>
      <c r="G157" s="37"/>
      <c r="H157" s="290" t="str">
        <f>IF(F157="","",VLOOKUP(F157,'G-1 All Habitats'!$B$2:$M$135,10,FALSE))</f>
        <v/>
      </c>
      <c r="I157" s="291" t="str">
        <f>IFERROR(VLOOKUP(H157,'G-1 All Habitats'!$V$3:$W$7,2,FALSE),"")</f>
        <v/>
      </c>
      <c r="J157" s="38"/>
      <c r="K157" s="291" t="str">
        <f>IFERROR(INDEX('G-8 Condition Look up'!$A$3:$H$135,MATCH(F157,'G-8 Condition Look up'!$A$3:$A$135,0),MATCH(J157,'G-8 Condition Look up'!$A$3:$H$3,0)),"")</f>
        <v/>
      </c>
      <c r="L157" s="38"/>
      <c r="M157" s="298" t="str">
        <f>IF(L157="","",IF(VLOOKUP(L157,'G-3 Multipliers'!$L$3:$N$6,2,FALSE)=0,"Spatial Data Missing",VLOOKUP(L157,'G-3 Multipliers'!$L$3:$N$6,2,FALSE)))</f>
        <v/>
      </c>
      <c r="N157" s="296" t="str">
        <f>IF(L157="","",IF(VLOOKUP(L157,'G-3 Multipliers'!$L$3:$N$6,3,FALSE)=0,"Spatial Data Missing",VLOOKUP(L157,'G-3 Multipliers'!$L$3:$N$6,3,FALSE)))</f>
        <v/>
      </c>
      <c r="O157" s="290" t="str">
        <f t="shared" si="12"/>
        <v/>
      </c>
      <c r="P157" s="47"/>
      <c r="Q157" s="47"/>
      <c r="R157" s="298" t="str">
        <f t="shared" si="14"/>
        <v/>
      </c>
      <c r="S157" s="311" t="str">
        <f t="shared" si="15"/>
        <v/>
      </c>
      <c r="T157" s="312" t="str">
        <f>IFERROR(IF(S157="Check Data ⚠","Check Data ⚠",VLOOKUP(S157,'G-4 Temporal multipliers'!$A$4:$C$37,3,FALSE)),"")</f>
        <v/>
      </c>
      <c r="U157" s="313" t="str">
        <f>IF(F157="","",VLOOKUP(F157,'G-3 Multipliers'!$A$2:$E$134,2,FALSE))</f>
        <v/>
      </c>
      <c r="V157" s="310" t="str">
        <f t="shared" si="16"/>
        <v/>
      </c>
      <c r="W157" s="295" t="str">
        <f>IF(E157="","",IF(AND(V157="Standard difficulty applied",O157&gt;P157),U157,IF(AND(V157="Low Difficulty - only applicable if all habitat created before losses ⚠",P157&gt;=O157),"Low",VLOOKUP(F157,'G-3 Multipliers'!$A$2:$E$134,4,FALSE))))</f>
        <v/>
      </c>
      <c r="X157" s="314" t="str">
        <f>IFERROR(IF(E157="","",VLOOKUP(W157, 'G-3 Multipliers'!$P$2:$Q$6,2,FALSE)),"")</f>
        <v/>
      </c>
      <c r="Y157" s="317" t="str">
        <f t="shared" si="17"/>
        <v/>
      </c>
      <c r="Z157" s="163"/>
      <c r="AA157" s="164"/>
      <c r="AB157" s="101"/>
      <c r="AE157" s="25" t="str">
        <f t="shared" si="13"/>
        <v/>
      </c>
    </row>
    <row r="158" spans="1:31" ht="14.5" thickBot="1" x14ac:dyDescent="0.35">
      <c r="A158" s="20" t="str">
        <f>IFERROR(INDEX('G-8 Condition Look up'!$I$4:$I$135,MATCH(F158,'G-8 Condition Look up'!$A$4:$A$135,0)),"")</f>
        <v/>
      </c>
      <c r="B158" s="679">
        <v>148</v>
      </c>
      <c r="C158" s="247" t="str">
        <f>IFERROR(INDEX('G-1 All Habitats'!$AG$25:$AG$41,MATCH(D158,'G-1 All Habitats'!AF$25:AF$41,0)),"")</f>
        <v/>
      </c>
      <c r="D158" s="38"/>
      <c r="E158" s="45"/>
      <c r="F158" s="244" t="str">
        <f>IFERROR(INDEX('G-1 All Habitats'!$B$3:$B$135,MATCH(E158,'G-1 All Habitats'!$A$3:$A$135,0)),"")</f>
        <v/>
      </c>
      <c r="G158" s="37"/>
      <c r="H158" s="290" t="str">
        <f>IF(F158="","",VLOOKUP(F158,'G-1 All Habitats'!$B$2:$M$135,10,FALSE))</f>
        <v/>
      </c>
      <c r="I158" s="291" t="str">
        <f>IFERROR(VLOOKUP(H158,'G-1 All Habitats'!$V$3:$W$7,2,FALSE),"")</f>
        <v/>
      </c>
      <c r="J158" s="38"/>
      <c r="K158" s="291" t="str">
        <f>IFERROR(INDEX('G-8 Condition Look up'!$A$3:$H$135,MATCH(F158,'G-8 Condition Look up'!$A$3:$A$135,0),MATCH(J158,'G-8 Condition Look up'!$A$3:$H$3,0)),"")</f>
        <v/>
      </c>
      <c r="L158" s="38"/>
      <c r="M158" s="298" t="str">
        <f>IF(L158="","",IF(VLOOKUP(L158,'G-3 Multipliers'!$L$3:$N$6,2,FALSE)=0,"Spatial Data Missing",VLOOKUP(L158,'G-3 Multipliers'!$L$3:$N$6,2,FALSE)))</f>
        <v/>
      </c>
      <c r="N158" s="296" t="str">
        <f>IF(L158="","",IF(VLOOKUP(L158,'G-3 Multipliers'!$L$3:$N$6,3,FALSE)=0,"Spatial Data Missing",VLOOKUP(L158,'G-3 Multipliers'!$L$3:$N$6,3,FALSE)))</f>
        <v/>
      </c>
      <c r="O158" s="290" t="str">
        <f t="shared" si="12"/>
        <v/>
      </c>
      <c r="P158" s="47"/>
      <c r="Q158" s="47"/>
      <c r="R158" s="298" t="str">
        <f t="shared" si="14"/>
        <v/>
      </c>
      <c r="S158" s="311" t="str">
        <f t="shared" si="15"/>
        <v/>
      </c>
      <c r="T158" s="312" t="str">
        <f>IFERROR(IF(S158="Check Data ⚠","Check Data ⚠",VLOOKUP(S158,'G-4 Temporal multipliers'!$A$4:$C$37,3,FALSE)),"")</f>
        <v/>
      </c>
      <c r="U158" s="313" t="str">
        <f>IF(F158="","",VLOOKUP(F158,'G-3 Multipliers'!$A$2:$E$134,2,FALSE))</f>
        <v/>
      </c>
      <c r="V158" s="310" t="str">
        <f t="shared" si="16"/>
        <v/>
      </c>
      <c r="W158" s="295" t="str">
        <f>IF(E158="","",IF(AND(V158="Standard difficulty applied",O158&gt;P158),U158,IF(AND(V158="Low Difficulty - only applicable if all habitat created before losses ⚠",P158&gt;=O158),"Low",VLOOKUP(F158,'G-3 Multipliers'!$A$2:$E$134,4,FALSE))))</f>
        <v/>
      </c>
      <c r="X158" s="314" t="str">
        <f>IFERROR(IF(E158="","",VLOOKUP(W158, 'G-3 Multipliers'!$P$2:$Q$6,2,FALSE)),"")</f>
        <v/>
      </c>
      <c r="Y158" s="317" t="str">
        <f t="shared" si="17"/>
        <v/>
      </c>
      <c r="Z158" s="163"/>
      <c r="AA158" s="164"/>
      <c r="AB158" s="101"/>
      <c r="AE158" s="25" t="str">
        <f t="shared" si="13"/>
        <v/>
      </c>
    </row>
    <row r="159" spans="1:31" ht="14.5" thickBot="1" x14ac:dyDescent="0.35">
      <c r="A159" s="20" t="str">
        <f>IFERROR(INDEX('G-8 Condition Look up'!$I$4:$I$135,MATCH(F159,'G-8 Condition Look up'!$A$4:$A$135,0)),"")</f>
        <v/>
      </c>
      <c r="B159" s="679">
        <v>149</v>
      </c>
      <c r="C159" s="247" t="str">
        <f>IFERROR(INDEX('G-1 All Habitats'!$AG$25:$AG$41,MATCH(D159,'G-1 All Habitats'!AF$25:AF$41,0)),"")</f>
        <v/>
      </c>
      <c r="D159" s="38"/>
      <c r="E159" s="45"/>
      <c r="F159" s="244" t="str">
        <f>IFERROR(INDEX('G-1 All Habitats'!$B$3:$B$135,MATCH(E159,'G-1 All Habitats'!$A$3:$A$135,0)),"")</f>
        <v/>
      </c>
      <c r="G159" s="37"/>
      <c r="H159" s="290" t="str">
        <f>IF(F159="","",VLOOKUP(F159,'G-1 All Habitats'!$B$2:$M$135,10,FALSE))</f>
        <v/>
      </c>
      <c r="I159" s="291" t="str">
        <f>IFERROR(VLOOKUP(H159,'G-1 All Habitats'!$V$3:$W$7,2,FALSE),"")</f>
        <v/>
      </c>
      <c r="J159" s="38"/>
      <c r="K159" s="291" t="str">
        <f>IFERROR(INDEX('G-8 Condition Look up'!$A$3:$H$135,MATCH(F159,'G-8 Condition Look up'!$A$3:$A$135,0),MATCH(J159,'G-8 Condition Look up'!$A$3:$H$3,0)),"")</f>
        <v/>
      </c>
      <c r="L159" s="38"/>
      <c r="M159" s="298" t="str">
        <f>IF(L159="","",IF(VLOOKUP(L159,'G-3 Multipliers'!$L$3:$N$6,2,FALSE)=0,"Spatial Data Missing",VLOOKUP(L159,'G-3 Multipliers'!$L$3:$N$6,2,FALSE)))</f>
        <v/>
      </c>
      <c r="N159" s="296" t="str">
        <f>IF(L159="","",IF(VLOOKUP(L159,'G-3 Multipliers'!$L$3:$N$6,3,FALSE)=0,"Spatial Data Missing",VLOOKUP(L159,'G-3 Multipliers'!$L$3:$N$6,3,FALSE)))</f>
        <v/>
      </c>
      <c r="O159" s="290" t="str">
        <f t="shared" si="12"/>
        <v/>
      </c>
      <c r="P159" s="47"/>
      <c r="Q159" s="47"/>
      <c r="R159" s="298" t="str">
        <f t="shared" si="14"/>
        <v/>
      </c>
      <c r="S159" s="311" t="str">
        <f t="shared" si="15"/>
        <v/>
      </c>
      <c r="T159" s="312" t="str">
        <f>IFERROR(IF(S159="Check Data ⚠","Check Data ⚠",VLOOKUP(S159,'G-4 Temporal multipliers'!$A$4:$C$37,3,FALSE)),"")</f>
        <v/>
      </c>
      <c r="U159" s="313" t="str">
        <f>IF(F159="","",VLOOKUP(F159,'G-3 Multipliers'!$A$2:$E$134,2,FALSE))</f>
        <v/>
      </c>
      <c r="V159" s="310" t="str">
        <f t="shared" si="16"/>
        <v/>
      </c>
      <c r="W159" s="295" t="str">
        <f>IF(E159="","",IF(AND(V159="Standard difficulty applied",O159&gt;P159),U159,IF(AND(V159="Low Difficulty - only applicable if all habitat created before losses ⚠",P159&gt;=O159),"Low",VLOOKUP(F159,'G-3 Multipliers'!$A$2:$E$134,4,FALSE))))</f>
        <v/>
      </c>
      <c r="X159" s="314" t="str">
        <f>IFERROR(IF(E159="","",VLOOKUP(W159, 'G-3 Multipliers'!$P$2:$Q$6,2,FALSE)),"")</f>
        <v/>
      </c>
      <c r="Y159" s="317" t="str">
        <f t="shared" si="17"/>
        <v/>
      </c>
      <c r="Z159" s="163"/>
      <c r="AA159" s="164"/>
      <c r="AB159" s="101"/>
      <c r="AE159" s="25" t="str">
        <f t="shared" si="13"/>
        <v/>
      </c>
    </row>
    <row r="160" spans="1:31" ht="14.5" thickBot="1" x14ac:dyDescent="0.35">
      <c r="A160" s="20" t="str">
        <f>IFERROR(INDEX('G-8 Condition Look up'!$I$4:$I$135,MATCH(F160,'G-8 Condition Look up'!$A$4:$A$135,0)),"")</f>
        <v/>
      </c>
      <c r="B160" s="679">
        <v>150</v>
      </c>
      <c r="C160" s="247" t="str">
        <f>IFERROR(INDEX('G-1 All Habitats'!$AG$25:$AG$41,MATCH(D160,'G-1 All Habitats'!AF$25:AF$41,0)),"")</f>
        <v/>
      </c>
      <c r="D160" s="38"/>
      <c r="E160" s="45"/>
      <c r="F160" s="244" t="str">
        <f>IFERROR(INDEX('G-1 All Habitats'!$B$3:$B$135,MATCH(E160,'G-1 All Habitats'!$A$3:$A$135,0)),"")</f>
        <v/>
      </c>
      <c r="G160" s="37"/>
      <c r="H160" s="290" t="str">
        <f>IF(F160="","",VLOOKUP(F160,'G-1 All Habitats'!$B$2:$M$135,10,FALSE))</f>
        <v/>
      </c>
      <c r="I160" s="291" t="str">
        <f>IFERROR(VLOOKUP(H160,'G-1 All Habitats'!$V$3:$W$7,2,FALSE),"")</f>
        <v/>
      </c>
      <c r="J160" s="38"/>
      <c r="K160" s="291" t="str">
        <f>IFERROR(INDEX('G-8 Condition Look up'!$A$3:$H$135,MATCH(F160,'G-8 Condition Look up'!$A$3:$A$135,0),MATCH(J160,'G-8 Condition Look up'!$A$3:$H$3,0)),"")</f>
        <v/>
      </c>
      <c r="L160" s="38"/>
      <c r="M160" s="298" t="str">
        <f>IF(L160="","",IF(VLOOKUP(L160,'G-3 Multipliers'!$L$3:$N$6,2,FALSE)=0,"Spatial Data Missing",VLOOKUP(L160,'G-3 Multipliers'!$L$3:$N$6,2,FALSE)))</f>
        <v/>
      </c>
      <c r="N160" s="296" t="str">
        <f>IF(L160="","",IF(VLOOKUP(L160,'G-3 Multipliers'!$L$3:$N$6,3,FALSE)=0,"Spatial Data Missing",VLOOKUP(L160,'G-3 Multipliers'!$L$3:$N$6,3,FALSE)))</f>
        <v/>
      </c>
      <c r="O160" s="290" t="str">
        <f t="shared" si="12"/>
        <v/>
      </c>
      <c r="P160" s="47"/>
      <c r="Q160" s="47"/>
      <c r="R160" s="298" t="str">
        <f t="shared" si="14"/>
        <v/>
      </c>
      <c r="S160" s="311" t="str">
        <f t="shared" si="15"/>
        <v/>
      </c>
      <c r="T160" s="312" t="str">
        <f>IFERROR(IF(S160="Check Data ⚠","Check Data ⚠",VLOOKUP(S160,'G-4 Temporal multipliers'!$A$4:$C$37,3,FALSE)),"")</f>
        <v/>
      </c>
      <c r="U160" s="313" t="str">
        <f>IF(F160="","",VLOOKUP(F160,'G-3 Multipliers'!$A$2:$E$134,2,FALSE))</f>
        <v/>
      </c>
      <c r="V160" s="310" t="str">
        <f t="shared" si="16"/>
        <v/>
      </c>
      <c r="W160" s="295" t="str">
        <f>IF(E160="","",IF(AND(V160="Standard difficulty applied",O160&gt;P160),U160,IF(AND(V160="Low Difficulty - only applicable if all habitat created before losses ⚠",P160&gt;=O160),"Low",VLOOKUP(F160,'G-3 Multipliers'!$A$2:$E$134,4,FALSE))))</f>
        <v/>
      </c>
      <c r="X160" s="314" t="str">
        <f>IFERROR(IF(E160="","",VLOOKUP(W160, 'G-3 Multipliers'!$P$2:$Q$6,2,FALSE)),"")</f>
        <v/>
      </c>
      <c r="Y160" s="317" t="str">
        <f t="shared" si="17"/>
        <v/>
      </c>
      <c r="Z160" s="163"/>
      <c r="AA160" s="164"/>
      <c r="AB160" s="101"/>
      <c r="AE160" s="25" t="str">
        <f t="shared" si="13"/>
        <v/>
      </c>
    </row>
    <row r="161" spans="1:31" ht="14.5" thickBot="1" x14ac:dyDescent="0.35">
      <c r="A161" s="20" t="str">
        <f>IFERROR(INDEX('G-8 Condition Look up'!$I$4:$I$135,MATCH(F161,'G-8 Condition Look up'!$A$4:$A$135,0)),"")</f>
        <v/>
      </c>
      <c r="B161" s="679">
        <v>151</v>
      </c>
      <c r="C161" s="247" t="str">
        <f>IFERROR(INDEX('G-1 All Habitats'!$AG$25:$AG$41,MATCH(D161,'G-1 All Habitats'!AF$25:AF$41,0)),"")</f>
        <v/>
      </c>
      <c r="D161" s="38"/>
      <c r="E161" s="45"/>
      <c r="F161" s="244" t="str">
        <f>IFERROR(INDEX('G-1 All Habitats'!$B$3:$B$135,MATCH(E161,'G-1 All Habitats'!$A$3:$A$135,0)),"")</f>
        <v/>
      </c>
      <c r="G161" s="37"/>
      <c r="H161" s="290" t="str">
        <f>IF(F161="","",VLOOKUP(F161,'G-1 All Habitats'!$B$2:$M$135,10,FALSE))</f>
        <v/>
      </c>
      <c r="I161" s="291" t="str">
        <f>IFERROR(VLOOKUP(H161,'G-1 All Habitats'!$V$3:$W$7,2,FALSE),"")</f>
        <v/>
      </c>
      <c r="J161" s="38"/>
      <c r="K161" s="291" t="str">
        <f>IFERROR(INDEX('G-8 Condition Look up'!$A$3:$H$135,MATCH(F161,'G-8 Condition Look up'!$A$3:$A$135,0),MATCH(J161,'G-8 Condition Look up'!$A$3:$H$3,0)),"")</f>
        <v/>
      </c>
      <c r="L161" s="38"/>
      <c r="M161" s="298" t="str">
        <f>IF(L161="","",IF(VLOOKUP(L161,'G-3 Multipliers'!$L$3:$N$6,2,FALSE)=0,"Spatial Data Missing",VLOOKUP(L161,'G-3 Multipliers'!$L$3:$N$6,2,FALSE)))</f>
        <v/>
      </c>
      <c r="N161" s="296" t="str">
        <f>IF(L161="","",IF(VLOOKUP(L161,'G-3 Multipliers'!$L$3:$N$6,3,FALSE)=0,"Spatial Data Missing",VLOOKUP(L161,'G-3 Multipliers'!$L$3:$N$6,3,FALSE)))</f>
        <v/>
      </c>
      <c r="O161" s="290" t="str">
        <f t="shared" si="12"/>
        <v/>
      </c>
      <c r="P161" s="47"/>
      <c r="Q161" s="47"/>
      <c r="R161" s="298" t="str">
        <f t="shared" si="14"/>
        <v/>
      </c>
      <c r="S161" s="311" t="str">
        <f t="shared" si="15"/>
        <v/>
      </c>
      <c r="T161" s="312" t="str">
        <f>IFERROR(IF(S161="Check Data ⚠","Check Data ⚠",VLOOKUP(S161,'G-4 Temporal multipliers'!$A$4:$C$37,3,FALSE)),"")</f>
        <v/>
      </c>
      <c r="U161" s="313" t="str">
        <f>IF(F161="","",VLOOKUP(F161,'G-3 Multipliers'!$A$2:$E$134,2,FALSE))</f>
        <v/>
      </c>
      <c r="V161" s="310" t="str">
        <f t="shared" si="16"/>
        <v/>
      </c>
      <c r="W161" s="295" t="str">
        <f>IF(E161="","",IF(AND(V161="Standard difficulty applied",O161&gt;P161),U161,IF(AND(V161="Low Difficulty - only applicable if all habitat created before losses ⚠",P161&gt;=O161),"Low",VLOOKUP(F161,'G-3 Multipliers'!$A$2:$E$134,4,FALSE))))</f>
        <v/>
      </c>
      <c r="X161" s="314" t="str">
        <f>IFERROR(IF(E161="","",VLOOKUP(W161, 'G-3 Multipliers'!$P$2:$Q$6,2,FALSE)),"")</f>
        <v/>
      </c>
      <c r="Y161" s="317" t="str">
        <f t="shared" si="17"/>
        <v/>
      </c>
      <c r="Z161" s="163"/>
      <c r="AA161" s="164"/>
      <c r="AB161" s="101"/>
      <c r="AE161" s="25" t="str">
        <f t="shared" si="13"/>
        <v/>
      </c>
    </row>
    <row r="162" spans="1:31" ht="14.5" thickBot="1" x14ac:dyDescent="0.35">
      <c r="A162" s="20" t="str">
        <f>IFERROR(INDEX('G-8 Condition Look up'!$I$4:$I$135,MATCH(F162,'G-8 Condition Look up'!$A$4:$A$135,0)),"")</f>
        <v/>
      </c>
      <c r="B162" s="679">
        <v>152</v>
      </c>
      <c r="C162" s="247" t="str">
        <f>IFERROR(INDEX('G-1 All Habitats'!$AG$25:$AG$41,MATCH(D162,'G-1 All Habitats'!AF$25:AF$41,0)),"")</f>
        <v/>
      </c>
      <c r="D162" s="38"/>
      <c r="E162" s="45"/>
      <c r="F162" s="244" t="str">
        <f>IFERROR(INDEX('G-1 All Habitats'!$B$3:$B$135,MATCH(E162,'G-1 All Habitats'!$A$3:$A$135,0)),"")</f>
        <v/>
      </c>
      <c r="G162" s="37"/>
      <c r="H162" s="290" t="str">
        <f>IF(F162="","",VLOOKUP(F162,'G-1 All Habitats'!$B$2:$M$135,10,FALSE))</f>
        <v/>
      </c>
      <c r="I162" s="291" t="str">
        <f>IFERROR(VLOOKUP(H162,'G-1 All Habitats'!$V$3:$W$7,2,FALSE),"")</f>
        <v/>
      </c>
      <c r="J162" s="38"/>
      <c r="K162" s="291" t="str">
        <f>IFERROR(INDEX('G-8 Condition Look up'!$A$3:$H$135,MATCH(F162,'G-8 Condition Look up'!$A$3:$A$135,0),MATCH(J162,'G-8 Condition Look up'!$A$3:$H$3,0)),"")</f>
        <v/>
      </c>
      <c r="L162" s="38"/>
      <c r="M162" s="298" t="str">
        <f>IF(L162="","",IF(VLOOKUP(L162,'G-3 Multipliers'!$L$3:$N$6,2,FALSE)=0,"Spatial Data Missing",VLOOKUP(L162,'G-3 Multipliers'!$L$3:$N$6,2,FALSE)))</f>
        <v/>
      </c>
      <c r="N162" s="296" t="str">
        <f>IF(L162="","",IF(VLOOKUP(L162,'G-3 Multipliers'!$L$3:$N$6,3,FALSE)=0,"Spatial Data Missing",VLOOKUP(L162,'G-3 Multipliers'!$L$3:$N$6,3,FALSE)))</f>
        <v/>
      </c>
      <c r="O162" s="290" t="str">
        <f t="shared" si="12"/>
        <v/>
      </c>
      <c r="P162" s="47"/>
      <c r="Q162" s="47"/>
      <c r="R162" s="298" t="str">
        <f t="shared" si="14"/>
        <v/>
      </c>
      <c r="S162" s="311" t="str">
        <f t="shared" si="15"/>
        <v/>
      </c>
      <c r="T162" s="312" t="str">
        <f>IFERROR(IF(S162="Check Data ⚠","Check Data ⚠",VLOOKUP(S162,'G-4 Temporal multipliers'!$A$4:$C$37,3,FALSE)),"")</f>
        <v/>
      </c>
      <c r="U162" s="313" t="str">
        <f>IF(F162="","",VLOOKUP(F162,'G-3 Multipliers'!$A$2:$E$134,2,FALSE))</f>
        <v/>
      </c>
      <c r="V162" s="310" t="str">
        <f t="shared" si="16"/>
        <v/>
      </c>
      <c r="W162" s="295" t="str">
        <f>IF(E162="","",IF(AND(V162="Standard difficulty applied",O162&gt;P162),U162,IF(AND(V162="Low Difficulty - only applicable if all habitat created before losses ⚠",P162&gt;=O162),"Low",VLOOKUP(F162,'G-3 Multipliers'!$A$2:$E$134,4,FALSE))))</f>
        <v/>
      </c>
      <c r="X162" s="314" t="str">
        <f>IFERROR(IF(E162="","",VLOOKUP(W162, 'G-3 Multipliers'!$P$2:$Q$6,2,FALSE)),"")</f>
        <v/>
      </c>
      <c r="Y162" s="317" t="str">
        <f t="shared" si="17"/>
        <v/>
      </c>
      <c r="Z162" s="163"/>
      <c r="AA162" s="164"/>
      <c r="AB162" s="101"/>
      <c r="AE162" s="25" t="str">
        <f t="shared" si="13"/>
        <v/>
      </c>
    </row>
    <row r="163" spans="1:31" ht="14.5" thickBot="1" x14ac:dyDescent="0.35">
      <c r="A163" s="20" t="str">
        <f>IFERROR(INDEX('G-8 Condition Look up'!$I$4:$I$135,MATCH(F163,'G-8 Condition Look up'!$A$4:$A$135,0)),"")</f>
        <v/>
      </c>
      <c r="B163" s="679">
        <v>153</v>
      </c>
      <c r="C163" s="247" t="str">
        <f>IFERROR(INDEX('G-1 All Habitats'!$AG$25:$AG$41,MATCH(D163,'G-1 All Habitats'!AF$25:AF$41,0)),"")</f>
        <v/>
      </c>
      <c r="D163" s="38"/>
      <c r="E163" s="45"/>
      <c r="F163" s="244" t="str">
        <f>IFERROR(INDEX('G-1 All Habitats'!$B$3:$B$135,MATCH(E163,'G-1 All Habitats'!$A$3:$A$135,0)),"")</f>
        <v/>
      </c>
      <c r="G163" s="37"/>
      <c r="H163" s="290" t="str">
        <f>IF(F163="","",VLOOKUP(F163,'G-1 All Habitats'!$B$2:$M$135,10,FALSE))</f>
        <v/>
      </c>
      <c r="I163" s="291" t="str">
        <f>IFERROR(VLOOKUP(H163,'G-1 All Habitats'!$V$3:$W$7,2,FALSE),"")</f>
        <v/>
      </c>
      <c r="J163" s="38"/>
      <c r="K163" s="291" t="str">
        <f>IFERROR(INDEX('G-8 Condition Look up'!$A$3:$H$135,MATCH(F163,'G-8 Condition Look up'!$A$3:$A$135,0),MATCH(J163,'G-8 Condition Look up'!$A$3:$H$3,0)),"")</f>
        <v/>
      </c>
      <c r="L163" s="38"/>
      <c r="M163" s="298" t="str">
        <f>IF(L163="","",IF(VLOOKUP(L163,'G-3 Multipliers'!$L$3:$N$6,2,FALSE)=0,"Spatial Data Missing",VLOOKUP(L163,'G-3 Multipliers'!$L$3:$N$6,2,FALSE)))</f>
        <v/>
      </c>
      <c r="N163" s="296" t="str">
        <f>IF(L163="","",IF(VLOOKUP(L163,'G-3 Multipliers'!$L$3:$N$6,3,FALSE)=0,"Spatial Data Missing",VLOOKUP(L163,'G-3 Multipliers'!$L$3:$N$6,3,FALSE)))</f>
        <v/>
      </c>
      <c r="O163" s="290" t="str">
        <f t="shared" si="12"/>
        <v/>
      </c>
      <c r="P163" s="47"/>
      <c r="Q163" s="47"/>
      <c r="R163" s="298" t="str">
        <f t="shared" si="14"/>
        <v/>
      </c>
      <c r="S163" s="311" t="str">
        <f t="shared" si="15"/>
        <v/>
      </c>
      <c r="T163" s="312" t="str">
        <f>IFERROR(IF(S163="Check Data ⚠","Check Data ⚠",VLOOKUP(S163,'G-4 Temporal multipliers'!$A$4:$C$37,3,FALSE)),"")</f>
        <v/>
      </c>
      <c r="U163" s="313" t="str">
        <f>IF(F163="","",VLOOKUP(F163,'G-3 Multipliers'!$A$2:$E$134,2,FALSE))</f>
        <v/>
      </c>
      <c r="V163" s="310" t="str">
        <f t="shared" si="16"/>
        <v/>
      </c>
      <c r="W163" s="295" t="str">
        <f>IF(E163="","",IF(AND(V163="Standard difficulty applied",O163&gt;P163),U163,IF(AND(V163="Low Difficulty - only applicable if all habitat created before losses ⚠",P163&gt;=O163),"Low",VLOOKUP(F163,'G-3 Multipliers'!$A$2:$E$134,4,FALSE))))</f>
        <v/>
      </c>
      <c r="X163" s="314" t="str">
        <f>IFERROR(IF(E163="","",VLOOKUP(W163, 'G-3 Multipliers'!$P$2:$Q$6,2,FALSE)),"")</f>
        <v/>
      </c>
      <c r="Y163" s="317" t="str">
        <f t="shared" si="17"/>
        <v/>
      </c>
      <c r="Z163" s="163"/>
      <c r="AA163" s="164"/>
      <c r="AB163" s="101"/>
      <c r="AE163" s="25" t="str">
        <f t="shared" si="13"/>
        <v/>
      </c>
    </row>
    <row r="164" spans="1:31" ht="14.5" thickBot="1" x14ac:dyDescent="0.35">
      <c r="A164" s="20" t="str">
        <f>IFERROR(INDEX('G-8 Condition Look up'!$I$4:$I$135,MATCH(F164,'G-8 Condition Look up'!$A$4:$A$135,0)),"")</f>
        <v/>
      </c>
      <c r="B164" s="679">
        <v>154</v>
      </c>
      <c r="C164" s="247" t="str">
        <f>IFERROR(INDEX('G-1 All Habitats'!$AG$25:$AG$41,MATCH(D164,'G-1 All Habitats'!AF$25:AF$41,0)),"")</f>
        <v/>
      </c>
      <c r="D164" s="38"/>
      <c r="E164" s="45"/>
      <c r="F164" s="244" t="str">
        <f>IFERROR(INDEX('G-1 All Habitats'!$B$3:$B$135,MATCH(E164,'G-1 All Habitats'!$A$3:$A$135,0)),"")</f>
        <v/>
      </c>
      <c r="G164" s="37"/>
      <c r="H164" s="290" t="str">
        <f>IF(F164="","",VLOOKUP(F164,'G-1 All Habitats'!$B$2:$M$135,10,FALSE))</f>
        <v/>
      </c>
      <c r="I164" s="291" t="str">
        <f>IFERROR(VLOOKUP(H164,'G-1 All Habitats'!$V$3:$W$7,2,FALSE),"")</f>
        <v/>
      </c>
      <c r="J164" s="38"/>
      <c r="K164" s="291" t="str">
        <f>IFERROR(INDEX('G-8 Condition Look up'!$A$3:$H$135,MATCH(F164,'G-8 Condition Look up'!$A$3:$A$135,0),MATCH(J164,'G-8 Condition Look up'!$A$3:$H$3,0)),"")</f>
        <v/>
      </c>
      <c r="L164" s="38"/>
      <c r="M164" s="298" t="str">
        <f>IF(L164="","",IF(VLOOKUP(L164,'G-3 Multipliers'!$L$3:$N$6,2,FALSE)=0,"Spatial Data Missing",VLOOKUP(L164,'G-3 Multipliers'!$L$3:$N$6,2,FALSE)))</f>
        <v/>
      </c>
      <c r="N164" s="296" t="str">
        <f>IF(L164="","",IF(VLOOKUP(L164,'G-3 Multipliers'!$L$3:$N$6,3,FALSE)=0,"Spatial Data Missing",VLOOKUP(L164,'G-3 Multipliers'!$L$3:$N$6,3,FALSE)))</f>
        <v/>
      </c>
      <c r="O164" s="290" t="str">
        <f t="shared" si="12"/>
        <v/>
      </c>
      <c r="P164" s="47"/>
      <c r="Q164" s="47"/>
      <c r="R164" s="298" t="str">
        <f t="shared" si="14"/>
        <v/>
      </c>
      <c r="S164" s="311" t="str">
        <f t="shared" si="15"/>
        <v/>
      </c>
      <c r="T164" s="312" t="str">
        <f>IFERROR(IF(S164="Check Data ⚠","Check Data ⚠",VLOOKUP(S164,'G-4 Temporal multipliers'!$A$4:$C$37,3,FALSE)),"")</f>
        <v/>
      </c>
      <c r="U164" s="313" t="str">
        <f>IF(F164="","",VLOOKUP(F164,'G-3 Multipliers'!$A$2:$E$134,2,FALSE))</f>
        <v/>
      </c>
      <c r="V164" s="310" t="str">
        <f t="shared" si="16"/>
        <v/>
      </c>
      <c r="W164" s="295" t="str">
        <f>IF(E164="","",IF(AND(V164="Standard difficulty applied",O164&gt;P164),U164,IF(AND(V164="Low Difficulty - only applicable if all habitat created before losses ⚠",P164&gt;=O164),"Low",VLOOKUP(F164,'G-3 Multipliers'!$A$2:$E$134,4,FALSE))))</f>
        <v/>
      </c>
      <c r="X164" s="314" t="str">
        <f>IFERROR(IF(E164="","",VLOOKUP(W164, 'G-3 Multipliers'!$P$2:$Q$6,2,FALSE)),"")</f>
        <v/>
      </c>
      <c r="Y164" s="317" t="str">
        <f t="shared" si="17"/>
        <v/>
      </c>
      <c r="Z164" s="163"/>
      <c r="AA164" s="164"/>
      <c r="AB164" s="101"/>
      <c r="AE164" s="25" t="str">
        <f t="shared" si="13"/>
        <v/>
      </c>
    </row>
    <row r="165" spans="1:31" ht="14.5" thickBot="1" x14ac:dyDescent="0.35">
      <c r="A165" s="20" t="str">
        <f>IFERROR(INDEX('G-8 Condition Look up'!$I$4:$I$135,MATCH(F165,'G-8 Condition Look up'!$A$4:$A$135,0)),"")</f>
        <v/>
      </c>
      <c r="B165" s="679">
        <v>155</v>
      </c>
      <c r="C165" s="247" t="str">
        <f>IFERROR(INDEX('G-1 All Habitats'!$AG$25:$AG$41,MATCH(D165,'G-1 All Habitats'!AF$25:AF$41,0)),"")</f>
        <v/>
      </c>
      <c r="D165" s="38"/>
      <c r="E165" s="45"/>
      <c r="F165" s="244" t="str">
        <f>IFERROR(INDEX('G-1 All Habitats'!$B$3:$B$135,MATCH(E165,'G-1 All Habitats'!$A$3:$A$135,0)),"")</f>
        <v/>
      </c>
      <c r="G165" s="37"/>
      <c r="H165" s="290" t="str">
        <f>IF(F165="","",VLOOKUP(F165,'G-1 All Habitats'!$B$2:$M$135,10,FALSE))</f>
        <v/>
      </c>
      <c r="I165" s="291" t="str">
        <f>IFERROR(VLOOKUP(H165,'G-1 All Habitats'!$V$3:$W$7,2,FALSE),"")</f>
        <v/>
      </c>
      <c r="J165" s="38"/>
      <c r="K165" s="291" t="str">
        <f>IFERROR(INDEX('G-8 Condition Look up'!$A$3:$H$135,MATCH(F165,'G-8 Condition Look up'!$A$3:$A$135,0),MATCH(J165,'G-8 Condition Look up'!$A$3:$H$3,0)),"")</f>
        <v/>
      </c>
      <c r="L165" s="38"/>
      <c r="M165" s="298" t="str">
        <f>IF(L165="","",IF(VLOOKUP(L165,'G-3 Multipliers'!$L$3:$N$6,2,FALSE)=0,"Spatial Data Missing",VLOOKUP(L165,'G-3 Multipliers'!$L$3:$N$6,2,FALSE)))</f>
        <v/>
      </c>
      <c r="N165" s="296" t="str">
        <f>IF(L165="","",IF(VLOOKUP(L165,'G-3 Multipliers'!$L$3:$N$6,3,FALSE)=0,"Spatial Data Missing",VLOOKUP(L165,'G-3 Multipliers'!$L$3:$N$6,3,FALSE)))</f>
        <v/>
      </c>
      <c r="O165" s="290" t="str">
        <f t="shared" si="12"/>
        <v/>
      </c>
      <c r="P165" s="47"/>
      <c r="Q165" s="47"/>
      <c r="R165" s="298" t="str">
        <f t="shared" si="14"/>
        <v/>
      </c>
      <c r="S165" s="311" t="str">
        <f t="shared" si="15"/>
        <v/>
      </c>
      <c r="T165" s="312" t="str">
        <f>IFERROR(IF(S165="Check Data ⚠","Check Data ⚠",VLOOKUP(S165,'G-4 Temporal multipliers'!$A$4:$C$37,3,FALSE)),"")</f>
        <v/>
      </c>
      <c r="U165" s="313" t="str">
        <f>IF(F165="","",VLOOKUP(F165,'G-3 Multipliers'!$A$2:$E$134,2,FALSE))</f>
        <v/>
      </c>
      <c r="V165" s="310" t="str">
        <f t="shared" si="16"/>
        <v/>
      </c>
      <c r="W165" s="295" t="str">
        <f>IF(E165="","",IF(AND(V165="Standard difficulty applied",O165&gt;P165),U165,IF(AND(V165="Low Difficulty - only applicable if all habitat created before losses ⚠",P165&gt;=O165),"Low",VLOOKUP(F165,'G-3 Multipliers'!$A$2:$E$134,4,FALSE))))</f>
        <v/>
      </c>
      <c r="X165" s="314" t="str">
        <f>IFERROR(IF(E165="","",VLOOKUP(W165, 'G-3 Multipliers'!$P$2:$Q$6,2,FALSE)),"")</f>
        <v/>
      </c>
      <c r="Y165" s="317" t="str">
        <f t="shared" si="17"/>
        <v/>
      </c>
      <c r="Z165" s="163"/>
      <c r="AA165" s="164"/>
      <c r="AB165" s="101"/>
      <c r="AE165" s="25" t="str">
        <f t="shared" si="13"/>
        <v/>
      </c>
    </row>
    <row r="166" spans="1:31" ht="14.5" thickBot="1" x14ac:dyDescent="0.35">
      <c r="A166" s="20" t="str">
        <f>IFERROR(INDEX('G-8 Condition Look up'!$I$4:$I$135,MATCH(F166,'G-8 Condition Look up'!$A$4:$A$135,0)),"")</f>
        <v/>
      </c>
      <c r="B166" s="679">
        <v>156</v>
      </c>
      <c r="C166" s="247" t="str">
        <f>IFERROR(INDEX('G-1 All Habitats'!$AG$25:$AG$41,MATCH(D166,'G-1 All Habitats'!AF$25:AF$41,0)),"")</f>
        <v/>
      </c>
      <c r="D166" s="38"/>
      <c r="E166" s="45"/>
      <c r="F166" s="244" t="str">
        <f>IFERROR(INDEX('G-1 All Habitats'!$B$3:$B$135,MATCH(E166,'G-1 All Habitats'!$A$3:$A$135,0)),"")</f>
        <v/>
      </c>
      <c r="G166" s="37"/>
      <c r="H166" s="290" t="str">
        <f>IF(F166="","",VLOOKUP(F166,'G-1 All Habitats'!$B$2:$M$135,10,FALSE))</f>
        <v/>
      </c>
      <c r="I166" s="291" t="str">
        <f>IFERROR(VLOOKUP(H166,'G-1 All Habitats'!$V$3:$W$7,2,FALSE),"")</f>
        <v/>
      </c>
      <c r="J166" s="38"/>
      <c r="K166" s="291" t="str">
        <f>IFERROR(INDEX('G-8 Condition Look up'!$A$3:$H$135,MATCH(F166,'G-8 Condition Look up'!$A$3:$A$135,0),MATCH(J166,'G-8 Condition Look up'!$A$3:$H$3,0)),"")</f>
        <v/>
      </c>
      <c r="L166" s="38"/>
      <c r="M166" s="298" t="str">
        <f>IF(L166="","",IF(VLOOKUP(L166,'G-3 Multipliers'!$L$3:$N$6,2,FALSE)=0,"Spatial Data Missing",VLOOKUP(L166,'G-3 Multipliers'!$L$3:$N$6,2,FALSE)))</f>
        <v/>
      </c>
      <c r="N166" s="296" t="str">
        <f>IF(L166="","",IF(VLOOKUP(L166,'G-3 Multipliers'!$L$3:$N$6,3,FALSE)=0,"Spatial Data Missing",VLOOKUP(L166,'G-3 Multipliers'!$L$3:$N$6,3,FALSE)))</f>
        <v/>
      </c>
      <c r="O166" s="290" t="str">
        <f t="shared" si="12"/>
        <v/>
      </c>
      <c r="P166" s="47"/>
      <c r="Q166" s="47"/>
      <c r="R166" s="298" t="str">
        <f t="shared" si="14"/>
        <v/>
      </c>
      <c r="S166" s="311" t="str">
        <f t="shared" si="15"/>
        <v/>
      </c>
      <c r="T166" s="312" t="str">
        <f>IFERROR(IF(S166="Check Data ⚠","Check Data ⚠",VLOOKUP(S166,'G-4 Temporal multipliers'!$A$4:$C$37,3,FALSE)),"")</f>
        <v/>
      </c>
      <c r="U166" s="313" t="str">
        <f>IF(F166="","",VLOOKUP(F166,'G-3 Multipliers'!$A$2:$E$134,2,FALSE))</f>
        <v/>
      </c>
      <c r="V166" s="310" t="str">
        <f t="shared" si="16"/>
        <v/>
      </c>
      <c r="W166" s="295" t="str">
        <f>IF(E166="","",IF(AND(V166="Standard difficulty applied",O166&gt;P166),U166,IF(AND(V166="Low Difficulty - only applicable if all habitat created before losses ⚠",P166&gt;=O166),"Low",VLOOKUP(F166,'G-3 Multipliers'!$A$2:$E$134,4,FALSE))))</f>
        <v/>
      </c>
      <c r="X166" s="314" t="str">
        <f>IFERROR(IF(E166="","",VLOOKUP(W166, 'G-3 Multipliers'!$P$2:$Q$6,2,FALSE)),"")</f>
        <v/>
      </c>
      <c r="Y166" s="317" t="str">
        <f t="shared" si="17"/>
        <v/>
      </c>
      <c r="Z166" s="163"/>
      <c r="AA166" s="164"/>
      <c r="AB166" s="101"/>
      <c r="AE166" s="25" t="str">
        <f t="shared" si="13"/>
        <v/>
      </c>
    </row>
    <row r="167" spans="1:31" ht="14.5" thickBot="1" x14ac:dyDescent="0.35">
      <c r="A167" s="20" t="str">
        <f>IFERROR(INDEX('G-8 Condition Look up'!$I$4:$I$135,MATCH(F167,'G-8 Condition Look up'!$A$4:$A$135,0)),"")</f>
        <v/>
      </c>
      <c r="B167" s="679">
        <v>157</v>
      </c>
      <c r="C167" s="247" t="str">
        <f>IFERROR(INDEX('G-1 All Habitats'!$AG$25:$AG$41,MATCH(D167,'G-1 All Habitats'!AF$25:AF$41,0)),"")</f>
        <v/>
      </c>
      <c r="D167" s="38"/>
      <c r="E167" s="45"/>
      <c r="F167" s="244" t="str">
        <f>IFERROR(INDEX('G-1 All Habitats'!$B$3:$B$135,MATCH(E167,'G-1 All Habitats'!$A$3:$A$135,0)),"")</f>
        <v/>
      </c>
      <c r="G167" s="37"/>
      <c r="H167" s="290" t="str">
        <f>IF(F167="","",VLOOKUP(F167,'G-1 All Habitats'!$B$2:$M$135,10,FALSE))</f>
        <v/>
      </c>
      <c r="I167" s="291" t="str">
        <f>IFERROR(VLOOKUP(H167,'G-1 All Habitats'!$V$3:$W$7,2,FALSE),"")</f>
        <v/>
      </c>
      <c r="J167" s="38"/>
      <c r="K167" s="291" t="str">
        <f>IFERROR(INDEX('G-8 Condition Look up'!$A$3:$H$135,MATCH(F167,'G-8 Condition Look up'!$A$3:$A$135,0),MATCH(J167,'G-8 Condition Look up'!$A$3:$H$3,0)),"")</f>
        <v/>
      </c>
      <c r="L167" s="38"/>
      <c r="M167" s="298" t="str">
        <f>IF(L167="","",IF(VLOOKUP(L167,'G-3 Multipliers'!$L$3:$N$6,2,FALSE)=0,"Spatial Data Missing",VLOOKUP(L167,'G-3 Multipliers'!$L$3:$N$6,2,FALSE)))</f>
        <v/>
      </c>
      <c r="N167" s="296" t="str">
        <f>IF(L167="","",IF(VLOOKUP(L167,'G-3 Multipliers'!$L$3:$N$6,3,FALSE)=0,"Spatial Data Missing",VLOOKUP(L167,'G-3 Multipliers'!$L$3:$N$6,3,FALSE)))</f>
        <v/>
      </c>
      <c r="O167" s="290" t="str">
        <f t="shared" si="12"/>
        <v/>
      </c>
      <c r="P167" s="47"/>
      <c r="Q167" s="47"/>
      <c r="R167" s="298" t="str">
        <f t="shared" si="14"/>
        <v/>
      </c>
      <c r="S167" s="311" t="str">
        <f t="shared" si="15"/>
        <v/>
      </c>
      <c r="T167" s="312" t="str">
        <f>IFERROR(IF(S167="Check Data ⚠","Check Data ⚠",VLOOKUP(S167,'G-4 Temporal multipliers'!$A$4:$C$37,3,FALSE)),"")</f>
        <v/>
      </c>
      <c r="U167" s="313" t="str">
        <f>IF(F167="","",VLOOKUP(F167,'G-3 Multipliers'!$A$2:$E$134,2,FALSE))</f>
        <v/>
      </c>
      <c r="V167" s="310" t="str">
        <f t="shared" si="16"/>
        <v/>
      </c>
      <c r="W167" s="295" t="str">
        <f>IF(E167="","",IF(AND(V167="Standard difficulty applied",O167&gt;P167),U167,IF(AND(V167="Low Difficulty - only applicable if all habitat created before losses ⚠",P167&gt;=O167),"Low",VLOOKUP(F167,'G-3 Multipliers'!$A$2:$E$134,4,FALSE))))</f>
        <v/>
      </c>
      <c r="X167" s="314" t="str">
        <f>IFERROR(IF(E167="","",VLOOKUP(W167, 'G-3 Multipliers'!$P$2:$Q$6,2,FALSE)),"")</f>
        <v/>
      </c>
      <c r="Y167" s="317" t="str">
        <f t="shared" si="17"/>
        <v/>
      </c>
      <c r="Z167" s="163"/>
      <c r="AA167" s="164"/>
      <c r="AB167" s="101"/>
      <c r="AE167" s="25" t="str">
        <f t="shared" si="13"/>
        <v/>
      </c>
    </row>
    <row r="168" spans="1:31" ht="14.5" thickBot="1" x14ac:dyDescent="0.35">
      <c r="A168" s="20" t="str">
        <f>IFERROR(INDEX('G-8 Condition Look up'!$I$4:$I$135,MATCH(F168,'G-8 Condition Look up'!$A$4:$A$135,0)),"")</f>
        <v/>
      </c>
      <c r="B168" s="679">
        <v>158</v>
      </c>
      <c r="C168" s="247" t="str">
        <f>IFERROR(INDEX('G-1 All Habitats'!$AG$25:$AG$41,MATCH(D168,'G-1 All Habitats'!AF$25:AF$41,0)),"")</f>
        <v/>
      </c>
      <c r="D168" s="38"/>
      <c r="E168" s="45"/>
      <c r="F168" s="244" t="str">
        <f>IFERROR(INDEX('G-1 All Habitats'!$B$3:$B$135,MATCH(E168,'G-1 All Habitats'!$A$3:$A$135,0)),"")</f>
        <v/>
      </c>
      <c r="G168" s="37"/>
      <c r="H168" s="290" t="str">
        <f>IF(F168="","",VLOOKUP(F168,'G-1 All Habitats'!$B$2:$M$135,10,FALSE))</f>
        <v/>
      </c>
      <c r="I168" s="291" t="str">
        <f>IFERROR(VLOOKUP(H168,'G-1 All Habitats'!$V$3:$W$7,2,FALSE),"")</f>
        <v/>
      </c>
      <c r="J168" s="38"/>
      <c r="K168" s="291" t="str">
        <f>IFERROR(INDEX('G-8 Condition Look up'!$A$3:$H$135,MATCH(F168,'G-8 Condition Look up'!$A$3:$A$135,0),MATCH(J168,'G-8 Condition Look up'!$A$3:$H$3,0)),"")</f>
        <v/>
      </c>
      <c r="L168" s="38"/>
      <c r="M168" s="298" t="str">
        <f>IF(L168="","",IF(VLOOKUP(L168,'G-3 Multipliers'!$L$3:$N$6,2,FALSE)=0,"Spatial Data Missing",VLOOKUP(L168,'G-3 Multipliers'!$L$3:$N$6,2,FALSE)))</f>
        <v/>
      </c>
      <c r="N168" s="296" t="str">
        <f>IF(L168="","",IF(VLOOKUP(L168,'G-3 Multipliers'!$L$3:$N$6,3,FALSE)=0,"Spatial Data Missing",VLOOKUP(L168,'G-3 Multipliers'!$L$3:$N$6,3,FALSE)))</f>
        <v/>
      </c>
      <c r="O168" s="290" t="str">
        <f t="shared" si="12"/>
        <v/>
      </c>
      <c r="P168" s="47"/>
      <c r="Q168" s="47"/>
      <c r="R168" s="298" t="str">
        <f t="shared" si="14"/>
        <v/>
      </c>
      <c r="S168" s="311" t="str">
        <f t="shared" si="15"/>
        <v/>
      </c>
      <c r="T168" s="312" t="str">
        <f>IFERROR(IF(S168="Check Data ⚠","Check Data ⚠",VLOOKUP(S168,'G-4 Temporal multipliers'!$A$4:$C$37,3,FALSE)),"")</f>
        <v/>
      </c>
      <c r="U168" s="313" t="str">
        <f>IF(F168="","",VLOOKUP(F168,'G-3 Multipliers'!$A$2:$E$134,2,FALSE))</f>
        <v/>
      </c>
      <c r="V168" s="310" t="str">
        <f t="shared" si="16"/>
        <v/>
      </c>
      <c r="W168" s="295" t="str">
        <f>IF(E168="","",IF(AND(V168="Standard difficulty applied",O168&gt;P168),U168,IF(AND(V168="Low Difficulty - only applicable if all habitat created before losses ⚠",P168&gt;=O168),"Low",VLOOKUP(F168,'G-3 Multipliers'!$A$2:$E$134,4,FALSE))))</f>
        <v/>
      </c>
      <c r="X168" s="314" t="str">
        <f>IFERROR(IF(E168="","",VLOOKUP(W168, 'G-3 Multipliers'!$P$2:$Q$6,2,FALSE)),"")</f>
        <v/>
      </c>
      <c r="Y168" s="317" t="str">
        <f t="shared" si="17"/>
        <v/>
      </c>
      <c r="Z168" s="163"/>
      <c r="AA168" s="164"/>
      <c r="AB168" s="101"/>
      <c r="AE168" s="25" t="str">
        <f t="shared" si="13"/>
        <v/>
      </c>
    </row>
    <row r="169" spans="1:31" ht="14.5" thickBot="1" x14ac:dyDescent="0.35">
      <c r="A169" s="20" t="str">
        <f>IFERROR(INDEX('G-8 Condition Look up'!$I$4:$I$135,MATCH(F169,'G-8 Condition Look up'!$A$4:$A$135,0)),"")</f>
        <v/>
      </c>
      <c r="B169" s="679">
        <v>159</v>
      </c>
      <c r="C169" s="247" t="str">
        <f>IFERROR(INDEX('G-1 All Habitats'!$AG$25:$AG$41,MATCH(D169,'G-1 All Habitats'!AF$25:AF$41,0)),"")</f>
        <v/>
      </c>
      <c r="D169" s="38"/>
      <c r="E169" s="45"/>
      <c r="F169" s="244" t="str">
        <f>IFERROR(INDEX('G-1 All Habitats'!$B$3:$B$135,MATCH(E169,'G-1 All Habitats'!$A$3:$A$135,0)),"")</f>
        <v/>
      </c>
      <c r="G169" s="37"/>
      <c r="H169" s="290" t="str">
        <f>IF(F169="","",VLOOKUP(F169,'G-1 All Habitats'!$B$2:$M$135,10,FALSE))</f>
        <v/>
      </c>
      <c r="I169" s="291" t="str">
        <f>IFERROR(VLOOKUP(H169,'G-1 All Habitats'!$V$3:$W$7,2,FALSE),"")</f>
        <v/>
      </c>
      <c r="J169" s="38"/>
      <c r="K169" s="291" t="str">
        <f>IFERROR(INDEX('G-8 Condition Look up'!$A$3:$H$135,MATCH(F169,'G-8 Condition Look up'!$A$3:$A$135,0),MATCH(J169,'G-8 Condition Look up'!$A$3:$H$3,0)),"")</f>
        <v/>
      </c>
      <c r="L169" s="38"/>
      <c r="M169" s="298" t="str">
        <f>IF(L169="","",IF(VLOOKUP(L169,'G-3 Multipliers'!$L$3:$N$6,2,FALSE)=0,"Spatial Data Missing",VLOOKUP(L169,'G-3 Multipliers'!$L$3:$N$6,2,FALSE)))</f>
        <v/>
      </c>
      <c r="N169" s="296" t="str">
        <f>IF(L169="","",IF(VLOOKUP(L169,'G-3 Multipliers'!$L$3:$N$6,3,FALSE)=0,"Spatial Data Missing",VLOOKUP(L169,'G-3 Multipliers'!$L$3:$N$6,3,FALSE)))</f>
        <v/>
      </c>
      <c r="O169" s="290" t="str">
        <f t="shared" si="12"/>
        <v/>
      </c>
      <c r="P169" s="47"/>
      <c r="Q169" s="47"/>
      <c r="R169" s="298" t="str">
        <f t="shared" si="14"/>
        <v/>
      </c>
      <c r="S169" s="311" t="str">
        <f t="shared" si="15"/>
        <v/>
      </c>
      <c r="T169" s="312" t="str">
        <f>IFERROR(IF(S169="Check Data ⚠","Check Data ⚠",VLOOKUP(S169,'G-4 Temporal multipliers'!$A$4:$C$37,3,FALSE)),"")</f>
        <v/>
      </c>
      <c r="U169" s="313" t="str">
        <f>IF(F169="","",VLOOKUP(F169,'G-3 Multipliers'!$A$2:$E$134,2,FALSE))</f>
        <v/>
      </c>
      <c r="V169" s="310" t="str">
        <f t="shared" si="16"/>
        <v/>
      </c>
      <c r="W169" s="295" t="str">
        <f>IF(E169="","",IF(AND(V169="Standard difficulty applied",O169&gt;P169),U169,IF(AND(V169="Low Difficulty - only applicable if all habitat created before losses ⚠",P169&gt;=O169),"Low",VLOOKUP(F169,'G-3 Multipliers'!$A$2:$E$134,4,FALSE))))</f>
        <v/>
      </c>
      <c r="X169" s="314" t="str">
        <f>IFERROR(IF(E169="","",VLOOKUP(W169, 'G-3 Multipliers'!$P$2:$Q$6,2,FALSE)),"")</f>
        <v/>
      </c>
      <c r="Y169" s="317" t="str">
        <f t="shared" si="17"/>
        <v/>
      </c>
      <c r="Z169" s="163"/>
      <c r="AA169" s="164"/>
      <c r="AB169" s="101"/>
      <c r="AE169" s="25" t="str">
        <f t="shared" si="13"/>
        <v/>
      </c>
    </row>
    <row r="170" spans="1:31" ht="14.5" thickBot="1" x14ac:dyDescent="0.35">
      <c r="A170" s="20" t="str">
        <f>IFERROR(INDEX('G-8 Condition Look up'!$I$4:$I$135,MATCH(F170,'G-8 Condition Look up'!$A$4:$A$135,0)),"")</f>
        <v/>
      </c>
      <c r="B170" s="679">
        <v>160</v>
      </c>
      <c r="C170" s="247" t="str">
        <f>IFERROR(INDEX('G-1 All Habitats'!$AG$25:$AG$41,MATCH(D170,'G-1 All Habitats'!AF$25:AF$41,0)),"")</f>
        <v/>
      </c>
      <c r="D170" s="38"/>
      <c r="E170" s="45"/>
      <c r="F170" s="244" t="str">
        <f>IFERROR(INDEX('G-1 All Habitats'!$B$3:$B$135,MATCH(E170,'G-1 All Habitats'!$A$3:$A$135,0)),"")</f>
        <v/>
      </c>
      <c r="G170" s="37"/>
      <c r="H170" s="290" t="str">
        <f>IF(F170="","",VLOOKUP(F170,'G-1 All Habitats'!$B$2:$M$135,10,FALSE))</f>
        <v/>
      </c>
      <c r="I170" s="291" t="str">
        <f>IFERROR(VLOOKUP(H170,'G-1 All Habitats'!$V$3:$W$7,2,FALSE),"")</f>
        <v/>
      </c>
      <c r="J170" s="38"/>
      <c r="K170" s="291" t="str">
        <f>IFERROR(INDEX('G-8 Condition Look up'!$A$3:$H$135,MATCH(F170,'G-8 Condition Look up'!$A$3:$A$135,0),MATCH(J170,'G-8 Condition Look up'!$A$3:$H$3,0)),"")</f>
        <v/>
      </c>
      <c r="L170" s="38"/>
      <c r="M170" s="298" t="str">
        <f>IF(L170="","",IF(VLOOKUP(L170,'G-3 Multipliers'!$L$3:$N$6,2,FALSE)=0,"Spatial Data Missing",VLOOKUP(L170,'G-3 Multipliers'!$L$3:$N$6,2,FALSE)))</f>
        <v/>
      </c>
      <c r="N170" s="296" t="str">
        <f>IF(L170="","",IF(VLOOKUP(L170,'G-3 Multipliers'!$L$3:$N$6,3,FALSE)=0,"Spatial Data Missing",VLOOKUP(L170,'G-3 Multipliers'!$L$3:$N$6,3,FALSE)))</f>
        <v/>
      </c>
      <c r="O170" s="290" t="str">
        <f t="shared" si="12"/>
        <v/>
      </c>
      <c r="P170" s="47"/>
      <c r="Q170" s="47"/>
      <c r="R170" s="298" t="str">
        <f t="shared" si="14"/>
        <v/>
      </c>
      <c r="S170" s="311" t="str">
        <f t="shared" si="15"/>
        <v/>
      </c>
      <c r="T170" s="312" t="str">
        <f>IFERROR(IF(S170="Check Data ⚠","Check Data ⚠",VLOOKUP(S170,'G-4 Temporal multipliers'!$A$4:$C$37,3,FALSE)),"")</f>
        <v/>
      </c>
      <c r="U170" s="313" t="str">
        <f>IF(F170="","",VLOOKUP(F170,'G-3 Multipliers'!$A$2:$E$134,2,FALSE))</f>
        <v/>
      </c>
      <c r="V170" s="310" t="str">
        <f t="shared" si="16"/>
        <v/>
      </c>
      <c r="W170" s="295" t="str">
        <f>IF(E170="","",IF(AND(V170="Standard difficulty applied",O170&gt;P170),U170,IF(AND(V170="Low Difficulty - only applicable if all habitat created before losses ⚠",P170&gt;=O170),"Low",VLOOKUP(F170,'G-3 Multipliers'!$A$2:$E$134,4,FALSE))))</f>
        <v/>
      </c>
      <c r="X170" s="314" t="str">
        <f>IFERROR(IF(E170="","",VLOOKUP(W170, 'G-3 Multipliers'!$P$2:$Q$6,2,FALSE)),"")</f>
        <v/>
      </c>
      <c r="Y170" s="317" t="str">
        <f t="shared" si="17"/>
        <v/>
      </c>
      <c r="Z170" s="163"/>
      <c r="AA170" s="164"/>
      <c r="AB170" s="101"/>
      <c r="AE170" s="25" t="str">
        <f t="shared" si="13"/>
        <v/>
      </c>
    </row>
    <row r="171" spans="1:31" ht="14.5" thickBot="1" x14ac:dyDescent="0.35">
      <c r="A171" s="20" t="str">
        <f>IFERROR(INDEX('G-8 Condition Look up'!$I$4:$I$135,MATCH(F171,'G-8 Condition Look up'!$A$4:$A$135,0)),"")</f>
        <v/>
      </c>
      <c r="B171" s="679">
        <v>161</v>
      </c>
      <c r="C171" s="247" t="str">
        <f>IFERROR(INDEX('G-1 All Habitats'!$AG$25:$AG$41,MATCH(D171,'G-1 All Habitats'!AF$25:AF$41,0)),"")</f>
        <v/>
      </c>
      <c r="D171" s="38"/>
      <c r="E171" s="45"/>
      <c r="F171" s="244" t="str">
        <f>IFERROR(INDEX('G-1 All Habitats'!$B$3:$B$135,MATCH(E171,'G-1 All Habitats'!$A$3:$A$135,0)),"")</f>
        <v/>
      </c>
      <c r="G171" s="37"/>
      <c r="H171" s="290" t="str">
        <f>IF(F171="","",VLOOKUP(F171,'G-1 All Habitats'!$B$2:$M$135,10,FALSE))</f>
        <v/>
      </c>
      <c r="I171" s="291" t="str">
        <f>IFERROR(VLOOKUP(H171,'G-1 All Habitats'!$V$3:$W$7,2,FALSE),"")</f>
        <v/>
      </c>
      <c r="J171" s="38"/>
      <c r="K171" s="291" t="str">
        <f>IFERROR(INDEX('G-8 Condition Look up'!$A$3:$H$135,MATCH(F171,'G-8 Condition Look up'!$A$3:$A$135,0),MATCH(J171,'G-8 Condition Look up'!$A$3:$H$3,0)),"")</f>
        <v/>
      </c>
      <c r="L171" s="38"/>
      <c r="M171" s="298" t="str">
        <f>IF(L171="","",IF(VLOOKUP(L171,'G-3 Multipliers'!$L$3:$N$6,2,FALSE)=0,"Spatial Data Missing",VLOOKUP(L171,'G-3 Multipliers'!$L$3:$N$6,2,FALSE)))</f>
        <v/>
      </c>
      <c r="N171" s="296" t="str">
        <f>IF(L171="","",IF(VLOOKUP(L171,'G-3 Multipliers'!$L$3:$N$6,3,FALSE)=0,"Spatial Data Missing",VLOOKUP(L171,'G-3 Multipliers'!$L$3:$N$6,3,FALSE)))</f>
        <v/>
      </c>
      <c r="O171" s="290" t="str">
        <f t="shared" si="12"/>
        <v/>
      </c>
      <c r="P171" s="47"/>
      <c r="Q171" s="47"/>
      <c r="R171" s="298" t="str">
        <f t="shared" si="14"/>
        <v/>
      </c>
      <c r="S171" s="311" t="str">
        <f t="shared" si="15"/>
        <v/>
      </c>
      <c r="T171" s="312" t="str">
        <f>IFERROR(IF(S171="Check Data ⚠","Check Data ⚠",VLOOKUP(S171,'G-4 Temporal multipliers'!$A$4:$C$37,3,FALSE)),"")</f>
        <v/>
      </c>
      <c r="U171" s="313" t="str">
        <f>IF(F171="","",VLOOKUP(F171,'G-3 Multipliers'!$A$2:$E$134,2,FALSE))</f>
        <v/>
      </c>
      <c r="V171" s="310" t="str">
        <f t="shared" si="16"/>
        <v/>
      </c>
      <c r="W171" s="295" t="str">
        <f>IF(E171="","",IF(AND(V171="Standard difficulty applied",O171&gt;P171),U171,IF(AND(V171="Low Difficulty - only applicable if all habitat created before losses ⚠",P171&gt;=O171),"Low",VLOOKUP(F171,'G-3 Multipliers'!$A$2:$E$134,4,FALSE))))</f>
        <v/>
      </c>
      <c r="X171" s="314" t="str">
        <f>IFERROR(IF(E171="","",VLOOKUP(W171, 'G-3 Multipliers'!$P$2:$Q$6,2,FALSE)),"")</f>
        <v/>
      </c>
      <c r="Y171" s="317" t="str">
        <f t="shared" si="17"/>
        <v/>
      </c>
      <c r="Z171" s="163"/>
      <c r="AA171" s="164"/>
      <c r="AB171" s="101"/>
      <c r="AE171" s="25" t="str">
        <f t="shared" si="13"/>
        <v/>
      </c>
    </row>
    <row r="172" spans="1:31" ht="14.5" thickBot="1" x14ac:dyDescent="0.35">
      <c r="A172" s="20" t="str">
        <f>IFERROR(INDEX('G-8 Condition Look up'!$I$4:$I$135,MATCH(F172,'G-8 Condition Look up'!$A$4:$A$135,0)),"")</f>
        <v/>
      </c>
      <c r="B172" s="679">
        <v>162</v>
      </c>
      <c r="C172" s="247" t="str">
        <f>IFERROR(INDEX('G-1 All Habitats'!$AG$25:$AG$41,MATCH(D172,'G-1 All Habitats'!AF$25:AF$41,0)),"")</f>
        <v/>
      </c>
      <c r="D172" s="38"/>
      <c r="E172" s="45"/>
      <c r="F172" s="244" t="str">
        <f>IFERROR(INDEX('G-1 All Habitats'!$B$3:$B$135,MATCH(E172,'G-1 All Habitats'!$A$3:$A$135,0)),"")</f>
        <v/>
      </c>
      <c r="G172" s="37"/>
      <c r="H172" s="290" t="str">
        <f>IF(F172="","",VLOOKUP(F172,'G-1 All Habitats'!$B$2:$M$135,10,FALSE))</f>
        <v/>
      </c>
      <c r="I172" s="291" t="str">
        <f>IFERROR(VLOOKUP(H172,'G-1 All Habitats'!$V$3:$W$7,2,FALSE),"")</f>
        <v/>
      </c>
      <c r="J172" s="38"/>
      <c r="K172" s="291" t="str">
        <f>IFERROR(INDEX('G-8 Condition Look up'!$A$3:$H$135,MATCH(F172,'G-8 Condition Look up'!$A$3:$A$135,0),MATCH(J172,'G-8 Condition Look up'!$A$3:$H$3,0)),"")</f>
        <v/>
      </c>
      <c r="L172" s="38"/>
      <c r="M172" s="298" t="str">
        <f>IF(L172="","",IF(VLOOKUP(L172,'G-3 Multipliers'!$L$3:$N$6,2,FALSE)=0,"Spatial Data Missing",VLOOKUP(L172,'G-3 Multipliers'!$L$3:$N$6,2,FALSE)))</f>
        <v/>
      </c>
      <c r="N172" s="296" t="str">
        <f>IF(L172="","",IF(VLOOKUP(L172,'G-3 Multipliers'!$L$3:$N$6,3,FALSE)=0,"Spatial Data Missing",VLOOKUP(L172,'G-3 Multipliers'!$L$3:$N$6,3,FALSE)))</f>
        <v/>
      </c>
      <c r="O172" s="290" t="str">
        <f t="shared" si="12"/>
        <v/>
      </c>
      <c r="P172" s="47"/>
      <c r="Q172" s="47"/>
      <c r="R172" s="298" t="str">
        <f t="shared" si="14"/>
        <v/>
      </c>
      <c r="S172" s="311" t="str">
        <f t="shared" si="15"/>
        <v/>
      </c>
      <c r="T172" s="312" t="str">
        <f>IFERROR(IF(S172="Check Data ⚠","Check Data ⚠",VLOOKUP(S172,'G-4 Temporal multipliers'!$A$4:$C$37,3,FALSE)),"")</f>
        <v/>
      </c>
      <c r="U172" s="313" t="str">
        <f>IF(F172="","",VLOOKUP(F172,'G-3 Multipliers'!$A$2:$E$134,2,FALSE))</f>
        <v/>
      </c>
      <c r="V172" s="310" t="str">
        <f t="shared" si="16"/>
        <v/>
      </c>
      <c r="W172" s="295" t="str">
        <f>IF(E172="","",IF(AND(V172="Standard difficulty applied",O172&gt;P172),U172,IF(AND(V172="Low Difficulty - only applicable if all habitat created before losses ⚠",P172&gt;=O172),"Low",VLOOKUP(F172,'G-3 Multipliers'!$A$2:$E$134,4,FALSE))))</f>
        <v/>
      </c>
      <c r="X172" s="314" t="str">
        <f>IFERROR(IF(E172="","",VLOOKUP(W172, 'G-3 Multipliers'!$P$2:$Q$6,2,FALSE)),"")</f>
        <v/>
      </c>
      <c r="Y172" s="317" t="str">
        <f t="shared" si="17"/>
        <v/>
      </c>
      <c r="Z172" s="163"/>
      <c r="AA172" s="164"/>
      <c r="AB172" s="101"/>
      <c r="AE172" s="25" t="str">
        <f t="shared" si="13"/>
        <v/>
      </c>
    </row>
    <row r="173" spans="1:31" ht="14.5" thickBot="1" x14ac:dyDescent="0.35">
      <c r="A173" s="20" t="str">
        <f>IFERROR(INDEX('G-8 Condition Look up'!$I$4:$I$135,MATCH(F173,'G-8 Condition Look up'!$A$4:$A$135,0)),"")</f>
        <v/>
      </c>
      <c r="B173" s="679">
        <v>163</v>
      </c>
      <c r="C173" s="247" t="str">
        <f>IFERROR(INDEX('G-1 All Habitats'!$AG$25:$AG$41,MATCH(D173,'G-1 All Habitats'!AF$25:AF$41,0)),"")</f>
        <v/>
      </c>
      <c r="D173" s="38"/>
      <c r="E173" s="45"/>
      <c r="F173" s="244" t="str">
        <f>IFERROR(INDEX('G-1 All Habitats'!$B$3:$B$135,MATCH(E173,'G-1 All Habitats'!$A$3:$A$135,0)),"")</f>
        <v/>
      </c>
      <c r="G173" s="37"/>
      <c r="H173" s="290" t="str">
        <f>IF(F173="","",VLOOKUP(F173,'G-1 All Habitats'!$B$2:$M$135,10,FALSE))</f>
        <v/>
      </c>
      <c r="I173" s="291" t="str">
        <f>IFERROR(VLOOKUP(H173,'G-1 All Habitats'!$V$3:$W$7,2,FALSE),"")</f>
        <v/>
      </c>
      <c r="J173" s="38"/>
      <c r="K173" s="291" t="str">
        <f>IFERROR(INDEX('G-8 Condition Look up'!$A$3:$H$135,MATCH(F173,'G-8 Condition Look up'!$A$3:$A$135,0),MATCH(J173,'G-8 Condition Look up'!$A$3:$H$3,0)),"")</f>
        <v/>
      </c>
      <c r="L173" s="38"/>
      <c r="M173" s="298" t="str">
        <f>IF(L173="","",IF(VLOOKUP(L173,'G-3 Multipliers'!$L$3:$N$6,2,FALSE)=0,"Spatial Data Missing",VLOOKUP(L173,'G-3 Multipliers'!$L$3:$N$6,2,FALSE)))</f>
        <v/>
      </c>
      <c r="N173" s="296" t="str">
        <f>IF(L173="","",IF(VLOOKUP(L173,'G-3 Multipliers'!$L$3:$N$6,3,FALSE)=0,"Spatial Data Missing",VLOOKUP(L173,'G-3 Multipliers'!$L$3:$N$6,3,FALSE)))</f>
        <v/>
      </c>
      <c r="O173" s="290" t="str">
        <f t="shared" si="12"/>
        <v/>
      </c>
      <c r="P173" s="47"/>
      <c r="Q173" s="47"/>
      <c r="R173" s="298" t="str">
        <f t="shared" si="14"/>
        <v/>
      </c>
      <c r="S173" s="311" t="str">
        <f t="shared" si="15"/>
        <v/>
      </c>
      <c r="T173" s="312" t="str">
        <f>IFERROR(IF(S173="Check Data ⚠","Check Data ⚠",VLOOKUP(S173,'G-4 Temporal multipliers'!$A$4:$C$37,3,FALSE)),"")</f>
        <v/>
      </c>
      <c r="U173" s="313" t="str">
        <f>IF(F173="","",VLOOKUP(F173,'G-3 Multipliers'!$A$2:$E$134,2,FALSE))</f>
        <v/>
      </c>
      <c r="V173" s="310" t="str">
        <f t="shared" si="16"/>
        <v/>
      </c>
      <c r="W173" s="295" t="str">
        <f>IF(E173="","",IF(AND(V173="Standard difficulty applied",O173&gt;P173),U173,IF(AND(V173="Low Difficulty - only applicable if all habitat created before losses ⚠",P173&gt;=O173),"Low",VLOOKUP(F173,'G-3 Multipliers'!$A$2:$E$134,4,FALSE))))</f>
        <v/>
      </c>
      <c r="X173" s="314" t="str">
        <f>IFERROR(IF(E173="","",VLOOKUP(W173, 'G-3 Multipliers'!$P$2:$Q$6,2,FALSE)),"")</f>
        <v/>
      </c>
      <c r="Y173" s="317" t="str">
        <f t="shared" si="17"/>
        <v/>
      </c>
      <c r="Z173" s="163"/>
      <c r="AA173" s="164"/>
      <c r="AB173" s="101"/>
      <c r="AE173" s="25" t="str">
        <f t="shared" si="13"/>
        <v/>
      </c>
    </row>
    <row r="174" spans="1:31" ht="14.5" thickBot="1" x14ac:dyDescent="0.35">
      <c r="A174" s="20" t="str">
        <f>IFERROR(INDEX('G-8 Condition Look up'!$I$4:$I$135,MATCH(F174,'G-8 Condition Look up'!$A$4:$A$135,0)),"")</f>
        <v/>
      </c>
      <c r="B174" s="679">
        <v>164</v>
      </c>
      <c r="C174" s="247" t="str">
        <f>IFERROR(INDEX('G-1 All Habitats'!$AG$25:$AG$41,MATCH(D174,'G-1 All Habitats'!AF$25:AF$41,0)),"")</f>
        <v/>
      </c>
      <c r="D174" s="38"/>
      <c r="E174" s="45"/>
      <c r="F174" s="244" t="str">
        <f>IFERROR(INDEX('G-1 All Habitats'!$B$3:$B$135,MATCH(E174,'G-1 All Habitats'!$A$3:$A$135,0)),"")</f>
        <v/>
      </c>
      <c r="G174" s="37"/>
      <c r="H174" s="290" t="str">
        <f>IF(F174="","",VLOOKUP(F174,'G-1 All Habitats'!$B$2:$M$135,10,FALSE))</f>
        <v/>
      </c>
      <c r="I174" s="291" t="str">
        <f>IFERROR(VLOOKUP(H174,'G-1 All Habitats'!$V$3:$W$7,2,FALSE),"")</f>
        <v/>
      </c>
      <c r="J174" s="38"/>
      <c r="K174" s="291" t="str">
        <f>IFERROR(INDEX('G-8 Condition Look up'!$A$3:$H$135,MATCH(F174,'G-8 Condition Look up'!$A$3:$A$135,0),MATCH(J174,'G-8 Condition Look up'!$A$3:$H$3,0)),"")</f>
        <v/>
      </c>
      <c r="L174" s="38"/>
      <c r="M174" s="298" t="str">
        <f>IF(L174="","",IF(VLOOKUP(L174,'G-3 Multipliers'!$L$3:$N$6,2,FALSE)=0,"Spatial Data Missing",VLOOKUP(L174,'G-3 Multipliers'!$L$3:$N$6,2,FALSE)))</f>
        <v/>
      </c>
      <c r="N174" s="296" t="str">
        <f>IF(L174="","",IF(VLOOKUP(L174,'G-3 Multipliers'!$L$3:$N$6,3,FALSE)=0,"Spatial Data Missing",VLOOKUP(L174,'G-3 Multipliers'!$L$3:$N$6,3,FALSE)))</f>
        <v/>
      </c>
      <c r="O174" s="290" t="str">
        <f t="shared" si="12"/>
        <v/>
      </c>
      <c r="P174" s="47"/>
      <c r="Q174" s="47"/>
      <c r="R174" s="298" t="str">
        <f t="shared" si="14"/>
        <v/>
      </c>
      <c r="S174" s="311" t="str">
        <f t="shared" si="15"/>
        <v/>
      </c>
      <c r="T174" s="312" t="str">
        <f>IFERROR(IF(S174="Check Data ⚠","Check Data ⚠",VLOOKUP(S174,'G-4 Temporal multipliers'!$A$4:$C$37,3,FALSE)),"")</f>
        <v/>
      </c>
      <c r="U174" s="313" t="str">
        <f>IF(F174="","",VLOOKUP(F174,'G-3 Multipliers'!$A$2:$E$134,2,FALSE))</f>
        <v/>
      </c>
      <c r="V174" s="310" t="str">
        <f t="shared" si="16"/>
        <v/>
      </c>
      <c r="W174" s="295" t="str">
        <f>IF(E174="","",IF(AND(V174="Standard difficulty applied",O174&gt;P174),U174,IF(AND(V174="Low Difficulty - only applicable if all habitat created before losses ⚠",P174&gt;=O174),"Low",VLOOKUP(F174,'G-3 Multipliers'!$A$2:$E$134,4,FALSE))))</f>
        <v/>
      </c>
      <c r="X174" s="314" t="str">
        <f>IFERROR(IF(E174="","",VLOOKUP(W174, 'G-3 Multipliers'!$P$2:$Q$6,2,FALSE)),"")</f>
        <v/>
      </c>
      <c r="Y174" s="317" t="str">
        <f t="shared" si="17"/>
        <v/>
      </c>
      <c r="Z174" s="163"/>
      <c r="AA174" s="164"/>
      <c r="AB174" s="101"/>
      <c r="AE174" s="25" t="str">
        <f t="shared" si="13"/>
        <v/>
      </c>
    </row>
    <row r="175" spans="1:31" ht="14.5" thickBot="1" x14ac:dyDescent="0.35">
      <c r="A175" s="20" t="str">
        <f>IFERROR(INDEX('G-8 Condition Look up'!$I$4:$I$135,MATCH(F175,'G-8 Condition Look up'!$A$4:$A$135,0)),"")</f>
        <v/>
      </c>
      <c r="B175" s="679">
        <v>165</v>
      </c>
      <c r="C175" s="247" t="str">
        <f>IFERROR(INDEX('G-1 All Habitats'!$AG$25:$AG$41,MATCH(D175,'G-1 All Habitats'!AF$25:AF$41,0)),"")</f>
        <v/>
      </c>
      <c r="D175" s="38"/>
      <c r="E175" s="45"/>
      <c r="F175" s="244" t="str">
        <f>IFERROR(INDEX('G-1 All Habitats'!$B$3:$B$135,MATCH(E175,'G-1 All Habitats'!$A$3:$A$135,0)),"")</f>
        <v/>
      </c>
      <c r="G175" s="37"/>
      <c r="H175" s="290" t="str">
        <f>IF(F175="","",VLOOKUP(F175,'G-1 All Habitats'!$B$2:$M$135,10,FALSE))</f>
        <v/>
      </c>
      <c r="I175" s="291" t="str">
        <f>IFERROR(VLOOKUP(H175,'G-1 All Habitats'!$V$3:$W$7,2,FALSE),"")</f>
        <v/>
      </c>
      <c r="J175" s="38"/>
      <c r="K175" s="291" t="str">
        <f>IFERROR(INDEX('G-8 Condition Look up'!$A$3:$H$135,MATCH(F175,'G-8 Condition Look up'!$A$3:$A$135,0),MATCH(J175,'G-8 Condition Look up'!$A$3:$H$3,0)),"")</f>
        <v/>
      </c>
      <c r="L175" s="38"/>
      <c r="M175" s="298" t="str">
        <f>IF(L175="","",IF(VLOOKUP(L175,'G-3 Multipliers'!$L$3:$N$6,2,FALSE)=0,"Spatial Data Missing",VLOOKUP(L175,'G-3 Multipliers'!$L$3:$N$6,2,FALSE)))</f>
        <v/>
      </c>
      <c r="N175" s="296" t="str">
        <f>IF(L175="","",IF(VLOOKUP(L175,'G-3 Multipliers'!$L$3:$N$6,3,FALSE)=0,"Spatial Data Missing",VLOOKUP(L175,'G-3 Multipliers'!$L$3:$N$6,3,FALSE)))</f>
        <v/>
      </c>
      <c r="O175" s="290" t="str">
        <f t="shared" si="12"/>
        <v/>
      </c>
      <c r="P175" s="47"/>
      <c r="Q175" s="47"/>
      <c r="R175" s="298" t="str">
        <f t="shared" si="14"/>
        <v/>
      </c>
      <c r="S175" s="311" t="str">
        <f t="shared" si="15"/>
        <v/>
      </c>
      <c r="T175" s="312" t="str">
        <f>IFERROR(IF(S175="Check Data ⚠","Check Data ⚠",VLOOKUP(S175,'G-4 Temporal multipliers'!$A$4:$C$37,3,FALSE)),"")</f>
        <v/>
      </c>
      <c r="U175" s="313" t="str">
        <f>IF(F175="","",VLOOKUP(F175,'G-3 Multipliers'!$A$2:$E$134,2,FALSE))</f>
        <v/>
      </c>
      <c r="V175" s="310" t="str">
        <f t="shared" si="16"/>
        <v/>
      </c>
      <c r="W175" s="295" t="str">
        <f>IF(E175="","",IF(AND(V175="Standard difficulty applied",O175&gt;P175),U175,IF(AND(V175="Low Difficulty - only applicable if all habitat created before losses ⚠",P175&gt;=O175),"Low",VLOOKUP(F175,'G-3 Multipliers'!$A$2:$E$134,4,FALSE))))</f>
        <v/>
      </c>
      <c r="X175" s="314" t="str">
        <f>IFERROR(IF(E175="","",VLOOKUP(W175, 'G-3 Multipliers'!$P$2:$Q$6,2,FALSE)),"")</f>
        <v/>
      </c>
      <c r="Y175" s="317" t="str">
        <f t="shared" si="17"/>
        <v/>
      </c>
      <c r="Z175" s="163"/>
      <c r="AA175" s="164"/>
      <c r="AB175" s="101"/>
      <c r="AE175" s="25" t="str">
        <f t="shared" si="13"/>
        <v/>
      </c>
    </row>
    <row r="176" spans="1:31" ht="14.5" thickBot="1" x14ac:dyDescent="0.35">
      <c r="A176" s="20" t="str">
        <f>IFERROR(INDEX('G-8 Condition Look up'!$I$4:$I$135,MATCH(F176,'G-8 Condition Look up'!$A$4:$A$135,0)),"")</f>
        <v/>
      </c>
      <c r="B176" s="679">
        <v>166</v>
      </c>
      <c r="C176" s="247" t="str">
        <f>IFERROR(INDEX('G-1 All Habitats'!$AG$25:$AG$41,MATCH(D176,'G-1 All Habitats'!AF$25:AF$41,0)),"")</f>
        <v/>
      </c>
      <c r="D176" s="38"/>
      <c r="E176" s="45"/>
      <c r="F176" s="244" t="str">
        <f>IFERROR(INDEX('G-1 All Habitats'!$B$3:$B$135,MATCH(E176,'G-1 All Habitats'!$A$3:$A$135,0)),"")</f>
        <v/>
      </c>
      <c r="G176" s="37"/>
      <c r="H176" s="290" t="str">
        <f>IF(F176="","",VLOOKUP(F176,'G-1 All Habitats'!$B$2:$M$135,10,FALSE))</f>
        <v/>
      </c>
      <c r="I176" s="291" t="str">
        <f>IFERROR(VLOOKUP(H176,'G-1 All Habitats'!$V$3:$W$7,2,FALSE),"")</f>
        <v/>
      </c>
      <c r="J176" s="38"/>
      <c r="K176" s="291" t="str">
        <f>IFERROR(INDEX('G-8 Condition Look up'!$A$3:$H$135,MATCH(F176,'G-8 Condition Look up'!$A$3:$A$135,0),MATCH(J176,'G-8 Condition Look up'!$A$3:$H$3,0)),"")</f>
        <v/>
      </c>
      <c r="L176" s="38"/>
      <c r="M176" s="298" t="str">
        <f>IF(L176="","",IF(VLOOKUP(L176,'G-3 Multipliers'!$L$3:$N$6,2,FALSE)=0,"Spatial Data Missing",VLOOKUP(L176,'G-3 Multipliers'!$L$3:$N$6,2,FALSE)))</f>
        <v/>
      </c>
      <c r="N176" s="296" t="str">
        <f>IF(L176="","",IF(VLOOKUP(L176,'G-3 Multipliers'!$L$3:$N$6,3,FALSE)=0,"Spatial Data Missing",VLOOKUP(L176,'G-3 Multipliers'!$L$3:$N$6,3,FALSE)))</f>
        <v/>
      </c>
      <c r="O176" s="290" t="str">
        <f t="shared" si="12"/>
        <v/>
      </c>
      <c r="P176" s="47"/>
      <c r="Q176" s="47"/>
      <c r="R176" s="298" t="str">
        <f t="shared" si="14"/>
        <v/>
      </c>
      <c r="S176" s="311" t="str">
        <f t="shared" si="15"/>
        <v/>
      </c>
      <c r="T176" s="312" t="str">
        <f>IFERROR(IF(S176="Check Data ⚠","Check Data ⚠",VLOOKUP(S176,'G-4 Temporal multipliers'!$A$4:$C$37,3,FALSE)),"")</f>
        <v/>
      </c>
      <c r="U176" s="313" t="str">
        <f>IF(F176="","",VLOOKUP(F176,'G-3 Multipliers'!$A$2:$E$134,2,FALSE))</f>
        <v/>
      </c>
      <c r="V176" s="310" t="str">
        <f t="shared" si="16"/>
        <v/>
      </c>
      <c r="W176" s="295" t="str">
        <f>IF(E176="","",IF(AND(V176="Standard difficulty applied",O176&gt;P176),U176,IF(AND(V176="Low Difficulty - only applicable if all habitat created before losses ⚠",P176&gt;=O176),"Low",VLOOKUP(F176,'G-3 Multipliers'!$A$2:$E$134,4,FALSE))))</f>
        <v/>
      </c>
      <c r="X176" s="314" t="str">
        <f>IFERROR(IF(E176="","",VLOOKUP(W176, 'G-3 Multipliers'!$P$2:$Q$6,2,FALSE)),"")</f>
        <v/>
      </c>
      <c r="Y176" s="317" t="str">
        <f t="shared" si="17"/>
        <v/>
      </c>
      <c r="Z176" s="163"/>
      <c r="AA176" s="164"/>
      <c r="AB176" s="101"/>
      <c r="AE176" s="25" t="str">
        <f t="shared" si="13"/>
        <v/>
      </c>
    </row>
    <row r="177" spans="1:31" ht="14.5" thickBot="1" x14ac:dyDescent="0.35">
      <c r="A177" s="20" t="str">
        <f>IFERROR(INDEX('G-8 Condition Look up'!$I$4:$I$135,MATCH(F177,'G-8 Condition Look up'!$A$4:$A$135,0)),"")</f>
        <v/>
      </c>
      <c r="B177" s="679">
        <v>167</v>
      </c>
      <c r="C177" s="247" t="str">
        <f>IFERROR(INDEX('G-1 All Habitats'!$AG$25:$AG$41,MATCH(D177,'G-1 All Habitats'!AF$25:AF$41,0)),"")</f>
        <v/>
      </c>
      <c r="D177" s="38"/>
      <c r="E177" s="45"/>
      <c r="F177" s="244" t="str">
        <f>IFERROR(INDEX('G-1 All Habitats'!$B$3:$B$135,MATCH(E177,'G-1 All Habitats'!$A$3:$A$135,0)),"")</f>
        <v/>
      </c>
      <c r="G177" s="37"/>
      <c r="H177" s="290" t="str">
        <f>IF(F177="","",VLOOKUP(F177,'G-1 All Habitats'!$B$2:$M$135,10,FALSE))</f>
        <v/>
      </c>
      <c r="I177" s="291" t="str">
        <f>IFERROR(VLOOKUP(H177,'G-1 All Habitats'!$V$3:$W$7,2,FALSE),"")</f>
        <v/>
      </c>
      <c r="J177" s="38"/>
      <c r="K177" s="291" t="str">
        <f>IFERROR(INDEX('G-8 Condition Look up'!$A$3:$H$135,MATCH(F177,'G-8 Condition Look up'!$A$3:$A$135,0),MATCH(J177,'G-8 Condition Look up'!$A$3:$H$3,0)),"")</f>
        <v/>
      </c>
      <c r="L177" s="38"/>
      <c r="M177" s="298" t="str">
        <f>IF(L177="","",IF(VLOOKUP(L177,'G-3 Multipliers'!$L$3:$N$6,2,FALSE)=0,"Spatial Data Missing",VLOOKUP(L177,'G-3 Multipliers'!$L$3:$N$6,2,FALSE)))</f>
        <v/>
      </c>
      <c r="N177" s="296" t="str">
        <f>IF(L177="","",IF(VLOOKUP(L177,'G-3 Multipliers'!$L$3:$N$6,3,FALSE)=0,"Spatial Data Missing",VLOOKUP(L177,'G-3 Multipliers'!$L$3:$N$6,3,FALSE)))</f>
        <v/>
      </c>
      <c r="O177" s="290" t="str">
        <f t="shared" si="12"/>
        <v/>
      </c>
      <c r="P177" s="47"/>
      <c r="Q177" s="47"/>
      <c r="R177" s="298" t="str">
        <f t="shared" si="14"/>
        <v/>
      </c>
      <c r="S177" s="311" t="str">
        <f t="shared" si="15"/>
        <v/>
      </c>
      <c r="T177" s="312" t="str">
        <f>IFERROR(IF(S177="Check Data ⚠","Check Data ⚠",VLOOKUP(S177,'G-4 Temporal multipliers'!$A$4:$C$37,3,FALSE)),"")</f>
        <v/>
      </c>
      <c r="U177" s="313" t="str">
        <f>IF(F177="","",VLOOKUP(F177,'G-3 Multipliers'!$A$2:$E$134,2,FALSE))</f>
        <v/>
      </c>
      <c r="V177" s="310" t="str">
        <f t="shared" si="16"/>
        <v/>
      </c>
      <c r="W177" s="295" t="str">
        <f>IF(E177="","",IF(AND(V177="Standard difficulty applied",O177&gt;P177),U177,IF(AND(V177="Low Difficulty - only applicable if all habitat created before losses ⚠",P177&gt;=O177),"Low",VLOOKUP(F177,'G-3 Multipliers'!$A$2:$E$134,4,FALSE))))</f>
        <v/>
      </c>
      <c r="X177" s="314" t="str">
        <f>IFERROR(IF(E177="","",VLOOKUP(W177, 'G-3 Multipliers'!$P$2:$Q$6,2,FALSE)),"")</f>
        <v/>
      </c>
      <c r="Y177" s="317" t="str">
        <f t="shared" si="17"/>
        <v/>
      </c>
      <c r="Z177" s="163"/>
      <c r="AA177" s="164"/>
      <c r="AB177" s="101"/>
      <c r="AE177" s="25" t="str">
        <f t="shared" si="13"/>
        <v/>
      </c>
    </row>
    <row r="178" spans="1:31" ht="14.5" thickBot="1" x14ac:dyDescent="0.35">
      <c r="A178" s="20" t="str">
        <f>IFERROR(INDEX('G-8 Condition Look up'!$I$4:$I$135,MATCH(F178,'G-8 Condition Look up'!$A$4:$A$135,0)),"")</f>
        <v/>
      </c>
      <c r="B178" s="679">
        <v>168</v>
      </c>
      <c r="C178" s="247" t="str">
        <f>IFERROR(INDEX('G-1 All Habitats'!$AG$25:$AG$41,MATCH(D178,'G-1 All Habitats'!AF$25:AF$41,0)),"")</f>
        <v/>
      </c>
      <c r="D178" s="38"/>
      <c r="E178" s="45"/>
      <c r="F178" s="244" t="str">
        <f>IFERROR(INDEX('G-1 All Habitats'!$B$3:$B$135,MATCH(E178,'G-1 All Habitats'!$A$3:$A$135,0)),"")</f>
        <v/>
      </c>
      <c r="G178" s="37"/>
      <c r="H178" s="290" t="str">
        <f>IF(F178="","",VLOOKUP(F178,'G-1 All Habitats'!$B$2:$M$135,10,FALSE))</f>
        <v/>
      </c>
      <c r="I178" s="291" t="str">
        <f>IFERROR(VLOOKUP(H178,'G-1 All Habitats'!$V$3:$W$7,2,FALSE),"")</f>
        <v/>
      </c>
      <c r="J178" s="38"/>
      <c r="K178" s="291" t="str">
        <f>IFERROR(INDEX('G-8 Condition Look up'!$A$3:$H$135,MATCH(F178,'G-8 Condition Look up'!$A$3:$A$135,0),MATCH(J178,'G-8 Condition Look up'!$A$3:$H$3,0)),"")</f>
        <v/>
      </c>
      <c r="L178" s="38"/>
      <c r="M178" s="298" t="str">
        <f>IF(L178="","",IF(VLOOKUP(L178,'G-3 Multipliers'!$L$3:$N$6,2,FALSE)=0,"Spatial Data Missing",VLOOKUP(L178,'G-3 Multipliers'!$L$3:$N$6,2,FALSE)))</f>
        <v/>
      </c>
      <c r="N178" s="296" t="str">
        <f>IF(L178="","",IF(VLOOKUP(L178,'G-3 Multipliers'!$L$3:$N$6,3,FALSE)=0,"Spatial Data Missing",VLOOKUP(L178,'G-3 Multipliers'!$L$3:$N$6,3,FALSE)))</f>
        <v/>
      </c>
      <c r="O178" s="290" t="str">
        <f t="shared" si="12"/>
        <v/>
      </c>
      <c r="P178" s="47"/>
      <c r="Q178" s="47"/>
      <c r="R178" s="298" t="str">
        <f t="shared" si="14"/>
        <v/>
      </c>
      <c r="S178" s="311" t="str">
        <f t="shared" si="15"/>
        <v/>
      </c>
      <c r="T178" s="312" t="str">
        <f>IFERROR(IF(S178="Check Data ⚠","Check Data ⚠",VLOOKUP(S178,'G-4 Temporal multipliers'!$A$4:$C$37,3,FALSE)),"")</f>
        <v/>
      </c>
      <c r="U178" s="313" t="str">
        <f>IF(F178="","",VLOOKUP(F178,'G-3 Multipliers'!$A$2:$E$134,2,FALSE))</f>
        <v/>
      </c>
      <c r="V178" s="310" t="str">
        <f t="shared" si="16"/>
        <v/>
      </c>
      <c r="W178" s="295" t="str">
        <f>IF(E178="","",IF(AND(V178="Standard difficulty applied",O178&gt;P178),U178,IF(AND(V178="Low Difficulty - only applicable if all habitat created before losses ⚠",P178&gt;=O178),"Low",VLOOKUP(F178,'G-3 Multipliers'!$A$2:$E$134,4,FALSE))))</f>
        <v/>
      </c>
      <c r="X178" s="314" t="str">
        <f>IFERROR(IF(E178="","",VLOOKUP(W178, 'G-3 Multipliers'!$P$2:$Q$6,2,FALSE)),"")</f>
        <v/>
      </c>
      <c r="Y178" s="317" t="str">
        <f t="shared" si="17"/>
        <v/>
      </c>
      <c r="Z178" s="163"/>
      <c r="AA178" s="164"/>
      <c r="AB178" s="101"/>
      <c r="AE178" s="25" t="str">
        <f t="shared" si="13"/>
        <v/>
      </c>
    </row>
    <row r="179" spans="1:31" ht="14.5" thickBot="1" x14ac:dyDescent="0.35">
      <c r="A179" s="20" t="str">
        <f>IFERROR(INDEX('G-8 Condition Look up'!$I$4:$I$135,MATCH(F179,'G-8 Condition Look up'!$A$4:$A$135,0)),"")</f>
        <v/>
      </c>
      <c r="B179" s="679">
        <v>169</v>
      </c>
      <c r="C179" s="247" t="str">
        <f>IFERROR(INDEX('G-1 All Habitats'!$AG$25:$AG$41,MATCH(D179,'G-1 All Habitats'!AF$25:AF$41,0)),"")</f>
        <v/>
      </c>
      <c r="D179" s="38"/>
      <c r="E179" s="45"/>
      <c r="F179" s="244" t="str">
        <f>IFERROR(INDEX('G-1 All Habitats'!$B$3:$B$135,MATCH(E179,'G-1 All Habitats'!$A$3:$A$135,0)),"")</f>
        <v/>
      </c>
      <c r="G179" s="37"/>
      <c r="H179" s="290" t="str">
        <f>IF(F179="","",VLOOKUP(F179,'G-1 All Habitats'!$B$2:$M$135,10,FALSE))</f>
        <v/>
      </c>
      <c r="I179" s="291" t="str">
        <f>IFERROR(VLOOKUP(H179,'G-1 All Habitats'!$V$3:$W$7,2,FALSE),"")</f>
        <v/>
      </c>
      <c r="J179" s="38"/>
      <c r="K179" s="291" t="str">
        <f>IFERROR(INDEX('G-8 Condition Look up'!$A$3:$H$135,MATCH(F179,'G-8 Condition Look up'!$A$3:$A$135,0),MATCH(J179,'G-8 Condition Look up'!$A$3:$H$3,0)),"")</f>
        <v/>
      </c>
      <c r="L179" s="38"/>
      <c r="M179" s="298" t="str">
        <f>IF(L179="","",IF(VLOOKUP(L179,'G-3 Multipliers'!$L$3:$N$6,2,FALSE)=0,"Spatial Data Missing",VLOOKUP(L179,'G-3 Multipliers'!$L$3:$N$6,2,FALSE)))</f>
        <v/>
      </c>
      <c r="N179" s="296" t="str">
        <f>IF(L179="","",IF(VLOOKUP(L179,'G-3 Multipliers'!$L$3:$N$6,3,FALSE)=0,"Spatial Data Missing",VLOOKUP(L179,'G-3 Multipliers'!$L$3:$N$6,3,FALSE)))</f>
        <v/>
      </c>
      <c r="O179" s="290" t="str">
        <f t="shared" si="12"/>
        <v/>
      </c>
      <c r="P179" s="47"/>
      <c r="Q179" s="47"/>
      <c r="R179" s="298" t="str">
        <f t="shared" si="14"/>
        <v/>
      </c>
      <c r="S179" s="311" t="str">
        <f t="shared" si="15"/>
        <v/>
      </c>
      <c r="T179" s="312" t="str">
        <f>IFERROR(IF(S179="Check Data ⚠","Check Data ⚠",VLOOKUP(S179,'G-4 Temporal multipliers'!$A$4:$C$37,3,FALSE)),"")</f>
        <v/>
      </c>
      <c r="U179" s="313" t="str">
        <f>IF(F179="","",VLOOKUP(F179,'G-3 Multipliers'!$A$2:$E$134,2,FALSE))</f>
        <v/>
      </c>
      <c r="V179" s="310" t="str">
        <f t="shared" si="16"/>
        <v/>
      </c>
      <c r="W179" s="295" t="str">
        <f>IF(E179="","",IF(AND(V179="Standard difficulty applied",O179&gt;P179),U179,IF(AND(V179="Low Difficulty - only applicable if all habitat created before losses ⚠",P179&gt;=O179),"Low",VLOOKUP(F179,'G-3 Multipliers'!$A$2:$E$134,4,FALSE))))</f>
        <v/>
      </c>
      <c r="X179" s="314" t="str">
        <f>IFERROR(IF(E179="","",VLOOKUP(W179, 'G-3 Multipliers'!$P$2:$Q$6,2,FALSE)),"")</f>
        <v/>
      </c>
      <c r="Y179" s="317" t="str">
        <f t="shared" si="17"/>
        <v/>
      </c>
      <c r="Z179" s="163"/>
      <c r="AA179" s="164"/>
      <c r="AB179" s="101"/>
      <c r="AE179" s="25" t="str">
        <f t="shared" si="13"/>
        <v/>
      </c>
    </row>
    <row r="180" spans="1:31" ht="14.5" thickBot="1" x14ac:dyDescent="0.35">
      <c r="A180" s="20" t="str">
        <f>IFERROR(INDEX('G-8 Condition Look up'!$I$4:$I$135,MATCH(F180,'G-8 Condition Look up'!$A$4:$A$135,0)),"")</f>
        <v/>
      </c>
      <c r="B180" s="679">
        <v>170</v>
      </c>
      <c r="C180" s="247" t="str">
        <f>IFERROR(INDEX('G-1 All Habitats'!$AG$25:$AG$41,MATCH(D180,'G-1 All Habitats'!AF$25:AF$41,0)),"")</f>
        <v/>
      </c>
      <c r="D180" s="38"/>
      <c r="E180" s="45"/>
      <c r="F180" s="244" t="str">
        <f>IFERROR(INDEX('G-1 All Habitats'!$B$3:$B$135,MATCH(E180,'G-1 All Habitats'!$A$3:$A$135,0)),"")</f>
        <v/>
      </c>
      <c r="G180" s="37"/>
      <c r="H180" s="290" t="str">
        <f>IF(F180="","",VLOOKUP(F180,'G-1 All Habitats'!$B$2:$M$135,10,FALSE))</f>
        <v/>
      </c>
      <c r="I180" s="291" t="str">
        <f>IFERROR(VLOOKUP(H180,'G-1 All Habitats'!$V$3:$W$7,2,FALSE),"")</f>
        <v/>
      </c>
      <c r="J180" s="38"/>
      <c r="K180" s="291" t="str">
        <f>IFERROR(INDEX('G-8 Condition Look up'!$A$3:$H$135,MATCH(F180,'G-8 Condition Look up'!$A$3:$A$135,0),MATCH(J180,'G-8 Condition Look up'!$A$3:$H$3,0)),"")</f>
        <v/>
      </c>
      <c r="L180" s="38"/>
      <c r="M180" s="298" t="str">
        <f>IF(L180="","",IF(VLOOKUP(L180,'G-3 Multipliers'!$L$3:$N$6,2,FALSE)=0,"Spatial Data Missing",VLOOKUP(L180,'G-3 Multipliers'!$L$3:$N$6,2,FALSE)))</f>
        <v/>
      </c>
      <c r="N180" s="296" t="str">
        <f>IF(L180="","",IF(VLOOKUP(L180,'G-3 Multipliers'!$L$3:$N$6,3,FALSE)=0,"Spatial Data Missing",VLOOKUP(L180,'G-3 Multipliers'!$L$3:$N$6,3,FALSE)))</f>
        <v/>
      </c>
      <c r="O180" s="290" t="str">
        <f t="shared" si="12"/>
        <v/>
      </c>
      <c r="P180" s="47"/>
      <c r="Q180" s="47"/>
      <c r="R180" s="298" t="str">
        <f t="shared" si="14"/>
        <v/>
      </c>
      <c r="S180" s="311" t="str">
        <f t="shared" si="15"/>
        <v/>
      </c>
      <c r="T180" s="312" t="str">
        <f>IFERROR(IF(S180="Check Data ⚠","Check Data ⚠",VLOOKUP(S180,'G-4 Temporal multipliers'!$A$4:$C$37,3,FALSE)),"")</f>
        <v/>
      </c>
      <c r="U180" s="313" t="str">
        <f>IF(F180="","",VLOOKUP(F180,'G-3 Multipliers'!$A$2:$E$134,2,FALSE))</f>
        <v/>
      </c>
      <c r="V180" s="310" t="str">
        <f t="shared" si="16"/>
        <v/>
      </c>
      <c r="W180" s="295" t="str">
        <f>IF(E180="","",IF(AND(V180="Standard difficulty applied",O180&gt;P180),U180,IF(AND(V180="Low Difficulty - only applicable if all habitat created before losses ⚠",P180&gt;=O180),"Low",VLOOKUP(F180,'G-3 Multipliers'!$A$2:$E$134,4,FALSE))))</f>
        <v/>
      </c>
      <c r="X180" s="314" t="str">
        <f>IFERROR(IF(E180="","",VLOOKUP(W180, 'G-3 Multipliers'!$P$2:$Q$6,2,FALSE)),"")</f>
        <v/>
      </c>
      <c r="Y180" s="317" t="str">
        <f t="shared" si="17"/>
        <v/>
      </c>
      <c r="Z180" s="163"/>
      <c r="AA180" s="164"/>
      <c r="AB180" s="101"/>
      <c r="AE180" s="25" t="str">
        <f t="shared" si="13"/>
        <v/>
      </c>
    </row>
    <row r="181" spans="1:31" ht="14.5" thickBot="1" x14ac:dyDescent="0.35">
      <c r="A181" s="20" t="str">
        <f>IFERROR(INDEX('G-8 Condition Look up'!$I$4:$I$135,MATCH(F181,'G-8 Condition Look up'!$A$4:$A$135,0)),"")</f>
        <v/>
      </c>
      <c r="B181" s="679">
        <v>171</v>
      </c>
      <c r="C181" s="247" t="str">
        <f>IFERROR(INDEX('G-1 All Habitats'!$AG$25:$AG$41,MATCH(D181,'G-1 All Habitats'!AF$25:AF$41,0)),"")</f>
        <v/>
      </c>
      <c r="D181" s="38"/>
      <c r="E181" s="45"/>
      <c r="F181" s="244" t="str">
        <f>IFERROR(INDEX('G-1 All Habitats'!$B$3:$B$135,MATCH(E181,'G-1 All Habitats'!$A$3:$A$135,0)),"")</f>
        <v/>
      </c>
      <c r="G181" s="37"/>
      <c r="H181" s="290" t="str">
        <f>IF(F181="","",VLOOKUP(F181,'G-1 All Habitats'!$B$2:$M$135,10,FALSE))</f>
        <v/>
      </c>
      <c r="I181" s="291" t="str">
        <f>IFERROR(VLOOKUP(H181,'G-1 All Habitats'!$V$3:$W$7,2,FALSE),"")</f>
        <v/>
      </c>
      <c r="J181" s="38"/>
      <c r="K181" s="291" t="str">
        <f>IFERROR(INDEX('G-8 Condition Look up'!$A$3:$H$135,MATCH(F181,'G-8 Condition Look up'!$A$3:$A$135,0),MATCH(J181,'G-8 Condition Look up'!$A$3:$H$3,0)),"")</f>
        <v/>
      </c>
      <c r="L181" s="38"/>
      <c r="M181" s="298" t="str">
        <f>IF(L181="","",IF(VLOOKUP(L181,'G-3 Multipliers'!$L$3:$N$6,2,FALSE)=0,"Spatial Data Missing",VLOOKUP(L181,'G-3 Multipliers'!$L$3:$N$6,2,FALSE)))</f>
        <v/>
      </c>
      <c r="N181" s="296" t="str">
        <f>IF(L181="","",IF(VLOOKUP(L181,'G-3 Multipliers'!$L$3:$N$6,3,FALSE)=0,"Spatial Data Missing",VLOOKUP(L181,'G-3 Multipliers'!$L$3:$N$6,3,FALSE)))</f>
        <v/>
      </c>
      <c r="O181" s="290" t="str">
        <f t="shared" si="12"/>
        <v/>
      </c>
      <c r="P181" s="47"/>
      <c r="Q181" s="47"/>
      <c r="R181" s="298" t="str">
        <f t="shared" si="14"/>
        <v/>
      </c>
      <c r="S181" s="311" t="str">
        <f t="shared" si="15"/>
        <v/>
      </c>
      <c r="T181" s="312" t="str">
        <f>IFERROR(IF(S181="Check Data ⚠","Check Data ⚠",VLOOKUP(S181,'G-4 Temporal multipliers'!$A$4:$C$37,3,FALSE)),"")</f>
        <v/>
      </c>
      <c r="U181" s="313" t="str">
        <f>IF(F181="","",VLOOKUP(F181,'G-3 Multipliers'!$A$2:$E$134,2,FALSE))</f>
        <v/>
      </c>
      <c r="V181" s="310" t="str">
        <f t="shared" si="16"/>
        <v/>
      </c>
      <c r="W181" s="295" t="str">
        <f>IF(E181="","",IF(AND(V181="Standard difficulty applied",O181&gt;P181),U181,IF(AND(V181="Low Difficulty - only applicable if all habitat created before losses ⚠",P181&gt;=O181),"Low",VLOOKUP(F181,'G-3 Multipliers'!$A$2:$E$134,4,FALSE))))</f>
        <v/>
      </c>
      <c r="X181" s="314" t="str">
        <f>IFERROR(IF(E181="","",VLOOKUP(W181, 'G-3 Multipliers'!$P$2:$Q$6,2,FALSE)),"")</f>
        <v/>
      </c>
      <c r="Y181" s="317" t="str">
        <f t="shared" si="17"/>
        <v/>
      </c>
      <c r="Z181" s="163"/>
      <c r="AA181" s="164"/>
      <c r="AB181" s="101"/>
      <c r="AE181" s="25" t="str">
        <f t="shared" si="13"/>
        <v/>
      </c>
    </row>
    <row r="182" spans="1:31" ht="14.5" thickBot="1" x14ac:dyDescent="0.35">
      <c r="A182" s="20" t="str">
        <f>IFERROR(INDEX('G-8 Condition Look up'!$I$4:$I$135,MATCH(F182,'G-8 Condition Look up'!$A$4:$A$135,0)),"")</f>
        <v/>
      </c>
      <c r="B182" s="679">
        <v>172</v>
      </c>
      <c r="C182" s="247" t="str">
        <f>IFERROR(INDEX('G-1 All Habitats'!$AG$25:$AG$41,MATCH(D182,'G-1 All Habitats'!AF$25:AF$41,0)),"")</f>
        <v/>
      </c>
      <c r="D182" s="38"/>
      <c r="E182" s="45"/>
      <c r="F182" s="244" t="str">
        <f>IFERROR(INDEX('G-1 All Habitats'!$B$3:$B$135,MATCH(E182,'G-1 All Habitats'!$A$3:$A$135,0)),"")</f>
        <v/>
      </c>
      <c r="G182" s="37"/>
      <c r="H182" s="290" t="str">
        <f>IF(F182="","",VLOOKUP(F182,'G-1 All Habitats'!$B$2:$M$135,10,FALSE))</f>
        <v/>
      </c>
      <c r="I182" s="291" t="str">
        <f>IFERROR(VLOOKUP(H182,'G-1 All Habitats'!$V$3:$W$7,2,FALSE),"")</f>
        <v/>
      </c>
      <c r="J182" s="38"/>
      <c r="K182" s="291" t="str">
        <f>IFERROR(INDEX('G-8 Condition Look up'!$A$3:$H$135,MATCH(F182,'G-8 Condition Look up'!$A$3:$A$135,0),MATCH(J182,'G-8 Condition Look up'!$A$3:$H$3,0)),"")</f>
        <v/>
      </c>
      <c r="L182" s="38"/>
      <c r="M182" s="298" t="str">
        <f>IF(L182="","",IF(VLOOKUP(L182,'G-3 Multipliers'!$L$3:$N$6,2,FALSE)=0,"Spatial Data Missing",VLOOKUP(L182,'G-3 Multipliers'!$L$3:$N$6,2,FALSE)))</f>
        <v/>
      </c>
      <c r="N182" s="296" t="str">
        <f>IF(L182="","",IF(VLOOKUP(L182,'G-3 Multipliers'!$L$3:$N$6,3,FALSE)=0,"Spatial Data Missing",VLOOKUP(L182,'G-3 Multipliers'!$L$3:$N$6,3,FALSE)))</f>
        <v/>
      </c>
      <c r="O182" s="290" t="str">
        <f t="shared" si="12"/>
        <v/>
      </c>
      <c r="P182" s="47"/>
      <c r="Q182" s="47"/>
      <c r="R182" s="298" t="str">
        <f t="shared" si="14"/>
        <v/>
      </c>
      <c r="S182" s="311" t="str">
        <f t="shared" si="15"/>
        <v/>
      </c>
      <c r="T182" s="312" t="str">
        <f>IFERROR(IF(S182="Check Data ⚠","Check Data ⚠",VLOOKUP(S182,'G-4 Temporal multipliers'!$A$4:$C$37,3,FALSE)),"")</f>
        <v/>
      </c>
      <c r="U182" s="313" t="str">
        <f>IF(F182="","",VLOOKUP(F182,'G-3 Multipliers'!$A$2:$E$134,2,FALSE))</f>
        <v/>
      </c>
      <c r="V182" s="310" t="str">
        <f t="shared" si="16"/>
        <v/>
      </c>
      <c r="W182" s="295" t="str">
        <f>IF(E182="","",IF(AND(V182="Standard difficulty applied",O182&gt;P182),U182,IF(AND(V182="Low Difficulty - only applicable if all habitat created before losses ⚠",P182&gt;=O182),"Low",VLOOKUP(F182,'G-3 Multipliers'!$A$2:$E$134,4,FALSE))))</f>
        <v/>
      </c>
      <c r="X182" s="314" t="str">
        <f>IFERROR(IF(E182="","",VLOOKUP(W182, 'G-3 Multipliers'!$P$2:$Q$6,2,FALSE)),"")</f>
        <v/>
      </c>
      <c r="Y182" s="317" t="str">
        <f t="shared" si="17"/>
        <v/>
      </c>
      <c r="Z182" s="163"/>
      <c r="AA182" s="164"/>
      <c r="AB182" s="101"/>
      <c r="AE182" s="25" t="str">
        <f t="shared" si="13"/>
        <v/>
      </c>
    </row>
    <row r="183" spans="1:31" ht="14.5" thickBot="1" x14ac:dyDescent="0.35">
      <c r="A183" s="20" t="str">
        <f>IFERROR(INDEX('G-8 Condition Look up'!$I$4:$I$135,MATCH(F183,'G-8 Condition Look up'!$A$4:$A$135,0)),"")</f>
        <v/>
      </c>
      <c r="B183" s="679">
        <v>173</v>
      </c>
      <c r="C183" s="247" t="str">
        <f>IFERROR(INDEX('G-1 All Habitats'!$AG$25:$AG$41,MATCH(D183,'G-1 All Habitats'!AF$25:AF$41,0)),"")</f>
        <v/>
      </c>
      <c r="D183" s="38"/>
      <c r="E183" s="45"/>
      <c r="F183" s="244" t="str">
        <f>IFERROR(INDEX('G-1 All Habitats'!$B$3:$B$135,MATCH(E183,'G-1 All Habitats'!$A$3:$A$135,0)),"")</f>
        <v/>
      </c>
      <c r="G183" s="37"/>
      <c r="H183" s="290" t="str">
        <f>IF(F183="","",VLOOKUP(F183,'G-1 All Habitats'!$B$2:$M$135,10,FALSE))</f>
        <v/>
      </c>
      <c r="I183" s="291" t="str">
        <f>IFERROR(VLOOKUP(H183,'G-1 All Habitats'!$V$3:$W$7,2,FALSE),"")</f>
        <v/>
      </c>
      <c r="J183" s="38"/>
      <c r="K183" s="291" t="str">
        <f>IFERROR(INDEX('G-8 Condition Look up'!$A$3:$H$135,MATCH(F183,'G-8 Condition Look up'!$A$3:$A$135,0),MATCH(J183,'G-8 Condition Look up'!$A$3:$H$3,0)),"")</f>
        <v/>
      </c>
      <c r="L183" s="38"/>
      <c r="M183" s="298" t="str">
        <f>IF(L183="","",IF(VLOOKUP(L183,'G-3 Multipliers'!$L$3:$N$6,2,FALSE)=0,"Spatial Data Missing",VLOOKUP(L183,'G-3 Multipliers'!$L$3:$N$6,2,FALSE)))</f>
        <v/>
      </c>
      <c r="N183" s="296" t="str">
        <f>IF(L183="","",IF(VLOOKUP(L183,'G-3 Multipliers'!$L$3:$N$6,3,FALSE)=0,"Spatial Data Missing",VLOOKUP(L183,'G-3 Multipliers'!$L$3:$N$6,3,FALSE)))</f>
        <v/>
      </c>
      <c r="O183" s="290" t="str">
        <f t="shared" si="12"/>
        <v/>
      </c>
      <c r="P183" s="47"/>
      <c r="Q183" s="47"/>
      <c r="R183" s="298" t="str">
        <f t="shared" si="14"/>
        <v/>
      </c>
      <c r="S183" s="311" t="str">
        <f t="shared" si="15"/>
        <v/>
      </c>
      <c r="T183" s="312" t="str">
        <f>IFERROR(IF(S183="Check Data ⚠","Check Data ⚠",VLOOKUP(S183,'G-4 Temporal multipliers'!$A$4:$C$37,3,FALSE)),"")</f>
        <v/>
      </c>
      <c r="U183" s="313" t="str">
        <f>IF(F183="","",VLOOKUP(F183,'G-3 Multipliers'!$A$2:$E$134,2,FALSE))</f>
        <v/>
      </c>
      <c r="V183" s="310" t="str">
        <f t="shared" si="16"/>
        <v/>
      </c>
      <c r="W183" s="295" t="str">
        <f>IF(E183="","",IF(AND(V183="Standard difficulty applied",O183&gt;P183),U183,IF(AND(V183="Low Difficulty - only applicable if all habitat created before losses ⚠",P183&gt;=O183),"Low",VLOOKUP(F183,'G-3 Multipliers'!$A$2:$E$134,4,FALSE))))</f>
        <v/>
      </c>
      <c r="X183" s="314" t="str">
        <f>IFERROR(IF(E183="","",VLOOKUP(W183, 'G-3 Multipliers'!$P$2:$Q$6,2,FALSE)),"")</f>
        <v/>
      </c>
      <c r="Y183" s="317" t="str">
        <f t="shared" si="17"/>
        <v/>
      </c>
      <c r="Z183" s="163"/>
      <c r="AA183" s="164"/>
      <c r="AB183" s="101"/>
      <c r="AE183" s="25" t="str">
        <f t="shared" si="13"/>
        <v/>
      </c>
    </row>
    <row r="184" spans="1:31" ht="14.5" thickBot="1" x14ac:dyDescent="0.35">
      <c r="A184" s="20" t="str">
        <f>IFERROR(INDEX('G-8 Condition Look up'!$I$4:$I$135,MATCH(F184,'G-8 Condition Look up'!$A$4:$A$135,0)),"")</f>
        <v/>
      </c>
      <c r="B184" s="679">
        <v>174</v>
      </c>
      <c r="C184" s="247" t="str">
        <f>IFERROR(INDEX('G-1 All Habitats'!$AG$25:$AG$41,MATCH(D184,'G-1 All Habitats'!AF$25:AF$41,0)),"")</f>
        <v/>
      </c>
      <c r="D184" s="38"/>
      <c r="E184" s="45"/>
      <c r="F184" s="244" t="str">
        <f>IFERROR(INDEX('G-1 All Habitats'!$B$3:$B$135,MATCH(E184,'G-1 All Habitats'!$A$3:$A$135,0)),"")</f>
        <v/>
      </c>
      <c r="G184" s="37"/>
      <c r="H184" s="290" t="str">
        <f>IF(F184="","",VLOOKUP(F184,'G-1 All Habitats'!$B$2:$M$135,10,FALSE))</f>
        <v/>
      </c>
      <c r="I184" s="291" t="str">
        <f>IFERROR(VLOOKUP(H184,'G-1 All Habitats'!$V$3:$W$7,2,FALSE),"")</f>
        <v/>
      </c>
      <c r="J184" s="38"/>
      <c r="K184" s="291" t="str">
        <f>IFERROR(INDEX('G-8 Condition Look up'!$A$3:$H$135,MATCH(F184,'G-8 Condition Look up'!$A$3:$A$135,0),MATCH(J184,'G-8 Condition Look up'!$A$3:$H$3,0)),"")</f>
        <v/>
      </c>
      <c r="L184" s="38"/>
      <c r="M184" s="298" t="str">
        <f>IF(L184="","",IF(VLOOKUP(L184,'G-3 Multipliers'!$L$3:$N$6,2,FALSE)=0,"Spatial Data Missing",VLOOKUP(L184,'G-3 Multipliers'!$L$3:$N$6,2,FALSE)))</f>
        <v/>
      </c>
      <c r="N184" s="296" t="str">
        <f>IF(L184="","",IF(VLOOKUP(L184,'G-3 Multipliers'!$L$3:$N$6,3,FALSE)=0,"Spatial Data Missing",VLOOKUP(L184,'G-3 Multipliers'!$L$3:$N$6,3,FALSE)))</f>
        <v/>
      </c>
      <c r="O184" s="290" t="str">
        <f t="shared" si="12"/>
        <v/>
      </c>
      <c r="P184" s="47"/>
      <c r="Q184" s="47"/>
      <c r="R184" s="298" t="str">
        <f t="shared" si="14"/>
        <v/>
      </c>
      <c r="S184" s="311" t="str">
        <f t="shared" si="15"/>
        <v/>
      </c>
      <c r="T184" s="312" t="str">
        <f>IFERROR(IF(S184="Check Data ⚠","Check Data ⚠",VLOOKUP(S184,'G-4 Temporal multipliers'!$A$4:$C$37,3,FALSE)),"")</f>
        <v/>
      </c>
      <c r="U184" s="313" t="str">
        <f>IF(F184="","",VLOOKUP(F184,'G-3 Multipliers'!$A$2:$E$134,2,FALSE))</f>
        <v/>
      </c>
      <c r="V184" s="310" t="str">
        <f t="shared" si="16"/>
        <v/>
      </c>
      <c r="W184" s="295" t="str">
        <f>IF(E184="","",IF(AND(V184="Standard difficulty applied",O184&gt;P184),U184,IF(AND(V184="Low Difficulty - only applicable if all habitat created before losses ⚠",P184&gt;=O184),"Low",VLOOKUP(F184,'G-3 Multipliers'!$A$2:$E$134,4,FALSE))))</f>
        <v/>
      </c>
      <c r="X184" s="314" t="str">
        <f>IFERROR(IF(E184="","",VLOOKUP(W184, 'G-3 Multipliers'!$P$2:$Q$6,2,FALSE)),"")</f>
        <v/>
      </c>
      <c r="Y184" s="317" t="str">
        <f t="shared" si="17"/>
        <v/>
      </c>
      <c r="Z184" s="163"/>
      <c r="AA184" s="164"/>
      <c r="AB184" s="101"/>
      <c r="AE184" s="25" t="str">
        <f t="shared" si="13"/>
        <v/>
      </c>
    </row>
    <row r="185" spans="1:31" ht="14.5" thickBot="1" x14ac:dyDescent="0.35">
      <c r="A185" s="20" t="str">
        <f>IFERROR(INDEX('G-8 Condition Look up'!$I$4:$I$135,MATCH(F185,'G-8 Condition Look up'!$A$4:$A$135,0)),"")</f>
        <v/>
      </c>
      <c r="B185" s="679">
        <v>175</v>
      </c>
      <c r="C185" s="247" t="str">
        <f>IFERROR(INDEX('G-1 All Habitats'!$AG$25:$AG$41,MATCH(D185,'G-1 All Habitats'!AF$25:AF$41,0)),"")</f>
        <v/>
      </c>
      <c r="D185" s="38"/>
      <c r="E185" s="45"/>
      <c r="F185" s="244" t="str">
        <f>IFERROR(INDEX('G-1 All Habitats'!$B$3:$B$135,MATCH(E185,'G-1 All Habitats'!$A$3:$A$135,0)),"")</f>
        <v/>
      </c>
      <c r="G185" s="37"/>
      <c r="H185" s="290" t="str">
        <f>IF(F185="","",VLOOKUP(F185,'G-1 All Habitats'!$B$2:$M$135,10,FALSE))</f>
        <v/>
      </c>
      <c r="I185" s="291" t="str">
        <f>IFERROR(VLOOKUP(H185,'G-1 All Habitats'!$V$3:$W$7,2,FALSE),"")</f>
        <v/>
      </c>
      <c r="J185" s="38"/>
      <c r="K185" s="291" t="str">
        <f>IFERROR(INDEX('G-8 Condition Look up'!$A$3:$H$135,MATCH(F185,'G-8 Condition Look up'!$A$3:$A$135,0),MATCH(J185,'G-8 Condition Look up'!$A$3:$H$3,0)),"")</f>
        <v/>
      </c>
      <c r="L185" s="38"/>
      <c r="M185" s="298" t="str">
        <f>IF(L185="","",IF(VLOOKUP(L185,'G-3 Multipliers'!$L$3:$N$6,2,FALSE)=0,"Spatial Data Missing",VLOOKUP(L185,'G-3 Multipliers'!$L$3:$N$6,2,FALSE)))</f>
        <v/>
      </c>
      <c r="N185" s="296" t="str">
        <f>IF(L185="","",IF(VLOOKUP(L185,'G-3 Multipliers'!$L$3:$N$6,3,FALSE)=0,"Spatial Data Missing",VLOOKUP(L185,'G-3 Multipliers'!$L$3:$N$6,3,FALSE)))</f>
        <v/>
      </c>
      <c r="O185" s="290" t="str">
        <f t="shared" si="12"/>
        <v/>
      </c>
      <c r="P185" s="47"/>
      <c r="Q185" s="47"/>
      <c r="R185" s="298" t="str">
        <f t="shared" si="14"/>
        <v/>
      </c>
      <c r="S185" s="311" t="str">
        <f t="shared" si="15"/>
        <v/>
      </c>
      <c r="T185" s="312" t="str">
        <f>IFERROR(IF(S185="Check Data ⚠","Check Data ⚠",VLOOKUP(S185,'G-4 Temporal multipliers'!$A$4:$C$37,3,FALSE)),"")</f>
        <v/>
      </c>
      <c r="U185" s="313" t="str">
        <f>IF(F185="","",VLOOKUP(F185,'G-3 Multipliers'!$A$2:$E$134,2,FALSE))</f>
        <v/>
      </c>
      <c r="V185" s="310" t="str">
        <f t="shared" si="16"/>
        <v/>
      </c>
      <c r="W185" s="295" t="str">
        <f>IF(E185="","",IF(AND(V185="Standard difficulty applied",O185&gt;P185),U185,IF(AND(V185="Low Difficulty - only applicable if all habitat created before losses ⚠",P185&gt;=O185),"Low",VLOOKUP(F185,'G-3 Multipliers'!$A$2:$E$134,4,FALSE))))</f>
        <v/>
      </c>
      <c r="X185" s="314" t="str">
        <f>IFERROR(IF(E185="","",VLOOKUP(W185, 'G-3 Multipliers'!$P$2:$Q$6,2,FALSE)),"")</f>
        <v/>
      </c>
      <c r="Y185" s="317" t="str">
        <f t="shared" si="17"/>
        <v/>
      </c>
      <c r="Z185" s="163"/>
      <c r="AA185" s="164"/>
      <c r="AB185" s="101"/>
      <c r="AE185" s="25" t="str">
        <f t="shared" si="13"/>
        <v/>
      </c>
    </row>
    <row r="186" spans="1:31" ht="14.5" thickBot="1" x14ac:dyDescent="0.35">
      <c r="A186" s="20" t="str">
        <f>IFERROR(INDEX('G-8 Condition Look up'!$I$4:$I$135,MATCH(F186,'G-8 Condition Look up'!$A$4:$A$135,0)),"")</f>
        <v/>
      </c>
      <c r="B186" s="679">
        <v>176</v>
      </c>
      <c r="C186" s="247" t="str">
        <f>IFERROR(INDEX('G-1 All Habitats'!$AG$25:$AG$41,MATCH(D186,'G-1 All Habitats'!AF$25:AF$41,0)),"")</f>
        <v/>
      </c>
      <c r="D186" s="38"/>
      <c r="E186" s="45"/>
      <c r="F186" s="244" t="str">
        <f>IFERROR(INDEX('G-1 All Habitats'!$B$3:$B$135,MATCH(E186,'G-1 All Habitats'!$A$3:$A$135,0)),"")</f>
        <v/>
      </c>
      <c r="G186" s="37"/>
      <c r="H186" s="290" t="str">
        <f>IF(F186="","",VLOOKUP(F186,'G-1 All Habitats'!$B$2:$M$135,10,FALSE))</f>
        <v/>
      </c>
      <c r="I186" s="291" t="str">
        <f>IFERROR(VLOOKUP(H186,'G-1 All Habitats'!$V$3:$W$7,2,FALSE),"")</f>
        <v/>
      </c>
      <c r="J186" s="38"/>
      <c r="K186" s="291" t="str">
        <f>IFERROR(INDEX('G-8 Condition Look up'!$A$3:$H$135,MATCH(F186,'G-8 Condition Look up'!$A$3:$A$135,0),MATCH(J186,'G-8 Condition Look up'!$A$3:$H$3,0)),"")</f>
        <v/>
      </c>
      <c r="L186" s="38"/>
      <c r="M186" s="298" t="str">
        <f>IF(L186="","",IF(VLOOKUP(L186,'G-3 Multipliers'!$L$3:$N$6,2,FALSE)=0,"Spatial Data Missing",VLOOKUP(L186,'G-3 Multipliers'!$L$3:$N$6,2,FALSE)))</f>
        <v/>
      </c>
      <c r="N186" s="296" t="str">
        <f>IF(L186="","",IF(VLOOKUP(L186,'G-3 Multipliers'!$L$3:$N$6,3,FALSE)=0,"Spatial Data Missing",VLOOKUP(L186,'G-3 Multipliers'!$L$3:$N$6,3,FALSE)))</f>
        <v/>
      </c>
      <c r="O186" s="290" t="str">
        <f t="shared" si="12"/>
        <v/>
      </c>
      <c r="P186" s="47"/>
      <c r="Q186" s="47"/>
      <c r="R186" s="298" t="str">
        <f t="shared" si="14"/>
        <v/>
      </c>
      <c r="S186" s="311" t="str">
        <f t="shared" si="15"/>
        <v/>
      </c>
      <c r="T186" s="312" t="str">
        <f>IFERROR(IF(S186="Check Data ⚠","Check Data ⚠",VLOOKUP(S186,'G-4 Temporal multipliers'!$A$4:$C$37,3,FALSE)),"")</f>
        <v/>
      </c>
      <c r="U186" s="313" t="str">
        <f>IF(F186="","",VLOOKUP(F186,'G-3 Multipliers'!$A$2:$E$134,2,FALSE))</f>
        <v/>
      </c>
      <c r="V186" s="310" t="str">
        <f t="shared" si="16"/>
        <v/>
      </c>
      <c r="W186" s="295" t="str">
        <f>IF(E186="","",IF(AND(V186="Standard difficulty applied",O186&gt;P186),U186,IF(AND(V186="Low Difficulty - only applicable if all habitat created before losses ⚠",P186&gt;=O186),"Low",VLOOKUP(F186,'G-3 Multipliers'!$A$2:$E$134,4,FALSE))))</f>
        <v/>
      </c>
      <c r="X186" s="314" t="str">
        <f>IFERROR(IF(E186="","",VLOOKUP(W186, 'G-3 Multipliers'!$P$2:$Q$6,2,FALSE)),"")</f>
        <v/>
      </c>
      <c r="Y186" s="317" t="str">
        <f t="shared" si="17"/>
        <v/>
      </c>
      <c r="Z186" s="163"/>
      <c r="AA186" s="164"/>
      <c r="AB186" s="101"/>
      <c r="AE186" s="25" t="str">
        <f t="shared" si="13"/>
        <v/>
      </c>
    </row>
    <row r="187" spans="1:31" ht="14.5" thickBot="1" x14ac:dyDescent="0.35">
      <c r="A187" s="20" t="str">
        <f>IFERROR(INDEX('G-8 Condition Look up'!$I$4:$I$135,MATCH(F187,'G-8 Condition Look up'!$A$4:$A$135,0)),"")</f>
        <v/>
      </c>
      <c r="B187" s="679">
        <v>177</v>
      </c>
      <c r="C187" s="247" t="str">
        <f>IFERROR(INDEX('G-1 All Habitats'!$AG$25:$AG$41,MATCH(D187,'G-1 All Habitats'!AF$25:AF$41,0)),"")</f>
        <v/>
      </c>
      <c r="D187" s="38"/>
      <c r="E187" s="45"/>
      <c r="F187" s="244" t="str">
        <f>IFERROR(INDEX('G-1 All Habitats'!$B$3:$B$135,MATCH(E187,'G-1 All Habitats'!$A$3:$A$135,0)),"")</f>
        <v/>
      </c>
      <c r="G187" s="37"/>
      <c r="H187" s="290" t="str">
        <f>IF(F187="","",VLOOKUP(F187,'G-1 All Habitats'!$B$2:$M$135,10,FALSE))</f>
        <v/>
      </c>
      <c r="I187" s="291" t="str">
        <f>IFERROR(VLOOKUP(H187,'G-1 All Habitats'!$V$3:$W$7,2,FALSE),"")</f>
        <v/>
      </c>
      <c r="J187" s="38"/>
      <c r="K187" s="291" t="str">
        <f>IFERROR(INDEX('G-8 Condition Look up'!$A$3:$H$135,MATCH(F187,'G-8 Condition Look up'!$A$3:$A$135,0),MATCH(J187,'G-8 Condition Look up'!$A$3:$H$3,0)),"")</f>
        <v/>
      </c>
      <c r="L187" s="38"/>
      <c r="M187" s="298" t="str">
        <f>IF(L187="","",IF(VLOOKUP(L187,'G-3 Multipliers'!$L$3:$N$6,2,FALSE)=0,"Spatial Data Missing",VLOOKUP(L187,'G-3 Multipliers'!$L$3:$N$6,2,FALSE)))</f>
        <v/>
      </c>
      <c r="N187" s="296" t="str">
        <f>IF(L187="","",IF(VLOOKUP(L187,'G-3 Multipliers'!$L$3:$N$6,3,FALSE)=0,"Spatial Data Missing",VLOOKUP(L187,'G-3 Multipliers'!$L$3:$N$6,3,FALSE)))</f>
        <v/>
      </c>
      <c r="O187" s="290" t="str">
        <f t="shared" si="12"/>
        <v/>
      </c>
      <c r="P187" s="47"/>
      <c r="Q187" s="47"/>
      <c r="R187" s="298" t="str">
        <f t="shared" si="14"/>
        <v/>
      </c>
      <c r="S187" s="311" t="str">
        <f t="shared" si="15"/>
        <v/>
      </c>
      <c r="T187" s="312" t="str">
        <f>IFERROR(IF(S187="Check Data ⚠","Check Data ⚠",VLOOKUP(S187,'G-4 Temporal multipliers'!$A$4:$C$37,3,FALSE)),"")</f>
        <v/>
      </c>
      <c r="U187" s="313" t="str">
        <f>IF(F187="","",VLOOKUP(F187,'G-3 Multipliers'!$A$2:$E$134,2,FALSE))</f>
        <v/>
      </c>
      <c r="V187" s="310" t="str">
        <f t="shared" si="16"/>
        <v/>
      </c>
      <c r="W187" s="295" t="str">
        <f>IF(E187="","",IF(AND(V187="Standard difficulty applied",O187&gt;P187),U187,IF(AND(V187="Low Difficulty - only applicable if all habitat created before losses ⚠",P187&gt;=O187),"Low",VLOOKUP(F187,'G-3 Multipliers'!$A$2:$E$134,4,FALSE))))</f>
        <v/>
      </c>
      <c r="X187" s="314" t="str">
        <f>IFERROR(IF(E187="","",VLOOKUP(W187, 'G-3 Multipliers'!$P$2:$Q$6,2,FALSE)),"")</f>
        <v/>
      </c>
      <c r="Y187" s="317" t="str">
        <f t="shared" si="17"/>
        <v/>
      </c>
      <c r="Z187" s="163"/>
      <c r="AA187" s="164"/>
      <c r="AB187" s="101"/>
      <c r="AE187" s="25" t="str">
        <f t="shared" si="13"/>
        <v/>
      </c>
    </row>
    <row r="188" spans="1:31" ht="14.5" thickBot="1" x14ac:dyDescent="0.35">
      <c r="A188" s="20" t="str">
        <f>IFERROR(INDEX('G-8 Condition Look up'!$I$4:$I$135,MATCH(F188,'G-8 Condition Look up'!$A$4:$A$135,0)),"")</f>
        <v/>
      </c>
      <c r="B188" s="679">
        <v>178</v>
      </c>
      <c r="C188" s="247" t="str">
        <f>IFERROR(INDEX('G-1 All Habitats'!$AG$25:$AG$41,MATCH(D188,'G-1 All Habitats'!AF$25:AF$41,0)),"")</f>
        <v/>
      </c>
      <c r="D188" s="38"/>
      <c r="E188" s="45"/>
      <c r="F188" s="244" t="str">
        <f>IFERROR(INDEX('G-1 All Habitats'!$B$3:$B$135,MATCH(E188,'G-1 All Habitats'!$A$3:$A$135,0)),"")</f>
        <v/>
      </c>
      <c r="G188" s="37"/>
      <c r="H188" s="290" t="str">
        <f>IF(F188="","",VLOOKUP(F188,'G-1 All Habitats'!$B$2:$M$135,10,FALSE))</f>
        <v/>
      </c>
      <c r="I188" s="291" t="str">
        <f>IFERROR(VLOOKUP(H188,'G-1 All Habitats'!$V$3:$W$7,2,FALSE),"")</f>
        <v/>
      </c>
      <c r="J188" s="38"/>
      <c r="K188" s="291" t="str">
        <f>IFERROR(INDEX('G-8 Condition Look up'!$A$3:$H$135,MATCH(F188,'G-8 Condition Look up'!$A$3:$A$135,0),MATCH(J188,'G-8 Condition Look up'!$A$3:$H$3,0)),"")</f>
        <v/>
      </c>
      <c r="L188" s="38"/>
      <c r="M188" s="298" t="str">
        <f>IF(L188="","",IF(VLOOKUP(L188,'G-3 Multipliers'!$L$3:$N$6,2,FALSE)=0,"Spatial Data Missing",VLOOKUP(L188,'G-3 Multipliers'!$L$3:$N$6,2,FALSE)))</f>
        <v/>
      </c>
      <c r="N188" s="296" t="str">
        <f>IF(L188="","",IF(VLOOKUP(L188,'G-3 Multipliers'!$L$3:$N$6,3,FALSE)=0,"Spatial Data Missing",VLOOKUP(L188,'G-3 Multipliers'!$L$3:$N$6,3,FALSE)))</f>
        <v/>
      </c>
      <c r="O188" s="290" t="str">
        <f t="shared" si="12"/>
        <v/>
      </c>
      <c r="P188" s="47"/>
      <c r="Q188" s="47"/>
      <c r="R188" s="298" t="str">
        <f t="shared" si="14"/>
        <v/>
      </c>
      <c r="S188" s="311" t="str">
        <f t="shared" si="15"/>
        <v/>
      </c>
      <c r="T188" s="312" t="str">
        <f>IFERROR(IF(S188="Check Data ⚠","Check Data ⚠",VLOOKUP(S188,'G-4 Temporal multipliers'!$A$4:$C$37,3,FALSE)),"")</f>
        <v/>
      </c>
      <c r="U188" s="313" t="str">
        <f>IF(F188="","",VLOOKUP(F188,'G-3 Multipliers'!$A$2:$E$134,2,FALSE))</f>
        <v/>
      </c>
      <c r="V188" s="310" t="str">
        <f t="shared" si="16"/>
        <v/>
      </c>
      <c r="W188" s="295" t="str">
        <f>IF(E188="","",IF(AND(V188="Standard difficulty applied",O188&gt;P188),U188,IF(AND(V188="Low Difficulty - only applicable if all habitat created before losses ⚠",P188&gt;=O188),"Low",VLOOKUP(F188,'G-3 Multipliers'!$A$2:$E$134,4,FALSE))))</f>
        <v/>
      </c>
      <c r="X188" s="314" t="str">
        <f>IFERROR(IF(E188="","",VLOOKUP(W188, 'G-3 Multipliers'!$P$2:$Q$6,2,FALSE)),"")</f>
        <v/>
      </c>
      <c r="Y188" s="317" t="str">
        <f t="shared" si="17"/>
        <v/>
      </c>
      <c r="Z188" s="163"/>
      <c r="AA188" s="164"/>
      <c r="AB188" s="101"/>
      <c r="AE188" s="25" t="str">
        <f t="shared" si="13"/>
        <v/>
      </c>
    </row>
    <row r="189" spans="1:31" ht="14.5" thickBot="1" x14ac:dyDescent="0.35">
      <c r="A189" s="20" t="str">
        <f>IFERROR(INDEX('G-8 Condition Look up'!$I$4:$I$135,MATCH(F189,'G-8 Condition Look up'!$A$4:$A$135,0)),"")</f>
        <v/>
      </c>
      <c r="B189" s="679">
        <v>179</v>
      </c>
      <c r="C189" s="247" t="str">
        <f>IFERROR(INDEX('G-1 All Habitats'!$AG$25:$AG$41,MATCH(D189,'G-1 All Habitats'!AF$25:AF$41,0)),"")</f>
        <v/>
      </c>
      <c r="D189" s="38"/>
      <c r="E189" s="45"/>
      <c r="F189" s="244" t="str">
        <f>IFERROR(INDEX('G-1 All Habitats'!$B$3:$B$135,MATCH(E189,'G-1 All Habitats'!$A$3:$A$135,0)),"")</f>
        <v/>
      </c>
      <c r="G189" s="37"/>
      <c r="H189" s="290" t="str">
        <f>IF(F189="","",VLOOKUP(F189,'G-1 All Habitats'!$B$2:$M$135,10,FALSE))</f>
        <v/>
      </c>
      <c r="I189" s="291" t="str">
        <f>IFERROR(VLOOKUP(H189,'G-1 All Habitats'!$V$3:$W$7,2,FALSE),"")</f>
        <v/>
      </c>
      <c r="J189" s="38"/>
      <c r="K189" s="291" t="str">
        <f>IFERROR(INDEX('G-8 Condition Look up'!$A$3:$H$135,MATCH(F189,'G-8 Condition Look up'!$A$3:$A$135,0),MATCH(J189,'G-8 Condition Look up'!$A$3:$H$3,0)),"")</f>
        <v/>
      </c>
      <c r="L189" s="38"/>
      <c r="M189" s="298" t="str">
        <f>IF(L189="","",IF(VLOOKUP(L189,'G-3 Multipliers'!$L$3:$N$6,2,FALSE)=0,"Spatial Data Missing",VLOOKUP(L189,'G-3 Multipliers'!$L$3:$N$6,2,FALSE)))</f>
        <v/>
      </c>
      <c r="N189" s="296" t="str">
        <f>IF(L189="","",IF(VLOOKUP(L189,'G-3 Multipliers'!$L$3:$N$6,3,FALSE)=0,"Spatial Data Missing",VLOOKUP(L189,'G-3 Multipliers'!$L$3:$N$6,3,FALSE)))</f>
        <v/>
      </c>
      <c r="O189" s="290" t="str">
        <f t="shared" si="12"/>
        <v/>
      </c>
      <c r="P189" s="47"/>
      <c r="Q189" s="47"/>
      <c r="R189" s="298" t="str">
        <f t="shared" si="14"/>
        <v/>
      </c>
      <c r="S189" s="311" t="str">
        <f t="shared" si="15"/>
        <v/>
      </c>
      <c r="T189" s="312" t="str">
        <f>IFERROR(IF(S189="Check Data ⚠","Check Data ⚠",VLOOKUP(S189,'G-4 Temporal multipliers'!$A$4:$C$37,3,FALSE)),"")</f>
        <v/>
      </c>
      <c r="U189" s="313" t="str">
        <f>IF(F189="","",VLOOKUP(F189,'G-3 Multipliers'!$A$2:$E$134,2,FALSE))</f>
        <v/>
      </c>
      <c r="V189" s="310" t="str">
        <f t="shared" si="16"/>
        <v/>
      </c>
      <c r="W189" s="295" t="str">
        <f>IF(E189="","",IF(AND(V189="Standard difficulty applied",O189&gt;P189),U189,IF(AND(V189="Low Difficulty - only applicable if all habitat created before losses ⚠",P189&gt;=O189),"Low",VLOOKUP(F189,'G-3 Multipliers'!$A$2:$E$134,4,FALSE))))</f>
        <v/>
      </c>
      <c r="X189" s="314" t="str">
        <f>IFERROR(IF(E189="","",VLOOKUP(W189, 'G-3 Multipliers'!$P$2:$Q$6,2,FALSE)),"")</f>
        <v/>
      </c>
      <c r="Y189" s="317" t="str">
        <f t="shared" si="17"/>
        <v/>
      </c>
      <c r="Z189" s="163"/>
      <c r="AA189" s="164"/>
      <c r="AB189" s="101"/>
      <c r="AE189" s="25" t="str">
        <f t="shared" si="13"/>
        <v/>
      </c>
    </row>
    <row r="190" spans="1:31" ht="14.5" thickBot="1" x14ac:dyDescent="0.35">
      <c r="A190" s="20" t="str">
        <f>IFERROR(INDEX('G-8 Condition Look up'!$I$4:$I$135,MATCH(F190,'G-8 Condition Look up'!$A$4:$A$135,0)),"")</f>
        <v/>
      </c>
      <c r="B190" s="679">
        <v>180</v>
      </c>
      <c r="C190" s="247" t="str">
        <f>IFERROR(INDEX('G-1 All Habitats'!$AG$25:$AG$41,MATCH(D190,'G-1 All Habitats'!AF$25:AF$41,0)),"")</f>
        <v/>
      </c>
      <c r="D190" s="38"/>
      <c r="E190" s="45"/>
      <c r="F190" s="244" t="str">
        <f>IFERROR(INDEX('G-1 All Habitats'!$B$3:$B$135,MATCH(E190,'G-1 All Habitats'!$A$3:$A$135,0)),"")</f>
        <v/>
      </c>
      <c r="G190" s="37"/>
      <c r="H190" s="290" t="str">
        <f>IF(F190="","",VLOOKUP(F190,'G-1 All Habitats'!$B$2:$M$135,10,FALSE))</f>
        <v/>
      </c>
      <c r="I190" s="291" t="str">
        <f>IFERROR(VLOOKUP(H190,'G-1 All Habitats'!$V$3:$W$7,2,FALSE),"")</f>
        <v/>
      </c>
      <c r="J190" s="38"/>
      <c r="K190" s="291" t="str">
        <f>IFERROR(INDEX('G-8 Condition Look up'!$A$3:$H$135,MATCH(F190,'G-8 Condition Look up'!$A$3:$A$135,0),MATCH(J190,'G-8 Condition Look up'!$A$3:$H$3,0)),"")</f>
        <v/>
      </c>
      <c r="L190" s="38"/>
      <c r="M190" s="298" t="str">
        <f>IF(L190="","",IF(VLOOKUP(L190,'G-3 Multipliers'!$L$3:$N$6,2,FALSE)=0,"Spatial Data Missing",VLOOKUP(L190,'G-3 Multipliers'!$L$3:$N$6,2,FALSE)))</f>
        <v/>
      </c>
      <c r="N190" s="296" t="str">
        <f>IF(L190="","",IF(VLOOKUP(L190,'G-3 Multipliers'!$L$3:$N$6,3,FALSE)=0,"Spatial Data Missing",VLOOKUP(L190,'G-3 Multipliers'!$L$3:$N$6,3,FALSE)))</f>
        <v/>
      </c>
      <c r="O190" s="290" t="str">
        <f t="shared" si="12"/>
        <v/>
      </c>
      <c r="P190" s="47"/>
      <c r="Q190" s="47"/>
      <c r="R190" s="298" t="str">
        <f t="shared" si="14"/>
        <v/>
      </c>
      <c r="S190" s="311" t="str">
        <f t="shared" si="15"/>
        <v/>
      </c>
      <c r="T190" s="312" t="str">
        <f>IFERROR(IF(S190="Check Data ⚠","Check Data ⚠",VLOOKUP(S190,'G-4 Temporal multipliers'!$A$4:$C$37,3,FALSE)),"")</f>
        <v/>
      </c>
      <c r="U190" s="313" t="str">
        <f>IF(F190="","",VLOOKUP(F190,'G-3 Multipliers'!$A$2:$E$134,2,FALSE))</f>
        <v/>
      </c>
      <c r="V190" s="310" t="str">
        <f t="shared" si="16"/>
        <v/>
      </c>
      <c r="W190" s="295" t="str">
        <f>IF(E190="","",IF(AND(V190="Standard difficulty applied",O190&gt;P190),U190,IF(AND(V190="Low Difficulty - only applicable if all habitat created before losses ⚠",P190&gt;=O190),"Low",VLOOKUP(F190,'G-3 Multipliers'!$A$2:$E$134,4,FALSE))))</f>
        <v/>
      </c>
      <c r="X190" s="314" t="str">
        <f>IFERROR(IF(E190="","",VLOOKUP(W190, 'G-3 Multipliers'!$P$2:$Q$6,2,FALSE)),"")</f>
        <v/>
      </c>
      <c r="Y190" s="317" t="str">
        <f t="shared" si="17"/>
        <v/>
      </c>
      <c r="Z190" s="163"/>
      <c r="AA190" s="164"/>
      <c r="AB190" s="101"/>
      <c r="AE190" s="25" t="str">
        <f t="shared" si="13"/>
        <v/>
      </c>
    </row>
    <row r="191" spans="1:31" ht="14.5" thickBot="1" x14ac:dyDescent="0.35">
      <c r="A191" s="20" t="str">
        <f>IFERROR(INDEX('G-8 Condition Look up'!$I$4:$I$135,MATCH(F191,'G-8 Condition Look up'!$A$4:$A$135,0)),"")</f>
        <v/>
      </c>
      <c r="B191" s="679">
        <v>181</v>
      </c>
      <c r="C191" s="247" t="str">
        <f>IFERROR(INDEX('G-1 All Habitats'!$AG$25:$AG$41,MATCH(D191,'G-1 All Habitats'!AF$25:AF$41,0)),"")</f>
        <v/>
      </c>
      <c r="D191" s="38"/>
      <c r="E191" s="45"/>
      <c r="F191" s="244" t="str">
        <f>IFERROR(INDEX('G-1 All Habitats'!$B$3:$B$135,MATCH(E191,'G-1 All Habitats'!$A$3:$A$135,0)),"")</f>
        <v/>
      </c>
      <c r="G191" s="37"/>
      <c r="H191" s="290" t="str">
        <f>IF(F191="","",VLOOKUP(F191,'G-1 All Habitats'!$B$2:$M$135,10,FALSE))</f>
        <v/>
      </c>
      <c r="I191" s="291" t="str">
        <f>IFERROR(VLOOKUP(H191,'G-1 All Habitats'!$V$3:$W$7,2,FALSE),"")</f>
        <v/>
      </c>
      <c r="J191" s="38"/>
      <c r="K191" s="291" t="str">
        <f>IFERROR(INDEX('G-8 Condition Look up'!$A$3:$H$135,MATCH(F191,'G-8 Condition Look up'!$A$3:$A$135,0),MATCH(J191,'G-8 Condition Look up'!$A$3:$H$3,0)),"")</f>
        <v/>
      </c>
      <c r="L191" s="38"/>
      <c r="M191" s="298" t="str">
        <f>IF(L191="","",IF(VLOOKUP(L191,'G-3 Multipliers'!$L$3:$N$6,2,FALSE)=0,"Spatial Data Missing",VLOOKUP(L191,'G-3 Multipliers'!$L$3:$N$6,2,FALSE)))</f>
        <v/>
      </c>
      <c r="N191" s="296" t="str">
        <f>IF(L191="","",IF(VLOOKUP(L191,'G-3 Multipliers'!$L$3:$N$6,3,FALSE)=0,"Spatial Data Missing",VLOOKUP(L191,'G-3 Multipliers'!$L$3:$N$6,3,FALSE)))</f>
        <v/>
      </c>
      <c r="O191" s="290" t="str">
        <f t="shared" si="12"/>
        <v/>
      </c>
      <c r="P191" s="47"/>
      <c r="Q191" s="47"/>
      <c r="R191" s="298" t="str">
        <f t="shared" si="14"/>
        <v/>
      </c>
      <c r="S191" s="311" t="str">
        <f t="shared" si="15"/>
        <v/>
      </c>
      <c r="T191" s="312" t="str">
        <f>IFERROR(IF(S191="Check Data ⚠","Check Data ⚠",VLOOKUP(S191,'G-4 Temporal multipliers'!$A$4:$C$37,3,FALSE)),"")</f>
        <v/>
      </c>
      <c r="U191" s="313" t="str">
        <f>IF(F191="","",VLOOKUP(F191,'G-3 Multipliers'!$A$2:$E$134,2,FALSE))</f>
        <v/>
      </c>
      <c r="V191" s="310" t="str">
        <f t="shared" si="16"/>
        <v/>
      </c>
      <c r="W191" s="295" t="str">
        <f>IF(E191="","",IF(AND(V191="Standard difficulty applied",O191&gt;P191),U191,IF(AND(V191="Low Difficulty - only applicable if all habitat created before losses ⚠",P191&gt;=O191),"Low",VLOOKUP(F191,'G-3 Multipliers'!$A$2:$E$134,4,FALSE))))</f>
        <v/>
      </c>
      <c r="X191" s="314" t="str">
        <f>IFERROR(IF(E191="","",VLOOKUP(W191, 'G-3 Multipliers'!$P$2:$Q$6,2,FALSE)),"")</f>
        <v/>
      </c>
      <c r="Y191" s="317" t="str">
        <f t="shared" si="17"/>
        <v/>
      </c>
      <c r="Z191" s="163"/>
      <c r="AA191" s="164"/>
      <c r="AB191" s="101"/>
      <c r="AE191" s="25" t="str">
        <f t="shared" si="13"/>
        <v/>
      </c>
    </row>
    <row r="192" spans="1:31" ht="14.5" thickBot="1" x14ac:dyDescent="0.35">
      <c r="A192" s="20" t="str">
        <f>IFERROR(INDEX('G-8 Condition Look up'!$I$4:$I$135,MATCH(F192,'G-8 Condition Look up'!$A$4:$A$135,0)),"")</f>
        <v/>
      </c>
      <c r="B192" s="679">
        <v>182</v>
      </c>
      <c r="C192" s="247" t="str">
        <f>IFERROR(INDEX('G-1 All Habitats'!$AG$25:$AG$41,MATCH(D192,'G-1 All Habitats'!AF$25:AF$41,0)),"")</f>
        <v/>
      </c>
      <c r="D192" s="38"/>
      <c r="E192" s="45"/>
      <c r="F192" s="244" t="str">
        <f>IFERROR(INDEX('G-1 All Habitats'!$B$3:$B$135,MATCH(E192,'G-1 All Habitats'!$A$3:$A$135,0)),"")</f>
        <v/>
      </c>
      <c r="G192" s="37"/>
      <c r="H192" s="290" t="str">
        <f>IF(F192="","",VLOOKUP(F192,'G-1 All Habitats'!$B$2:$M$135,10,FALSE))</f>
        <v/>
      </c>
      <c r="I192" s="291" t="str">
        <f>IFERROR(VLOOKUP(H192,'G-1 All Habitats'!$V$3:$W$7,2,FALSE),"")</f>
        <v/>
      </c>
      <c r="J192" s="38"/>
      <c r="K192" s="291" t="str">
        <f>IFERROR(INDEX('G-8 Condition Look up'!$A$3:$H$135,MATCH(F192,'G-8 Condition Look up'!$A$3:$A$135,0),MATCH(J192,'G-8 Condition Look up'!$A$3:$H$3,0)),"")</f>
        <v/>
      </c>
      <c r="L192" s="38"/>
      <c r="M192" s="298" t="str">
        <f>IF(L192="","",IF(VLOOKUP(L192,'G-3 Multipliers'!$L$3:$N$6,2,FALSE)=0,"Spatial Data Missing",VLOOKUP(L192,'G-3 Multipliers'!$L$3:$N$6,2,FALSE)))</f>
        <v/>
      </c>
      <c r="N192" s="296" t="str">
        <f>IF(L192="","",IF(VLOOKUP(L192,'G-3 Multipliers'!$L$3:$N$6,3,FALSE)=0,"Spatial Data Missing",VLOOKUP(L192,'G-3 Multipliers'!$L$3:$N$6,3,FALSE)))</f>
        <v/>
      </c>
      <c r="O192" s="290" t="str">
        <f t="shared" si="12"/>
        <v/>
      </c>
      <c r="P192" s="47"/>
      <c r="Q192" s="47"/>
      <c r="R192" s="298" t="str">
        <f t="shared" si="14"/>
        <v/>
      </c>
      <c r="S192" s="311" t="str">
        <f t="shared" si="15"/>
        <v/>
      </c>
      <c r="T192" s="312" t="str">
        <f>IFERROR(IF(S192="Check Data ⚠","Check Data ⚠",VLOOKUP(S192,'G-4 Temporal multipliers'!$A$4:$C$37,3,FALSE)),"")</f>
        <v/>
      </c>
      <c r="U192" s="313" t="str">
        <f>IF(F192="","",VLOOKUP(F192,'G-3 Multipliers'!$A$2:$E$134,2,FALSE))</f>
        <v/>
      </c>
      <c r="V192" s="310" t="str">
        <f t="shared" si="16"/>
        <v/>
      </c>
      <c r="W192" s="295" t="str">
        <f>IF(E192="","",IF(AND(V192="Standard difficulty applied",O192&gt;P192),U192,IF(AND(V192="Low Difficulty - only applicable if all habitat created before losses ⚠",P192&gt;=O192),"Low",VLOOKUP(F192,'G-3 Multipliers'!$A$2:$E$134,4,FALSE))))</f>
        <v/>
      </c>
      <c r="X192" s="314" t="str">
        <f>IFERROR(IF(E192="","",VLOOKUP(W192, 'G-3 Multipliers'!$P$2:$Q$6,2,FALSE)),"")</f>
        <v/>
      </c>
      <c r="Y192" s="317" t="str">
        <f t="shared" si="17"/>
        <v/>
      </c>
      <c r="Z192" s="163"/>
      <c r="AA192" s="164"/>
      <c r="AB192" s="101"/>
      <c r="AE192" s="25" t="str">
        <f t="shared" si="13"/>
        <v/>
      </c>
    </row>
    <row r="193" spans="1:31" ht="14.5" thickBot="1" x14ac:dyDescent="0.35">
      <c r="A193" s="20" t="str">
        <f>IFERROR(INDEX('G-8 Condition Look up'!$I$4:$I$135,MATCH(F193,'G-8 Condition Look up'!$A$4:$A$135,0)),"")</f>
        <v/>
      </c>
      <c r="B193" s="679">
        <v>183</v>
      </c>
      <c r="C193" s="247" t="str">
        <f>IFERROR(INDEX('G-1 All Habitats'!$AG$25:$AG$41,MATCH(D193,'G-1 All Habitats'!AF$25:AF$41,0)),"")</f>
        <v/>
      </c>
      <c r="D193" s="38"/>
      <c r="E193" s="45"/>
      <c r="F193" s="244" t="str">
        <f>IFERROR(INDEX('G-1 All Habitats'!$B$3:$B$135,MATCH(E193,'G-1 All Habitats'!$A$3:$A$135,0)),"")</f>
        <v/>
      </c>
      <c r="G193" s="37"/>
      <c r="H193" s="290" t="str">
        <f>IF(F193="","",VLOOKUP(F193,'G-1 All Habitats'!$B$2:$M$135,10,FALSE))</f>
        <v/>
      </c>
      <c r="I193" s="291" t="str">
        <f>IFERROR(VLOOKUP(H193,'G-1 All Habitats'!$V$3:$W$7,2,FALSE),"")</f>
        <v/>
      </c>
      <c r="J193" s="38"/>
      <c r="K193" s="291" t="str">
        <f>IFERROR(INDEX('G-8 Condition Look up'!$A$3:$H$135,MATCH(F193,'G-8 Condition Look up'!$A$3:$A$135,0),MATCH(J193,'G-8 Condition Look up'!$A$3:$H$3,0)),"")</f>
        <v/>
      </c>
      <c r="L193" s="38"/>
      <c r="M193" s="298" t="str">
        <f>IF(L193="","",IF(VLOOKUP(L193,'G-3 Multipliers'!$L$3:$N$6,2,FALSE)=0,"Spatial Data Missing",VLOOKUP(L193,'G-3 Multipliers'!$L$3:$N$6,2,FALSE)))</f>
        <v/>
      </c>
      <c r="N193" s="296" t="str">
        <f>IF(L193="","",IF(VLOOKUP(L193,'G-3 Multipliers'!$L$3:$N$6,3,FALSE)=0,"Spatial Data Missing",VLOOKUP(L193,'G-3 Multipliers'!$L$3:$N$6,3,FALSE)))</f>
        <v/>
      </c>
      <c r="O193" s="290" t="str">
        <f t="shared" si="12"/>
        <v/>
      </c>
      <c r="P193" s="47"/>
      <c r="Q193" s="47"/>
      <c r="R193" s="298" t="str">
        <f t="shared" si="14"/>
        <v/>
      </c>
      <c r="S193" s="311" t="str">
        <f t="shared" si="15"/>
        <v/>
      </c>
      <c r="T193" s="312" t="str">
        <f>IFERROR(IF(S193="Check Data ⚠","Check Data ⚠",VLOOKUP(S193,'G-4 Temporal multipliers'!$A$4:$C$37,3,FALSE)),"")</f>
        <v/>
      </c>
      <c r="U193" s="313" t="str">
        <f>IF(F193="","",VLOOKUP(F193,'G-3 Multipliers'!$A$2:$E$134,2,FALSE))</f>
        <v/>
      </c>
      <c r="V193" s="310" t="str">
        <f t="shared" si="16"/>
        <v/>
      </c>
      <c r="W193" s="295" t="str">
        <f>IF(E193="","",IF(AND(V193="Standard difficulty applied",O193&gt;P193),U193,IF(AND(V193="Low Difficulty - only applicable if all habitat created before losses ⚠",P193&gt;=O193),"Low",VLOOKUP(F193,'G-3 Multipliers'!$A$2:$E$134,4,FALSE))))</f>
        <v/>
      </c>
      <c r="X193" s="314" t="str">
        <f>IFERROR(IF(E193="","",VLOOKUP(W193, 'G-3 Multipliers'!$P$2:$Q$6,2,FALSE)),"")</f>
        <v/>
      </c>
      <c r="Y193" s="317" t="str">
        <f t="shared" si="17"/>
        <v/>
      </c>
      <c r="Z193" s="163"/>
      <c r="AA193" s="164"/>
      <c r="AB193" s="101"/>
      <c r="AE193" s="25" t="str">
        <f t="shared" si="13"/>
        <v/>
      </c>
    </row>
    <row r="194" spans="1:31" ht="14.5" thickBot="1" x14ac:dyDescent="0.35">
      <c r="A194" s="20" t="str">
        <f>IFERROR(INDEX('G-8 Condition Look up'!$I$4:$I$135,MATCH(F194,'G-8 Condition Look up'!$A$4:$A$135,0)),"")</f>
        <v/>
      </c>
      <c r="B194" s="679">
        <v>184</v>
      </c>
      <c r="C194" s="247" t="str">
        <f>IFERROR(INDEX('G-1 All Habitats'!$AG$25:$AG$41,MATCH(D194,'G-1 All Habitats'!AF$25:AF$41,0)),"")</f>
        <v/>
      </c>
      <c r="D194" s="38"/>
      <c r="E194" s="45"/>
      <c r="F194" s="244" t="str">
        <f>IFERROR(INDEX('G-1 All Habitats'!$B$3:$B$135,MATCH(E194,'G-1 All Habitats'!$A$3:$A$135,0)),"")</f>
        <v/>
      </c>
      <c r="G194" s="37"/>
      <c r="H194" s="290" t="str">
        <f>IF(F194="","",VLOOKUP(F194,'G-1 All Habitats'!$B$2:$M$135,10,FALSE))</f>
        <v/>
      </c>
      <c r="I194" s="291" t="str">
        <f>IFERROR(VLOOKUP(H194,'G-1 All Habitats'!$V$3:$W$7,2,FALSE),"")</f>
        <v/>
      </c>
      <c r="J194" s="38"/>
      <c r="K194" s="291" t="str">
        <f>IFERROR(INDEX('G-8 Condition Look up'!$A$3:$H$135,MATCH(F194,'G-8 Condition Look up'!$A$3:$A$135,0),MATCH(J194,'G-8 Condition Look up'!$A$3:$H$3,0)),"")</f>
        <v/>
      </c>
      <c r="L194" s="38"/>
      <c r="M194" s="298" t="str">
        <f>IF(L194="","",IF(VLOOKUP(L194,'G-3 Multipliers'!$L$3:$N$6,2,FALSE)=0,"Spatial Data Missing",VLOOKUP(L194,'G-3 Multipliers'!$L$3:$N$6,2,FALSE)))</f>
        <v/>
      </c>
      <c r="N194" s="296" t="str">
        <f>IF(L194="","",IF(VLOOKUP(L194,'G-3 Multipliers'!$L$3:$N$6,3,FALSE)=0,"Spatial Data Missing",VLOOKUP(L194,'G-3 Multipliers'!$L$3:$N$6,3,FALSE)))</f>
        <v/>
      </c>
      <c r="O194" s="290" t="str">
        <f t="shared" si="12"/>
        <v/>
      </c>
      <c r="P194" s="47"/>
      <c r="Q194" s="47"/>
      <c r="R194" s="298" t="str">
        <f t="shared" si="14"/>
        <v/>
      </c>
      <c r="S194" s="311" t="str">
        <f t="shared" si="15"/>
        <v/>
      </c>
      <c r="T194" s="312" t="str">
        <f>IFERROR(IF(S194="Check Data ⚠","Check Data ⚠",VLOOKUP(S194,'G-4 Temporal multipliers'!$A$4:$C$37,3,FALSE)),"")</f>
        <v/>
      </c>
      <c r="U194" s="313" t="str">
        <f>IF(F194="","",VLOOKUP(F194,'G-3 Multipliers'!$A$2:$E$134,2,FALSE))</f>
        <v/>
      </c>
      <c r="V194" s="310" t="str">
        <f t="shared" si="16"/>
        <v/>
      </c>
      <c r="W194" s="295" t="str">
        <f>IF(E194="","",IF(AND(V194="Standard difficulty applied",O194&gt;P194),U194,IF(AND(V194="Low Difficulty - only applicable if all habitat created before losses ⚠",P194&gt;=O194),"Low",VLOOKUP(F194,'G-3 Multipliers'!$A$2:$E$134,4,FALSE))))</f>
        <v/>
      </c>
      <c r="X194" s="314" t="str">
        <f>IFERROR(IF(E194="","",VLOOKUP(W194, 'G-3 Multipliers'!$P$2:$Q$6,2,FALSE)),"")</f>
        <v/>
      </c>
      <c r="Y194" s="317" t="str">
        <f t="shared" si="17"/>
        <v/>
      </c>
      <c r="Z194" s="163"/>
      <c r="AA194" s="164"/>
      <c r="AB194" s="101"/>
      <c r="AE194" s="25" t="str">
        <f t="shared" si="13"/>
        <v/>
      </c>
    </row>
    <row r="195" spans="1:31" ht="14.5" thickBot="1" x14ac:dyDescent="0.35">
      <c r="A195" s="20" t="str">
        <f>IFERROR(INDEX('G-8 Condition Look up'!$I$4:$I$135,MATCH(F195,'G-8 Condition Look up'!$A$4:$A$135,0)),"")</f>
        <v/>
      </c>
      <c r="B195" s="679">
        <v>185</v>
      </c>
      <c r="C195" s="247" t="str">
        <f>IFERROR(INDEX('G-1 All Habitats'!$AG$25:$AG$41,MATCH(D195,'G-1 All Habitats'!AF$25:AF$41,0)),"")</f>
        <v/>
      </c>
      <c r="D195" s="38"/>
      <c r="E195" s="45"/>
      <c r="F195" s="244" t="str">
        <f>IFERROR(INDEX('G-1 All Habitats'!$B$3:$B$135,MATCH(E195,'G-1 All Habitats'!$A$3:$A$135,0)),"")</f>
        <v/>
      </c>
      <c r="G195" s="37"/>
      <c r="H195" s="290" t="str">
        <f>IF(F195="","",VLOOKUP(F195,'G-1 All Habitats'!$B$2:$M$135,10,FALSE))</f>
        <v/>
      </c>
      <c r="I195" s="291" t="str">
        <f>IFERROR(VLOOKUP(H195,'G-1 All Habitats'!$V$3:$W$7,2,FALSE),"")</f>
        <v/>
      </c>
      <c r="J195" s="38"/>
      <c r="K195" s="291" t="str">
        <f>IFERROR(INDEX('G-8 Condition Look up'!$A$3:$H$135,MATCH(F195,'G-8 Condition Look up'!$A$3:$A$135,0),MATCH(J195,'G-8 Condition Look up'!$A$3:$H$3,0)),"")</f>
        <v/>
      </c>
      <c r="L195" s="38"/>
      <c r="M195" s="298" t="str">
        <f>IF(L195="","",IF(VLOOKUP(L195,'G-3 Multipliers'!$L$3:$N$6,2,FALSE)=0,"Spatial Data Missing",VLOOKUP(L195,'G-3 Multipliers'!$L$3:$N$6,2,FALSE)))</f>
        <v/>
      </c>
      <c r="N195" s="296" t="str">
        <f>IF(L195="","",IF(VLOOKUP(L195,'G-3 Multipliers'!$L$3:$N$6,3,FALSE)=0,"Spatial Data Missing",VLOOKUP(L195,'G-3 Multipliers'!$L$3:$N$6,3,FALSE)))</f>
        <v/>
      </c>
      <c r="O195" s="290" t="str">
        <f t="shared" si="12"/>
        <v/>
      </c>
      <c r="P195" s="47"/>
      <c r="Q195" s="47"/>
      <c r="R195" s="298" t="str">
        <f t="shared" si="14"/>
        <v/>
      </c>
      <c r="S195" s="311" t="str">
        <f t="shared" si="15"/>
        <v/>
      </c>
      <c r="T195" s="312" t="str">
        <f>IFERROR(IF(S195="Check Data ⚠","Check Data ⚠",VLOOKUP(S195,'G-4 Temporal multipliers'!$A$4:$C$37,3,FALSE)),"")</f>
        <v/>
      </c>
      <c r="U195" s="313" t="str">
        <f>IF(F195="","",VLOOKUP(F195,'G-3 Multipliers'!$A$2:$E$134,2,FALSE))</f>
        <v/>
      </c>
      <c r="V195" s="310" t="str">
        <f t="shared" si="16"/>
        <v/>
      </c>
      <c r="W195" s="295" t="str">
        <f>IF(E195="","",IF(AND(V195="Standard difficulty applied",O195&gt;P195),U195,IF(AND(V195="Low Difficulty - only applicable if all habitat created before losses ⚠",P195&gt;=O195),"Low",VLOOKUP(F195,'G-3 Multipliers'!$A$2:$E$134,4,FALSE))))</f>
        <v/>
      </c>
      <c r="X195" s="314" t="str">
        <f>IFERROR(IF(E195="","",VLOOKUP(W195, 'G-3 Multipliers'!$P$2:$Q$6,2,FALSE)),"")</f>
        <v/>
      </c>
      <c r="Y195" s="317" t="str">
        <f t="shared" si="17"/>
        <v/>
      </c>
      <c r="Z195" s="163"/>
      <c r="AA195" s="164"/>
      <c r="AB195" s="101"/>
      <c r="AE195" s="25" t="str">
        <f t="shared" si="13"/>
        <v/>
      </c>
    </row>
    <row r="196" spans="1:31" ht="14.5" thickBot="1" x14ac:dyDescent="0.35">
      <c r="A196" s="20" t="str">
        <f>IFERROR(INDEX('G-8 Condition Look up'!$I$4:$I$135,MATCH(F196,'G-8 Condition Look up'!$A$4:$A$135,0)),"")</f>
        <v/>
      </c>
      <c r="B196" s="679">
        <v>186</v>
      </c>
      <c r="C196" s="247" t="str">
        <f>IFERROR(INDEX('G-1 All Habitats'!$AG$25:$AG$41,MATCH(D196,'G-1 All Habitats'!AF$25:AF$41,0)),"")</f>
        <v/>
      </c>
      <c r="D196" s="38"/>
      <c r="E196" s="45"/>
      <c r="F196" s="244" t="str">
        <f>IFERROR(INDEX('G-1 All Habitats'!$B$3:$B$135,MATCH(E196,'G-1 All Habitats'!$A$3:$A$135,0)),"")</f>
        <v/>
      </c>
      <c r="G196" s="37"/>
      <c r="H196" s="290" t="str">
        <f>IF(F196="","",VLOOKUP(F196,'G-1 All Habitats'!$B$2:$M$135,10,FALSE))</f>
        <v/>
      </c>
      <c r="I196" s="291" t="str">
        <f>IFERROR(VLOOKUP(H196,'G-1 All Habitats'!$V$3:$W$7,2,FALSE),"")</f>
        <v/>
      </c>
      <c r="J196" s="38"/>
      <c r="K196" s="291" t="str">
        <f>IFERROR(INDEX('G-8 Condition Look up'!$A$3:$H$135,MATCH(F196,'G-8 Condition Look up'!$A$3:$A$135,0),MATCH(J196,'G-8 Condition Look up'!$A$3:$H$3,0)),"")</f>
        <v/>
      </c>
      <c r="L196" s="38"/>
      <c r="M196" s="298" t="str">
        <f>IF(L196="","",IF(VLOOKUP(L196,'G-3 Multipliers'!$L$3:$N$6,2,FALSE)=0,"Spatial Data Missing",VLOOKUP(L196,'G-3 Multipliers'!$L$3:$N$6,2,FALSE)))</f>
        <v/>
      </c>
      <c r="N196" s="296" t="str">
        <f>IF(L196="","",IF(VLOOKUP(L196,'G-3 Multipliers'!$L$3:$N$6,3,FALSE)=0,"Spatial Data Missing",VLOOKUP(L196,'G-3 Multipliers'!$L$3:$N$6,3,FALSE)))</f>
        <v/>
      </c>
      <c r="O196" s="290" t="str">
        <f t="shared" si="12"/>
        <v/>
      </c>
      <c r="P196" s="47"/>
      <c r="Q196" s="47"/>
      <c r="R196" s="298" t="str">
        <f t="shared" si="14"/>
        <v/>
      </c>
      <c r="S196" s="311" t="str">
        <f t="shared" si="15"/>
        <v/>
      </c>
      <c r="T196" s="312" t="str">
        <f>IFERROR(IF(S196="Check Data ⚠","Check Data ⚠",VLOOKUP(S196,'G-4 Temporal multipliers'!$A$4:$C$37,3,FALSE)),"")</f>
        <v/>
      </c>
      <c r="U196" s="313" t="str">
        <f>IF(F196="","",VLOOKUP(F196,'G-3 Multipliers'!$A$2:$E$134,2,FALSE))</f>
        <v/>
      </c>
      <c r="V196" s="310" t="str">
        <f t="shared" si="16"/>
        <v/>
      </c>
      <c r="W196" s="295" t="str">
        <f>IF(E196="","",IF(AND(V196="Standard difficulty applied",O196&gt;P196),U196,IF(AND(V196="Low Difficulty - only applicable if all habitat created before losses ⚠",P196&gt;=O196),"Low",VLOOKUP(F196,'G-3 Multipliers'!$A$2:$E$134,4,FALSE))))</f>
        <v/>
      </c>
      <c r="X196" s="314" t="str">
        <f>IFERROR(IF(E196="","",VLOOKUP(W196, 'G-3 Multipliers'!$P$2:$Q$6,2,FALSE)),"")</f>
        <v/>
      </c>
      <c r="Y196" s="317" t="str">
        <f t="shared" si="17"/>
        <v/>
      </c>
      <c r="Z196" s="163"/>
      <c r="AA196" s="164"/>
      <c r="AB196" s="101"/>
      <c r="AE196" s="25" t="str">
        <f t="shared" si="13"/>
        <v/>
      </c>
    </row>
    <row r="197" spans="1:31" ht="14.5" thickBot="1" x14ac:dyDescent="0.35">
      <c r="A197" s="20" t="str">
        <f>IFERROR(INDEX('G-8 Condition Look up'!$I$4:$I$135,MATCH(F197,'G-8 Condition Look up'!$A$4:$A$135,0)),"")</f>
        <v/>
      </c>
      <c r="B197" s="679">
        <v>187</v>
      </c>
      <c r="C197" s="247" t="str">
        <f>IFERROR(INDEX('G-1 All Habitats'!$AG$25:$AG$41,MATCH(D197,'G-1 All Habitats'!AF$25:AF$41,0)),"")</f>
        <v/>
      </c>
      <c r="D197" s="38"/>
      <c r="E197" s="45"/>
      <c r="F197" s="244" t="str">
        <f>IFERROR(INDEX('G-1 All Habitats'!$B$3:$B$135,MATCH(E197,'G-1 All Habitats'!$A$3:$A$135,0)),"")</f>
        <v/>
      </c>
      <c r="G197" s="37"/>
      <c r="H197" s="290" t="str">
        <f>IF(F197="","",VLOOKUP(F197,'G-1 All Habitats'!$B$2:$M$135,10,FALSE))</f>
        <v/>
      </c>
      <c r="I197" s="291" t="str">
        <f>IFERROR(VLOOKUP(H197,'G-1 All Habitats'!$V$3:$W$7,2,FALSE),"")</f>
        <v/>
      </c>
      <c r="J197" s="38"/>
      <c r="K197" s="291" t="str">
        <f>IFERROR(INDEX('G-8 Condition Look up'!$A$3:$H$135,MATCH(F197,'G-8 Condition Look up'!$A$3:$A$135,0),MATCH(J197,'G-8 Condition Look up'!$A$3:$H$3,0)),"")</f>
        <v/>
      </c>
      <c r="L197" s="38"/>
      <c r="M197" s="298" t="str">
        <f>IF(L197="","",IF(VLOOKUP(L197,'G-3 Multipliers'!$L$3:$N$6,2,FALSE)=0,"Spatial Data Missing",VLOOKUP(L197,'G-3 Multipliers'!$L$3:$N$6,2,FALSE)))</f>
        <v/>
      </c>
      <c r="N197" s="296" t="str">
        <f>IF(L197="","",IF(VLOOKUP(L197,'G-3 Multipliers'!$L$3:$N$6,3,FALSE)=0,"Spatial Data Missing",VLOOKUP(L197,'G-3 Multipliers'!$L$3:$N$6,3,FALSE)))</f>
        <v/>
      </c>
      <c r="O197" s="290" t="str">
        <f t="shared" si="12"/>
        <v/>
      </c>
      <c r="P197" s="47"/>
      <c r="Q197" s="47"/>
      <c r="R197" s="298" t="str">
        <f t="shared" si="14"/>
        <v/>
      </c>
      <c r="S197" s="311" t="str">
        <f t="shared" si="15"/>
        <v/>
      </c>
      <c r="T197" s="312" t="str">
        <f>IFERROR(IF(S197="Check Data ⚠","Check Data ⚠",VLOOKUP(S197,'G-4 Temporal multipliers'!$A$4:$C$37,3,FALSE)),"")</f>
        <v/>
      </c>
      <c r="U197" s="313" t="str">
        <f>IF(F197="","",VLOOKUP(F197,'G-3 Multipliers'!$A$2:$E$134,2,FALSE))</f>
        <v/>
      </c>
      <c r="V197" s="310" t="str">
        <f t="shared" si="16"/>
        <v/>
      </c>
      <c r="W197" s="295" t="str">
        <f>IF(E197="","",IF(AND(V197="Standard difficulty applied",O197&gt;P197),U197,IF(AND(V197="Low Difficulty - only applicable if all habitat created before losses ⚠",P197&gt;=O197),"Low",VLOOKUP(F197,'G-3 Multipliers'!$A$2:$E$134,4,FALSE))))</f>
        <v/>
      </c>
      <c r="X197" s="314" t="str">
        <f>IFERROR(IF(E197="","",VLOOKUP(W197, 'G-3 Multipliers'!$P$2:$Q$6,2,FALSE)),"")</f>
        <v/>
      </c>
      <c r="Y197" s="317" t="str">
        <f t="shared" si="17"/>
        <v/>
      </c>
      <c r="Z197" s="163"/>
      <c r="AA197" s="164"/>
      <c r="AB197" s="101"/>
      <c r="AE197" s="25" t="str">
        <f t="shared" si="13"/>
        <v/>
      </c>
    </row>
    <row r="198" spans="1:31" ht="14.5" thickBot="1" x14ac:dyDescent="0.35">
      <c r="A198" s="20" t="str">
        <f>IFERROR(INDEX('G-8 Condition Look up'!$I$4:$I$135,MATCH(F198,'G-8 Condition Look up'!$A$4:$A$135,0)),"")</f>
        <v/>
      </c>
      <c r="B198" s="679">
        <v>188</v>
      </c>
      <c r="C198" s="247" t="str">
        <f>IFERROR(INDEX('G-1 All Habitats'!$AG$25:$AG$41,MATCH(D198,'G-1 All Habitats'!AF$25:AF$41,0)),"")</f>
        <v/>
      </c>
      <c r="D198" s="38"/>
      <c r="E198" s="45"/>
      <c r="F198" s="244" t="str">
        <f>IFERROR(INDEX('G-1 All Habitats'!$B$3:$B$135,MATCH(E198,'G-1 All Habitats'!$A$3:$A$135,0)),"")</f>
        <v/>
      </c>
      <c r="G198" s="37"/>
      <c r="H198" s="290" t="str">
        <f>IF(F198="","",VLOOKUP(F198,'G-1 All Habitats'!$B$2:$M$135,10,FALSE))</f>
        <v/>
      </c>
      <c r="I198" s="291" t="str">
        <f>IFERROR(VLOOKUP(H198,'G-1 All Habitats'!$V$3:$W$7,2,FALSE),"")</f>
        <v/>
      </c>
      <c r="J198" s="38"/>
      <c r="K198" s="291" t="str">
        <f>IFERROR(INDEX('G-8 Condition Look up'!$A$3:$H$135,MATCH(F198,'G-8 Condition Look up'!$A$3:$A$135,0),MATCH(J198,'G-8 Condition Look up'!$A$3:$H$3,0)),"")</f>
        <v/>
      </c>
      <c r="L198" s="38"/>
      <c r="M198" s="298" t="str">
        <f>IF(L198="","",IF(VLOOKUP(L198,'G-3 Multipliers'!$L$3:$N$6,2,FALSE)=0,"Spatial Data Missing",VLOOKUP(L198,'G-3 Multipliers'!$L$3:$N$6,2,FALSE)))</f>
        <v/>
      </c>
      <c r="N198" s="296" t="str">
        <f>IF(L198="","",IF(VLOOKUP(L198,'G-3 Multipliers'!$L$3:$N$6,3,FALSE)=0,"Spatial Data Missing",VLOOKUP(L198,'G-3 Multipliers'!$L$3:$N$6,3,FALSE)))</f>
        <v/>
      </c>
      <c r="O198" s="290" t="str">
        <f t="shared" si="12"/>
        <v/>
      </c>
      <c r="P198" s="47"/>
      <c r="Q198" s="47"/>
      <c r="R198" s="298" t="str">
        <f t="shared" si="14"/>
        <v/>
      </c>
      <c r="S198" s="311" t="str">
        <f t="shared" si="15"/>
        <v/>
      </c>
      <c r="T198" s="312" t="str">
        <f>IFERROR(IF(S198="Check Data ⚠","Check Data ⚠",VLOOKUP(S198,'G-4 Temporal multipliers'!$A$4:$C$37,3,FALSE)),"")</f>
        <v/>
      </c>
      <c r="U198" s="313" t="str">
        <f>IF(F198="","",VLOOKUP(F198,'G-3 Multipliers'!$A$2:$E$134,2,FALSE))</f>
        <v/>
      </c>
      <c r="V198" s="310" t="str">
        <f t="shared" si="16"/>
        <v/>
      </c>
      <c r="W198" s="295" t="str">
        <f>IF(E198="","",IF(AND(V198="Standard difficulty applied",O198&gt;P198),U198,IF(AND(V198="Low Difficulty - only applicable if all habitat created before losses ⚠",P198&gt;=O198),"Low",VLOOKUP(F198,'G-3 Multipliers'!$A$2:$E$134,4,FALSE))))</f>
        <v/>
      </c>
      <c r="X198" s="314" t="str">
        <f>IFERROR(IF(E198="","",VLOOKUP(W198, 'G-3 Multipliers'!$P$2:$Q$6,2,FALSE)),"")</f>
        <v/>
      </c>
      <c r="Y198" s="317" t="str">
        <f t="shared" si="17"/>
        <v/>
      </c>
      <c r="Z198" s="163"/>
      <c r="AA198" s="164"/>
      <c r="AB198" s="101"/>
      <c r="AE198" s="25" t="str">
        <f t="shared" si="13"/>
        <v/>
      </c>
    </row>
    <row r="199" spans="1:31" ht="14.5" thickBot="1" x14ac:dyDescent="0.35">
      <c r="A199" s="20" t="str">
        <f>IFERROR(INDEX('G-8 Condition Look up'!$I$4:$I$135,MATCH(F199,'G-8 Condition Look up'!$A$4:$A$135,0)),"")</f>
        <v/>
      </c>
      <c r="B199" s="679">
        <v>189</v>
      </c>
      <c r="C199" s="247" t="str">
        <f>IFERROR(INDEX('G-1 All Habitats'!$AG$25:$AG$41,MATCH(D199,'G-1 All Habitats'!AF$25:AF$41,0)),"")</f>
        <v/>
      </c>
      <c r="D199" s="38"/>
      <c r="E199" s="45"/>
      <c r="F199" s="244" t="str">
        <f>IFERROR(INDEX('G-1 All Habitats'!$B$3:$B$135,MATCH(E199,'G-1 All Habitats'!$A$3:$A$135,0)),"")</f>
        <v/>
      </c>
      <c r="G199" s="37"/>
      <c r="H199" s="290" t="str">
        <f>IF(F199="","",VLOOKUP(F199,'G-1 All Habitats'!$B$2:$M$135,10,FALSE))</f>
        <v/>
      </c>
      <c r="I199" s="291" t="str">
        <f>IFERROR(VLOOKUP(H199,'G-1 All Habitats'!$V$3:$W$7,2,FALSE),"")</f>
        <v/>
      </c>
      <c r="J199" s="38"/>
      <c r="K199" s="291" t="str">
        <f>IFERROR(INDEX('G-8 Condition Look up'!$A$3:$H$135,MATCH(F199,'G-8 Condition Look up'!$A$3:$A$135,0),MATCH(J199,'G-8 Condition Look up'!$A$3:$H$3,0)),"")</f>
        <v/>
      </c>
      <c r="L199" s="38"/>
      <c r="M199" s="298" t="str">
        <f>IF(L199="","",IF(VLOOKUP(L199,'G-3 Multipliers'!$L$3:$N$6,2,FALSE)=0,"Spatial Data Missing",VLOOKUP(L199,'G-3 Multipliers'!$L$3:$N$6,2,FALSE)))</f>
        <v/>
      </c>
      <c r="N199" s="296" t="str">
        <f>IF(L199="","",IF(VLOOKUP(L199,'G-3 Multipliers'!$L$3:$N$6,3,FALSE)=0,"Spatial Data Missing",VLOOKUP(L199,'G-3 Multipliers'!$L$3:$N$6,3,FALSE)))</f>
        <v/>
      </c>
      <c r="O199" s="290" t="str">
        <f t="shared" si="12"/>
        <v/>
      </c>
      <c r="P199" s="47"/>
      <c r="Q199" s="47"/>
      <c r="R199" s="298" t="str">
        <f t="shared" si="14"/>
        <v/>
      </c>
      <c r="S199" s="311" t="str">
        <f t="shared" si="15"/>
        <v/>
      </c>
      <c r="T199" s="312" t="str">
        <f>IFERROR(IF(S199="Check Data ⚠","Check Data ⚠",VLOOKUP(S199,'G-4 Temporal multipliers'!$A$4:$C$37,3,FALSE)),"")</f>
        <v/>
      </c>
      <c r="U199" s="313" t="str">
        <f>IF(F199="","",VLOOKUP(F199,'G-3 Multipliers'!$A$2:$E$134,2,FALSE))</f>
        <v/>
      </c>
      <c r="V199" s="310" t="str">
        <f t="shared" si="16"/>
        <v/>
      </c>
      <c r="W199" s="295" t="str">
        <f>IF(E199="","",IF(AND(V199="Standard difficulty applied",O199&gt;P199),U199,IF(AND(V199="Low Difficulty - only applicable if all habitat created before losses ⚠",P199&gt;=O199),"Low",VLOOKUP(F199,'G-3 Multipliers'!$A$2:$E$134,4,FALSE))))</f>
        <v/>
      </c>
      <c r="X199" s="314" t="str">
        <f>IFERROR(IF(E199="","",VLOOKUP(W199, 'G-3 Multipliers'!$P$2:$Q$6,2,FALSE)),"")</f>
        <v/>
      </c>
      <c r="Y199" s="317" t="str">
        <f t="shared" si="17"/>
        <v/>
      </c>
      <c r="Z199" s="163"/>
      <c r="AA199" s="164"/>
      <c r="AB199" s="101"/>
      <c r="AE199" s="25" t="str">
        <f t="shared" si="13"/>
        <v/>
      </c>
    </row>
    <row r="200" spans="1:31" ht="14.5" thickBot="1" x14ac:dyDescent="0.35">
      <c r="A200" s="20" t="str">
        <f>IFERROR(INDEX('G-8 Condition Look up'!$I$4:$I$135,MATCH(F200,'G-8 Condition Look up'!$A$4:$A$135,0)),"")</f>
        <v/>
      </c>
      <c r="B200" s="679">
        <v>190</v>
      </c>
      <c r="C200" s="247" t="str">
        <f>IFERROR(INDEX('G-1 All Habitats'!$AG$25:$AG$41,MATCH(D200,'G-1 All Habitats'!AF$25:AF$41,0)),"")</f>
        <v/>
      </c>
      <c r="D200" s="38"/>
      <c r="E200" s="45"/>
      <c r="F200" s="244" t="str">
        <f>IFERROR(INDEX('G-1 All Habitats'!$B$3:$B$135,MATCH(E200,'G-1 All Habitats'!$A$3:$A$135,0)),"")</f>
        <v/>
      </c>
      <c r="G200" s="37"/>
      <c r="H200" s="290" t="str">
        <f>IF(F200="","",VLOOKUP(F200,'G-1 All Habitats'!$B$2:$M$135,10,FALSE))</f>
        <v/>
      </c>
      <c r="I200" s="291" t="str">
        <f>IFERROR(VLOOKUP(H200,'G-1 All Habitats'!$V$3:$W$7,2,FALSE),"")</f>
        <v/>
      </c>
      <c r="J200" s="38"/>
      <c r="K200" s="291" t="str">
        <f>IFERROR(INDEX('G-8 Condition Look up'!$A$3:$H$135,MATCH(F200,'G-8 Condition Look up'!$A$3:$A$135,0),MATCH(J200,'G-8 Condition Look up'!$A$3:$H$3,0)),"")</f>
        <v/>
      </c>
      <c r="L200" s="38"/>
      <c r="M200" s="298" t="str">
        <f>IF(L200="","",IF(VLOOKUP(L200,'G-3 Multipliers'!$L$3:$N$6,2,FALSE)=0,"Spatial Data Missing",VLOOKUP(L200,'G-3 Multipliers'!$L$3:$N$6,2,FALSE)))</f>
        <v/>
      </c>
      <c r="N200" s="296" t="str">
        <f>IF(L200="","",IF(VLOOKUP(L200,'G-3 Multipliers'!$L$3:$N$6,3,FALSE)=0,"Spatial Data Missing",VLOOKUP(L200,'G-3 Multipliers'!$L$3:$N$6,3,FALSE)))</f>
        <v/>
      </c>
      <c r="O200" s="290" t="str">
        <f t="shared" si="12"/>
        <v/>
      </c>
      <c r="P200" s="47"/>
      <c r="Q200" s="47"/>
      <c r="R200" s="298" t="str">
        <f t="shared" si="14"/>
        <v/>
      </c>
      <c r="S200" s="311" t="str">
        <f t="shared" si="15"/>
        <v/>
      </c>
      <c r="T200" s="312" t="str">
        <f>IFERROR(IF(S200="Check Data ⚠","Check Data ⚠",VLOOKUP(S200,'G-4 Temporal multipliers'!$A$4:$C$37,3,FALSE)),"")</f>
        <v/>
      </c>
      <c r="U200" s="313" t="str">
        <f>IF(F200="","",VLOOKUP(F200,'G-3 Multipliers'!$A$2:$E$134,2,FALSE))</f>
        <v/>
      </c>
      <c r="V200" s="310" t="str">
        <f t="shared" si="16"/>
        <v/>
      </c>
      <c r="W200" s="295" t="str">
        <f>IF(E200="","",IF(AND(V200="Standard difficulty applied",O200&gt;P200),U200,IF(AND(V200="Low Difficulty - only applicable if all habitat created before losses ⚠",P200&gt;=O200),"Low",VLOOKUP(F200,'G-3 Multipliers'!$A$2:$E$134,4,FALSE))))</f>
        <v/>
      </c>
      <c r="X200" s="314" t="str">
        <f>IFERROR(IF(E200="","",VLOOKUP(W200, 'G-3 Multipliers'!$P$2:$Q$6,2,FALSE)),"")</f>
        <v/>
      </c>
      <c r="Y200" s="317" t="str">
        <f t="shared" si="17"/>
        <v/>
      </c>
      <c r="Z200" s="163"/>
      <c r="AA200" s="164"/>
      <c r="AB200" s="101"/>
      <c r="AE200" s="25" t="str">
        <f t="shared" si="13"/>
        <v/>
      </c>
    </row>
    <row r="201" spans="1:31" ht="14.5" thickBot="1" x14ac:dyDescent="0.35">
      <c r="A201" s="20" t="str">
        <f>IFERROR(INDEX('G-8 Condition Look up'!$I$4:$I$135,MATCH(F201,'G-8 Condition Look up'!$A$4:$A$135,0)),"")</f>
        <v/>
      </c>
      <c r="B201" s="679">
        <v>191</v>
      </c>
      <c r="C201" s="247" t="str">
        <f>IFERROR(INDEX('G-1 All Habitats'!$AG$25:$AG$41,MATCH(D201,'G-1 All Habitats'!AF$25:AF$41,0)),"")</f>
        <v/>
      </c>
      <c r="D201" s="38"/>
      <c r="E201" s="45"/>
      <c r="F201" s="244" t="str">
        <f>IFERROR(INDEX('G-1 All Habitats'!$B$3:$B$135,MATCH(E201,'G-1 All Habitats'!$A$3:$A$135,0)),"")</f>
        <v/>
      </c>
      <c r="G201" s="37"/>
      <c r="H201" s="290" t="str">
        <f>IF(F201="","",VLOOKUP(F201,'G-1 All Habitats'!$B$2:$M$135,10,FALSE))</f>
        <v/>
      </c>
      <c r="I201" s="291" t="str">
        <f>IFERROR(VLOOKUP(H201,'G-1 All Habitats'!$V$3:$W$7,2,FALSE),"")</f>
        <v/>
      </c>
      <c r="J201" s="38"/>
      <c r="K201" s="291" t="str">
        <f>IFERROR(INDEX('G-8 Condition Look up'!$A$3:$H$135,MATCH(F201,'G-8 Condition Look up'!$A$3:$A$135,0),MATCH(J201,'G-8 Condition Look up'!$A$3:$H$3,0)),"")</f>
        <v/>
      </c>
      <c r="L201" s="38"/>
      <c r="M201" s="298" t="str">
        <f>IF(L201="","",IF(VLOOKUP(L201,'G-3 Multipliers'!$L$3:$N$6,2,FALSE)=0,"Spatial Data Missing",VLOOKUP(L201,'G-3 Multipliers'!$L$3:$N$6,2,FALSE)))</f>
        <v/>
      </c>
      <c r="N201" s="296" t="str">
        <f>IF(L201="","",IF(VLOOKUP(L201,'G-3 Multipliers'!$L$3:$N$6,3,FALSE)=0,"Spatial Data Missing",VLOOKUP(L201,'G-3 Multipliers'!$L$3:$N$6,3,FALSE)))</f>
        <v/>
      </c>
      <c r="O201" s="290" t="str">
        <f t="shared" si="12"/>
        <v/>
      </c>
      <c r="P201" s="47"/>
      <c r="Q201" s="47"/>
      <c r="R201" s="298" t="str">
        <f t="shared" si="14"/>
        <v/>
      </c>
      <c r="S201" s="311" t="str">
        <f t="shared" si="15"/>
        <v/>
      </c>
      <c r="T201" s="312" t="str">
        <f>IFERROR(IF(S201="Check Data ⚠","Check Data ⚠",VLOOKUP(S201,'G-4 Temporal multipliers'!$A$4:$C$37,3,FALSE)),"")</f>
        <v/>
      </c>
      <c r="U201" s="313" t="str">
        <f>IF(F201="","",VLOOKUP(F201,'G-3 Multipliers'!$A$2:$E$134,2,FALSE))</f>
        <v/>
      </c>
      <c r="V201" s="310" t="str">
        <f t="shared" si="16"/>
        <v/>
      </c>
      <c r="W201" s="295" t="str">
        <f>IF(E201="","",IF(AND(V201="Standard difficulty applied",O201&gt;P201),U201,IF(AND(V201="Low Difficulty - only applicable if all habitat created before losses ⚠",P201&gt;=O201),"Low",VLOOKUP(F201,'G-3 Multipliers'!$A$2:$E$134,4,FALSE))))</f>
        <v/>
      </c>
      <c r="X201" s="314" t="str">
        <f>IFERROR(IF(E201="","",VLOOKUP(W201, 'G-3 Multipliers'!$P$2:$Q$6,2,FALSE)),"")</f>
        <v/>
      </c>
      <c r="Y201" s="317" t="str">
        <f t="shared" si="17"/>
        <v/>
      </c>
      <c r="Z201" s="163"/>
      <c r="AA201" s="164"/>
      <c r="AB201" s="101"/>
      <c r="AE201" s="25" t="str">
        <f t="shared" si="13"/>
        <v/>
      </c>
    </row>
    <row r="202" spans="1:31" ht="14.5" thickBot="1" x14ac:dyDescent="0.35">
      <c r="A202" s="20" t="str">
        <f>IFERROR(INDEX('G-8 Condition Look up'!$I$4:$I$135,MATCH(F202,'G-8 Condition Look up'!$A$4:$A$135,0)),"")</f>
        <v/>
      </c>
      <c r="B202" s="679">
        <v>192</v>
      </c>
      <c r="C202" s="247" t="str">
        <f>IFERROR(INDEX('G-1 All Habitats'!$AG$25:$AG$41,MATCH(D202,'G-1 All Habitats'!AF$25:AF$41,0)),"")</f>
        <v/>
      </c>
      <c r="D202" s="38"/>
      <c r="E202" s="45"/>
      <c r="F202" s="244" t="str">
        <f>IFERROR(INDEX('G-1 All Habitats'!$B$3:$B$135,MATCH(E202,'G-1 All Habitats'!$A$3:$A$135,0)),"")</f>
        <v/>
      </c>
      <c r="G202" s="37"/>
      <c r="H202" s="290" t="str">
        <f>IF(F202="","",VLOOKUP(F202,'G-1 All Habitats'!$B$2:$M$135,10,FALSE))</f>
        <v/>
      </c>
      <c r="I202" s="291" t="str">
        <f>IFERROR(VLOOKUP(H202,'G-1 All Habitats'!$V$3:$W$7,2,FALSE),"")</f>
        <v/>
      </c>
      <c r="J202" s="38"/>
      <c r="K202" s="291" t="str">
        <f>IFERROR(INDEX('G-8 Condition Look up'!$A$3:$H$135,MATCH(F202,'G-8 Condition Look up'!$A$3:$A$135,0),MATCH(J202,'G-8 Condition Look up'!$A$3:$H$3,0)),"")</f>
        <v/>
      </c>
      <c r="L202" s="38"/>
      <c r="M202" s="298" t="str">
        <f>IF(L202="","",IF(VLOOKUP(L202,'G-3 Multipliers'!$L$3:$N$6,2,FALSE)=0,"Spatial Data Missing",VLOOKUP(L202,'G-3 Multipliers'!$L$3:$N$6,2,FALSE)))</f>
        <v/>
      </c>
      <c r="N202" s="296" t="str">
        <f>IF(L202="","",IF(VLOOKUP(L202,'G-3 Multipliers'!$L$3:$N$6,3,FALSE)=0,"Spatial Data Missing",VLOOKUP(L202,'G-3 Multipliers'!$L$3:$N$6,3,FALSE)))</f>
        <v/>
      </c>
      <c r="O202" s="290" t="str">
        <f t="shared" si="12"/>
        <v/>
      </c>
      <c r="P202" s="47"/>
      <c r="Q202" s="47"/>
      <c r="R202" s="298" t="str">
        <f t="shared" si="14"/>
        <v/>
      </c>
      <c r="S202" s="311" t="str">
        <f t="shared" si="15"/>
        <v/>
      </c>
      <c r="T202" s="312" t="str">
        <f>IFERROR(IF(S202="Check Data ⚠","Check Data ⚠",VLOOKUP(S202,'G-4 Temporal multipliers'!$A$4:$C$37,3,FALSE)),"")</f>
        <v/>
      </c>
      <c r="U202" s="313" t="str">
        <f>IF(F202="","",VLOOKUP(F202,'G-3 Multipliers'!$A$2:$E$134,2,FALSE))</f>
        <v/>
      </c>
      <c r="V202" s="310" t="str">
        <f t="shared" si="16"/>
        <v/>
      </c>
      <c r="W202" s="295" t="str">
        <f>IF(E202="","",IF(AND(V202="Standard difficulty applied",O202&gt;P202),U202,IF(AND(V202="Low Difficulty - only applicable if all habitat created before losses ⚠",P202&gt;=O202),"Low",VLOOKUP(F202,'G-3 Multipliers'!$A$2:$E$134,4,FALSE))))</f>
        <v/>
      </c>
      <c r="X202" s="314" t="str">
        <f>IFERROR(IF(E202="","",VLOOKUP(W202, 'G-3 Multipliers'!$P$2:$Q$6,2,FALSE)),"")</f>
        <v/>
      </c>
      <c r="Y202" s="317" t="str">
        <f t="shared" si="17"/>
        <v/>
      </c>
      <c r="Z202" s="163"/>
      <c r="AA202" s="164"/>
      <c r="AB202" s="101"/>
      <c r="AE202" s="25" t="str">
        <f t="shared" si="13"/>
        <v/>
      </c>
    </row>
    <row r="203" spans="1:31" ht="14.5" thickBot="1" x14ac:dyDescent="0.35">
      <c r="A203" s="20" t="str">
        <f>IFERROR(INDEX('G-8 Condition Look up'!$I$4:$I$135,MATCH(F203,'G-8 Condition Look up'!$A$4:$A$135,0)),"")</f>
        <v/>
      </c>
      <c r="B203" s="679">
        <v>193</v>
      </c>
      <c r="C203" s="247" t="str">
        <f>IFERROR(INDEX('G-1 All Habitats'!$AG$25:$AG$41,MATCH(D203,'G-1 All Habitats'!AF$25:AF$41,0)),"")</f>
        <v/>
      </c>
      <c r="D203" s="38"/>
      <c r="E203" s="45"/>
      <c r="F203" s="244" t="str">
        <f>IFERROR(INDEX('G-1 All Habitats'!$B$3:$B$135,MATCH(E203,'G-1 All Habitats'!$A$3:$A$135,0)),"")</f>
        <v/>
      </c>
      <c r="G203" s="37"/>
      <c r="H203" s="290" t="str">
        <f>IF(F203="","",VLOOKUP(F203,'G-1 All Habitats'!$B$2:$M$135,10,FALSE))</f>
        <v/>
      </c>
      <c r="I203" s="291" t="str">
        <f>IFERROR(VLOOKUP(H203,'G-1 All Habitats'!$V$3:$W$7,2,FALSE),"")</f>
        <v/>
      </c>
      <c r="J203" s="38"/>
      <c r="K203" s="291" t="str">
        <f>IFERROR(INDEX('G-8 Condition Look up'!$A$3:$H$135,MATCH(F203,'G-8 Condition Look up'!$A$3:$A$135,0),MATCH(J203,'G-8 Condition Look up'!$A$3:$H$3,0)),"")</f>
        <v/>
      </c>
      <c r="L203" s="38"/>
      <c r="M203" s="298" t="str">
        <f>IF(L203="","",IF(VLOOKUP(L203,'G-3 Multipliers'!$L$3:$N$6,2,FALSE)=0,"Spatial Data Missing",VLOOKUP(L203,'G-3 Multipliers'!$L$3:$N$6,2,FALSE)))</f>
        <v/>
      </c>
      <c r="N203" s="296" t="str">
        <f>IF(L203="","",IF(VLOOKUP(L203,'G-3 Multipliers'!$L$3:$N$6,3,FALSE)=0,"Spatial Data Missing",VLOOKUP(L203,'G-3 Multipliers'!$L$3:$N$6,3,FALSE)))</f>
        <v/>
      </c>
      <c r="O203" s="290" t="str">
        <f t="shared" ref="O203:O256" si="18">IFERROR(INDEX(TemporalData,MATCH(F203,TemporalHabitats,0),MATCH(J203,TemporalConditions,0)),"")</f>
        <v/>
      </c>
      <c r="P203" s="47"/>
      <c r="Q203" s="47"/>
      <c r="R203" s="298" t="str">
        <f t="shared" si="14"/>
        <v/>
      </c>
      <c r="S203" s="311" t="str">
        <f t="shared" si="15"/>
        <v/>
      </c>
      <c r="T203" s="312" t="str">
        <f>IFERROR(IF(S203="Check Data ⚠","Check Data ⚠",VLOOKUP(S203,'G-4 Temporal multipliers'!$A$4:$C$37,3,FALSE)),"")</f>
        <v/>
      </c>
      <c r="U203" s="313" t="str">
        <f>IF(F203="","",VLOOKUP(F203,'G-3 Multipliers'!$A$2:$E$134,2,FALSE))</f>
        <v/>
      </c>
      <c r="V203" s="310" t="str">
        <f t="shared" si="16"/>
        <v/>
      </c>
      <c r="W203" s="295" t="str">
        <f>IF(E203="","",IF(AND(V203="Standard difficulty applied",O203&gt;P203),U203,IF(AND(V203="Low Difficulty - only applicable if all habitat created before losses ⚠",P203&gt;=O203),"Low",VLOOKUP(F203,'G-3 Multipliers'!$A$2:$E$134,4,FALSE))))</f>
        <v/>
      </c>
      <c r="X203" s="314" t="str">
        <f>IFERROR(IF(E203="","",VLOOKUP(W203, 'G-3 Multipliers'!$P$2:$Q$6,2,FALSE)),"")</f>
        <v/>
      </c>
      <c r="Y203" s="317" t="str">
        <f t="shared" si="17"/>
        <v/>
      </c>
      <c r="Z203" s="163"/>
      <c r="AA203" s="164"/>
      <c r="AB203" s="101"/>
      <c r="AE203" s="25" t="str">
        <f t="shared" ref="AE203:AE256" si="19">IFERROR(INDEX(TemporalData,MATCH(F203,TemporalHabitats,0),MATCH($AE$10,TemporalConditions,0)),"")</f>
        <v/>
      </c>
    </row>
    <row r="204" spans="1:31" ht="14.5" thickBot="1" x14ac:dyDescent="0.35">
      <c r="A204" s="20" t="str">
        <f>IFERROR(INDEX('G-8 Condition Look up'!$I$4:$I$135,MATCH(F204,'G-8 Condition Look up'!$A$4:$A$135,0)),"")</f>
        <v/>
      </c>
      <c r="B204" s="679">
        <v>194</v>
      </c>
      <c r="C204" s="247" t="str">
        <f>IFERROR(INDEX('G-1 All Habitats'!$AG$25:$AG$41,MATCH(D204,'G-1 All Habitats'!AF$25:AF$41,0)),"")</f>
        <v/>
      </c>
      <c r="D204" s="38"/>
      <c r="E204" s="45"/>
      <c r="F204" s="244" t="str">
        <f>IFERROR(INDEX('G-1 All Habitats'!$B$3:$B$135,MATCH(E204,'G-1 All Habitats'!$A$3:$A$135,0)),"")</f>
        <v/>
      </c>
      <c r="G204" s="37"/>
      <c r="H204" s="290" t="str">
        <f>IF(F204="","",VLOOKUP(F204,'G-1 All Habitats'!$B$2:$M$135,10,FALSE))</f>
        <v/>
      </c>
      <c r="I204" s="291" t="str">
        <f>IFERROR(VLOOKUP(H204,'G-1 All Habitats'!$V$3:$W$7,2,FALSE),"")</f>
        <v/>
      </c>
      <c r="J204" s="38"/>
      <c r="K204" s="291" t="str">
        <f>IFERROR(INDEX('G-8 Condition Look up'!$A$3:$H$135,MATCH(F204,'G-8 Condition Look up'!$A$3:$A$135,0),MATCH(J204,'G-8 Condition Look up'!$A$3:$H$3,0)),"")</f>
        <v/>
      </c>
      <c r="L204" s="38"/>
      <c r="M204" s="298" t="str">
        <f>IF(L204="","",IF(VLOOKUP(L204,'G-3 Multipliers'!$L$3:$N$6,2,FALSE)=0,"Spatial Data Missing",VLOOKUP(L204,'G-3 Multipliers'!$L$3:$N$6,2,FALSE)))</f>
        <v/>
      </c>
      <c r="N204" s="296" t="str">
        <f>IF(L204="","",IF(VLOOKUP(L204,'G-3 Multipliers'!$L$3:$N$6,3,FALSE)=0,"Spatial Data Missing",VLOOKUP(L204,'G-3 Multipliers'!$L$3:$N$6,3,FALSE)))</f>
        <v/>
      </c>
      <c r="O204" s="290" t="str">
        <f t="shared" si="18"/>
        <v/>
      </c>
      <c r="P204" s="47"/>
      <c r="Q204" s="47"/>
      <c r="R204" s="298" t="str">
        <f t="shared" ref="R204:R256" si="20">IF(E204="","",IF(AND(P204&gt;0,Q204&gt;0),"Error -both advance and delayed habitat creation ▲",IF(I204=0,"Standard time to target condition applied",IF(AND(J204="N/A -Agricultural",O204&lt;=P204),"Check details - Is there evidence habitat creation in place? ⚠",IF(AND(O204&lt;=P204,Q204=0),"Check details - Is there evidence that habitat has reached target condition? ⚠",IF(O204="","",IF(AND(P204&gt;=AE204,P204&gt;0),"Check details - Is there evidence habitat creation started and the threshold for Poor condition reached? ⚠",IF(Q204&gt;0,"Check details- Delay in starting habitat in required condition? ⚠",IF(P204&gt;0,"Check details - Is there evidence habitat creation started/in place? ⚠","Standard time to target condition applied")))))))))</f>
        <v/>
      </c>
      <c r="S204" s="311" t="str">
        <f t="shared" ref="S204:S256" si="21">IF(R204="Error -both advance and delayed habitat creation ▲","Check Data ⚠",IF(O204="Not Possible","Check Data ⚠",IF(O204="","",IF(AND(O204="30+",P204=0),"30+",IF(AND(O204="30+",P204="30+"),0,IF(AND(O204="30+",P204&lt;32),30-P204,IF(O204="30+",30-P204,IF(P204&gt;O204,0,IF(Q204="30+","30+",IF(O204+Q204&gt;30,"30+",IF(O204+Q204&gt;30,"30+",IF(O204-P204&gt;30,"30+",IF(O204+Q204-P204&gt;0,O204+Q204-P204,IF(O204-P204&gt;0,O204-P204,O204+Q204-P204))))))))))))))</f>
        <v/>
      </c>
      <c r="T204" s="312" t="str">
        <f>IFERROR(IF(S204="Check Data ⚠","Check Data ⚠",VLOOKUP(S204,'G-4 Temporal multipliers'!$A$4:$C$37,3,FALSE)),"")</f>
        <v/>
      </c>
      <c r="U204" s="313" t="str">
        <f>IF(F204="","",VLOOKUP(F204,'G-3 Multipliers'!$A$2:$E$134,2,FALSE))</f>
        <v/>
      </c>
      <c r="V204" s="310" t="str">
        <f t="shared" ref="V204:V256" si="22">IF(F204="","",IF($R204="Check details - Is there evidence that habitat has reached target condition? ⚠","Low Difficulty - only applicable if all habitat created before losses ⚠",IF(AND($R204="Check details - Is there evidence habitat creation started and the threshold for Poor condition reached? ⚠",$E204&lt;&gt;"Traditional orchards", $E204&lt;&gt;"Ornamental lake or pond", $E204&lt;&gt;"Ponds (non-priority habitat)", $E204&lt;&gt;"Ruderal/Ephemeral", $E204&lt;&gt;"Tall forbs", $E204&lt;&gt;"Developed land; sealed surface"),"Enhancement difficulty applied","Standard difficulty applied")))</f>
        <v/>
      </c>
      <c r="W204" s="295" t="str">
        <f>IF(E204="","",IF(AND(V204="Standard difficulty applied",O204&gt;P204),U204,IF(AND(V204="Low Difficulty - only applicable if all habitat created before losses ⚠",P204&gt;=O204),"Low",VLOOKUP(F204,'G-3 Multipliers'!$A$2:$E$134,4,FALSE))))</f>
        <v/>
      </c>
      <c r="X204" s="314" t="str">
        <f>IFERROR(IF(E204="","",VLOOKUP(W204, 'G-3 Multipliers'!$P$2:$Q$6,2,FALSE)),"")</f>
        <v/>
      </c>
      <c r="Y204" s="317" t="str">
        <f t="shared" ref="Y204:Y256" si="23">IFERROR(G204*I204*K204*N204*T204*X204,"")</f>
        <v/>
      </c>
      <c r="Z204" s="163"/>
      <c r="AA204" s="164"/>
      <c r="AB204" s="101"/>
      <c r="AE204" s="25" t="str">
        <f t="shared" si="19"/>
        <v/>
      </c>
    </row>
    <row r="205" spans="1:31" ht="14.5" thickBot="1" x14ac:dyDescent="0.35">
      <c r="A205" s="20" t="str">
        <f>IFERROR(INDEX('G-8 Condition Look up'!$I$4:$I$135,MATCH(F205,'G-8 Condition Look up'!$A$4:$A$135,0)),"")</f>
        <v/>
      </c>
      <c r="B205" s="679">
        <v>195</v>
      </c>
      <c r="C205" s="247" t="str">
        <f>IFERROR(INDEX('G-1 All Habitats'!$AG$25:$AG$41,MATCH(D205,'G-1 All Habitats'!AF$25:AF$41,0)),"")</f>
        <v/>
      </c>
      <c r="D205" s="38"/>
      <c r="E205" s="45"/>
      <c r="F205" s="244" t="str">
        <f>IFERROR(INDEX('G-1 All Habitats'!$B$3:$B$135,MATCH(E205,'G-1 All Habitats'!$A$3:$A$135,0)),"")</f>
        <v/>
      </c>
      <c r="G205" s="37"/>
      <c r="H205" s="290" t="str">
        <f>IF(F205="","",VLOOKUP(F205,'G-1 All Habitats'!$B$2:$M$135,10,FALSE))</f>
        <v/>
      </c>
      <c r="I205" s="291" t="str">
        <f>IFERROR(VLOOKUP(H205,'G-1 All Habitats'!$V$3:$W$7,2,FALSE),"")</f>
        <v/>
      </c>
      <c r="J205" s="38"/>
      <c r="K205" s="291" t="str">
        <f>IFERROR(INDEX('G-8 Condition Look up'!$A$3:$H$135,MATCH(F205,'G-8 Condition Look up'!$A$3:$A$135,0),MATCH(J205,'G-8 Condition Look up'!$A$3:$H$3,0)),"")</f>
        <v/>
      </c>
      <c r="L205" s="38"/>
      <c r="M205" s="298" t="str">
        <f>IF(L205="","",IF(VLOOKUP(L205,'G-3 Multipliers'!$L$3:$N$6,2,FALSE)=0,"Spatial Data Missing",VLOOKUP(L205,'G-3 Multipliers'!$L$3:$N$6,2,FALSE)))</f>
        <v/>
      </c>
      <c r="N205" s="296" t="str">
        <f>IF(L205="","",IF(VLOOKUP(L205,'G-3 Multipliers'!$L$3:$N$6,3,FALSE)=0,"Spatial Data Missing",VLOOKUP(L205,'G-3 Multipliers'!$L$3:$N$6,3,FALSE)))</f>
        <v/>
      </c>
      <c r="O205" s="290" t="str">
        <f t="shared" si="18"/>
        <v/>
      </c>
      <c r="P205" s="47"/>
      <c r="Q205" s="47"/>
      <c r="R205" s="298" t="str">
        <f t="shared" si="20"/>
        <v/>
      </c>
      <c r="S205" s="311" t="str">
        <f t="shared" si="21"/>
        <v/>
      </c>
      <c r="T205" s="312" t="str">
        <f>IFERROR(IF(S205="Check Data ⚠","Check Data ⚠",VLOOKUP(S205,'G-4 Temporal multipliers'!$A$4:$C$37,3,FALSE)),"")</f>
        <v/>
      </c>
      <c r="U205" s="313" t="str">
        <f>IF(F205="","",VLOOKUP(F205,'G-3 Multipliers'!$A$2:$E$134,2,FALSE))</f>
        <v/>
      </c>
      <c r="V205" s="310" t="str">
        <f t="shared" si="22"/>
        <v/>
      </c>
      <c r="W205" s="295" t="str">
        <f>IF(E205="","",IF(AND(V205="Standard difficulty applied",O205&gt;P205),U205,IF(AND(V205="Low Difficulty - only applicable if all habitat created before losses ⚠",P205&gt;=O205),"Low",VLOOKUP(F205,'G-3 Multipliers'!$A$2:$E$134,4,FALSE))))</f>
        <v/>
      </c>
      <c r="X205" s="314" t="str">
        <f>IFERROR(IF(E205="","",VLOOKUP(W205, 'G-3 Multipliers'!$P$2:$Q$6,2,FALSE)),"")</f>
        <v/>
      </c>
      <c r="Y205" s="317" t="str">
        <f t="shared" si="23"/>
        <v/>
      </c>
      <c r="Z205" s="163"/>
      <c r="AA205" s="164"/>
      <c r="AB205" s="101"/>
      <c r="AE205" s="25" t="str">
        <f t="shared" si="19"/>
        <v/>
      </c>
    </row>
    <row r="206" spans="1:31" ht="14.5" thickBot="1" x14ac:dyDescent="0.35">
      <c r="A206" s="20" t="str">
        <f>IFERROR(INDEX('G-8 Condition Look up'!$I$4:$I$135,MATCH(F206,'G-8 Condition Look up'!$A$4:$A$135,0)),"")</f>
        <v/>
      </c>
      <c r="B206" s="679">
        <v>196</v>
      </c>
      <c r="C206" s="247" t="str">
        <f>IFERROR(INDEX('G-1 All Habitats'!$AG$25:$AG$41,MATCH(D206,'G-1 All Habitats'!AF$25:AF$41,0)),"")</f>
        <v/>
      </c>
      <c r="D206" s="38"/>
      <c r="E206" s="45"/>
      <c r="F206" s="244" t="str">
        <f>IFERROR(INDEX('G-1 All Habitats'!$B$3:$B$135,MATCH(E206,'G-1 All Habitats'!$A$3:$A$135,0)),"")</f>
        <v/>
      </c>
      <c r="G206" s="37"/>
      <c r="H206" s="290" t="str">
        <f>IF(F206="","",VLOOKUP(F206,'G-1 All Habitats'!$B$2:$M$135,10,FALSE))</f>
        <v/>
      </c>
      <c r="I206" s="291" t="str">
        <f>IFERROR(VLOOKUP(H206,'G-1 All Habitats'!$V$3:$W$7,2,FALSE),"")</f>
        <v/>
      </c>
      <c r="J206" s="38"/>
      <c r="K206" s="291" t="str">
        <f>IFERROR(INDEX('G-8 Condition Look up'!$A$3:$H$135,MATCH(F206,'G-8 Condition Look up'!$A$3:$A$135,0),MATCH(J206,'G-8 Condition Look up'!$A$3:$H$3,0)),"")</f>
        <v/>
      </c>
      <c r="L206" s="38"/>
      <c r="M206" s="298" t="str">
        <f>IF(L206="","",IF(VLOOKUP(L206,'G-3 Multipliers'!$L$3:$N$6,2,FALSE)=0,"Spatial Data Missing",VLOOKUP(L206,'G-3 Multipliers'!$L$3:$N$6,2,FALSE)))</f>
        <v/>
      </c>
      <c r="N206" s="296" t="str">
        <f>IF(L206="","",IF(VLOOKUP(L206,'G-3 Multipliers'!$L$3:$N$6,3,FALSE)=0,"Spatial Data Missing",VLOOKUP(L206,'G-3 Multipliers'!$L$3:$N$6,3,FALSE)))</f>
        <v/>
      </c>
      <c r="O206" s="290" t="str">
        <f t="shared" si="18"/>
        <v/>
      </c>
      <c r="P206" s="47"/>
      <c r="Q206" s="47"/>
      <c r="R206" s="298" t="str">
        <f t="shared" si="20"/>
        <v/>
      </c>
      <c r="S206" s="311" t="str">
        <f t="shared" si="21"/>
        <v/>
      </c>
      <c r="T206" s="312" t="str">
        <f>IFERROR(IF(S206="Check Data ⚠","Check Data ⚠",VLOOKUP(S206,'G-4 Temporal multipliers'!$A$4:$C$37,3,FALSE)),"")</f>
        <v/>
      </c>
      <c r="U206" s="313" t="str">
        <f>IF(F206="","",VLOOKUP(F206,'G-3 Multipliers'!$A$2:$E$134,2,FALSE))</f>
        <v/>
      </c>
      <c r="V206" s="310" t="str">
        <f t="shared" si="22"/>
        <v/>
      </c>
      <c r="W206" s="295" t="str">
        <f>IF(E206="","",IF(AND(V206="Standard difficulty applied",O206&gt;P206),U206,IF(AND(V206="Low Difficulty - only applicable if all habitat created before losses ⚠",P206&gt;=O206),"Low",VLOOKUP(F206,'G-3 Multipliers'!$A$2:$E$134,4,FALSE))))</f>
        <v/>
      </c>
      <c r="X206" s="314" t="str">
        <f>IFERROR(IF(E206="","",VLOOKUP(W206, 'G-3 Multipliers'!$P$2:$Q$6,2,FALSE)),"")</f>
        <v/>
      </c>
      <c r="Y206" s="317" t="str">
        <f t="shared" si="23"/>
        <v/>
      </c>
      <c r="Z206" s="163"/>
      <c r="AA206" s="164"/>
      <c r="AB206" s="101"/>
      <c r="AE206" s="25" t="str">
        <f t="shared" si="19"/>
        <v/>
      </c>
    </row>
    <row r="207" spans="1:31" ht="14.5" thickBot="1" x14ac:dyDescent="0.35">
      <c r="A207" s="20" t="str">
        <f>IFERROR(INDEX('G-8 Condition Look up'!$I$4:$I$135,MATCH(F207,'G-8 Condition Look up'!$A$4:$A$135,0)),"")</f>
        <v/>
      </c>
      <c r="B207" s="679">
        <v>197</v>
      </c>
      <c r="C207" s="247" t="str">
        <f>IFERROR(INDEX('G-1 All Habitats'!$AG$25:$AG$41,MATCH(D207,'G-1 All Habitats'!AF$25:AF$41,0)),"")</f>
        <v/>
      </c>
      <c r="D207" s="38"/>
      <c r="E207" s="45"/>
      <c r="F207" s="244" t="str">
        <f>IFERROR(INDEX('G-1 All Habitats'!$B$3:$B$135,MATCH(E207,'G-1 All Habitats'!$A$3:$A$135,0)),"")</f>
        <v/>
      </c>
      <c r="G207" s="37"/>
      <c r="H207" s="290" t="str">
        <f>IF(F207="","",VLOOKUP(F207,'G-1 All Habitats'!$B$2:$M$135,10,FALSE))</f>
        <v/>
      </c>
      <c r="I207" s="291" t="str">
        <f>IFERROR(VLOOKUP(H207,'G-1 All Habitats'!$V$3:$W$7,2,FALSE),"")</f>
        <v/>
      </c>
      <c r="J207" s="38"/>
      <c r="K207" s="291" t="str">
        <f>IFERROR(INDEX('G-8 Condition Look up'!$A$3:$H$135,MATCH(F207,'G-8 Condition Look up'!$A$3:$A$135,0),MATCH(J207,'G-8 Condition Look up'!$A$3:$H$3,0)),"")</f>
        <v/>
      </c>
      <c r="L207" s="38"/>
      <c r="M207" s="298" t="str">
        <f>IF(L207="","",IF(VLOOKUP(L207,'G-3 Multipliers'!$L$3:$N$6,2,FALSE)=0,"Spatial Data Missing",VLOOKUP(L207,'G-3 Multipliers'!$L$3:$N$6,2,FALSE)))</f>
        <v/>
      </c>
      <c r="N207" s="296" t="str">
        <f>IF(L207="","",IF(VLOOKUP(L207,'G-3 Multipliers'!$L$3:$N$6,3,FALSE)=0,"Spatial Data Missing",VLOOKUP(L207,'G-3 Multipliers'!$L$3:$N$6,3,FALSE)))</f>
        <v/>
      </c>
      <c r="O207" s="290" t="str">
        <f t="shared" si="18"/>
        <v/>
      </c>
      <c r="P207" s="47"/>
      <c r="Q207" s="47"/>
      <c r="R207" s="298" t="str">
        <f t="shared" si="20"/>
        <v/>
      </c>
      <c r="S207" s="311" t="str">
        <f t="shared" si="21"/>
        <v/>
      </c>
      <c r="T207" s="312" t="str">
        <f>IFERROR(IF(S207="Check Data ⚠","Check Data ⚠",VLOOKUP(S207,'G-4 Temporal multipliers'!$A$4:$C$37,3,FALSE)),"")</f>
        <v/>
      </c>
      <c r="U207" s="313" t="str">
        <f>IF(F207="","",VLOOKUP(F207,'G-3 Multipliers'!$A$2:$E$134,2,FALSE))</f>
        <v/>
      </c>
      <c r="V207" s="310" t="str">
        <f t="shared" si="22"/>
        <v/>
      </c>
      <c r="W207" s="295" t="str">
        <f>IF(E207="","",IF(AND(V207="Standard difficulty applied",O207&gt;P207),U207,IF(AND(V207="Low Difficulty - only applicable if all habitat created before losses ⚠",P207&gt;=O207),"Low",VLOOKUP(F207,'G-3 Multipliers'!$A$2:$E$134,4,FALSE))))</f>
        <v/>
      </c>
      <c r="X207" s="314" t="str">
        <f>IFERROR(IF(E207="","",VLOOKUP(W207, 'G-3 Multipliers'!$P$2:$Q$6,2,FALSE)),"")</f>
        <v/>
      </c>
      <c r="Y207" s="317" t="str">
        <f t="shared" si="23"/>
        <v/>
      </c>
      <c r="Z207" s="163"/>
      <c r="AA207" s="164"/>
      <c r="AB207" s="101"/>
      <c r="AE207" s="25" t="str">
        <f t="shared" si="19"/>
        <v/>
      </c>
    </row>
    <row r="208" spans="1:31" ht="14.5" thickBot="1" x14ac:dyDescent="0.35">
      <c r="A208" s="20" t="str">
        <f>IFERROR(INDEX('G-8 Condition Look up'!$I$4:$I$135,MATCH(F208,'G-8 Condition Look up'!$A$4:$A$135,0)),"")</f>
        <v/>
      </c>
      <c r="B208" s="679">
        <v>198</v>
      </c>
      <c r="C208" s="247" t="str">
        <f>IFERROR(INDEX('G-1 All Habitats'!$AG$25:$AG$41,MATCH(D208,'G-1 All Habitats'!AF$25:AF$41,0)),"")</f>
        <v/>
      </c>
      <c r="D208" s="38"/>
      <c r="E208" s="45"/>
      <c r="F208" s="244" t="str">
        <f>IFERROR(INDEX('G-1 All Habitats'!$B$3:$B$135,MATCH(E208,'G-1 All Habitats'!$A$3:$A$135,0)),"")</f>
        <v/>
      </c>
      <c r="G208" s="37"/>
      <c r="H208" s="290" t="str">
        <f>IF(F208="","",VLOOKUP(F208,'G-1 All Habitats'!$B$2:$M$135,10,FALSE))</f>
        <v/>
      </c>
      <c r="I208" s="291" t="str">
        <f>IFERROR(VLOOKUP(H208,'G-1 All Habitats'!$V$3:$W$7,2,FALSE),"")</f>
        <v/>
      </c>
      <c r="J208" s="38"/>
      <c r="K208" s="291" t="str">
        <f>IFERROR(INDEX('G-8 Condition Look up'!$A$3:$H$135,MATCH(F208,'G-8 Condition Look up'!$A$3:$A$135,0),MATCH(J208,'G-8 Condition Look up'!$A$3:$H$3,0)),"")</f>
        <v/>
      </c>
      <c r="L208" s="38"/>
      <c r="M208" s="298" t="str">
        <f>IF(L208="","",IF(VLOOKUP(L208,'G-3 Multipliers'!$L$3:$N$6,2,FALSE)=0,"Spatial Data Missing",VLOOKUP(L208,'G-3 Multipliers'!$L$3:$N$6,2,FALSE)))</f>
        <v/>
      </c>
      <c r="N208" s="296" t="str">
        <f>IF(L208="","",IF(VLOOKUP(L208,'G-3 Multipliers'!$L$3:$N$6,3,FALSE)=0,"Spatial Data Missing",VLOOKUP(L208,'G-3 Multipliers'!$L$3:$N$6,3,FALSE)))</f>
        <v/>
      </c>
      <c r="O208" s="290" t="str">
        <f t="shared" si="18"/>
        <v/>
      </c>
      <c r="P208" s="47"/>
      <c r="Q208" s="47"/>
      <c r="R208" s="298" t="str">
        <f t="shared" si="20"/>
        <v/>
      </c>
      <c r="S208" s="311" t="str">
        <f t="shared" si="21"/>
        <v/>
      </c>
      <c r="T208" s="312" t="str">
        <f>IFERROR(IF(S208="Check Data ⚠","Check Data ⚠",VLOOKUP(S208,'G-4 Temporal multipliers'!$A$4:$C$37,3,FALSE)),"")</f>
        <v/>
      </c>
      <c r="U208" s="313" t="str">
        <f>IF(F208="","",VLOOKUP(F208,'G-3 Multipliers'!$A$2:$E$134,2,FALSE))</f>
        <v/>
      </c>
      <c r="V208" s="310" t="str">
        <f t="shared" si="22"/>
        <v/>
      </c>
      <c r="W208" s="295" t="str">
        <f>IF(E208="","",IF(AND(V208="Standard difficulty applied",O208&gt;P208),U208,IF(AND(V208="Low Difficulty - only applicable if all habitat created before losses ⚠",P208&gt;=O208),"Low",VLOOKUP(F208,'G-3 Multipliers'!$A$2:$E$134,4,FALSE))))</f>
        <v/>
      </c>
      <c r="X208" s="314" t="str">
        <f>IFERROR(IF(E208="","",VLOOKUP(W208, 'G-3 Multipliers'!$P$2:$Q$6,2,FALSE)),"")</f>
        <v/>
      </c>
      <c r="Y208" s="317" t="str">
        <f t="shared" si="23"/>
        <v/>
      </c>
      <c r="Z208" s="163"/>
      <c r="AA208" s="164"/>
      <c r="AB208" s="101"/>
      <c r="AE208" s="25" t="str">
        <f t="shared" si="19"/>
        <v/>
      </c>
    </row>
    <row r="209" spans="1:31" ht="14.5" thickBot="1" x14ac:dyDescent="0.35">
      <c r="A209" s="20" t="str">
        <f>IFERROR(INDEX('G-8 Condition Look up'!$I$4:$I$135,MATCH(F209,'G-8 Condition Look up'!$A$4:$A$135,0)),"")</f>
        <v/>
      </c>
      <c r="B209" s="679">
        <v>199</v>
      </c>
      <c r="C209" s="247" t="str">
        <f>IFERROR(INDEX('G-1 All Habitats'!$AG$25:$AG$41,MATCH(D209,'G-1 All Habitats'!AF$25:AF$41,0)),"")</f>
        <v/>
      </c>
      <c r="D209" s="38"/>
      <c r="E209" s="45"/>
      <c r="F209" s="244" t="str">
        <f>IFERROR(INDEX('G-1 All Habitats'!$B$3:$B$135,MATCH(E209,'G-1 All Habitats'!$A$3:$A$135,0)),"")</f>
        <v/>
      </c>
      <c r="G209" s="37"/>
      <c r="H209" s="290" t="str">
        <f>IF(F209="","",VLOOKUP(F209,'G-1 All Habitats'!$B$2:$M$135,10,FALSE))</f>
        <v/>
      </c>
      <c r="I209" s="291" t="str">
        <f>IFERROR(VLOOKUP(H209,'G-1 All Habitats'!$V$3:$W$7,2,FALSE),"")</f>
        <v/>
      </c>
      <c r="J209" s="38"/>
      <c r="K209" s="291" t="str">
        <f>IFERROR(INDEX('G-8 Condition Look up'!$A$3:$H$135,MATCH(F209,'G-8 Condition Look up'!$A$3:$A$135,0),MATCH(J209,'G-8 Condition Look up'!$A$3:$H$3,0)),"")</f>
        <v/>
      </c>
      <c r="L209" s="38"/>
      <c r="M209" s="298" t="str">
        <f>IF(L209="","",IF(VLOOKUP(L209,'G-3 Multipliers'!$L$3:$N$6,2,FALSE)=0,"Spatial Data Missing",VLOOKUP(L209,'G-3 Multipliers'!$L$3:$N$6,2,FALSE)))</f>
        <v/>
      </c>
      <c r="N209" s="296" t="str">
        <f>IF(L209="","",IF(VLOOKUP(L209,'G-3 Multipliers'!$L$3:$N$6,3,FALSE)=0,"Spatial Data Missing",VLOOKUP(L209,'G-3 Multipliers'!$L$3:$N$6,3,FALSE)))</f>
        <v/>
      </c>
      <c r="O209" s="290" t="str">
        <f t="shared" si="18"/>
        <v/>
      </c>
      <c r="P209" s="47"/>
      <c r="Q209" s="47"/>
      <c r="R209" s="298" t="str">
        <f t="shared" si="20"/>
        <v/>
      </c>
      <c r="S209" s="311" t="str">
        <f t="shared" si="21"/>
        <v/>
      </c>
      <c r="T209" s="312" t="str">
        <f>IFERROR(IF(S209="Check Data ⚠","Check Data ⚠",VLOOKUP(S209,'G-4 Temporal multipliers'!$A$4:$C$37,3,FALSE)),"")</f>
        <v/>
      </c>
      <c r="U209" s="313" t="str">
        <f>IF(F209="","",VLOOKUP(F209,'G-3 Multipliers'!$A$2:$E$134,2,FALSE))</f>
        <v/>
      </c>
      <c r="V209" s="310" t="str">
        <f t="shared" si="22"/>
        <v/>
      </c>
      <c r="W209" s="295" t="str">
        <f>IF(E209="","",IF(AND(V209="Standard difficulty applied",O209&gt;P209),U209,IF(AND(V209="Low Difficulty - only applicable if all habitat created before losses ⚠",P209&gt;=O209),"Low",VLOOKUP(F209,'G-3 Multipliers'!$A$2:$E$134,4,FALSE))))</f>
        <v/>
      </c>
      <c r="X209" s="314" t="str">
        <f>IFERROR(IF(E209="","",VLOOKUP(W209, 'G-3 Multipliers'!$P$2:$Q$6,2,FALSE)),"")</f>
        <v/>
      </c>
      <c r="Y209" s="317" t="str">
        <f t="shared" si="23"/>
        <v/>
      </c>
      <c r="Z209" s="163"/>
      <c r="AA209" s="164"/>
      <c r="AB209" s="101"/>
      <c r="AE209" s="25" t="str">
        <f t="shared" si="19"/>
        <v/>
      </c>
    </row>
    <row r="210" spans="1:31" ht="14.5" thickBot="1" x14ac:dyDescent="0.35">
      <c r="A210" s="20" t="str">
        <f>IFERROR(INDEX('G-8 Condition Look up'!$I$4:$I$135,MATCH(F210,'G-8 Condition Look up'!$A$4:$A$135,0)),"")</f>
        <v/>
      </c>
      <c r="B210" s="679">
        <v>200</v>
      </c>
      <c r="C210" s="247" t="str">
        <f>IFERROR(INDEX('G-1 All Habitats'!$AG$25:$AG$41,MATCH(D210,'G-1 All Habitats'!AF$25:AF$41,0)),"")</f>
        <v/>
      </c>
      <c r="D210" s="38"/>
      <c r="E210" s="45"/>
      <c r="F210" s="244" t="str">
        <f>IFERROR(INDEX('G-1 All Habitats'!$B$3:$B$135,MATCH(E210,'G-1 All Habitats'!$A$3:$A$135,0)),"")</f>
        <v/>
      </c>
      <c r="G210" s="37"/>
      <c r="H210" s="290" t="str">
        <f>IF(F210="","",VLOOKUP(F210,'G-1 All Habitats'!$B$2:$M$135,10,FALSE))</f>
        <v/>
      </c>
      <c r="I210" s="291" t="str">
        <f>IFERROR(VLOOKUP(H210,'G-1 All Habitats'!$V$3:$W$7,2,FALSE),"")</f>
        <v/>
      </c>
      <c r="J210" s="38"/>
      <c r="K210" s="291" t="str">
        <f>IFERROR(INDEX('G-8 Condition Look up'!$A$3:$H$135,MATCH(F210,'G-8 Condition Look up'!$A$3:$A$135,0),MATCH(J210,'G-8 Condition Look up'!$A$3:$H$3,0)),"")</f>
        <v/>
      </c>
      <c r="L210" s="38"/>
      <c r="M210" s="298" t="str">
        <f>IF(L210="","",IF(VLOOKUP(L210,'G-3 Multipliers'!$L$3:$N$6,2,FALSE)=0,"Spatial Data Missing",VLOOKUP(L210,'G-3 Multipliers'!$L$3:$N$6,2,FALSE)))</f>
        <v/>
      </c>
      <c r="N210" s="296" t="str">
        <f>IF(L210="","",IF(VLOOKUP(L210,'G-3 Multipliers'!$L$3:$N$6,3,FALSE)=0,"Spatial Data Missing",VLOOKUP(L210,'G-3 Multipliers'!$L$3:$N$6,3,FALSE)))</f>
        <v/>
      </c>
      <c r="O210" s="290" t="str">
        <f t="shared" si="18"/>
        <v/>
      </c>
      <c r="P210" s="47"/>
      <c r="Q210" s="47"/>
      <c r="R210" s="298" t="str">
        <f t="shared" si="20"/>
        <v/>
      </c>
      <c r="S210" s="311" t="str">
        <f t="shared" si="21"/>
        <v/>
      </c>
      <c r="T210" s="312" t="str">
        <f>IFERROR(IF(S210="Check Data ⚠","Check Data ⚠",VLOOKUP(S210,'G-4 Temporal multipliers'!$A$4:$C$37,3,FALSE)),"")</f>
        <v/>
      </c>
      <c r="U210" s="313" t="str">
        <f>IF(F210="","",VLOOKUP(F210,'G-3 Multipliers'!$A$2:$E$134,2,FALSE))</f>
        <v/>
      </c>
      <c r="V210" s="310" t="str">
        <f t="shared" si="22"/>
        <v/>
      </c>
      <c r="W210" s="295" t="str">
        <f>IF(E210="","",IF(AND(V210="Standard difficulty applied",O210&gt;P210),U210,IF(AND(V210="Low Difficulty - only applicable if all habitat created before losses ⚠",P210&gt;=O210),"Low",VLOOKUP(F210,'G-3 Multipliers'!$A$2:$E$134,4,FALSE))))</f>
        <v/>
      </c>
      <c r="X210" s="314" t="str">
        <f>IFERROR(IF(E210="","",VLOOKUP(W210, 'G-3 Multipliers'!$P$2:$Q$6,2,FALSE)),"")</f>
        <v/>
      </c>
      <c r="Y210" s="317" t="str">
        <f t="shared" si="23"/>
        <v/>
      </c>
      <c r="Z210" s="163"/>
      <c r="AA210" s="164"/>
      <c r="AB210" s="101"/>
      <c r="AE210" s="25" t="str">
        <f t="shared" si="19"/>
        <v/>
      </c>
    </row>
    <row r="211" spans="1:31" ht="14.5" thickBot="1" x14ac:dyDescent="0.35">
      <c r="A211" s="20" t="str">
        <f>IFERROR(INDEX('G-8 Condition Look up'!$I$4:$I$135,MATCH(F211,'G-8 Condition Look up'!$A$4:$A$135,0)),"")</f>
        <v/>
      </c>
      <c r="B211" s="679">
        <v>201</v>
      </c>
      <c r="C211" s="247" t="str">
        <f>IFERROR(INDEX('G-1 All Habitats'!$AG$25:$AG$41,MATCH(D211,'G-1 All Habitats'!AF$25:AF$41,0)),"")</f>
        <v/>
      </c>
      <c r="D211" s="38"/>
      <c r="E211" s="45"/>
      <c r="F211" s="244" t="str">
        <f>IFERROR(INDEX('G-1 All Habitats'!$B$3:$B$135,MATCH(E211,'G-1 All Habitats'!$A$3:$A$135,0)),"")</f>
        <v/>
      </c>
      <c r="G211" s="37"/>
      <c r="H211" s="290" t="str">
        <f>IF(F211="","",VLOOKUP(F211,'G-1 All Habitats'!$B$2:$M$135,10,FALSE))</f>
        <v/>
      </c>
      <c r="I211" s="291" t="str">
        <f>IFERROR(VLOOKUP(H211,'G-1 All Habitats'!$V$3:$W$7,2,FALSE),"")</f>
        <v/>
      </c>
      <c r="J211" s="38"/>
      <c r="K211" s="291" t="str">
        <f>IFERROR(INDEX('G-8 Condition Look up'!$A$3:$H$135,MATCH(F211,'G-8 Condition Look up'!$A$3:$A$135,0),MATCH(J211,'G-8 Condition Look up'!$A$3:$H$3,0)),"")</f>
        <v/>
      </c>
      <c r="L211" s="38"/>
      <c r="M211" s="298" t="str">
        <f>IF(L211="","",IF(VLOOKUP(L211,'G-3 Multipliers'!$L$3:$N$6,2,FALSE)=0,"Spatial Data Missing",VLOOKUP(L211,'G-3 Multipliers'!$L$3:$N$6,2,FALSE)))</f>
        <v/>
      </c>
      <c r="N211" s="296" t="str">
        <f>IF(L211="","",IF(VLOOKUP(L211,'G-3 Multipliers'!$L$3:$N$6,3,FALSE)=0,"Spatial Data Missing",VLOOKUP(L211,'G-3 Multipliers'!$L$3:$N$6,3,FALSE)))</f>
        <v/>
      </c>
      <c r="O211" s="290" t="str">
        <f t="shared" si="18"/>
        <v/>
      </c>
      <c r="P211" s="47"/>
      <c r="Q211" s="47"/>
      <c r="R211" s="298" t="str">
        <f t="shared" si="20"/>
        <v/>
      </c>
      <c r="S211" s="311" t="str">
        <f t="shared" si="21"/>
        <v/>
      </c>
      <c r="T211" s="312" t="str">
        <f>IFERROR(IF(S211="Check Data ⚠","Check Data ⚠",VLOOKUP(S211,'G-4 Temporal multipliers'!$A$4:$C$37,3,FALSE)),"")</f>
        <v/>
      </c>
      <c r="U211" s="313" t="str">
        <f>IF(F211="","",VLOOKUP(F211,'G-3 Multipliers'!$A$2:$E$134,2,FALSE))</f>
        <v/>
      </c>
      <c r="V211" s="310" t="str">
        <f t="shared" si="22"/>
        <v/>
      </c>
      <c r="W211" s="295" t="str">
        <f>IF(E211="","",IF(AND(V211="Standard difficulty applied",O211&gt;P211),U211,IF(AND(V211="Low Difficulty - only applicable if all habitat created before losses ⚠",P211&gt;=O211),"Low",VLOOKUP(F211,'G-3 Multipliers'!$A$2:$E$134,4,FALSE))))</f>
        <v/>
      </c>
      <c r="X211" s="314" t="str">
        <f>IFERROR(IF(E211="","",VLOOKUP(W211, 'G-3 Multipliers'!$P$2:$Q$6,2,FALSE)),"")</f>
        <v/>
      </c>
      <c r="Y211" s="317" t="str">
        <f t="shared" si="23"/>
        <v/>
      </c>
      <c r="Z211" s="163"/>
      <c r="AA211" s="164"/>
      <c r="AB211" s="101"/>
      <c r="AE211" s="25" t="str">
        <f t="shared" si="19"/>
        <v/>
      </c>
    </row>
    <row r="212" spans="1:31" ht="14.5" thickBot="1" x14ac:dyDescent="0.35">
      <c r="A212" s="20" t="str">
        <f>IFERROR(INDEX('G-8 Condition Look up'!$I$4:$I$135,MATCH(F212,'G-8 Condition Look up'!$A$4:$A$135,0)),"")</f>
        <v/>
      </c>
      <c r="B212" s="679">
        <v>202</v>
      </c>
      <c r="C212" s="247" t="str">
        <f>IFERROR(INDEX('G-1 All Habitats'!$AG$25:$AG$41,MATCH(D212,'G-1 All Habitats'!AF$25:AF$41,0)),"")</f>
        <v/>
      </c>
      <c r="D212" s="38"/>
      <c r="E212" s="45"/>
      <c r="F212" s="244" t="str">
        <f>IFERROR(INDEX('G-1 All Habitats'!$B$3:$B$135,MATCH(E212,'G-1 All Habitats'!$A$3:$A$135,0)),"")</f>
        <v/>
      </c>
      <c r="G212" s="37"/>
      <c r="H212" s="290" t="str">
        <f>IF(F212="","",VLOOKUP(F212,'G-1 All Habitats'!$B$2:$M$135,10,FALSE))</f>
        <v/>
      </c>
      <c r="I212" s="291" t="str">
        <f>IFERROR(VLOOKUP(H212,'G-1 All Habitats'!$V$3:$W$7,2,FALSE),"")</f>
        <v/>
      </c>
      <c r="J212" s="38"/>
      <c r="K212" s="291" t="str">
        <f>IFERROR(INDEX('G-8 Condition Look up'!$A$3:$H$135,MATCH(F212,'G-8 Condition Look up'!$A$3:$A$135,0),MATCH(J212,'G-8 Condition Look up'!$A$3:$H$3,0)),"")</f>
        <v/>
      </c>
      <c r="L212" s="38"/>
      <c r="M212" s="298" t="str">
        <f>IF(L212="","",IF(VLOOKUP(L212,'G-3 Multipliers'!$L$3:$N$6,2,FALSE)=0,"Spatial Data Missing",VLOOKUP(L212,'G-3 Multipliers'!$L$3:$N$6,2,FALSE)))</f>
        <v/>
      </c>
      <c r="N212" s="296" t="str">
        <f>IF(L212="","",IF(VLOOKUP(L212,'G-3 Multipliers'!$L$3:$N$6,3,FALSE)=0,"Spatial Data Missing",VLOOKUP(L212,'G-3 Multipliers'!$L$3:$N$6,3,FALSE)))</f>
        <v/>
      </c>
      <c r="O212" s="290" t="str">
        <f t="shared" si="18"/>
        <v/>
      </c>
      <c r="P212" s="47"/>
      <c r="Q212" s="47"/>
      <c r="R212" s="298" t="str">
        <f t="shared" si="20"/>
        <v/>
      </c>
      <c r="S212" s="311" t="str">
        <f t="shared" si="21"/>
        <v/>
      </c>
      <c r="T212" s="312" t="str">
        <f>IFERROR(IF(S212="Check Data ⚠","Check Data ⚠",VLOOKUP(S212,'G-4 Temporal multipliers'!$A$4:$C$37,3,FALSE)),"")</f>
        <v/>
      </c>
      <c r="U212" s="313" t="str">
        <f>IF(F212="","",VLOOKUP(F212,'G-3 Multipliers'!$A$2:$E$134,2,FALSE))</f>
        <v/>
      </c>
      <c r="V212" s="310" t="str">
        <f t="shared" si="22"/>
        <v/>
      </c>
      <c r="W212" s="295" t="str">
        <f>IF(E212="","",IF(AND(V212="Standard difficulty applied",O212&gt;P212),U212,IF(AND(V212="Low Difficulty - only applicable if all habitat created before losses ⚠",P212&gt;=O212),"Low",VLOOKUP(F212,'G-3 Multipliers'!$A$2:$E$134,4,FALSE))))</f>
        <v/>
      </c>
      <c r="X212" s="314" t="str">
        <f>IFERROR(IF(E212="","",VLOOKUP(W212, 'G-3 Multipliers'!$P$2:$Q$6,2,FALSE)),"")</f>
        <v/>
      </c>
      <c r="Y212" s="317" t="str">
        <f t="shared" si="23"/>
        <v/>
      </c>
      <c r="Z212" s="163"/>
      <c r="AA212" s="164"/>
      <c r="AB212" s="101"/>
      <c r="AE212" s="25" t="str">
        <f t="shared" si="19"/>
        <v/>
      </c>
    </row>
    <row r="213" spans="1:31" ht="14.5" thickBot="1" x14ac:dyDescent="0.35">
      <c r="A213" s="20" t="str">
        <f>IFERROR(INDEX('G-8 Condition Look up'!$I$4:$I$135,MATCH(F213,'G-8 Condition Look up'!$A$4:$A$135,0)),"")</f>
        <v/>
      </c>
      <c r="B213" s="679">
        <v>203</v>
      </c>
      <c r="C213" s="247" t="str">
        <f>IFERROR(INDEX('G-1 All Habitats'!$AG$25:$AG$41,MATCH(D213,'G-1 All Habitats'!AF$25:AF$41,0)),"")</f>
        <v/>
      </c>
      <c r="D213" s="38"/>
      <c r="E213" s="45"/>
      <c r="F213" s="244" t="str">
        <f>IFERROR(INDEX('G-1 All Habitats'!$B$3:$B$135,MATCH(E213,'G-1 All Habitats'!$A$3:$A$135,0)),"")</f>
        <v/>
      </c>
      <c r="G213" s="37"/>
      <c r="H213" s="290" t="str">
        <f>IF(F213="","",VLOOKUP(F213,'G-1 All Habitats'!$B$2:$M$135,10,FALSE))</f>
        <v/>
      </c>
      <c r="I213" s="291" t="str">
        <f>IFERROR(VLOOKUP(H213,'G-1 All Habitats'!$V$3:$W$7,2,FALSE),"")</f>
        <v/>
      </c>
      <c r="J213" s="38"/>
      <c r="K213" s="291" t="str">
        <f>IFERROR(INDEX('G-8 Condition Look up'!$A$3:$H$135,MATCH(F213,'G-8 Condition Look up'!$A$3:$A$135,0),MATCH(J213,'G-8 Condition Look up'!$A$3:$H$3,0)),"")</f>
        <v/>
      </c>
      <c r="L213" s="38"/>
      <c r="M213" s="298" t="str">
        <f>IF(L213="","",IF(VLOOKUP(L213,'G-3 Multipliers'!$L$3:$N$6,2,FALSE)=0,"Spatial Data Missing",VLOOKUP(L213,'G-3 Multipliers'!$L$3:$N$6,2,FALSE)))</f>
        <v/>
      </c>
      <c r="N213" s="296" t="str">
        <f>IF(L213="","",IF(VLOOKUP(L213,'G-3 Multipliers'!$L$3:$N$6,3,FALSE)=0,"Spatial Data Missing",VLOOKUP(L213,'G-3 Multipliers'!$L$3:$N$6,3,FALSE)))</f>
        <v/>
      </c>
      <c r="O213" s="290" t="str">
        <f t="shared" si="18"/>
        <v/>
      </c>
      <c r="P213" s="47"/>
      <c r="Q213" s="47"/>
      <c r="R213" s="298" t="str">
        <f t="shared" si="20"/>
        <v/>
      </c>
      <c r="S213" s="311" t="str">
        <f t="shared" si="21"/>
        <v/>
      </c>
      <c r="T213" s="312" t="str">
        <f>IFERROR(IF(S213="Check Data ⚠","Check Data ⚠",VLOOKUP(S213,'G-4 Temporal multipliers'!$A$4:$C$37,3,FALSE)),"")</f>
        <v/>
      </c>
      <c r="U213" s="313" t="str">
        <f>IF(F213="","",VLOOKUP(F213,'G-3 Multipliers'!$A$2:$E$134,2,FALSE))</f>
        <v/>
      </c>
      <c r="V213" s="310" t="str">
        <f t="shared" si="22"/>
        <v/>
      </c>
      <c r="W213" s="295" t="str">
        <f>IF(E213="","",IF(AND(V213="Standard difficulty applied",O213&gt;P213),U213,IF(AND(V213="Low Difficulty - only applicable if all habitat created before losses ⚠",P213&gt;=O213),"Low",VLOOKUP(F213,'G-3 Multipliers'!$A$2:$E$134,4,FALSE))))</f>
        <v/>
      </c>
      <c r="X213" s="314" t="str">
        <f>IFERROR(IF(E213="","",VLOOKUP(W213, 'G-3 Multipliers'!$P$2:$Q$6,2,FALSE)),"")</f>
        <v/>
      </c>
      <c r="Y213" s="317" t="str">
        <f t="shared" si="23"/>
        <v/>
      </c>
      <c r="Z213" s="163"/>
      <c r="AA213" s="164"/>
      <c r="AB213" s="101"/>
      <c r="AE213" s="25" t="str">
        <f t="shared" si="19"/>
        <v/>
      </c>
    </row>
    <row r="214" spans="1:31" ht="14.5" thickBot="1" x14ac:dyDescent="0.35">
      <c r="A214" s="20" t="str">
        <f>IFERROR(INDEX('G-8 Condition Look up'!$I$4:$I$135,MATCH(F214,'G-8 Condition Look up'!$A$4:$A$135,0)),"")</f>
        <v/>
      </c>
      <c r="B214" s="679">
        <v>204</v>
      </c>
      <c r="C214" s="247" t="str">
        <f>IFERROR(INDEX('G-1 All Habitats'!$AG$25:$AG$41,MATCH(D214,'G-1 All Habitats'!AF$25:AF$41,0)),"")</f>
        <v/>
      </c>
      <c r="D214" s="38"/>
      <c r="E214" s="45"/>
      <c r="F214" s="244" t="str">
        <f>IFERROR(INDEX('G-1 All Habitats'!$B$3:$B$135,MATCH(E214,'G-1 All Habitats'!$A$3:$A$135,0)),"")</f>
        <v/>
      </c>
      <c r="G214" s="37"/>
      <c r="H214" s="290" t="str">
        <f>IF(F214="","",VLOOKUP(F214,'G-1 All Habitats'!$B$2:$M$135,10,FALSE))</f>
        <v/>
      </c>
      <c r="I214" s="291" t="str">
        <f>IFERROR(VLOOKUP(H214,'G-1 All Habitats'!$V$3:$W$7,2,FALSE),"")</f>
        <v/>
      </c>
      <c r="J214" s="38"/>
      <c r="K214" s="291" t="str">
        <f>IFERROR(INDEX('G-8 Condition Look up'!$A$3:$H$135,MATCH(F214,'G-8 Condition Look up'!$A$3:$A$135,0),MATCH(J214,'G-8 Condition Look up'!$A$3:$H$3,0)),"")</f>
        <v/>
      </c>
      <c r="L214" s="38"/>
      <c r="M214" s="298" t="str">
        <f>IF(L214="","",IF(VLOOKUP(L214,'G-3 Multipliers'!$L$3:$N$6,2,FALSE)=0,"Spatial Data Missing",VLOOKUP(L214,'G-3 Multipliers'!$L$3:$N$6,2,FALSE)))</f>
        <v/>
      </c>
      <c r="N214" s="296" t="str">
        <f>IF(L214="","",IF(VLOOKUP(L214,'G-3 Multipliers'!$L$3:$N$6,3,FALSE)=0,"Spatial Data Missing",VLOOKUP(L214,'G-3 Multipliers'!$L$3:$N$6,3,FALSE)))</f>
        <v/>
      </c>
      <c r="O214" s="290" t="str">
        <f t="shared" si="18"/>
        <v/>
      </c>
      <c r="P214" s="47"/>
      <c r="Q214" s="47"/>
      <c r="R214" s="298" t="str">
        <f t="shared" si="20"/>
        <v/>
      </c>
      <c r="S214" s="311" t="str">
        <f t="shared" si="21"/>
        <v/>
      </c>
      <c r="T214" s="312" t="str">
        <f>IFERROR(IF(S214="Check Data ⚠","Check Data ⚠",VLOOKUP(S214,'G-4 Temporal multipliers'!$A$4:$C$37,3,FALSE)),"")</f>
        <v/>
      </c>
      <c r="U214" s="313" t="str">
        <f>IF(F214="","",VLOOKUP(F214,'G-3 Multipliers'!$A$2:$E$134,2,FALSE))</f>
        <v/>
      </c>
      <c r="V214" s="310" t="str">
        <f t="shared" si="22"/>
        <v/>
      </c>
      <c r="W214" s="295" t="str">
        <f>IF(E214="","",IF(AND(V214="Standard difficulty applied",O214&gt;P214),U214,IF(AND(V214="Low Difficulty - only applicable if all habitat created before losses ⚠",P214&gt;=O214),"Low",VLOOKUP(F214,'G-3 Multipliers'!$A$2:$E$134,4,FALSE))))</f>
        <v/>
      </c>
      <c r="X214" s="314" t="str">
        <f>IFERROR(IF(E214="","",VLOOKUP(W214, 'G-3 Multipliers'!$P$2:$Q$6,2,FALSE)),"")</f>
        <v/>
      </c>
      <c r="Y214" s="317" t="str">
        <f t="shared" si="23"/>
        <v/>
      </c>
      <c r="Z214" s="163"/>
      <c r="AA214" s="164"/>
      <c r="AB214" s="101"/>
      <c r="AE214" s="25" t="str">
        <f t="shared" si="19"/>
        <v/>
      </c>
    </row>
    <row r="215" spans="1:31" ht="14.5" thickBot="1" x14ac:dyDescent="0.35">
      <c r="A215" s="20" t="str">
        <f>IFERROR(INDEX('G-8 Condition Look up'!$I$4:$I$135,MATCH(F215,'G-8 Condition Look up'!$A$4:$A$135,0)),"")</f>
        <v/>
      </c>
      <c r="B215" s="679">
        <v>205</v>
      </c>
      <c r="C215" s="247" t="str">
        <f>IFERROR(INDEX('G-1 All Habitats'!$AG$25:$AG$41,MATCH(D215,'G-1 All Habitats'!AF$25:AF$41,0)),"")</f>
        <v/>
      </c>
      <c r="D215" s="38"/>
      <c r="E215" s="45"/>
      <c r="F215" s="244" t="str">
        <f>IFERROR(INDEX('G-1 All Habitats'!$B$3:$B$135,MATCH(E215,'G-1 All Habitats'!$A$3:$A$135,0)),"")</f>
        <v/>
      </c>
      <c r="G215" s="37"/>
      <c r="H215" s="290" t="str">
        <f>IF(F215="","",VLOOKUP(F215,'G-1 All Habitats'!$B$2:$M$135,10,FALSE))</f>
        <v/>
      </c>
      <c r="I215" s="291" t="str">
        <f>IFERROR(VLOOKUP(H215,'G-1 All Habitats'!$V$3:$W$7,2,FALSE),"")</f>
        <v/>
      </c>
      <c r="J215" s="38"/>
      <c r="K215" s="291" t="str">
        <f>IFERROR(INDEX('G-8 Condition Look up'!$A$3:$H$135,MATCH(F215,'G-8 Condition Look up'!$A$3:$A$135,0),MATCH(J215,'G-8 Condition Look up'!$A$3:$H$3,0)),"")</f>
        <v/>
      </c>
      <c r="L215" s="38"/>
      <c r="M215" s="298" t="str">
        <f>IF(L215="","",IF(VLOOKUP(L215,'G-3 Multipliers'!$L$3:$N$6,2,FALSE)=0,"Spatial Data Missing",VLOOKUP(L215,'G-3 Multipliers'!$L$3:$N$6,2,FALSE)))</f>
        <v/>
      </c>
      <c r="N215" s="296" t="str">
        <f>IF(L215="","",IF(VLOOKUP(L215,'G-3 Multipliers'!$L$3:$N$6,3,FALSE)=0,"Spatial Data Missing",VLOOKUP(L215,'G-3 Multipliers'!$L$3:$N$6,3,FALSE)))</f>
        <v/>
      </c>
      <c r="O215" s="290" t="str">
        <f t="shared" si="18"/>
        <v/>
      </c>
      <c r="P215" s="47"/>
      <c r="Q215" s="47"/>
      <c r="R215" s="298" t="str">
        <f t="shared" si="20"/>
        <v/>
      </c>
      <c r="S215" s="311" t="str">
        <f t="shared" si="21"/>
        <v/>
      </c>
      <c r="T215" s="312" t="str">
        <f>IFERROR(IF(S215="Check Data ⚠","Check Data ⚠",VLOOKUP(S215,'G-4 Temporal multipliers'!$A$4:$C$37,3,FALSE)),"")</f>
        <v/>
      </c>
      <c r="U215" s="313" t="str">
        <f>IF(F215="","",VLOOKUP(F215,'G-3 Multipliers'!$A$2:$E$134,2,FALSE))</f>
        <v/>
      </c>
      <c r="V215" s="310" t="str">
        <f t="shared" si="22"/>
        <v/>
      </c>
      <c r="W215" s="295" t="str">
        <f>IF(E215="","",IF(AND(V215="Standard difficulty applied",O215&gt;P215),U215,IF(AND(V215="Low Difficulty - only applicable if all habitat created before losses ⚠",P215&gt;=O215),"Low",VLOOKUP(F215,'G-3 Multipliers'!$A$2:$E$134,4,FALSE))))</f>
        <v/>
      </c>
      <c r="X215" s="314" t="str">
        <f>IFERROR(IF(E215="","",VLOOKUP(W215, 'G-3 Multipliers'!$P$2:$Q$6,2,FALSE)),"")</f>
        <v/>
      </c>
      <c r="Y215" s="317" t="str">
        <f t="shared" si="23"/>
        <v/>
      </c>
      <c r="Z215" s="163"/>
      <c r="AA215" s="164"/>
      <c r="AB215" s="101"/>
      <c r="AE215" s="25" t="str">
        <f t="shared" si="19"/>
        <v/>
      </c>
    </row>
    <row r="216" spans="1:31" ht="14.5" thickBot="1" x14ac:dyDescent="0.35">
      <c r="A216" s="20" t="str">
        <f>IFERROR(INDEX('G-8 Condition Look up'!$I$4:$I$135,MATCH(F216,'G-8 Condition Look up'!$A$4:$A$135,0)),"")</f>
        <v/>
      </c>
      <c r="B216" s="679">
        <v>206</v>
      </c>
      <c r="C216" s="247" t="str">
        <f>IFERROR(INDEX('G-1 All Habitats'!$AG$25:$AG$41,MATCH(D216,'G-1 All Habitats'!AF$25:AF$41,0)),"")</f>
        <v/>
      </c>
      <c r="D216" s="38"/>
      <c r="E216" s="45"/>
      <c r="F216" s="244" t="str">
        <f>IFERROR(INDEX('G-1 All Habitats'!$B$3:$B$135,MATCH(E216,'G-1 All Habitats'!$A$3:$A$135,0)),"")</f>
        <v/>
      </c>
      <c r="G216" s="37"/>
      <c r="H216" s="290" t="str">
        <f>IF(F216="","",VLOOKUP(F216,'G-1 All Habitats'!$B$2:$M$135,10,FALSE))</f>
        <v/>
      </c>
      <c r="I216" s="291" t="str">
        <f>IFERROR(VLOOKUP(H216,'G-1 All Habitats'!$V$3:$W$7,2,FALSE),"")</f>
        <v/>
      </c>
      <c r="J216" s="38"/>
      <c r="K216" s="291" t="str">
        <f>IFERROR(INDEX('G-8 Condition Look up'!$A$3:$H$135,MATCH(F216,'G-8 Condition Look up'!$A$3:$A$135,0),MATCH(J216,'G-8 Condition Look up'!$A$3:$H$3,0)),"")</f>
        <v/>
      </c>
      <c r="L216" s="38"/>
      <c r="M216" s="298" t="str">
        <f>IF(L216="","",IF(VLOOKUP(L216,'G-3 Multipliers'!$L$3:$N$6,2,FALSE)=0,"Spatial Data Missing",VLOOKUP(L216,'G-3 Multipliers'!$L$3:$N$6,2,FALSE)))</f>
        <v/>
      </c>
      <c r="N216" s="296" t="str">
        <f>IF(L216="","",IF(VLOOKUP(L216,'G-3 Multipliers'!$L$3:$N$6,3,FALSE)=0,"Spatial Data Missing",VLOOKUP(L216,'G-3 Multipliers'!$L$3:$N$6,3,FALSE)))</f>
        <v/>
      </c>
      <c r="O216" s="290" t="str">
        <f t="shared" si="18"/>
        <v/>
      </c>
      <c r="P216" s="47"/>
      <c r="Q216" s="47"/>
      <c r="R216" s="298" t="str">
        <f t="shared" si="20"/>
        <v/>
      </c>
      <c r="S216" s="311" t="str">
        <f t="shared" si="21"/>
        <v/>
      </c>
      <c r="T216" s="312" t="str">
        <f>IFERROR(IF(S216="Check Data ⚠","Check Data ⚠",VLOOKUP(S216,'G-4 Temporal multipliers'!$A$4:$C$37,3,FALSE)),"")</f>
        <v/>
      </c>
      <c r="U216" s="313" t="str">
        <f>IF(F216="","",VLOOKUP(F216,'G-3 Multipliers'!$A$2:$E$134,2,FALSE))</f>
        <v/>
      </c>
      <c r="V216" s="310" t="str">
        <f t="shared" si="22"/>
        <v/>
      </c>
      <c r="W216" s="295" t="str">
        <f>IF(E216="","",IF(AND(V216="Standard difficulty applied",O216&gt;P216),U216,IF(AND(V216="Low Difficulty - only applicable if all habitat created before losses ⚠",P216&gt;=O216),"Low",VLOOKUP(F216,'G-3 Multipliers'!$A$2:$E$134,4,FALSE))))</f>
        <v/>
      </c>
      <c r="X216" s="314" t="str">
        <f>IFERROR(IF(E216="","",VLOOKUP(W216, 'G-3 Multipliers'!$P$2:$Q$6,2,FALSE)),"")</f>
        <v/>
      </c>
      <c r="Y216" s="317" t="str">
        <f t="shared" si="23"/>
        <v/>
      </c>
      <c r="Z216" s="163"/>
      <c r="AA216" s="164"/>
      <c r="AB216" s="101"/>
      <c r="AE216" s="25" t="str">
        <f t="shared" si="19"/>
        <v/>
      </c>
    </row>
    <row r="217" spans="1:31" ht="14.5" thickBot="1" x14ac:dyDescent="0.35">
      <c r="A217" s="20" t="str">
        <f>IFERROR(INDEX('G-8 Condition Look up'!$I$4:$I$135,MATCH(F217,'G-8 Condition Look up'!$A$4:$A$135,0)),"")</f>
        <v/>
      </c>
      <c r="B217" s="679">
        <v>207</v>
      </c>
      <c r="C217" s="247" t="str">
        <f>IFERROR(INDEX('G-1 All Habitats'!$AG$25:$AG$41,MATCH(D217,'G-1 All Habitats'!AF$25:AF$41,0)),"")</f>
        <v/>
      </c>
      <c r="D217" s="38"/>
      <c r="E217" s="45"/>
      <c r="F217" s="244" t="str">
        <f>IFERROR(INDEX('G-1 All Habitats'!$B$3:$B$135,MATCH(E217,'G-1 All Habitats'!$A$3:$A$135,0)),"")</f>
        <v/>
      </c>
      <c r="G217" s="37"/>
      <c r="H217" s="290" t="str">
        <f>IF(F217="","",VLOOKUP(F217,'G-1 All Habitats'!$B$2:$M$135,10,FALSE))</f>
        <v/>
      </c>
      <c r="I217" s="291" t="str">
        <f>IFERROR(VLOOKUP(H217,'G-1 All Habitats'!$V$3:$W$7,2,FALSE),"")</f>
        <v/>
      </c>
      <c r="J217" s="38"/>
      <c r="K217" s="291" t="str">
        <f>IFERROR(INDEX('G-8 Condition Look up'!$A$3:$H$135,MATCH(F217,'G-8 Condition Look up'!$A$3:$A$135,0),MATCH(J217,'G-8 Condition Look up'!$A$3:$H$3,0)),"")</f>
        <v/>
      </c>
      <c r="L217" s="38"/>
      <c r="M217" s="298" t="str">
        <f>IF(L217="","",IF(VLOOKUP(L217,'G-3 Multipliers'!$L$3:$N$6,2,FALSE)=0,"Spatial Data Missing",VLOOKUP(L217,'G-3 Multipliers'!$L$3:$N$6,2,FALSE)))</f>
        <v/>
      </c>
      <c r="N217" s="296" t="str">
        <f>IF(L217="","",IF(VLOOKUP(L217,'G-3 Multipliers'!$L$3:$N$6,3,FALSE)=0,"Spatial Data Missing",VLOOKUP(L217,'G-3 Multipliers'!$L$3:$N$6,3,FALSE)))</f>
        <v/>
      </c>
      <c r="O217" s="290" t="str">
        <f t="shared" si="18"/>
        <v/>
      </c>
      <c r="P217" s="47"/>
      <c r="Q217" s="47"/>
      <c r="R217" s="298" t="str">
        <f t="shared" si="20"/>
        <v/>
      </c>
      <c r="S217" s="311" t="str">
        <f t="shared" si="21"/>
        <v/>
      </c>
      <c r="T217" s="312" t="str">
        <f>IFERROR(IF(S217="Check Data ⚠","Check Data ⚠",VLOOKUP(S217,'G-4 Temporal multipliers'!$A$4:$C$37,3,FALSE)),"")</f>
        <v/>
      </c>
      <c r="U217" s="313" t="str">
        <f>IF(F217="","",VLOOKUP(F217,'G-3 Multipliers'!$A$2:$E$134,2,FALSE))</f>
        <v/>
      </c>
      <c r="V217" s="310" t="str">
        <f t="shared" si="22"/>
        <v/>
      </c>
      <c r="W217" s="295" t="str">
        <f>IF(E217="","",IF(AND(V217="Standard difficulty applied",O217&gt;P217),U217,IF(AND(V217="Low Difficulty - only applicable if all habitat created before losses ⚠",P217&gt;=O217),"Low",VLOOKUP(F217,'G-3 Multipliers'!$A$2:$E$134,4,FALSE))))</f>
        <v/>
      </c>
      <c r="X217" s="314" t="str">
        <f>IFERROR(IF(E217="","",VLOOKUP(W217, 'G-3 Multipliers'!$P$2:$Q$6,2,FALSE)),"")</f>
        <v/>
      </c>
      <c r="Y217" s="317" t="str">
        <f t="shared" si="23"/>
        <v/>
      </c>
      <c r="Z217" s="163"/>
      <c r="AA217" s="164"/>
      <c r="AB217" s="101"/>
      <c r="AE217" s="25" t="str">
        <f t="shared" si="19"/>
        <v/>
      </c>
    </row>
    <row r="218" spans="1:31" ht="14.5" thickBot="1" x14ac:dyDescent="0.35">
      <c r="A218" s="20" t="str">
        <f>IFERROR(INDEX('G-8 Condition Look up'!$I$4:$I$135,MATCH(F218,'G-8 Condition Look up'!$A$4:$A$135,0)),"")</f>
        <v/>
      </c>
      <c r="B218" s="679">
        <v>208</v>
      </c>
      <c r="C218" s="247" t="str">
        <f>IFERROR(INDEX('G-1 All Habitats'!$AG$25:$AG$41,MATCH(D218,'G-1 All Habitats'!AF$25:AF$41,0)),"")</f>
        <v/>
      </c>
      <c r="D218" s="38"/>
      <c r="E218" s="45"/>
      <c r="F218" s="244" t="str">
        <f>IFERROR(INDEX('G-1 All Habitats'!$B$3:$B$135,MATCH(E218,'G-1 All Habitats'!$A$3:$A$135,0)),"")</f>
        <v/>
      </c>
      <c r="G218" s="37"/>
      <c r="H218" s="290" t="str">
        <f>IF(F218="","",VLOOKUP(F218,'G-1 All Habitats'!$B$2:$M$135,10,FALSE))</f>
        <v/>
      </c>
      <c r="I218" s="291" t="str">
        <f>IFERROR(VLOOKUP(H218,'G-1 All Habitats'!$V$3:$W$7,2,FALSE),"")</f>
        <v/>
      </c>
      <c r="J218" s="38"/>
      <c r="K218" s="291" t="str">
        <f>IFERROR(INDEX('G-8 Condition Look up'!$A$3:$H$135,MATCH(F218,'G-8 Condition Look up'!$A$3:$A$135,0),MATCH(J218,'G-8 Condition Look up'!$A$3:$H$3,0)),"")</f>
        <v/>
      </c>
      <c r="L218" s="38"/>
      <c r="M218" s="298" t="str">
        <f>IF(L218="","",IF(VLOOKUP(L218,'G-3 Multipliers'!$L$3:$N$6,2,FALSE)=0,"Spatial Data Missing",VLOOKUP(L218,'G-3 Multipliers'!$L$3:$N$6,2,FALSE)))</f>
        <v/>
      </c>
      <c r="N218" s="296" t="str">
        <f>IF(L218="","",IF(VLOOKUP(L218,'G-3 Multipliers'!$L$3:$N$6,3,FALSE)=0,"Spatial Data Missing",VLOOKUP(L218,'G-3 Multipliers'!$L$3:$N$6,3,FALSE)))</f>
        <v/>
      </c>
      <c r="O218" s="290" t="str">
        <f t="shared" si="18"/>
        <v/>
      </c>
      <c r="P218" s="47"/>
      <c r="Q218" s="47"/>
      <c r="R218" s="298" t="str">
        <f t="shared" si="20"/>
        <v/>
      </c>
      <c r="S218" s="311" t="str">
        <f t="shared" si="21"/>
        <v/>
      </c>
      <c r="T218" s="312" t="str">
        <f>IFERROR(IF(S218="Check Data ⚠","Check Data ⚠",VLOOKUP(S218,'G-4 Temporal multipliers'!$A$4:$C$37,3,FALSE)),"")</f>
        <v/>
      </c>
      <c r="U218" s="313" t="str">
        <f>IF(F218="","",VLOOKUP(F218,'G-3 Multipliers'!$A$2:$E$134,2,FALSE))</f>
        <v/>
      </c>
      <c r="V218" s="310" t="str">
        <f t="shared" si="22"/>
        <v/>
      </c>
      <c r="W218" s="295" t="str">
        <f>IF(E218="","",IF(AND(V218="Standard difficulty applied",O218&gt;P218),U218,IF(AND(V218="Low Difficulty - only applicable if all habitat created before losses ⚠",P218&gt;=O218),"Low",VLOOKUP(F218,'G-3 Multipliers'!$A$2:$E$134,4,FALSE))))</f>
        <v/>
      </c>
      <c r="X218" s="314" t="str">
        <f>IFERROR(IF(E218="","",VLOOKUP(W218, 'G-3 Multipliers'!$P$2:$Q$6,2,FALSE)),"")</f>
        <v/>
      </c>
      <c r="Y218" s="317" t="str">
        <f t="shared" si="23"/>
        <v/>
      </c>
      <c r="Z218" s="163"/>
      <c r="AA218" s="164"/>
      <c r="AB218" s="101"/>
      <c r="AE218" s="25" t="str">
        <f t="shared" si="19"/>
        <v/>
      </c>
    </row>
    <row r="219" spans="1:31" ht="14.5" thickBot="1" x14ac:dyDescent="0.35">
      <c r="A219" s="20" t="str">
        <f>IFERROR(INDEX('G-8 Condition Look up'!$I$4:$I$135,MATCH(F219,'G-8 Condition Look up'!$A$4:$A$135,0)),"")</f>
        <v/>
      </c>
      <c r="B219" s="679">
        <v>209</v>
      </c>
      <c r="C219" s="247" t="str">
        <f>IFERROR(INDEX('G-1 All Habitats'!$AG$25:$AG$41,MATCH(D219,'G-1 All Habitats'!AF$25:AF$41,0)),"")</f>
        <v/>
      </c>
      <c r="D219" s="38"/>
      <c r="E219" s="45"/>
      <c r="F219" s="244" t="str">
        <f>IFERROR(INDEX('G-1 All Habitats'!$B$3:$B$135,MATCH(E219,'G-1 All Habitats'!$A$3:$A$135,0)),"")</f>
        <v/>
      </c>
      <c r="G219" s="37"/>
      <c r="H219" s="290" t="str">
        <f>IF(F219="","",VLOOKUP(F219,'G-1 All Habitats'!$B$2:$M$135,10,FALSE))</f>
        <v/>
      </c>
      <c r="I219" s="291" t="str">
        <f>IFERROR(VLOOKUP(H219,'G-1 All Habitats'!$V$3:$W$7,2,FALSE),"")</f>
        <v/>
      </c>
      <c r="J219" s="38"/>
      <c r="K219" s="291" t="str">
        <f>IFERROR(INDEX('G-8 Condition Look up'!$A$3:$H$135,MATCH(F219,'G-8 Condition Look up'!$A$3:$A$135,0),MATCH(J219,'G-8 Condition Look up'!$A$3:$H$3,0)),"")</f>
        <v/>
      </c>
      <c r="L219" s="38"/>
      <c r="M219" s="298" t="str">
        <f>IF(L219="","",IF(VLOOKUP(L219,'G-3 Multipliers'!$L$3:$N$6,2,FALSE)=0,"Spatial Data Missing",VLOOKUP(L219,'G-3 Multipliers'!$L$3:$N$6,2,FALSE)))</f>
        <v/>
      </c>
      <c r="N219" s="296" t="str">
        <f>IF(L219="","",IF(VLOOKUP(L219,'G-3 Multipliers'!$L$3:$N$6,3,FALSE)=0,"Spatial Data Missing",VLOOKUP(L219,'G-3 Multipliers'!$L$3:$N$6,3,FALSE)))</f>
        <v/>
      </c>
      <c r="O219" s="290" t="str">
        <f t="shared" si="18"/>
        <v/>
      </c>
      <c r="P219" s="47"/>
      <c r="Q219" s="47"/>
      <c r="R219" s="298" t="str">
        <f t="shared" si="20"/>
        <v/>
      </c>
      <c r="S219" s="311" t="str">
        <f t="shared" si="21"/>
        <v/>
      </c>
      <c r="T219" s="312" t="str">
        <f>IFERROR(IF(S219="Check Data ⚠","Check Data ⚠",VLOOKUP(S219,'G-4 Temporal multipliers'!$A$4:$C$37,3,FALSE)),"")</f>
        <v/>
      </c>
      <c r="U219" s="313" t="str">
        <f>IF(F219="","",VLOOKUP(F219,'G-3 Multipliers'!$A$2:$E$134,2,FALSE))</f>
        <v/>
      </c>
      <c r="V219" s="310" t="str">
        <f t="shared" si="22"/>
        <v/>
      </c>
      <c r="W219" s="295" t="str">
        <f>IF(E219="","",IF(AND(V219="Standard difficulty applied",O219&gt;P219),U219,IF(AND(V219="Low Difficulty - only applicable if all habitat created before losses ⚠",P219&gt;=O219),"Low",VLOOKUP(F219,'G-3 Multipliers'!$A$2:$E$134,4,FALSE))))</f>
        <v/>
      </c>
      <c r="X219" s="314" t="str">
        <f>IFERROR(IF(E219="","",VLOOKUP(W219, 'G-3 Multipliers'!$P$2:$Q$6,2,FALSE)),"")</f>
        <v/>
      </c>
      <c r="Y219" s="317" t="str">
        <f t="shared" si="23"/>
        <v/>
      </c>
      <c r="Z219" s="163"/>
      <c r="AA219" s="164"/>
      <c r="AB219" s="101"/>
      <c r="AE219" s="25" t="str">
        <f t="shared" si="19"/>
        <v/>
      </c>
    </row>
    <row r="220" spans="1:31" ht="14.5" thickBot="1" x14ac:dyDescent="0.35">
      <c r="A220" s="20" t="str">
        <f>IFERROR(INDEX('G-8 Condition Look up'!$I$4:$I$135,MATCH(F220,'G-8 Condition Look up'!$A$4:$A$135,0)),"")</f>
        <v/>
      </c>
      <c r="B220" s="679">
        <v>210</v>
      </c>
      <c r="C220" s="247" t="str">
        <f>IFERROR(INDEX('G-1 All Habitats'!$AG$25:$AG$41,MATCH(D220,'G-1 All Habitats'!AF$25:AF$41,0)),"")</f>
        <v/>
      </c>
      <c r="D220" s="38"/>
      <c r="E220" s="45"/>
      <c r="F220" s="244" t="str">
        <f>IFERROR(INDEX('G-1 All Habitats'!$B$3:$B$135,MATCH(E220,'G-1 All Habitats'!$A$3:$A$135,0)),"")</f>
        <v/>
      </c>
      <c r="G220" s="37"/>
      <c r="H220" s="290" t="str">
        <f>IF(F220="","",VLOOKUP(F220,'G-1 All Habitats'!$B$2:$M$135,10,FALSE))</f>
        <v/>
      </c>
      <c r="I220" s="291" t="str">
        <f>IFERROR(VLOOKUP(H220,'G-1 All Habitats'!$V$3:$W$7,2,FALSE),"")</f>
        <v/>
      </c>
      <c r="J220" s="38"/>
      <c r="K220" s="291" t="str">
        <f>IFERROR(INDEX('G-8 Condition Look up'!$A$3:$H$135,MATCH(F220,'G-8 Condition Look up'!$A$3:$A$135,0),MATCH(J220,'G-8 Condition Look up'!$A$3:$H$3,0)),"")</f>
        <v/>
      </c>
      <c r="L220" s="38"/>
      <c r="M220" s="298" t="str">
        <f>IF(L220="","",IF(VLOOKUP(L220,'G-3 Multipliers'!$L$3:$N$6,2,FALSE)=0,"Spatial Data Missing",VLOOKUP(L220,'G-3 Multipliers'!$L$3:$N$6,2,FALSE)))</f>
        <v/>
      </c>
      <c r="N220" s="296" t="str">
        <f>IF(L220="","",IF(VLOOKUP(L220,'G-3 Multipliers'!$L$3:$N$6,3,FALSE)=0,"Spatial Data Missing",VLOOKUP(L220,'G-3 Multipliers'!$L$3:$N$6,3,FALSE)))</f>
        <v/>
      </c>
      <c r="O220" s="290" t="str">
        <f t="shared" si="18"/>
        <v/>
      </c>
      <c r="P220" s="47"/>
      <c r="Q220" s="47"/>
      <c r="R220" s="298" t="str">
        <f t="shared" si="20"/>
        <v/>
      </c>
      <c r="S220" s="311" t="str">
        <f t="shared" si="21"/>
        <v/>
      </c>
      <c r="T220" s="312" t="str">
        <f>IFERROR(IF(S220="Check Data ⚠","Check Data ⚠",VLOOKUP(S220,'G-4 Temporal multipliers'!$A$4:$C$37,3,FALSE)),"")</f>
        <v/>
      </c>
      <c r="U220" s="313" t="str">
        <f>IF(F220="","",VLOOKUP(F220,'G-3 Multipliers'!$A$2:$E$134,2,FALSE))</f>
        <v/>
      </c>
      <c r="V220" s="310" t="str">
        <f t="shared" si="22"/>
        <v/>
      </c>
      <c r="W220" s="295" t="str">
        <f>IF(E220="","",IF(AND(V220="Standard difficulty applied",O220&gt;P220),U220,IF(AND(V220="Low Difficulty - only applicable if all habitat created before losses ⚠",P220&gt;=O220),"Low",VLOOKUP(F220,'G-3 Multipliers'!$A$2:$E$134,4,FALSE))))</f>
        <v/>
      </c>
      <c r="X220" s="314" t="str">
        <f>IFERROR(IF(E220="","",VLOOKUP(W220, 'G-3 Multipliers'!$P$2:$Q$6,2,FALSE)),"")</f>
        <v/>
      </c>
      <c r="Y220" s="317" t="str">
        <f t="shared" si="23"/>
        <v/>
      </c>
      <c r="Z220" s="163"/>
      <c r="AA220" s="164"/>
      <c r="AB220" s="101"/>
      <c r="AE220" s="25" t="str">
        <f t="shared" si="19"/>
        <v/>
      </c>
    </row>
    <row r="221" spans="1:31" ht="14.5" thickBot="1" x14ac:dyDescent="0.35">
      <c r="A221" s="20" t="str">
        <f>IFERROR(INDEX('G-8 Condition Look up'!$I$4:$I$135,MATCH(F221,'G-8 Condition Look up'!$A$4:$A$135,0)),"")</f>
        <v/>
      </c>
      <c r="B221" s="679">
        <v>211</v>
      </c>
      <c r="C221" s="247" t="str">
        <f>IFERROR(INDEX('G-1 All Habitats'!$AG$25:$AG$41,MATCH(D221,'G-1 All Habitats'!AF$25:AF$41,0)),"")</f>
        <v/>
      </c>
      <c r="D221" s="38"/>
      <c r="E221" s="45"/>
      <c r="F221" s="244" t="str">
        <f>IFERROR(INDEX('G-1 All Habitats'!$B$3:$B$135,MATCH(E221,'G-1 All Habitats'!$A$3:$A$135,0)),"")</f>
        <v/>
      </c>
      <c r="G221" s="37"/>
      <c r="H221" s="290" t="str">
        <f>IF(F221="","",VLOOKUP(F221,'G-1 All Habitats'!$B$2:$M$135,10,FALSE))</f>
        <v/>
      </c>
      <c r="I221" s="291" t="str">
        <f>IFERROR(VLOOKUP(H221,'G-1 All Habitats'!$V$3:$W$7,2,FALSE),"")</f>
        <v/>
      </c>
      <c r="J221" s="38"/>
      <c r="K221" s="291" t="str">
        <f>IFERROR(INDEX('G-8 Condition Look up'!$A$3:$H$135,MATCH(F221,'G-8 Condition Look up'!$A$3:$A$135,0),MATCH(J221,'G-8 Condition Look up'!$A$3:$H$3,0)),"")</f>
        <v/>
      </c>
      <c r="L221" s="38"/>
      <c r="M221" s="298" t="str">
        <f>IF(L221="","",IF(VLOOKUP(L221,'G-3 Multipliers'!$L$3:$N$6,2,FALSE)=0,"Spatial Data Missing",VLOOKUP(L221,'G-3 Multipliers'!$L$3:$N$6,2,FALSE)))</f>
        <v/>
      </c>
      <c r="N221" s="296" t="str">
        <f>IF(L221="","",IF(VLOOKUP(L221,'G-3 Multipliers'!$L$3:$N$6,3,FALSE)=0,"Spatial Data Missing",VLOOKUP(L221,'G-3 Multipliers'!$L$3:$N$6,3,FALSE)))</f>
        <v/>
      </c>
      <c r="O221" s="290" t="str">
        <f t="shared" si="18"/>
        <v/>
      </c>
      <c r="P221" s="47"/>
      <c r="Q221" s="47"/>
      <c r="R221" s="298" t="str">
        <f t="shared" si="20"/>
        <v/>
      </c>
      <c r="S221" s="311" t="str">
        <f t="shared" si="21"/>
        <v/>
      </c>
      <c r="T221" s="312" t="str">
        <f>IFERROR(IF(S221="Check Data ⚠","Check Data ⚠",VLOOKUP(S221,'G-4 Temporal multipliers'!$A$4:$C$37,3,FALSE)),"")</f>
        <v/>
      </c>
      <c r="U221" s="313" t="str">
        <f>IF(F221="","",VLOOKUP(F221,'G-3 Multipliers'!$A$2:$E$134,2,FALSE))</f>
        <v/>
      </c>
      <c r="V221" s="310" t="str">
        <f t="shared" si="22"/>
        <v/>
      </c>
      <c r="W221" s="295" t="str">
        <f>IF(E221="","",IF(AND(V221="Standard difficulty applied",O221&gt;P221),U221,IF(AND(V221="Low Difficulty - only applicable if all habitat created before losses ⚠",P221&gt;=O221),"Low",VLOOKUP(F221,'G-3 Multipliers'!$A$2:$E$134,4,FALSE))))</f>
        <v/>
      </c>
      <c r="X221" s="314" t="str">
        <f>IFERROR(IF(E221="","",VLOOKUP(W221, 'G-3 Multipliers'!$P$2:$Q$6,2,FALSE)),"")</f>
        <v/>
      </c>
      <c r="Y221" s="317" t="str">
        <f t="shared" si="23"/>
        <v/>
      </c>
      <c r="Z221" s="163"/>
      <c r="AA221" s="164"/>
      <c r="AB221" s="101"/>
      <c r="AE221" s="25" t="str">
        <f t="shared" si="19"/>
        <v/>
      </c>
    </row>
    <row r="222" spans="1:31" ht="14.5" thickBot="1" x14ac:dyDescent="0.35">
      <c r="A222" s="20" t="str">
        <f>IFERROR(INDEX('G-8 Condition Look up'!$I$4:$I$135,MATCH(F222,'G-8 Condition Look up'!$A$4:$A$135,0)),"")</f>
        <v/>
      </c>
      <c r="B222" s="679">
        <v>212</v>
      </c>
      <c r="C222" s="247" t="str">
        <f>IFERROR(INDEX('G-1 All Habitats'!$AG$25:$AG$41,MATCH(D222,'G-1 All Habitats'!AF$25:AF$41,0)),"")</f>
        <v/>
      </c>
      <c r="D222" s="38"/>
      <c r="E222" s="45"/>
      <c r="F222" s="244" t="str">
        <f>IFERROR(INDEX('G-1 All Habitats'!$B$3:$B$135,MATCH(E222,'G-1 All Habitats'!$A$3:$A$135,0)),"")</f>
        <v/>
      </c>
      <c r="G222" s="37"/>
      <c r="H222" s="290" t="str">
        <f>IF(F222="","",VLOOKUP(F222,'G-1 All Habitats'!$B$2:$M$135,10,FALSE))</f>
        <v/>
      </c>
      <c r="I222" s="291" t="str">
        <f>IFERROR(VLOOKUP(H222,'G-1 All Habitats'!$V$3:$W$7,2,FALSE),"")</f>
        <v/>
      </c>
      <c r="J222" s="38"/>
      <c r="K222" s="291" t="str">
        <f>IFERROR(INDEX('G-8 Condition Look up'!$A$3:$H$135,MATCH(F222,'G-8 Condition Look up'!$A$3:$A$135,0),MATCH(J222,'G-8 Condition Look up'!$A$3:$H$3,0)),"")</f>
        <v/>
      </c>
      <c r="L222" s="38"/>
      <c r="M222" s="298" t="str">
        <f>IF(L222="","",IF(VLOOKUP(L222,'G-3 Multipliers'!$L$3:$N$6,2,FALSE)=0,"Spatial Data Missing",VLOOKUP(L222,'G-3 Multipliers'!$L$3:$N$6,2,FALSE)))</f>
        <v/>
      </c>
      <c r="N222" s="296" t="str">
        <f>IF(L222="","",IF(VLOOKUP(L222,'G-3 Multipliers'!$L$3:$N$6,3,FALSE)=0,"Spatial Data Missing",VLOOKUP(L222,'G-3 Multipliers'!$L$3:$N$6,3,FALSE)))</f>
        <v/>
      </c>
      <c r="O222" s="290" t="str">
        <f t="shared" si="18"/>
        <v/>
      </c>
      <c r="P222" s="47"/>
      <c r="Q222" s="47"/>
      <c r="R222" s="298" t="str">
        <f t="shared" si="20"/>
        <v/>
      </c>
      <c r="S222" s="311" t="str">
        <f t="shared" si="21"/>
        <v/>
      </c>
      <c r="T222" s="312" t="str">
        <f>IFERROR(IF(S222="Check Data ⚠","Check Data ⚠",VLOOKUP(S222,'G-4 Temporal multipliers'!$A$4:$C$37,3,FALSE)),"")</f>
        <v/>
      </c>
      <c r="U222" s="313" t="str">
        <f>IF(F222="","",VLOOKUP(F222,'G-3 Multipliers'!$A$2:$E$134,2,FALSE))</f>
        <v/>
      </c>
      <c r="V222" s="310" t="str">
        <f t="shared" si="22"/>
        <v/>
      </c>
      <c r="W222" s="295" t="str">
        <f>IF(E222="","",IF(AND(V222="Standard difficulty applied",O222&gt;P222),U222,IF(AND(V222="Low Difficulty - only applicable if all habitat created before losses ⚠",P222&gt;=O222),"Low",VLOOKUP(F222,'G-3 Multipliers'!$A$2:$E$134,4,FALSE))))</f>
        <v/>
      </c>
      <c r="X222" s="314" t="str">
        <f>IFERROR(IF(E222="","",VLOOKUP(W222, 'G-3 Multipliers'!$P$2:$Q$6,2,FALSE)),"")</f>
        <v/>
      </c>
      <c r="Y222" s="317" t="str">
        <f t="shared" si="23"/>
        <v/>
      </c>
      <c r="Z222" s="163"/>
      <c r="AA222" s="164"/>
      <c r="AB222" s="101"/>
      <c r="AE222" s="25" t="str">
        <f t="shared" si="19"/>
        <v/>
      </c>
    </row>
    <row r="223" spans="1:31" ht="14.5" thickBot="1" x14ac:dyDescent="0.35">
      <c r="A223" s="20" t="str">
        <f>IFERROR(INDEX('G-8 Condition Look up'!$I$4:$I$135,MATCH(F223,'G-8 Condition Look up'!$A$4:$A$135,0)),"")</f>
        <v/>
      </c>
      <c r="B223" s="679">
        <v>213</v>
      </c>
      <c r="C223" s="247" t="str">
        <f>IFERROR(INDEX('G-1 All Habitats'!$AG$25:$AG$41,MATCH(D223,'G-1 All Habitats'!AF$25:AF$41,0)),"")</f>
        <v/>
      </c>
      <c r="D223" s="38"/>
      <c r="E223" s="45"/>
      <c r="F223" s="244" t="str">
        <f>IFERROR(INDEX('G-1 All Habitats'!$B$3:$B$135,MATCH(E223,'G-1 All Habitats'!$A$3:$A$135,0)),"")</f>
        <v/>
      </c>
      <c r="G223" s="37"/>
      <c r="H223" s="290" t="str">
        <f>IF(F223="","",VLOOKUP(F223,'G-1 All Habitats'!$B$2:$M$135,10,FALSE))</f>
        <v/>
      </c>
      <c r="I223" s="291" t="str">
        <f>IFERROR(VLOOKUP(H223,'G-1 All Habitats'!$V$3:$W$7,2,FALSE),"")</f>
        <v/>
      </c>
      <c r="J223" s="38"/>
      <c r="K223" s="291" t="str">
        <f>IFERROR(INDEX('G-8 Condition Look up'!$A$3:$H$135,MATCH(F223,'G-8 Condition Look up'!$A$3:$A$135,0),MATCH(J223,'G-8 Condition Look up'!$A$3:$H$3,0)),"")</f>
        <v/>
      </c>
      <c r="L223" s="38"/>
      <c r="M223" s="298" t="str">
        <f>IF(L223="","",IF(VLOOKUP(L223,'G-3 Multipliers'!$L$3:$N$6,2,FALSE)=0,"Spatial Data Missing",VLOOKUP(L223,'G-3 Multipliers'!$L$3:$N$6,2,FALSE)))</f>
        <v/>
      </c>
      <c r="N223" s="296" t="str">
        <f>IF(L223="","",IF(VLOOKUP(L223,'G-3 Multipliers'!$L$3:$N$6,3,FALSE)=0,"Spatial Data Missing",VLOOKUP(L223,'G-3 Multipliers'!$L$3:$N$6,3,FALSE)))</f>
        <v/>
      </c>
      <c r="O223" s="290" t="str">
        <f t="shared" si="18"/>
        <v/>
      </c>
      <c r="P223" s="47"/>
      <c r="Q223" s="47"/>
      <c r="R223" s="298" t="str">
        <f t="shared" si="20"/>
        <v/>
      </c>
      <c r="S223" s="311" t="str">
        <f t="shared" si="21"/>
        <v/>
      </c>
      <c r="T223" s="312" t="str">
        <f>IFERROR(IF(S223="Check Data ⚠","Check Data ⚠",VLOOKUP(S223,'G-4 Temporal multipliers'!$A$4:$C$37,3,FALSE)),"")</f>
        <v/>
      </c>
      <c r="U223" s="313" t="str">
        <f>IF(F223="","",VLOOKUP(F223,'G-3 Multipliers'!$A$2:$E$134,2,FALSE))</f>
        <v/>
      </c>
      <c r="V223" s="310" t="str">
        <f t="shared" si="22"/>
        <v/>
      </c>
      <c r="W223" s="295" t="str">
        <f>IF(E223="","",IF(AND(V223="Standard difficulty applied",O223&gt;P223),U223,IF(AND(V223="Low Difficulty - only applicable if all habitat created before losses ⚠",P223&gt;=O223),"Low",VLOOKUP(F223,'G-3 Multipliers'!$A$2:$E$134,4,FALSE))))</f>
        <v/>
      </c>
      <c r="X223" s="314" t="str">
        <f>IFERROR(IF(E223="","",VLOOKUP(W223, 'G-3 Multipliers'!$P$2:$Q$6,2,FALSE)),"")</f>
        <v/>
      </c>
      <c r="Y223" s="317" t="str">
        <f t="shared" si="23"/>
        <v/>
      </c>
      <c r="Z223" s="163"/>
      <c r="AA223" s="164"/>
      <c r="AB223" s="101"/>
      <c r="AE223" s="25" t="str">
        <f t="shared" si="19"/>
        <v/>
      </c>
    </row>
    <row r="224" spans="1:31" ht="14.5" thickBot="1" x14ac:dyDescent="0.35">
      <c r="A224" s="20" t="str">
        <f>IFERROR(INDEX('G-8 Condition Look up'!$I$4:$I$135,MATCH(F224,'G-8 Condition Look up'!$A$4:$A$135,0)),"")</f>
        <v/>
      </c>
      <c r="B224" s="679">
        <v>214</v>
      </c>
      <c r="C224" s="247" t="str">
        <f>IFERROR(INDEX('G-1 All Habitats'!$AG$25:$AG$41,MATCH(D224,'G-1 All Habitats'!AF$25:AF$41,0)),"")</f>
        <v/>
      </c>
      <c r="D224" s="38"/>
      <c r="E224" s="45"/>
      <c r="F224" s="244" t="str">
        <f>IFERROR(INDEX('G-1 All Habitats'!$B$3:$B$135,MATCH(E224,'G-1 All Habitats'!$A$3:$A$135,0)),"")</f>
        <v/>
      </c>
      <c r="G224" s="37"/>
      <c r="H224" s="290" t="str">
        <f>IF(F224="","",VLOOKUP(F224,'G-1 All Habitats'!$B$2:$M$135,10,FALSE))</f>
        <v/>
      </c>
      <c r="I224" s="291" t="str">
        <f>IFERROR(VLOOKUP(H224,'G-1 All Habitats'!$V$3:$W$7,2,FALSE),"")</f>
        <v/>
      </c>
      <c r="J224" s="38"/>
      <c r="K224" s="291" t="str">
        <f>IFERROR(INDEX('G-8 Condition Look up'!$A$3:$H$135,MATCH(F224,'G-8 Condition Look up'!$A$3:$A$135,0),MATCH(J224,'G-8 Condition Look up'!$A$3:$H$3,0)),"")</f>
        <v/>
      </c>
      <c r="L224" s="38"/>
      <c r="M224" s="298" t="str">
        <f>IF(L224="","",IF(VLOOKUP(L224,'G-3 Multipliers'!$L$3:$N$6,2,FALSE)=0,"Spatial Data Missing",VLOOKUP(L224,'G-3 Multipliers'!$L$3:$N$6,2,FALSE)))</f>
        <v/>
      </c>
      <c r="N224" s="296" t="str">
        <f>IF(L224="","",IF(VLOOKUP(L224,'G-3 Multipliers'!$L$3:$N$6,3,FALSE)=0,"Spatial Data Missing",VLOOKUP(L224,'G-3 Multipliers'!$L$3:$N$6,3,FALSE)))</f>
        <v/>
      </c>
      <c r="O224" s="290" t="str">
        <f t="shared" si="18"/>
        <v/>
      </c>
      <c r="P224" s="47"/>
      <c r="Q224" s="47"/>
      <c r="R224" s="298" t="str">
        <f t="shared" si="20"/>
        <v/>
      </c>
      <c r="S224" s="311" t="str">
        <f t="shared" si="21"/>
        <v/>
      </c>
      <c r="T224" s="312" t="str">
        <f>IFERROR(IF(S224="Check Data ⚠","Check Data ⚠",VLOOKUP(S224,'G-4 Temporal multipliers'!$A$4:$C$37,3,FALSE)),"")</f>
        <v/>
      </c>
      <c r="U224" s="313" t="str">
        <f>IF(F224="","",VLOOKUP(F224,'G-3 Multipliers'!$A$2:$E$134,2,FALSE))</f>
        <v/>
      </c>
      <c r="V224" s="310" t="str">
        <f t="shared" si="22"/>
        <v/>
      </c>
      <c r="W224" s="295" t="str">
        <f>IF(E224="","",IF(AND(V224="Standard difficulty applied",O224&gt;P224),U224,IF(AND(V224="Low Difficulty - only applicable if all habitat created before losses ⚠",P224&gt;=O224),"Low",VLOOKUP(F224,'G-3 Multipliers'!$A$2:$E$134,4,FALSE))))</f>
        <v/>
      </c>
      <c r="X224" s="314" t="str">
        <f>IFERROR(IF(E224="","",VLOOKUP(W224, 'G-3 Multipliers'!$P$2:$Q$6,2,FALSE)),"")</f>
        <v/>
      </c>
      <c r="Y224" s="317" t="str">
        <f t="shared" si="23"/>
        <v/>
      </c>
      <c r="Z224" s="163"/>
      <c r="AA224" s="164"/>
      <c r="AB224" s="101"/>
      <c r="AE224" s="25" t="str">
        <f t="shared" si="19"/>
        <v/>
      </c>
    </row>
    <row r="225" spans="1:31" ht="14.5" thickBot="1" x14ac:dyDescent="0.35">
      <c r="A225" s="20" t="str">
        <f>IFERROR(INDEX('G-8 Condition Look up'!$I$4:$I$135,MATCH(F225,'G-8 Condition Look up'!$A$4:$A$135,0)),"")</f>
        <v/>
      </c>
      <c r="B225" s="679">
        <v>215</v>
      </c>
      <c r="C225" s="247" t="str">
        <f>IFERROR(INDEX('G-1 All Habitats'!$AG$25:$AG$41,MATCH(D225,'G-1 All Habitats'!AF$25:AF$41,0)),"")</f>
        <v/>
      </c>
      <c r="D225" s="38"/>
      <c r="E225" s="45"/>
      <c r="F225" s="244" t="str">
        <f>IFERROR(INDEX('G-1 All Habitats'!$B$3:$B$135,MATCH(E225,'G-1 All Habitats'!$A$3:$A$135,0)),"")</f>
        <v/>
      </c>
      <c r="G225" s="37"/>
      <c r="H225" s="290" t="str">
        <f>IF(F225="","",VLOOKUP(F225,'G-1 All Habitats'!$B$2:$M$135,10,FALSE))</f>
        <v/>
      </c>
      <c r="I225" s="291" t="str">
        <f>IFERROR(VLOOKUP(H225,'G-1 All Habitats'!$V$3:$W$7,2,FALSE),"")</f>
        <v/>
      </c>
      <c r="J225" s="38"/>
      <c r="K225" s="291" t="str">
        <f>IFERROR(INDEX('G-8 Condition Look up'!$A$3:$H$135,MATCH(F225,'G-8 Condition Look up'!$A$3:$A$135,0),MATCH(J225,'G-8 Condition Look up'!$A$3:$H$3,0)),"")</f>
        <v/>
      </c>
      <c r="L225" s="38"/>
      <c r="M225" s="298" t="str">
        <f>IF(L225="","",IF(VLOOKUP(L225,'G-3 Multipliers'!$L$3:$N$6,2,FALSE)=0,"Spatial Data Missing",VLOOKUP(L225,'G-3 Multipliers'!$L$3:$N$6,2,FALSE)))</f>
        <v/>
      </c>
      <c r="N225" s="296" t="str">
        <f>IF(L225="","",IF(VLOOKUP(L225,'G-3 Multipliers'!$L$3:$N$6,3,FALSE)=0,"Spatial Data Missing",VLOOKUP(L225,'G-3 Multipliers'!$L$3:$N$6,3,FALSE)))</f>
        <v/>
      </c>
      <c r="O225" s="290" t="str">
        <f t="shared" si="18"/>
        <v/>
      </c>
      <c r="P225" s="47"/>
      <c r="Q225" s="47"/>
      <c r="R225" s="298" t="str">
        <f t="shared" si="20"/>
        <v/>
      </c>
      <c r="S225" s="311" t="str">
        <f t="shared" si="21"/>
        <v/>
      </c>
      <c r="T225" s="312" t="str">
        <f>IFERROR(IF(S225="Check Data ⚠","Check Data ⚠",VLOOKUP(S225,'G-4 Temporal multipliers'!$A$4:$C$37,3,FALSE)),"")</f>
        <v/>
      </c>
      <c r="U225" s="313" t="str">
        <f>IF(F225="","",VLOOKUP(F225,'G-3 Multipliers'!$A$2:$E$134,2,FALSE))</f>
        <v/>
      </c>
      <c r="V225" s="310" t="str">
        <f t="shared" si="22"/>
        <v/>
      </c>
      <c r="W225" s="295" t="str">
        <f>IF(E225="","",IF(AND(V225="Standard difficulty applied",O225&gt;P225),U225,IF(AND(V225="Low Difficulty - only applicable if all habitat created before losses ⚠",P225&gt;=O225),"Low",VLOOKUP(F225,'G-3 Multipliers'!$A$2:$E$134,4,FALSE))))</f>
        <v/>
      </c>
      <c r="X225" s="314" t="str">
        <f>IFERROR(IF(E225="","",VLOOKUP(W225, 'G-3 Multipliers'!$P$2:$Q$6,2,FALSE)),"")</f>
        <v/>
      </c>
      <c r="Y225" s="317" t="str">
        <f t="shared" si="23"/>
        <v/>
      </c>
      <c r="Z225" s="163"/>
      <c r="AA225" s="164"/>
      <c r="AB225" s="101"/>
      <c r="AE225" s="25" t="str">
        <f t="shared" si="19"/>
        <v/>
      </c>
    </row>
    <row r="226" spans="1:31" ht="14.5" thickBot="1" x14ac:dyDescent="0.35">
      <c r="A226" s="20" t="str">
        <f>IFERROR(INDEX('G-8 Condition Look up'!$I$4:$I$135,MATCH(F226,'G-8 Condition Look up'!$A$4:$A$135,0)),"")</f>
        <v/>
      </c>
      <c r="B226" s="679">
        <v>216</v>
      </c>
      <c r="C226" s="247" t="str">
        <f>IFERROR(INDEX('G-1 All Habitats'!$AG$25:$AG$41,MATCH(D226,'G-1 All Habitats'!AF$25:AF$41,0)),"")</f>
        <v/>
      </c>
      <c r="D226" s="38"/>
      <c r="E226" s="45"/>
      <c r="F226" s="244" t="str">
        <f>IFERROR(INDEX('G-1 All Habitats'!$B$3:$B$135,MATCH(E226,'G-1 All Habitats'!$A$3:$A$135,0)),"")</f>
        <v/>
      </c>
      <c r="G226" s="37"/>
      <c r="H226" s="290" t="str">
        <f>IF(F226="","",VLOOKUP(F226,'G-1 All Habitats'!$B$2:$M$135,10,FALSE))</f>
        <v/>
      </c>
      <c r="I226" s="291" t="str">
        <f>IFERROR(VLOOKUP(H226,'G-1 All Habitats'!$V$3:$W$7,2,FALSE),"")</f>
        <v/>
      </c>
      <c r="J226" s="38"/>
      <c r="K226" s="291" t="str">
        <f>IFERROR(INDEX('G-8 Condition Look up'!$A$3:$H$135,MATCH(F226,'G-8 Condition Look up'!$A$3:$A$135,0),MATCH(J226,'G-8 Condition Look up'!$A$3:$H$3,0)),"")</f>
        <v/>
      </c>
      <c r="L226" s="38"/>
      <c r="M226" s="298" t="str">
        <f>IF(L226="","",IF(VLOOKUP(L226,'G-3 Multipliers'!$L$3:$N$6,2,FALSE)=0,"Spatial Data Missing",VLOOKUP(L226,'G-3 Multipliers'!$L$3:$N$6,2,FALSE)))</f>
        <v/>
      </c>
      <c r="N226" s="296" t="str">
        <f>IF(L226="","",IF(VLOOKUP(L226,'G-3 Multipliers'!$L$3:$N$6,3,FALSE)=0,"Spatial Data Missing",VLOOKUP(L226,'G-3 Multipliers'!$L$3:$N$6,3,FALSE)))</f>
        <v/>
      </c>
      <c r="O226" s="290" t="str">
        <f t="shared" si="18"/>
        <v/>
      </c>
      <c r="P226" s="47"/>
      <c r="Q226" s="47"/>
      <c r="R226" s="298" t="str">
        <f t="shared" si="20"/>
        <v/>
      </c>
      <c r="S226" s="311" t="str">
        <f t="shared" si="21"/>
        <v/>
      </c>
      <c r="T226" s="312" t="str">
        <f>IFERROR(IF(S226="Check Data ⚠","Check Data ⚠",VLOOKUP(S226,'G-4 Temporal multipliers'!$A$4:$C$37,3,FALSE)),"")</f>
        <v/>
      </c>
      <c r="U226" s="313" t="str">
        <f>IF(F226="","",VLOOKUP(F226,'G-3 Multipliers'!$A$2:$E$134,2,FALSE))</f>
        <v/>
      </c>
      <c r="V226" s="310" t="str">
        <f t="shared" si="22"/>
        <v/>
      </c>
      <c r="W226" s="295" t="str">
        <f>IF(E226="","",IF(AND(V226="Standard difficulty applied",O226&gt;P226),U226,IF(AND(V226="Low Difficulty - only applicable if all habitat created before losses ⚠",P226&gt;=O226),"Low",VLOOKUP(F226,'G-3 Multipliers'!$A$2:$E$134,4,FALSE))))</f>
        <v/>
      </c>
      <c r="X226" s="314" t="str">
        <f>IFERROR(IF(E226="","",VLOOKUP(W226, 'G-3 Multipliers'!$P$2:$Q$6,2,FALSE)),"")</f>
        <v/>
      </c>
      <c r="Y226" s="317" t="str">
        <f t="shared" si="23"/>
        <v/>
      </c>
      <c r="Z226" s="163"/>
      <c r="AA226" s="164"/>
      <c r="AB226" s="101"/>
      <c r="AE226" s="25" t="str">
        <f t="shared" si="19"/>
        <v/>
      </c>
    </row>
    <row r="227" spans="1:31" ht="14.5" thickBot="1" x14ac:dyDescent="0.35">
      <c r="A227" s="20" t="str">
        <f>IFERROR(INDEX('G-8 Condition Look up'!$I$4:$I$135,MATCH(F227,'G-8 Condition Look up'!$A$4:$A$135,0)),"")</f>
        <v/>
      </c>
      <c r="B227" s="679">
        <v>217</v>
      </c>
      <c r="C227" s="247" t="str">
        <f>IFERROR(INDEX('G-1 All Habitats'!$AG$25:$AG$41,MATCH(D227,'G-1 All Habitats'!AF$25:AF$41,0)),"")</f>
        <v/>
      </c>
      <c r="D227" s="38"/>
      <c r="E227" s="45"/>
      <c r="F227" s="244" t="str">
        <f>IFERROR(INDEX('G-1 All Habitats'!$B$3:$B$135,MATCH(E227,'G-1 All Habitats'!$A$3:$A$135,0)),"")</f>
        <v/>
      </c>
      <c r="G227" s="37"/>
      <c r="H227" s="290" t="str">
        <f>IF(F227="","",VLOOKUP(F227,'G-1 All Habitats'!$B$2:$M$135,10,FALSE))</f>
        <v/>
      </c>
      <c r="I227" s="291" t="str">
        <f>IFERROR(VLOOKUP(H227,'G-1 All Habitats'!$V$3:$W$7,2,FALSE),"")</f>
        <v/>
      </c>
      <c r="J227" s="38"/>
      <c r="K227" s="291" t="str">
        <f>IFERROR(INDEX('G-8 Condition Look up'!$A$3:$H$135,MATCH(F227,'G-8 Condition Look up'!$A$3:$A$135,0),MATCH(J227,'G-8 Condition Look up'!$A$3:$H$3,0)),"")</f>
        <v/>
      </c>
      <c r="L227" s="38"/>
      <c r="M227" s="298" t="str">
        <f>IF(L227="","",IF(VLOOKUP(L227,'G-3 Multipliers'!$L$3:$N$6,2,FALSE)=0,"Spatial Data Missing",VLOOKUP(L227,'G-3 Multipliers'!$L$3:$N$6,2,FALSE)))</f>
        <v/>
      </c>
      <c r="N227" s="296" t="str">
        <f>IF(L227="","",IF(VLOOKUP(L227,'G-3 Multipliers'!$L$3:$N$6,3,FALSE)=0,"Spatial Data Missing",VLOOKUP(L227,'G-3 Multipliers'!$L$3:$N$6,3,FALSE)))</f>
        <v/>
      </c>
      <c r="O227" s="290" t="str">
        <f t="shared" si="18"/>
        <v/>
      </c>
      <c r="P227" s="47"/>
      <c r="Q227" s="47"/>
      <c r="R227" s="298" t="str">
        <f t="shared" si="20"/>
        <v/>
      </c>
      <c r="S227" s="311" t="str">
        <f t="shared" si="21"/>
        <v/>
      </c>
      <c r="T227" s="312" t="str">
        <f>IFERROR(IF(S227="Check Data ⚠","Check Data ⚠",VLOOKUP(S227,'G-4 Temporal multipliers'!$A$4:$C$37,3,FALSE)),"")</f>
        <v/>
      </c>
      <c r="U227" s="313" t="str">
        <f>IF(F227="","",VLOOKUP(F227,'G-3 Multipliers'!$A$2:$E$134,2,FALSE))</f>
        <v/>
      </c>
      <c r="V227" s="310" t="str">
        <f t="shared" si="22"/>
        <v/>
      </c>
      <c r="W227" s="295" t="str">
        <f>IF(E227="","",IF(AND(V227="Standard difficulty applied",O227&gt;P227),U227,IF(AND(V227="Low Difficulty - only applicable if all habitat created before losses ⚠",P227&gt;=O227),"Low",VLOOKUP(F227,'G-3 Multipliers'!$A$2:$E$134,4,FALSE))))</f>
        <v/>
      </c>
      <c r="X227" s="314" t="str">
        <f>IFERROR(IF(E227="","",VLOOKUP(W227, 'G-3 Multipliers'!$P$2:$Q$6,2,FALSE)),"")</f>
        <v/>
      </c>
      <c r="Y227" s="317" t="str">
        <f t="shared" si="23"/>
        <v/>
      </c>
      <c r="Z227" s="163"/>
      <c r="AA227" s="164"/>
      <c r="AB227" s="101"/>
      <c r="AE227" s="25" t="str">
        <f t="shared" si="19"/>
        <v/>
      </c>
    </row>
    <row r="228" spans="1:31" ht="14.5" thickBot="1" x14ac:dyDescent="0.35">
      <c r="A228" s="20" t="str">
        <f>IFERROR(INDEX('G-8 Condition Look up'!$I$4:$I$135,MATCH(F228,'G-8 Condition Look up'!$A$4:$A$135,0)),"")</f>
        <v/>
      </c>
      <c r="B228" s="679">
        <v>218</v>
      </c>
      <c r="C228" s="247" t="str">
        <f>IFERROR(INDEX('G-1 All Habitats'!$AG$25:$AG$41,MATCH(D228,'G-1 All Habitats'!AF$25:AF$41,0)),"")</f>
        <v/>
      </c>
      <c r="D228" s="38"/>
      <c r="E228" s="45"/>
      <c r="F228" s="244" t="str">
        <f>IFERROR(INDEX('G-1 All Habitats'!$B$3:$B$135,MATCH(E228,'G-1 All Habitats'!$A$3:$A$135,0)),"")</f>
        <v/>
      </c>
      <c r="G228" s="37"/>
      <c r="H228" s="290" t="str">
        <f>IF(F228="","",VLOOKUP(F228,'G-1 All Habitats'!$B$2:$M$135,10,FALSE))</f>
        <v/>
      </c>
      <c r="I228" s="291" t="str">
        <f>IFERROR(VLOOKUP(H228,'G-1 All Habitats'!$V$3:$W$7,2,FALSE),"")</f>
        <v/>
      </c>
      <c r="J228" s="38"/>
      <c r="K228" s="291" t="str">
        <f>IFERROR(INDEX('G-8 Condition Look up'!$A$3:$H$135,MATCH(F228,'G-8 Condition Look up'!$A$3:$A$135,0),MATCH(J228,'G-8 Condition Look up'!$A$3:$H$3,0)),"")</f>
        <v/>
      </c>
      <c r="L228" s="38"/>
      <c r="M228" s="298" t="str">
        <f>IF(L228="","",IF(VLOOKUP(L228,'G-3 Multipliers'!$L$3:$N$6,2,FALSE)=0,"Spatial Data Missing",VLOOKUP(L228,'G-3 Multipliers'!$L$3:$N$6,2,FALSE)))</f>
        <v/>
      </c>
      <c r="N228" s="296" t="str">
        <f>IF(L228="","",IF(VLOOKUP(L228,'G-3 Multipliers'!$L$3:$N$6,3,FALSE)=0,"Spatial Data Missing",VLOOKUP(L228,'G-3 Multipliers'!$L$3:$N$6,3,FALSE)))</f>
        <v/>
      </c>
      <c r="O228" s="290" t="str">
        <f t="shared" si="18"/>
        <v/>
      </c>
      <c r="P228" s="47"/>
      <c r="Q228" s="47"/>
      <c r="R228" s="298" t="str">
        <f t="shared" si="20"/>
        <v/>
      </c>
      <c r="S228" s="311" t="str">
        <f t="shared" si="21"/>
        <v/>
      </c>
      <c r="T228" s="312" t="str">
        <f>IFERROR(IF(S228="Check Data ⚠","Check Data ⚠",VLOOKUP(S228,'G-4 Temporal multipliers'!$A$4:$C$37,3,FALSE)),"")</f>
        <v/>
      </c>
      <c r="U228" s="313" t="str">
        <f>IF(F228="","",VLOOKUP(F228,'G-3 Multipliers'!$A$2:$E$134,2,FALSE))</f>
        <v/>
      </c>
      <c r="V228" s="310" t="str">
        <f t="shared" si="22"/>
        <v/>
      </c>
      <c r="W228" s="295" t="str">
        <f>IF(E228="","",IF(AND(V228="Standard difficulty applied",O228&gt;P228),U228,IF(AND(V228="Low Difficulty - only applicable if all habitat created before losses ⚠",P228&gt;=O228),"Low",VLOOKUP(F228,'G-3 Multipliers'!$A$2:$E$134,4,FALSE))))</f>
        <v/>
      </c>
      <c r="X228" s="314" t="str">
        <f>IFERROR(IF(E228="","",VLOOKUP(W228, 'G-3 Multipliers'!$P$2:$Q$6,2,FALSE)),"")</f>
        <v/>
      </c>
      <c r="Y228" s="317" t="str">
        <f t="shared" si="23"/>
        <v/>
      </c>
      <c r="Z228" s="163"/>
      <c r="AA228" s="164"/>
      <c r="AB228" s="101"/>
      <c r="AE228" s="25" t="str">
        <f t="shared" si="19"/>
        <v/>
      </c>
    </row>
    <row r="229" spans="1:31" ht="14.5" thickBot="1" x14ac:dyDescent="0.35">
      <c r="A229" s="20" t="str">
        <f>IFERROR(INDEX('G-8 Condition Look up'!$I$4:$I$135,MATCH(F229,'G-8 Condition Look up'!$A$4:$A$135,0)),"")</f>
        <v/>
      </c>
      <c r="B229" s="679">
        <v>219</v>
      </c>
      <c r="C229" s="247" t="str">
        <f>IFERROR(INDEX('G-1 All Habitats'!$AG$25:$AG$41,MATCH(D229,'G-1 All Habitats'!AF$25:AF$41,0)),"")</f>
        <v/>
      </c>
      <c r="D229" s="38"/>
      <c r="E229" s="45"/>
      <c r="F229" s="244" t="str">
        <f>IFERROR(INDEX('G-1 All Habitats'!$B$3:$B$135,MATCH(E229,'G-1 All Habitats'!$A$3:$A$135,0)),"")</f>
        <v/>
      </c>
      <c r="G229" s="37"/>
      <c r="H229" s="290" t="str">
        <f>IF(F229="","",VLOOKUP(F229,'G-1 All Habitats'!$B$2:$M$135,10,FALSE))</f>
        <v/>
      </c>
      <c r="I229" s="291" t="str">
        <f>IFERROR(VLOOKUP(H229,'G-1 All Habitats'!$V$3:$W$7,2,FALSE),"")</f>
        <v/>
      </c>
      <c r="J229" s="38"/>
      <c r="K229" s="291" t="str">
        <f>IFERROR(INDEX('G-8 Condition Look up'!$A$3:$H$135,MATCH(F229,'G-8 Condition Look up'!$A$3:$A$135,0),MATCH(J229,'G-8 Condition Look up'!$A$3:$H$3,0)),"")</f>
        <v/>
      </c>
      <c r="L229" s="38"/>
      <c r="M229" s="298" t="str">
        <f>IF(L229="","",IF(VLOOKUP(L229,'G-3 Multipliers'!$L$3:$N$6,2,FALSE)=0,"Spatial Data Missing",VLOOKUP(L229,'G-3 Multipliers'!$L$3:$N$6,2,FALSE)))</f>
        <v/>
      </c>
      <c r="N229" s="296" t="str">
        <f>IF(L229="","",IF(VLOOKUP(L229,'G-3 Multipliers'!$L$3:$N$6,3,FALSE)=0,"Spatial Data Missing",VLOOKUP(L229,'G-3 Multipliers'!$L$3:$N$6,3,FALSE)))</f>
        <v/>
      </c>
      <c r="O229" s="290" t="str">
        <f t="shared" si="18"/>
        <v/>
      </c>
      <c r="P229" s="47"/>
      <c r="Q229" s="47"/>
      <c r="R229" s="298" t="str">
        <f t="shared" si="20"/>
        <v/>
      </c>
      <c r="S229" s="311" t="str">
        <f t="shared" si="21"/>
        <v/>
      </c>
      <c r="T229" s="312" t="str">
        <f>IFERROR(IF(S229="Check Data ⚠","Check Data ⚠",VLOOKUP(S229,'G-4 Temporal multipliers'!$A$4:$C$37,3,FALSE)),"")</f>
        <v/>
      </c>
      <c r="U229" s="313" t="str">
        <f>IF(F229="","",VLOOKUP(F229,'G-3 Multipliers'!$A$2:$E$134,2,FALSE))</f>
        <v/>
      </c>
      <c r="V229" s="310" t="str">
        <f t="shared" si="22"/>
        <v/>
      </c>
      <c r="W229" s="295" t="str">
        <f>IF(E229="","",IF(AND(V229="Standard difficulty applied",O229&gt;P229),U229,IF(AND(V229="Low Difficulty - only applicable if all habitat created before losses ⚠",P229&gt;=O229),"Low",VLOOKUP(F229,'G-3 Multipliers'!$A$2:$E$134,4,FALSE))))</f>
        <v/>
      </c>
      <c r="X229" s="314" t="str">
        <f>IFERROR(IF(E229="","",VLOOKUP(W229, 'G-3 Multipliers'!$P$2:$Q$6,2,FALSE)),"")</f>
        <v/>
      </c>
      <c r="Y229" s="317" t="str">
        <f t="shared" si="23"/>
        <v/>
      </c>
      <c r="Z229" s="163"/>
      <c r="AA229" s="164"/>
      <c r="AB229" s="101"/>
      <c r="AE229" s="25" t="str">
        <f t="shared" si="19"/>
        <v/>
      </c>
    </row>
    <row r="230" spans="1:31" ht="14.5" thickBot="1" x14ac:dyDescent="0.35">
      <c r="A230" s="20" t="str">
        <f>IFERROR(INDEX('G-8 Condition Look up'!$I$4:$I$135,MATCH(F230,'G-8 Condition Look up'!$A$4:$A$135,0)),"")</f>
        <v/>
      </c>
      <c r="B230" s="679">
        <v>220</v>
      </c>
      <c r="C230" s="247" t="str">
        <f>IFERROR(INDEX('G-1 All Habitats'!$AG$25:$AG$41,MATCH(D230,'G-1 All Habitats'!AF$25:AF$41,0)),"")</f>
        <v/>
      </c>
      <c r="D230" s="38"/>
      <c r="E230" s="45"/>
      <c r="F230" s="244" t="str">
        <f>IFERROR(INDEX('G-1 All Habitats'!$B$3:$B$135,MATCH(E230,'G-1 All Habitats'!$A$3:$A$135,0)),"")</f>
        <v/>
      </c>
      <c r="G230" s="37"/>
      <c r="H230" s="290" t="str">
        <f>IF(F230="","",VLOOKUP(F230,'G-1 All Habitats'!$B$2:$M$135,10,FALSE))</f>
        <v/>
      </c>
      <c r="I230" s="291" t="str">
        <f>IFERROR(VLOOKUP(H230,'G-1 All Habitats'!$V$3:$W$7,2,FALSE),"")</f>
        <v/>
      </c>
      <c r="J230" s="38"/>
      <c r="K230" s="291" t="str">
        <f>IFERROR(INDEX('G-8 Condition Look up'!$A$3:$H$135,MATCH(F230,'G-8 Condition Look up'!$A$3:$A$135,0),MATCH(J230,'G-8 Condition Look up'!$A$3:$H$3,0)),"")</f>
        <v/>
      </c>
      <c r="L230" s="38"/>
      <c r="M230" s="298" t="str">
        <f>IF(L230="","",IF(VLOOKUP(L230,'G-3 Multipliers'!$L$3:$N$6,2,FALSE)=0,"Spatial Data Missing",VLOOKUP(L230,'G-3 Multipliers'!$L$3:$N$6,2,FALSE)))</f>
        <v/>
      </c>
      <c r="N230" s="296" t="str">
        <f>IF(L230="","",IF(VLOOKUP(L230,'G-3 Multipliers'!$L$3:$N$6,3,FALSE)=0,"Spatial Data Missing",VLOOKUP(L230,'G-3 Multipliers'!$L$3:$N$6,3,FALSE)))</f>
        <v/>
      </c>
      <c r="O230" s="290" t="str">
        <f t="shared" si="18"/>
        <v/>
      </c>
      <c r="P230" s="47"/>
      <c r="Q230" s="47"/>
      <c r="R230" s="298" t="str">
        <f t="shared" si="20"/>
        <v/>
      </c>
      <c r="S230" s="311" t="str">
        <f t="shared" si="21"/>
        <v/>
      </c>
      <c r="T230" s="312" t="str">
        <f>IFERROR(IF(S230="Check Data ⚠","Check Data ⚠",VLOOKUP(S230,'G-4 Temporal multipliers'!$A$4:$C$37,3,FALSE)),"")</f>
        <v/>
      </c>
      <c r="U230" s="313" t="str">
        <f>IF(F230="","",VLOOKUP(F230,'G-3 Multipliers'!$A$2:$E$134,2,FALSE))</f>
        <v/>
      </c>
      <c r="V230" s="310" t="str">
        <f t="shared" si="22"/>
        <v/>
      </c>
      <c r="W230" s="295" t="str">
        <f>IF(E230="","",IF(AND(V230="Standard difficulty applied",O230&gt;P230),U230,IF(AND(V230="Low Difficulty - only applicable if all habitat created before losses ⚠",P230&gt;=O230),"Low",VLOOKUP(F230,'G-3 Multipliers'!$A$2:$E$134,4,FALSE))))</f>
        <v/>
      </c>
      <c r="X230" s="314" t="str">
        <f>IFERROR(IF(E230="","",VLOOKUP(W230, 'G-3 Multipliers'!$P$2:$Q$6,2,FALSE)),"")</f>
        <v/>
      </c>
      <c r="Y230" s="317" t="str">
        <f t="shared" si="23"/>
        <v/>
      </c>
      <c r="Z230" s="163"/>
      <c r="AA230" s="164"/>
      <c r="AB230" s="101"/>
      <c r="AE230" s="25" t="str">
        <f t="shared" si="19"/>
        <v/>
      </c>
    </row>
    <row r="231" spans="1:31" ht="14.5" thickBot="1" x14ac:dyDescent="0.35">
      <c r="A231" s="20" t="str">
        <f>IFERROR(INDEX('G-8 Condition Look up'!$I$4:$I$135,MATCH(F231,'G-8 Condition Look up'!$A$4:$A$135,0)),"")</f>
        <v/>
      </c>
      <c r="B231" s="679">
        <v>221</v>
      </c>
      <c r="C231" s="247" t="str">
        <f>IFERROR(INDEX('G-1 All Habitats'!$AG$25:$AG$41,MATCH(D231,'G-1 All Habitats'!AF$25:AF$41,0)),"")</f>
        <v/>
      </c>
      <c r="D231" s="38"/>
      <c r="E231" s="45"/>
      <c r="F231" s="244" t="str">
        <f>IFERROR(INDEX('G-1 All Habitats'!$B$3:$B$135,MATCH(E231,'G-1 All Habitats'!$A$3:$A$135,0)),"")</f>
        <v/>
      </c>
      <c r="G231" s="37"/>
      <c r="H231" s="290" t="str">
        <f>IF(F231="","",VLOOKUP(F231,'G-1 All Habitats'!$B$2:$M$135,10,FALSE))</f>
        <v/>
      </c>
      <c r="I231" s="291" t="str">
        <f>IFERROR(VLOOKUP(H231,'G-1 All Habitats'!$V$3:$W$7,2,FALSE),"")</f>
        <v/>
      </c>
      <c r="J231" s="38"/>
      <c r="K231" s="291" t="str">
        <f>IFERROR(INDEX('G-8 Condition Look up'!$A$3:$H$135,MATCH(F231,'G-8 Condition Look up'!$A$3:$A$135,0),MATCH(J231,'G-8 Condition Look up'!$A$3:$H$3,0)),"")</f>
        <v/>
      </c>
      <c r="L231" s="38"/>
      <c r="M231" s="298" t="str">
        <f>IF(L231="","",IF(VLOOKUP(L231,'G-3 Multipliers'!$L$3:$N$6,2,FALSE)=0,"Spatial Data Missing",VLOOKUP(L231,'G-3 Multipliers'!$L$3:$N$6,2,FALSE)))</f>
        <v/>
      </c>
      <c r="N231" s="296" t="str">
        <f>IF(L231="","",IF(VLOOKUP(L231,'G-3 Multipliers'!$L$3:$N$6,3,FALSE)=0,"Spatial Data Missing",VLOOKUP(L231,'G-3 Multipliers'!$L$3:$N$6,3,FALSE)))</f>
        <v/>
      </c>
      <c r="O231" s="290" t="str">
        <f t="shared" si="18"/>
        <v/>
      </c>
      <c r="P231" s="47"/>
      <c r="Q231" s="47"/>
      <c r="R231" s="298" t="str">
        <f t="shared" si="20"/>
        <v/>
      </c>
      <c r="S231" s="311" t="str">
        <f t="shared" si="21"/>
        <v/>
      </c>
      <c r="T231" s="312" t="str">
        <f>IFERROR(IF(S231="Check Data ⚠","Check Data ⚠",VLOOKUP(S231,'G-4 Temporal multipliers'!$A$4:$C$37,3,FALSE)),"")</f>
        <v/>
      </c>
      <c r="U231" s="313" t="str">
        <f>IF(F231="","",VLOOKUP(F231,'G-3 Multipliers'!$A$2:$E$134,2,FALSE))</f>
        <v/>
      </c>
      <c r="V231" s="310" t="str">
        <f t="shared" si="22"/>
        <v/>
      </c>
      <c r="W231" s="295" t="str">
        <f>IF(E231="","",IF(AND(V231="Standard difficulty applied",O231&gt;P231),U231,IF(AND(V231="Low Difficulty - only applicable if all habitat created before losses ⚠",P231&gt;=O231),"Low",VLOOKUP(F231,'G-3 Multipliers'!$A$2:$E$134,4,FALSE))))</f>
        <v/>
      </c>
      <c r="X231" s="314" t="str">
        <f>IFERROR(IF(E231="","",VLOOKUP(W231, 'G-3 Multipliers'!$P$2:$Q$6,2,FALSE)),"")</f>
        <v/>
      </c>
      <c r="Y231" s="317" t="str">
        <f t="shared" si="23"/>
        <v/>
      </c>
      <c r="Z231" s="163"/>
      <c r="AA231" s="164"/>
      <c r="AB231" s="101"/>
      <c r="AE231" s="25" t="str">
        <f t="shared" si="19"/>
        <v/>
      </c>
    </row>
    <row r="232" spans="1:31" ht="14.5" thickBot="1" x14ac:dyDescent="0.35">
      <c r="A232" s="20" t="str">
        <f>IFERROR(INDEX('G-8 Condition Look up'!$I$4:$I$135,MATCH(F232,'G-8 Condition Look up'!$A$4:$A$135,0)),"")</f>
        <v/>
      </c>
      <c r="B232" s="679">
        <v>222</v>
      </c>
      <c r="C232" s="247" t="str">
        <f>IFERROR(INDEX('G-1 All Habitats'!$AG$25:$AG$41,MATCH(D232,'G-1 All Habitats'!AF$25:AF$41,0)),"")</f>
        <v/>
      </c>
      <c r="D232" s="38"/>
      <c r="E232" s="45"/>
      <c r="F232" s="244" t="str">
        <f>IFERROR(INDEX('G-1 All Habitats'!$B$3:$B$135,MATCH(E232,'G-1 All Habitats'!$A$3:$A$135,0)),"")</f>
        <v/>
      </c>
      <c r="G232" s="37"/>
      <c r="H232" s="290" t="str">
        <f>IF(F232="","",VLOOKUP(F232,'G-1 All Habitats'!$B$2:$M$135,10,FALSE))</f>
        <v/>
      </c>
      <c r="I232" s="291" t="str">
        <f>IFERROR(VLOOKUP(H232,'G-1 All Habitats'!$V$3:$W$7,2,FALSE),"")</f>
        <v/>
      </c>
      <c r="J232" s="38"/>
      <c r="K232" s="291" t="str">
        <f>IFERROR(INDEX('G-8 Condition Look up'!$A$3:$H$135,MATCH(F232,'G-8 Condition Look up'!$A$3:$A$135,0),MATCH(J232,'G-8 Condition Look up'!$A$3:$H$3,0)),"")</f>
        <v/>
      </c>
      <c r="L232" s="38"/>
      <c r="M232" s="298" t="str">
        <f>IF(L232="","",IF(VLOOKUP(L232,'G-3 Multipliers'!$L$3:$N$6,2,FALSE)=0,"Spatial Data Missing",VLOOKUP(L232,'G-3 Multipliers'!$L$3:$N$6,2,FALSE)))</f>
        <v/>
      </c>
      <c r="N232" s="296" t="str">
        <f>IF(L232="","",IF(VLOOKUP(L232,'G-3 Multipliers'!$L$3:$N$6,3,FALSE)=0,"Spatial Data Missing",VLOOKUP(L232,'G-3 Multipliers'!$L$3:$N$6,3,FALSE)))</f>
        <v/>
      </c>
      <c r="O232" s="290" t="str">
        <f t="shared" si="18"/>
        <v/>
      </c>
      <c r="P232" s="47"/>
      <c r="Q232" s="47"/>
      <c r="R232" s="298" t="str">
        <f t="shared" si="20"/>
        <v/>
      </c>
      <c r="S232" s="311" t="str">
        <f t="shared" si="21"/>
        <v/>
      </c>
      <c r="T232" s="312" t="str">
        <f>IFERROR(IF(S232="Check Data ⚠","Check Data ⚠",VLOOKUP(S232,'G-4 Temporal multipliers'!$A$4:$C$37,3,FALSE)),"")</f>
        <v/>
      </c>
      <c r="U232" s="313" t="str">
        <f>IF(F232="","",VLOOKUP(F232,'G-3 Multipliers'!$A$2:$E$134,2,FALSE))</f>
        <v/>
      </c>
      <c r="V232" s="310" t="str">
        <f t="shared" si="22"/>
        <v/>
      </c>
      <c r="W232" s="295" t="str">
        <f>IF(E232="","",IF(AND(V232="Standard difficulty applied",O232&gt;P232),U232,IF(AND(V232="Low Difficulty - only applicable if all habitat created before losses ⚠",P232&gt;=O232),"Low",VLOOKUP(F232,'G-3 Multipliers'!$A$2:$E$134,4,FALSE))))</f>
        <v/>
      </c>
      <c r="X232" s="314" t="str">
        <f>IFERROR(IF(E232="","",VLOOKUP(W232, 'G-3 Multipliers'!$P$2:$Q$6,2,FALSE)),"")</f>
        <v/>
      </c>
      <c r="Y232" s="317" t="str">
        <f t="shared" si="23"/>
        <v/>
      </c>
      <c r="Z232" s="163"/>
      <c r="AA232" s="164"/>
      <c r="AB232" s="101"/>
      <c r="AE232" s="25" t="str">
        <f t="shared" si="19"/>
        <v/>
      </c>
    </row>
    <row r="233" spans="1:31" ht="14.5" thickBot="1" x14ac:dyDescent="0.35">
      <c r="A233" s="20" t="str">
        <f>IFERROR(INDEX('G-8 Condition Look up'!$I$4:$I$135,MATCH(F233,'G-8 Condition Look up'!$A$4:$A$135,0)),"")</f>
        <v/>
      </c>
      <c r="B233" s="679">
        <v>223</v>
      </c>
      <c r="C233" s="247" t="str">
        <f>IFERROR(INDEX('G-1 All Habitats'!$AG$25:$AG$41,MATCH(D233,'G-1 All Habitats'!AF$25:AF$41,0)),"")</f>
        <v/>
      </c>
      <c r="D233" s="38"/>
      <c r="E233" s="45"/>
      <c r="F233" s="244" t="str">
        <f>IFERROR(INDEX('G-1 All Habitats'!$B$3:$B$135,MATCH(E233,'G-1 All Habitats'!$A$3:$A$135,0)),"")</f>
        <v/>
      </c>
      <c r="G233" s="37"/>
      <c r="H233" s="290" t="str">
        <f>IF(F233="","",VLOOKUP(F233,'G-1 All Habitats'!$B$2:$M$135,10,FALSE))</f>
        <v/>
      </c>
      <c r="I233" s="291" t="str">
        <f>IFERROR(VLOOKUP(H233,'G-1 All Habitats'!$V$3:$W$7,2,FALSE),"")</f>
        <v/>
      </c>
      <c r="J233" s="38"/>
      <c r="K233" s="291" t="str">
        <f>IFERROR(INDEX('G-8 Condition Look up'!$A$3:$H$135,MATCH(F233,'G-8 Condition Look up'!$A$3:$A$135,0),MATCH(J233,'G-8 Condition Look up'!$A$3:$H$3,0)),"")</f>
        <v/>
      </c>
      <c r="L233" s="38"/>
      <c r="M233" s="298" t="str">
        <f>IF(L233="","",IF(VLOOKUP(L233,'G-3 Multipliers'!$L$3:$N$6,2,FALSE)=0,"Spatial Data Missing",VLOOKUP(L233,'G-3 Multipliers'!$L$3:$N$6,2,FALSE)))</f>
        <v/>
      </c>
      <c r="N233" s="296" t="str">
        <f>IF(L233="","",IF(VLOOKUP(L233,'G-3 Multipliers'!$L$3:$N$6,3,FALSE)=0,"Spatial Data Missing",VLOOKUP(L233,'G-3 Multipliers'!$L$3:$N$6,3,FALSE)))</f>
        <v/>
      </c>
      <c r="O233" s="290" t="str">
        <f t="shared" si="18"/>
        <v/>
      </c>
      <c r="P233" s="47"/>
      <c r="Q233" s="47"/>
      <c r="R233" s="298" t="str">
        <f t="shared" si="20"/>
        <v/>
      </c>
      <c r="S233" s="311" t="str">
        <f t="shared" si="21"/>
        <v/>
      </c>
      <c r="T233" s="312" t="str">
        <f>IFERROR(IF(S233="Check Data ⚠","Check Data ⚠",VLOOKUP(S233,'G-4 Temporal multipliers'!$A$4:$C$37,3,FALSE)),"")</f>
        <v/>
      </c>
      <c r="U233" s="313" t="str">
        <f>IF(F233="","",VLOOKUP(F233,'G-3 Multipliers'!$A$2:$E$134,2,FALSE))</f>
        <v/>
      </c>
      <c r="V233" s="310" t="str">
        <f t="shared" si="22"/>
        <v/>
      </c>
      <c r="W233" s="295" t="str">
        <f>IF(E233="","",IF(AND(V233="Standard difficulty applied",O233&gt;P233),U233,IF(AND(V233="Low Difficulty - only applicable if all habitat created before losses ⚠",P233&gt;=O233),"Low",VLOOKUP(F233,'G-3 Multipliers'!$A$2:$E$134,4,FALSE))))</f>
        <v/>
      </c>
      <c r="X233" s="314" t="str">
        <f>IFERROR(IF(E233="","",VLOOKUP(W233, 'G-3 Multipliers'!$P$2:$Q$6,2,FALSE)),"")</f>
        <v/>
      </c>
      <c r="Y233" s="317" t="str">
        <f t="shared" si="23"/>
        <v/>
      </c>
      <c r="Z233" s="163"/>
      <c r="AA233" s="164"/>
      <c r="AB233" s="101"/>
      <c r="AE233" s="25" t="str">
        <f t="shared" si="19"/>
        <v/>
      </c>
    </row>
    <row r="234" spans="1:31" ht="14.5" thickBot="1" x14ac:dyDescent="0.35">
      <c r="A234" s="20" t="str">
        <f>IFERROR(INDEX('G-8 Condition Look up'!$I$4:$I$135,MATCH(F234,'G-8 Condition Look up'!$A$4:$A$135,0)),"")</f>
        <v/>
      </c>
      <c r="B234" s="679">
        <v>224</v>
      </c>
      <c r="C234" s="247" t="str">
        <f>IFERROR(INDEX('G-1 All Habitats'!$AG$25:$AG$41,MATCH(D234,'G-1 All Habitats'!AF$25:AF$41,0)),"")</f>
        <v/>
      </c>
      <c r="D234" s="38"/>
      <c r="E234" s="45"/>
      <c r="F234" s="244" t="str">
        <f>IFERROR(INDEX('G-1 All Habitats'!$B$3:$B$135,MATCH(E234,'G-1 All Habitats'!$A$3:$A$135,0)),"")</f>
        <v/>
      </c>
      <c r="G234" s="37"/>
      <c r="H234" s="290" t="str">
        <f>IF(F234="","",VLOOKUP(F234,'G-1 All Habitats'!$B$2:$M$135,10,FALSE))</f>
        <v/>
      </c>
      <c r="I234" s="291" t="str">
        <f>IFERROR(VLOOKUP(H234,'G-1 All Habitats'!$V$3:$W$7,2,FALSE),"")</f>
        <v/>
      </c>
      <c r="J234" s="38"/>
      <c r="K234" s="291" t="str">
        <f>IFERROR(INDEX('G-8 Condition Look up'!$A$3:$H$135,MATCH(F234,'G-8 Condition Look up'!$A$3:$A$135,0),MATCH(J234,'G-8 Condition Look up'!$A$3:$H$3,0)),"")</f>
        <v/>
      </c>
      <c r="L234" s="38"/>
      <c r="M234" s="298" t="str">
        <f>IF(L234="","",IF(VLOOKUP(L234,'G-3 Multipliers'!$L$3:$N$6,2,FALSE)=0,"Spatial Data Missing",VLOOKUP(L234,'G-3 Multipliers'!$L$3:$N$6,2,FALSE)))</f>
        <v/>
      </c>
      <c r="N234" s="296" t="str">
        <f>IF(L234="","",IF(VLOOKUP(L234,'G-3 Multipliers'!$L$3:$N$6,3,FALSE)=0,"Spatial Data Missing",VLOOKUP(L234,'G-3 Multipliers'!$L$3:$N$6,3,FALSE)))</f>
        <v/>
      </c>
      <c r="O234" s="290" t="str">
        <f t="shared" si="18"/>
        <v/>
      </c>
      <c r="P234" s="47"/>
      <c r="Q234" s="47"/>
      <c r="R234" s="298" t="str">
        <f t="shared" si="20"/>
        <v/>
      </c>
      <c r="S234" s="311" t="str">
        <f t="shared" si="21"/>
        <v/>
      </c>
      <c r="T234" s="312" t="str">
        <f>IFERROR(IF(S234="Check Data ⚠","Check Data ⚠",VLOOKUP(S234,'G-4 Temporal multipliers'!$A$4:$C$37,3,FALSE)),"")</f>
        <v/>
      </c>
      <c r="U234" s="313" t="str">
        <f>IF(F234="","",VLOOKUP(F234,'G-3 Multipliers'!$A$2:$E$134,2,FALSE))</f>
        <v/>
      </c>
      <c r="V234" s="310" t="str">
        <f t="shared" si="22"/>
        <v/>
      </c>
      <c r="W234" s="295" t="str">
        <f>IF(E234="","",IF(AND(V234="Standard difficulty applied",O234&gt;P234),U234,IF(AND(V234="Low Difficulty - only applicable if all habitat created before losses ⚠",P234&gt;=O234),"Low",VLOOKUP(F234,'G-3 Multipliers'!$A$2:$E$134,4,FALSE))))</f>
        <v/>
      </c>
      <c r="X234" s="314" t="str">
        <f>IFERROR(IF(E234="","",VLOOKUP(W234, 'G-3 Multipliers'!$P$2:$Q$6,2,FALSE)),"")</f>
        <v/>
      </c>
      <c r="Y234" s="317" t="str">
        <f t="shared" si="23"/>
        <v/>
      </c>
      <c r="Z234" s="163"/>
      <c r="AA234" s="164"/>
      <c r="AB234" s="101"/>
      <c r="AE234" s="25" t="str">
        <f t="shared" si="19"/>
        <v/>
      </c>
    </row>
    <row r="235" spans="1:31" ht="14.5" thickBot="1" x14ac:dyDescent="0.35">
      <c r="A235" s="20" t="str">
        <f>IFERROR(INDEX('G-8 Condition Look up'!$I$4:$I$135,MATCH(F235,'G-8 Condition Look up'!$A$4:$A$135,0)),"")</f>
        <v/>
      </c>
      <c r="B235" s="679">
        <v>225</v>
      </c>
      <c r="C235" s="247" t="str">
        <f>IFERROR(INDEX('G-1 All Habitats'!$AG$25:$AG$41,MATCH(D235,'G-1 All Habitats'!AF$25:AF$41,0)),"")</f>
        <v/>
      </c>
      <c r="D235" s="38"/>
      <c r="E235" s="45"/>
      <c r="F235" s="244" t="str">
        <f>IFERROR(INDEX('G-1 All Habitats'!$B$3:$B$135,MATCH(E235,'G-1 All Habitats'!$A$3:$A$135,0)),"")</f>
        <v/>
      </c>
      <c r="G235" s="37"/>
      <c r="H235" s="290" t="str">
        <f>IF(F235="","",VLOOKUP(F235,'G-1 All Habitats'!$B$2:$M$135,10,FALSE))</f>
        <v/>
      </c>
      <c r="I235" s="291" t="str">
        <f>IFERROR(VLOOKUP(H235,'G-1 All Habitats'!$V$3:$W$7,2,FALSE),"")</f>
        <v/>
      </c>
      <c r="J235" s="38"/>
      <c r="K235" s="291" t="str">
        <f>IFERROR(INDEX('G-8 Condition Look up'!$A$3:$H$135,MATCH(F235,'G-8 Condition Look up'!$A$3:$A$135,0),MATCH(J235,'G-8 Condition Look up'!$A$3:$H$3,0)),"")</f>
        <v/>
      </c>
      <c r="L235" s="38"/>
      <c r="M235" s="298" t="str">
        <f>IF(L235="","",IF(VLOOKUP(L235,'G-3 Multipliers'!$L$3:$N$6,2,FALSE)=0,"Spatial Data Missing",VLOOKUP(L235,'G-3 Multipliers'!$L$3:$N$6,2,FALSE)))</f>
        <v/>
      </c>
      <c r="N235" s="296" t="str">
        <f>IF(L235="","",IF(VLOOKUP(L235,'G-3 Multipliers'!$L$3:$N$6,3,FALSE)=0,"Spatial Data Missing",VLOOKUP(L235,'G-3 Multipliers'!$L$3:$N$6,3,FALSE)))</f>
        <v/>
      </c>
      <c r="O235" s="290" t="str">
        <f t="shared" si="18"/>
        <v/>
      </c>
      <c r="P235" s="47"/>
      <c r="Q235" s="47"/>
      <c r="R235" s="298" t="str">
        <f t="shared" si="20"/>
        <v/>
      </c>
      <c r="S235" s="311" t="str">
        <f t="shared" si="21"/>
        <v/>
      </c>
      <c r="T235" s="312" t="str">
        <f>IFERROR(IF(S235="Check Data ⚠","Check Data ⚠",VLOOKUP(S235,'G-4 Temporal multipliers'!$A$4:$C$37,3,FALSE)),"")</f>
        <v/>
      </c>
      <c r="U235" s="313" t="str">
        <f>IF(F235="","",VLOOKUP(F235,'G-3 Multipliers'!$A$2:$E$134,2,FALSE))</f>
        <v/>
      </c>
      <c r="V235" s="310" t="str">
        <f t="shared" si="22"/>
        <v/>
      </c>
      <c r="W235" s="295" t="str">
        <f>IF(E235="","",IF(AND(V235="Standard difficulty applied",O235&gt;P235),U235,IF(AND(V235="Low Difficulty - only applicable if all habitat created before losses ⚠",P235&gt;=O235),"Low",VLOOKUP(F235,'G-3 Multipliers'!$A$2:$E$134,4,FALSE))))</f>
        <v/>
      </c>
      <c r="X235" s="314" t="str">
        <f>IFERROR(IF(E235="","",VLOOKUP(W235, 'G-3 Multipliers'!$P$2:$Q$6,2,FALSE)),"")</f>
        <v/>
      </c>
      <c r="Y235" s="317" t="str">
        <f t="shared" si="23"/>
        <v/>
      </c>
      <c r="Z235" s="163"/>
      <c r="AA235" s="164"/>
      <c r="AB235" s="101"/>
      <c r="AE235" s="25" t="str">
        <f t="shared" si="19"/>
        <v/>
      </c>
    </row>
    <row r="236" spans="1:31" ht="14.5" thickBot="1" x14ac:dyDescent="0.35">
      <c r="A236" s="20" t="str">
        <f>IFERROR(INDEX('G-8 Condition Look up'!$I$4:$I$135,MATCH(F236,'G-8 Condition Look up'!$A$4:$A$135,0)),"")</f>
        <v/>
      </c>
      <c r="B236" s="679">
        <v>226</v>
      </c>
      <c r="C236" s="247" t="str">
        <f>IFERROR(INDEX('G-1 All Habitats'!$AG$25:$AG$41,MATCH(D236,'G-1 All Habitats'!AF$25:AF$41,0)),"")</f>
        <v/>
      </c>
      <c r="D236" s="38"/>
      <c r="E236" s="45"/>
      <c r="F236" s="244" t="str">
        <f>IFERROR(INDEX('G-1 All Habitats'!$B$3:$B$135,MATCH(E236,'G-1 All Habitats'!$A$3:$A$135,0)),"")</f>
        <v/>
      </c>
      <c r="G236" s="37"/>
      <c r="H236" s="290" t="str">
        <f>IF(F236="","",VLOOKUP(F236,'G-1 All Habitats'!$B$2:$M$135,10,FALSE))</f>
        <v/>
      </c>
      <c r="I236" s="291" t="str">
        <f>IFERROR(VLOOKUP(H236,'G-1 All Habitats'!$V$3:$W$7,2,FALSE),"")</f>
        <v/>
      </c>
      <c r="J236" s="38"/>
      <c r="K236" s="291" t="str">
        <f>IFERROR(INDEX('G-8 Condition Look up'!$A$3:$H$135,MATCH(F236,'G-8 Condition Look up'!$A$3:$A$135,0),MATCH(J236,'G-8 Condition Look up'!$A$3:$H$3,0)),"")</f>
        <v/>
      </c>
      <c r="L236" s="38"/>
      <c r="M236" s="298" t="str">
        <f>IF(L236="","",IF(VLOOKUP(L236,'G-3 Multipliers'!$L$3:$N$6,2,FALSE)=0,"Spatial Data Missing",VLOOKUP(L236,'G-3 Multipliers'!$L$3:$N$6,2,FALSE)))</f>
        <v/>
      </c>
      <c r="N236" s="296" t="str">
        <f>IF(L236="","",IF(VLOOKUP(L236,'G-3 Multipliers'!$L$3:$N$6,3,FALSE)=0,"Spatial Data Missing",VLOOKUP(L236,'G-3 Multipliers'!$L$3:$N$6,3,FALSE)))</f>
        <v/>
      </c>
      <c r="O236" s="290" t="str">
        <f t="shared" si="18"/>
        <v/>
      </c>
      <c r="P236" s="47"/>
      <c r="Q236" s="47"/>
      <c r="R236" s="298" t="str">
        <f t="shared" si="20"/>
        <v/>
      </c>
      <c r="S236" s="311" t="str">
        <f t="shared" si="21"/>
        <v/>
      </c>
      <c r="T236" s="312" t="str">
        <f>IFERROR(IF(S236="Check Data ⚠","Check Data ⚠",VLOOKUP(S236,'G-4 Temporal multipliers'!$A$4:$C$37,3,FALSE)),"")</f>
        <v/>
      </c>
      <c r="U236" s="313" t="str">
        <f>IF(F236="","",VLOOKUP(F236,'G-3 Multipliers'!$A$2:$E$134,2,FALSE))</f>
        <v/>
      </c>
      <c r="V236" s="310" t="str">
        <f t="shared" si="22"/>
        <v/>
      </c>
      <c r="W236" s="295" t="str">
        <f>IF(E236="","",IF(AND(V236="Standard difficulty applied",O236&gt;P236),U236,IF(AND(V236="Low Difficulty - only applicable if all habitat created before losses ⚠",P236&gt;=O236),"Low",VLOOKUP(F236,'G-3 Multipliers'!$A$2:$E$134,4,FALSE))))</f>
        <v/>
      </c>
      <c r="X236" s="314" t="str">
        <f>IFERROR(IF(E236="","",VLOOKUP(W236, 'G-3 Multipliers'!$P$2:$Q$6,2,FALSE)),"")</f>
        <v/>
      </c>
      <c r="Y236" s="317" t="str">
        <f t="shared" si="23"/>
        <v/>
      </c>
      <c r="Z236" s="163"/>
      <c r="AA236" s="164"/>
      <c r="AB236" s="101"/>
      <c r="AE236" s="25" t="str">
        <f t="shared" si="19"/>
        <v/>
      </c>
    </row>
    <row r="237" spans="1:31" ht="14.5" thickBot="1" x14ac:dyDescent="0.35">
      <c r="A237" s="20" t="str">
        <f>IFERROR(INDEX('G-8 Condition Look up'!$I$4:$I$135,MATCH(F237,'G-8 Condition Look up'!$A$4:$A$135,0)),"")</f>
        <v/>
      </c>
      <c r="B237" s="679">
        <v>227</v>
      </c>
      <c r="C237" s="247" t="str">
        <f>IFERROR(INDEX('G-1 All Habitats'!$AG$25:$AG$41,MATCH(D237,'G-1 All Habitats'!AF$25:AF$41,0)),"")</f>
        <v/>
      </c>
      <c r="D237" s="38"/>
      <c r="E237" s="45"/>
      <c r="F237" s="244" t="str">
        <f>IFERROR(INDEX('G-1 All Habitats'!$B$3:$B$135,MATCH(E237,'G-1 All Habitats'!$A$3:$A$135,0)),"")</f>
        <v/>
      </c>
      <c r="G237" s="37"/>
      <c r="H237" s="290" t="str">
        <f>IF(F237="","",VLOOKUP(F237,'G-1 All Habitats'!$B$2:$M$135,10,FALSE))</f>
        <v/>
      </c>
      <c r="I237" s="291" t="str">
        <f>IFERROR(VLOOKUP(H237,'G-1 All Habitats'!$V$3:$W$7,2,FALSE),"")</f>
        <v/>
      </c>
      <c r="J237" s="38"/>
      <c r="K237" s="291" t="str">
        <f>IFERROR(INDEX('G-8 Condition Look up'!$A$3:$H$135,MATCH(F237,'G-8 Condition Look up'!$A$3:$A$135,0),MATCH(J237,'G-8 Condition Look up'!$A$3:$H$3,0)),"")</f>
        <v/>
      </c>
      <c r="L237" s="38"/>
      <c r="M237" s="298" t="str">
        <f>IF(L237="","",IF(VLOOKUP(L237,'G-3 Multipliers'!$L$3:$N$6,2,FALSE)=0,"Spatial Data Missing",VLOOKUP(L237,'G-3 Multipliers'!$L$3:$N$6,2,FALSE)))</f>
        <v/>
      </c>
      <c r="N237" s="296" t="str">
        <f>IF(L237="","",IF(VLOOKUP(L237,'G-3 Multipliers'!$L$3:$N$6,3,FALSE)=0,"Spatial Data Missing",VLOOKUP(L237,'G-3 Multipliers'!$L$3:$N$6,3,FALSE)))</f>
        <v/>
      </c>
      <c r="O237" s="290" t="str">
        <f t="shared" si="18"/>
        <v/>
      </c>
      <c r="P237" s="47"/>
      <c r="Q237" s="47"/>
      <c r="R237" s="298" t="str">
        <f t="shared" si="20"/>
        <v/>
      </c>
      <c r="S237" s="311" t="str">
        <f t="shared" si="21"/>
        <v/>
      </c>
      <c r="T237" s="312" t="str">
        <f>IFERROR(IF(S237="Check Data ⚠","Check Data ⚠",VLOOKUP(S237,'G-4 Temporal multipliers'!$A$4:$C$37,3,FALSE)),"")</f>
        <v/>
      </c>
      <c r="U237" s="313" t="str">
        <f>IF(F237="","",VLOOKUP(F237,'G-3 Multipliers'!$A$2:$E$134,2,FALSE))</f>
        <v/>
      </c>
      <c r="V237" s="310" t="str">
        <f t="shared" si="22"/>
        <v/>
      </c>
      <c r="W237" s="295" t="str">
        <f>IF(E237="","",IF(AND(V237="Standard difficulty applied",O237&gt;P237),U237,IF(AND(V237="Low Difficulty - only applicable if all habitat created before losses ⚠",P237&gt;=O237),"Low",VLOOKUP(F237,'G-3 Multipliers'!$A$2:$E$134,4,FALSE))))</f>
        <v/>
      </c>
      <c r="X237" s="314" t="str">
        <f>IFERROR(IF(E237="","",VLOOKUP(W237, 'G-3 Multipliers'!$P$2:$Q$6,2,FALSE)),"")</f>
        <v/>
      </c>
      <c r="Y237" s="317" t="str">
        <f t="shared" si="23"/>
        <v/>
      </c>
      <c r="Z237" s="163"/>
      <c r="AA237" s="164"/>
      <c r="AB237" s="101"/>
      <c r="AE237" s="25" t="str">
        <f t="shared" si="19"/>
        <v/>
      </c>
    </row>
    <row r="238" spans="1:31" ht="14.5" thickBot="1" x14ac:dyDescent="0.35">
      <c r="A238" s="20" t="str">
        <f>IFERROR(INDEX('G-8 Condition Look up'!$I$4:$I$135,MATCH(F238,'G-8 Condition Look up'!$A$4:$A$135,0)),"")</f>
        <v/>
      </c>
      <c r="B238" s="679">
        <v>228</v>
      </c>
      <c r="C238" s="247" t="str">
        <f>IFERROR(INDEX('G-1 All Habitats'!$AG$25:$AG$41,MATCH(D238,'G-1 All Habitats'!AF$25:AF$41,0)),"")</f>
        <v/>
      </c>
      <c r="D238" s="38"/>
      <c r="E238" s="45"/>
      <c r="F238" s="244" t="str">
        <f>IFERROR(INDEX('G-1 All Habitats'!$B$3:$B$135,MATCH(E238,'G-1 All Habitats'!$A$3:$A$135,0)),"")</f>
        <v/>
      </c>
      <c r="G238" s="37"/>
      <c r="H238" s="290" t="str">
        <f>IF(F238="","",VLOOKUP(F238,'G-1 All Habitats'!$B$2:$M$135,10,FALSE))</f>
        <v/>
      </c>
      <c r="I238" s="291" t="str">
        <f>IFERROR(VLOOKUP(H238,'G-1 All Habitats'!$V$3:$W$7,2,FALSE),"")</f>
        <v/>
      </c>
      <c r="J238" s="38"/>
      <c r="K238" s="291" t="str">
        <f>IFERROR(INDEX('G-8 Condition Look up'!$A$3:$H$135,MATCH(F238,'G-8 Condition Look up'!$A$3:$A$135,0),MATCH(J238,'G-8 Condition Look up'!$A$3:$H$3,0)),"")</f>
        <v/>
      </c>
      <c r="L238" s="38"/>
      <c r="M238" s="298" t="str">
        <f>IF(L238="","",IF(VLOOKUP(L238,'G-3 Multipliers'!$L$3:$N$6,2,FALSE)=0,"Spatial Data Missing",VLOOKUP(L238,'G-3 Multipliers'!$L$3:$N$6,2,FALSE)))</f>
        <v/>
      </c>
      <c r="N238" s="296" t="str">
        <f>IF(L238="","",IF(VLOOKUP(L238,'G-3 Multipliers'!$L$3:$N$6,3,FALSE)=0,"Spatial Data Missing",VLOOKUP(L238,'G-3 Multipliers'!$L$3:$N$6,3,FALSE)))</f>
        <v/>
      </c>
      <c r="O238" s="290" t="str">
        <f t="shared" si="18"/>
        <v/>
      </c>
      <c r="P238" s="47"/>
      <c r="Q238" s="47"/>
      <c r="R238" s="298" t="str">
        <f t="shared" si="20"/>
        <v/>
      </c>
      <c r="S238" s="311" t="str">
        <f t="shared" si="21"/>
        <v/>
      </c>
      <c r="T238" s="312" t="str">
        <f>IFERROR(IF(S238="Check Data ⚠","Check Data ⚠",VLOOKUP(S238,'G-4 Temporal multipliers'!$A$4:$C$37,3,FALSE)),"")</f>
        <v/>
      </c>
      <c r="U238" s="313" t="str">
        <f>IF(F238="","",VLOOKUP(F238,'G-3 Multipliers'!$A$2:$E$134,2,FALSE))</f>
        <v/>
      </c>
      <c r="V238" s="310" t="str">
        <f t="shared" si="22"/>
        <v/>
      </c>
      <c r="W238" s="295" t="str">
        <f>IF(E238="","",IF(AND(V238="Standard difficulty applied",O238&gt;P238),U238,IF(AND(V238="Low Difficulty - only applicable if all habitat created before losses ⚠",P238&gt;=O238),"Low",VLOOKUP(F238,'G-3 Multipliers'!$A$2:$E$134,4,FALSE))))</f>
        <v/>
      </c>
      <c r="X238" s="314" t="str">
        <f>IFERROR(IF(E238="","",VLOOKUP(W238, 'G-3 Multipliers'!$P$2:$Q$6,2,FALSE)),"")</f>
        <v/>
      </c>
      <c r="Y238" s="317" t="str">
        <f t="shared" si="23"/>
        <v/>
      </c>
      <c r="Z238" s="163"/>
      <c r="AA238" s="164"/>
      <c r="AB238" s="101"/>
      <c r="AE238" s="25" t="str">
        <f t="shared" si="19"/>
        <v/>
      </c>
    </row>
    <row r="239" spans="1:31" ht="14.5" thickBot="1" x14ac:dyDescent="0.35">
      <c r="A239" s="20" t="str">
        <f>IFERROR(INDEX('G-8 Condition Look up'!$I$4:$I$135,MATCH(F239,'G-8 Condition Look up'!$A$4:$A$135,0)),"")</f>
        <v/>
      </c>
      <c r="B239" s="679">
        <v>229</v>
      </c>
      <c r="C239" s="247" t="str">
        <f>IFERROR(INDEX('G-1 All Habitats'!$AG$25:$AG$41,MATCH(D239,'G-1 All Habitats'!AF$25:AF$41,0)),"")</f>
        <v/>
      </c>
      <c r="D239" s="38"/>
      <c r="E239" s="45"/>
      <c r="F239" s="244" t="str">
        <f>IFERROR(INDEX('G-1 All Habitats'!$B$3:$B$135,MATCH(E239,'G-1 All Habitats'!$A$3:$A$135,0)),"")</f>
        <v/>
      </c>
      <c r="G239" s="37"/>
      <c r="H239" s="290" t="str">
        <f>IF(F239="","",VLOOKUP(F239,'G-1 All Habitats'!$B$2:$M$135,10,FALSE))</f>
        <v/>
      </c>
      <c r="I239" s="291" t="str">
        <f>IFERROR(VLOOKUP(H239,'G-1 All Habitats'!$V$3:$W$7,2,FALSE),"")</f>
        <v/>
      </c>
      <c r="J239" s="38"/>
      <c r="K239" s="291" t="str">
        <f>IFERROR(INDEX('G-8 Condition Look up'!$A$3:$H$135,MATCH(F239,'G-8 Condition Look up'!$A$3:$A$135,0),MATCH(J239,'G-8 Condition Look up'!$A$3:$H$3,0)),"")</f>
        <v/>
      </c>
      <c r="L239" s="38"/>
      <c r="M239" s="298" t="str">
        <f>IF(L239="","",IF(VLOOKUP(L239,'G-3 Multipliers'!$L$3:$N$6,2,FALSE)=0,"Spatial Data Missing",VLOOKUP(L239,'G-3 Multipliers'!$L$3:$N$6,2,FALSE)))</f>
        <v/>
      </c>
      <c r="N239" s="296" t="str">
        <f>IF(L239="","",IF(VLOOKUP(L239,'G-3 Multipliers'!$L$3:$N$6,3,FALSE)=0,"Spatial Data Missing",VLOOKUP(L239,'G-3 Multipliers'!$L$3:$N$6,3,FALSE)))</f>
        <v/>
      </c>
      <c r="O239" s="290" t="str">
        <f t="shared" si="18"/>
        <v/>
      </c>
      <c r="P239" s="47"/>
      <c r="Q239" s="47"/>
      <c r="R239" s="298" t="str">
        <f t="shared" si="20"/>
        <v/>
      </c>
      <c r="S239" s="311" t="str">
        <f t="shared" si="21"/>
        <v/>
      </c>
      <c r="T239" s="312" t="str">
        <f>IFERROR(IF(S239="Check Data ⚠","Check Data ⚠",VLOOKUP(S239,'G-4 Temporal multipliers'!$A$4:$C$37,3,FALSE)),"")</f>
        <v/>
      </c>
      <c r="U239" s="313" t="str">
        <f>IF(F239="","",VLOOKUP(F239,'G-3 Multipliers'!$A$2:$E$134,2,FALSE))</f>
        <v/>
      </c>
      <c r="V239" s="310" t="str">
        <f t="shared" si="22"/>
        <v/>
      </c>
      <c r="W239" s="295" t="str">
        <f>IF(E239="","",IF(AND(V239="Standard difficulty applied",O239&gt;P239),U239,IF(AND(V239="Low Difficulty - only applicable if all habitat created before losses ⚠",P239&gt;=O239),"Low",VLOOKUP(F239,'G-3 Multipliers'!$A$2:$E$134,4,FALSE))))</f>
        <v/>
      </c>
      <c r="X239" s="314" t="str">
        <f>IFERROR(IF(E239="","",VLOOKUP(W239, 'G-3 Multipliers'!$P$2:$Q$6,2,FALSE)),"")</f>
        <v/>
      </c>
      <c r="Y239" s="317" t="str">
        <f t="shared" si="23"/>
        <v/>
      </c>
      <c r="Z239" s="163"/>
      <c r="AA239" s="164"/>
      <c r="AB239" s="101"/>
      <c r="AE239" s="25" t="str">
        <f t="shared" si="19"/>
        <v/>
      </c>
    </row>
    <row r="240" spans="1:31" ht="14.5" thickBot="1" x14ac:dyDescent="0.35">
      <c r="A240" s="20" t="str">
        <f>IFERROR(INDEX('G-8 Condition Look up'!$I$4:$I$135,MATCH(F240,'G-8 Condition Look up'!$A$4:$A$135,0)),"")</f>
        <v/>
      </c>
      <c r="B240" s="679">
        <v>230</v>
      </c>
      <c r="C240" s="247" t="str">
        <f>IFERROR(INDEX('G-1 All Habitats'!$AG$25:$AG$41,MATCH(D240,'G-1 All Habitats'!AF$25:AF$41,0)),"")</f>
        <v/>
      </c>
      <c r="D240" s="38"/>
      <c r="E240" s="45"/>
      <c r="F240" s="244" t="str">
        <f>IFERROR(INDEX('G-1 All Habitats'!$B$3:$B$135,MATCH(E240,'G-1 All Habitats'!$A$3:$A$135,0)),"")</f>
        <v/>
      </c>
      <c r="G240" s="37"/>
      <c r="H240" s="290" t="str">
        <f>IF(F240="","",VLOOKUP(F240,'G-1 All Habitats'!$B$2:$M$135,10,FALSE))</f>
        <v/>
      </c>
      <c r="I240" s="291" t="str">
        <f>IFERROR(VLOOKUP(H240,'G-1 All Habitats'!$V$3:$W$7,2,FALSE),"")</f>
        <v/>
      </c>
      <c r="J240" s="38"/>
      <c r="K240" s="291" t="str">
        <f>IFERROR(INDEX('G-8 Condition Look up'!$A$3:$H$135,MATCH(F240,'G-8 Condition Look up'!$A$3:$A$135,0),MATCH(J240,'G-8 Condition Look up'!$A$3:$H$3,0)),"")</f>
        <v/>
      </c>
      <c r="L240" s="38"/>
      <c r="M240" s="298" t="str">
        <f>IF(L240="","",IF(VLOOKUP(L240,'G-3 Multipliers'!$L$3:$N$6,2,FALSE)=0,"Spatial Data Missing",VLOOKUP(L240,'G-3 Multipliers'!$L$3:$N$6,2,FALSE)))</f>
        <v/>
      </c>
      <c r="N240" s="296" t="str">
        <f>IF(L240="","",IF(VLOOKUP(L240,'G-3 Multipliers'!$L$3:$N$6,3,FALSE)=0,"Spatial Data Missing",VLOOKUP(L240,'G-3 Multipliers'!$L$3:$N$6,3,FALSE)))</f>
        <v/>
      </c>
      <c r="O240" s="290" t="str">
        <f t="shared" si="18"/>
        <v/>
      </c>
      <c r="P240" s="47"/>
      <c r="Q240" s="47"/>
      <c r="R240" s="298" t="str">
        <f t="shared" si="20"/>
        <v/>
      </c>
      <c r="S240" s="311" t="str">
        <f t="shared" si="21"/>
        <v/>
      </c>
      <c r="T240" s="312" t="str">
        <f>IFERROR(IF(S240="Check Data ⚠","Check Data ⚠",VLOOKUP(S240,'G-4 Temporal multipliers'!$A$4:$C$37,3,FALSE)),"")</f>
        <v/>
      </c>
      <c r="U240" s="313" t="str">
        <f>IF(F240="","",VLOOKUP(F240,'G-3 Multipliers'!$A$2:$E$134,2,FALSE))</f>
        <v/>
      </c>
      <c r="V240" s="310" t="str">
        <f t="shared" si="22"/>
        <v/>
      </c>
      <c r="W240" s="295" t="str">
        <f>IF(E240="","",IF(AND(V240="Standard difficulty applied",O240&gt;P240),U240,IF(AND(V240="Low Difficulty - only applicable if all habitat created before losses ⚠",P240&gt;=O240),"Low",VLOOKUP(F240,'G-3 Multipliers'!$A$2:$E$134,4,FALSE))))</f>
        <v/>
      </c>
      <c r="X240" s="314" t="str">
        <f>IFERROR(IF(E240="","",VLOOKUP(W240, 'G-3 Multipliers'!$P$2:$Q$6,2,FALSE)),"")</f>
        <v/>
      </c>
      <c r="Y240" s="317" t="str">
        <f t="shared" si="23"/>
        <v/>
      </c>
      <c r="Z240" s="163"/>
      <c r="AA240" s="164"/>
      <c r="AB240" s="101"/>
      <c r="AE240" s="25" t="str">
        <f t="shared" si="19"/>
        <v/>
      </c>
    </row>
    <row r="241" spans="1:31" ht="14.5" thickBot="1" x14ac:dyDescent="0.35">
      <c r="A241" s="20" t="str">
        <f>IFERROR(INDEX('G-8 Condition Look up'!$I$4:$I$135,MATCH(F241,'G-8 Condition Look up'!$A$4:$A$135,0)),"")</f>
        <v/>
      </c>
      <c r="B241" s="679">
        <v>231</v>
      </c>
      <c r="C241" s="247" t="str">
        <f>IFERROR(INDEX('G-1 All Habitats'!$AG$25:$AG$41,MATCH(D241,'G-1 All Habitats'!AF$25:AF$41,0)),"")</f>
        <v/>
      </c>
      <c r="D241" s="38"/>
      <c r="E241" s="45"/>
      <c r="F241" s="244" t="str">
        <f>IFERROR(INDEX('G-1 All Habitats'!$B$3:$B$135,MATCH(E241,'G-1 All Habitats'!$A$3:$A$135,0)),"")</f>
        <v/>
      </c>
      <c r="G241" s="37"/>
      <c r="H241" s="290" t="str">
        <f>IF(F241="","",VLOOKUP(F241,'G-1 All Habitats'!$B$2:$M$135,10,FALSE))</f>
        <v/>
      </c>
      <c r="I241" s="291" t="str">
        <f>IFERROR(VLOOKUP(H241,'G-1 All Habitats'!$V$3:$W$7,2,FALSE),"")</f>
        <v/>
      </c>
      <c r="J241" s="38"/>
      <c r="K241" s="291" t="str">
        <f>IFERROR(INDEX('G-8 Condition Look up'!$A$3:$H$135,MATCH(F241,'G-8 Condition Look up'!$A$3:$A$135,0),MATCH(J241,'G-8 Condition Look up'!$A$3:$H$3,0)),"")</f>
        <v/>
      </c>
      <c r="L241" s="38"/>
      <c r="M241" s="298" t="str">
        <f>IF(L241="","",IF(VLOOKUP(L241,'G-3 Multipliers'!$L$3:$N$6,2,FALSE)=0,"Spatial Data Missing",VLOOKUP(L241,'G-3 Multipliers'!$L$3:$N$6,2,FALSE)))</f>
        <v/>
      </c>
      <c r="N241" s="296" t="str">
        <f>IF(L241="","",IF(VLOOKUP(L241,'G-3 Multipliers'!$L$3:$N$6,3,FALSE)=0,"Spatial Data Missing",VLOOKUP(L241,'G-3 Multipliers'!$L$3:$N$6,3,FALSE)))</f>
        <v/>
      </c>
      <c r="O241" s="290" t="str">
        <f t="shared" si="18"/>
        <v/>
      </c>
      <c r="P241" s="47"/>
      <c r="Q241" s="47"/>
      <c r="R241" s="298" t="str">
        <f t="shared" si="20"/>
        <v/>
      </c>
      <c r="S241" s="311" t="str">
        <f t="shared" si="21"/>
        <v/>
      </c>
      <c r="T241" s="312" t="str">
        <f>IFERROR(IF(S241="Check Data ⚠","Check Data ⚠",VLOOKUP(S241,'G-4 Temporal multipliers'!$A$4:$C$37,3,FALSE)),"")</f>
        <v/>
      </c>
      <c r="U241" s="313" t="str">
        <f>IF(F241="","",VLOOKUP(F241,'G-3 Multipliers'!$A$2:$E$134,2,FALSE))</f>
        <v/>
      </c>
      <c r="V241" s="310" t="str">
        <f t="shared" si="22"/>
        <v/>
      </c>
      <c r="W241" s="295" t="str">
        <f>IF(E241="","",IF(AND(V241="Standard difficulty applied",O241&gt;P241),U241,IF(AND(V241="Low Difficulty - only applicable if all habitat created before losses ⚠",P241&gt;=O241),"Low",VLOOKUP(F241,'G-3 Multipliers'!$A$2:$E$134,4,FALSE))))</f>
        <v/>
      </c>
      <c r="X241" s="314" t="str">
        <f>IFERROR(IF(E241="","",VLOOKUP(W241, 'G-3 Multipliers'!$P$2:$Q$6,2,FALSE)),"")</f>
        <v/>
      </c>
      <c r="Y241" s="317" t="str">
        <f t="shared" si="23"/>
        <v/>
      </c>
      <c r="Z241" s="163"/>
      <c r="AA241" s="164"/>
      <c r="AB241" s="101"/>
      <c r="AE241" s="25" t="str">
        <f t="shared" si="19"/>
        <v/>
      </c>
    </row>
    <row r="242" spans="1:31" ht="14.5" thickBot="1" x14ac:dyDescent="0.35">
      <c r="A242" s="20" t="str">
        <f>IFERROR(INDEX('G-8 Condition Look up'!$I$4:$I$135,MATCH(F242,'G-8 Condition Look up'!$A$4:$A$135,0)),"")</f>
        <v/>
      </c>
      <c r="B242" s="679">
        <v>232</v>
      </c>
      <c r="C242" s="247" t="str">
        <f>IFERROR(INDEX('G-1 All Habitats'!$AG$25:$AG$41,MATCH(D242,'G-1 All Habitats'!AF$25:AF$41,0)),"")</f>
        <v/>
      </c>
      <c r="D242" s="38"/>
      <c r="E242" s="45"/>
      <c r="F242" s="244" t="str">
        <f>IFERROR(INDEX('G-1 All Habitats'!$B$3:$B$135,MATCH(E242,'G-1 All Habitats'!$A$3:$A$135,0)),"")</f>
        <v/>
      </c>
      <c r="G242" s="37"/>
      <c r="H242" s="290" t="str">
        <f>IF(F242="","",VLOOKUP(F242,'G-1 All Habitats'!$B$2:$M$135,10,FALSE))</f>
        <v/>
      </c>
      <c r="I242" s="291" t="str">
        <f>IFERROR(VLOOKUP(H242,'G-1 All Habitats'!$V$3:$W$7,2,FALSE),"")</f>
        <v/>
      </c>
      <c r="J242" s="38"/>
      <c r="K242" s="291" t="str">
        <f>IFERROR(INDEX('G-8 Condition Look up'!$A$3:$H$135,MATCH(F242,'G-8 Condition Look up'!$A$3:$A$135,0),MATCH(J242,'G-8 Condition Look up'!$A$3:$H$3,0)),"")</f>
        <v/>
      </c>
      <c r="L242" s="38"/>
      <c r="M242" s="298" t="str">
        <f>IF(L242="","",IF(VLOOKUP(L242,'G-3 Multipliers'!$L$3:$N$6,2,FALSE)=0,"Spatial Data Missing",VLOOKUP(L242,'G-3 Multipliers'!$L$3:$N$6,2,FALSE)))</f>
        <v/>
      </c>
      <c r="N242" s="296" t="str">
        <f>IF(L242="","",IF(VLOOKUP(L242,'G-3 Multipliers'!$L$3:$N$6,3,FALSE)=0,"Spatial Data Missing",VLOOKUP(L242,'G-3 Multipliers'!$L$3:$N$6,3,FALSE)))</f>
        <v/>
      </c>
      <c r="O242" s="290" t="str">
        <f t="shared" si="18"/>
        <v/>
      </c>
      <c r="P242" s="47"/>
      <c r="Q242" s="47"/>
      <c r="R242" s="298" t="str">
        <f t="shared" si="20"/>
        <v/>
      </c>
      <c r="S242" s="311" t="str">
        <f t="shared" si="21"/>
        <v/>
      </c>
      <c r="T242" s="312" t="str">
        <f>IFERROR(IF(S242="Check Data ⚠","Check Data ⚠",VLOOKUP(S242,'G-4 Temporal multipliers'!$A$4:$C$37,3,FALSE)),"")</f>
        <v/>
      </c>
      <c r="U242" s="313" t="str">
        <f>IF(F242="","",VLOOKUP(F242,'G-3 Multipliers'!$A$2:$E$134,2,FALSE))</f>
        <v/>
      </c>
      <c r="V242" s="310" t="str">
        <f t="shared" si="22"/>
        <v/>
      </c>
      <c r="W242" s="295" t="str">
        <f>IF(E242="","",IF(AND(V242="Standard difficulty applied",O242&gt;P242),U242,IF(AND(V242="Low Difficulty - only applicable if all habitat created before losses ⚠",P242&gt;=O242),"Low",VLOOKUP(F242,'G-3 Multipliers'!$A$2:$E$134,4,FALSE))))</f>
        <v/>
      </c>
      <c r="X242" s="314" t="str">
        <f>IFERROR(IF(E242="","",VLOOKUP(W242, 'G-3 Multipliers'!$P$2:$Q$6,2,FALSE)),"")</f>
        <v/>
      </c>
      <c r="Y242" s="317" t="str">
        <f t="shared" si="23"/>
        <v/>
      </c>
      <c r="Z242" s="163"/>
      <c r="AA242" s="164"/>
      <c r="AB242" s="101"/>
      <c r="AE242" s="25" t="str">
        <f t="shared" si="19"/>
        <v/>
      </c>
    </row>
    <row r="243" spans="1:31" ht="14.5" thickBot="1" x14ac:dyDescent="0.35">
      <c r="A243" s="20" t="str">
        <f>IFERROR(INDEX('G-8 Condition Look up'!$I$4:$I$135,MATCH(F243,'G-8 Condition Look up'!$A$4:$A$135,0)),"")</f>
        <v/>
      </c>
      <c r="B243" s="679">
        <v>233</v>
      </c>
      <c r="C243" s="247" t="str">
        <f>IFERROR(INDEX('G-1 All Habitats'!$AG$25:$AG$41,MATCH(D243,'G-1 All Habitats'!AF$25:AF$41,0)),"")</f>
        <v/>
      </c>
      <c r="D243" s="38"/>
      <c r="E243" s="45"/>
      <c r="F243" s="244" t="str">
        <f>IFERROR(INDEX('G-1 All Habitats'!$B$3:$B$135,MATCH(E243,'G-1 All Habitats'!$A$3:$A$135,0)),"")</f>
        <v/>
      </c>
      <c r="G243" s="37"/>
      <c r="H243" s="290" t="str">
        <f>IF(F243="","",VLOOKUP(F243,'G-1 All Habitats'!$B$2:$M$135,10,FALSE))</f>
        <v/>
      </c>
      <c r="I243" s="291" t="str">
        <f>IFERROR(VLOOKUP(H243,'G-1 All Habitats'!$V$3:$W$7,2,FALSE),"")</f>
        <v/>
      </c>
      <c r="J243" s="38"/>
      <c r="K243" s="291" t="str">
        <f>IFERROR(INDEX('G-8 Condition Look up'!$A$3:$H$135,MATCH(F243,'G-8 Condition Look up'!$A$3:$A$135,0),MATCH(J243,'G-8 Condition Look up'!$A$3:$H$3,0)),"")</f>
        <v/>
      </c>
      <c r="L243" s="38"/>
      <c r="M243" s="298" t="str">
        <f>IF(L243="","",IF(VLOOKUP(L243,'G-3 Multipliers'!$L$3:$N$6,2,FALSE)=0,"Spatial Data Missing",VLOOKUP(L243,'G-3 Multipliers'!$L$3:$N$6,2,FALSE)))</f>
        <v/>
      </c>
      <c r="N243" s="296" t="str">
        <f>IF(L243="","",IF(VLOOKUP(L243,'G-3 Multipliers'!$L$3:$N$6,3,FALSE)=0,"Spatial Data Missing",VLOOKUP(L243,'G-3 Multipliers'!$L$3:$N$6,3,FALSE)))</f>
        <v/>
      </c>
      <c r="O243" s="290" t="str">
        <f t="shared" si="18"/>
        <v/>
      </c>
      <c r="P243" s="47"/>
      <c r="Q243" s="47"/>
      <c r="R243" s="298" t="str">
        <f t="shared" si="20"/>
        <v/>
      </c>
      <c r="S243" s="311" t="str">
        <f t="shared" si="21"/>
        <v/>
      </c>
      <c r="T243" s="312" t="str">
        <f>IFERROR(IF(S243="Check Data ⚠","Check Data ⚠",VLOOKUP(S243,'G-4 Temporal multipliers'!$A$4:$C$37,3,FALSE)),"")</f>
        <v/>
      </c>
      <c r="U243" s="313" t="str">
        <f>IF(F243="","",VLOOKUP(F243,'G-3 Multipliers'!$A$2:$E$134,2,FALSE))</f>
        <v/>
      </c>
      <c r="V243" s="310" t="str">
        <f t="shared" si="22"/>
        <v/>
      </c>
      <c r="W243" s="295" t="str">
        <f>IF(E243="","",IF(AND(V243="Standard difficulty applied",O243&gt;P243),U243,IF(AND(V243="Low Difficulty - only applicable if all habitat created before losses ⚠",P243&gt;=O243),"Low",VLOOKUP(F243,'G-3 Multipliers'!$A$2:$E$134,4,FALSE))))</f>
        <v/>
      </c>
      <c r="X243" s="314" t="str">
        <f>IFERROR(IF(E243="","",VLOOKUP(W243, 'G-3 Multipliers'!$P$2:$Q$6,2,FALSE)),"")</f>
        <v/>
      </c>
      <c r="Y243" s="317" t="str">
        <f t="shared" si="23"/>
        <v/>
      </c>
      <c r="Z243" s="163"/>
      <c r="AA243" s="164"/>
      <c r="AB243" s="101"/>
      <c r="AE243" s="25" t="str">
        <f t="shared" si="19"/>
        <v/>
      </c>
    </row>
    <row r="244" spans="1:31" ht="14.5" thickBot="1" x14ac:dyDescent="0.35">
      <c r="A244" s="20" t="str">
        <f>IFERROR(INDEX('G-8 Condition Look up'!$I$4:$I$135,MATCH(F244,'G-8 Condition Look up'!$A$4:$A$135,0)),"")</f>
        <v/>
      </c>
      <c r="B244" s="679">
        <v>234</v>
      </c>
      <c r="C244" s="247" t="str">
        <f>IFERROR(INDEX('G-1 All Habitats'!$AG$25:$AG$41,MATCH(D244,'G-1 All Habitats'!AF$25:AF$41,0)),"")</f>
        <v/>
      </c>
      <c r="D244" s="38"/>
      <c r="E244" s="45"/>
      <c r="F244" s="244" t="str">
        <f>IFERROR(INDEX('G-1 All Habitats'!$B$3:$B$135,MATCH(E244,'G-1 All Habitats'!$A$3:$A$135,0)),"")</f>
        <v/>
      </c>
      <c r="G244" s="37"/>
      <c r="H244" s="290" t="str">
        <f>IF(F244="","",VLOOKUP(F244,'G-1 All Habitats'!$B$2:$M$135,10,FALSE))</f>
        <v/>
      </c>
      <c r="I244" s="291" t="str">
        <f>IFERROR(VLOOKUP(H244,'G-1 All Habitats'!$V$3:$W$7,2,FALSE),"")</f>
        <v/>
      </c>
      <c r="J244" s="38"/>
      <c r="K244" s="291" t="str">
        <f>IFERROR(INDEX('G-8 Condition Look up'!$A$3:$H$135,MATCH(F244,'G-8 Condition Look up'!$A$3:$A$135,0),MATCH(J244,'G-8 Condition Look up'!$A$3:$H$3,0)),"")</f>
        <v/>
      </c>
      <c r="L244" s="38"/>
      <c r="M244" s="298" t="str">
        <f>IF(L244="","",IF(VLOOKUP(L244,'G-3 Multipliers'!$L$3:$N$6,2,FALSE)=0,"Spatial Data Missing",VLOOKUP(L244,'G-3 Multipliers'!$L$3:$N$6,2,FALSE)))</f>
        <v/>
      </c>
      <c r="N244" s="296" t="str">
        <f>IF(L244="","",IF(VLOOKUP(L244,'G-3 Multipliers'!$L$3:$N$6,3,FALSE)=0,"Spatial Data Missing",VLOOKUP(L244,'G-3 Multipliers'!$L$3:$N$6,3,FALSE)))</f>
        <v/>
      </c>
      <c r="O244" s="290" t="str">
        <f t="shared" si="18"/>
        <v/>
      </c>
      <c r="P244" s="47"/>
      <c r="Q244" s="47"/>
      <c r="R244" s="298" t="str">
        <f t="shared" si="20"/>
        <v/>
      </c>
      <c r="S244" s="311" t="str">
        <f t="shared" si="21"/>
        <v/>
      </c>
      <c r="T244" s="312" t="str">
        <f>IFERROR(IF(S244="Check Data ⚠","Check Data ⚠",VLOOKUP(S244,'G-4 Temporal multipliers'!$A$4:$C$37,3,FALSE)),"")</f>
        <v/>
      </c>
      <c r="U244" s="313" t="str">
        <f>IF(F244="","",VLOOKUP(F244,'G-3 Multipliers'!$A$2:$E$134,2,FALSE))</f>
        <v/>
      </c>
      <c r="V244" s="310" t="str">
        <f t="shared" si="22"/>
        <v/>
      </c>
      <c r="W244" s="295" t="str">
        <f>IF(E244="","",IF(AND(V244="Standard difficulty applied",O244&gt;P244),U244,IF(AND(V244="Low Difficulty - only applicable if all habitat created before losses ⚠",P244&gt;=O244),"Low",VLOOKUP(F244,'G-3 Multipliers'!$A$2:$E$134,4,FALSE))))</f>
        <v/>
      </c>
      <c r="X244" s="314" t="str">
        <f>IFERROR(IF(E244="","",VLOOKUP(W244, 'G-3 Multipliers'!$P$2:$Q$6,2,FALSE)),"")</f>
        <v/>
      </c>
      <c r="Y244" s="317" t="str">
        <f t="shared" si="23"/>
        <v/>
      </c>
      <c r="Z244" s="163"/>
      <c r="AA244" s="164"/>
      <c r="AB244" s="101"/>
      <c r="AE244" s="25" t="str">
        <f t="shared" si="19"/>
        <v/>
      </c>
    </row>
    <row r="245" spans="1:31" ht="14.5" thickBot="1" x14ac:dyDescent="0.35">
      <c r="A245" s="20" t="str">
        <f>IFERROR(INDEX('G-8 Condition Look up'!$I$4:$I$135,MATCH(F245,'G-8 Condition Look up'!$A$4:$A$135,0)),"")</f>
        <v/>
      </c>
      <c r="B245" s="679">
        <v>235</v>
      </c>
      <c r="C245" s="247" t="str">
        <f>IFERROR(INDEX('G-1 All Habitats'!$AG$25:$AG$41,MATCH(D245,'G-1 All Habitats'!AF$25:AF$41,0)),"")</f>
        <v/>
      </c>
      <c r="D245" s="38"/>
      <c r="E245" s="45"/>
      <c r="F245" s="244" t="str">
        <f>IFERROR(INDEX('G-1 All Habitats'!$B$3:$B$135,MATCH(E245,'G-1 All Habitats'!$A$3:$A$135,0)),"")</f>
        <v/>
      </c>
      <c r="G245" s="37"/>
      <c r="H245" s="290" t="str">
        <f>IF(F245="","",VLOOKUP(F245,'G-1 All Habitats'!$B$2:$M$135,10,FALSE))</f>
        <v/>
      </c>
      <c r="I245" s="291" t="str">
        <f>IFERROR(VLOOKUP(H245,'G-1 All Habitats'!$V$3:$W$7,2,FALSE),"")</f>
        <v/>
      </c>
      <c r="J245" s="38"/>
      <c r="K245" s="291" t="str">
        <f>IFERROR(INDEX('G-8 Condition Look up'!$A$3:$H$135,MATCH(F245,'G-8 Condition Look up'!$A$3:$A$135,0),MATCH(J245,'G-8 Condition Look up'!$A$3:$H$3,0)),"")</f>
        <v/>
      </c>
      <c r="L245" s="38"/>
      <c r="M245" s="298" t="str">
        <f>IF(L245="","",IF(VLOOKUP(L245,'G-3 Multipliers'!$L$3:$N$6,2,FALSE)=0,"Spatial Data Missing",VLOOKUP(L245,'G-3 Multipliers'!$L$3:$N$6,2,FALSE)))</f>
        <v/>
      </c>
      <c r="N245" s="296" t="str">
        <f>IF(L245="","",IF(VLOOKUP(L245,'G-3 Multipliers'!$L$3:$N$6,3,FALSE)=0,"Spatial Data Missing",VLOOKUP(L245,'G-3 Multipliers'!$L$3:$N$6,3,FALSE)))</f>
        <v/>
      </c>
      <c r="O245" s="290" t="str">
        <f t="shared" si="18"/>
        <v/>
      </c>
      <c r="P245" s="47"/>
      <c r="Q245" s="47"/>
      <c r="R245" s="298" t="str">
        <f t="shared" si="20"/>
        <v/>
      </c>
      <c r="S245" s="311" t="str">
        <f t="shared" si="21"/>
        <v/>
      </c>
      <c r="T245" s="312" t="str">
        <f>IFERROR(IF(S245="Check Data ⚠","Check Data ⚠",VLOOKUP(S245,'G-4 Temporal multipliers'!$A$4:$C$37,3,FALSE)),"")</f>
        <v/>
      </c>
      <c r="U245" s="313" t="str">
        <f>IF(F245="","",VLOOKUP(F245,'G-3 Multipliers'!$A$2:$E$134,2,FALSE))</f>
        <v/>
      </c>
      <c r="V245" s="310" t="str">
        <f t="shared" si="22"/>
        <v/>
      </c>
      <c r="W245" s="295" t="str">
        <f>IF(E245="","",IF(AND(V245="Standard difficulty applied",O245&gt;P245),U245,IF(AND(V245="Low Difficulty - only applicable if all habitat created before losses ⚠",P245&gt;=O245),"Low",VLOOKUP(F245,'G-3 Multipliers'!$A$2:$E$134,4,FALSE))))</f>
        <v/>
      </c>
      <c r="X245" s="314" t="str">
        <f>IFERROR(IF(E245="","",VLOOKUP(W245, 'G-3 Multipliers'!$P$2:$Q$6,2,FALSE)),"")</f>
        <v/>
      </c>
      <c r="Y245" s="317" t="str">
        <f t="shared" si="23"/>
        <v/>
      </c>
      <c r="Z245" s="163"/>
      <c r="AA245" s="164"/>
      <c r="AB245" s="101"/>
      <c r="AE245" s="25" t="str">
        <f t="shared" si="19"/>
        <v/>
      </c>
    </row>
    <row r="246" spans="1:31" ht="14.5" thickBot="1" x14ac:dyDescent="0.35">
      <c r="A246" s="20" t="str">
        <f>IFERROR(INDEX('G-8 Condition Look up'!$I$4:$I$135,MATCH(F246,'G-8 Condition Look up'!$A$4:$A$135,0)),"")</f>
        <v/>
      </c>
      <c r="B246" s="679">
        <v>236</v>
      </c>
      <c r="C246" s="247" t="str">
        <f>IFERROR(INDEX('G-1 All Habitats'!$AG$25:$AG$41,MATCH(D246,'G-1 All Habitats'!AF$25:AF$41,0)),"")</f>
        <v/>
      </c>
      <c r="D246" s="38"/>
      <c r="E246" s="45"/>
      <c r="F246" s="244" t="str">
        <f>IFERROR(INDEX('G-1 All Habitats'!$B$3:$B$135,MATCH(E246,'G-1 All Habitats'!$A$3:$A$135,0)),"")</f>
        <v/>
      </c>
      <c r="G246" s="37"/>
      <c r="H246" s="290" t="str">
        <f>IF(F246="","",VLOOKUP(F246,'G-1 All Habitats'!$B$2:$M$135,10,FALSE))</f>
        <v/>
      </c>
      <c r="I246" s="291" t="str">
        <f>IFERROR(VLOOKUP(H246,'G-1 All Habitats'!$V$3:$W$7,2,FALSE),"")</f>
        <v/>
      </c>
      <c r="J246" s="38"/>
      <c r="K246" s="291" t="str">
        <f>IFERROR(INDEX('G-8 Condition Look up'!$A$3:$H$135,MATCH(F246,'G-8 Condition Look up'!$A$3:$A$135,0),MATCH(J246,'G-8 Condition Look up'!$A$3:$H$3,0)),"")</f>
        <v/>
      </c>
      <c r="L246" s="38"/>
      <c r="M246" s="298" t="str">
        <f>IF(L246="","",IF(VLOOKUP(L246,'G-3 Multipliers'!$L$3:$N$6,2,FALSE)=0,"Spatial Data Missing",VLOOKUP(L246,'G-3 Multipliers'!$L$3:$N$6,2,FALSE)))</f>
        <v/>
      </c>
      <c r="N246" s="296" t="str">
        <f>IF(L246="","",IF(VLOOKUP(L246,'G-3 Multipliers'!$L$3:$N$6,3,FALSE)=0,"Spatial Data Missing",VLOOKUP(L246,'G-3 Multipliers'!$L$3:$N$6,3,FALSE)))</f>
        <v/>
      </c>
      <c r="O246" s="290" t="str">
        <f t="shared" si="18"/>
        <v/>
      </c>
      <c r="P246" s="47"/>
      <c r="Q246" s="47"/>
      <c r="R246" s="298" t="str">
        <f t="shared" si="20"/>
        <v/>
      </c>
      <c r="S246" s="311" t="str">
        <f t="shared" si="21"/>
        <v/>
      </c>
      <c r="T246" s="312" t="str">
        <f>IFERROR(IF(S246="Check Data ⚠","Check Data ⚠",VLOOKUP(S246,'G-4 Temporal multipliers'!$A$4:$C$37,3,FALSE)),"")</f>
        <v/>
      </c>
      <c r="U246" s="313" t="str">
        <f>IF(F246="","",VLOOKUP(F246,'G-3 Multipliers'!$A$2:$E$134,2,FALSE))</f>
        <v/>
      </c>
      <c r="V246" s="310" t="str">
        <f t="shared" si="22"/>
        <v/>
      </c>
      <c r="W246" s="295" t="str">
        <f>IF(E246="","",IF(AND(V246="Standard difficulty applied",O246&gt;P246),U246,IF(AND(V246="Low Difficulty - only applicable if all habitat created before losses ⚠",P246&gt;=O246),"Low",VLOOKUP(F246,'G-3 Multipliers'!$A$2:$E$134,4,FALSE))))</f>
        <v/>
      </c>
      <c r="X246" s="314" t="str">
        <f>IFERROR(IF(E246="","",VLOOKUP(W246, 'G-3 Multipliers'!$P$2:$Q$6,2,FALSE)),"")</f>
        <v/>
      </c>
      <c r="Y246" s="317" t="str">
        <f t="shared" si="23"/>
        <v/>
      </c>
      <c r="Z246" s="163"/>
      <c r="AA246" s="164"/>
      <c r="AB246" s="101"/>
      <c r="AE246" s="25" t="str">
        <f t="shared" si="19"/>
        <v/>
      </c>
    </row>
    <row r="247" spans="1:31" ht="14.5" thickBot="1" x14ac:dyDescent="0.35">
      <c r="A247" s="20" t="str">
        <f>IFERROR(INDEX('G-8 Condition Look up'!$I$4:$I$135,MATCH(F247,'G-8 Condition Look up'!$A$4:$A$135,0)),"")</f>
        <v/>
      </c>
      <c r="B247" s="679">
        <v>237</v>
      </c>
      <c r="C247" s="247" t="str">
        <f>IFERROR(INDEX('G-1 All Habitats'!$AG$25:$AG$41,MATCH(D247,'G-1 All Habitats'!AF$25:AF$41,0)),"")</f>
        <v/>
      </c>
      <c r="D247" s="38"/>
      <c r="E247" s="45"/>
      <c r="F247" s="244" t="str">
        <f>IFERROR(INDEX('G-1 All Habitats'!$B$3:$B$135,MATCH(E247,'G-1 All Habitats'!$A$3:$A$135,0)),"")</f>
        <v/>
      </c>
      <c r="G247" s="37"/>
      <c r="H247" s="290" t="str">
        <f>IF(F247="","",VLOOKUP(F247,'G-1 All Habitats'!$B$2:$M$135,10,FALSE))</f>
        <v/>
      </c>
      <c r="I247" s="291" t="str">
        <f>IFERROR(VLOOKUP(H247,'G-1 All Habitats'!$V$3:$W$7,2,FALSE),"")</f>
        <v/>
      </c>
      <c r="J247" s="38"/>
      <c r="K247" s="291" t="str">
        <f>IFERROR(INDEX('G-8 Condition Look up'!$A$3:$H$135,MATCH(F247,'G-8 Condition Look up'!$A$3:$A$135,0),MATCH(J247,'G-8 Condition Look up'!$A$3:$H$3,0)),"")</f>
        <v/>
      </c>
      <c r="L247" s="38"/>
      <c r="M247" s="298" t="str">
        <f>IF(L247="","",IF(VLOOKUP(L247,'G-3 Multipliers'!$L$3:$N$6,2,FALSE)=0,"Spatial Data Missing",VLOOKUP(L247,'G-3 Multipliers'!$L$3:$N$6,2,FALSE)))</f>
        <v/>
      </c>
      <c r="N247" s="296" t="str">
        <f>IF(L247="","",IF(VLOOKUP(L247,'G-3 Multipliers'!$L$3:$N$6,3,FALSE)=0,"Spatial Data Missing",VLOOKUP(L247,'G-3 Multipliers'!$L$3:$N$6,3,FALSE)))</f>
        <v/>
      </c>
      <c r="O247" s="290" t="str">
        <f t="shared" si="18"/>
        <v/>
      </c>
      <c r="P247" s="47"/>
      <c r="Q247" s="47"/>
      <c r="R247" s="298" t="str">
        <f t="shared" si="20"/>
        <v/>
      </c>
      <c r="S247" s="311" t="str">
        <f t="shared" si="21"/>
        <v/>
      </c>
      <c r="T247" s="312" t="str">
        <f>IFERROR(IF(S247="Check Data ⚠","Check Data ⚠",VLOOKUP(S247,'G-4 Temporal multipliers'!$A$4:$C$37,3,FALSE)),"")</f>
        <v/>
      </c>
      <c r="U247" s="313" t="str">
        <f>IF(F247="","",VLOOKUP(F247,'G-3 Multipliers'!$A$2:$E$134,2,FALSE))</f>
        <v/>
      </c>
      <c r="V247" s="310" t="str">
        <f t="shared" si="22"/>
        <v/>
      </c>
      <c r="W247" s="295" t="str">
        <f>IF(E247="","",IF(AND(V247="Standard difficulty applied",O247&gt;P247),U247,IF(AND(V247="Low Difficulty - only applicable if all habitat created before losses ⚠",P247&gt;=O247),"Low",VLOOKUP(F247,'G-3 Multipliers'!$A$2:$E$134,4,FALSE))))</f>
        <v/>
      </c>
      <c r="X247" s="314" t="str">
        <f>IFERROR(IF(E247="","",VLOOKUP(W247, 'G-3 Multipliers'!$P$2:$Q$6,2,FALSE)),"")</f>
        <v/>
      </c>
      <c r="Y247" s="317" t="str">
        <f t="shared" si="23"/>
        <v/>
      </c>
      <c r="Z247" s="163"/>
      <c r="AA247" s="164"/>
      <c r="AB247" s="101"/>
      <c r="AE247" s="25" t="str">
        <f t="shared" si="19"/>
        <v/>
      </c>
    </row>
    <row r="248" spans="1:31" ht="14.5" thickBot="1" x14ac:dyDescent="0.35">
      <c r="A248" s="20" t="str">
        <f>IFERROR(INDEX('G-8 Condition Look up'!$I$4:$I$135,MATCH(F248,'G-8 Condition Look up'!$A$4:$A$135,0)),"")</f>
        <v/>
      </c>
      <c r="B248" s="679">
        <v>238</v>
      </c>
      <c r="C248" s="247" t="str">
        <f>IFERROR(INDEX('G-1 All Habitats'!$AG$25:$AG$41,MATCH(D248,'G-1 All Habitats'!AF$25:AF$41,0)),"")</f>
        <v/>
      </c>
      <c r="D248" s="38"/>
      <c r="E248" s="45"/>
      <c r="F248" s="244" t="str">
        <f>IFERROR(INDEX('G-1 All Habitats'!$B$3:$B$135,MATCH(E248,'G-1 All Habitats'!$A$3:$A$135,0)),"")</f>
        <v/>
      </c>
      <c r="G248" s="37"/>
      <c r="H248" s="290" t="str">
        <f>IF(F248="","",VLOOKUP(F248,'G-1 All Habitats'!$B$2:$M$135,10,FALSE))</f>
        <v/>
      </c>
      <c r="I248" s="291" t="str">
        <f>IFERROR(VLOOKUP(H248,'G-1 All Habitats'!$V$3:$W$7,2,FALSE),"")</f>
        <v/>
      </c>
      <c r="J248" s="38"/>
      <c r="K248" s="291" t="str">
        <f>IFERROR(INDEX('G-8 Condition Look up'!$A$3:$H$135,MATCH(F248,'G-8 Condition Look up'!$A$3:$A$135,0),MATCH(J248,'G-8 Condition Look up'!$A$3:$H$3,0)),"")</f>
        <v/>
      </c>
      <c r="L248" s="38"/>
      <c r="M248" s="298" t="str">
        <f>IF(L248="","",IF(VLOOKUP(L248,'G-3 Multipliers'!$L$3:$N$6,2,FALSE)=0,"Spatial Data Missing",VLOOKUP(L248,'G-3 Multipliers'!$L$3:$N$6,2,FALSE)))</f>
        <v/>
      </c>
      <c r="N248" s="296" t="str">
        <f>IF(L248="","",IF(VLOOKUP(L248,'G-3 Multipliers'!$L$3:$N$6,3,FALSE)=0,"Spatial Data Missing",VLOOKUP(L248,'G-3 Multipliers'!$L$3:$N$6,3,FALSE)))</f>
        <v/>
      </c>
      <c r="O248" s="290" t="str">
        <f t="shared" si="18"/>
        <v/>
      </c>
      <c r="P248" s="47"/>
      <c r="Q248" s="47"/>
      <c r="R248" s="298" t="str">
        <f t="shared" si="20"/>
        <v/>
      </c>
      <c r="S248" s="311" t="str">
        <f t="shared" si="21"/>
        <v/>
      </c>
      <c r="T248" s="312" t="str">
        <f>IFERROR(IF(S248="Check Data ⚠","Check Data ⚠",VLOOKUP(S248,'G-4 Temporal multipliers'!$A$4:$C$37,3,FALSE)),"")</f>
        <v/>
      </c>
      <c r="U248" s="313" t="str">
        <f>IF(F248="","",VLOOKUP(F248,'G-3 Multipliers'!$A$2:$E$134,2,FALSE))</f>
        <v/>
      </c>
      <c r="V248" s="310" t="str">
        <f t="shared" si="22"/>
        <v/>
      </c>
      <c r="W248" s="295" t="str">
        <f>IF(E248="","",IF(AND(V248="Standard difficulty applied",O248&gt;P248),U248,IF(AND(V248="Low Difficulty - only applicable if all habitat created before losses ⚠",P248&gt;=O248),"Low",VLOOKUP(F248,'G-3 Multipliers'!$A$2:$E$134,4,FALSE))))</f>
        <v/>
      </c>
      <c r="X248" s="314" t="str">
        <f>IFERROR(IF(E248="","",VLOOKUP(W248, 'G-3 Multipliers'!$P$2:$Q$6,2,FALSE)),"")</f>
        <v/>
      </c>
      <c r="Y248" s="317" t="str">
        <f t="shared" si="23"/>
        <v/>
      </c>
      <c r="Z248" s="163"/>
      <c r="AA248" s="164"/>
      <c r="AB248" s="101"/>
      <c r="AE248" s="25" t="str">
        <f t="shared" si="19"/>
        <v/>
      </c>
    </row>
    <row r="249" spans="1:31" ht="14.5" thickBot="1" x14ac:dyDescent="0.35">
      <c r="A249" s="20" t="str">
        <f>IFERROR(INDEX('G-8 Condition Look up'!$I$4:$I$135,MATCH(F249,'G-8 Condition Look up'!$A$4:$A$135,0)),"")</f>
        <v/>
      </c>
      <c r="B249" s="679">
        <v>239</v>
      </c>
      <c r="C249" s="247" t="str">
        <f>IFERROR(INDEX('G-1 All Habitats'!$AG$25:$AG$41,MATCH(D249,'G-1 All Habitats'!AF$25:AF$41,0)),"")</f>
        <v/>
      </c>
      <c r="D249" s="38"/>
      <c r="E249" s="45"/>
      <c r="F249" s="244" t="str">
        <f>IFERROR(INDEX('G-1 All Habitats'!$B$3:$B$135,MATCH(E249,'G-1 All Habitats'!$A$3:$A$135,0)),"")</f>
        <v/>
      </c>
      <c r="G249" s="37"/>
      <c r="H249" s="290" t="str">
        <f>IF(F249="","",VLOOKUP(F249,'G-1 All Habitats'!$B$2:$M$135,10,FALSE))</f>
        <v/>
      </c>
      <c r="I249" s="291" t="str">
        <f>IFERROR(VLOOKUP(H249,'G-1 All Habitats'!$V$3:$W$7,2,FALSE),"")</f>
        <v/>
      </c>
      <c r="J249" s="38"/>
      <c r="K249" s="291" t="str">
        <f>IFERROR(INDEX('G-8 Condition Look up'!$A$3:$H$135,MATCH(F249,'G-8 Condition Look up'!$A$3:$A$135,0),MATCH(J249,'G-8 Condition Look up'!$A$3:$H$3,0)),"")</f>
        <v/>
      </c>
      <c r="L249" s="38"/>
      <c r="M249" s="298" t="str">
        <f>IF(L249="","",IF(VLOOKUP(L249,'G-3 Multipliers'!$L$3:$N$6,2,FALSE)=0,"Spatial Data Missing",VLOOKUP(L249,'G-3 Multipliers'!$L$3:$N$6,2,FALSE)))</f>
        <v/>
      </c>
      <c r="N249" s="296" t="str">
        <f>IF(L249="","",IF(VLOOKUP(L249,'G-3 Multipliers'!$L$3:$N$6,3,FALSE)=0,"Spatial Data Missing",VLOOKUP(L249,'G-3 Multipliers'!$L$3:$N$6,3,FALSE)))</f>
        <v/>
      </c>
      <c r="O249" s="290" t="str">
        <f t="shared" si="18"/>
        <v/>
      </c>
      <c r="P249" s="47"/>
      <c r="Q249" s="47"/>
      <c r="R249" s="298" t="str">
        <f t="shared" si="20"/>
        <v/>
      </c>
      <c r="S249" s="311" t="str">
        <f t="shared" si="21"/>
        <v/>
      </c>
      <c r="T249" s="312" t="str">
        <f>IFERROR(IF(S249="Check Data ⚠","Check Data ⚠",VLOOKUP(S249,'G-4 Temporal multipliers'!$A$4:$C$37,3,FALSE)),"")</f>
        <v/>
      </c>
      <c r="U249" s="313" t="str">
        <f>IF(F249="","",VLOOKUP(F249,'G-3 Multipliers'!$A$2:$E$134,2,FALSE))</f>
        <v/>
      </c>
      <c r="V249" s="310" t="str">
        <f t="shared" si="22"/>
        <v/>
      </c>
      <c r="W249" s="295" t="str">
        <f>IF(E249="","",IF(AND(V249="Standard difficulty applied",O249&gt;P249),U249,IF(AND(V249="Low Difficulty - only applicable if all habitat created before losses ⚠",P249&gt;=O249),"Low",VLOOKUP(F249,'G-3 Multipliers'!$A$2:$E$134,4,FALSE))))</f>
        <v/>
      </c>
      <c r="X249" s="314" t="str">
        <f>IFERROR(IF(E249="","",VLOOKUP(W249, 'G-3 Multipliers'!$P$2:$Q$6,2,FALSE)),"")</f>
        <v/>
      </c>
      <c r="Y249" s="317" t="str">
        <f t="shared" si="23"/>
        <v/>
      </c>
      <c r="Z249" s="163"/>
      <c r="AA249" s="164"/>
      <c r="AB249" s="101"/>
      <c r="AE249" s="25" t="str">
        <f t="shared" si="19"/>
        <v/>
      </c>
    </row>
    <row r="250" spans="1:31" ht="14.5" thickBot="1" x14ac:dyDescent="0.35">
      <c r="A250" s="20" t="str">
        <f>IFERROR(INDEX('G-8 Condition Look up'!$I$4:$I$135,MATCH(F250,'G-8 Condition Look up'!$A$4:$A$135,0)),"")</f>
        <v/>
      </c>
      <c r="B250" s="679">
        <v>240</v>
      </c>
      <c r="C250" s="247" t="str">
        <f>IFERROR(INDEX('G-1 All Habitats'!$AG$25:$AG$41,MATCH(D250,'G-1 All Habitats'!AF$25:AF$41,0)),"")</f>
        <v/>
      </c>
      <c r="D250" s="38"/>
      <c r="E250" s="45"/>
      <c r="F250" s="244" t="str">
        <f>IFERROR(INDEX('G-1 All Habitats'!$B$3:$B$135,MATCH(E250,'G-1 All Habitats'!$A$3:$A$135,0)),"")</f>
        <v/>
      </c>
      <c r="G250" s="37"/>
      <c r="H250" s="290" t="str">
        <f>IF(F250="","",VLOOKUP(F250,'G-1 All Habitats'!$B$2:$M$135,10,FALSE))</f>
        <v/>
      </c>
      <c r="I250" s="291" t="str">
        <f>IFERROR(VLOOKUP(H250,'G-1 All Habitats'!$V$3:$W$7,2,FALSE),"")</f>
        <v/>
      </c>
      <c r="J250" s="38"/>
      <c r="K250" s="291" t="str">
        <f>IFERROR(INDEX('G-8 Condition Look up'!$A$3:$H$135,MATCH(F250,'G-8 Condition Look up'!$A$3:$A$135,0),MATCH(J250,'G-8 Condition Look up'!$A$3:$H$3,0)),"")</f>
        <v/>
      </c>
      <c r="L250" s="38"/>
      <c r="M250" s="298" t="str">
        <f>IF(L250="","",IF(VLOOKUP(L250,'G-3 Multipliers'!$L$3:$N$6,2,FALSE)=0,"Spatial Data Missing",VLOOKUP(L250,'G-3 Multipliers'!$L$3:$N$6,2,FALSE)))</f>
        <v/>
      </c>
      <c r="N250" s="296" t="str">
        <f>IF(L250="","",IF(VLOOKUP(L250,'G-3 Multipliers'!$L$3:$N$6,3,FALSE)=0,"Spatial Data Missing",VLOOKUP(L250,'G-3 Multipliers'!$L$3:$N$6,3,FALSE)))</f>
        <v/>
      </c>
      <c r="O250" s="290" t="str">
        <f t="shared" si="18"/>
        <v/>
      </c>
      <c r="P250" s="47"/>
      <c r="Q250" s="47"/>
      <c r="R250" s="298" t="str">
        <f t="shared" si="20"/>
        <v/>
      </c>
      <c r="S250" s="311" t="str">
        <f t="shared" si="21"/>
        <v/>
      </c>
      <c r="T250" s="312" t="str">
        <f>IFERROR(IF(S250="Check Data ⚠","Check Data ⚠",VLOOKUP(S250,'G-4 Temporal multipliers'!$A$4:$C$37,3,FALSE)),"")</f>
        <v/>
      </c>
      <c r="U250" s="313" t="str">
        <f>IF(F250="","",VLOOKUP(F250,'G-3 Multipliers'!$A$2:$E$134,2,FALSE))</f>
        <v/>
      </c>
      <c r="V250" s="310" t="str">
        <f t="shared" si="22"/>
        <v/>
      </c>
      <c r="W250" s="295" t="str">
        <f>IF(E250="","",IF(AND(V250="Standard difficulty applied",O250&gt;P250),U250,IF(AND(V250="Low Difficulty - only applicable if all habitat created before losses ⚠",P250&gt;=O250),"Low",VLOOKUP(F250,'G-3 Multipliers'!$A$2:$E$134,4,FALSE))))</f>
        <v/>
      </c>
      <c r="X250" s="314" t="str">
        <f>IFERROR(IF(E250="","",VLOOKUP(W250, 'G-3 Multipliers'!$P$2:$Q$6,2,FALSE)),"")</f>
        <v/>
      </c>
      <c r="Y250" s="317" t="str">
        <f t="shared" si="23"/>
        <v/>
      </c>
      <c r="Z250" s="163"/>
      <c r="AA250" s="164"/>
      <c r="AB250" s="101"/>
      <c r="AE250" s="25" t="str">
        <f t="shared" si="19"/>
        <v/>
      </c>
    </row>
    <row r="251" spans="1:31" ht="14.5" thickBot="1" x14ac:dyDescent="0.35">
      <c r="A251" s="20" t="str">
        <f>IFERROR(INDEX('G-8 Condition Look up'!$I$4:$I$135,MATCH(F251,'G-8 Condition Look up'!$A$4:$A$135,0)),"")</f>
        <v/>
      </c>
      <c r="B251" s="679">
        <v>241</v>
      </c>
      <c r="C251" s="247" t="str">
        <f>IFERROR(INDEX('G-1 All Habitats'!$AG$25:$AG$41,MATCH(D251,'G-1 All Habitats'!AF$25:AF$41,0)),"")</f>
        <v/>
      </c>
      <c r="D251" s="38"/>
      <c r="E251" s="45"/>
      <c r="F251" s="244" t="str">
        <f>IFERROR(INDEX('G-1 All Habitats'!$B$3:$B$135,MATCH(E251,'G-1 All Habitats'!$A$3:$A$135,0)),"")</f>
        <v/>
      </c>
      <c r="G251" s="37"/>
      <c r="H251" s="290" t="str">
        <f>IF(F251="","",VLOOKUP(F251,'G-1 All Habitats'!$B$2:$M$135,10,FALSE))</f>
        <v/>
      </c>
      <c r="I251" s="291" t="str">
        <f>IFERROR(VLOOKUP(H251,'G-1 All Habitats'!$V$3:$W$7,2,FALSE),"")</f>
        <v/>
      </c>
      <c r="J251" s="38"/>
      <c r="K251" s="291" t="str">
        <f>IFERROR(INDEX('G-8 Condition Look up'!$A$3:$H$135,MATCH(F251,'G-8 Condition Look up'!$A$3:$A$135,0),MATCH(J251,'G-8 Condition Look up'!$A$3:$H$3,0)),"")</f>
        <v/>
      </c>
      <c r="L251" s="38"/>
      <c r="M251" s="298" t="str">
        <f>IF(L251="","",IF(VLOOKUP(L251,'G-3 Multipliers'!$L$3:$N$6,2,FALSE)=0,"Spatial Data Missing",VLOOKUP(L251,'G-3 Multipliers'!$L$3:$N$6,2,FALSE)))</f>
        <v/>
      </c>
      <c r="N251" s="296" t="str">
        <f>IF(L251="","",IF(VLOOKUP(L251,'G-3 Multipliers'!$L$3:$N$6,3,FALSE)=0,"Spatial Data Missing",VLOOKUP(L251,'G-3 Multipliers'!$L$3:$N$6,3,FALSE)))</f>
        <v/>
      </c>
      <c r="O251" s="290" t="str">
        <f t="shared" si="18"/>
        <v/>
      </c>
      <c r="P251" s="47"/>
      <c r="Q251" s="47"/>
      <c r="R251" s="298" t="str">
        <f t="shared" si="20"/>
        <v/>
      </c>
      <c r="S251" s="311" t="str">
        <f t="shared" si="21"/>
        <v/>
      </c>
      <c r="T251" s="312" t="str">
        <f>IFERROR(IF(S251="Check Data ⚠","Check Data ⚠",VLOOKUP(S251,'G-4 Temporal multipliers'!$A$4:$C$37,3,FALSE)),"")</f>
        <v/>
      </c>
      <c r="U251" s="313" t="str">
        <f>IF(F251="","",VLOOKUP(F251,'G-3 Multipliers'!$A$2:$E$134,2,FALSE))</f>
        <v/>
      </c>
      <c r="V251" s="310" t="str">
        <f t="shared" si="22"/>
        <v/>
      </c>
      <c r="W251" s="295" t="str">
        <f>IF(E251="","",IF(AND(V251="Standard difficulty applied",O251&gt;P251),U251,IF(AND(V251="Low Difficulty - only applicable if all habitat created before losses ⚠",P251&gt;=O251),"Low",VLOOKUP(F251,'G-3 Multipliers'!$A$2:$E$134,4,FALSE))))</f>
        <v/>
      </c>
      <c r="X251" s="314" t="str">
        <f>IFERROR(IF(E251="","",VLOOKUP(W251, 'G-3 Multipliers'!$P$2:$Q$6,2,FALSE)),"")</f>
        <v/>
      </c>
      <c r="Y251" s="317" t="str">
        <f t="shared" si="23"/>
        <v/>
      </c>
      <c r="Z251" s="163"/>
      <c r="AA251" s="164"/>
      <c r="AB251" s="101"/>
      <c r="AE251" s="25" t="str">
        <f t="shared" si="19"/>
        <v/>
      </c>
    </row>
    <row r="252" spans="1:31" ht="14.5" thickBot="1" x14ac:dyDescent="0.35">
      <c r="A252" s="20" t="str">
        <f>IFERROR(INDEX('G-8 Condition Look up'!$I$4:$I$135,MATCH(F252,'G-8 Condition Look up'!$A$4:$A$135,0)),"")</f>
        <v/>
      </c>
      <c r="B252" s="679">
        <v>242</v>
      </c>
      <c r="C252" s="247" t="str">
        <f>IFERROR(INDEX('G-1 All Habitats'!$AG$25:$AG$41,MATCH(D252,'G-1 All Habitats'!AF$25:AF$41,0)),"")</f>
        <v/>
      </c>
      <c r="D252" s="38"/>
      <c r="E252" s="45"/>
      <c r="F252" s="244" t="str">
        <f>IFERROR(INDEX('G-1 All Habitats'!$B$3:$B$135,MATCH(E252,'G-1 All Habitats'!$A$3:$A$135,0)),"")</f>
        <v/>
      </c>
      <c r="G252" s="37"/>
      <c r="H252" s="290" t="str">
        <f>IF(F252="","",VLOOKUP(F252,'G-1 All Habitats'!$B$2:$M$135,10,FALSE))</f>
        <v/>
      </c>
      <c r="I252" s="291" t="str">
        <f>IFERROR(VLOOKUP(H252,'G-1 All Habitats'!$V$3:$W$7,2,FALSE),"")</f>
        <v/>
      </c>
      <c r="J252" s="38"/>
      <c r="K252" s="291" t="str">
        <f>IFERROR(INDEX('G-8 Condition Look up'!$A$3:$H$135,MATCH(F252,'G-8 Condition Look up'!$A$3:$A$135,0),MATCH(J252,'G-8 Condition Look up'!$A$3:$H$3,0)),"")</f>
        <v/>
      </c>
      <c r="L252" s="38"/>
      <c r="M252" s="298" t="str">
        <f>IF(L252="","",IF(VLOOKUP(L252,'G-3 Multipliers'!$L$3:$N$6,2,FALSE)=0,"Spatial Data Missing",VLOOKUP(L252,'G-3 Multipliers'!$L$3:$N$6,2,FALSE)))</f>
        <v/>
      </c>
      <c r="N252" s="296" t="str">
        <f>IF(L252="","",IF(VLOOKUP(L252,'G-3 Multipliers'!$L$3:$N$6,3,FALSE)=0,"Spatial Data Missing",VLOOKUP(L252,'G-3 Multipliers'!$L$3:$N$6,3,FALSE)))</f>
        <v/>
      </c>
      <c r="O252" s="290" t="str">
        <f t="shared" si="18"/>
        <v/>
      </c>
      <c r="P252" s="47"/>
      <c r="Q252" s="47"/>
      <c r="R252" s="298" t="str">
        <f t="shared" si="20"/>
        <v/>
      </c>
      <c r="S252" s="311" t="str">
        <f t="shared" si="21"/>
        <v/>
      </c>
      <c r="T252" s="312" t="str">
        <f>IFERROR(IF(S252="Check Data ⚠","Check Data ⚠",VLOOKUP(S252,'G-4 Temporal multipliers'!$A$4:$C$37,3,FALSE)),"")</f>
        <v/>
      </c>
      <c r="U252" s="313" t="str">
        <f>IF(F252="","",VLOOKUP(F252,'G-3 Multipliers'!$A$2:$E$134,2,FALSE))</f>
        <v/>
      </c>
      <c r="V252" s="310" t="str">
        <f t="shared" si="22"/>
        <v/>
      </c>
      <c r="W252" s="295" t="str">
        <f>IF(E252="","",IF(AND(V252="Standard difficulty applied",O252&gt;P252),U252,IF(AND(V252="Low Difficulty - only applicable if all habitat created before losses ⚠",P252&gt;=O252),"Low",VLOOKUP(F252,'G-3 Multipliers'!$A$2:$E$134,4,FALSE))))</f>
        <v/>
      </c>
      <c r="X252" s="314" t="str">
        <f>IFERROR(IF(E252="","",VLOOKUP(W252, 'G-3 Multipliers'!$P$2:$Q$6,2,FALSE)),"")</f>
        <v/>
      </c>
      <c r="Y252" s="317" t="str">
        <f t="shared" si="23"/>
        <v/>
      </c>
      <c r="Z252" s="163"/>
      <c r="AA252" s="164"/>
      <c r="AB252" s="101"/>
      <c r="AE252" s="25" t="str">
        <f t="shared" si="19"/>
        <v/>
      </c>
    </row>
    <row r="253" spans="1:31" ht="14.5" thickBot="1" x14ac:dyDescent="0.35">
      <c r="A253" s="20" t="str">
        <f>IFERROR(INDEX('G-8 Condition Look up'!$I$4:$I$135,MATCH(F253,'G-8 Condition Look up'!$A$4:$A$135,0)),"")</f>
        <v/>
      </c>
      <c r="B253" s="679">
        <v>243</v>
      </c>
      <c r="C253" s="247" t="str">
        <f>IFERROR(INDEX('G-1 All Habitats'!$AG$25:$AG$41,MATCH(D253,'G-1 All Habitats'!AF$25:AF$41,0)),"")</f>
        <v/>
      </c>
      <c r="D253" s="38"/>
      <c r="E253" s="45"/>
      <c r="F253" s="244" t="str">
        <f>IFERROR(INDEX('G-1 All Habitats'!$B$3:$B$135,MATCH(E253,'G-1 All Habitats'!$A$3:$A$135,0)),"")</f>
        <v/>
      </c>
      <c r="G253" s="37"/>
      <c r="H253" s="290" t="str">
        <f>IF(F253="","",VLOOKUP(F253,'G-1 All Habitats'!$B$2:$M$135,10,FALSE))</f>
        <v/>
      </c>
      <c r="I253" s="291" t="str">
        <f>IFERROR(VLOOKUP(H253,'G-1 All Habitats'!$V$3:$W$7,2,FALSE),"")</f>
        <v/>
      </c>
      <c r="J253" s="38"/>
      <c r="K253" s="291" t="str">
        <f>IFERROR(INDEX('G-8 Condition Look up'!$A$3:$H$135,MATCH(F253,'G-8 Condition Look up'!$A$3:$A$135,0),MATCH(J253,'G-8 Condition Look up'!$A$3:$H$3,0)),"")</f>
        <v/>
      </c>
      <c r="L253" s="38"/>
      <c r="M253" s="298" t="str">
        <f>IF(L253="","",IF(VLOOKUP(L253,'G-3 Multipliers'!$L$3:$N$6,2,FALSE)=0,"Spatial Data Missing",VLOOKUP(L253,'G-3 Multipliers'!$L$3:$N$6,2,FALSE)))</f>
        <v/>
      </c>
      <c r="N253" s="296" t="str">
        <f>IF(L253="","",IF(VLOOKUP(L253,'G-3 Multipliers'!$L$3:$N$6,3,FALSE)=0,"Spatial Data Missing",VLOOKUP(L253,'G-3 Multipliers'!$L$3:$N$6,3,FALSE)))</f>
        <v/>
      </c>
      <c r="O253" s="290" t="str">
        <f t="shared" si="18"/>
        <v/>
      </c>
      <c r="P253" s="47"/>
      <c r="Q253" s="47"/>
      <c r="R253" s="298" t="str">
        <f t="shared" si="20"/>
        <v/>
      </c>
      <c r="S253" s="311" t="str">
        <f t="shared" si="21"/>
        <v/>
      </c>
      <c r="T253" s="312" t="str">
        <f>IFERROR(IF(S253="Check Data ⚠","Check Data ⚠",VLOOKUP(S253,'G-4 Temporal multipliers'!$A$4:$C$37,3,FALSE)),"")</f>
        <v/>
      </c>
      <c r="U253" s="313" t="str">
        <f>IF(F253="","",VLOOKUP(F253,'G-3 Multipliers'!$A$2:$E$134,2,FALSE))</f>
        <v/>
      </c>
      <c r="V253" s="310" t="str">
        <f t="shared" si="22"/>
        <v/>
      </c>
      <c r="W253" s="295" t="str">
        <f>IF(E253="","",IF(AND(V253="Standard difficulty applied",O253&gt;P253),U253,IF(AND(V253="Low Difficulty - only applicable if all habitat created before losses ⚠",P253&gt;=O253),"Low",VLOOKUP(F253,'G-3 Multipliers'!$A$2:$E$134,4,FALSE))))</f>
        <v/>
      </c>
      <c r="X253" s="314" t="str">
        <f>IFERROR(IF(E253="","",VLOOKUP(W253, 'G-3 Multipliers'!$P$2:$Q$6,2,FALSE)),"")</f>
        <v/>
      </c>
      <c r="Y253" s="317" t="str">
        <f t="shared" si="23"/>
        <v/>
      </c>
      <c r="Z253" s="163"/>
      <c r="AA253" s="164"/>
      <c r="AB253" s="101"/>
      <c r="AE253" s="25" t="str">
        <f t="shared" si="19"/>
        <v/>
      </c>
    </row>
    <row r="254" spans="1:31" ht="14.5" thickBot="1" x14ac:dyDescent="0.35">
      <c r="A254" s="20" t="str">
        <f>IFERROR(INDEX('G-8 Condition Look up'!$I$4:$I$135,MATCH(F254,'G-8 Condition Look up'!$A$4:$A$135,0)),"")</f>
        <v/>
      </c>
      <c r="B254" s="679">
        <v>244</v>
      </c>
      <c r="C254" s="247" t="str">
        <f>IFERROR(INDEX('G-1 All Habitats'!$AG$25:$AG$41,MATCH(D254,'G-1 All Habitats'!AF$25:AF$41,0)),"")</f>
        <v/>
      </c>
      <c r="D254" s="38"/>
      <c r="E254" s="45"/>
      <c r="F254" s="244" t="str">
        <f>IFERROR(INDEX('G-1 All Habitats'!$B$3:$B$135,MATCH(E254,'G-1 All Habitats'!$A$3:$A$135,0)),"")</f>
        <v/>
      </c>
      <c r="G254" s="37"/>
      <c r="H254" s="290" t="str">
        <f>IF(F254="","",VLOOKUP(F254,'G-1 All Habitats'!$B$2:$M$135,10,FALSE))</f>
        <v/>
      </c>
      <c r="I254" s="291" t="str">
        <f>IFERROR(VLOOKUP(H254,'G-1 All Habitats'!$V$3:$W$7,2,FALSE),"")</f>
        <v/>
      </c>
      <c r="J254" s="38"/>
      <c r="K254" s="291" t="str">
        <f>IFERROR(INDEX('G-8 Condition Look up'!$A$3:$H$135,MATCH(F254,'G-8 Condition Look up'!$A$3:$A$135,0),MATCH(J254,'G-8 Condition Look up'!$A$3:$H$3,0)),"")</f>
        <v/>
      </c>
      <c r="L254" s="38"/>
      <c r="M254" s="298" t="str">
        <f>IF(L254="","",IF(VLOOKUP(L254,'G-3 Multipliers'!$L$3:$N$6,2,FALSE)=0,"Spatial Data Missing",VLOOKUP(L254,'G-3 Multipliers'!$L$3:$N$6,2,FALSE)))</f>
        <v/>
      </c>
      <c r="N254" s="296" t="str">
        <f>IF(L254="","",IF(VLOOKUP(L254,'G-3 Multipliers'!$L$3:$N$6,3,FALSE)=0,"Spatial Data Missing",VLOOKUP(L254,'G-3 Multipliers'!$L$3:$N$6,3,FALSE)))</f>
        <v/>
      </c>
      <c r="O254" s="290" t="str">
        <f t="shared" si="18"/>
        <v/>
      </c>
      <c r="P254" s="47"/>
      <c r="Q254" s="47"/>
      <c r="R254" s="298" t="str">
        <f t="shared" si="20"/>
        <v/>
      </c>
      <c r="S254" s="311" t="str">
        <f t="shared" si="21"/>
        <v/>
      </c>
      <c r="T254" s="312" t="str">
        <f>IFERROR(IF(S254="Check Data ⚠","Check Data ⚠",VLOOKUP(S254,'G-4 Temporal multipliers'!$A$4:$C$37,3,FALSE)),"")</f>
        <v/>
      </c>
      <c r="U254" s="313" t="str">
        <f>IF(F254="","",VLOOKUP(F254,'G-3 Multipliers'!$A$2:$E$134,2,FALSE))</f>
        <v/>
      </c>
      <c r="V254" s="310" t="str">
        <f t="shared" si="22"/>
        <v/>
      </c>
      <c r="W254" s="295" t="str">
        <f>IF(E254="","",IF(AND(V254="Standard difficulty applied",O254&gt;P254),U254,IF(AND(V254="Low Difficulty - only applicable if all habitat created before losses ⚠",P254&gt;=O254),"Low",VLOOKUP(F254,'G-3 Multipliers'!$A$2:$E$134,4,FALSE))))</f>
        <v/>
      </c>
      <c r="X254" s="314" t="str">
        <f>IFERROR(IF(E254="","",VLOOKUP(W254, 'G-3 Multipliers'!$P$2:$Q$6,2,FALSE)),"")</f>
        <v/>
      </c>
      <c r="Y254" s="317" t="str">
        <f t="shared" si="23"/>
        <v/>
      </c>
      <c r="Z254" s="163"/>
      <c r="AA254" s="164"/>
      <c r="AB254" s="101"/>
      <c r="AE254" s="25" t="str">
        <f t="shared" si="19"/>
        <v/>
      </c>
    </row>
    <row r="255" spans="1:31" ht="14.5" thickBot="1" x14ac:dyDescent="0.35">
      <c r="A255" s="20" t="str">
        <f>IFERROR(INDEX('G-8 Condition Look up'!$I$4:$I$135,MATCH(F255,'G-8 Condition Look up'!$A$4:$A$135,0)),"")</f>
        <v/>
      </c>
      <c r="B255" s="679">
        <v>245</v>
      </c>
      <c r="C255" s="247" t="str">
        <f>IFERROR(INDEX('G-1 All Habitats'!$AG$25:$AG$41,MATCH(D255,'G-1 All Habitats'!AF$25:AF$41,0)),"")</f>
        <v/>
      </c>
      <c r="D255" s="38"/>
      <c r="E255" s="45"/>
      <c r="F255" s="244" t="str">
        <f>IFERROR(INDEX('G-1 All Habitats'!$B$3:$B$135,MATCH(E255,'G-1 All Habitats'!$A$3:$A$135,0)),"")</f>
        <v/>
      </c>
      <c r="G255" s="37"/>
      <c r="H255" s="290" t="str">
        <f>IF(F255="","",VLOOKUP(F255,'G-1 All Habitats'!$B$2:$M$135,10,FALSE))</f>
        <v/>
      </c>
      <c r="I255" s="291" t="str">
        <f>IFERROR(VLOOKUP(H255,'G-1 All Habitats'!$V$3:$W$7,2,FALSE),"")</f>
        <v/>
      </c>
      <c r="J255" s="38"/>
      <c r="K255" s="291" t="str">
        <f>IFERROR(INDEX('G-8 Condition Look up'!$A$3:$H$135,MATCH(F255,'G-8 Condition Look up'!$A$3:$A$135,0),MATCH(J255,'G-8 Condition Look up'!$A$3:$H$3,0)),"")</f>
        <v/>
      </c>
      <c r="L255" s="38"/>
      <c r="M255" s="298" t="str">
        <f>IF(L255="","",IF(VLOOKUP(L255,'G-3 Multipliers'!$L$3:$N$6,2,FALSE)=0,"Spatial Data Missing",VLOOKUP(L255,'G-3 Multipliers'!$L$3:$N$6,2,FALSE)))</f>
        <v/>
      </c>
      <c r="N255" s="296" t="str">
        <f>IF(L255="","",IF(VLOOKUP(L255,'G-3 Multipliers'!$L$3:$N$6,3,FALSE)=0,"Spatial Data Missing",VLOOKUP(L255,'G-3 Multipliers'!$L$3:$N$6,3,FALSE)))</f>
        <v/>
      </c>
      <c r="O255" s="290" t="str">
        <f t="shared" si="18"/>
        <v/>
      </c>
      <c r="P255" s="47"/>
      <c r="Q255" s="47"/>
      <c r="R255" s="298" t="str">
        <f t="shared" si="20"/>
        <v/>
      </c>
      <c r="S255" s="311" t="str">
        <f t="shared" si="21"/>
        <v/>
      </c>
      <c r="T255" s="312" t="str">
        <f>IFERROR(IF(S255="Check Data ⚠","Check Data ⚠",VLOOKUP(S255,'G-4 Temporal multipliers'!$A$4:$C$37,3,FALSE)),"")</f>
        <v/>
      </c>
      <c r="U255" s="313" t="str">
        <f>IF(F255="","",VLOOKUP(F255,'G-3 Multipliers'!$A$2:$E$134,2,FALSE))</f>
        <v/>
      </c>
      <c r="V255" s="310" t="str">
        <f t="shared" si="22"/>
        <v/>
      </c>
      <c r="W255" s="295" t="str">
        <f>IF(E255="","",IF(AND(V255="Standard difficulty applied",O255&gt;P255),U255,IF(AND(V255="Low Difficulty - only applicable if all habitat created before losses ⚠",P255&gt;=O255),"Low",VLOOKUP(F255,'G-3 Multipliers'!$A$2:$E$134,4,FALSE))))</f>
        <v/>
      </c>
      <c r="X255" s="314" t="str">
        <f>IFERROR(IF(E255="","",VLOOKUP(W255, 'G-3 Multipliers'!$P$2:$Q$6,2,FALSE)),"")</f>
        <v/>
      </c>
      <c r="Y255" s="317" t="str">
        <f t="shared" si="23"/>
        <v/>
      </c>
      <c r="Z255" s="163"/>
      <c r="AA255" s="164"/>
      <c r="AB255" s="101"/>
      <c r="AE255" s="25" t="str">
        <f t="shared" si="19"/>
        <v/>
      </c>
    </row>
    <row r="256" spans="1:31" ht="14.5" thickBot="1" x14ac:dyDescent="0.35">
      <c r="A256" s="20" t="str">
        <f>IFERROR(INDEX('G-8 Condition Look up'!$I$4:$I$135,MATCH(F256,'G-8 Condition Look up'!$A$4:$A$135,0)),"")</f>
        <v/>
      </c>
      <c r="B256" s="30">
        <v>246</v>
      </c>
      <c r="C256" s="247" t="str">
        <f>IFERROR(INDEX('G-1 All Habitats'!$AG$25:$AG$41,MATCH(D256,'G-1 All Habitats'!AF$25:AF$41,0)),"")</f>
        <v/>
      </c>
      <c r="D256" s="567"/>
      <c r="E256" s="165"/>
      <c r="F256" s="568" t="str">
        <f>IFERROR(INDEX('G-1 All Habitats'!$B$3:$B$135,MATCH(E256,'G-1 All Habitats'!$A$3:$A$135,0)),"")</f>
        <v/>
      </c>
      <c r="G256" s="215"/>
      <c r="H256" s="547" t="str">
        <f>IF(F256="","",VLOOKUP(F256,'G-1 All Habitats'!$B$2:$M$135,10,FALSE))</f>
        <v/>
      </c>
      <c r="I256" s="293" t="str">
        <f>IFERROR(VLOOKUP(H256,'G-1 All Habitats'!$V$3:$W$7,2,FALSE),"")</f>
        <v/>
      </c>
      <c r="J256" s="213"/>
      <c r="K256" s="548" t="str">
        <f>IFERROR(INDEX('G-8 Condition Look up'!$A$3:$H$135,MATCH(F256,'G-8 Condition Look up'!$A$3:$A$135,0),MATCH(J256,'G-8 Condition Look up'!$A$3:$H$3,0)),"")</f>
        <v/>
      </c>
      <c r="L256" s="213"/>
      <c r="M256" s="299" t="str">
        <f>IF(L256="","",IF(VLOOKUP(L256,'G-3 Multipliers'!$L$3:$N$6,2,FALSE)=0,"Spatial Data Missing",VLOOKUP(L256,'G-3 Multipliers'!$L$3:$N$6,2,FALSE)))</f>
        <v/>
      </c>
      <c r="N256" s="569" t="str">
        <f>IF(L256="","",IF(VLOOKUP(L256,'G-3 Multipliers'!$L$3:$N$6,3,FALSE)=0,"Spatial Data Missing",VLOOKUP(L256,'G-3 Multipliers'!$L$3:$N$6,3,FALSE)))</f>
        <v/>
      </c>
      <c r="O256" s="292" t="str">
        <f t="shared" si="18"/>
        <v/>
      </c>
      <c r="P256" s="165"/>
      <c r="Q256" s="165"/>
      <c r="R256" s="549" t="str">
        <f t="shared" si="20"/>
        <v/>
      </c>
      <c r="S256" s="570" t="str">
        <f t="shared" si="21"/>
        <v/>
      </c>
      <c r="T256" s="571" t="str">
        <f>IFERROR(IF(S256="Check Data ⚠","Check Data ⚠",VLOOKUP(S256,'G-4 Temporal multipliers'!$A$4:$C$37,3,FALSE)),"")</f>
        <v/>
      </c>
      <c r="U256" s="316" t="str">
        <f>IF(F256="","",VLOOKUP(F256,'G-3 Multipliers'!$A$2:$E$134,2,FALSE))</f>
        <v/>
      </c>
      <c r="V256" s="299" t="str">
        <f t="shared" si="22"/>
        <v/>
      </c>
      <c r="W256" s="295" t="str">
        <f>IF(E256="","",IF(AND(V256="Standard difficulty applied",O256&gt;P256),U256,IF(AND(V256="Low Difficulty - only applicable if all habitat created before losses ⚠",P256&gt;=O256),"Low",VLOOKUP(F256,'G-3 Multipliers'!$A$2:$E$134,4,FALSE))))</f>
        <v/>
      </c>
      <c r="X256" s="293" t="str">
        <f>IFERROR(IF(E256="","",VLOOKUP(W256, 'G-3 Multipliers'!$P$2:$Q$6,2,FALSE)),"")</f>
        <v/>
      </c>
      <c r="Y256" s="318" t="str">
        <f t="shared" si="23"/>
        <v/>
      </c>
      <c r="Z256" s="216"/>
      <c r="AA256" s="217"/>
      <c r="AB256" s="476"/>
      <c r="AE256" s="25" t="str">
        <f t="shared" si="19"/>
        <v/>
      </c>
    </row>
    <row r="257" spans="2:25" ht="14.5" thickBot="1" x14ac:dyDescent="0.35">
      <c r="B257" s="675"/>
      <c r="E257" s="562" t="s">
        <v>195</v>
      </c>
      <c r="F257" s="222" t="s">
        <v>196</v>
      </c>
      <c r="G257" s="330">
        <f>SUM(G11:G256)</f>
        <v>0</v>
      </c>
      <c r="T257" s="50"/>
      <c r="U257" s="50"/>
      <c r="V257" s="50"/>
      <c r="W257" s="50"/>
      <c r="X257" s="113" t="s">
        <v>197</v>
      </c>
      <c r="Y257" s="309">
        <f>SUM(Y11:Y256)</f>
        <v>0</v>
      </c>
    </row>
    <row r="258" spans="2:25" ht="14.5" thickBot="1" x14ac:dyDescent="0.35">
      <c r="B258" s="675"/>
    </row>
    <row r="259" spans="2:25" ht="14.5" thickBot="1" x14ac:dyDescent="0.35">
      <c r="E259" s="409" t="s">
        <v>1531</v>
      </c>
      <c r="G259" s="294">
        <f>SUMIFS($G$11:$G$256,$F$11:$F$256,"&lt;&gt;"&amp;'G-1 All Habitats'!B80,$F$11:$F$256,"&lt;&gt;"&amp;'G-1 All Habitats'!B81,$F$11:$F$256,"&lt;&gt;"&amp;'G-1 All Habitats'!B67,$F$11:$F$256,"&lt;&gt;"&amp;'G-1 All Habitats'!B68,$F$11:$F$256,"&lt;&gt;"&amp;'G-1 All Habitats'!B81, $F$11:$F$256,"&lt;&gt;"&amp;'G-1 All Habitats'!B134)</f>
        <v>0</v>
      </c>
    </row>
    <row r="260" spans="2:25" ht="14.5" thickBot="1" x14ac:dyDescent="0.35"/>
    <row r="261" spans="2:25" ht="14.5" thickBot="1" x14ac:dyDescent="0.35">
      <c r="E261" s="1173" t="s">
        <v>173</v>
      </c>
      <c r="F261" s="21"/>
      <c r="G261" s="445" t="s">
        <v>174</v>
      </c>
      <c r="H261" s="429" t="s">
        <v>175</v>
      </c>
      <c r="I261" s="1131" t="s">
        <v>176</v>
      </c>
      <c r="J261" s="1132"/>
    </row>
    <row r="262" spans="2:25" ht="15" customHeight="1" thickBot="1" x14ac:dyDescent="0.35">
      <c r="E262" s="1174"/>
      <c r="F262" s="21"/>
      <c r="G262" s="431"/>
      <c r="H262" s="430" t="str">
        <f>IF(G261="Hectares",G262,IF(G261="M²",G262/10000,""))</f>
        <v/>
      </c>
      <c r="I262" s="1133" t="str">
        <f>IF(G261="M²",G262,IF(G261="Hectares",G262*10000,""))</f>
        <v/>
      </c>
      <c r="J262" s="1134"/>
    </row>
    <row r="263" spans="2:25" x14ac:dyDescent="0.3">
      <c r="E263" s="20"/>
    </row>
    <row r="264" spans="2:25" x14ac:dyDescent="0.3">
      <c r="E264" s="20"/>
    </row>
    <row r="265" spans="2:25" x14ac:dyDescent="0.3">
      <c r="E265" s="20"/>
    </row>
    <row r="266" spans="2:25" x14ac:dyDescent="0.3">
      <c r="E266" s="20"/>
    </row>
  </sheetData>
  <sheetProtection algorithmName="SHA-512" hashValue="EKfPQjFhkTrQyWmV7NgMTgAnmIQaXxBgpa5+eUR8Ra2V3w+mZJ+WdfpEb8iF2SNL7SMTtojx/Njw5+4ZMAQjLA==" saltValue="2QIWR+ZuH8zckHN61PO+aQ==" spinCount="100000" sheet="1" objects="1" scenarios="1"/>
  <customSheetViews>
    <customSheetView guid="{8BDA793C-C9C5-4FC6-A0A5-F1109F6D4F22}" topLeftCell="B1">
      <pane ySplit="10" topLeftCell="A11" activePane="bottomLeft" state="frozen"/>
      <selection pane="bottomLeft"/>
    </customSheetView>
  </customSheetViews>
  <mergeCells count="31">
    <mergeCell ref="E261:E262"/>
    <mergeCell ref="I261:J261"/>
    <mergeCell ref="I262:J262"/>
    <mergeCell ref="S2:X5"/>
    <mergeCell ref="U9:X9"/>
    <mergeCell ref="H2:L2"/>
    <mergeCell ref="H3:J3"/>
    <mergeCell ref="K3:L3"/>
    <mergeCell ref="H4:J4"/>
    <mergeCell ref="K4:L4"/>
    <mergeCell ref="H5:J5"/>
    <mergeCell ref="K5:L5"/>
    <mergeCell ref="K6:L6"/>
    <mergeCell ref="H6:J6"/>
    <mergeCell ref="H7:L7"/>
    <mergeCell ref="Z9:AB9"/>
    <mergeCell ref="D8:AB8"/>
    <mergeCell ref="AE8:AE9"/>
    <mergeCell ref="D2:E2"/>
    <mergeCell ref="D3:E3"/>
    <mergeCell ref="F9:F10"/>
    <mergeCell ref="L9:N9"/>
    <mergeCell ref="G9:G10"/>
    <mergeCell ref="D9:D10"/>
    <mergeCell ref="E9:E10"/>
    <mergeCell ref="Y9:Y10"/>
    <mergeCell ref="H9:I9"/>
    <mergeCell ref="J9:K9"/>
    <mergeCell ref="O9:T9"/>
    <mergeCell ref="N2:R3"/>
    <mergeCell ref="N4:R6"/>
  </mergeCells>
  <conditionalFormatting sqref="K11:K256">
    <cfRule type="cellIs" dxfId="311" priority="55" operator="equal">
      <formula>"Not Possible"</formula>
    </cfRule>
  </conditionalFormatting>
  <conditionalFormatting sqref="S11:S256">
    <cfRule type="containsText" dxfId="310" priority="37" operator="containsText" text="30+">
      <formula>NOT(ISERROR(SEARCH("30+",S11)))</formula>
    </cfRule>
  </conditionalFormatting>
  <conditionalFormatting sqref="O11:O256">
    <cfRule type="containsText" dxfId="309" priority="36" operator="containsText" text="30+">
      <formula>NOT(ISERROR(SEARCH("30+",O11)))</formula>
    </cfRule>
  </conditionalFormatting>
  <conditionalFormatting sqref="V11:V256">
    <cfRule type="cellIs" dxfId="308" priority="26" operator="equal">
      <formula>"No - Enhancement difficulty applied"</formula>
    </cfRule>
    <cfRule type="containsText" dxfId="307" priority="32" operator="containsText" text="No - Low Difficulty">
      <formula>NOT(ISERROR(SEARCH("No - Low Difficulty",V11)))</formula>
    </cfRule>
  </conditionalFormatting>
  <conditionalFormatting sqref="X12:Y257 R11:Y11 R12:X256">
    <cfRule type="containsText" dxfId="306" priority="31" operator="containsText" text="Error">
      <formula>NOT(ISERROR(SEARCH("Error",R11)))</formula>
    </cfRule>
    <cfRule type="containsText" dxfId="305" priority="34" operator="containsText" text="Check">
      <formula>NOT(ISERROR(SEARCH("Check",R11)))</formula>
    </cfRule>
  </conditionalFormatting>
  <conditionalFormatting sqref="N2">
    <cfRule type="containsText" dxfId="304" priority="30" operator="containsText" text="Note">
      <formula>NOT(ISERROR(SEARCH("Note",N2)))</formula>
    </cfRule>
  </conditionalFormatting>
  <conditionalFormatting sqref="N4">
    <cfRule type="containsText" dxfId="303" priority="29" operator="containsText" text="Check">
      <formula>NOT(ISERROR(SEARCH("Check",N4)))</formula>
    </cfRule>
  </conditionalFormatting>
  <conditionalFormatting sqref="T255">
    <cfRule type="containsText" dxfId="302" priority="28" operator="containsText" text="30+">
      <formula>NOT(ISERROR(SEARCH("30+",T255)))</formula>
    </cfRule>
  </conditionalFormatting>
  <conditionalFormatting sqref="V11:V256">
    <cfRule type="cellIs" dxfId="301" priority="27" operator="equal">
      <formula>"No - Enhancement difficulty applied"</formula>
    </cfRule>
  </conditionalFormatting>
  <conditionalFormatting sqref="E257">
    <cfRule type="containsText" dxfId="300" priority="24" operator="containsText" text="Error">
      <formula>NOT(ISERROR(SEARCH("Error",E257)))</formula>
    </cfRule>
    <cfRule type="containsText" dxfId="299" priority="25" operator="containsText" text="Check">
      <formula>NOT(ISERROR(SEARCH("Check",E257)))</formula>
    </cfRule>
  </conditionalFormatting>
  <conditionalFormatting sqref="K3">
    <cfRule type="containsText" dxfId="298" priority="16" operator="containsText" text="Error">
      <formula>NOT(ISERROR(SEARCH("Error",K3)))</formula>
    </cfRule>
    <cfRule type="containsText" dxfId="297" priority="17" operator="containsText" text="Check">
      <formula>NOT(ISERROR(SEARCH("Check",K3)))</formula>
    </cfRule>
  </conditionalFormatting>
  <conditionalFormatting sqref="K4">
    <cfRule type="containsText" dxfId="296" priority="11" operator="containsText" text="Check">
      <formula>NOT(ISERROR(SEARCH("Check",K4)))</formula>
    </cfRule>
    <cfRule type="containsText" dxfId="295" priority="12" operator="containsText" text="Error">
      <formula>NOT(ISERROR(SEARCH("Error",K4)))</formula>
    </cfRule>
  </conditionalFormatting>
  <conditionalFormatting sqref="K4">
    <cfRule type="cellIs" dxfId="294" priority="13" operator="equal">
      <formula>0</formula>
    </cfRule>
  </conditionalFormatting>
  <conditionalFormatting sqref="K5">
    <cfRule type="containsText" dxfId="293" priority="9" operator="containsText" text="No">
      <formula>NOT(ISERROR(SEARCH("No",K5)))</formula>
    </cfRule>
    <cfRule type="containsText" dxfId="292" priority="10" operator="containsText" text="Yes">
      <formula>NOT(ISERROR(SEARCH("Yes",K5)))</formula>
    </cfRule>
  </conditionalFormatting>
  <conditionalFormatting sqref="K6">
    <cfRule type="containsText" dxfId="291" priority="7" operator="containsText" text=" 🗸">
      <formula>NOT(ISERROR(SEARCH(" 🗸",K6)))</formula>
    </cfRule>
    <cfRule type="containsText" dxfId="290" priority="8" operator="containsText" text="▲">
      <formula>NOT(ISERROR(SEARCH("▲",K6)))</formula>
    </cfRule>
  </conditionalFormatting>
  <conditionalFormatting sqref="S2:X5">
    <cfRule type="containsText" dxfId="289" priority="6" operator="containsText" text="Check">
      <formula>NOT(ISERROR(SEARCH("Check",S2)))</formula>
    </cfRule>
  </conditionalFormatting>
  <conditionalFormatting sqref="H7:L7">
    <cfRule type="containsText" dxfId="288" priority="5" operator="containsText" text="⚠">
      <formula>NOT(ISERROR(SEARCH("⚠",H7)))</formula>
    </cfRule>
  </conditionalFormatting>
  <conditionalFormatting sqref="K4:L4">
    <cfRule type="cellIs" dxfId="287" priority="425" operator="lessThan">
      <formula>0</formula>
    </cfRule>
  </conditionalFormatting>
  <conditionalFormatting sqref="K3:L6">
    <cfRule type="containsText" dxfId="286" priority="4" operator="containsText" text="N/A">
      <formula>NOT(ISERROR(SEARCH("N/A",K3)))</formula>
    </cfRule>
  </conditionalFormatting>
  <conditionalFormatting sqref="V1:V1048576">
    <cfRule type="containsText" dxfId="285" priority="1" operator="containsText" text="⚠">
      <formula>NOT(ISERROR(SEARCH("⚠",V1)))</formula>
    </cfRule>
  </conditionalFormatting>
  <dataValidations count="4">
    <dataValidation allowBlank="1" showErrorMessage="1" errorTitle="Invalid Habitat" error="Select from List" sqref="F11:F256" xr:uid="{00000000-0002-0000-0B00-000000000000}"/>
    <dataValidation type="list" allowBlank="1" showInputMessage="1" showErrorMessage="1" sqref="E11:E256" xr:uid="{00000000-0002-0000-0B00-000001000000}">
      <formula1>INDIRECT(C11)</formula1>
    </dataValidation>
    <dataValidation type="list" allowBlank="1" showInputMessage="1" showErrorMessage="1" sqref="J11:J256" xr:uid="{00000000-0002-0000-0B00-000002000000}">
      <formula1>INDIRECT(A11)</formula1>
    </dataValidation>
    <dataValidation type="list" allowBlank="1" showInputMessage="1" showErrorMessage="1" sqref="G261" xr:uid="{1EDEC249-3ACC-4671-899F-95158C4C8ED1}">
      <formula1>"Hectares, M²"</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2" id="{B38D4B87-AA3F-4021-A6CE-1170BF182332}">
            <xm:f>#REF!=0</xm:f>
            <x14:dxf>
              <font>
                <color auto="1"/>
              </font>
              <fill>
                <patternFill>
                  <bgColor rgb="FFE0DCD3"/>
                </patternFill>
              </fill>
            </x14:dxf>
          </x14:cfRule>
          <xm:sqref>K4:L4</xm:sqref>
        </x14:conditionalFormatting>
        <x14:conditionalFormatting xmlns:xm="http://schemas.microsoft.com/office/excel/2006/main">
          <x14:cfRule type="iconSet" priority="19" id="{B42DD7DA-ABCB-49B8-917C-32E4292176C4}">
            <x14:iconSet iconSet="3Symbols" custom="1">
              <x14:cfvo type="percent">
                <xm:f>0</xm:f>
              </x14:cfvo>
              <x14:cfvo type="num" gte="0">
                <xm:f>0</xm:f>
              </x14:cfvo>
              <x14:cfvo type="num" gte="0">
                <xm:f>30</xm:f>
              </x14:cfvo>
              <x14:cfIcon iconSet="NoIcons" iconId="0"/>
              <x14:cfIcon iconSet="NoIcons" iconId="0"/>
              <x14:cfIcon iconSet="3Symbols" iconId="1"/>
            </x14:iconSet>
          </x14:cfRule>
          <xm:sqref>S11</xm:sqref>
        </x14:conditionalFormatting>
        <x14:conditionalFormatting xmlns:xm="http://schemas.microsoft.com/office/excel/2006/main">
          <x14:cfRule type="iconSet" priority="18" id="{4158B924-C820-415A-BD91-EB588928C690}">
            <x14:iconSet iconSet="3Symbols" custom="1">
              <x14:cfvo type="percent">
                <xm:f>0</xm:f>
              </x14:cfvo>
              <x14:cfvo type="num">
                <xm:f>0</xm:f>
              </x14:cfvo>
              <x14:cfvo type="num" gte="0">
                <xm:f>30</xm:f>
              </x14:cfvo>
              <x14:cfIcon iconSet="NoIcons" iconId="0"/>
              <x14:cfIcon iconSet="NoIcons" iconId="0"/>
              <x14:cfIcon iconSet="3Symbols" iconId="1"/>
            </x14:iconSet>
          </x14:cfRule>
          <xm:sqref>O11</xm:sqref>
        </x14:conditionalFormatting>
        <x14:conditionalFormatting xmlns:xm="http://schemas.microsoft.com/office/excel/2006/main">
          <x14:cfRule type="cellIs" priority="3" operator="lessThan" id="{0B505358-DF53-46B7-974A-183E1924519F}">
            <xm:f>Start!$F$22</xm:f>
            <x14:dxf>
              <font>
                <color rgb="FF383745"/>
              </font>
              <fill>
                <patternFill>
                  <bgColor rgb="FFFFC000"/>
                </patternFill>
              </fill>
            </x14:dxf>
          </x14:cfRule>
          <x14:cfRule type="cellIs" priority="426" operator="greaterThanOrEqual" id="{42D50648-5D71-4680-876A-3EF944CA0FC3}">
            <xm:f>0+Start!$F$22</xm:f>
            <x14:dxf>
              <font>
                <color rgb="FF383745"/>
              </font>
              <fill>
                <patternFill>
                  <bgColor rgb="FF92D050"/>
                </patternFill>
              </fill>
            </x14:dxf>
          </x14:cfRule>
          <xm:sqref>K4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3000000}">
          <x14:formula1>
            <xm:f>'G-3 Multipliers'!$L$4:$L$6</xm:f>
          </x14:formula1>
          <xm:sqref>L11:L256</xm:sqref>
        </x14:dataValidation>
        <x14:dataValidation type="list" allowBlank="1" showInputMessage="1" showErrorMessage="1" xr:uid="{00000000-0002-0000-0B00-000004000000}">
          <x14:formula1>
            <xm:f>'G-4 Temporal multipliers'!$A$42:$A$73</xm:f>
          </x14:formula1>
          <xm:sqref>P11:Q256</xm:sqref>
        </x14:dataValidation>
        <x14:dataValidation type="list" allowBlank="1" showInputMessage="1" showErrorMessage="1" xr:uid="{A201F8C6-BCE6-4054-9AC5-88D6C705829C}">
          <x14:formula1>
            <xm:f>'G-1 All Habitats'!$AF$3:$AF$17</xm:f>
          </x14:formula1>
          <xm:sqref>D11:D256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06600"/>
  </sheetPr>
  <dimension ref="A1:XFC266"/>
  <sheetViews>
    <sheetView topLeftCell="E1" zoomScaleNormal="80" workbookViewId="0">
      <pane ySplit="11" topLeftCell="A12" activePane="bottomLeft" state="frozen"/>
      <selection activeCell="D11" sqref="D11"/>
      <selection pane="bottomLeft" activeCell="D11" sqref="D11"/>
    </sheetView>
  </sheetViews>
  <sheetFormatPr defaultColWidth="8.81640625" defaultRowHeight="14" zeroHeight="1" x14ac:dyDescent="0.3"/>
  <cols>
    <col min="1" max="1" width="19.54296875" style="20" hidden="1" customWidth="1"/>
    <col min="2" max="2" width="31.453125" style="20" hidden="1" customWidth="1"/>
    <col min="3" max="3" width="10.453125" style="20" hidden="1" customWidth="1"/>
    <col min="4" max="4" width="15.54296875" style="20" hidden="1" customWidth="1"/>
    <col min="5" max="5" width="11.26953125" style="20" customWidth="1"/>
    <col min="6" max="6" width="57.7265625" style="20" customWidth="1"/>
    <col min="7" max="7" width="13.1796875" style="20" customWidth="1"/>
    <col min="8" max="9" width="17.81640625" style="20" customWidth="1"/>
    <col min="10" max="10" width="18.1796875" style="20" customWidth="1"/>
    <col min="11" max="12" width="19.26953125" style="20" customWidth="1"/>
    <col min="13" max="13" width="20.26953125" style="20" customWidth="1"/>
    <col min="14" max="14" width="19.26953125" style="20" customWidth="1"/>
    <col min="15" max="15" width="34" style="20" customWidth="1"/>
    <col min="16" max="16" width="22.453125" style="20" hidden="1" customWidth="1"/>
    <col min="17" max="17" width="34" style="20" customWidth="1"/>
    <col min="18" max="18" width="73" style="20" customWidth="1"/>
    <col min="19" max="19" width="61.26953125" style="20" hidden="1" customWidth="1"/>
    <col min="20" max="21" width="34.26953125" style="20" customWidth="1"/>
    <col min="22" max="22" width="14" style="20" customWidth="1"/>
    <col min="23" max="23" width="18.453125" style="20" customWidth="1"/>
    <col min="24" max="24" width="13.1796875" style="20" customWidth="1"/>
    <col min="25" max="25" width="12.7265625" style="20" customWidth="1"/>
    <col min="26" max="26" width="12.54296875" style="20" customWidth="1"/>
    <col min="27" max="27" width="41.7265625" style="20" customWidth="1"/>
    <col min="28" max="28" width="15.453125" style="20" customWidth="1"/>
    <col min="29" max="29" width="12.26953125" style="20" customWidth="1"/>
    <col min="30" max="30" width="18.1796875" style="20" customWidth="1"/>
    <col min="31" max="31" width="20.81640625" style="20" customWidth="1"/>
    <col min="32" max="32" width="22.7265625" style="20" customWidth="1"/>
    <col min="33" max="33" width="33.26953125" style="20" customWidth="1"/>
    <col min="34" max="34" width="19.54296875" style="20" customWidth="1"/>
    <col min="35" max="35" width="15.26953125" style="20" customWidth="1"/>
    <col min="36" max="36" width="17.54296875" style="20" customWidth="1"/>
    <col min="37" max="37" width="29.453125" style="20" customWidth="1"/>
    <col min="38" max="38" width="17.1796875" style="20" customWidth="1"/>
    <col min="39" max="39" width="14.54296875" style="20" customWidth="1"/>
    <col min="40" max="40" width="15.453125" style="20" customWidth="1"/>
    <col min="41" max="41" width="40.26953125" style="20" customWidth="1"/>
    <col min="42" max="42" width="42.26953125" style="20" customWidth="1"/>
    <col min="43" max="43" width="14.81640625" style="20" customWidth="1"/>
    <col min="44" max="45" width="8.81640625" style="20" customWidth="1"/>
    <col min="46" max="16383" width="0" style="20" hidden="1" customWidth="1"/>
    <col min="16384" max="16384" width="3.81640625" style="20" hidden="1" customWidth="1"/>
  </cols>
  <sheetData>
    <row r="1" spans="1:47" ht="14.5" thickBot="1" x14ac:dyDescent="0.35"/>
    <row r="2" spans="1:47" ht="19.5" customHeight="1" thickBot="1" x14ac:dyDescent="0.4">
      <c r="E2" s="1160" t="str">
        <f>CONCATENATE("Project Name:", " ", Start!F12, "     ", "Map Reference:", " ", Start!K55)</f>
        <v xml:space="preserve">Project Name: Gain Site 2 for Digital     Map Reference: </v>
      </c>
      <c r="F2" s="1200"/>
      <c r="G2" s="1161"/>
      <c r="R2" s="1118" t="s">
        <v>130</v>
      </c>
      <c r="S2" s="1119"/>
      <c r="T2" s="1119"/>
      <c r="U2" s="1120"/>
      <c r="V2" s="1209" t="str" cm="1">
        <f t="array" ref="V2">IF(OR(Y12:Y257 = "Fairly Good", Y12:Y257 = "Fairly Poor"),"A 'Fairly' Category has been used - check evidence to ensure this is appropriate ⚠", "")</f>
        <v/>
      </c>
      <c r="W2" s="1209"/>
      <c r="X2" s="1209"/>
      <c r="Y2" s="1209"/>
      <c r="Z2" s="1209"/>
      <c r="AA2" s="1209"/>
      <c r="AD2" s="1208" t="str">
        <f>IF(OR(COUNTIF($AD$12:AD257,"*30+*")&gt;0,COUNTIF(AH12:AH257,"*30+*")&gt;0),"Note; Habitat selected has a time to target condition greater than 30 years. Non standard agreement may be required.","")</f>
        <v/>
      </c>
      <c r="AE2" s="1208"/>
      <c r="AF2" s="1208"/>
      <c r="AG2" s="1208"/>
      <c r="AH2" s="1208"/>
      <c r="AI2" s="1208"/>
    </row>
    <row r="3" spans="1:47" ht="13.15" customHeight="1" x14ac:dyDescent="0.3">
      <c r="E3" s="1201" t="str">
        <f ca="1">MID(CELL("filename",D1),FIND("]",CELL("filename",D1))+1,256)</f>
        <v>A-3 On-Site Habitat Enhancement</v>
      </c>
      <c r="F3" s="1202"/>
      <c r="G3" s="1203"/>
      <c r="R3" s="1154" t="s">
        <v>131</v>
      </c>
      <c r="S3" s="1155"/>
      <c r="T3" s="1212" t="e">
        <f>#REF!</f>
        <v>#REF!</v>
      </c>
      <c r="U3" s="1213"/>
      <c r="V3" s="1209"/>
      <c r="W3" s="1209"/>
      <c r="X3" s="1209"/>
      <c r="Y3" s="1209"/>
      <c r="Z3" s="1209"/>
      <c r="AA3" s="1209"/>
      <c r="AD3" s="1208"/>
      <c r="AE3" s="1208"/>
      <c r="AF3" s="1208"/>
      <c r="AG3" s="1208"/>
      <c r="AH3" s="1208"/>
      <c r="AI3" s="1208"/>
    </row>
    <row r="4" spans="1:47" ht="15.75" customHeight="1" thickBot="1" x14ac:dyDescent="0.35">
      <c r="E4" s="1162"/>
      <c r="F4" s="1204"/>
      <c r="G4" s="1163"/>
      <c r="H4" s="158" t="str">
        <f>IF(G4="","",IF(ISNA(VLOOKUP($E4,'A-1 On-Site Habitat Baseline'!$D$1:$O$258,3,FALSE)),"",(VLOOKUP($E4,'A-1 On-Site Habitat Baseline'!$D$1:$O$258,3,FALSE))))</f>
        <v/>
      </c>
      <c r="R4" s="1156" t="s">
        <v>133</v>
      </c>
      <c r="S4" s="1157"/>
      <c r="T4" s="1214" t="e">
        <f>#REF!</f>
        <v>#REF!</v>
      </c>
      <c r="U4" s="1215"/>
      <c r="V4" s="1209"/>
      <c r="W4" s="1209"/>
      <c r="X4" s="1209"/>
      <c r="Y4" s="1209"/>
      <c r="Z4" s="1209"/>
      <c r="AA4" s="1209"/>
      <c r="AD4" s="267"/>
      <c r="AE4" s="267"/>
      <c r="AF4" s="267"/>
      <c r="AG4" s="267"/>
      <c r="AK4" s="159"/>
      <c r="AL4" s="159"/>
      <c r="AM4" s="159"/>
    </row>
    <row r="5" spans="1:47" ht="15" customHeight="1" thickBot="1" x14ac:dyDescent="0.35">
      <c r="H5" s="1175" t="str" cm="1">
        <f t="array" ref="H5">IF(OR(AU12:AU257="Yes"), "👁 Enhanced irreplaceable habitats highlighted below ", "")</f>
        <v/>
      </c>
      <c r="I5" s="1175"/>
      <c r="J5" s="1175"/>
      <c r="K5" s="1175"/>
      <c r="L5" s="1175"/>
      <c r="R5" s="1158" t="s">
        <v>135</v>
      </c>
      <c r="S5" s="1152"/>
      <c r="T5" s="1152" t="e" cm="1">
        <f t="array" ref="T5">IF(OR(#REF!="No ▲"), "No - check trading summaries ▲", "Yes ✓")</f>
        <v>#REF!</v>
      </c>
      <c r="U5" s="1153"/>
      <c r="V5" s="1209"/>
      <c r="W5" s="1209"/>
      <c r="X5" s="1209"/>
      <c r="Y5" s="1209"/>
      <c r="Z5" s="1209"/>
      <c r="AA5" s="1209"/>
      <c r="AD5" s="1208" t="str" cm="1">
        <f t="array" ref="AD5">IF(OR(AT12:AT257="Yes"),"Change in broad habitat type detected. Check compliance with guidance ⚠","")</f>
        <v/>
      </c>
      <c r="AE5" s="1208"/>
      <c r="AF5" s="1208"/>
      <c r="AG5" s="1208"/>
      <c r="AH5" s="1208"/>
      <c r="AI5" s="1208"/>
    </row>
    <row r="6" spans="1:47" ht="15.75" customHeight="1" x14ac:dyDescent="0.3">
      <c r="H6" s="1175"/>
      <c r="I6" s="1175"/>
      <c r="J6" s="1175"/>
      <c r="K6" s="1175"/>
      <c r="L6" s="1175"/>
      <c r="R6" s="1210" t="str" cm="1">
        <f t="array" ref="R6">IF(OR(Q11:Q258="watercourse footprint"),"Please ensure the watercourse details for any watercourse footprints recorded are included in the watercourse tabs ⚠", "")</f>
        <v/>
      </c>
      <c r="S6" s="1210"/>
      <c r="T6" s="1210"/>
      <c r="AD6" s="1208"/>
      <c r="AE6" s="1208"/>
      <c r="AF6" s="1208"/>
      <c r="AG6" s="1208"/>
      <c r="AH6" s="1208"/>
      <c r="AI6" s="1208"/>
    </row>
    <row r="7" spans="1:47" x14ac:dyDescent="0.3">
      <c r="E7" s="21"/>
      <c r="F7" s="21"/>
      <c r="R7" s="1210"/>
      <c r="S7" s="1210"/>
      <c r="T7" s="1210"/>
    </row>
    <row r="8" spans="1:47" ht="18" customHeight="1" thickBot="1" x14ac:dyDescent="0.35">
      <c r="R8" s="1211"/>
      <c r="S8" s="1211"/>
      <c r="T8" s="1211"/>
    </row>
    <row r="9" spans="1:47" ht="15.65" customHeight="1" thickBot="1" x14ac:dyDescent="0.35">
      <c r="F9" s="26"/>
      <c r="G9" s="26"/>
      <c r="H9" s="26"/>
      <c r="I9" s="26"/>
      <c r="J9" s="26"/>
      <c r="K9" s="26"/>
      <c r="L9" s="26"/>
      <c r="M9" s="26"/>
      <c r="N9" s="26"/>
      <c r="O9" s="26"/>
      <c r="P9" s="26"/>
      <c r="Q9" s="896" t="s">
        <v>177</v>
      </c>
      <c r="R9" s="899"/>
      <c r="S9" s="899"/>
      <c r="T9" s="899"/>
      <c r="U9" s="899"/>
      <c r="V9" s="899"/>
      <c r="W9" s="899"/>
      <c r="X9" s="899"/>
      <c r="Y9" s="899"/>
      <c r="Z9" s="899"/>
      <c r="AA9" s="899"/>
      <c r="AB9" s="899"/>
      <c r="AC9" s="899"/>
      <c r="AD9" s="899"/>
      <c r="AE9" s="899"/>
      <c r="AF9" s="899"/>
      <c r="AG9" s="899"/>
      <c r="AH9" s="899"/>
      <c r="AI9" s="899"/>
      <c r="AJ9" s="899"/>
      <c r="AK9" s="899"/>
      <c r="AL9" s="899"/>
      <c r="AM9" s="932"/>
    </row>
    <row r="10" spans="1:47" ht="28.15" customHeight="1" thickBot="1" x14ac:dyDescent="0.35">
      <c r="F10" s="896" t="s">
        <v>198</v>
      </c>
      <c r="G10" s="899"/>
      <c r="H10" s="899"/>
      <c r="I10" s="899"/>
      <c r="J10" s="899"/>
      <c r="K10" s="899"/>
      <c r="L10" s="899"/>
      <c r="M10" s="899"/>
      <c r="N10" s="899"/>
      <c r="O10" s="932"/>
      <c r="P10" s="160"/>
      <c r="Q10" s="1205" t="s">
        <v>1534</v>
      </c>
      <c r="R10" s="1206"/>
      <c r="S10" s="254"/>
      <c r="T10" s="1207" t="s">
        <v>199</v>
      </c>
      <c r="U10" s="1206"/>
      <c r="V10" s="1218" t="s">
        <v>200</v>
      </c>
      <c r="W10" s="1198" t="s">
        <v>137</v>
      </c>
      <c r="X10" s="1198" t="s">
        <v>154</v>
      </c>
      <c r="Y10" s="1198" t="s">
        <v>138</v>
      </c>
      <c r="Z10" s="1199" t="s">
        <v>154</v>
      </c>
      <c r="AA10" s="1217" t="s">
        <v>139</v>
      </c>
      <c r="AB10" s="908"/>
      <c r="AC10" s="908"/>
      <c r="AD10" s="1198" t="s">
        <v>201</v>
      </c>
      <c r="AE10" s="1198"/>
      <c r="AF10" s="1198"/>
      <c r="AG10" s="1198"/>
      <c r="AH10" s="1198"/>
      <c r="AI10" s="1198"/>
      <c r="AJ10" s="1198" t="s">
        <v>202</v>
      </c>
      <c r="AK10" s="1198"/>
      <c r="AL10" s="1198"/>
      <c r="AM10" s="1199"/>
      <c r="AN10" s="1127" t="s">
        <v>182</v>
      </c>
      <c r="AO10" s="896" t="s">
        <v>144</v>
      </c>
      <c r="AP10" s="899"/>
      <c r="AQ10" s="932"/>
    </row>
    <row r="11" spans="1:47" s="22" customFormat="1" ht="60" customHeight="1" thickBot="1" x14ac:dyDescent="0.35">
      <c r="A11" s="248" t="s">
        <v>150</v>
      </c>
      <c r="B11" s="248" t="s">
        <v>203</v>
      </c>
      <c r="C11" s="248" t="s">
        <v>148</v>
      </c>
      <c r="E11" s="237" t="s">
        <v>204</v>
      </c>
      <c r="F11" s="241" t="s">
        <v>205</v>
      </c>
      <c r="G11" s="241" t="s">
        <v>206</v>
      </c>
      <c r="H11" s="241" t="s">
        <v>207</v>
      </c>
      <c r="I11" s="241" t="s">
        <v>208</v>
      </c>
      <c r="J11" s="241" t="s">
        <v>209</v>
      </c>
      <c r="K11" s="241" t="s">
        <v>210</v>
      </c>
      <c r="L11" s="241" t="s">
        <v>211</v>
      </c>
      <c r="M11" s="241" t="s">
        <v>212</v>
      </c>
      <c r="N11" s="241" t="s">
        <v>213</v>
      </c>
      <c r="O11" s="239" t="s">
        <v>140</v>
      </c>
      <c r="P11" s="235" t="s">
        <v>214</v>
      </c>
      <c r="Q11" s="245" t="s">
        <v>215</v>
      </c>
      <c r="R11" s="43" t="s">
        <v>179</v>
      </c>
      <c r="S11" s="236" t="s">
        <v>179</v>
      </c>
      <c r="T11" s="238" t="s">
        <v>216</v>
      </c>
      <c r="U11" s="240" t="s">
        <v>217</v>
      </c>
      <c r="V11" s="1219"/>
      <c r="W11" s="1216"/>
      <c r="X11" s="1216"/>
      <c r="Y11" s="1216"/>
      <c r="Z11" s="1220"/>
      <c r="AA11" s="245" t="s">
        <v>139</v>
      </c>
      <c r="AB11" s="249" t="s">
        <v>139</v>
      </c>
      <c r="AC11" s="250" t="s">
        <v>183</v>
      </c>
      <c r="AD11" s="245" t="s">
        <v>184</v>
      </c>
      <c r="AE11" s="251" t="s">
        <v>218</v>
      </c>
      <c r="AF11" s="251" t="s">
        <v>219</v>
      </c>
      <c r="AG11" s="251" t="s">
        <v>187</v>
      </c>
      <c r="AH11" s="251" t="s">
        <v>188</v>
      </c>
      <c r="AI11" s="246" t="s">
        <v>189</v>
      </c>
      <c r="AJ11" s="245" t="s">
        <v>220</v>
      </c>
      <c r="AK11" s="251" t="s">
        <v>191</v>
      </c>
      <c r="AL11" s="251" t="s">
        <v>221</v>
      </c>
      <c r="AM11" s="253" t="s">
        <v>193</v>
      </c>
      <c r="AN11" s="1170"/>
      <c r="AO11" s="245" t="s">
        <v>163</v>
      </c>
      <c r="AP11" s="246" t="s">
        <v>164</v>
      </c>
      <c r="AQ11" s="586" t="s">
        <v>1539</v>
      </c>
      <c r="AT11" s="22" t="s">
        <v>1526</v>
      </c>
      <c r="AU11" s="22" t="s">
        <v>1495</v>
      </c>
    </row>
    <row r="12" spans="1:47" x14ac:dyDescent="0.3">
      <c r="A12" s="20" t="str">
        <f>IF(E12="","",IF(ISNA(VLOOKUP($E12,'A-1 On-Site Habitat Baseline'!$D$1:$O$258,2,FALSE)),"",(VLOOKUP($E12,'A-1 On-Site Habitat Baseline'!$D$1:$O$258,2,FALSE))))</f>
        <v/>
      </c>
      <c r="B12" s="20" t="str">
        <f>IF(E12="","",IF(ISNA(VLOOKUP($E12,'A-1 On-Site Habitat Baseline'!$D$1:$O$258,3,FALSE)),"",(VLOOKUP($E12,'A-1 On-Site Habitat Baseline'!$D$1:$O$258,3,FALSE))))</f>
        <v/>
      </c>
      <c r="C12" s="20" t="str">
        <f>IFERROR(INDEX('G-8 Condition Look up'!$I$4:$I$135,MATCH(S12,'G-8 Condition Look up'!$A$4:$A$135,0)),"")</f>
        <v/>
      </c>
      <c r="E12" s="319" t="str">
        <f>'A-1 On-Site Habitat Baseline'!AL11</f>
        <v/>
      </c>
      <c r="F12" s="310" t="str">
        <f>IF(E12="","",IF(ISNA(VLOOKUP($E12,'A-1 On-Site Habitat Baseline'!$D$1:$AV$258,45,FALSE)),"",(VLOOKUP($E12,'A-1 On-Site Habitat Baseline'!$D$1:$AV$258,45,FALSE))))</f>
        <v/>
      </c>
      <c r="G12" s="310" t="str">
        <f>IF(E12="","",IF(ISNA(VLOOKUP($E12,'A-1 On-Site Habitat Baseline'!$D$1:$O$258,5,FALSE)),"",(VLOOKUP($E12,'A-1 On-Site Habitat Baseline'!$D$1:$O$258,5,FALSE))))</f>
        <v/>
      </c>
      <c r="H12" s="310" t="str">
        <f>IF(E12="","",IF(ISNA(VLOOKUP($E12,'A-1 On-Site Habitat Baseline'!$D$1:$O$258,6,FALSE)),"",(VLOOKUP($E12,'A-1 On-Site Habitat Baseline'!$D$1:$O$258,6,FALSE))))</f>
        <v/>
      </c>
      <c r="I12" s="310" t="str">
        <f>IF(E12="","",IF(ISNA(VLOOKUP($E12,'A-1 On-Site Habitat Baseline'!$D$1:$O$258,7,FALSE)),"",(VLOOKUP($E12,'A-1 On-Site Habitat Baseline'!$D$1:$O$258,7,FALSE))))</f>
        <v/>
      </c>
      <c r="J12" s="310" t="str">
        <f>IF(E12="","",IF(ISNA(VLOOKUP($E12,'A-1 On-Site Habitat Baseline'!$D$1:$O$258,8,FALSE)),"",(VLOOKUP($E12,'A-1 On-Site Habitat Baseline'!$D$1:$O$258,8,FALSE))))</f>
        <v/>
      </c>
      <c r="K12" s="310" t="str">
        <f>IF(E12="","",IF(ISNA(VLOOKUP($E12,'A-1 On-Site Habitat Baseline'!$D$1:$O$258,9,FALSE)),"",(VLOOKUP($E12,'A-1 On-Site Habitat Baseline'!$D$1:$O$258,9,FALSE))))</f>
        <v/>
      </c>
      <c r="L12" s="310" t="str">
        <f>IF(E12="","",IF(ISNA(VLOOKUP($E12,'A-1 On-Site Habitat Baseline'!$D$1:$O$258,11,FALSE)),"",(VLOOKUP($E12,'A-1 On-Site Habitat Baseline'!$D$1:$O$258,11,FALSE))))</f>
        <v/>
      </c>
      <c r="M12" s="310" t="str">
        <f>IF(E12="","",IF(ISNA(VLOOKUP($E12,'A-1 On-Site Habitat Baseline'!$D$1:$O$258,12,FALSE)),"",(VLOOKUP($E12,'A-1 On-Site Habitat Baseline'!$D$1:$O$258,12,FALSE))))</f>
        <v/>
      </c>
      <c r="N12" s="320" t="str">
        <f>IF(E12="","",IF(ISNA(VLOOKUP($E12,'A-1 On-Site Habitat Baseline'!$D$1:$X$258,14,FALSE)),"",(VLOOKUP($E12,'A-1 On-Site Habitat Baseline'!$D$1:$X$258,14,FALSE))))</f>
        <v/>
      </c>
      <c r="O12" s="314" t="str">
        <f>IF(E12="","",IF(ISNA(VLOOKUP($E12,'A-1 On-Site Habitat Baseline'!$D$1:$X$258,16,FALSE)),"",(VLOOKUP($E12,'A-1 On-Site Habitat Baseline'!$D$1:$X$258,13,FALSE))))</f>
        <v/>
      </c>
      <c r="P12" s="161" t="str">
        <f>IFERROR(INDEX('G-1 All Habitats'!$AG$49:$AG$63,MATCH(Q12,'G-1 All Habitats'!$AF$27:$AF$41,0)),"")</f>
        <v/>
      </c>
      <c r="Q12" s="162" t="str">
        <f t="shared" ref="Q12:Q76" si="0">A12</f>
        <v/>
      </c>
      <c r="R12" s="162"/>
      <c r="S12" s="252" t="str">
        <f>IFERROR(INDEX('G-1 All Habitats'!$B$3:$B$135,MATCH(R12,'G-1 All Habitats'!$A$3:$A$135,0)),"")</f>
        <v/>
      </c>
      <c r="T12" s="290" t="str">
        <f>IF(E12="","",IF(AND(LEFT(O12,6)="Same d",I12&gt;X12),"Error - Trading rules not satisfied ▲",IF(AND(LEFT(O12,6)="Same b",AND(LEFT(F12,5)&lt;&gt;LEFT(S12,5),I12&gt;X12)),"Error - Trading rules not satisfied ▲",IF(AND(LEFT(O12,6)="Same h",F12&lt;&gt;S12),"Error - Trading rules not satisfied ▲",IF(AND(LEFT(O12,6)="Bespok",F12&lt;&gt;S12),"Error - Trading rules not satisfied ▲",IF(X12&lt;I12,"Error Trading Down ▲",H12&amp;" - "&amp;W12))))))</f>
        <v/>
      </c>
      <c r="U12" s="291" t="str">
        <f>IF(F12="","",IF(AND(S12&lt;&gt;F12,AU12="Yes"), "Error you cannot replace an irreplaceable habitat ▲",IF(AND(LEFT(F12,55)&lt;&gt;LEFT(S12,55),T12= "High - High"),"Error - Not like for like ▲",IF(AND(I12=X12,K12&gt;Z12),"Error - Can not reduce condition ▲",IF(AND(I12=X12,K12=Z12),"Error - No enhancement ▲", IF(K12&gt;Z12, "Error - condition cannot be reduced ▲", IF(X12&lt;I12,"Error Trading Down ▲",IF(AND(F12&lt;&gt;S12,I12&lt;X12),"Lower Distinctiveness Habitat"&amp;" - "&amp;Y12,J12&amp;" - "&amp;Y12))))))))</f>
        <v/>
      </c>
      <c r="V12" s="325" t="str">
        <f>IF(S12="","",VLOOKUP(E12,BaselineHabSite,17,FALSE))</f>
        <v/>
      </c>
      <c r="W12" s="310" t="str">
        <f>IF(S12="","",VLOOKUP(S12,'G-1 All Habitats'!$B$2:$M$135,10,FALSE))</f>
        <v/>
      </c>
      <c r="X12" s="310" t="str">
        <f>IFERROR(VLOOKUP(W12,'G-1 All Habitats'!$V$3:$W$7,2,FALSE),"")</f>
        <v/>
      </c>
      <c r="Y12" s="45"/>
      <c r="Z12" s="314" t="str">
        <f>IFERROR(INDEX('G-8 Condition Look up'!$A$3:$H$135,MATCH(S12,'G-8 Condition Look up'!$A$3:$A$135,0),MATCH(Y12,'G-8 Condition Look up'!$A$3:$H$3,0)),"")</f>
        <v/>
      </c>
      <c r="AA12" s="38"/>
      <c r="AB12" s="310" t="str">
        <f>IF(AA12="","",IF(VLOOKUP(AA12,'G-3 Multipliers'!$L$3:$N$6,2,FALSE)=0,"Spatial Data Missing ⚠",VLOOKUP(AA12,'G-3 Multipliers'!$L$3:$N$6,2,FALSE)))</f>
        <v/>
      </c>
      <c r="AC12" s="314" t="str">
        <f>IF(AA12="","",IF(VLOOKUP(AA12,'G-3 Multipliers'!$L$3:$N$6,3,FALSE)=0,"Spatial Data Missing ⚠",VLOOKUP(AA12,'G-3 Multipliers'!$L$3:$N$6,3,FALSE)))</f>
        <v/>
      </c>
      <c r="AD12" s="327" t="str">
        <f>IFERROR(IF(OR(LEFT(U12,5)="Error",LEFT(T12,5)="Error"),"Check Data ⚠",INDEX(EnhanceTemporal,MATCH(S12,EnhanceHabitat,0),MATCH(U12,EnhanceCondition,0))),"")</f>
        <v/>
      </c>
      <c r="AE12" s="47"/>
      <c r="AF12" s="47"/>
      <c r="AG12" s="298" t="str">
        <f>IF(AD12="","",IF(AD12="Check Data ⚠","Check Data ⚠",IF(R12="","",IF(AND(AE12&gt;0,AF12&gt;0),"Error -both advance and delayed habitat creation ▲",IF(AND(OR(AE12="Habitat already in target condition",AD12&lt;=AE12),AF12=0),"Check details - Is there evidence that habitat has reached target condition? ⚠",IF(O11="","",IF(AE12&gt;0,"Check details - Is there evidence habitat creation started/in place? ⚠",IF(AF12&gt;0,"Check details- Delay in starting habitat in required condition? ⚠","Standard time to target condition applied"))))))))</f>
        <v/>
      </c>
      <c r="AH12" s="311" t="str">
        <f>IF(AG12="Error -both advance and delayed habitat creation ▲","Check Data ⚠",IF(AG12="Check Data ⚠","Check Data ⚠",IF(AD12="","",IF(AD12="Not Possible","Check Data ⚠",IF(AND(AD12="30+",AE12=0),"30+",IF(AND(AD12="30+",AE12="30+"),0,IF(AND(AD12="30+",AE12&lt;30),30-AE12,IF(AD12="30+",30-AE12,IF(AE12&gt;AD12,0,IF(AF12="30+","30+",IF(AD12+AF12&gt;30,"30+",IF(AD12+AF12&gt;30,"30+",IF(AD12-AE12&gt;30,"30+",IF(AD12+AF12-AE12&gt;0,AD12+AF12-AE12,IF(AD12-AE12&gt;0,AD12-AE12,AD12+AF12-AE12)))))))))))))))</f>
        <v/>
      </c>
      <c r="AI12" s="312" t="str">
        <f>IF(AH12="Check Data ⚠","Check Data ⚠",IFERROR(VLOOKUP(AH12,'G-4 Temporal multipliers'!$A$4:$C$36,3,FALSE),""))</f>
        <v/>
      </c>
      <c r="AJ12" s="290" t="str">
        <f>IF(S12="","",VLOOKUP(S12,'G-3 Multipliers'!$A$2:$E$134,4,FALSE))</f>
        <v/>
      </c>
      <c r="AK12" s="298" t="str">
        <f>IF(E12="","",IF(AG12="Check details - Is there evidence that habitat has reached target condition? ⚠","Low Difficulty - only applicable if all habitat created before losses ⚠","Standard difficulty applied"))</f>
        <v/>
      </c>
      <c r="AL12" s="298" t="str">
        <f>(IF(AND(AK12="Standard difficulty applied",AD12&gt;AE12),AJ12,IF(AND(AK12="Low Difficulty - only applicable if all habitat created before losses ⚠",AE12&gt;=AD12),"Low", AJ12)))</f>
        <v/>
      </c>
      <c r="AM12" s="328" t="str">
        <f>IFERROR(IF(F12="","",IF(AH12="Check Data ⚠","Check Data ⚠",VLOOKUP(AL12, 'G-3 Multipliers'!$P$2:$Q$6,2,FALSE))),"")</f>
        <v/>
      </c>
      <c r="AN12" s="304" t="str">
        <f>IFERROR(IF(OR(F12="Individual trees - Rural tree",F12="Individual trees - Urban tree"), "Error - You cannot enhance individual trees ▲",((((V12*X12*Z12)-(V12*I12*K12))*(AM12*AI12))+(V12*I12*K12))*(AC12)),"")</f>
        <v/>
      </c>
      <c r="AO12" s="163"/>
      <c r="AP12" s="164"/>
      <c r="AQ12" s="99"/>
      <c r="AT12" s="20" t="str">
        <f>IF(Q12&lt;&gt;A12,"Yes","No")</f>
        <v>No</v>
      </c>
      <c r="AU12" s="20" t="str">
        <f>IF(E12="","",IF(ISNA(VLOOKUP($E12,'A-1 On-Site Habitat Baseline'!$D$1:$AV$258,4,FALSE)),"",(VLOOKUP($E12,'A-1 On-Site Habitat Baseline'!$D$1:$AV$258,4,FALSE))))</f>
        <v/>
      </c>
    </row>
    <row r="13" spans="1:47" x14ac:dyDescent="0.3">
      <c r="A13" s="20" t="str">
        <f>IF(E13="","",IF(ISNA(VLOOKUP($E13,'A-1 On-Site Habitat Baseline'!$D$1:$O$258,2,FALSE)),"",(VLOOKUP($E13,'A-1 On-Site Habitat Baseline'!$D$1:$O$258,2,FALSE))))</f>
        <v/>
      </c>
      <c r="B13" s="20" t="str">
        <f>IF(E13="","",IF(ISNA(VLOOKUP($E13,'A-1 On-Site Habitat Baseline'!$D$1:$O$258,3,FALSE)),"",(VLOOKUP($E13,'A-1 On-Site Habitat Baseline'!$D$1:$O$258,3,FALSE))))</f>
        <v/>
      </c>
      <c r="C13" s="20" t="str">
        <f>IFERROR(INDEX('G-8 Condition Look up'!$I$4:$I$135,MATCH(S13,'G-8 Condition Look up'!$A$4:$A$135,0)),"")</f>
        <v/>
      </c>
      <c r="E13" s="319" t="str">
        <f>'A-1 On-Site Habitat Baseline'!AL12</f>
        <v/>
      </c>
      <c r="F13" s="310" t="str">
        <f>IF(E13="","",IF(ISNA(VLOOKUP($E13,'A-1 On-Site Habitat Baseline'!$D$1:$AV$258,45,FALSE)),"",(VLOOKUP($E13,'A-1 On-Site Habitat Baseline'!$D$1:$AV$258,45,FALSE))))</f>
        <v/>
      </c>
      <c r="G13" s="310" t="str">
        <f>IF(E13="","",IF(ISNA(VLOOKUP($E13,'A-1 On-Site Habitat Baseline'!$D$1:$O$258,5,FALSE)),"",(VLOOKUP($E13,'A-1 On-Site Habitat Baseline'!$D$1:$O$258,5,FALSE))))</f>
        <v/>
      </c>
      <c r="H13" s="310" t="str">
        <f>IF(E13="","",IF(ISNA(VLOOKUP($E13,'A-1 On-Site Habitat Baseline'!$D$1:$O$258,6,FALSE)),"",(VLOOKUP($E13,'A-1 On-Site Habitat Baseline'!$D$1:$O$258,6,FALSE))))</f>
        <v/>
      </c>
      <c r="I13" s="310" t="str">
        <f>IF(E13="","",IF(ISNA(VLOOKUP($E13,'A-1 On-Site Habitat Baseline'!$D$1:$O$258,7,FALSE)),"",(VLOOKUP($E13,'A-1 On-Site Habitat Baseline'!$D$1:$O$258,7,FALSE))))</f>
        <v/>
      </c>
      <c r="J13" s="310" t="str">
        <f>IF(E13="","",IF(ISNA(VLOOKUP($E13,'A-1 On-Site Habitat Baseline'!$D$1:$O$258,8,FALSE)),"",(VLOOKUP($E13,'A-1 On-Site Habitat Baseline'!$D$1:$O$258,8,FALSE))))</f>
        <v/>
      </c>
      <c r="K13" s="310" t="str">
        <f>IF(E13="","",IF(ISNA(VLOOKUP($E13,'A-1 On-Site Habitat Baseline'!$D$1:$O$258,9,FALSE)),"",(VLOOKUP($E13,'A-1 On-Site Habitat Baseline'!$D$1:$O$258,9,FALSE))))</f>
        <v/>
      </c>
      <c r="L13" s="310" t="str">
        <f>IF(E13="","",IF(ISNA(VLOOKUP($E13,'A-1 On-Site Habitat Baseline'!$D$1:$O$258,11,FALSE)),"",(VLOOKUP($E13,'A-1 On-Site Habitat Baseline'!$D$1:$O$258,11,FALSE))))</f>
        <v/>
      </c>
      <c r="M13" s="310" t="str">
        <f>IF(E13="","",IF(ISNA(VLOOKUP($E13,'A-1 On-Site Habitat Baseline'!$D$1:$O$258,12,FALSE)),"",(VLOOKUP($E13,'A-1 On-Site Habitat Baseline'!$D$1:$O$258,12,FALSE))))</f>
        <v/>
      </c>
      <c r="N13" s="320" t="str">
        <f>IF(E13="","",IF(ISNA(VLOOKUP($E13,'A-1 On-Site Habitat Baseline'!$D$1:$X$258,14,FALSE)),"",(VLOOKUP($E13,'A-1 On-Site Habitat Baseline'!$D$1:$X$258,14,FALSE))))</f>
        <v/>
      </c>
      <c r="O13" s="314" t="str">
        <f>IF(E13="","",IF(ISNA(VLOOKUP($E13,'A-1 On-Site Habitat Baseline'!$D$1:$X$258,16,FALSE)),"",(VLOOKUP($E13,'A-1 On-Site Habitat Baseline'!$D$1:$X$258,13,FALSE))))</f>
        <v/>
      </c>
      <c r="P13" s="161" t="str">
        <f>IFERROR(INDEX('G-1 All Habitats'!$AG$49:$AG$63,MATCH(Q13,'G-1 All Habitats'!$AF$27:$AF$41,0)),"")</f>
        <v/>
      </c>
      <c r="Q13" s="162" t="str">
        <f t="shared" si="0"/>
        <v/>
      </c>
      <c r="R13" s="162"/>
      <c r="S13" s="252" t="str">
        <f>IFERROR(INDEX('G-1 All Habitats'!$B$3:$B$135,MATCH(R13,'G-1 All Habitats'!$A$3:$A$135,0)),"")</f>
        <v/>
      </c>
      <c r="T13" s="290" t="str">
        <f t="shared" ref="T13:T76" si="1">IF(E13="","",IF(AND(LEFT(O13,6)="Same d",I13&gt;X13),"Error - Trading rules not satisfied ▲",IF(AND(LEFT(O13,6)="Same b",AND(LEFT(F13,5)&lt;&gt;LEFT(S13,5),I13&gt;X13)),"Error - Trading rules not satisfied ▲",IF(AND(LEFT(O13,6)="Same h",F13&lt;&gt;S13),"Error - Trading rules not satisfied ▲",IF(AND(LEFT(O13,6)="Bespok",F13&lt;&gt;S13),"Error - Trading rules not satisfied ▲",IF(X13&lt;I13,"Error Trading Down ▲",H13&amp;" - "&amp;W13))))))</f>
        <v/>
      </c>
      <c r="U13" s="291" t="str">
        <f>IF(F13="","",IF(AND(S13&lt;&gt;F13,AU13="Yes"), "Error you cannot replace an irreplaceable habitat ▲",IF(AND(LEFT(F13,55)&lt;&gt;LEFT(S13,55),T13= "High - High"),"Error - Not like for like ▲",IF(AND(I13=X13,K13&gt;Z13),"Error - Can not reduce condition ▲",IF(AND(I13=X13,K13=Z13),"Error - No enhancement ▲", IF(K13&gt;Z13, "Error - condition cannot be reduced ▲", IF(X13&lt;I13,"Error Trading Down ▲",IF(AND(F13&lt;&gt;S13,I13&lt;X13),"Lower Distinctiveness Habitat"&amp;" - "&amp;Y13,J13&amp;" - "&amp;Y13))))))))</f>
        <v/>
      </c>
      <c r="V13" s="325" t="str">
        <f t="shared" ref="V13:V75" si="2">IF(S13="","",VLOOKUP(E13,BaselineHabSite,17,FALSE))</f>
        <v/>
      </c>
      <c r="W13" s="310" t="str">
        <f>IF(S13="","",VLOOKUP(S13,'G-1 All Habitats'!$B$2:$M$135,10,FALSE))</f>
        <v/>
      </c>
      <c r="X13" s="310" t="str">
        <f>IFERROR(VLOOKUP(W13,'G-1 All Habitats'!$V$3:$W$7,2,FALSE),"")</f>
        <v/>
      </c>
      <c r="Y13" s="45"/>
      <c r="Z13" s="314" t="str">
        <f>IFERROR(INDEX('G-8 Condition Look up'!$A$3:$H$135,MATCH(S13,'G-8 Condition Look up'!$A$3:$A$135,0),MATCH(Y13,'G-8 Condition Look up'!$A$3:$H$3,0)),"")</f>
        <v/>
      </c>
      <c r="AA13" s="38"/>
      <c r="AB13" s="310" t="str">
        <f>IF(AA13="","",IF(VLOOKUP(AA13,'G-3 Multipliers'!$L$3:$N$6,2,FALSE)=0,"Spatial Data Missing ⚠",VLOOKUP(AA13,'G-3 Multipliers'!$L$3:$N$6,2,FALSE)))</f>
        <v/>
      </c>
      <c r="AC13" s="314" t="str">
        <f>IF(AA13="","",IF(VLOOKUP(AA13,'G-3 Multipliers'!$L$3:$N$6,3,FALSE)=0,"Spatial Data Missing ⚠",VLOOKUP(AA13,'G-3 Multipliers'!$L$3:$N$6,3,FALSE)))</f>
        <v/>
      </c>
      <c r="AD13" s="327" t="str">
        <f t="shared" ref="AD13:AD75" si="3">IFERROR(IF(OR(LEFT(U13,5)="Error",LEFT(T13,5)="Error"),"Check Data ⚠",INDEX(EnhanceTemporal,MATCH(S13,EnhanceHabitat,0),MATCH(U13,EnhanceCondition,0))),"")</f>
        <v/>
      </c>
      <c r="AE13" s="47"/>
      <c r="AF13" s="47"/>
      <c r="AG13" s="298" t="str">
        <f t="shared" ref="AG13:AG76" si="4">IF(AD13="","",IF(AD13="Check Data ⚠","Check Data ⚠",IF(R13="","",IF(AND(AE13&gt;0,AF13&gt;0),"Error -both advance and delayed habitat creation ▲",IF(AND(OR(AE13="Habitat already in target condition",AD13&lt;=AE13),AF13=0),"Check details - Is there evidence that habitat has reached target condition? ⚠",IF(O12="","",IF(AE13&gt;0,"Check details - Is there evidence habitat creation started/in place? ⚠",IF(AF13&gt;0,"Check details- Delay in starting habitat in required condition? ⚠","Standard time to target condition applied"))))))))</f>
        <v/>
      </c>
      <c r="AH13" s="311" t="str">
        <f t="shared" ref="AH13:AH76" si="5">IF(AG13="Error -both advance and delayed habitat creation ▲","Check Data ⚠",IF(AG13="Check Data ⚠","Check Data ⚠",IF(AD13="","",IF(AD13="Not Possible","Check Data ⚠",IF(AND(AD13="30+",AE13=0),"30+",IF(AND(AD13="30+",AE13="30+"),0,IF(AND(AD13="30+",AE13&lt;30),30-AE13,IF(AD13="30+",30-AE13,IF(AE13&gt;AD13,0,IF(AF13="30+","30+",IF(AD13+AF13&gt;30,"30+",IF(AD13+AF13&gt;30,"30+",IF(AD13-AE13&gt;30,"30+",IF(AD13+AF13-AE13&gt;0,AD13+AF13-AE13,IF(AD13-AE13&gt;0,AD13-AE13,AD13+AF13-AE13)))))))))))))))</f>
        <v/>
      </c>
      <c r="AI13" s="312" t="str">
        <f>IF(AH13="Check Data","Check Data",IFERROR(VLOOKUP(AH13,'G-4 Temporal multipliers'!$A$4:$C$36,3,FALSE),""))</f>
        <v/>
      </c>
      <c r="AJ13" s="290" t="str">
        <f>IF(S13="","",VLOOKUP(S13,'G-3 Multipliers'!$A$2:$E$134,4,FALSE))</f>
        <v/>
      </c>
      <c r="AK13" s="298" t="str">
        <f t="shared" ref="AK13:AK76" si="6">IF(E13="","",IF(AG13="Check details - Is there evidence that habitat has reached target condition? ⚠","Low Difficulty - only applicable if all habitat created before losses ⚠","Standard difficulty applied"))</f>
        <v/>
      </c>
      <c r="AL13" s="298" t="str">
        <f t="shared" ref="AL13:AL76" si="7">(IF(AND(AK13="Standard difficulty applied",AD13&gt;AE13),AJ13,IF(AND(AK13="Low Difficulty - only applicable if all habitat created before losses ⚠",AE13&gt;=AD13),"Low", AJ13)))</f>
        <v/>
      </c>
      <c r="AM13" s="328" t="str">
        <f>IFERROR(IF(F13="","",IF(AH13="Check Data ⚠","Check Data ⚠",VLOOKUP(AL13, 'G-3 Multipliers'!$P$2:$Q$6,2,FALSE))),"")</f>
        <v/>
      </c>
      <c r="AN13" s="304" t="str">
        <f t="shared" ref="AN13:AN76" si="8">IFERROR(IF(OR(F13="Individual trees - Rural tree",F13="Individual trees - Urban tree"), "Error - You cannot enhance individual trees ▲",((((V13*X13*Z13)-(V13*I13*K13))*(AM13*AI13))+(V13*I13*K13))*(AC13)),"")</f>
        <v/>
      </c>
      <c r="AO13" s="163"/>
      <c r="AP13" s="164"/>
      <c r="AQ13" s="101"/>
      <c r="AT13" s="20" t="str">
        <f t="shared" ref="AT13:AT76" si="9">IF(Q13&lt;&gt;A13,"Yes","No")</f>
        <v>No</v>
      </c>
      <c r="AU13" s="20" t="str">
        <f>IF(E13="","",IF(ISNA(VLOOKUP($E13,'A-1 On-Site Habitat Baseline'!$D$1:$AV$258,4,FALSE)),"",(VLOOKUP($E13,'A-1 On-Site Habitat Baseline'!$D$1:$AV$258,4,FALSE))))</f>
        <v/>
      </c>
    </row>
    <row r="14" spans="1:47" x14ac:dyDescent="0.3">
      <c r="A14" s="20" t="str">
        <f>IF(E14="","",IF(ISNA(VLOOKUP($E14,'A-1 On-Site Habitat Baseline'!$D$1:$O$258,2,FALSE)),"",(VLOOKUP($E14,'A-1 On-Site Habitat Baseline'!$D$1:$O$258,2,FALSE))))</f>
        <v/>
      </c>
      <c r="B14" s="20" t="str">
        <f>IF(E14="","",IF(ISNA(VLOOKUP($E14,'A-1 On-Site Habitat Baseline'!$D$1:$O$258,3,FALSE)),"",(VLOOKUP($E14,'A-1 On-Site Habitat Baseline'!$D$1:$O$258,3,FALSE))))</f>
        <v/>
      </c>
      <c r="C14" s="20" t="str">
        <f>IFERROR(INDEX('G-8 Condition Look up'!$I$4:$I$135,MATCH(S14,'G-8 Condition Look up'!$A$4:$A$135,0)),"")</f>
        <v/>
      </c>
      <c r="E14" s="319" t="str">
        <f>'A-1 On-Site Habitat Baseline'!AL13</f>
        <v/>
      </c>
      <c r="F14" s="310" t="str">
        <f>IF(E14="","",IF(ISNA(VLOOKUP($E14,'A-1 On-Site Habitat Baseline'!$D$1:$AV$258,45,FALSE)),"",(VLOOKUP($E14,'A-1 On-Site Habitat Baseline'!$D$1:$AV$258,45,FALSE))))</f>
        <v/>
      </c>
      <c r="G14" s="310" t="str">
        <f>IF(E14="","",IF(ISNA(VLOOKUP($E14,'A-1 On-Site Habitat Baseline'!$D$1:$O$258,5,FALSE)),"",(VLOOKUP($E14,'A-1 On-Site Habitat Baseline'!$D$1:$O$258,5,FALSE))))</f>
        <v/>
      </c>
      <c r="H14" s="310" t="str">
        <f>IF(E14="","",IF(ISNA(VLOOKUP($E14,'A-1 On-Site Habitat Baseline'!$D$1:$O$258,6,FALSE)),"",(VLOOKUP($E14,'A-1 On-Site Habitat Baseline'!$D$1:$O$258,6,FALSE))))</f>
        <v/>
      </c>
      <c r="I14" s="310" t="str">
        <f>IF(E14="","",IF(ISNA(VLOOKUP($E14,'A-1 On-Site Habitat Baseline'!$D$1:$O$258,7,FALSE)),"",(VLOOKUP($E14,'A-1 On-Site Habitat Baseline'!$D$1:$O$258,7,FALSE))))</f>
        <v/>
      </c>
      <c r="J14" s="310" t="str">
        <f>IF(E14="","",IF(ISNA(VLOOKUP($E14,'A-1 On-Site Habitat Baseline'!$D$1:$O$258,8,FALSE)),"",(VLOOKUP($E14,'A-1 On-Site Habitat Baseline'!$D$1:$O$258,8,FALSE))))</f>
        <v/>
      </c>
      <c r="K14" s="310" t="str">
        <f>IF(E14="","",IF(ISNA(VLOOKUP($E14,'A-1 On-Site Habitat Baseline'!$D$1:$O$258,9,FALSE)),"",(VLOOKUP($E14,'A-1 On-Site Habitat Baseline'!$D$1:$O$258,9,FALSE))))</f>
        <v/>
      </c>
      <c r="L14" s="310" t="str">
        <f>IF(E14="","",IF(ISNA(VLOOKUP($E14,'A-1 On-Site Habitat Baseline'!$D$1:$O$258,11,FALSE)),"",(VLOOKUP($E14,'A-1 On-Site Habitat Baseline'!$D$1:$O$258,11,FALSE))))</f>
        <v/>
      </c>
      <c r="M14" s="310" t="str">
        <f>IF(E14="","",IF(ISNA(VLOOKUP($E14,'A-1 On-Site Habitat Baseline'!$D$1:$O$258,12,FALSE)),"",(VLOOKUP($E14,'A-1 On-Site Habitat Baseline'!$D$1:$O$258,12,FALSE))))</f>
        <v/>
      </c>
      <c r="N14" s="320" t="str">
        <f>IF(E14="","",IF(ISNA(VLOOKUP($E14,'A-1 On-Site Habitat Baseline'!$D$1:$X$258,14,FALSE)),"",(VLOOKUP($E14,'A-1 On-Site Habitat Baseline'!$D$1:$X$258,14,FALSE))))</f>
        <v/>
      </c>
      <c r="O14" s="314" t="str">
        <f>IF(E14="","",IF(ISNA(VLOOKUP($E14,'A-1 On-Site Habitat Baseline'!$D$1:$X$258,16,FALSE)),"",(VLOOKUP($E14,'A-1 On-Site Habitat Baseline'!$D$1:$X$258,13,FALSE))))</f>
        <v/>
      </c>
      <c r="P14" s="161" t="str">
        <f>IFERROR(INDEX('G-1 All Habitats'!$AG$49:$AG$63,MATCH(Q14,'G-1 All Habitats'!$AF$27:$AF$41,0)),"")</f>
        <v/>
      </c>
      <c r="Q14" s="162" t="str">
        <f t="shared" si="0"/>
        <v/>
      </c>
      <c r="R14" s="162"/>
      <c r="S14" s="252" t="str">
        <f>IFERROR(INDEX('G-1 All Habitats'!$B$3:$B$135,MATCH(R14,'G-1 All Habitats'!$A$3:$A$135,0)),"")</f>
        <v/>
      </c>
      <c r="T14" s="290" t="str">
        <f t="shared" si="1"/>
        <v/>
      </c>
      <c r="U14" s="291" t="str">
        <f t="shared" ref="U14:U76" si="10">IF(F14="","",IF(AND(S14&lt;&gt;F14,AU14="Yes"), "Error you cannot replace an irreplaceable habitat ▲",IF(AND(LEFT(F14,55)&lt;&gt;LEFT(S14,55),T14= "High - High"),"Error - Not like for like ▲",IF(AND(I14=X14,K14&gt;Z14),"Error - Can not reduce condition ▲",IF(AND(I14=X14,K14=Z14),"Error - No enhancement ▲", IF(K14&gt;Z14, "Error - condition cannot be reduced ▲", IF(X14&lt;I14,"Error Trading Down ▲",IF(AND(F14&lt;&gt;S14,I14&lt;X14),"Lower Distinctiveness Habitat"&amp;" - "&amp;Y14,J14&amp;" - "&amp;Y14))))))))</f>
        <v/>
      </c>
      <c r="V14" s="325" t="str">
        <f t="shared" si="2"/>
        <v/>
      </c>
      <c r="W14" s="310" t="str">
        <f>IF(S14="","",VLOOKUP(S14,'G-1 All Habitats'!$B$2:$M$135,10,FALSE))</f>
        <v/>
      </c>
      <c r="X14" s="310" t="str">
        <f>IFERROR(VLOOKUP(W14,'G-1 All Habitats'!$V$3:$W$7,2,FALSE),"")</f>
        <v/>
      </c>
      <c r="Y14" s="45"/>
      <c r="Z14" s="314" t="str">
        <f>IFERROR(INDEX('G-8 Condition Look up'!$A$3:$H$135,MATCH(S14,'G-8 Condition Look up'!$A$3:$A$135,0),MATCH(Y14,'G-8 Condition Look up'!$A$3:$H$3,0)),"")</f>
        <v/>
      </c>
      <c r="AA14" s="38"/>
      <c r="AB14" s="310" t="str">
        <f>IF(AA14="","",IF(VLOOKUP(AA14,'G-3 Multipliers'!$L$3:$N$6,2,FALSE)=0,"Spatial Data Missing ⚠",VLOOKUP(AA14,'G-3 Multipliers'!$L$3:$N$6,2,FALSE)))</f>
        <v/>
      </c>
      <c r="AC14" s="314" t="str">
        <f>IF(AA14="","",IF(VLOOKUP(AA14,'G-3 Multipliers'!$L$3:$N$6,3,FALSE)=0,"Spatial Data Missing ⚠",VLOOKUP(AA14,'G-3 Multipliers'!$L$3:$N$6,3,FALSE)))</f>
        <v/>
      </c>
      <c r="AD14" s="327" t="str">
        <f t="shared" si="3"/>
        <v/>
      </c>
      <c r="AE14" s="47"/>
      <c r="AF14" s="47"/>
      <c r="AG14" s="298" t="str">
        <f t="shared" si="4"/>
        <v/>
      </c>
      <c r="AH14" s="311" t="str">
        <f t="shared" si="5"/>
        <v/>
      </c>
      <c r="AI14" s="312" t="str">
        <f>IF(AH14="Check Data","Check Data",IFERROR(VLOOKUP(AH14,'G-4 Temporal multipliers'!$A$4:$C$36,3,FALSE),""))</f>
        <v/>
      </c>
      <c r="AJ14" s="290" t="str">
        <f>IF(S14="","",VLOOKUP(S14,'G-3 Multipliers'!$A$2:$E$134,4,FALSE))</f>
        <v/>
      </c>
      <c r="AK14" s="298" t="str">
        <f t="shared" si="6"/>
        <v/>
      </c>
      <c r="AL14" s="298" t="str">
        <f t="shared" si="7"/>
        <v/>
      </c>
      <c r="AM14" s="328" t="str">
        <f>IFERROR(IF(F14="","",IF(AH14="Check Data ⚠","Check Data ⚠",VLOOKUP(AL14, 'G-3 Multipliers'!$P$2:$Q$6,2,FALSE))),"")</f>
        <v/>
      </c>
      <c r="AN14" s="304" t="str">
        <f t="shared" si="8"/>
        <v/>
      </c>
      <c r="AO14" s="163"/>
      <c r="AP14" s="164"/>
      <c r="AQ14" s="101"/>
      <c r="AT14" s="20" t="str">
        <f t="shared" si="9"/>
        <v>No</v>
      </c>
      <c r="AU14" s="20" t="str">
        <f>IF(E14="","",IF(ISNA(VLOOKUP($E14,'A-1 On-Site Habitat Baseline'!$D$1:$AV$258,4,FALSE)),"",(VLOOKUP($E14,'A-1 On-Site Habitat Baseline'!$D$1:$AV$258,4,FALSE))))</f>
        <v/>
      </c>
    </row>
    <row r="15" spans="1:47" x14ac:dyDescent="0.3">
      <c r="A15" s="20" t="str">
        <f>IF(E15="","",IF(ISNA(VLOOKUP($E15,'A-1 On-Site Habitat Baseline'!$D$1:$O$258,2,FALSE)),"",(VLOOKUP($E15,'A-1 On-Site Habitat Baseline'!$D$1:$O$258,2,FALSE))))</f>
        <v/>
      </c>
      <c r="B15" s="20" t="str">
        <f>IF(E15="","",IF(ISNA(VLOOKUP($E15,'A-1 On-Site Habitat Baseline'!$D$1:$O$258,3,FALSE)),"",(VLOOKUP($E15,'A-1 On-Site Habitat Baseline'!$D$1:$O$258,3,FALSE))))</f>
        <v/>
      </c>
      <c r="C15" s="20" t="str">
        <f>IFERROR(INDEX('G-8 Condition Look up'!$I$4:$I$135,MATCH(S15,'G-8 Condition Look up'!$A$4:$A$135,0)),"")</f>
        <v/>
      </c>
      <c r="E15" s="319" t="str">
        <f>'A-1 On-Site Habitat Baseline'!AL14</f>
        <v/>
      </c>
      <c r="F15" s="310" t="str">
        <f>IF(E15="","",IF(ISNA(VLOOKUP($E15,'A-1 On-Site Habitat Baseline'!$D$1:$AV$258,45,FALSE)),"",(VLOOKUP($E15,'A-1 On-Site Habitat Baseline'!$D$1:$AV$258,45,FALSE))))</f>
        <v/>
      </c>
      <c r="G15" s="310" t="str">
        <f>IF(E15="","",IF(ISNA(VLOOKUP($E15,'A-1 On-Site Habitat Baseline'!$D$1:$O$258,5,FALSE)),"",(VLOOKUP($E15,'A-1 On-Site Habitat Baseline'!$D$1:$O$258,5,FALSE))))</f>
        <v/>
      </c>
      <c r="H15" s="310" t="str">
        <f>IF(E15="","",IF(ISNA(VLOOKUP($E15,'A-1 On-Site Habitat Baseline'!$D$1:$O$258,6,FALSE)),"",(VLOOKUP($E15,'A-1 On-Site Habitat Baseline'!$D$1:$O$258,6,FALSE))))</f>
        <v/>
      </c>
      <c r="I15" s="310" t="str">
        <f>IF(E15="","",IF(ISNA(VLOOKUP($E15,'A-1 On-Site Habitat Baseline'!$D$1:$O$258,7,FALSE)),"",(VLOOKUP($E15,'A-1 On-Site Habitat Baseline'!$D$1:$O$258,7,FALSE))))</f>
        <v/>
      </c>
      <c r="J15" s="310" t="str">
        <f>IF(E15="","",IF(ISNA(VLOOKUP($E15,'A-1 On-Site Habitat Baseline'!$D$1:$O$258,8,FALSE)),"",(VLOOKUP($E15,'A-1 On-Site Habitat Baseline'!$D$1:$O$258,8,FALSE))))</f>
        <v/>
      </c>
      <c r="K15" s="310" t="str">
        <f>IF(E15="","",IF(ISNA(VLOOKUP($E15,'A-1 On-Site Habitat Baseline'!$D$1:$O$258,9,FALSE)),"",(VLOOKUP($E15,'A-1 On-Site Habitat Baseline'!$D$1:$O$258,9,FALSE))))</f>
        <v/>
      </c>
      <c r="L15" s="310" t="str">
        <f>IF(E15="","",IF(ISNA(VLOOKUP($E15,'A-1 On-Site Habitat Baseline'!$D$1:$O$258,11,FALSE)),"",(VLOOKUP($E15,'A-1 On-Site Habitat Baseline'!$D$1:$O$258,11,FALSE))))</f>
        <v/>
      </c>
      <c r="M15" s="310" t="str">
        <f>IF(E15="","",IF(ISNA(VLOOKUP($E15,'A-1 On-Site Habitat Baseline'!$D$1:$O$258,12,FALSE)),"",(VLOOKUP($E15,'A-1 On-Site Habitat Baseline'!$D$1:$O$258,12,FALSE))))</f>
        <v/>
      </c>
      <c r="N15" s="320" t="str">
        <f>IF(E15="","",IF(ISNA(VLOOKUP($E15,'A-1 On-Site Habitat Baseline'!$D$1:$X$258,14,FALSE)),"",(VLOOKUP($E15,'A-1 On-Site Habitat Baseline'!$D$1:$X$258,14,FALSE))))</f>
        <v/>
      </c>
      <c r="O15" s="314" t="str">
        <f>IF(E15="","",IF(ISNA(VLOOKUP($E15,'A-1 On-Site Habitat Baseline'!$D$1:$X$258,16,FALSE)),"",(VLOOKUP($E15,'A-1 On-Site Habitat Baseline'!$D$1:$X$258,13,FALSE))))</f>
        <v/>
      </c>
      <c r="P15" s="161" t="str">
        <f>IFERROR(INDEX('G-1 All Habitats'!$AG$49:$AG$63,MATCH(Q15,'G-1 All Habitats'!$AF$27:$AF$41,0)),"")</f>
        <v/>
      </c>
      <c r="Q15" s="162" t="str">
        <f t="shared" si="0"/>
        <v/>
      </c>
      <c r="R15" s="162"/>
      <c r="S15" s="252" t="str">
        <f>IFERROR(INDEX('G-1 All Habitats'!$B$3:$B$135,MATCH(R15,'G-1 All Habitats'!$A$3:$A$135,0)),"")</f>
        <v/>
      </c>
      <c r="T15" s="290" t="str">
        <f t="shared" si="1"/>
        <v/>
      </c>
      <c r="U15" s="291" t="str">
        <f t="shared" si="10"/>
        <v/>
      </c>
      <c r="V15" s="325" t="str">
        <f t="shared" si="2"/>
        <v/>
      </c>
      <c r="W15" s="310" t="str">
        <f>IF(S15="","",VLOOKUP(S15,'G-1 All Habitats'!$B$2:$M$135,10,FALSE))</f>
        <v/>
      </c>
      <c r="X15" s="310" t="str">
        <f>IFERROR(VLOOKUP(W15,'G-1 All Habitats'!$V$3:$W$7,2,FALSE),"")</f>
        <v/>
      </c>
      <c r="Y15" s="45"/>
      <c r="Z15" s="314" t="str">
        <f>IFERROR(INDEX('G-8 Condition Look up'!$A$3:$H$135,MATCH(S15,'G-8 Condition Look up'!$A$3:$A$135,0),MATCH(Y15,'G-8 Condition Look up'!$A$3:$H$3,0)),"")</f>
        <v/>
      </c>
      <c r="AA15" s="38"/>
      <c r="AB15" s="310" t="str">
        <f>IF(AA15="","",IF(VLOOKUP(AA15,'G-3 Multipliers'!$L$3:$N$6,2,FALSE)=0,"Spatial Data Missing ⚠",VLOOKUP(AA15,'G-3 Multipliers'!$L$3:$N$6,2,FALSE)))</f>
        <v/>
      </c>
      <c r="AC15" s="314" t="str">
        <f>IF(AA15="","",IF(VLOOKUP(AA15,'G-3 Multipliers'!$L$3:$N$6,3,FALSE)=0,"Spatial Data Missing ⚠",VLOOKUP(AA15,'G-3 Multipliers'!$L$3:$N$6,3,FALSE)))</f>
        <v/>
      </c>
      <c r="AD15" s="327" t="str">
        <f t="shared" si="3"/>
        <v/>
      </c>
      <c r="AE15" s="47"/>
      <c r="AF15" s="47"/>
      <c r="AG15" s="298" t="str">
        <f t="shared" si="4"/>
        <v/>
      </c>
      <c r="AH15" s="311" t="str">
        <f t="shared" si="5"/>
        <v/>
      </c>
      <c r="AI15" s="312" t="str">
        <f>IF(AH15="Check Data","Check Data",IFERROR(VLOOKUP(AH15,'G-4 Temporal multipliers'!$A$4:$C$36,3,FALSE),""))</f>
        <v/>
      </c>
      <c r="AJ15" s="290" t="str">
        <f>IF(S15="","",VLOOKUP(S15,'G-3 Multipliers'!$A$2:$E$134,4,FALSE))</f>
        <v/>
      </c>
      <c r="AK15" s="298" t="str">
        <f t="shared" si="6"/>
        <v/>
      </c>
      <c r="AL15" s="298" t="str">
        <f t="shared" si="7"/>
        <v/>
      </c>
      <c r="AM15" s="328" t="str">
        <f>IFERROR(IF(F15="","",IF(AH15="Check Data ⚠","Check Data ⚠",VLOOKUP(AL15, 'G-3 Multipliers'!$P$2:$Q$6,2,FALSE))),"")</f>
        <v/>
      </c>
      <c r="AN15" s="304" t="str">
        <f t="shared" si="8"/>
        <v/>
      </c>
      <c r="AO15" s="163"/>
      <c r="AP15" s="164"/>
      <c r="AQ15" s="101"/>
      <c r="AT15" s="20" t="str">
        <f t="shared" si="9"/>
        <v>No</v>
      </c>
      <c r="AU15" s="20" t="str">
        <f>IF(E15="","",IF(ISNA(VLOOKUP($E15,'A-1 On-Site Habitat Baseline'!$D$1:$AV$258,4,FALSE)),"",(VLOOKUP($E15,'A-1 On-Site Habitat Baseline'!$D$1:$AV$258,4,FALSE))))</f>
        <v/>
      </c>
    </row>
    <row r="16" spans="1:47" x14ac:dyDescent="0.3">
      <c r="A16" s="20" t="str">
        <f>IF(E16="","",IF(ISNA(VLOOKUP($E16,'A-1 On-Site Habitat Baseline'!$D$1:$O$258,2,FALSE)),"",(VLOOKUP($E16,'A-1 On-Site Habitat Baseline'!$D$1:$O$258,2,FALSE))))</f>
        <v/>
      </c>
      <c r="B16" s="20" t="str">
        <f>IF(E16="","",IF(ISNA(VLOOKUP($E16,'A-1 On-Site Habitat Baseline'!$D$1:$O$258,3,FALSE)),"",(VLOOKUP($E16,'A-1 On-Site Habitat Baseline'!$D$1:$O$258,3,FALSE))))</f>
        <v/>
      </c>
      <c r="C16" s="20" t="str">
        <f>IFERROR(INDEX('G-8 Condition Look up'!$I$4:$I$135,MATCH(S16,'G-8 Condition Look up'!$A$4:$A$135,0)),"")</f>
        <v/>
      </c>
      <c r="E16" s="319" t="str">
        <f>'A-1 On-Site Habitat Baseline'!AL15</f>
        <v/>
      </c>
      <c r="F16" s="310" t="str">
        <f>IF(E16="","",IF(ISNA(VLOOKUP($E16,'A-1 On-Site Habitat Baseline'!$D$1:$AV$258,45,FALSE)),"",(VLOOKUP($E16,'A-1 On-Site Habitat Baseline'!$D$1:$AV$258,45,FALSE))))</f>
        <v/>
      </c>
      <c r="G16" s="310" t="str">
        <f>IF(E16="","",IF(ISNA(VLOOKUP($E16,'A-1 On-Site Habitat Baseline'!$D$1:$O$258,5,FALSE)),"",(VLOOKUP($E16,'A-1 On-Site Habitat Baseline'!$D$1:$O$258,5,FALSE))))</f>
        <v/>
      </c>
      <c r="H16" s="310" t="str">
        <f>IF(E16="","",IF(ISNA(VLOOKUP($E16,'A-1 On-Site Habitat Baseline'!$D$1:$O$258,6,FALSE)),"",(VLOOKUP($E16,'A-1 On-Site Habitat Baseline'!$D$1:$O$258,6,FALSE))))</f>
        <v/>
      </c>
      <c r="I16" s="310" t="str">
        <f>IF(E16="","",IF(ISNA(VLOOKUP($E16,'A-1 On-Site Habitat Baseline'!$D$1:$O$258,7,FALSE)),"",(VLOOKUP($E16,'A-1 On-Site Habitat Baseline'!$D$1:$O$258,7,FALSE))))</f>
        <v/>
      </c>
      <c r="J16" s="310" t="str">
        <f>IF(E16="","",IF(ISNA(VLOOKUP($E16,'A-1 On-Site Habitat Baseline'!$D$1:$O$258,8,FALSE)),"",(VLOOKUP($E16,'A-1 On-Site Habitat Baseline'!$D$1:$O$258,8,FALSE))))</f>
        <v/>
      </c>
      <c r="K16" s="310" t="str">
        <f>IF(E16="","",IF(ISNA(VLOOKUP($E16,'A-1 On-Site Habitat Baseline'!$D$1:$O$258,9,FALSE)),"",(VLOOKUP($E16,'A-1 On-Site Habitat Baseline'!$D$1:$O$258,9,FALSE))))</f>
        <v/>
      </c>
      <c r="L16" s="310" t="str">
        <f>IF(E16="","",IF(ISNA(VLOOKUP($E16,'A-1 On-Site Habitat Baseline'!$D$1:$O$258,11,FALSE)),"",(VLOOKUP($E16,'A-1 On-Site Habitat Baseline'!$D$1:$O$258,11,FALSE))))</f>
        <v/>
      </c>
      <c r="M16" s="310" t="str">
        <f>IF(E16="","",IF(ISNA(VLOOKUP($E16,'A-1 On-Site Habitat Baseline'!$D$1:$O$258,12,FALSE)),"",(VLOOKUP($E16,'A-1 On-Site Habitat Baseline'!$D$1:$O$258,12,FALSE))))</f>
        <v/>
      </c>
      <c r="N16" s="320" t="str">
        <f>IF(E16="","",IF(ISNA(VLOOKUP($E16,'A-1 On-Site Habitat Baseline'!$D$1:$X$258,14,FALSE)),"",(VLOOKUP($E16,'A-1 On-Site Habitat Baseline'!$D$1:$X$258,14,FALSE))))</f>
        <v/>
      </c>
      <c r="O16" s="314" t="str">
        <f>IF(E16="","",IF(ISNA(VLOOKUP($E16,'A-1 On-Site Habitat Baseline'!$D$1:$X$258,16,FALSE)),"",(VLOOKUP($E16,'A-1 On-Site Habitat Baseline'!$D$1:$X$258,13,FALSE))))</f>
        <v/>
      </c>
      <c r="P16" s="161" t="str">
        <f>IFERROR(INDEX('G-1 All Habitats'!$AG$49:$AG$63,MATCH(Q16,'G-1 All Habitats'!$AF$27:$AF$41,0)),"")</f>
        <v/>
      </c>
      <c r="Q16" s="162" t="str">
        <f t="shared" si="0"/>
        <v/>
      </c>
      <c r="R16" s="162"/>
      <c r="S16" s="252" t="str">
        <f>IFERROR(INDEX('G-1 All Habitats'!$B$3:$B$135,MATCH(R16,'G-1 All Habitats'!$A$3:$A$135,0)),"")</f>
        <v/>
      </c>
      <c r="T16" s="290" t="str">
        <f t="shared" si="1"/>
        <v/>
      </c>
      <c r="U16" s="291" t="str">
        <f t="shared" si="10"/>
        <v/>
      </c>
      <c r="V16" s="325" t="str">
        <f t="shared" si="2"/>
        <v/>
      </c>
      <c r="W16" s="310" t="str">
        <f>IF(S16="","",VLOOKUP(S16,'G-1 All Habitats'!$B$2:$M$135,10,FALSE))</f>
        <v/>
      </c>
      <c r="X16" s="310" t="str">
        <f>IFERROR(VLOOKUP(W16,'G-1 All Habitats'!$V$3:$W$7,2,FALSE),"")</f>
        <v/>
      </c>
      <c r="Y16" s="45"/>
      <c r="Z16" s="314" t="str">
        <f>IFERROR(INDEX('G-8 Condition Look up'!$A$3:$H$135,MATCH(S16,'G-8 Condition Look up'!$A$3:$A$135,0),MATCH(Y16,'G-8 Condition Look up'!$A$3:$H$3,0)),"")</f>
        <v/>
      </c>
      <c r="AA16" s="38"/>
      <c r="AB16" s="310" t="str">
        <f>IF(AA16="","",IF(VLOOKUP(AA16,'G-3 Multipliers'!$L$3:$N$6,2,FALSE)=0,"Spatial Data Missing ⚠",VLOOKUP(AA16,'G-3 Multipliers'!$L$3:$N$6,2,FALSE)))</f>
        <v/>
      </c>
      <c r="AC16" s="314" t="str">
        <f>IF(AA16="","",IF(VLOOKUP(AA16,'G-3 Multipliers'!$L$3:$N$6,3,FALSE)=0,"Spatial Data Missing ⚠",VLOOKUP(AA16,'G-3 Multipliers'!$L$3:$N$6,3,FALSE)))</f>
        <v/>
      </c>
      <c r="AD16" s="327" t="str">
        <f t="shared" si="3"/>
        <v/>
      </c>
      <c r="AE16" s="47"/>
      <c r="AF16" s="47"/>
      <c r="AG16" s="298" t="str">
        <f t="shared" si="4"/>
        <v/>
      </c>
      <c r="AH16" s="311" t="str">
        <f t="shared" si="5"/>
        <v/>
      </c>
      <c r="AI16" s="312" t="str">
        <f>IF(AH16="Check Data","Check Data",IFERROR(VLOOKUP(AH16,'G-4 Temporal multipliers'!$A$4:$C$36,3,FALSE),""))</f>
        <v/>
      </c>
      <c r="AJ16" s="290" t="str">
        <f>IF(S16="","",VLOOKUP(S16,'G-3 Multipliers'!$A$2:$E$134,4,FALSE))</f>
        <v/>
      </c>
      <c r="AK16" s="298" t="str">
        <f t="shared" si="6"/>
        <v/>
      </c>
      <c r="AL16" s="298" t="str">
        <f t="shared" si="7"/>
        <v/>
      </c>
      <c r="AM16" s="328" t="str">
        <f>IFERROR(IF(F16="","",IF(AH16="Check Data ⚠","Check Data ⚠",VLOOKUP(AL16, 'G-3 Multipliers'!$P$2:$Q$6,2,FALSE))),"")</f>
        <v/>
      </c>
      <c r="AN16" s="304" t="str">
        <f t="shared" si="8"/>
        <v/>
      </c>
      <c r="AO16" s="163"/>
      <c r="AP16" s="164"/>
      <c r="AQ16" s="101"/>
      <c r="AT16" s="20" t="str">
        <f t="shared" si="9"/>
        <v>No</v>
      </c>
      <c r="AU16" s="20" t="str">
        <f>IF(E16="","",IF(ISNA(VLOOKUP($E16,'A-1 On-Site Habitat Baseline'!$D$1:$AV$258,4,FALSE)),"",(VLOOKUP($E16,'A-1 On-Site Habitat Baseline'!$D$1:$AV$258,4,FALSE))))</f>
        <v/>
      </c>
    </row>
    <row r="17" spans="1:47" x14ac:dyDescent="0.3">
      <c r="A17" s="20" t="str">
        <f>IF(E17="","",IF(ISNA(VLOOKUP($E17,'A-1 On-Site Habitat Baseline'!$D$1:$O$258,2,FALSE)),"",(VLOOKUP($E17,'A-1 On-Site Habitat Baseline'!$D$1:$O$258,2,FALSE))))</f>
        <v/>
      </c>
      <c r="B17" s="20" t="str">
        <f>IF(E17="","",IF(ISNA(VLOOKUP($E17,'A-1 On-Site Habitat Baseline'!$D$1:$O$258,3,FALSE)),"",(VLOOKUP($E17,'A-1 On-Site Habitat Baseline'!$D$1:$O$258,3,FALSE))))</f>
        <v/>
      </c>
      <c r="C17" s="20" t="str">
        <f>IFERROR(INDEX('G-8 Condition Look up'!$I$4:$I$135,MATCH(S17,'G-8 Condition Look up'!$A$4:$A$135,0)),"")</f>
        <v/>
      </c>
      <c r="E17" s="319" t="str">
        <f>'A-1 On-Site Habitat Baseline'!AL16</f>
        <v/>
      </c>
      <c r="F17" s="310" t="str">
        <f>IF(E17="","",IF(ISNA(VLOOKUP($E17,'A-1 On-Site Habitat Baseline'!$D$1:$AV$258,45,FALSE)),"",(VLOOKUP($E17,'A-1 On-Site Habitat Baseline'!$D$1:$AV$258,45,FALSE))))</f>
        <v/>
      </c>
      <c r="G17" s="310" t="str">
        <f>IF(E17="","",IF(ISNA(VLOOKUP($E17,'A-1 On-Site Habitat Baseline'!$D$1:$O$258,5,FALSE)),"",(VLOOKUP($E17,'A-1 On-Site Habitat Baseline'!$D$1:$O$258,5,FALSE))))</f>
        <v/>
      </c>
      <c r="H17" s="310" t="str">
        <f>IF(E17="","",IF(ISNA(VLOOKUP($E17,'A-1 On-Site Habitat Baseline'!$D$1:$O$258,6,FALSE)),"",(VLOOKUP($E17,'A-1 On-Site Habitat Baseline'!$D$1:$O$258,6,FALSE))))</f>
        <v/>
      </c>
      <c r="I17" s="310" t="str">
        <f>IF(E17="","",IF(ISNA(VLOOKUP($E17,'A-1 On-Site Habitat Baseline'!$D$1:$O$258,7,FALSE)),"",(VLOOKUP($E17,'A-1 On-Site Habitat Baseline'!$D$1:$O$258,7,FALSE))))</f>
        <v/>
      </c>
      <c r="J17" s="310" t="str">
        <f>IF(E17="","",IF(ISNA(VLOOKUP($E17,'A-1 On-Site Habitat Baseline'!$D$1:$O$258,8,FALSE)),"",(VLOOKUP($E17,'A-1 On-Site Habitat Baseline'!$D$1:$O$258,8,FALSE))))</f>
        <v/>
      </c>
      <c r="K17" s="310" t="str">
        <f>IF(E17="","",IF(ISNA(VLOOKUP($E17,'A-1 On-Site Habitat Baseline'!$D$1:$O$258,9,FALSE)),"",(VLOOKUP($E17,'A-1 On-Site Habitat Baseline'!$D$1:$O$258,9,FALSE))))</f>
        <v/>
      </c>
      <c r="L17" s="310" t="str">
        <f>IF(E17="","",IF(ISNA(VLOOKUP($E17,'A-1 On-Site Habitat Baseline'!$D$1:$O$258,11,FALSE)),"",(VLOOKUP($E17,'A-1 On-Site Habitat Baseline'!$D$1:$O$258,11,FALSE))))</f>
        <v/>
      </c>
      <c r="M17" s="310" t="str">
        <f>IF(E17="","",IF(ISNA(VLOOKUP($E17,'A-1 On-Site Habitat Baseline'!$D$1:$O$258,12,FALSE)),"",(VLOOKUP($E17,'A-1 On-Site Habitat Baseline'!$D$1:$O$258,12,FALSE))))</f>
        <v/>
      </c>
      <c r="N17" s="320" t="str">
        <f>IF(E17="","",IF(ISNA(VLOOKUP($E17,'A-1 On-Site Habitat Baseline'!$D$1:$X$258,14,FALSE)),"",(VLOOKUP($E17,'A-1 On-Site Habitat Baseline'!$D$1:$X$258,14,FALSE))))</f>
        <v/>
      </c>
      <c r="O17" s="314" t="str">
        <f>IF(E17="","",IF(ISNA(VLOOKUP($E17,'A-1 On-Site Habitat Baseline'!$D$1:$X$258,16,FALSE)),"",(VLOOKUP($E17,'A-1 On-Site Habitat Baseline'!$D$1:$X$258,13,FALSE))))</f>
        <v/>
      </c>
      <c r="P17" s="161" t="str">
        <f>IFERROR(INDEX('G-1 All Habitats'!$AG$49:$AG$63,MATCH(Q17,'G-1 All Habitats'!$AF$27:$AF$41,0)),"")</f>
        <v/>
      </c>
      <c r="Q17" s="162" t="str">
        <f t="shared" si="0"/>
        <v/>
      </c>
      <c r="R17" s="162"/>
      <c r="S17" s="252" t="str">
        <f>IFERROR(INDEX('G-1 All Habitats'!$B$3:$B$135,MATCH(R17,'G-1 All Habitats'!$A$3:$A$135,0)),"")</f>
        <v/>
      </c>
      <c r="T17" s="290" t="str">
        <f t="shared" si="1"/>
        <v/>
      </c>
      <c r="U17" s="291" t="str">
        <f t="shared" si="10"/>
        <v/>
      </c>
      <c r="V17" s="325" t="str">
        <f t="shared" si="2"/>
        <v/>
      </c>
      <c r="W17" s="310" t="str">
        <f>IF(S17="","",VLOOKUP(S17,'G-1 All Habitats'!$B$2:$M$135,10,FALSE))</f>
        <v/>
      </c>
      <c r="X17" s="310" t="str">
        <f>IFERROR(VLOOKUP(W17,'G-1 All Habitats'!$V$3:$W$7,2,FALSE),"")</f>
        <v/>
      </c>
      <c r="Y17" s="45"/>
      <c r="Z17" s="314" t="str">
        <f>IFERROR(INDEX('G-8 Condition Look up'!$A$3:$H$135,MATCH(S17,'G-8 Condition Look up'!$A$3:$A$135,0),MATCH(Y17,'G-8 Condition Look up'!$A$3:$H$3,0)),"")</f>
        <v/>
      </c>
      <c r="AA17" s="38"/>
      <c r="AB17" s="310" t="str">
        <f>IF(AA17="","",IF(VLOOKUP(AA17,'G-3 Multipliers'!$L$3:$N$6,2,FALSE)=0,"Spatial Data Missing ⚠",VLOOKUP(AA17,'G-3 Multipliers'!$L$3:$N$6,2,FALSE)))</f>
        <v/>
      </c>
      <c r="AC17" s="314" t="str">
        <f>IF(AA17="","",IF(VLOOKUP(AA17,'G-3 Multipliers'!$L$3:$N$6,3,FALSE)=0,"Spatial Data Missing ⚠",VLOOKUP(AA17,'G-3 Multipliers'!$L$3:$N$6,3,FALSE)))</f>
        <v/>
      </c>
      <c r="AD17" s="327" t="str">
        <f t="shared" si="3"/>
        <v/>
      </c>
      <c r="AE17" s="47"/>
      <c r="AF17" s="47"/>
      <c r="AG17" s="298" t="str">
        <f t="shared" si="4"/>
        <v/>
      </c>
      <c r="AH17" s="311" t="str">
        <f t="shared" si="5"/>
        <v/>
      </c>
      <c r="AI17" s="312" t="str">
        <f>IF(AH17="Check Data","Check Data",IFERROR(VLOOKUP(AH17,'G-4 Temporal multipliers'!$A$4:$C$36,3,FALSE),""))</f>
        <v/>
      </c>
      <c r="AJ17" s="290" t="str">
        <f>IF(S17="","",VLOOKUP(S17,'G-3 Multipliers'!$A$2:$E$134,4,FALSE))</f>
        <v/>
      </c>
      <c r="AK17" s="298" t="str">
        <f t="shared" si="6"/>
        <v/>
      </c>
      <c r="AL17" s="298" t="str">
        <f t="shared" si="7"/>
        <v/>
      </c>
      <c r="AM17" s="328" t="str">
        <f>IFERROR(IF(F17="","",IF(AH17="Check Data ⚠","Check Data ⚠",VLOOKUP(AL17, 'G-3 Multipliers'!$P$2:$Q$6,2,FALSE))),"")</f>
        <v/>
      </c>
      <c r="AN17" s="304" t="str">
        <f t="shared" si="8"/>
        <v/>
      </c>
      <c r="AO17" s="163"/>
      <c r="AP17" s="164"/>
      <c r="AQ17" s="101"/>
      <c r="AT17" s="20" t="str">
        <f t="shared" si="9"/>
        <v>No</v>
      </c>
      <c r="AU17" s="20" t="str">
        <f>IF(E17="","",IF(ISNA(VLOOKUP($E17,'A-1 On-Site Habitat Baseline'!$D$1:$AV$258,4,FALSE)),"",(VLOOKUP($E17,'A-1 On-Site Habitat Baseline'!$D$1:$AV$258,4,FALSE))))</f>
        <v/>
      </c>
    </row>
    <row r="18" spans="1:47" x14ac:dyDescent="0.3">
      <c r="A18" s="20" t="str">
        <f>IF(E18="","",IF(ISNA(VLOOKUP($E18,'A-1 On-Site Habitat Baseline'!$D$1:$O$258,2,FALSE)),"",(VLOOKUP($E18,'A-1 On-Site Habitat Baseline'!$D$1:$O$258,2,FALSE))))</f>
        <v/>
      </c>
      <c r="B18" s="20" t="str">
        <f>IF(E18="","",IF(ISNA(VLOOKUP($E18,'A-1 On-Site Habitat Baseline'!$D$1:$O$258,3,FALSE)),"",(VLOOKUP($E18,'A-1 On-Site Habitat Baseline'!$D$1:$O$258,3,FALSE))))</f>
        <v/>
      </c>
      <c r="C18" s="20" t="str">
        <f>IFERROR(INDEX('G-8 Condition Look up'!$I$4:$I$135,MATCH(S18,'G-8 Condition Look up'!$A$4:$A$135,0)),"")</f>
        <v/>
      </c>
      <c r="E18" s="319" t="str">
        <f>'A-1 On-Site Habitat Baseline'!AL17</f>
        <v/>
      </c>
      <c r="F18" s="310" t="str">
        <f>IF(E18="","",IF(ISNA(VLOOKUP($E18,'A-1 On-Site Habitat Baseline'!$D$1:$AV$258,45,FALSE)),"",(VLOOKUP($E18,'A-1 On-Site Habitat Baseline'!$D$1:$AV$258,45,FALSE))))</f>
        <v/>
      </c>
      <c r="G18" s="310" t="str">
        <f>IF(E18="","",IF(ISNA(VLOOKUP($E18,'A-1 On-Site Habitat Baseline'!$D$1:$O$258,5,FALSE)),"",(VLOOKUP($E18,'A-1 On-Site Habitat Baseline'!$D$1:$O$258,5,FALSE))))</f>
        <v/>
      </c>
      <c r="H18" s="310" t="str">
        <f>IF(E18="","",IF(ISNA(VLOOKUP($E18,'A-1 On-Site Habitat Baseline'!$D$1:$O$258,6,FALSE)),"",(VLOOKUP($E18,'A-1 On-Site Habitat Baseline'!$D$1:$O$258,6,FALSE))))</f>
        <v/>
      </c>
      <c r="I18" s="310" t="str">
        <f>IF(E18="","",IF(ISNA(VLOOKUP($E18,'A-1 On-Site Habitat Baseline'!$D$1:$O$258,7,FALSE)),"",(VLOOKUP($E18,'A-1 On-Site Habitat Baseline'!$D$1:$O$258,7,FALSE))))</f>
        <v/>
      </c>
      <c r="J18" s="310" t="str">
        <f>IF(E18="","",IF(ISNA(VLOOKUP($E18,'A-1 On-Site Habitat Baseline'!$D$1:$O$258,8,FALSE)),"",(VLOOKUP($E18,'A-1 On-Site Habitat Baseline'!$D$1:$O$258,8,FALSE))))</f>
        <v/>
      </c>
      <c r="K18" s="310" t="str">
        <f>IF(E18="","",IF(ISNA(VLOOKUP($E18,'A-1 On-Site Habitat Baseline'!$D$1:$O$258,9,FALSE)),"",(VLOOKUP($E18,'A-1 On-Site Habitat Baseline'!$D$1:$O$258,9,FALSE))))</f>
        <v/>
      </c>
      <c r="L18" s="310" t="str">
        <f>IF(E18="","",IF(ISNA(VLOOKUP($E18,'A-1 On-Site Habitat Baseline'!$D$1:$O$258,11,FALSE)),"",(VLOOKUP($E18,'A-1 On-Site Habitat Baseline'!$D$1:$O$258,11,FALSE))))</f>
        <v/>
      </c>
      <c r="M18" s="310" t="str">
        <f>IF(E18="","",IF(ISNA(VLOOKUP($E18,'A-1 On-Site Habitat Baseline'!$D$1:$O$258,12,FALSE)),"",(VLOOKUP($E18,'A-1 On-Site Habitat Baseline'!$D$1:$O$258,12,FALSE))))</f>
        <v/>
      </c>
      <c r="N18" s="320" t="str">
        <f>IF(E18="","",IF(ISNA(VLOOKUP($E18,'A-1 On-Site Habitat Baseline'!$D$1:$X$258,14,FALSE)),"",(VLOOKUP($E18,'A-1 On-Site Habitat Baseline'!$D$1:$X$258,14,FALSE))))</f>
        <v/>
      </c>
      <c r="O18" s="314" t="str">
        <f>IF(E18="","",IF(ISNA(VLOOKUP($E18,'A-1 On-Site Habitat Baseline'!$D$1:$X$258,16,FALSE)),"",(VLOOKUP($E18,'A-1 On-Site Habitat Baseline'!$D$1:$X$258,13,FALSE))))</f>
        <v/>
      </c>
      <c r="P18" s="161" t="str">
        <f>IFERROR(INDEX('G-1 All Habitats'!$AG$49:$AG$63,MATCH(Q18,'G-1 All Habitats'!$AF$27:$AF$41,0)),"")</f>
        <v/>
      </c>
      <c r="Q18" s="162" t="str">
        <f t="shared" si="0"/>
        <v/>
      </c>
      <c r="R18" s="162"/>
      <c r="S18" s="252" t="str">
        <f>IFERROR(INDEX('G-1 All Habitats'!$B$3:$B$135,MATCH(R18,'G-1 All Habitats'!$A$3:$A$135,0)),"")</f>
        <v/>
      </c>
      <c r="T18" s="290" t="str">
        <f t="shared" si="1"/>
        <v/>
      </c>
      <c r="U18" s="291" t="str">
        <f t="shared" si="10"/>
        <v/>
      </c>
      <c r="V18" s="325" t="str">
        <f t="shared" si="2"/>
        <v/>
      </c>
      <c r="W18" s="310" t="str">
        <f>IF(S18="","",VLOOKUP(S18,'G-1 All Habitats'!$B$2:$M$135,10,FALSE))</f>
        <v/>
      </c>
      <c r="X18" s="310" t="str">
        <f>IFERROR(VLOOKUP(W18,'G-1 All Habitats'!$V$3:$W$7,2,FALSE),"")</f>
        <v/>
      </c>
      <c r="Y18" s="45"/>
      <c r="Z18" s="314" t="str">
        <f>IFERROR(INDEX('G-8 Condition Look up'!$A$3:$H$135,MATCH(S18,'G-8 Condition Look up'!$A$3:$A$135,0),MATCH(Y18,'G-8 Condition Look up'!$A$3:$H$3,0)),"")</f>
        <v/>
      </c>
      <c r="AA18" s="38"/>
      <c r="AB18" s="310" t="str">
        <f>IF(AA18="","",IF(VLOOKUP(AA18,'G-3 Multipliers'!$L$3:$N$6,2,FALSE)=0,"Spatial Data Missing ⚠",VLOOKUP(AA18,'G-3 Multipliers'!$L$3:$N$6,2,FALSE)))</f>
        <v/>
      </c>
      <c r="AC18" s="314" t="str">
        <f>IF(AA18="","",IF(VLOOKUP(AA18,'G-3 Multipliers'!$L$3:$N$6,3,FALSE)=0,"Spatial Data Missing ⚠",VLOOKUP(AA18,'G-3 Multipliers'!$L$3:$N$6,3,FALSE)))</f>
        <v/>
      </c>
      <c r="AD18" s="327" t="str">
        <f t="shared" si="3"/>
        <v/>
      </c>
      <c r="AE18" s="47"/>
      <c r="AF18" s="47"/>
      <c r="AG18" s="298" t="str">
        <f t="shared" si="4"/>
        <v/>
      </c>
      <c r="AH18" s="311" t="str">
        <f t="shared" si="5"/>
        <v/>
      </c>
      <c r="AI18" s="312" t="str">
        <f>IF(AH18="Check Data","Check Data",IFERROR(VLOOKUP(AH18,'G-4 Temporal multipliers'!$A$4:$C$36,3,FALSE),""))</f>
        <v/>
      </c>
      <c r="AJ18" s="290" t="str">
        <f>IF(S18="","",VLOOKUP(S18,'G-3 Multipliers'!$A$2:$E$134,4,FALSE))</f>
        <v/>
      </c>
      <c r="AK18" s="298" t="str">
        <f t="shared" si="6"/>
        <v/>
      </c>
      <c r="AL18" s="298" t="str">
        <f t="shared" si="7"/>
        <v/>
      </c>
      <c r="AM18" s="328" t="str">
        <f>IFERROR(IF(F18="","",IF(AH18="Check Data ⚠","Check Data ⚠",VLOOKUP(AL18, 'G-3 Multipliers'!$P$2:$Q$6,2,FALSE))),"")</f>
        <v/>
      </c>
      <c r="AN18" s="304" t="str">
        <f t="shared" si="8"/>
        <v/>
      </c>
      <c r="AO18" s="163"/>
      <c r="AP18" s="164"/>
      <c r="AQ18" s="101"/>
      <c r="AT18" s="20" t="str">
        <f t="shared" si="9"/>
        <v>No</v>
      </c>
      <c r="AU18" s="20" t="str">
        <f>IF(E18="","",IF(ISNA(VLOOKUP($E18,'A-1 On-Site Habitat Baseline'!$D$1:$AV$258,4,FALSE)),"",(VLOOKUP($E18,'A-1 On-Site Habitat Baseline'!$D$1:$AV$258,4,FALSE))))</f>
        <v/>
      </c>
    </row>
    <row r="19" spans="1:47" x14ac:dyDescent="0.3">
      <c r="A19" s="20" t="str">
        <f>IF(E19="","",IF(ISNA(VLOOKUP($E19,'A-1 On-Site Habitat Baseline'!$D$1:$O$258,2,FALSE)),"",(VLOOKUP($E19,'A-1 On-Site Habitat Baseline'!$D$1:$O$258,2,FALSE))))</f>
        <v/>
      </c>
      <c r="B19" s="20" t="str">
        <f>IF(E19="","",IF(ISNA(VLOOKUP($E19,'A-1 On-Site Habitat Baseline'!$D$1:$O$258,3,FALSE)),"",(VLOOKUP($E19,'A-1 On-Site Habitat Baseline'!$D$1:$O$258,3,FALSE))))</f>
        <v/>
      </c>
      <c r="C19" s="20" t="str">
        <f>IFERROR(INDEX('G-8 Condition Look up'!$I$4:$I$135,MATCH(S19,'G-8 Condition Look up'!$A$4:$A$135,0)),"")</f>
        <v/>
      </c>
      <c r="E19" s="319" t="str">
        <f>'A-1 On-Site Habitat Baseline'!AL18</f>
        <v/>
      </c>
      <c r="F19" s="310" t="str">
        <f>IF(E19="","",IF(ISNA(VLOOKUP($E19,'A-1 On-Site Habitat Baseline'!$D$1:$AV$258,45,FALSE)),"",(VLOOKUP($E19,'A-1 On-Site Habitat Baseline'!$D$1:$AV$258,45,FALSE))))</f>
        <v/>
      </c>
      <c r="G19" s="310" t="str">
        <f>IF(E19="","",IF(ISNA(VLOOKUP($E19,'A-1 On-Site Habitat Baseline'!$D$1:$O$258,5,FALSE)),"",(VLOOKUP($E19,'A-1 On-Site Habitat Baseline'!$D$1:$O$258,5,FALSE))))</f>
        <v/>
      </c>
      <c r="H19" s="310" t="str">
        <f>IF(E19="","",IF(ISNA(VLOOKUP($E19,'A-1 On-Site Habitat Baseline'!$D$1:$O$258,6,FALSE)),"",(VLOOKUP($E19,'A-1 On-Site Habitat Baseline'!$D$1:$O$258,6,FALSE))))</f>
        <v/>
      </c>
      <c r="I19" s="310" t="str">
        <f>IF(E19="","",IF(ISNA(VLOOKUP($E19,'A-1 On-Site Habitat Baseline'!$D$1:$O$258,7,FALSE)),"",(VLOOKUP($E19,'A-1 On-Site Habitat Baseline'!$D$1:$O$258,7,FALSE))))</f>
        <v/>
      </c>
      <c r="J19" s="310" t="str">
        <f>IF(E19="","",IF(ISNA(VLOOKUP($E19,'A-1 On-Site Habitat Baseline'!$D$1:$O$258,8,FALSE)),"",(VLOOKUP($E19,'A-1 On-Site Habitat Baseline'!$D$1:$O$258,8,FALSE))))</f>
        <v/>
      </c>
      <c r="K19" s="310" t="str">
        <f>IF(E19="","",IF(ISNA(VLOOKUP($E19,'A-1 On-Site Habitat Baseline'!$D$1:$O$258,9,FALSE)),"",(VLOOKUP($E19,'A-1 On-Site Habitat Baseline'!$D$1:$O$258,9,FALSE))))</f>
        <v/>
      </c>
      <c r="L19" s="310" t="str">
        <f>IF(E19="","",IF(ISNA(VLOOKUP($E19,'A-1 On-Site Habitat Baseline'!$D$1:$O$258,11,FALSE)),"",(VLOOKUP($E19,'A-1 On-Site Habitat Baseline'!$D$1:$O$258,11,FALSE))))</f>
        <v/>
      </c>
      <c r="M19" s="310" t="str">
        <f>IF(E19="","",IF(ISNA(VLOOKUP($E19,'A-1 On-Site Habitat Baseline'!$D$1:$O$258,12,FALSE)),"",(VLOOKUP($E19,'A-1 On-Site Habitat Baseline'!$D$1:$O$258,12,FALSE))))</f>
        <v/>
      </c>
      <c r="N19" s="320" t="str">
        <f>IF(E19="","",IF(ISNA(VLOOKUP($E19,'A-1 On-Site Habitat Baseline'!$D$1:$X$258,14,FALSE)),"",(VLOOKUP($E19,'A-1 On-Site Habitat Baseline'!$D$1:$X$258,14,FALSE))))</f>
        <v/>
      </c>
      <c r="O19" s="314" t="str">
        <f>IF(E19="","",IF(ISNA(VLOOKUP($E19,'A-1 On-Site Habitat Baseline'!$D$1:$X$258,16,FALSE)),"",(VLOOKUP($E19,'A-1 On-Site Habitat Baseline'!$D$1:$X$258,13,FALSE))))</f>
        <v/>
      </c>
      <c r="P19" s="161" t="str">
        <f>IFERROR(INDEX('G-1 All Habitats'!$AG$49:$AG$63,MATCH(Q19,'G-1 All Habitats'!$AF$27:$AF$41,0)),"")</f>
        <v/>
      </c>
      <c r="Q19" s="162" t="str">
        <f t="shared" si="0"/>
        <v/>
      </c>
      <c r="R19" s="162"/>
      <c r="S19" s="252" t="str">
        <f>IFERROR(INDEX('G-1 All Habitats'!$B$3:$B$135,MATCH(R19,'G-1 All Habitats'!$A$3:$A$135,0)),"")</f>
        <v/>
      </c>
      <c r="T19" s="290" t="str">
        <f t="shared" si="1"/>
        <v/>
      </c>
      <c r="U19" s="291" t="str">
        <f t="shared" si="10"/>
        <v/>
      </c>
      <c r="V19" s="325" t="str">
        <f t="shared" si="2"/>
        <v/>
      </c>
      <c r="W19" s="310" t="str">
        <f>IF(S19="","",VLOOKUP(S19,'G-1 All Habitats'!$B$2:$M$135,10,FALSE))</f>
        <v/>
      </c>
      <c r="X19" s="310" t="str">
        <f>IFERROR(VLOOKUP(W19,'G-1 All Habitats'!$V$3:$W$7,2,FALSE),"")</f>
        <v/>
      </c>
      <c r="Y19" s="45"/>
      <c r="Z19" s="314" t="str">
        <f>IFERROR(INDEX('G-8 Condition Look up'!$A$3:$H$135,MATCH(S19,'G-8 Condition Look up'!$A$3:$A$135,0),MATCH(Y19,'G-8 Condition Look up'!$A$3:$H$3,0)),"")</f>
        <v/>
      </c>
      <c r="AA19" s="38"/>
      <c r="AB19" s="310" t="str">
        <f>IF(AA19="","",IF(VLOOKUP(AA19,'G-3 Multipliers'!$L$3:$N$6,2,FALSE)=0,"Spatial Data Missing ⚠",VLOOKUP(AA19,'G-3 Multipliers'!$L$3:$N$6,2,FALSE)))</f>
        <v/>
      </c>
      <c r="AC19" s="314" t="str">
        <f>IF(AA19="","",IF(VLOOKUP(AA19,'G-3 Multipliers'!$L$3:$N$6,3,FALSE)=0,"Spatial Data Missing ⚠",VLOOKUP(AA19,'G-3 Multipliers'!$L$3:$N$6,3,FALSE)))</f>
        <v/>
      </c>
      <c r="AD19" s="327" t="str">
        <f t="shared" si="3"/>
        <v/>
      </c>
      <c r="AE19" s="47"/>
      <c r="AF19" s="47"/>
      <c r="AG19" s="298" t="str">
        <f t="shared" si="4"/>
        <v/>
      </c>
      <c r="AH19" s="311" t="str">
        <f t="shared" si="5"/>
        <v/>
      </c>
      <c r="AI19" s="312" t="str">
        <f>IF(AH19="Check Data","Check Data",IFERROR(VLOOKUP(AH19,'G-4 Temporal multipliers'!$A$4:$C$36,3,FALSE),""))</f>
        <v/>
      </c>
      <c r="AJ19" s="290" t="str">
        <f>IF(S19="","",VLOOKUP(S19,'G-3 Multipliers'!$A$2:$E$134,4,FALSE))</f>
        <v/>
      </c>
      <c r="AK19" s="298" t="str">
        <f t="shared" si="6"/>
        <v/>
      </c>
      <c r="AL19" s="298" t="str">
        <f t="shared" si="7"/>
        <v/>
      </c>
      <c r="AM19" s="328" t="str">
        <f>IFERROR(IF(F19="","",IF(AH19="Check Data ⚠","Check Data ⚠",VLOOKUP(AL19, 'G-3 Multipliers'!$P$2:$Q$6,2,FALSE))),"")</f>
        <v/>
      </c>
      <c r="AN19" s="304" t="str">
        <f t="shared" si="8"/>
        <v/>
      </c>
      <c r="AO19" s="163"/>
      <c r="AP19" s="164"/>
      <c r="AQ19" s="101"/>
      <c r="AT19" s="20" t="str">
        <f t="shared" si="9"/>
        <v>No</v>
      </c>
      <c r="AU19" s="20" t="str">
        <f>IF(E19="","",IF(ISNA(VLOOKUP($E19,'A-1 On-Site Habitat Baseline'!$D$1:$AV$258,4,FALSE)),"",(VLOOKUP($E19,'A-1 On-Site Habitat Baseline'!$D$1:$AV$258,4,FALSE))))</f>
        <v/>
      </c>
    </row>
    <row r="20" spans="1:47" x14ac:dyDescent="0.3">
      <c r="A20" s="20" t="str">
        <f>IF(E20="","",IF(ISNA(VLOOKUP($E20,'A-1 On-Site Habitat Baseline'!$D$1:$O$258,2,FALSE)),"",(VLOOKUP($E20,'A-1 On-Site Habitat Baseline'!$D$1:$O$258,2,FALSE))))</f>
        <v/>
      </c>
      <c r="B20" s="20" t="str">
        <f>IF(E20="","",IF(ISNA(VLOOKUP($E20,'A-1 On-Site Habitat Baseline'!$D$1:$O$258,3,FALSE)),"",(VLOOKUP($E20,'A-1 On-Site Habitat Baseline'!$D$1:$O$258,3,FALSE))))</f>
        <v/>
      </c>
      <c r="C20" s="20" t="str">
        <f>IFERROR(INDEX('G-8 Condition Look up'!$I$4:$I$135,MATCH(S20,'G-8 Condition Look up'!$A$4:$A$135,0)),"")</f>
        <v/>
      </c>
      <c r="E20" s="319" t="str">
        <f>'A-1 On-Site Habitat Baseline'!AL19</f>
        <v/>
      </c>
      <c r="F20" s="310" t="str">
        <f>IF(E20="","",IF(ISNA(VLOOKUP($E20,'A-1 On-Site Habitat Baseline'!$D$1:$AV$258,45,FALSE)),"",(VLOOKUP($E20,'A-1 On-Site Habitat Baseline'!$D$1:$AV$258,45,FALSE))))</f>
        <v/>
      </c>
      <c r="G20" s="310" t="str">
        <f>IF(E20="","",IF(ISNA(VLOOKUP($E20,'A-1 On-Site Habitat Baseline'!$D$1:$O$258,5,FALSE)),"",(VLOOKUP($E20,'A-1 On-Site Habitat Baseline'!$D$1:$O$258,5,FALSE))))</f>
        <v/>
      </c>
      <c r="H20" s="310" t="str">
        <f>IF(E20="","",IF(ISNA(VLOOKUP($E20,'A-1 On-Site Habitat Baseline'!$D$1:$O$258,6,FALSE)),"",(VLOOKUP($E20,'A-1 On-Site Habitat Baseline'!$D$1:$O$258,6,FALSE))))</f>
        <v/>
      </c>
      <c r="I20" s="310" t="str">
        <f>IF(E20="","",IF(ISNA(VLOOKUP($E20,'A-1 On-Site Habitat Baseline'!$D$1:$O$258,7,FALSE)),"",(VLOOKUP($E20,'A-1 On-Site Habitat Baseline'!$D$1:$O$258,7,FALSE))))</f>
        <v/>
      </c>
      <c r="J20" s="310" t="str">
        <f>IF(E20="","",IF(ISNA(VLOOKUP($E20,'A-1 On-Site Habitat Baseline'!$D$1:$O$258,8,FALSE)),"",(VLOOKUP($E20,'A-1 On-Site Habitat Baseline'!$D$1:$O$258,8,FALSE))))</f>
        <v/>
      </c>
      <c r="K20" s="310" t="str">
        <f>IF(E20="","",IF(ISNA(VLOOKUP($E20,'A-1 On-Site Habitat Baseline'!$D$1:$O$258,9,FALSE)),"",(VLOOKUP($E20,'A-1 On-Site Habitat Baseline'!$D$1:$O$258,9,FALSE))))</f>
        <v/>
      </c>
      <c r="L20" s="310" t="str">
        <f>IF(E20="","",IF(ISNA(VLOOKUP($E20,'A-1 On-Site Habitat Baseline'!$D$1:$O$258,11,FALSE)),"",(VLOOKUP($E20,'A-1 On-Site Habitat Baseline'!$D$1:$O$258,11,FALSE))))</f>
        <v/>
      </c>
      <c r="M20" s="310" t="str">
        <f>IF(E20="","",IF(ISNA(VLOOKUP($E20,'A-1 On-Site Habitat Baseline'!$D$1:$O$258,12,FALSE)),"",(VLOOKUP($E20,'A-1 On-Site Habitat Baseline'!$D$1:$O$258,12,FALSE))))</f>
        <v/>
      </c>
      <c r="N20" s="320" t="str">
        <f>IF(E20="","",IF(ISNA(VLOOKUP($E20,'A-1 On-Site Habitat Baseline'!$D$1:$X$258,14,FALSE)),"",(VLOOKUP($E20,'A-1 On-Site Habitat Baseline'!$D$1:$X$258,14,FALSE))))</f>
        <v/>
      </c>
      <c r="O20" s="314" t="str">
        <f>IF(E20="","",IF(ISNA(VLOOKUP($E20,'A-1 On-Site Habitat Baseline'!$D$1:$X$258,16,FALSE)),"",(VLOOKUP($E20,'A-1 On-Site Habitat Baseline'!$D$1:$X$258,13,FALSE))))</f>
        <v/>
      </c>
      <c r="P20" s="161" t="str">
        <f>IFERROR(INDEX('G-1 All Habitats'!$AG$49:$AG$63,MATCH(Q20,'G-1 All Habitats'!$AF$27:$AF$41,0)),"")</f>
        <v/>
      </c>
      <c r="Q20" s="162" t="str">
        <f t="shared" si="0"/>
        <v/>
      </c>
      <c r="R20" s="162"/>
      <c r="S20" s="252" t="str">
        <f>IFERROR(INDEX('G-1 All Habitats'!$B$3:$B$135,MATCH(R20,'G-1 All Habitats'!$A$3:$A$135,0)),"")</f>
        <v/>
      </c>
      <c r="T20" s="290" t="str">
        <f t="shared" si="1"/>
        <v/>
      </c>
      <c r="U20" s="291" t="str">
        <f t="shared" si="10"/>
        <v/>
      </c>
      <c r="V20" s="325" t="str">
        <f t="shared" si="2"/>
        <v/>
      </c>
      <c r="W20" s="310" t="str">
        <f>IF(S20="","",VLOOKUP(S20,'G-1 All Habitats'!$B$2:$M$135,10,FALSE))</f>
        <v/>
      </c>
      <c r="X20" s="310" t="str">
        <f>IFERROR(VLOOKUP(W20,'G-1 All Habitats'!$V$3:$W$7,2,FALSE),"")</f>
        <v/>
      </c>
      <c r="Y20" s="45"/>
      <c r="Z20" s="314" t="str">
        <f>IFERROR(INDEX('G-8 Condition Look up'!$A$3:$H$135,MATCH(S20,'G-8 Condition Look up'!$A$3:$A$135,0),MATCH(Y20,'G-8 Condition Look up'!$A$3:$H$3,0)),"")</f>
        <v/>
      </c>
      <c r="AA20" s="38"/>
      <c r="AB20" s="310" t="str">
        <f>IF(AA20="","",IF(VLOOKUP(AA20,'G-3 Multipliers'!$L$3:$N$6,2,FALSE)=0,"Spatial Data Missing ⚠",VLOOKUP(AA20,'G-3 Multipliers'!$L$3:$N$6,2,FALSE)))</f>
        <v/>
      </c>
      <c r="AC20" s="314" t="str">
        <f>IF(AA20="","",IF(VLOOKUP(AA20,'G-3 Multipliers'!$L$3:$N$6,3,FALSE)=0,"Spatial Data Missing ⚠",VLOOKUP(AA20,'G-3 Multipliers'!$L$3:$N$6,3,FALSE)))</f>
        <v/>
      </c>
      <c r="AD20" s="327" t="str">
        <f t="shared" si="3"/>
        <v/>
      </c>
      <c r="AE20" s="47"/>
      <c r="AF20" s="47"/>
      <c r="AG20" s="298" t="str">
        <f t="shared" si="4"/>
        <v/>
      </c>
      <c r="AH20" s="311" t="str">
        <f t="shared" si="5"/>
        <v/>
      </c>
      <c r="AI20" s="312" t="str">
        <f>IF(AH20="Check Data","Check Data",IFERROR(VLOOKUP(AH20,'G-4 Temporal multipliers'!$A$4:$C$36,3,FALSE),""))</f>
        <v/>
      </c>
      <c r="AJ20" s="290" t="str">
        <f>IF(S20="","",VLOOKUP(S20,'G-3 Multipliers'!$A$2:$E$134,4,FALSE))</f>
        <v/>
      </c>
      <c r="AK20" s="298" t="str">
        <f t="shared" si="6"/>
        <v/>
      </c>
      <c r="AL20" s="298" t="str">
        <f t="shared" si="7"/>
        <v/>
      </c>
      <c r="AM20" s="328" t="str">
        <f>IFERROR(IF(F20="","",IF(AH20="Check Data ⚠","Check Data ⚠",VLOOKUP(AL20, 'G-3 Multipliers'!$P$2:$Q$6,2,FALSE))),"")</f>
        <v/>
      </c>
      <c r="AN20" s="304" t="str">
        <f t="shared" si="8"/>
        <v/>
      </c>
      <c r="AO20" s="163"/>
      <c r="AP20" s="164"/>
      <c r="AQ20" s="101"/>
      <c r="AT20" s="20" t="str">
        <f t="shared" si="9"/>
        <v>No</v>
      </c>
      <c r="AU20" s="20" t="str">
        <f>IF(E20="","",IF(ISNA(VLOOKUP($E20,'A-1 On-Site Habitat Baseline'!$D$1:$AV$258,4,FALSE)),"",(VLOOKUP($E20,'A-1 On-Site Habitat Baseline'!$D$1:$AV$258,4,FALSE))))</f>
        <v/>
      </c>
    </row>
    <row r="21" spans="1:47" x14ac:dyDescent="0.3">
      <c r="A21" s="20" t="str">
        <f>IF(E21="","",IF(ISNA(VLOOKUP($E21,'A-1 On-Site Habitat Baseline'!$D$1:$O$258,2,FALSE)),"",(VLOOKUP($E21,'A-1 On-Site Habitat Baseline'!$D$1:$O$258,2,FALSE))))</f>
        <v/>
      </c>
      <c r="B21" s="20" t="str">
        <f>IF(E21="","",IF(ISNA(VLOOKUP($E21,'A-1 On-Site Habitat Baseline'!$D$1:$O$258,3,FALSE)),"",(VLOOKUP($E21,'A-1 On-Site Habitat Baseline'!$D$1:$O$258,3,FALSE))))</f>
        <v/>
      </c>
      <c r="C21" s="20" t="str">
        <f>IFERROR(INDEX('G-8 Condition Look up'!$I$4:$I$135,MATCH(S21,'G-8 Condition Look up'!$A$4:$A$135,0)),"")</f>
        <v/>
      </c>
      <c r="E21" s="319" t="str">
        <f>'A-1 On-Site Habitat Baseline'!AL20</f>
        <v/>
      </c>
      <c r="F21" s="310" t="str">
        <f>IF(E21="","",IF(ISNA(VLOOKUP($E21,'A-1 On-Site Habitat Baseline'!$D$1:$AV$258,45,FALSE)),"",(VLOOKUP($E21,'A-1 On-Site Habitat Baseline'!$D$1:$AV$258,45,FALSE))))</f>
        <v/>
      </c>
      <c r="G21" s="310" t="str">
        <f>IF(E21="","",IF(ISNA(VLOOKUP($E21,'A-1 On-Site Habitat Baseline'!$D$1:$O$258,5,FALSE)),"",(VLOOKUP($E21,'A-1 On-Site Habitat Baseline'!$D$1:$O$258,5,FALSE))))</f>
        <v/>
      </c>
      <c r="H21" s="310" t="str">
        <f>IF(E21="","",IF(ISNA(VLOOKUP($E21,'A-1 On-Site Habitat Baseline'!$D$1:$O$258,6,FALSE)),"",(VLOOKUP($E21,'A-1 On-Site Habitat Baseline'!$D$1:$O$258,6,FALSE))))</f>
        <v/>
      </c>
      <c r="I21" s="310" t="str">
        <f>IF(E21="","",IF(ISNA(VLOOKUP($E21,'A-1 On-Site Habitat Baseline'!$D$1:$O$258,7,FALSE)),"",(VLOOKUP($E21,'A-1 On-Site Habitat Baseline'!$D$1:$O$258,7,FALSE))))</f>
        <v/>
      </c>
      <c r="J21" s="310" t="str">
        <f>IF(E21="","",IF(ISNA(VLOOKUP($E21,'A-1 On-Site Habitat Baseline'!$D$1:$O$258,8,FALSE)),"",(VLOOKUP($E21,'A-1 On-Site Habitat Baseline'!$D$1:$O$258,8,FALSE))))</f>
        <v/>
      </c>
      <c r="K21" s="310" t="str">
        <f>IF(E21="","",IF(ISNA(VLOOKUP($E21,'A-1 On-Site Habitat Baseline'!$D$1:$O$258,9,FALSE)),"",(VLOOKUP($E21,'A-1 On-Site Habitat Baseline'!$D$1:$O$258,9,FALSE))))</f>
        <v/>
      </c>
      <c r="L21" s="310" t="str">
        <f>IF(E21="","",IF(ISNA(VLOOKUP($E21,'A-1 On-Site Habitat Baseline'!$D$1:$O$258,11,FALSE)),"",(VLOOKUP($E21,'A-1 On-Site Habitat Baseline'!$D$1:$O$258,11,FALSE))))</f>
        <v/>
      </c>
      <c r="M21" s="310" t="str">
        <f>IF(E21="","",IF(ISNA(VLOOKUP($E21,'A-1 On-Site Habitat Baseline'!$D$1:$O$258,12,FALSE)),"",(VLOOKUP($E21,'A-1 On-Site Habitat Baseline'!$D$1:$O$258,12,FALSE))))</f>
        <v/>
      </c>
      <c r="N21" s="320" t="str">
        <f>IF(E21="","",IF(ISNA(VLOOKUP($E21,'A-1 On-Site Habitat Baseline'!$D$1:$X$258,14,FALSE)),"",(VLOOKUP($E21,'A-1 On-Site Habitat Baseline'!$D$1:$X$258,14,FALSE))))</f>
        <v/>
      </c>
      <c r="O21" s="314" t="str">
        <f>IF(E21="","",IF(ISNA(VLOOKUP($E21,'A-1 On-Site Habitat Baseline'!$D$1:$X$258,16,FALSE)),"",(VLOOKUP($E21,'A-1 On-Site Habitat Baseline'!$D$1:$X$258,13,FALSE))))</f>
        <v/>
      </c>
      <c r="P21" s="161" t="str">
        <f>IFERROR(INDEX('G-1 All Habitats'!$AG$49:$AG$63,MATCH(Q21,'G-1 All Habitats'!$AF$27:$AF$41,0)),"")</f>
        <v/>
      </c>
      <c r="Q21" s="162" t="str">
        <f t="shared" si="0"/>
        <v/>
      </c>
      <c r="R21" s="162"/>
      <c r="S21" s="252" t="str">
        <f>IFERROR(INDEX('G-1 All Habitats'!$B$3:$B$135,MATCH(R21,'G-1 All Habitats'!$A$3:$A$135,0)),"")</f>
        <v/>
      </c>
      <c r="T21" s="290" t="str">
        <f t="shared" si="1"/>
        <v/>
      </c>
      <c r="U21" s="291" t="str">
        <f t="shared" si="10"/>
        <v/>
      </c>
      <c r="V21" s="325" t="str">
        <f t="shared" si="2"/>
        <v/>
      </c>
      <c r="W21" s="310" t="str">
        <f>IF(S21="","",VLOOKUP(S21,'G-1 All Habitats'!$B$2:$M$135,10,FALSE))</f>
        <v/>
      </c>
      <c r="X21" s="310" t="str">
        <f>IFERROR(VLOOKUP(W21,'G-1 All Habitats'!$V$3:$W$7,2,FALSE),"")</f>
        <v/>
      </c>
      <c r="Y21" s="45"/>
      <c r="Z21" s="314" t="str">
        <f>IFERROR(INDEX('G-8 Condition Look up'!$A$3:$H$135,MATCH(S21,'G-8 Condition Look up'!$A$3:$A$135,0),MATCH(Y21,'G-8 Condition Look up'!$A$3:$H$3,0)),"")</f>
        <v/>
      </c>
      <c r="AA21" s="38"/>
      <c r="AB21" s="310" t="str">
        <f>IF(AA21="","",IF(VLOOKUP(AA21,'G-3 Multipliers'!$L$3:$N$6,2,FALSE)=0,"Spatial Data Missing ⚠",VLOOKUP(AA21,'G-3 Multipliers'!$L$3:$N$6,2,FALSE)))</f>
        <v/>
      </c>
      <c r="AC21" s="314" t="str">
        <f>IF(AA21="","",IF(VLOOKUP(AA21,'G-3 Multipliers'!$L$3:$N$6,3,FALSE)=0,"Spatial Data Missing ⚠",VLOOKUP(AA21,'G-3 Multipliers'!$L$3:$N$6,3,FALSE)))</f>
        <v/>
      </c>
      <c r="AD21" s="327" t="str">
        <f t="shared" si="3"/>
        <v/>
      </c>
      <c r="AE21" s="47"/>
      <c r="AF21" s="47"/>
      <c r="AG21" s="298" t="str">
        <f t="shared" si="4"/>
        <v/>
      </c>
      <c r="AH21" s="311" t="str">
        <f t="shared" si="5"/>
        <v/>
      </c>
      <c r="AI21" s="312" t="str">
        <f>IF(AH21="Check Data","Check Data",IFERROR(VLOOKUP(AH21,'G-4 Temporal multipliers'!$A$4:$C$36,3,FALSE),""))</f>
        <v/>
      </c>
      <c r="AJ21" s="290" t="str">
        <f>IF(S21="","",VLOOKUP(S21,'G-3 Multipliers'!$A$2:$E$134,4,FALSE))</f>
        <v/>
      </c>
      <c r="AK21" s="298" t="str">
        <f t="shared" si="6"/>
        <v/>
      </c>
      <c r="AL21" s="298" t="str">
        <f t="shared" si="7"/>
        <v/>
      </c>
      <c r="AM21" s="328" t="str">
        <f>IFERROR(IF(F21="","",IF(AH21="Check Data ⚠","Check Data ⚠",VLOOKUP(AL21, 'G-3 Multipliers'!$P$2:$Q$6,2,FALSE))),"")</f>
        <v/>
      </c>
      <c r="AN21" s="304" t="str">
        <f t="shared" si="8"/>
        <v/>
      </c>
      <c r="AO21" s="163"/>
      <c r="AP21" s="164"/>
      <c r="AQ21" s="101"/>
      <c r="AT21" s="20" t="str">
        <f t="shared" si="9"/>
        <v>No</v>
      </c>
      <c r="AU21" s="20" t="str">
        <f>IF(E21="","",IF(ISNA(VLOOKUP($E21,'A-1 On-Site Habitat Baseline'!$D$1:$AV$258,4,FALSE)),"",(VLOOKUP($E21,'A-1 On-Site Habitat Baseline'!$D$1:$AV$258,4,FALSE))))</f>
        <v/>
      </c>
    </row>
    <row r="22" spans="1:47" x14ac:dyDescent="0.3">
      <c r="A22" s="20" t="str">
        <f>IF(E22="","",IF(ISNA(VLOOKUP($E22,'A-1 On-Site Habitat Baseline'!$D$1:$O$258,2,FALSE)),"",(VLOOKUP($E22,'A-1 On-Site Habitat Baseline'!$D$1:$O$258,2,FALSE))))</f>
        <v/>
      </c>
      <c r="B22" s="20" t="str">
        <f>IF(E22="","",IF(ISNA(VLOOKUP($E22,'A-1 On-Site Habitat Baseline'!$D$1:$O$258,3,FALSE)),"",(VLOOKUP($E22,'A-1 On-Site Habitat Baseline'!$D$1:$O$258,3,FALSE))))</f>
        <v/>
      </c>
      <c r="C22" s="20" t="str">
        <f>IFERROR(INDEX('G-8 Condition Look up'!$I$4:$I$135,MATCH(S22,'G-8 Condition Look up'!$A$4:$A$135,0)),"")</f>
        <v/>
      </c>
      <c r="E22" s="319" t="str">
        <f>'A-1 On-Site Habitat Baseline'!AL21</f>
        <v/>
      </c>
      <c r="F22" s="310" t="str">
        <f>IF(E22="","",IF(ISNA(VLOOKUP($E22,'A-1 On-Site Habitat Baseline'!$D$1:$AV$258,45,FALSE)),"",(VLOOKUP($E22,'A-1 On-Site Habitat Baseline'!$D$1:$AV$258,45,FALSE))))</f>
        <v/>
      </c>
      <c r="G22" s="310" t="str">
        <f>IF(E22="","",IF(ISNA(VLOOKUP($E22,'A-1 On-Site Habitat Baseline'!$D$1:$O$258,5,FALSE)),"",(VLOOKUP($E22,'A-1 On-Site Habitat Baseline'!$D$1:$O$258,5,FALSE))))</f>
        <v/>
      </c>
      <c r="H22" s="310" t="str">
        <f>IF(E22="","",IF(ISNA(VLOOKUP($E22,'A-1 On-Site Habitat Baseline'!$D$1:$O$258,6,FALSE)),"",(VLOOKUP($E22,'A-1 On-Site Habitat Baseline'!$D$1:$O$258,6,FALSE))))</f>
        <v/>
      </c>
      <c r="I22" s="310" t="str">
        <f>IF(E22="","",IF(ISNA(VLOOKUP($E22,'A-1 On-Site Habitat Baseline'!$D$1:$O$258,7,FALSE)),"",(VLOOKUP($E22,'A-1 On-Site Habitat Baseline'!$D$1:$O$258,7,FALSE))))</f>
        <v/>
      </c>
      <c r="J22" s="310" t="str">
        <f>IF(E22="","",IF(ISNA(VLOOKUP($E22,'A-1 On-Site Habitat Baseline'!$D$1:$O$258,8,FALSE)),"",(VLOOKUP($E22,'A-1 On-Site Habitat Baseline'!$D$1:$O$258,8,FALSE))))</f>
        <v/>
      </c>
      <c r="K22" s="310" t="str">
        <f>IF(E22="","",IF(ISNA(VLOOKUP($E22,'A-1 On-Site Habitat Baseline'!$D$1:$O$258,9,FALSE)),"",(VLOOKUP($E22,'A-1 On-Site Habitat Baseline'!$D$1:$O$258,9,FALSE))))</f>
        <v/>
      </c>
      <c r="L22" s="310" t="str">
        <f>IF(E22="","",IF(ISNA(VLOOKUP($E22,'A-1 On-Site Habitat Baseline'!$D$1:$O$258,11,FALSE)),"",(VLOOKUP($E22,'A-1 On-Site Habitat Baseline'!$D$1:$O$258,11,FALSE))))</f>
        <v/>
      </c>
      <c r="M22" s="310" t="str">
        <f>IF(E22="","",IF(ISNA(VLOOKUP($E22,'A-1 On-Site Habitat Baseline'!$D$1:$O$258,12,FALSE)),"",(VLOOKUP($E22,'A-1 On-Site Habitat Baseline'!$D$1:$O$258,12,FALSE))))</f>
        <v/>
      </c>
      <c r="N22" s="320" t="str">
        <f>IF(E22="","",IF(ISNA(VLOOKUP($E22,'A-1 On-Site Habitat Baseline'!$D$1:$X$258,14,FALSE)),"",(VLOOKUP($E22,'A-1 On-Site Habitat Baseline'!$D$1:$X$258,14,FALSE))))</f>
        <v/>
      </c>
      <c r="O22" s="314" t="str">
        <f>IF(E22="","",IF(ISNA(VLOOKUP($E22,'A-1 On-Site Habitat Baseline'!$D$1:$X$258,16,FALSE)),"",(VLOOKUP($E22,'A-1 On-Site Habitat Baseline'!$D$1:$X$258,13,FALSE))))</f>
        <v/>
      </c>
      <c r="P22" s="161" t="str">
        <f>IFERROR(INDEX('G-1 All Habitats'!$AG$49:$AG$63,MATCH(Q22,'G-1 All Habitats'!$AF$27:$AF$41,0)),"")</f>
        <v/>
      </c>
      <c r="Q22" s="162" t="str">
        <f t="shared" si="0"/>
        <v/>
      </c>
      <c r="R22" s="162"/>
      <c r="S22" s="252" t="str">
        <f>IFERROR(INDEX('G-1 All Habitats'!$B$3:$B$135,MATCH(R22,'G-1 All Habitats'!$A$3:$A$135,0)),"")</f>
        <v/>
      </c>
      <c r="T22" s="290" t="str">
        <f t="shared" si="1"/>
        <v/>
      </c>
      <c r="U22" s="291" t="str">
        <f t="shared" si="10"/>
        <v/>
      </c>
      <c r="V22" s="325" t="str">
        <f t="shared" si="2"/>
        <v/>
      </c>
      <c r="W22" s="310" t="str">
        <f>IF(S22="","",VLOOKUP(S22,'G-1 All Habitats'!$B$2:$M$135,10,FALSE))</f>
        <v/>
      </c>
      <c r="X22" s="310" t="str">
        <f>IFERROR(VLOOKUP(W22,'G-1 All Habitats'!$V$3:$W$7,2,FALSE),"")</f>
        <v/>
      </c>
      <c r="Y22" s="45"/>
      <c r="Z22" s="314" t="str">
        <f>IFERROR(INDEX('G-8 Condition Look up'!$A$3:$H$135,MATCH(S22,'G-8 Condition Look up'!$A$3:$A$135,0),MATCH(Y22,'G-8 Condition Look up'!$A$3:$H$3,0)),"")</f>
        <v/>
      </c>
      <c r="AA22" s="38"/>
      <c r="AB22" s="310" t="str">
        <f>IF(AA22="","",IF(VLOOKUP(AA22,'G-3 Multipliers'!$L$3:$N$6,2,FALSE)=0,"Spatial Data Missing ⚠",VLOOKUP(AA22,'G-3 Multipliers'!$L$3:$N$6,2,FALSE)))</f>
        <v/>
      </c>
      <c r="AC22" s="314" t="str">
        <f>IF(AA22="","",IF(VLOOKUP(AA22,'G-3 Multipliers'!$L$3:$N$6,3,FALSE)=0,"Spatial Data Missing ⚠",VLOOKUP(AA22,'G-3 Multipliers'!$L$3:$N$6,3,FALSE)))</f>
        <v/>
      </c>
      <c r="AD22" s="327" t="str">
        <f t="shared" si="3"/>
        <v/>
      </c>
      <c r="AE22" s="47"/>
      <c r="AF22" s="47"/>
      <c r="AG22" s="298" t="str">
        <f t="shared" si="4"/>
        <v/>
      </c>
      <c r="AH22" s="311" t="str">
        <f t="shared" si="5"/>
        <v/>
      </c>
      <c r="AI22" s="312" t="str">
        <f>IF(AH22="Check Data","Check Data",IFERROR(VLOOKUP(AH22,'G-4 Temporal multipliers'!$A$4:$C$36,3,FALSE),""))</f>
        <v/>
      </c>
      <c r="AJ22" s="290" t="str">
        <f>IF(S22="","",VLOOKUP(S22,'G-3 Multipliers'!$A$2:$E$134,4,FALSE))</f>
        <v/>
      </c>
      <c r="AK22" s="298" t="str">
        <f t="shared" si="6"/>
        <v/>
      </c>
      <c r="AL22" s="298" t="str">
        <f t="shared" si="7"/>
        <v/>
      </c>
      <c r="AM22" s="328" t="str">
        <f>IFERROR(IF(F22="","",IF(AH22="Check Data ⚠","Check Data ⚠",VLOOKUP(AL22, 'G-3 Multipliers'!$P$2:$Q$6,2,FALSE))),"")</f>
        <v/>
      </c>
      <c r="AN22" s="304" t="str">
        <f t="shared" si="8"/>
        <v/>
      </c>
      <c r="AO22" s="163"/>
      <c r="AP22" s="164"/>
      <c r="AQ22" s="101"/>
      <c r="AT22" s="20" t="str">
        <f t="shared" si="9"/>
        <v>No</v>
      </c>
      <c r="AU22" s="20" t="str">
        <f>IF(E22="","",IF(ISNA(VLOOKUP($E22,'A-1 On-Site Habitat Baseline'!$D$1:$AV$258,4,FALSE)),"",(VLOOKUP($E22,'A-1 On-Site Habitat Baseline'!$D$1:$AV$258,4,FALSE))))</f>
        <v/>
      </c>
    </row>
    <row r="23" spans="1:47" x14ac:dyDescent="0.3">
      <c r="A23" s="20" t="str">
        <f>IF(E23="","",IF(ISNA(VLOOKUP($E23,'A-1 On-Site Habitat Baseline'!$D$1:$O$258,2,FALSE)),"",(VLOOKUP($E23,'A-1 On-Site Habitat Baseline'!$D$1:$O$258,2,FALSE))))</f>
        <v/>
      </c>
      <c r="B23" s="20" t="str">
        <f>IF(E23="","",IF(ISNA(VLOOKUP($E23,'A-1 On-Site Habitat Baseline'!$D$1:$O$258,3,FALSE)),"",(VLOOKUP($E23,'A-1 On-Site Habitat Baseline'!$D$1:$O$258,3,FALSE))))</f>
        <v/>
      </c>
      <c r="C23" s="20" t="str">
        <f>IFERROR(INDEX('G-8 Condition Look up'!$I$4:$I$135,MATCH(S23,'G-8 Condition Look up'!$A$4:$A$135,0)),"")</f>
        <v/>
      </c>
      <c r="E23" s="319" t="str">
        <f>'A-1 On-Site Habitat Baseline'!AL22</f>
        <v/>
      </c>
      <c r="F23" s="310" t="str">
        <f>IF(E23="","",IF(ISNA(VLOOKUP($E23,'A-1 On-Site Habitat Baseline'!$D$1:$AV$258,45,FALSE)),"",(VLOOKUP($E23,'A-1 On-Site Habitat Baseline'!$D$1:$AV$258,45,FALSE))))</f>
        <v/>
      </c>
      <c r="G23" s="310" t="str">
        <f>IF(E23="","",IF(ISNA(VLOOKUP($E23,'A-1 On-Site Habitat Baseline'!$D$1:$O$258,5,FALSE)),"",(VLOOKUP($E23,'A-1 On-Site Habitat Baseline'!$D$1:$O$258,5,FALSE))))</f>
        <v/>
      </c>
      <c r="H23" s="310" t="str">
        <f>IF(E23="","",IF(ISNA(VLOOKUP($E23,'A-1 On-Site Habitat Baseline'!$D$1:$O$258,6,FALSE)),"",(VLOOKUP($E23,'A-1 On-Site Habitat Baseline'!$D$1:$O$258,6,FALSE))))</f>
        <v/>
      </c>
      <c r="I23" s="310" t="str">
        <f>IF(E23="","",IF(ISNA(VLOOKUP($E23,'A-1 On-Site Habitat Baseline'!$D$1:$O$258,7,FALSE)),"",(VLOOKUP($E23,'A-1 On-Site Habitat Baseline'!$D$1:$O$258,7,FALSE))))</f>
        <v/>
      </c>
      <c r="J23" s="310" t="str">
        <f>IF(E23="","",IF(ISNA(VLOOKUP($E23,'A-1 On-Site Habitat Baseline'!$D$1:$O$258,8,FALSE)),"",(VLOOKUP($E23,'A-1 On-Site Habitat Baseline'!$D$1:$O$258,8,FALSE))))</f>
        <v/>
      </c>
      <c r="K23" s="310" t="str">
        <f>IF(E23="","",IF(ISNA(VLOOKUP($E23,'A-1 On-Site Habitat Baseline'!$D$1:$O$258,9,FALSE)),"",(VLOOKUP($E23,'A-1 On-Site Habitat Baseline'!$D$1:$O$258,9,FALSE))))</f>
        <v/>
      </c>
      <c r="L23" s="310" t="str">
        <f>IF(E23="","",IF(ISNA(VLOOKUP($E23,'A-1 On-Site Habitat Baseline'!$D$1:$O$258,11,FALSE)),"",(VLOOKUP($E23,'A-1 On-Site Habitat Baseline'!$D$1:$O$258,11,FALSE))))</f>
        <v/>
      </c>
      <c r="M23" s="310" t="str">
        <f>IF(E23="","",IF(ISNA(VLOOKUP($E23,'A-1 On-Site Habitat Baseline'!$D$1:$O$258,12,FALSE)),"",(VLOOKUP($E23,'A-1 On-Site Habitat Baseline'!$D$1:$O$258,12,FALSE))))</f>
        <v/>
      </c>
      <c r="N23" s="320" t="str">
        <f>IF(E23="","",IF(ISNA(VLOOKUP($E23,'A-1 On-Site Habitat Baseline'!$D$1:$X$258,14,FALSE)),"",(VLOOKUP($E23,'A-1 On-Site Habitat Baseline'!$D$1:$X$258,14,FALSE))))</f>
        <v/>
      </c>
      <c r="O23" s="314" t="str">
        <f>IF(E23="","",IF(ISNA(VLOOKUP($E23,'A-1 On-Site Habitat Baseline'!$D$1:$X$258,16,FALSE)),"",(VLOOKUP($E23,'A-1 On-Site Habitat Baseline'!$D$1:$X$258,13,FALSE))))</f>
        <v/>
      </c>
      <c r="P23" s="161" t="str">
        <f>IFERROR(INDEX('G-1 All Habitats'!$AG$49:$AG$63,MATCH(Q23,'G-1 All Habitats'!$AF$27:$AF$41,0)),"")</f>
        <v/>
      </c>
      <c r="Q23" s="162" t="str">
        <f t="shared" si="0"/>
        <v/>
      </c>
      <c r="R23" s="162"/>
      <c r="S23" s="252" t="str">
        <f>IFERROR(INDEX('G-1 All Habitats'!$B$3:$B$135,MATCH(R23,'G-1 All Habitats'!$A$3:$A$135,0)),"")</f>
        <v/>
      </c>
      <c r="T23" s="290" t="str">
        <f t="shared" si="1"/>
        <v/>
      </c>
      <c r="U23" s="291" t="str">
        <f t="shared" si="10"/>
        <v/>
      </c>
      <c r="V23" s="325" t="str">
        <f t="shared" si="2"/>
        <v/>
      </c>
      <c r="W23" s="310" t="str">
        <f>IF(S23="","",VLOOKUP(S23,'G-1 All Habitats'!$B$2:$M$135,10,FALSE))</f>
        <v/>
      </c>
      <c r="X23" s="310" t="str">
        <f>IFERROR(VLOOKUP(W23,'G-1 All Habitats'!$V$3:$W$7,2,FALSE),"")</f>
        <v/>
      </c>
      <c r="Y23" s="45"/>
      <c r="Z23" s="314" t="str">
        <f>IFERROR(INDEX('G-8 Condition Look up'!$A$3:$H$135,MATCH(S23,'G-8 Condition Look up'!$A$3:$A$135,0),MATCH(Y23,'G-8 Condition Look up'!$A$3:$H$3,0)),"")</f>
        <v/>
      </c>
      <c r="AA23" s="38"/>
      <c r="AB23" s="310" t="str">
        <f>IF(AA23="","",IF(VLOOKUP(AA23,'G-3 Multipliers'!$L$3:$N$6,2,FALSE)=0,"Spatial Data Missing ⚠",VLOOKUP(AA23,'G-3 Multipliers'!$L$3:$N$6,2,FALSE)))</f>
        <v/>
      </c>
      <c r="AC23" s="314" t="str">
        <f>IF(AA23="","",IF(VLOOKUP(AA23,'G-3 Multipliers'!$L$3:$N$6,3,FALSE)=0,"Spatial Data Missing ⚠",VLOOKUP(AA23,'G-3 Multipliers'!$L$3:$N$6,3,FALSE)))</f>
        <v/>
      </c>
      <c r="AD23" s="327" t="str">
        <f t="shared" si="3"/>
        <v/>
      </c>
      <c r="AE23" s="47"/>
      <c r="AF23" s="47"/>
      <c r="AG23" s="298" t="str">
        <f t="shared" si="4"/>
        <v/>
      </c>
      <c r="AH23" s="311" t="str">
        <f t="shared" si="5"/>
        <v/>
      </c>
      <c r="AI23" s="312" t="str">
        <f>IF(AH23="Check Data","Check Data",IFERROR(VLOOKUP(AH23,'G-4 Temporal multipliers'!$A$4:$C$36,3,FALSE),""))</f>
        <v/>
      </c>
      <c r="AJ23" s="290" t="str">
        <f>IF(S23="","",VLOOKUP(S23,'G-3 Multipliers'!$A$2:$E$134,4,FALSE))</f>
        <v/>
      </c>
      <c r="AK23" s="298" t="str">
        <f t="shared" si="6"/>
        <v/>
      </c>
      <c r="AL23" s="298" t="str">
        <f t="shared" si="7"/>
        <v/>
      </c>
      <c r="AM23" s="328" t="str">
        <f>IFERROR(IF(F23="","",IF(AH23="Check Data ⚠","Check Data ⚠",VLOOKUP(AL23, 'G-3 Multipliers'!$P$2:$Q$6,2,FALSE))),"")</f>
        <v/>
      </c>
      <c r="AN23" s="304" t="str">
        <f t="shared" si="8"/>
        <v/>
      </c>
      <c r="AO23" s="163"/>
      <c r="AP23" s="164"/>
      <c r="AQ23" s="101"/>
      <c r="AT23" s="20" t="str">
        <f t="shared" si="9"/>
        <v>No</v>
      </c>
      <c r="AU23" s="20" t="str">
        <f>IF(E23="","",IF(ISNA(VLOOKUP($E23,'A-1 On-Site Habitat Baseline'!$D$1:$AV$258,4,FALSE)),"",(VLOOKUP($E23,'A-1 On-Site Habitat Baseline'!$D$1:$AV$258,4,FALSE))))</f>
        <v/>
      </c>
    </row>
    <row r="24" spans="1:47" x14ac:dyDescent="0.3">
      <c r="A24" s="20" t="str">
        <f>IF(E24="","",IF(ISNA(VLOOKUP($E24,'A-1 On-Site Habitat Baseline'!$D$1:$O$258,2,FALSE)),"",(VLOOKUP($E24,'A-1 On-Site Habitat Baseline'!$D$1:$O$258,2,FALSE))))</f>
        <v/>
      </c>
      <c r="B24" s="20" t="str">
        <f>IF(E24="","",IF(ISNA(VLOOKUP($E24,'A-1 On-Site Habitat Baseline'!$D$1:$O$258,3,FALSE)),"",(VLOOKUP($E24,'A-1 On-Site Habitat Baseline'!$D$1:$O$258,3,FALSE))))</f>
        <v/>
      </c>
      <c r="C24" s="20" t="str">
        <f>IFERROR(INDEX('G-8 Condition Look up'!$I$4:$I$135,MATCH(S24,'G-8 Condition Look up'!$A$4:$A$135,0)),"")</f>
        <v/>
      </c>
      <c r="E24" s="319" t="str">
        <f>'A-1 On-Site Habitat Baseline'!AL23</f>
        <v/>
      </c>
      <c r="F24" s="310" t="str">
        <f>IF(E24="","",IF(ISNA(VLOOKUP($E24,'A-1 On-Site Habitat Baseline'!$D$1:$AV$258,45,FALSE)),"",(VLOOKUP($E24,'A-1 On-Site Habitat Baseline'!$D$1:$AV$258,45,FALSE))))</f>
        <v/>
      </c>
      <c r="G24" s="310" t="str">
        <f>IF(E24="","",IF(ISNA(VLOOKUP($E24,'A-1 On-Site Habitat Baseline'!$D$1:$O$258,5,FALSE)),"",(VLOOKUP($E24,'A-1 On-Site Habitat Baseline'!$D$1:$O$258,5,FALSE))))</f>
        <v/>
      </c>
      <c r="H24" s="310" t="str">
        <f>IF(E24="","",IF(ISNA(VLOOKUP($E24,'A-1 On-Site Habitat Baseline'!$D$1:$O$258,6,FALSE)),"",(VLOOKUP($E24,'A-1 On-Site Habitat Baseline'!$D$1:$O$258,6,FALSE))))</f>
        <v/>
      </c>
      <c r="I24" s="310" t="str">
        <f>IF(E24="","",IF(ISNA(VLOOKUP($E24,'A-1 On-Site Habitat Baseline'!$D$1:$O$258,7,FALSE)),"",(VLOOKUP($E24,'A-1 On-Site Habitat Baseline'!$D$1:$O$258,7,FALSE))))</f>
        <v/>
      </c>
      <c r="J24" s="310" t="str">
        <f>IF(E24="","",IF(ISNA(VLOOKUP($E24,'A-1 On-Site Habitat Baseline'!$D$1:$O$258,8,FALSE)),"",(VLOOKUP($E24,'A-1 On-Site Habitat Baseline'!$D$1:$O$258,8,FALSE))))</f>
        <v/>
      </c>
      <c r="K24" s="310" t="str">
        <f>IF(E24="","",IF(ISNA(VLOOKUP($E24,'A-1 On-Site Habitat Baseline'!$D$1:$O$258,9,FALSE)),"",(VLOOKUP($E24,'A-1 On-Site Habitat Baseline'!$D$1:$O$258,9,FALSE))))</f>
        <v/>
      </c>
      <c r="L24" s="310" t="str">
        <f>IF(E24="","",IF(ISNA(VLOOKUP($E24,'A-1 On-Site Habitat Baseline'!$D$1:$O$258,11,FALSE)),"",(VLOOKUP($E24,'A-1 On-Site Habitat Baseline'!$D$1:$O$258,11,FALSE))))</f>
        <v/>
      </c>
      <c r="M24" s="310" t="str">
        <f>IF(E24="","",IF(ISNA(VLOOKUP($E24,'A-1 On-Site Habitat Baseline'!$D$1:$O$258,12,FALSE)),"",(VLOOKUP($E24,'A-1 On-Site Habitat Baseline'!$D$1:$O$258,12,FALSE))))</f>
        <v/>
      </c>
      <c r="N24" s="320" t="str">
        <f>IF(E24="","",IF(ISNA(VLOOKUP($E24,'A-1 On-Site Habitat Baseline'!$D$1:$X$258,14,FALSE)),"",(VLOOKUP($E24,'A-1 On-Site Habitat Baseline'!$D$1:$X$258,14,FALSE))))</f>
        <v/>
      </c>
      <c r="O24" s="314" t="str">
        <f>IF(E24="","",IF(ISNA(VLOOKUP($E24,'A-1 On-Site Habitat Baseline'!$D$1:$X$258,16,FALSE)),"",(VLOOKUP($E24,'A-1 On-Site Habitat Baseline'!$D$1:$X$258,13,FALSE))))</f>
        <v/>
      </c>
      <c r="P24" s="161" t="str">
        <f>IFERROR(INDEX('G-1 All Habitats'!$AG$49:$AG$63,MATCH(Q24,'G-1 All Habitats'!$AF$27:$AF$41,0)),"")</f>
        <v/>
      </c>
      <c r="Q24" s="162" t="str">
        <f t="shared" si="0"/>
        <v/>
      </c>
      <c r="R24" s="162"/>
      <c r="S24" s="252" t="str">
        <f>IFERROR(INDEX('G-1 All Habitats'!$B$3:$B$135,MATCH(R24,'G-1 All Habitats'!$A$3:$A$135,0)),"")</f>
        <v/>
      </c>
      <c r="T24" s="290" t="str">
        <f t="shared" si="1"/>
        <v/>
      </c>
      <c r="U24" s="291" t="str">
        <f t="shared" si="10"/>
        <v/>
      </c>
      <c r="V24" s="325" t="str">
        <f t="shared" si="2"/>
        <v/>
      </c>
      <c r="W24" s="310" t="str">
        <f>IF(S24="","",VLOOKUP(S24,'G-1 All Habitats'!$B$2:$M$135,10,FALSE))</f>
        <v/>
      </c>
      <c r="X24" s="310" t="str">
        <f>IFERROR(VLOOKUP(W24,'G-1 All Habitats'!$V$3:$W$7,2,FALSE),"")</f>
        <v/>
      </c>
      <c r="Y24" s="45"/>
      <c r="Z24" s="314" t="str">
        <f>IFERROR(INDEX('G-8 Condition Look up'!$A$3:$H$135,MATCH(S24,'G-8 Condition Look up'!$A$3:$A$135,0),MATCH(Y24,'G-8 Condition Look up'!$A$3:$H$3,0)),"")</f>
        <v/>
      </c>
      <c r="AA24" s="38"/>
      <c r="AB24" s="310" t="str">
        <f>IF(AA24="","",IF(VLOOKUP(AA24,'G-3 Multipliers'!$L$3:$N$6,2,FALSE)=0,"Spatial Data Missing ⚠",VLOOKUP(AA24,'G-3 Multipliers'!$L$3:$N$6,2,FALSE)))</f>
        <v/>
      </c>
      <c r="AC24" s="314" t="str">
        <f>IF(AA24="","",IF(VLOOKUP(AA24,'G-3 Multipliers'!$L$3:$N$6,3,FALSE)=0,"Spatial Data Missing ⚠",VLOOKUP(AA24,'G-3 Multipliers'!$L$3:$N$6,3,FALSE)))</f>
        <v/>
      </c>
      <c r="AD24" s="327" t="str">
        <f t="shared" si="3"/>
        <v/>
      </c>
      <c r="AE24" s="47"/>
      <c r="AF24" s="47"/>
      <c r="AG24" s="298" t="str">
        <f t="shared" si="4"/>
        <v/>
      </c>
      <c r="AH24" s="311" t="str">
        <f t="shared" si="5"/>
        <v/>
      </c>
      <c r="AI24" s="312" t="str">
        <f>IF(AH24="Check Data","Check Data",IFERROR(VLOOKUP(AH24,'G-4 Temporal multipliers'!$A$4:$C$36,3,FALSE),""))</f>
        <v/>
      </c>
      <c r="AJ24" s="290" t="str">
        <f>IF(S24="","",VLOOKUP(S24,'G-3 Multipliers'!$A$2:$E$134,4,FALSE))</f>
        <v/>
      </c>
      <c r="AK24" s="298" t="str">
        <f t="shared" si="6"/>
        <v/>
      </c>
      <c r="AL24" s="298" t="str">
        <f t="shared" si="7"/>
        <v/>
      </c>
      <c r="AM24" s="328" t="str">
        <f>IFERROR(IF(F24="","",IF(AH24="Check Data ⚠","Check Data ⚠",VLOOKUP(AL24, 'G-3 Multipliers'!$P$2:$Q$6,2,FALSE))),"")</f>
        <v/>
      </c>
      <c r="AN24" s="304" t="str">
        <f t="shared" si="8"/>
        <v/>
      </c>
      <c r="AO24" s="163"/>
      <c r="AP24" s="164"/>
      <c r="AQ24" s="101"/>
      <c r="AT24" s="20" t="str">
        <f t="shared" si="9"/>
        <v>No</v>
      </c>
      <c r="AU24" s="20" t="str">
        <f>IF(E24="","",IF(ISNA(VLOOKUP($E24,'A-1 On-Site Habitat Baseline'!$D$1:$AV$258,4,FALSE)),"",(VLOOKUP($E24,'A-1 On-Site Habitat Baseline'!$D$1:$AV$258,4,FALSE))))</f>
        <v/>
      </c>
    </row>
    <row r="25" spans="1:47" x14ac:dyDescent="0.3">
      <c r="A25" s="20" t="str">
        <f>IF(E25="","",IF(ISNA(VLOOKUP($E25,'A-1 On-Site Habitat Baseline'!$D$1:$O$258,2,FALSE)),"",(VLOOKUP($E25,'A-1 On-Site Habitat Baseline'!$D$1:$O$258,2,FALSE))))</f>
        <v/>
      </c>
      <c r="B25" s="20" t="str">
        <f>IF(E25="","",IF(ISNA(VLOOKUP($E25,'A-1 On-Site Habitat Baseline'!$D$1:$O$258,3,FALSE)),"",(VLOOKUP($E25,'A-1 On-Site Habitat Baseline'!$D$1:$O$258,3,FALSE))))</f>
        <v/>
      </c>
      <c r="C25" s="20" t="str">
        <f>IFERROR(INDEX('G-8 Condition Look up'!$I$4:$I$135,MATCH(S25,'G-8 Condition Look up'!$A$4:$A$135,0)),"")</f>
        <v/>
      </c>
      <c r="E25" s="319" t="str">
        <f>'A-1 On-Site Habitat Baseline'!AL24</f>
        <v/>
      </c>
      <c r="F25" s="310" t="str">
        <f>IF(E25="","",IF(ISNA(VLOOKUP($E25,'A-1 On-Site Habitat Baseline'!$D$1:$AV$258,45,FALSE)),"",(VLOOKUP($E25,'A-1 On-Site Habitat Baseline'!$D$1:$AV$258,45,FALSE))))</f>
        <v/>
      </c>
      <c r="G25" s="310" t="str">
        <f>IF(E25="","",IF(ISNA(VLOOKUP($E25,'A-1 On-Site Habitat Baseline'!$D$1:$O$258,5,FALSE)),"",(VLOOKUP($E25,'A-1 On-Site Habitat Baseline'!$D$1:$O$258,5,FALSE))))</f>
        <v/>
      </c>
      <c r="H25" s="310" t="str">
        <f>IF(E25="","",IF(ISNA(VLOOKUP($E25,'A-1 On-Site Habitat Baseline'!$D$1:$O$258,6,FALSE)),"",(VLOOKUP($E25,'A-1 On-Site Habitat Baseline'!$D$1:$O$258,6,FALSE))))</f>
        <v/>
      </c>
      <c r="I25" s="310" t="str">
        <f>IF(E25="","",IF(ISNA(VLOOKUP($E25,'A-1 On-Site Habitat Baseline'!$D$1:$O$258,7,FALSE)),"",(VLOOKUP($E25,'A-1 On-Site Habitat Baseline'!$D$1:$O$258,7,FALSE))))</f>
        <v/>
      </c>
      <c r="J25" s="310" t="str">
        <f>IF(E25="","",IF(ISNA(VLOOKUP($E25,'A-1 On-Site Habitat Baseline'!$D$1:$O$258,8,FALSE)),"",(VLOOKUP($E25,'A-1 On-Site Habitat Baseline'!$D$1:$O$258,8,FALSE))))</f>
        <v/>
      </c>
      <c r="K25" s="310" t="str">
        <f>IF(E25="","",IF(ISNA(VLOOKUP($E25,'A-1 On-Site Habitat Baseline'!$D$1:$O$258,9,FALSE)),"",(VLOOKUP($E25,'A-1 On-Site Habitat Baseline'!$D$1:$O$258,9,FALSE))))</f>
        <v/>
      </c>
      <c r="L25" s="310" t="str">
        <f>IF(E25="","",IF(ISNA(VLOOKUP($E25,'A-1 On-Site Habitat Baseline'!$D$1:$O$258,11,FALSE)),"",(VLOOKUP($E25,'A-1 On-Site Habitat Baseline'!$D$1:$O$258,11,FALSE))))</f>
        <v/>
      </c>
      <c r="M25" s="310" t="str">
        <f>IF(E25="","",IF(ISNA(VLOOKUP($E25,'A-1 On-Site Habitat Baseline'!$D$1:$O$258,12,FALSE)),"",(VLOOKUP($E25,'A-1 On-Site Habitat Baseline'!$D$1:$O$258,12,FALSE))))</f>
        <v/>
      </c>
      <c r="N25" s="320" t="str">
        <f>IF(E25="","",IF(ISNA(VLOOKUP($E25,'A-1 On-Site Habitat Baseline'!$D$1:$X$258,14,FALSE)),"",(VLOOKUP($E25,'A-1 On-Site Habitat Baseline'!$D$1:$X$258,14,FALSE))))</f>
        <v/>
      </c>
      <c r="O25" s="314" t="str">
        <f>IF(E25="","",IF(ISNA(VLOOKUP($E25,'A-1 On-Site Habitat Baseline'!$D$1:$X$258,16,FALSE)),"",(VLOOKUP($E25,'A-1 On-Site Habitat Baseline'!$D$1:$X$258,13,FALSE))))</f>
        <v/>
      </c>
      <c r="P25" s="161" t="str">
        <f>IFERROR(INDEX('G-1 All Habitats'!$AG$49:$AG$63,MATCH(Q25,'G-1 All Habitats'!$AF$27:$AF$41,0)),"")</f>
        <v/>
      </c>
      <c r="Q25" s="162" t="str">
        <f t="shared" si="0"/>
        <v/>
      </c>
      <c r="R25" s="162"/>
      <c r="S25" s="252" t="str">
        <f>IFERROR(INDEX('G-1 All Habitats'!$B$3:$B$135,MATCH(R25,'G-1 All Habitats'!$A$3:$A$135,0)),"")</f>
        <v/>
      </c>
      <c r="T25" s="290" t="str">
        <f t="shared" si="1"/>
        <v/>
      </c>
      <c r="U25" s="291" t="str">
        <f t="shared" si="10"/>
        <v/>
      </c>
      <c r="V25" s="325" t="str">
        <f t="shared" si="2"/>
        <v/>
      </c>
      <c r="W25" s="310" t="str">
        <f>IF(S25="","",VLOOKUP(S25,'G-1 All Habitats'!$B$2:$M$135,10,FALSE))</f>
        <v/>
      </c>
      <c r="X25" s="310" t="str">
        <f>IFERROR(VLOOKUP(W25,'G-1 All Habitats'!$V$3:$W$7,2,FALSE),"")</f>
        <v/>
      </c>
      <c r="Y25" s="45"/>
      <c r="Z25" s="314" t="str">
        <f>IFERROR(INDEX('G-8 Condition Look up'!$A$3:$H$135,MATCH(S25,'G-8 Condition Look up'!$A$3:$A$135,0),MATCH(Y25,'G-8 Condition Look up'!$A$3:$H$3,0)),"")</f>
        <v/>
      </c>
      <c r="AA25" s="38"/>
      <c r="AB25" s="310" t="str">
        <f>IF(AA25="","",IF(VLOOKUP(AA25,'G-3 Multipliers'!$L$3:$N$6,2,FALSE)=0,"Spatial Data Missing ⚠",VLOOKUP(AA25,'G-3 Multipliers'!$L$3:$N$6,2,FALSE)))</f>
        <v/>
      </c>
      <c r="AC25" s="314" t="str">
        <f>IF(AA25="","",IF(VLOOKUP(AA25,'G-3 Multipliers'!$L$3:$N$6,3,FALSE)=0,"Spatial Data Missing ⚠",VLOOKUP(AA25,'G-3 Multipliers'!$L$3:$N$6,3,FALSE)))</f>
        <v/>
      </c>
      <c r="AD25" s="327" t="str">
        <f t="shared" si="3"/>
        <v/>
      </c>
      <c r="AE25" s="47"/>
      <c r="AF25" s="47"/>
      <c r="AG25" s="298" t="str">
        <f t="shared" si="4"/>
        <v/>
      </c>
      <c r="AH25" s="311" t="str">
        <f t="shared" si="5"/>
        <v/>
      </c>
      <c r="AI25" s="312" t="str">
        <f>IF(AH25="Check Data","Check Data",IFERROR(VLOOKUP(AH25,'G-4 Temporal multipliers'!$A$4:$C$36,3,FALSE),""))</f>
        <v/>
      </c>
      <c r="AJ25" s="290" t="str">
        <f>IF(S25="","",VLOOKUP(S25,'G-3 Multipliers'!$A$2:$E$134,4,FALSE))</f>
        <v/>
      </c>
      <c r="AK25" s="298" t="str">
        <f t="shared" si="6"/>
        <v/>
      </c>
      <c r="AL25" s="298" t="str">
        <f t="shared" si="7"/>
        <v/>
      </c>
      <c r="AM25" s="328" t="str">
        <f>IFERROR(IF(F25="","",IF(AH25="Check Data ⚠","Check Data ⚠",VLOOKUP(AL25, 'G-3 Multipliers'!$P$2:$Q$6,2,FALSE))),"")</f>
        <v/>
      </c>
      <c r="AN25" s="304" t="str">
        <f t="shared" si="8"/>
        <v/>
      </c>
      <c r="AO25" s="163"/>
      <c r="AP25" s="164"/>
      <c r="AQ25" s="101"/>
      <c r="AT25" s="20" t="str">
        <f t="shared" si="9"/>
        <v>No</v>
      </c>
      <c r="AU25" s="20" t="str">
        <f>IF(E25="","",IF(ISNA(VLOOKUP($E25,'A-1 On-Site Habitat Baseline'!$D$1:$AV$258,4,FALSE)),"",(VLOOKUP($E25,'A-1 On-Site Habitat Baseline'!$D$1:$AV$258,4,FALSE))))</f>
        <v/>
      </c>
    </row>
    <row r="26" spans="1:47" x14ac:dyDescent="0.3">
      <c r="A26" s="20" t="str">
        <f>IF(E26="","",IF(ISNA(VLOOKUP($E26,'A-1 On-Site Habitat Baseline'!$D$1:$O$258,2,FALSE)),"",(VLOOKUP($E26,'A-1 On-Site Habitat Baseline'!$D$1:$O$258,2,FALSE))))</f>
        <v/>
      </c>
      <c r="B26" s="20" t="str">
        <f>IF(E26="","",IF(ISNA(VLOOKUP($E26,'A-1 On-Site Habitat Baseline'!$D$1:$O$258,3,FALSE)),"",(VLOOKUP($E26,'A-1 On-Site Habitat Baseline'!$D$1:$O$258,3,FALSE))))</f>
        <v/>
      </c>
      <c r="C26" s="20" t="str">
        <f>IFERROR(INDEX('G-8 Condition Look up'!$I$4:$I$135,MATCH(S26,'G-8 Condition Look up'!$A$4:$A$135,0)),"")</f>
        <v/>
      </c>
      <c r="E26" s="319" t="str">
        <f>'A-1 On-Site Habitat Baseline'!AL25</f>
        <v/>
      </c>
      <c r="F26" s="310" t="str">
        <f>IF(E26="","",IF(ISNA(VLOOKUP($E26,'A-1 On-Site Habitat Baseline'!$D$1:$AV$258,45,FALSE)),"",(VLOOKUP($E26,'A-1 On-Site Habitat Baseline'!$D$1:$AV$258,45,FALSE))))</f>
        <v/>
      </c>
      <c r="G26" s="310" t="str">
        <f>IF(E26="","",IF(ISNA(VLOOKUP($E26,'A-1 On-Site Habitat Baseline'!$D$1:$O$258,5,FALSE)),"",(VLOOKUP($E26,'A-1 On-Site Habitat Baseline'!$D$1:$O$258,5,FALSE))))</f>
        <v/>
      </c>
      <c r="H26" s="310" t="str">
        <f>IF(E26="","",IF(ISNA(VLOOKUP($E26,'A-1 On-Site Habitat Baseline'!$D$1:$O$258,6,FALSE)),"",(VLOOKUP($E26,'A-1 On-Site Habitat Baseline'!$D$1:$O$258,6,FALSE))))</f>
        <v/>
      </c>
      <c r="I26" s="310" t="str">
        <f>IF(E26="","",IF(ISNA(VLOOKUP($E26,'A-1 On-Site Habitat Baseline'!$D$1:$O$258,7,FALSE)),"",(VLOOKUP($E26,'A-1 On-Site Habitat Baseline'!$D$1:$O$258,7,FALSE))))</f>
        <v/>
      </c>
      <c r="J26" s="310" t="str">
        <f>IF(E26="","",IF(ISNA(VLOOKUP($E26,'A-1 On-Site Habitat Baseline'!$D$1:$O$258,8,FALSE)),"",(VLOOKUP($E26,'A-1 On-Site Habitat Baseline'!$D$1:$O$258,8,FALSE))))</f>
        <v/>
      </c>
      <c r="K26" s="310" t="str">
        <f>IF(E26="","",IF(ISNA(VLOOKUP($E26,'A-1 On-Site Habitat Baseline'!$D$1:$O$258,9,FALSE)),"",(VLOOKUP($E26,'A-1 On-Site Habitat Baseline'!$D$1:$O$258,9,FALSE))))</f>
        <v/>
      </c>
      <c r="L26" s="310" t="str">
        <f>IF(E26="","",IF(ISNA(VLOOKUP($E26,'A-1 On-Site Habitat Baseline'!$D$1:$O$258,11,FALSE)),"",(VLOOKUP($E26,'A-1 On-Site Habitat Baseline'!$D$1:$O$258,11,FALSE))))</f>
        <v/>
      </c>
      <c r="M26" s="310" t="str">
        <f>IF(E26="","",IF(ISNA(VLOOKUP($E26,'A-1 On-Site Habitat Baseline'!$D$1:$O$258,12,FALSE)),"",(VLOOKUP($E26,'A-1 On-Site Habitat Baseline'!$D$1:$O$258,12,FALSE))))</f>
        <v/>
      </c>
      <c r="N26" s="320" t="str">
        <f>IF(E26="","",IF(ISNA(VLOOKUP($E26,'A-1 On-Site Habitat Baseline'!$D$1:$X$258,14,FALSE)),"",(VLOOKUP($E26,'A-1 On-Site Habitat Baseline'!$D$1:$X$258,14,FALSE))))</f>
        <v/>
      </c>
      <c r="O26" s="314" t="str">
        <f>IF(E26="","",IF(ISNA(VLOOKUP($E26,'A-1 On-Site Habitat Baseline'!$D$1:$X$258,16,FALSE)),"",(VLOOKUP($E26,'A-1 On-Site Habitat Baseline'!$D$1:$X$258,13,FALSE))))</f>
        <v/>
      </c>
      <c r="P26" s="161" t="str">
        <f>IFERROR(INDEX('G-1 All Habitats'!$AG$49:$AG$63,MATCH(Q26,'G-1 All Habitats'!$AF$27:$AF$41,0)),"")</f>
        <v/>
      </c>
      <c r="Q26" s="162" t="str">
        <f t="shared" si="0"/>
        <v/>
      </c>
      <c r="R26" s="162"/>
      <c r="S26" s="252" t="str">
        <f>IFERROR(INDEX('G-1 All Habitats'!$B$3:$B$135,MATCH(R26,'G-1 All Habitats'!$A$3:$A$135,0)),"")</f>
        <v/>
      </c>
      <c r="T26" s="290" t="str">
        <f t="shared" si="1"/>
        <v/>
      </c>
      <c r="U26" s="291" t="str">
        <f t="shared" si="10"/>
        <v/>
      </c>
      <c r="V26" s="325" t="str">
        <f t="shared" si="2"/>
        <v/>
      </c>
      <c r="W26" s="310" t="str">
        <f>IF(S26="","",VLOOKUP(S26,'G-1 All Habitats'!$B$2:$M$135,10,FALSE))</f>
        <v/>
      </c>
      <c r="X26" s="310" t="str">
        <f>IFERROR(VLOOKUP(W26,'G-1 All Habitats'!$V$3:$W$7,2,FALSE),"")</f>
        <v/>
      </c>
      <c r="Y26" s="45"/>
      <c r="Z26" s="314" t="str">
        <f>IFERROR(INDEX('G-8 Condition Look up'!$A$3:$H$135,MATCH(S26,'G-8 Condition Look up'!$A$3:$A$135,0),MATCH(Y26,'G-8 Condition Look up'!$A$3:$H$3,0)),"")</f>
        <v/>
      </c>
      <c r="AA26" s="38"/>
      <c r="AB26" s="310" t="str">
        <f>IF(AA26="","",IF(VLOOKUP(AA26,'G-3 Multipliers'!$L$3:$N$6,2,FALSE)=0,"Spatial Data Missing ⚠",VLOOKUP(AA26,'G-3 Multipliers'!$L$3:$N$6,2,FALSE)))</f>
        <v/>
      </c>
      <c r="AC26" s="314" t="str">
        <f>IF(AA26="","",IF(VLOOKUP(AA26,'G-3 Multipliers'!$L$3:$N$6,3,FALSE)=0,"Spatial Data Missing ⚠",VLOOKUP(AA26,'G-3 Multipliers'!$L$3:$N$6,3,FALSE)))</f>
        <v/>
      </c>
      <c r="AD26" s="327" t="str">
        <f t="shared" si="3"/>
        <v/>
      </c>
      <c r="AE26" s="47"/>
      <c r="AF26" s="47"/>
      <c r="AG26" s="298" t="str">
        <f t="shared" si="4"/>
        <v/>
      </c>
      <c r="AH26" s="311" t="str">
        <f t="shared" si="5"/>
        <v/>
      </c>
      <c r="AI26" s="312" t="str">
        <f>IF(AH26="Check Data","Check Data",IFERROR(VLOOKUP(AH26,'G-4 Temporal multipliers'!$A$4:$C$36,3,FALSE),""))</f>
        <v/>
      </c>
      <c r="AJ26" s="290" t="str">
        <f>IF(S26="","",VLOOKUP(S26,'G-3 Multipliers'!$A$2:$E$134,4,FALSE))</f>
        <v/>
      </c>
      <c r="AK26" s="298" t="str">
        <f t="shared" si="6"/>
        <v/>
      </c>
      <c r="AL26" s="298" t="str">
        <f t="shared" si="7"/>
        <v/>
      </c>
      <c r="AM26" s="328" t="str">
        <f>IFERROR(IF(F26="","",IF(AH26="Check Data ⚠","Check Data ⚠",VLOOKUP(AL26, 'G-3 Multipliers'!$P$2:$Q$6,2,FALSE))),"")</f>
        <v/>
      </c>
      <c r="AN26" s="304" t="str">
        <f t="shared" si="8"/>
        <v/>
      </c>
      <c r="AO26" s="163"/>
      <c r="AP26" s="164"/>
      <c r="AQ26" s="101"/>
      <c r="AT26" s="20" t="str">
        <f t="shared" si="9"/>
        <v>No</v>
      </c>
      <c r="AU26" s="20" t="str">
        <f>IF(E26="","",IF(ISNA(VLOOKUP($E26,'A-1 On-Site Habitat Baseline'!$D$1:$AV$258,4,FALSE)),"",(VLOOKUP($E26,'A-1 On-Site Habitat Baseline'!$D$1:$AV$258,4,FALSE))))</f>
        <v/>
      </c>
    </row>
    <row r="27" spans="1:47" x14ac:dyDescent="0.3">
      <c r="A27" s="20" t="str">
        <f>IF(E27="","",IF(ISNA(VLOOKUP($E27,'A-1 On-Site Habitat Baseline'!$D$1:$O$258,2,FALSE)),"",(VLOOKUP($E27,'A-1 On-Site Habitat Baseline'!$D$1:$O$258,2,FALSE))))</f>
        <v/>
      </c>
      <c r="B27" s="20" t="str">
        <f>IF(E27="","",IF(ISNA(VLOOKUP($E27,'A-1 On-Site Habitat Baseline'!$D$1:$O$258,3,FALSE)),"",(VLOOKUP($E27,'A-1 On-Site Habitat Baseline'!$D$1:$O$258,3,FALSE))))</f>
        <v/>
      </c>
      <c r="C27" s="20" t="str">
        <f>IFERROR(INDEX('G-8 Condition Look up'!$I$4:$I$135,MATCH(S27,'G-8 Condition Look up'!$A$4:$A$135,0)),"")</f>
        <v/>
      </c>
      <c r="E27" s="319" t="str">
        <f>'A-1 On-Site Habitat Baseline'!AL26</f>
        <v/>
      </c>
      <c r="F27" s="310" t="str">
        <f>IF(E27="","",IF(ISNA(VLOOKUP($E27,'A-1 On-Site Habitat Baseline'!$D$1:$AV$258,45,FALSE)),"",(VLOOKUP($E27,'A-1 On-Site Habitat Baseline'!$D$1:$AV$258,45,FALSE))))</f>
        <v/>
      </c>
      <c r="G27" s="310" t="str">
        <f>IF(E27="","",IF(ISNA(VLOOKUP($E27,'A-1 On-Site Habitat Baseline'!$D$1:$O$258,5,FALSE)),"",(VLOOKUP($E27,'A-1 On-Site Habitat Baseline'!$D$1:$O$258,5,FALSE))))</f>
        <v/>
      </c>
      <c r="H27" s="310" t="str">
        <f>IF(E27="","",IF(ISNA(VLOOKUP($E27,'A-1 On-Site Habitat Baseline'!$D$1:$O$258,6,FALSE)),"",(VLOOKUP($E27,'A-1 On-Site Habitat Baseline'!$D$1:$O$258,6,FALSE))))</f>
        <v/>
      </c>
      <c r="I27" s="310" t="str">
        <f>IF(E27="","",IF(ISNA(VLOOKUP($E27,'A-1 On-Site Habitat Baseline'!$D$1:$O$258,7,FALSE)),"",(VLOOKUP($E27,'A-1 On-Site Habitat Baseline'!$D$1:$O$258,7,FALSE))))</f>
        <v/>
      </c>
      <c r="J27" s="310" t="str">
        <f>IF(E27="","",IF(ISNA(VLOOKUP($E27,'A-1 On-Site Habitat Baseline'!$D$1:$O$258,8,FALSE)),"",(VLOOKUP($E27,'A-1 On-Site Habitat Baseline'!$D$1:$O$258,8,FALSE))))</f>
        <v/>
      </c>
      <c r="K27" s="310" t="str">
        <f>IF(E27="","",IF(ISNA(VLOOKUP($E27,'A-1 On-Site Habitat Baseline'!$D$1:$O$258,9,FALSE)),"",(VLOOKUP($E27,'A-1 On-Site Habitat Baseline'!$D$1:$O$258,9,FALSE))))</f>
        <v/>
      </c>
      <c r="L27" s="310" t="str">
        <f>IF(E27="","",IF(ISNA(VLOOKUP($E27,'A-1 On-Site Habitat Baseline'!$D$1:$O$258,11,FALSE)),"",(VLOOKUP($E27,'A-1 On-Site Habitat Baseline'!$D$1:$O$258,11,FALSE))))</f>
        <v/>
      </c>
      <c r="M27" s="310" t="str">
        <f>IF(E27="","",IF(ISNA(VLOOKUP($E27,'A-1 On-Site Habitat Baseline'!$D$1:$O$258,12,FALSE)),"",(VLOOKUP($E27,'A-1 On-Site Habitat Baseline'!$D$1:$O$258,12,FALSE))))</f>
        <v/>
      </c>
      <c r="N27" s="320" t="str">
        <f>IF(E27="","",IF(ISNA(VLOOKUP($E27,'A-1 On-Site Habitat Baseline'!$D$1:$X$258,14,FALSE)),"",(VLOOKUP($E27,'A-1 On-Site Habitat Baseline'!$D$1:$X$258,14,FALSE))))</f>
        <v/>
      </c>
      <c r="O27" s="314" t="str">
        <f>IF(E27="","",IF(ISNA(VLOOKUP($E27,'A-1 On-Site Habitat Baseline'!$D$1:$X$258,16,FALSE)),"",(VLOOKUP($E27,'A-1 On-Site Habitat Baseline'!$D$1:$X$258,13,FALSE))))</f>
        <v/>
      </c>
      <c r="P27" s="161" t="str">
        <f>IFERROR(INDEX('G-1 All Habitats'!$AG$49:$AG$63,MATCH(Q27,'G-1 All Habitats'!$AF$27:$AF$41,0)),"")</f>
        <v/>
      </c>
      <c r="Q27" s="162" t="str">
        <f t="shared" si="0"/>
        <v/>
      </c>
      <c r="R27" s="162"/>
      <c r="S27" s="252" t="str">
        <f>IFERROR(INDEX('G-1 All Habitats'!$B$3:$B$135,MATCH(R27,'G-1 All Habitats'!$A$3:$A$135,0)),"")</f>
        <v/>
      </c>
      <c r="T27" s="290" t="str">
        <f t="shared" si="1"/>
        <v/>
      </c>
      <c r="U27" s="291" t="str">
        <f t="shared" si="10"/>
        <v/>
      </c>
      <c r="V27" s="325" t="str">
        <f t="shared" si="2"/>
        <v/>
      </c>
      <c r="W27" s="310" t="str">
        <f>IF(S27="","",VLOOKUP(S27,'G-1 All Habitats'!$B$2:$M$135,10,FALSE))</f>
        <v/>
      </c>
      <c r="X27" s="310" t="str">
        <f>IFERROR(VLOOKUP(W27,'G-1 All Habitats'!$V$3:$W$7,2,FALSE),"")</f>
        <v/>
      </c>
      <c r="Y27" s="45"/>
      <c r="Z27" s="314" t="str">
        <f>IFERROR(INDEX('G-8 Condition Look up'!$A$3:$H$135,MATCH(S27,'G-8 Condition Look up'!$A$3:$A$135,0),MATCH(Y27,'G-8 Condition Look up'!$A$3:$H$3,0)),"")</f>
        <v/>
      </c>
      <c r="AA27" s="38"/>
      <c r="AB27" s="310" t="str">
        <f>IF(AA27="","",IF(VLOOKUP(AA27,'G-3 Multipliers'!$L$3:$N$6,2,FALSE)=0,"Spatial Data Missing ⚠",VLOOKUP(AA27,'G-3 Multipliers'!$L$3:$N$6,2,FALSE)))</f>
        <v/>
      </c>
      <c r="AC27" s="314" t="str">
        <f>IF(AA27="","",IF(VLOOKUP(AA27,'G-3 Multipliers'!$L$3:$N$6,3,FALSE)=0,"Spatial Data Missing ⚠",VLOOKUP(AA27,'G-3 Multipliers'!$L$3:$N$6,3,FALSE)))</f>
        <v/>
      </c>
      <c r="AD27" s="327" t="str">
        <f t="shared" si="3"/>
        <v/>
      </c>
      <c r="AE27" s="47"/>
      <c r="AF27" s="47"/>
      <c r="AG27" s="298" t="str">
        <f t="shared" si="4"/>
        <v/>
      </c>
      <c r="AH27" s="311" t="str">
        <f t="shared" si="5"/>
        <v/>
      </c>
      <c r="AI27" s="312" t="str">
        <f>IF(AH27="Check Data","Check Data",IFERROR(VLOOKUP(AH27,'G-4 Temporal multipliers'!$A$4:$C$36,3,FALSE),""))</f>
        <v/>
      </c>
      <c r="AJ27" s="290" t="str">
        <f>IF(S27="","",VLOOKUP(S27,'G-3 Multipliers'!$A$2:$E$134,4,FALSE))</f>
        <v/>
      </c>
      <c r="AK27" s="298" t="str">
        <f t="shared" si="6"/>
        <v/>
      </c>
      <c r="AL27" s="298" t="str">
        <f t="shared" si="7"/>
        <v/>
      </c>
      <c r="AM27" s="328" t="str">
        <f>IFERROR(IF(F27="","",IF(AH27="Check Data ⚠","Check Data ⚠",VLOOKUP(AL27, 'G-3 Multipliers'!$P$2:$Q$6,2,FALSE))),"")</f>
        <v/>
      </c>
      <c r="AN27" s="304" t="str">
        <f t="shared" si="8"/>
        <v/>
      </c>
      <c r="AO27" s="163"/>
      <c r="AP27" s="164"/>
      <c r="AQ27" s="101"/>
      <c r="AT27" s="20" t="str">
        <f t="shared" si="9"/>
        <v>No</v>
      </c>
      <c r="AU27" s="20" t="str">
        <f>IF(E27="","",IF(ISNA(VLOOKUP($E27,'A-1 On-Site Habitat Baseline'!$D$1:$AV$258,4,FALSE)),"",(VLOOKUP($E27,'A-1 On-Site Habitat Baseline'!$D$1:$AV$258,4,FALSE))))</f>
        <v/>
      </c>
    </row>
    <row r="28" spans="1:47" x14ac:dyDescent="0.3">
      <c r="A28" s="20" t="str">
        <f>IF(E28="","",IF(ISNA(VLOOKUP($E28,'A-1 On-Site Habitat Baseline'!$D$1:$O$258,2,FALSE)),"",(VLOOKUP($E28,'A-1 On-Site Habitat Baseline'!$D$1:$O$258,2,FALSE))))</f>
        <v/>
      </c>
      <c r="B28" s="20" t="str">
        <f>IF(E28="","",IF(ISNA(VLOOKUP($E28,'A-1 On-Site Habitat Baseline'!$D$1:$O$258,3,FALSE)),"",(VLOOKUP($E28,'A-1 On-Site Habitat Baseline'!$D$1:$O$258,3,FALSE))))</f>
        <v/>
      </c>
      <c r="C28" s="20" t="str">
        <f>IFERROR(INDEX('G-8 Condition Look up'!$I$4:$I$135,MATCH(S28,'G-8 Condition Look up'!$A$4:$A$135,0)),"")</f>
        <v/>
      </c>
      <c r="E28" s="319" t="str">
        <f>'A-1 On-Site Habitat Baseline'!AL27</f>
        <v/>
      </c>
      <c r="F28" s="310" t="str">
        <f>IF(E28="","",IF(ISNA(VLOOKUP($E28,'A-1 On-Site Habitat Baseline'!$D$1:$AV$258,45,FALSE)),"",(VLOOKUP($E28,'A-1 On-Site Habitat Baseline'!$D$1:$AV$258,45,FALSE))))</f>
        <v/>
      </c>
      <c r="G28" s="310" t="str">
        <f>IF(E28="","",IF(ISNA(VLOOKUP($E28,'A-1 On-Site Habitat Baseline'!$D$1:$O$258,5,FALSE)),"",(VLOOKUP($E28,'A-1 On-Site Habitat Baseline'!$D$1:$O$258,5,FALSE))))</f>
        <v/>
      </c>
      <c r="H28" s="310" t="str">
        <f>IF(E28="","",IF(ISNA(VLOOKUP($E28,'A-1 On-Site Habitat Baseline'!$D$1:$O$258,6,FALSE)),"",(VLOOKUP($E28,'A-1 On-Site Habitat Baseline'!$D$1:$O$258,6,FALSE))))</f>
        <v/>
      </c>
      <c r="I28" s="310" t="str">
        <f>IF(E28="","",IF(ISNA(VLOOKUP($E28,'A-1 On-Site Habitat Baseline'!$D$1:$O$258,7,FALSE)),"",(VLOOKUP($E28,'A-1 On-Site Habitat Baseline'!$D$1:$O$258,7,FALSE))))</f>
        <v/>
      </c>
      <c r="J28" s="310" t="str">
        <f>IF(E28="","",IF(ISNA(VLOOKUP($E28,'A-1 On-Site Habitat Baseline'!$D$1:$O$258,8,FALSE)),"",(VLOOKUP($E28,'A-1 On-Site Habitat Baseline'!$D$1:$O$258,8,FALSE))))</f>
        <v/>
      </c>
      <c r="K28" s="310" t="str">
        <f>IF(E28="","",IF(ISNA(VLOOKUP($E28,'A-1 On-Site Habitat Baseline'!$D$1:$O$258,9,FALSE)),"",(VLOOKUP($E28,'A-1 On-Site Habitat Baseline'!$D$1:$O$258,9,FALSE))))</f>
        <v/>
      </c>
      <c r="L28" s="310" t="str">
        <f>IF(E28="","",IF(ISNA(VLOOKUP($E28,'A-1 On-Site Habitat Baseline'!$D$1:$O$258,11,FALSE)),"",(VLOOKUP($E28,'A-1 On-Site Habitat Baseline'!$D$1:$O$258,11,FALSE))))</f>
        <v/>
      </c>
      <c r="M28" s="310" t="str">
        <f>IF(E28="","",IF(ISNA(VLOOKUP($E28,'A-1 On-Site Habitat Baseline'!$D$1:$O$258,12,FALSE)),"",(VLOOKUP($E28,'A-1 On-Site Habitat Baseline'!$D$1:$O$258,12,FALSE))))</f>
        <v/>
      </c>
      <c r="N28" s="320" t="str">
        <f>IF(E28="","",IF(ISNA(VLOOKUP($E28,'A-1 On-Site Habitat Baseline'!$D$1:$X$258,14,FALSE)),"",(VLOOKUP($E28,'A-1 On-Site Habitat Baseline'!$D$1:$X$258,14,FALSE))))</f>
        <v/>
      </c>
      <c r="O28" s="314" t="str">
        <f>IF(E28="","",IF(ISNA(VLOOKUP($E28,'A-1 On-Site Habitat Baseline'!$D$1:$X$258,16,FALSE)),"",(VLOOKUP($E28,'A-1 On-Site Habitat Baseline'!$D$1:$X$258,13,FALSE))))</f>
        <v/>
      </c>
      <c r="P28" s="161" t="str">
        <f>IFERROR(INDEX('G-1 All Habitats'!$AG$49:$AG$63,MATCH(Q28,'G-1 All Habitats'!$AF$27:$AF$41,0)),"")</f>
        <v/>
      </c>
      <c r="Q28" s="162" t="str">
        <f t="shared" si="0"/>
        <v/>
      </c>
      <c r="R28" s="162"/>
      <c r="S28" s="252" t="str">
        <f>IFERROR(INDEX('G-1 All Habitats'!$B$3:$B$135,MATCH(R28,'G-1 All Habitats'!$A$3:$A$135,0)),"")</f>
        <v/>
      </c>
      <c r="T28" s="290" t="str">
        <f t="shared" si="1"/>
        <v/>
      </c>
      <c r="U28" s="291" t="str">
        <f t="shared" si="10"/>
        <v/>
      </c>
      <c r="V28" s="325" t="str">
        <f t="shared" si="2"/>
        <v/>
      </c>
      <c r="W28" s="310" t="str">
        <f>IF(S28="","",VLOOKUP(S28,'G-1 All Habitats'!$B$2:$M$135,10,FALSE))</f>
        <v/>
      </c>
      <c r="X28" s="310" t="str">
        <f>IFERROR(VLOOKUP(W28,'G-1 All Habitats'!$V$3:$W$7,2,FALSE),"")</f>
        <v/>
      </c>
      <c r="Y28" s="45"/>
      <c r="Z28" s="314" t="str">
        <f>IFERROR(INDEX('G-8 Condition Look up'!$A$3:$H$135,MATCH(S28,'G-8 Condition Look up'!$A$3:$A$135,0),MATCH(Y28,'G-8 Condition Look up'!$A$3:$H$3,0)),"")</f>
        <v/>
      </c>
      <c r="AA28" s="38"/>
      <c r="AB28" s="310" t="str">
        <f>IF(AA28="","",IF(VLOOKUP(AA28,'G-3 Multipliers'!$L$3:$N$6,2,FALSE)=0,"Spatial Data Missing ⚠",VLOOKUP(AA28,'G-3 Multipliers'!$L$3:$N$6,2,FALSE)))</f>
        <v/>
      </c>
      <c r="AC28" s="314" t="str">
        <f>IF(AA28="","",IF(VLOOKUP(AA28,'G-3 Multipliers'!$L$3:$N$6,3,FALSE)=0,"Spatial Data Missing ⚠",VLOOKUP(AA28,'G-3 Multipliers'!$L$3:$N$6,3,FALSE)))</f>
        <v/>
      </c>
      <c r="AD28" s="327" t="str">
        <f t="shared" si="3"/>
        <v/>
      </c>
      <c r="AE28" s="47"/>
      <c r="AF28" s="47"/>
      <c r="AG28" s="298" t="str">
        <f t="shared" si="4"/>
        <v/>
      </c>
      <c r="AH28" s="311" t="str">
        <f t="shared" si="5"/>
        <v/>
      </c>
      <c r="AI28" s="312" t="str">
        <f>IF(AH28="Check Data","Check Data",IFERROR(VLOOKUP(AH28,'G-4 Temporal multipliers'!$A$4:$C$36,3,FALSE),""))</f>
        <v/>
      </c>
      <c r="AJ28" s="290" t="str">
        <f>IF(S28="","",VLOOKUP(S28,'G-3 Multipliers'!$A$2:$E$134,4,FALSE))</f>
        <v/>
      </c>
      <c r="AK28" s="298" t="str">
        <f t="shared" si="6"/>
        <v/>
      </c>
      <c r="AL28" s="298" t="str">
        <f t="shared" si="7"/>
        <v/>
      </c>
      <c r="AM28" s="328" t="str">
        <f>IFERROR(IF(F28="","",IF(AH28="Check Data ⚠","Check Data ⚠",VLOOKUP(AL28, 'G-3 Multipliers'!$P$2:$Q$6,2,FALSE))),"")</f>
        <v/>
      </c>
      <c r="AN28" s="304" t="str">
        <f t="shared" si="8"/>
        <v/>
      </c>
      <c r="AO28" s="163"/>
      <c r="AP28" s="164"/>
      <c r="AQ28" s="101"/>
      <c r="AT28" s="20" t="str">
        <f t="shared" si="9"/>
        <v>No</v>
      </c>
      <c r="AU28" s="20" t="str">
        <f>IF(E28="","",IF(ISNA(VLOOKUP($E28,'A-1 On-Site Habitat Baseline'!$D$1:$AV$258,4,FALSE)),"",(VLOOKUP($E28,'A-1 On-Site Habitat Baseline'!$D$1:$AV$258,4,FALSE))))</f>
        <v/>
      </c>
    </row>
    <row r="29" spans="1:47" x14ac:dyDescent="0.3">
      <c r="A29" s="20" t="str">
        <f>IF(E29="","",IF(ISNA(VLOOKUP($E29,'A-1 On-Site Habitat Baseline'!$D$1:$O$258,2,FALSE)),"",(VLOOKUP($E29,'A-1 On-Site Habitat Baseline'!$D$1:$O$258,2,FALSE))))</f>
        <v/>
      </c>
      <c r="B29" s="20" t="str">
        <f>IF(E29="","",IF(ISNA(VLOOKUP($E29,'A-1 On-Site Habitat Baseline'!$D$1:$O$258,3,FALSE)),"",(VLOOKUP($E29,'A-1 On-Site Habitat Baseline'!$D$1:$O$258,3,FALSE))))</f>
        <v/>
      </c>
      <c r="C29" s="20" t="str">
        <f>IFERROR(INDEX('G-8 Condition Look up'!$I$4:$I$135,MATCH(S29,'G-8 Condition Look up'!$A$4:$A$135,0)),"")</f>
        <v/>
      </c>
      <c r="E29" s="319" t="str">
        <f>'A-1 On-Site Habitat Baseline'!AL28</f>
        <v/>
      </c>
      <c r="F29" s="310" t="str">
        <f>IF(E29="","",IF(ISNA(VLOOKUP($E29,'A-1 On-Site Habitat Baseline'!$D$1:$AV$258,45,FALSE)),"",(VLOOKUP($E29,'A-1 On-Site Habitat Baseline'!$D$1:$AV$258,45,FALSE))))</f>
        <v/>
      </c>
      <c r="G29" s="310" t="str">
        <f>IF(E29="","",IF(ISNA(VLOOKUP($E29,'A-1 On-Site Habitat Baseline'!$D$1:$O$258,5,FALSE)),"",(VLOOKUP($E29,'A-1 On-Site Habitat Baseline'!$D$1:$O$258,5,FALSE))))</f>
        <v/>
      </c>
      <c r="H29" s="310" t="str">
        <f>IF(E29="","",IF(ISNA(VLOOKUP($E29,'A-1 On-Site Habitat Baseline'!$D$1:$O$258,6,FALSE)),"",(VLOOKUP($E29,'A-1 On-Site Habitat Baseline'!$D$1:$O$258,6,FALSE))))</f>
        <v/>
      </c>
      <c r="I29" s="310" t="str">
        <f>IF(E29="","",IF(ISNA(VLOOKUP($E29,'A-1 On-Site Habitat Baseline'!$D$1:$O$258,7,FALSE)),"",(VLOOKUP($E29,'A-1 On-Site Habitat Baseline'!$D$1:$O$258,7,FALSE))))</f>
        <v/>
      </c>
      <c r="J29" s="310" t="str">
        <f>IF(E29="","",IF(ISNA(VLOOKUP($E29,'A-1 On-Site Habitat Baseline'!$D$1:$O$258,8,FALSE)),"",(VLOOKUP($E29,'A-1 On-Site Habitat Baseline'!$D$1:$O$258,8,FALSE))))</f>
        <v/>
      </c>
      <c r="K29" s="310" t="str">
        <f>IF(E29="","",IF(ISNA(VLOOKUP($E29,'A-1 On-Site Habitat Baseline'!$D$1:$O$258,9,FALSE)),"",(VLOOKUP($E29,'A-1 On-Site Habitat Baseline'!$D$1:$O$258,9,FALSE))))</f>
        <v/>
      </c>
      <c r="L29" s="310" t="str">
        <f>IF(E29="","",IF(ISNA(VLOOKUP($E29,'A-1 On-Site Habitat Baseline'!$D$1:$O$258,11,FALSE)),"",(VLOOKUP($E29,'A-1 On-Site Habitat Baseline'!$D$1:$O$258,11,FALSE))))</f>
        <v/>
      </c>
      <c r="M29" s="310" t="str">
        <f>IF(E29="","",IF(ISNA(VLOOKUP($E29,'A-1 On-Site Habitat Baseline'!$D$1:$O$258,12,FALSE)),"",(VLOOKUP($E29,'A-1 On-Site Habitat Baseline'!$D$1:$O$258,12,FALSE))))</f>
        <v/>
      </c>
      <c r="N29" s="320" t="str">
        <f>IF(E29="","",IF(ISNA(VLOOKUP($E29,'A-1 On-Site Habitat Baseline'!$D$1:$X$258,14,FALSE)),"",(VLOOKUP($E29,'A-1 On-Site Habitat Baseline'!$D$1:$X$258,14,FALSE))))</f>
        <v/>
      </c>
      <c r="O29" s="314" t="str">
        <f>IF(E29="","",IF(ISNA(VLOOKUP($E29,'A-1 On-Site Habitat Baseline'!$D$1:$X$258,16,FALSE)),"",(VLOOKUP($E29,'A-1 On-Site Habitat Baseline'!$D$1:$X$258,13,FALSE))))</f>
        <v/>
      </c>
      <c r="P29" s="161" t="str">
        <f>IFERROR(INDEX('G-1 All Habitats'!$AG$49:$AG$63,MATCH(Q29,'G-1 All Habitats'!$AF$27:$AF$41,0)),"")</f>
        <v/>
      </c>
      <c r="Q29" s="162" t="str">
        <f t="shared" si="0"/>
        <v/>
      </c>
      <c r="R29" s="162"/>
      <c r="S29" s="252" t="str">
        <f>IFERROR(INDEX('G-1 All Habitats'!$B$3:$B$135,MATCH(R29,'G-1 All Habitats'!$A$3:$A$135,0)),"")</f>
        <v/>
      </c>
      <c r="T29" s="290" t="str">
        <f t="shared" si="1"/>
        <v/>
      </c>
      <c r="U29" s="291" t="str">
        <f t="shared" si="10"/>
        <v/>
      </c>
      <c r="V29" s="325" t="str">
        <f t="shared" si="2"/>
        <v/>
      </c>
      <c r="W29" s="310" t="str">
        <f>IF(S29="","",VLOOKUP(S29,'G-1 All Habitats'!$B$2:$M$135,10,FALSE))</f>
        <v/>
      </c>
      <c r="X29" s="310" t="str">
        <f>IFERROR(VLOOKUP(W29,'G-1 All Habitats'!$V$3:$W$7,2,FALSE),"")</f>
        <v/>
      </c>
      <c r="Y29" s="45"/>
      <c r="Z29" s="314" t="str">
        <f>IFERROR(INDEX('G-8 Condition Look up'!$A$3:$H$135,MATCH(S29,'G-8 Condition Look up'!$A$3:$A$135,0),MATCH(Y29,'G-8 Condition Look up'!$A$3:$H$3,0)),"")</f>
        <v/>
      </c>
      <c r="AA29" s="38"/>
      <c r="AB29" s="310" t="str">
        <f>IF(AA29="","",IF(VLOOKUP(AA29,'G-3 Multipliers'!$L$3:$N$6,2,FALSE)=0,"Spatial Data Missing ⚠",VLOOKUP(AA29,'G-3 Multipliers'!$L$3:$N$6,2,FALSE)))</f>
        <v/>
      </c>
      <c r="AC29" s="314" t="str">
        <f>IF(AA29="","",IF(VLOOKUP(AA29,'G-3 Multipliers'!$L$3:$N$6,3,FALSE)=0,"Spatial Data Missing ⚠",VLOOKUP(AA29,'G-3 Multipliers'!$L$3:$N$6,3,FALSE)))</f>
        <v/>
      </c>
      <c r="AD29" s="327" t="str">
        <f t="shared" si="3"/>
        <v/>
      </c>
      <c r="AE29" s="47"/>
      <c r="AF29" s="47"/>
      <c r="AG29" s="298" t="str">
        <f t="shared" si="4"/>
        <v/>
      </c>
      <c r="AH29" s="311" t="str">
        <f t="shared" si="5"/>
        <v/>
      </c>
      <c r="AI29" s="312" t="str">
        <f>IF(AH29="Check Data","Check Data",IFERROR(VLOOKUP(AH29,'G-4 Temporal multipliers'!$A$4:$C$36,3,FALSE),""))</f>
        <v/>
      </c>
      <c r="AJ29" s="290" t="str">
        <f>IF(S29="","",VLOOKUP(S29,'G-3 Multipliers'!$A$2:$E$134,4,FALSE))</f>
        <v/>
      </c>
      <c r="AK29" s="298" t="str">
        <f t="shared" si="6"/>
        <v/>
      </c>
      <c r="AL29" s="298" t="str">
        <f t="shared" si="7"/>
        <v/>
      </c>
      <c r="AM29" s="328" t="str">
        <f>IFERROR(IF(F29="","",IF(AH29="Check Data ⚠","Check Data ⚠",VLOOKUP(AL29, 'G-3 Multipliers'!$P$2:$Q$6,2,FALSE))),"")</f>
        <v/>
      </c>
      <c r="AN29" s="304" t="str">
        <f t="shared" si="8"/>
        <v/>
      </c>
      <c r="AO29" s="163"/>
      <c r="AP29" s="164"/>
      <c r="AQ29" s="101"/>
      <c r="AT29" s="20" t="str">
        <f t="shared" si="9"/>
        <v>No</v>
      </c>
      <c r="AU29" s="20" t="str">
        <f>IF(E29="","",IF(ISNA(VLOOKUP($E29,'A-1 On-Site Habitat Baseline'!$D$1:$AV$258,4,FALSE)),"",(VLOOKUP($E29,'A-1 On-Site Habitat Baseline'!$D$1:$AV$258,4,FALSE))))</f>
        <v/>
      </c>
    </row>
    <row r="30" spans="1:47" x14ac:dyDescent="0.3">
      <c r="A30" s="20" t="str">
        <f>IF(E30="","",IF(ISNA(VLOOKUP($E30,'A-1 On-Site Habitat Baseline'!$D$1:$O$258,2,FALSE)),"",(VLOOKUP($E30,'A-1 On-Site Habitat Baseline'!$D$1:$O$258,2,FALSE))))</f>
        <v/>
      </c>
      <c r="B30" s="20" t="str">
        <f>IF(E30="","",IF(ISNA(VLOOKUP($E30,'A-1 On-Site Habitat Baseline'!$D$1:$O$258,3,FALSE)),"",(VLOOKUP($E30,'A-1 On-Site Habitat Baseline'!$D$1:$O$258,3,FALSE))))</f>
        <v/>
      </c>
      <c r="C30" s="20" t="str">
        <f>IFERROR(INDEX('G-8 Condition Look up'!$I$4:$I$135,MATCH(S30,'G-8 Condition Look up'!$A$4:$A$135,0)),"")</f>
        <v/>
      </c>
      <c r="E30" s="319" t="str">
        <f>'A-1 On-Site Habitat Baseline'!AL29</f>
        <v/>
      </c>
      <c r="F30" s="310" t="str">
        <f>IF(E30="","",IF(ISNA(VLOOKUP($E30,'A-1 On-Site Habitat Baseline'!$D$1:$AV$258,45,FALSE)),"",(VLOOKUP($E30,'A-1 On-Site Habitat Baseline'!$D$1:$AV$258,45,FALSE))))</f>
        <v/>
      </c>
      <c r="G30" s="310" t="str">
        <f>IF(E30="","",IF(ISNA(VLOOKUP($E30,'A-1 On-Site Habitat Baseline'!$D$1:$O$258,5,FALSE)),"",(VLOOKUP($E30,'A-1 On-Site Habitat Baseline'!$D$1:$O$258,5,FALSE))))</f>
        <v/>
      </c>
      <c r="H30" s="310" t="str">
        <f>IF(E30="","",IF(ISNA(VLOOKUP($E30,'A-1 On-Site Habitat Baseline'!$D$1:$O$258,6,FALSE)),"",(VLOOKUP($E30,'A-1 On-Site Habitat Baseline'!$D$1:$O$258,6,FALSE))))</f>
        <v/>
      </c>
      <c r="I30" s="310" t="str">
        <f>IF(E30="","",IF(ISNA(VLOOKUP($E30,'A-1 On-Site Habitat Baseline'!$D$1:$O$258,7,FALSE)),"",(VLOOKUP($E30,'A-1 On-Site Habitat Baseline'!$D$1:$O$258,7,FALSE))))</f>
        <v/>
      </c>
      <c r="J30" s="310" t="str">
        <f>IF(E30="","",IF(ISNA(VLOOKUP($E30,'A-1 On-Site Habitat Baseline'!$D$1:$O$258,8,FALSE)),"",(VLOOKUP($E30,'A-1 On-Site Habitat Baseline'!$D$1:$O$258,8,FALSE))))</f>
        <v/>
      </c>
      <c r="K30" s="310" t="str">
        <f>IF(E30="","",IF(ISNA(VLOOKUP($E30,'A-1 On-Site Habitat Baseline'!$D$1:$O$258,9,FALSE)),"",(VLOOKUP($E30,'A-1 On-Site Habitat Baseline'!$D$1:$O$258,9,FALSE))))</f>
        <v/>
      </c>
      <c r="L30" s="310" t="str">
        <f>IF(E30="","",IF(ISNA(VLOOKUP($E30,'A-1 On-Site Habitat Baseline'!$D$1:$O$258,11,FALSE)),"",(VLOOKUP($E30,'A-1 On-Site Habitat Baseline'!$D$1:$O$258,11,FALSE))))</f>
        <v/>
      </c>
      <c r="M30" s="310" t="str">
        <f>IF(E30="","",IF(ISNA(VLOOKUP($E30,'A-1 On-Site Habitat Baseline'!$D$1:$O$258,12,FALSE)),"",(VLOOKUP($E30,'A-1 On-Site Habitat Baseline'!$D$1:$O$258,12,FALSE))))</f>
        <v/>
      </c>
      <c r="N30" s="320" t="str">
        <f>IF(E30="","",IF(ISNA(VLOOKUP($E30,'A-1 On-Site Habitat Baseline'!$D$1:$X$258,14,FALSE)),"",(VLOOKUP($E30,'A-1 On-Site Habitat Baseline'!$D$1:$X$258,14,FALSE))))</f>
        <v/>
      </c>
      <c r="O30" s="314" t="str">
        <f>IF(E30="","",IF(ISNA(VLOOKUP($E30,'A-1 On-Site Habitat Baseline'!$D$1:$X$258,16,FALSE)),"",(VLOOKUP($E30,'A-1 On-Site Habitat Baseline'!$D$1:$X$258,13,FALSE))))</f>
        <v/>
      </c>
      <c r="P30" s="161" t="str">
        <f>IFERROR(INDEX('G-1 All Habitats'!$AG$49:$AG$63,MATCH(Q30,'G-1 All Habitats'!$AF$27:$AF$41,0)),"")</f>
        <v/>
      </c>
      <c r="Q30" s="162" t="str">
        <f t="shared" si="0"/>
        <v/>
      </c>
      <c r="R30" s="162"/>
      <c r="S30" s="252" t="str">
        <f>IFERROR(INDEX('G-1 All Habitats'!$B$3:$B$135,MATCH(R30,'G-1 All Habitats'!$A$3:$A$135,0)),"")</f>
        <v/>
      </c>
      <c r="T30" s="290" t="str">
        <f t="shared" si="1"/>
        <v/>
      </c>
      <c r="U30" s="291" t="str">
        <f t="shared" si="10"/>
        <v/>
      </c>
      <c r="V30" s="325" t="str">
        <f t="shared" si="2"/>
        <v/>
      </c>
      <c r="W30" s="310" t="str">
        <f>IF(S30="","",VLOOKUP(S30,'G-1 All Habitats'!$B$2:$M$135,10,FALSE))</f>
        <v/>
      </c>
      <c r="X30" s="310" t="str">
        <f>IFERROR(VLOOKUP(W30,'G-1 All Habitats'!$V$3:$W$7,2,FALSE),"")</f>
        <v/>
      </c>
      <c r="Y30" s="45"/>
      <c r="Z30" s="314" t="str">
        <f>IFERROR(INDEX('G-8 Condition Look up'!$A$3:$H$135,MATCH(S30,'G-8 Condition Look up'!$A$3:$A$135,0),MATCH(Y30,'G-8 Condition Look up'!$A$3:$H$3,0)),"")</f>
        <v/>
      </c>
      <c r="AA30" s="38"/>
      <c r="AB30" s="310" t="str">
        <f>IF(AA30="","",IF(VLOOKUP(AA30,'G-3 Multipliers'!$L$3:$N$6,2,FALSE)=0,"Spatial Data Missing ⚠",VLOOKUP(AA30,'G-3 Multipliers'!$L$3:$N$6,2,FALSE)))</f>
        <v/>
      </c>
      <c r="AC30" s="314" t="str">
        <f>IF(AA30="","",IF(VLOOKUP(AA30,'G-3 Multipliers'!$L$3:$N$6,3,FALSE)=0,"Spatial Data Missing ⚠",VLOOKUP(AA30,'G-3 Multipliers'!$L$3:$N$6,3,FALSE)))</f>
        <v/>
      </c>
      <c r="AD30" s="327" t="str">
        <f t="shared" si="3"/>
        <v/>
      </c>
      <c r="AE30" s="47"/>
      <c r="AF30" s="47"/>
      <c r="AG30" s="298" t="str">
        <f t="shared" si="4"/>
        <v/>
      </c>
      <c r="AH30" s="311" t="str">
        <f t="shared" si="5"/>
        <v/>
      </c>
      <c r="AI30" s="312" t="str">
        <f>IF(AH30="Check Data","Check Data",IFERROR(VLOOKUP(AH30,'G-4 Temporal multipliers'!$A$4:$C$36,3,FALSE),""))</f>
        <v/>
      </c>
      <c r="AJ30" s="290" t="str">
        <f>IF(S30="","",VLOOKUP(S30,'G-3 Multipliers'!$A$2:$E$134,4,FALSE))</f>
        <v/>
      </c>
      <c r="AK30" s="298" t="str">
        <f t="shared" si="6"/>
        <v/>
      </c>
      <c r="AL30" s="298" t="str">
        <f t="shared" si="7"/>
        <v/>
      </c>
      <c r="AM30" s="328" t="str">
        <f>IFERROR(IF(F30="","",IF(AH30="Check Data ⚠","Check Data ⚠",VLOOKUP(AL30, 'G-3 Multipliers'!$P$2:$Q$6,2,FALSE))),"")</f>
        <v/>
      </c>
      <c r="AN30" s="304" t="str">
        <f t="shared" si="8"/>
        <v/>
      </c>
      <c r="AO30" s="163"/>
      <c r="AP30" s="164"/>
      <c r="AQ30" s="101"/>
      <c r="AT30" s="20" t="str">
        <f t="shared" si="9"/>
        <v>No</v>
      </c>
      <c r="AU30" s="20" t="str">
        <f>IF(E30="","",IF(ISNA(VLOOKUP($E30,'A-1 On-Site Habitat Baseline'!$D$1:$AV$258,4,FALSE)),"",(VLOOKUP($E30,'A-1 On-Site Habitat Baseline'!$D$1:$AV$258,4,FALSE))))</f>
        <v/>
      </c>
    </row>
    <row r="31" spans="1:47" x14ac:dyDescent="0.3">
      <c r="A31" s="20" t="str">
        <f>IF(E31="","",IF(ISNA(VLOOKUP($E31,'A-1 On-Site Habitat Baseline'!$D$1:$O$258,2,FALSE)),"",(VLOOKUP($E31,'A-1 On-Site Habitat Baseline'!$D$1:$O$258,2,FALSE))))</f>
        <v/>
      </c>
      <c r="B31" s="20" t="str">
        <f>IF(E31="","",IF(ISNA(VLOOKUP($E31,'A-1 On-Site Habitat Baseline'!$D$1:$O$258,3,FALSE)),"",(VLOOKUP($E31,'A-1 On-Site Habitat Baseline'!$D$1:$O$258,3,FALSE))))</f>
        <v/>
      </c>
      <c r="C31" s="20" t="str">
        <f>IFERROR(INDEX('G-8 Condition Look up'!$I$4:$I$135,MATCH(S31,'G-8 Condition Look up'!$A$4:$A$135,0)),"")</f>
        <v/>
      </c>
      <c r="E31" s="319" t="str">
        <f>'A-1 On-Site Habitat Baseline'!AL30</f>
        <v/>
      </c>
      <c r="F31" s="310" t="str">
        <f>IF(E31="","",IF(ISNA(VLOOKUP($E31,'A-1 On-Site Habitat Baseline'!$D$1:$AV$258,45,FALSE)),"",(VLOOKUP($E31,'A-1 On-Site Habitat Baseline'!$D$1:$AV$258,45,FALSE))))</f>
        <v/>
      </c>
      <c r="G31" s="310" t="str">
        <f>IF(E31="","",IF(ISNA(VLOOKUP($E31,'A-1 On-Site Habitat Baseline'!$D$1:$O$258,5,FALSE)),"",(VLOOKUP($E31,'A-1 On-Site Habitat Baseline'!$D$1:$O$258,5,FALSE))))</f>
        <v/>
      </c>
      <c r="H31" s="310" t="str">
        <f>IF(E31="","",IF(ISNA(VLOOKUP($E31,'A-1 On-Site Habitat Baseline'!$D$1:$O$258,6,FALSE)),"",(VLOOKUP($E31,'A-1 On-Site Habitat Baseline'!$D$1:$O$258,6,FALSE))))</f>
        <v/>
      </c>
      <c r="I31" s="310" t="str">
        <f>IF(E31="","",IF(ISNA(VLOOKUP($E31,'A-1 On-Site Habitat Baseline'!$D$1:$O$258,7,FALSE)),"",(VLOOKUP($E31,'A-1 On-Site Habitat Baseline'!$D$1:$O$258,7,FALSE))))</f>
        <v/>
      </c>
      <c r="J31" s="310" t="str">
        <f>IF(E31="","",IF(ISNA(VLOOKUP($E31,'A-1 On-Site Habitat Baseline'!$D$1:$O$258,8,FALSE)),"",(VLOOKUP($E31,'A-1 On-Site Habitat Baseline'!$D$1:$O$258,8,FALSE))))</f>
        <v/>
      </c>
      <c r="K31" s="310" t="str">
        <f>IF(E31="","",IF(ISNA(VLOOKUP($E31,'A-1 On-Site Habitat Baseline'!$D$1:$O$258,9,FALSE)),"",(VLOOKUP($E31,'A-1 On-Site Habitat Baseline'!$D$1:$O$258,9,FALSE))))</f>
        <v/>
      </c>
      <c r="L31" s="310" t="str">
        <f>IF(E31="","",IF(ISNA(VLOOKUP($E31,'A-1 On-Site Habitat Baseline'!$D$1:$O$258,11,FALSE)),"",(VLOOKUP($E31,'A-1 On-Site Habitat Baseline'!$D$1:$O$258,11,FALSE))))</f>
        <v/>
      </c>
      <c r="M31" s="310" t="str">
        <f>IF(E31="","",IF(ISNA(VLOOKUP($E31,'A-1 On-Site Habitat Baseline'!$D$1:$O$258,12,FALSE)),"",(VLOOKUP($E31,'A-1 On-Site Habitat Baseline'!$D$1:$O$258,12,FALSE))))</f>
        <v/>
      </c>
      <c r="N31" s="320" t="str">
        <f>IF(E31="","",IF(ISNA(VLOOKUP($E31,'A-1 On-Site Habitat Baseline'!$D$1:$X$258,14,FALSE)),"",(VLOOKUP($E31,'A-1 On-Site Habitat Baseline'!$D$1:$X$258,14,FALSE))))</f>
        <v/>
      </c>
      <c r="O31" s="314" t="str">
        <f>IF(E31="","",IF(ISNA(VLOOKUP($E31,'A-1 On-Site Habitat Baseline'!$D$1:$X$258,16,FALSE)),"",(VLOOKUP($E31,'A-1 On-Site Habitat Baseline'!$D$1:$X$258,13,FALSE))))</f>
        <v/>
      </c>
      <c r="P31" s="161" t="str">
        <f>IFERROR(INDEX('G-1 All Habitats'!$AG$49:$AG$63,MATCH(Q31,'G-1 All Habitats'!$AF$27:$AF$41,0)),"")</f>
        <v/>
      </c>
      <c r="Q31" s="162" t="str">
        <f t="shared" si="0"/>
        <v/>
      </c>
      <c r="R31" s="162"/>
      <c r="S31" s="252" t="str">
        <f>IFERROR(INDEX('G-1 All Habitats'!$B$3:$B$135,MATCH(R31,'G-1 All Habitats'!$A$3:$A$135,0)),"")</f>
        <v/>
      </c>
      <c r="T31" s="290" t="str">
        <f t="shared" si="1"/>
        <v/>
      </c>
      <c r="U31" s="291" t="str">
        <f t="shared" si="10"/>
        <v/>
      </c>
      <c r="V31" s="325" t="str">
        <f t="shared" si="2"/>
        <v/>
      </c>
      <c r="W31" s="310" t="str">
        <f>IF(S31="","",VLOOKUP(S31,'G-1 All Habitats'!$B$2:$M$135,10,FALSE))</f>
        <v/>
      </c>
      <c r="X31" s="310" t="str">
        <f>IFERROR(VLOOKUP(W31,'G-1 All Habitats'!$V$3:$W$7,2,FALSE),"")</f>
        <v/>
      </c>
      <c r="Y31" s="45"/>
      <c r="Z31" s="314" t="str">
        <f>IFERROR(INDEX('G-8 Condition Look up'!$A$3:$H$135,MATCH(S31,'G-8 Condition Look up'!$A$3:$A$135,0),MATCH(Y31,'G-8 Condition Look up'!$A$3:$H$3,0)),"")</f>
        <v/>
      </c>
      <c r="AA31" s="38"/>
      <c r="AB31" s="310" t="str">
        <f>IF(AA31="","",IF(VLOOKUP(AA31,'G-3 Multipliers'!$L$3:$N$6,2,FALSE)=0,"Spatial Data Missing ⚠",VLOOKUP(AA31,'G-3 Multipliers'!$L$3:$N$6,2,FALSE)))</f>
        <v/>
      </c>
      <c r="AC31" s="314" t="str">
        <f>IF(AA31="","",IF(VLOOKUP(AA31,'G-3 Multipliers'!$L$3:$N$6,3,FALSE)=0,"Spatial Data Missing ⚠",VLOOKUP(AA31,'G-3 Multipliers'!$L$3:$N$6,3,FALSE)))</f>
        <v/>
      </c>
      <c r="AD31" s="327" t="str">
        <f t="shared" si="3"/>
        <v/>
      </c>
      <c r="AE31" s="47"/>
      <c r="AF31" s="47"/>
      <c r="AG31" s="298" t="str">
        <f t="shared" si="4"/>
        <v/>
      </c>
      <c r="AH31" s="311" t="str">
        <f t="shared" si="5"/>
        <v/>
      </c>
      <c r="AI31" s="312" t="str">
        <f>IF(AH31="Check Data","Check Data",IFERROR(VLOOKUP(AH31,'G-4 Temporal multipliers'!$A$4:$C$36,3,FALSE),""))</f>
        <v/>
      </c>
      <c r="AJ31" s="290" t="str">
        <f>IF(S31="","",VLOOKUP(S31,'G-3 Multipliers'!$A$2:$E$134,4,FALSE))</f>
        <v/>
      </c>
      <c r="AK31" s="298" t="str">
        <f t="shared" si="6"/>
        <v/>
      </c>
      <c r="AL31" s="298" t="str">
        <f t="shared" si="7"/>
        <v/>
      </c>
      <c r="AM31" s="328" t="str">
        <f>IFERROR(IF(F31="","",IF(AH31="Check Data ⚠","Check Data ⚠",VLOOKUP(AL31, 'G-3 Multipliers'!$P$2:$Q$6,2,FALSE))),"")</f>
        <v/>
      </c>
      <c r="AN31" s="304" t="str">
        <f t="shared" si="8"/>
        <v/>
      </c>
      <c r="AO31" s="163"/>
      <c r="AP31" s="164"/>
      <c r="AQ31" s="101"/>
      <c r="AT31" s="20" t="str">
        <f t="shared" si="9"/>
        <v>No</v>
      </c>
      <c r="AU31" s="20" t="str">
        <f>IF(E31="","",IF(ISNA(VLOOKUP($E31,'A-1 On-Site Habitat Baseline'!$D$1:$AV$258,4,FALSE)),"",(VLOOKUP($E31,'A-1 On-Site Habitat Baseline'!$D$1:$AV$258,4,FALSE))))</f>
        <v/>
      </c>
    </row>
    <row r="32" spans="1:47" x14ac:dyDescent="0.3">
      <c r="A32" s="20" t="str">
        <f>IF(E32="","",IF(ISNA(VLOOKUP($E32,'A-1 On-Site Habitat Baseline'!$D$1:$O$258,2,FALSE)),"",(VLOOKUP($E32,'A-1 On-Site Habitat Baseline'!$D$1:$O$258,2,FALSE))))</f>
        <v/>
      </c>
      <c r="B32" s="20" t="str">
        <f>IF(E32="","",IF(ISNA(VLOOKUP($E32,'A-1 On-Site Habitat Baseline'!$D$1:$O$258,3,FALSE)),"",(VLOOKUP($E32,'A-1 On-Site Habitat Baseline'!$D$1:$O$258,3,FALSE))))</f>
        <v/>
      </c>
      <c r="C32" s="20" t="str">
        <f>IFERROR(INDEX('G-8 Condition Look up'!$I$4:$I$135,MATCH(S32,'G-8 Condition Look up'!$A$4:$A$135,0)),"")</f>
        <v/>
      </c>
      <c r="E32" s="319" t="str">
        <f>'A-1 On-Site Habitat Baseline'!AL31</f>
        <v/>
      </c>
      <c r="F32" s="310" t="str">
        <f>IF(E32="","",IF(ISNA(VLOOKUP($E32,'A-1 On-Site Habitat Baseline'!$D$1:$AV$258,45,FALSE)),"",(VLOOKUP($E32,'A-1 On-Site Habitat Baseline'!$D$1:$AV$258,45,FALSE))))</f>
        <v/>
      </c>
      <c r="G32" s="310" t="str">
        <f>IF(E32="","",IF(ISNA(VLOOKUP($E32,'A-1 On-Site Habitat Baseline'!$D$1:$O$258,5,FALSE)),"",(VLOOKUP($E32,'A-1 On-Site Habitat Baseline'!$D$1:$O$258,5,FALSE))))</f>
        <v/>
      </c>
      <c r="H32" s="310" t="str">
        <f>IF(E32="","",IF(ISNA(VLOOKUP($E32,'A-1 On-Site Habitat Baseline'!$D$1:$O$258,6,FALSE)),"",(VLOOKUP($E32,'A-1 On-Site Habitat Baseline'!$D$1:$O$258,6,FALSE))))</f>
        <v/>
      </c>
      <c r="I32" s="310" t="str">
        <f>IF(E32="","",IF(ISNA(VLOOKUP($E32,'A-1 On-Site Habitat Baseline'!$D$1:$O$258,7,FALSE)),"",(VLOOKUP($E32,'A-1 On-Site Habitat Baseline'!$D$1:$O$258,7,FALSE))))</f>
        <v/>
      </c>
      <c r="J32" s="310" t="str">
        <f>IF(E32="","",IF(ISNA(VLOOKUP($E32,'A-1 On-Site Habitat Baseline'!$D$1:$O$258,8,FALSE)),"",(VLOOKUP($E32,'A-1 On-Site Habitat Baseline'!$D$1:$O$258,8,FALSE))))</f>
        <v/>
      </c>
      <c r="K32" s="310" t="str">
        <f>IF(E32="","",IF(ISNA(VLOOKUP($E32,'A-1 On-Site Habitat Baseline'!$D$1:$O$258,9,FALSE)),"",(VLOOKUP($E32,'A-1 On-Site Habitat Baseline'!$D$1:$O$258,9,FALSE))))</f>
        <v/>
      </c>
      <c r="L32" s="310" t="str">
        <f>IF(E32="","",IF(ISNA(VLOOKUP($E32,'A-1 On-Site Habitat Baseline'!$D$1:$O$258,11,FALSE)),"",(VLOOKUP($E32,'A-1 On-Site Habitat Baseline'!$D$1:$O$258,11,FALSE))))</f>
        <v/>
      </c>
      <c r="M32" s="310" t="str">
        <f>IF(E32="","",IF(ISNA(VLOOKUP($E32,'A-1 On-Site Habitat Baseline'!$D$1:$O$258,12,FALSE)),"",(VLOOKUP($E32,'A-1 On-Site Habitat Baseline'!$D$1:$O$258,12,FALSE))))</f>
        <v/>
      </c>
      <c r="N32" s="320" t="str">
        <f>IF(E32="","",IF(ISNA(VLOOKUP($E32,'A-1 On-Site Habitat Baseline'!$D$1:$X$258,14,FALSE)),"",(VLOOKUP($E32,'A-1 On-Site Habitat Baseline'!$D$1:$X$258,14,FALSE))))</f>
        <v/>
      </c>
      <c r="O32" s="314" t="str">
        <f>IF(E32="","",IF(ISNA(VLOOKUP($E32,'A-1 On-Site Habitat Baseline'!$D$1:$X$258,16,FALSE)),"",(VLOOKUP($E32,'A-1 On-Site Habitat Baseline'!$D$1:$X$258,13,FALSE))))</f>
        <v/>
      </c>
      <c r="P32" s="161" t="str">
        <f>IFERROR(INDEX('G-1 All Habitats'!$AG$49:$AG$63,MATCH(Q32,'G-1 All Habitats'!$AF$27:$AF$41,0)),"")</f>
        <v/>
      </c>
      <c r="Q32" s="162" t="str">
        <f t="shared" si="0"/>
        <v/>
      </c>
      <c r="R32" s="162"/>
      <c r="S32" s="252" t="str">
        <f>IFERROR(INDEX('G-1 All Habitats'!$B$3:$B$135,MATCH(R32,'G-1 All Habitats'!$A$3:$A$135,0)),"")</f>
        <v/>
      </c>
      <c r="T32" s="290" t="str">
        <f t="shared" si="1"/>
        <v/>
      </c>
      <c r="U32" s="291" t="str">
        <f t="shared" si="10"/>
        <v/>
      </c>
      <c r="V32" s="325" t="str">
        <f t="shared" si="2"/>
        <v/>
      </c>
      <c r="W32" s="310" t="str">
        <f>IF(S32="","",VLOOKUP(S32,'G-1 All Habitats'!$B$2:$M$135,10,FALSE))</f>
        <v/>
      </c>
      <c r="X32" s="310" t="str">
        <f>IFERROR(VLOOKUP(W32,'G-1 All Habitats'!$V$3:$W$7,2,FALSE),"")</f>
        <v/>
      </c>
      <c r="Y32" s="45"/>
      <c r="Z32" s="314" t="str">
        <f>IFERROR(INDEX('G-8 Condition Look up'!$A$3:$H$135,MATCH(S32,'G-8 Condition Look up'!$A$3:$A$135,0),MATCH(Y32,'G-8 Condition Look up'!$A$3:$H$3,0)),"")</f>
        <v/>
      </c>
      <c r="AA32" s="38"/>
      <c r="AB32" s="310" t="str">
        <f>IF(AA32="","",IF(VLOOKUP(AA32,'G-3 Multipliers'!$L$3:$N$6,2,FALSE)=0,"Spatial Data Missing ⚠",VLOOKUP(AA32,'G-3 Multipliers'!$L$3:$N$6,2,FALSE)))</f>
        <v/>
      </c>
      <c r="AC32" s="314" t="str">
        <f>IF(AA32="","",IF(VLOOKUP(AA32,'G-3 Multipliers'!$L$3:$N$6,3,FALSE)=0,"Spatial Data Missing ⚠",VLOOKUP(AA32,'G-3 Multipliers'!$L$3:$N$6,3,FALSE)))</f>
        <v/>
      </c>
      <c r="AD32" s="327" t="str">
        <f t="shared" si="3"/>
        <v/>
      </c>
      <c r="AE32" s="47"/>
      <c r="AF32" s="47"/>
      <c r="AG32" s="298" t="str">
        <f t="shared" si="4"/>
        <v/>
      </c>
      <c r="AH32" s="311" t="str">
        <f t="shared" si="5"/>
        <v/>
      </c>
      <c r="AI32" s="312" t="str">
        <f>IF(AH32="Check Data","Check Data",IFERROR(VLOOKUP(AH32,'G-4 Temporal multipliers'!$A$4:$C$36,3,FALSE),""))</f>
        <v/>
      </c>
      <c r="AJ32" s="290" t="str">
        <f>IF(S32="","",VLOOKUP(S32,'G-3 Multipliers'!$A$2:$E$134,4,FALSE))</f>
        <v/>
      </c>
      <c r="AK32" s="298" t="str">
        <f t="shared" si="6"/>
        <v/>
      </c>
      <c r="AL32" s="298" t="str">
        <f t="shared" si="7"/>
        <v/>
      </c>
      <c r="AM32" s="328" t="str">
        <f>IFERROR(IF(F32="","",IF(AH32="Check Data ⚠","Check Data ⚠",VLOOKUP(AL32, 'G-3 Multipliers'!$P$2:$Q$6,2,FALSE))),"")</f>
        <v/>
      </c>
      <c r="AN32" s="304" t="str">
        <f t="shared" si="8"/>
        <v/>
      </c>
      <c r="AO32" s="163"/>
      <c r="AP32" s="164"/>
      <c r="AQ32" s="101"/>
      <c r="AT32" s="20" t="str">
        <f t="shared" si="9"/>
        <v>No</v>
      </c>
      <c r="AU32" s="20" t="str">
        <f>IF(E32="","",IF(ISNA(VLOOKUP($E32,'A-1 On-Site Habitat Baseline'!$D$1:$AV$258,4,FALSE)),"",(VLOOKUP($E32,'A-1 On-Site Habitat Baseline'!$D$1:$AV$258,4,FALSE))))</f>
        <v/>
      </c>
    </row>
    <row r="33" spans="1:47" x14ac:dyDescent="0.3">
      <c r="A33" s="20" t="str">
        <f>IF(E33="","",IF(ISNA(VLOOKUP($E33,'A-1 On-Site Habitat Baseline'!$D$1:$O$258,2,FALSE)),"",(VLOOKUP($E33,'A-1 On-Site Habitat Baseline'!$D$1:$O$258,2,FALSE))))</f>
        <v/>
      </c>
      <c r="B33" s="20" t="str">
        <f>IF(E33="","",IF(ISNA(VLOOKUP($E33,'A-1 On-Site Habitat Baseline'!$D$1:$O$258,3,FALSE)),"",(VLOOKUP($E33,'A-1 On-Site Habitat Baseline'!$D$1:$O$258,3,FALSE))))</f>
        <v/>
      </c>
      <c r="C33" s="20" t="str">
        <f>IFERROR(INDEX('G-8 Condition Look up'!$I$4:$I$135,MATCH(S33,'G-8 Condition Look up'!$A$4:$A$135,0)),"")</f>
        <v/>
      </c>
      <c r="E33" s="319" t="str">
        <f>'A-1 On-Site Habitat Baseline'!AL32</f>
        <v/>
      </c>
      <c r="F33" s="310" t="str">
        <f>IF(E33="","",IF(ISNA(VLOOKUP($E33,'A-1 On-Site Habitat Baseline'!$D$1:$AV$258,45,FALSE)),"",(VLOOKUP($E33,'A-1 On-Site Habitat Baseline'!$D$1:$AV$258,45,FALSE))))</f>
        <v/>
      </c>
      <c r="G33" s="310" t="str">
        <f>IF(E33="","",IF(ISNA(VLOOKUP($E33,'A-1 On-Site Habitat Baseline'!$D$1:$O$258,5,FALSE)),"",(VLOOKUP($E33,'A-1 On-Site Habitat Baseline'!$D$1:$O$258,5,FALSE))))</f>
        <v/>
      </c>
      <c r="H33" s="310" t="str">
        <f>IF(E33="","",IF(ISNA(VLOOKUP($E33,'A-1 On-Site Habitat Baseline'!$D$1:$O$258,6,FALSE)),"",(VLOOKUP($E33,'A-1 On-Site Habitat Baseline'!$D$1:$O$258,6,FALSE))))</f>
        <v/>
      </c>
      <c r="I33" s="310" t="str">
        <f>IF(E33="","",IF(ISNA(VLOOKUP($E33,'A-1 On-Site Habitat Baseline'!$D$1:$O$258,7,FALSE)),"",(VLOOKUP($E33,'A-1 On-Site Habitat Baseline'!$D$1:$O$258,7,FALSE))))</f>
        <v/>
      </c>
      <c r="J33" s="310" t="str">
        <f>IF(E33="","",IF(ISNA(VLOOKUP($E33,'A-1 On-Site Habitat Baseline'!$D$1:$O$258,8,FALSE)),"",(VLOOKUP($E33,'A-1 On-Site Habitat Baseline'!$D$1:$O$258,8,FALSE))))</f>
        <v/>
      </c>
      <c r="K33" s="310" t="str">
        <f>IF(E33="","",IF(ISNA(VLOOKUP($E33,'A-1 On-Site Habitat Baseline'!$D$1:$O$258,9,FALSE)),"",(VLOOKUP($E33,'A-1 On-Site Habitat Baseline'!$D$1:$O$258,9,FALSE))))</f>
        <v/>
      </c>
      <c r="L33" s="310" t="str">
        <f>IF(E33="","",IF(ISNA(VLOOKUP($E33,'A-1 On-Site Habitat Baseline'!$D$1:$O$258,11,FALSE)),"",(VLOOKUP($E33,'A-1 On-Site Habitat Baseline'!$D$1:$O$258,11,FALSE))))</f>
        <v/>
      </c>
      <c r="M33" s="310" t="str">
        <f>IF(E33="","",IF(ISNA(VLOOKUP($E33,'A-1 On-Site Habitat Baseline'!$D$1:$O$258,12,FALSE)),"",(VLOOKUP($E33,'A-1 On-Site Habitat Baseline'!$D$1:$O$258,12,FALSE))))</f>
        <v/>
      </c>
      <c r="N33" s="320" t="str">
        <f>IF(E33="","",IF(ISNA(VLOOKUP($E33,'A-1 On-Site Habitat Baseline'!$D$1:$X$258,14,FALSE)),"",(VLOOKUP($E33,'A-1 On-Site Habitat Baseline'!$D$1:$X$258,14,FALSE))))</f>
        <v/>
      </c>
      <c r="O33" s="314" t="str">
        <f>IF(E33="","",IF(ISNA(VLOOKUP($E33,'A-1 On-Site Habitat Baseline'!$D$1:$X$258,16,FALSE)),"",(VLOOKUP($E33,'A-1 On-Site Habitat Baseline'!$D$1:$X$258,13,FALSE))))</f>
        <v/>
      </c>
      <c r="P33" s="161" t="str">
        <f>IFERROR(INDEX('G-1 All Habitats'!$AG$49:$AG$63,MATCH(Q33,'G-1 All Habitats'!$AF$27:$AF$41,0)),"")</f>
        <v/>
      </c>
      <c r="Q33" s="162" t="str">
        <f t="shared" si="0"/>
        <v/>
      </c>
      <c r="R33" s="162"/>
      <c r="S33" s="252" t="str">
        <f>IFERROR(INDEX('G-1 All Habitats'!$B$3:$B$135,MATCH(R33,'G-1 All Habitats'!$A$3:$A$135,0)),"")</f>
        <v/>
      </c>
      <c r="T33" s="290" t="str">
        <f t="shared" si="1"/>
        <v/>
      </c>
      <c r="U33" s="291" t="str">
        <f t="shared" si="10"/>
        <v/>
      </c>
      <c r="V33" s="325" t="str">
        <f t="shared" si="2"/>
        <v/>
      </c>
      <c r="W33" s="310" t="str">
        <f>IF(S33="","",VLOOKUP(S33,'G-1 All Habitats'!$B$2:$M$135,10,FALSE))</f>
        <v/>
      </c>
      <c r="X33" s="310" t="str">
        <f>IFERROR(VLOOKUP(W33,'G-1 All Habitats'!$V$3:$W$7,2,FALSE),"")</f>
        <v/>
      </c>
      <c r="Y33" s="45"/>
      <c r="Z33" s="314" t="str">
        <f>IFERROR(INDEX('G-8 Condition Look up'!$A$3:$H$135,MATCH(S33,'G-8 Condition Look up'!$A$3:$A$135,0),MATCH(Y33,'G-8 Condition Look up'!$A$3:$H$3,0)),"")</f>
        <v/>
      </c>
      <c r="AA33" s="38"/>
      <c r="AB33" s="310" t="str">
        <f>IF(AA33="","",IF(VLOOKUP(AA33,'G-3 Multipliers'!$L$3:$N$6,2,FALSE)=0,"Spatial Data Missing ⚠",VLOOKUP(AA33,'G-3 Multipliers'!$L$3:$N$6,2,FALSE)))</f>
        <v/>
      </c>
      <c r="AC33" s="314" t="str">
        <f>IF(AA33="","",IF(VLOOKUP(AA33,'G-3 Multipliers'!$L$3:$N$6,3,FALSE)=0,"Spatial Data Missing ⚠",VLOOKUP(AA33,'G-3 Multipliers'!$L$3:$N$6,3,FALSE)))</f>
        <v/>
      </c>
      <c r="AD33" s="327" t="str">
        <f t="shared" si="3"/>
        <v/>
      </c>
      <c r="AE33" s="47"/>
      <c r="AF33" s="47"/>
      <c r="AG33" s="298" t="str">
        <f t="shared" si="4"/>
        <v/>
      </c>
      <c r="AH33" s="311" t="str">
        <f t="shared" si="5"/>
        <v/>
      </c>
      <c r="AI33" s="312" t="str">
        <f>IF(AH33="Check Data","Check Data",IFERROR(VLOOKUP(AH33,'G-4 Temporal multipliers'!$A$4:$C$36,3,FALSE),""))</f>
        <v/>
      </c>
      <c r="AJ33" s="290" t="str">
        <f>IF(S33="","",VLOOKUP(S33,'G-3 Multipliers'!$A$2:$E$134,4,FALSE))</f>
        <v/>
      </c>
      <c r="AK33" s="298" t="str">
        <f t="shared" si="6"/>
        <v/>
      </c>
      <c r="AL33" s="298" t="str">
        <f t="shared" si="7"/>
        <v/>
      </c>
      <c r="AM33" s="328" t="str">
        <f>IFERROR(IF(F33="","",IF(AH33="Check Data ⚠","Check Data ⚠",VLOOKUP(AL33, 'G-3 Multipliers'!$P$2:$Q$6,2,FALSE))),"")</f>
        <v/>
      </c>
      <c r="AN33" s="304" t="str">
        <f t="shared" si="8"/>
        <v/>
      </c>
      <c r="AO33" s="163"/>
      <c r="AP33" s="164"/>
      <c r="AQ33" s="101"/>
      <c r="AT33" s="20" t="str">
        <f t="shared" si="9"/>
        <v>No</v>
      </c>
      <c r="AU33" s="20" t="str">
        <f>IF(E33="","",IF(ISNA(VLOOKUP($E33,'A-1 On-Site Habitat Baseline'!$D$1:$AV$258,4,FALSE)),"",(VLOOKUP($E33,'A-1 On-Site Habitat Baseline'!$D$1:$AV$258,4,FALSE))))</f>
        <v/>
      </c>
    </row>
    <row r="34" spans="1:47" x14ac:dyDescent="0.3">
      <c r="A34" s="20" t="str">
        <f>IF(E34="","",IF(ISNA(VLOOKUP($E34,'A-1 On-Site Habitat Baseline'!$D$1:$O$258,2,FALSE)),"",(VLOOKUP($E34,'A-1 On-Site Habitat Baseline'!$D$1:$O$258,2,FALSE))))</f>
        <v/>
      </c>
      <c r="B34" s="20" t="str">
        <f>IF(E34="","",IF(ISNA(VLOOKUP($E34,'A-1 On-Site Habitat Baseline'!$D$1:$O$258,3,FALSE)),"",(VLOOKUP($E34,'A-1 On-Site Habitat Baseline'!$D$1:$O$258,3,FALSE))))</f>
        <v/>
      </c>
      <c r="C34" s="20" t="str">
        <f>IFERROR(INDEX('G-8 Condition Look up'!$I$4:$I$135,MATCH(S34,'G-8 Condition Look up'!$A$4:$A$135,0)),"")</f>
        <v/>
      </c>
      <c r="E34" s="319" t="str">
        <f>'A-1 On-Site Habitat Baseline'!AL33</f>
        <v/>
      </c>
      <c r="F34" s="310" t="str">
        <f>IF(E34="","",IF(ISNA(VLOOKUP($E34,'A-1 On-Site Habitat Baseline'!$D$1:$AV$258,45,FALSE)),"",(VLOOKUP($E34,'A-1 On-Site Habitat Baseline'!$D$1:$AV$258,45,FALSE))))</f>
        <v/>
      </c>
      <c r="G34" s="310" t="str">
        <f>IF(E34="","",IF(ISNA(VLOOKUP($E34,'A-1 On-Site Habitat Baseline'!$D$1:$O$258,5,FALSE)),"",(VLOOKUP($E34,'A-1 On-Site Habitat Baseline'!$D$1:$O$258,5,FALSE))))</f>
        <v/>
      </c>
      <c r="H34" s="310" t="str">
        <f>IF(E34="","",IF(ISNA(VLOOKUP($E34,'A-1 On-Site Habitat Baseline'!$D$1:$O$258,6,FALSE)),"",(VLOOKUP($E34,'A-1 On-Site Habitat Baseline'!$D$1:$O$258,6,FALSE))))</f>
        <v/>
      </c>
      <c r="I34" s="310" t="str">
        <f>IF(E34="","",IF(ISNA(VLOOKUP($E34,'A-1 On-Site Habitat Baseline'!$D$1:$O$258,7,FALSE)),"",(VLOOKUP($E34,'A-1 On-Site Habitat Baseline'!$D$1:$O$258,7,FALSE))))</f>
        <v/>
      </c>
      <c r="J34" s="310" t="str">
        <f>IF(E34="","",IF(ISNA(VLOOKUP($E34,'A-1 On-Site Habitat Baseline'!$D$1:$O$258,8,FALSE)),"",(VLOOKUP($E34,'A-1 On-Site Habitat Baseline'!$D$1:$O$258,8,FALSE))))</f>
        <v/>
      </c>
      <c r="K34" s="310" t="str">
        <f>IF(E34="","",IF(ISNA(VLOOKUP($E34,'A-1 On-Site Habitat Baseline'!$D$1:$O$258,9,FALSE)),"",(VLOOKUP($E34,'A-1 On-Site Habitat Baseline'!$D$1:$O$258,9,FALSE))))</f>
        <v/>
      </c>
      <c r="L34" s="310" t="str">
        <f>IF(E34="","",IF(ISNA(VLOOKUP($E34,'A-1 On-Site Habitat Baseline'!$D$1:$O$258,11,FALSE)),"",(VLOOKUP($E34,'A-1 On-Site Habitat Baseline'!$D$1:$O$258,11,FALSE))))</f>
        <v/>
      </c>
      <c r="M34" s="310" t="str">
        <f>IF(E34="","",IF(ISNA(VLOOKUP($E34,'A-1 On-Site Habitat Baseline'!$D$1:$O$258,12,FALSE)),"",(VLOOKUP($E34,'A-1 On-Site Habitat Baseline'!$D$1:$O$258,12,FALSE))))</f>
        <v/>
      </c>
      <c r="N34" s="320" t="str">
        <f>IF(E34="","",IF(ISNA(VLOOKUP($E34,'A-1 On-Site Habitat Baseline'!$D$1:$X$258,14,FALSE)),"",(VLOOKUP($E34,'A-1 On-Site Habitat Baseline'!$D$1:$X$258,14,FALSE))))</f>
        <v/>
      </c>
      <c r="O34" s="314" t="str">
        <f>IF(E34="","",IF(ISNA(VLOOKUP($E34,'A-1 On-Site Habitat Baseline'!$D$1:$X$258,16,FALSE)),"",(VLOOKUP($E34,'A-1 On-Site Habitat Baseline'!$D$1:$X$258,13,FALSE))))</f>
        <v/>
      </c>
      <c r="P34" s="161" t="str">
        <f>IFERROR(INDEX('G-1 All Habitats'!$AG$49:$AG$63,MATCH(Q34,'G-1 All Habitats'!$AF$27:$AF$41,0)),"")</f>
        <v/>
      </c>
      <c r="Q34" s="162" t="str">
        <f t="shared" si="0"/>
        <v/>
      </c>
      <c r="R34" s="162"/>
      <c r="S34" s="252" t="str">
        <f>IFERROR(INDEX('G-1 All Habitats'!$B$3:$B$135,MATCH(R34,'G-1 All Habitats'!$A$3:$A$135,0)),"")</f>
        <v/>
      </c>
      <c r="T34" s="290" t="str">
        <f t="shared" si="1"/>
        <v/>
      </c>
      <c r="U34" s="291" t="str">
        <f t="shared" si="10"/>
        <v/>
      </c>
      <c r="V34" s="325" t="str">
        <f t="shared" si="2"/>
        <v/>
      </c>
      <c r="W34" s="310" t="str">
        <f>IF(S34="","",VLOOKUP(S34,'G-1 All Habitats'!$B$2:$M$135,10,FALSE))</f>
        <v/>
      </c>
      <c r="X34" s="310" t="str">
        <f>IFERROR(VLOOKUP(W34,'G-1 All Habitats'!$V$3:$W$7,2,FALSE),"")</f>
        <v/>
      </c>
      <c r="Y34" s="45"/>
      <c r="Z34" s="314" t="str">
        <f>IFERROR(INDEX('G-8 Condition Look up'!$A$3:$H$135,MATCH(S34,'G-8 Condition Look up'!$A$3:$A$135,0),MATCH(Y34,'G-8 Condition Look up'!$A$3:$H$3,0)),"")</f>
        <v/>
      </c>
      <c r="AA34" s="38"/>
      <c r="AB34" s="310" t="str">
        <f>IF(AA34="","",IF(VLOOKUP(AA34,'G-3 Multipliers'!$L$3:$N$6,2,FALSE)=0,"Spatial Data Missing ⚠",VLOOKUP(AA34,'G-3 Multipliers'!$L$3:$N$6,2,FALSE)))</f>
        <v/>
      </c>
      <c r="AC34" s="314" t="str">
        <f>IF(AA34="","",IF(VLOOKUP(AA34,'G-3 Multipliers'!$L$3:$N$6,3,FALSE)=0,"Spatial Data Missing ⚠",VLOOKUP(AA34,'G-3 Multipliers'!$L$3:$N$6,3,FALSE)))</f>
        <v/>
      </c>
      <c r="AD34" s="327" t="str">
        <f t="shared" si="3"/>
        <v/>
      </c>
      <c r="AE34" s="47"/>
      <c r="AF34" s="47"/>
      <c r="AG34" s="298" t="str">
        <f t="shared" si="4"/>
        <v/>
      </c>
      <c r="AH34" s="311" t="str">
        <f t="shared" si="5"/>
        <v/>
      </c>
      <c r="AI34" s="312" t="str">
        <f>IF(AH34="Check Data","Check Data",IFERROR(VLOOKUP(AH34,'G-4 Temporal multipliers'!$A$4:$C$36,3,FALSE),""))</f>
        <v/>
      </c>
      <c r="AJ34" s="290" t="str">
        <f>IF(S34="","",VLOOKUP(S34,'G-3 Multipliers'!$A$2:$E$134,4,FALSE))</f>
        <v/>
      </c>
      <c r="AK34" s="298" t="str">
        <f t="shared" si="6"/>
        <v/>
      </c>
      <c r="AL34" s="298" t="str">
        <f t="shared" si="7"/>
        <v/>
      </c>
      <c r="AM34" s="328" t="str">
        <f>IFERROR(IF(F34="","",IF(AH34="Check Data ⚠","Check Data ⚠",VLOOKUP(AL34, 'G-3 Multipliers'!$P$2:$Q$6,2,FALSE))),"")</f>
        <v/>
      </c>
      <c r="AN34" s="304" t="str">
        <f t="shared" si="8"/>
        <v/>
      </c>
      <c r="AO34" s="163"/>
      <c r="AP34" s="164"/>
      <c r="AQ34" s="101"/>
      <c r="AT34" s="20" t="str">
        <f t="shared" si="9"/>
        <v>No</v>
      </c>
      <c r="AU34" s="20" t="str">
        <f>IF(E34="","",IF(ISNA(VLOOKUP($E34,'A-1 On-Site Habitat Baseline'!$D$1:$AV$258,4,FALSE)),"",(VLOOKUP($E34,'A-1 On-Site Habitat Baseline'!$D$1:$AV$258,4,FALSE))))</f>
        <v/>
      </c>
    </row>
    <row r="35" spans="1:47" x14ac:dyDescent="0.3">
      <c r="A35" s="20" t="str">
        <f>IF(E35="","",IF(ISNA(VLOOKUP($E35,'A-1 On-Site Habitat Baseline'!$D$1:$O$258,2,FALSE)),"",(VLOOKUP($E35,'A-1 On-Site Habitat Baseline'!$D$1:$O$258,2,FALSE))))</f>
        <v/>
      </c>
      <c r="B35" s="20" t="str">
        <f>IF(E35="","",IF(ISNA(VLOOKUP($E35,'A-1 On-Site Habitat Baseline'!$D$1:$O$258,3,FALSE)),"",(VLOOKUP($E35,'A-1 On-Site Habitat Baseline'!$D$1:$O$258,3,FALSE))))</f>
        <v/>
      </c>
      <c r="C35" s="20" t="str">
        <f>IFERROR(INDEX('G-8 Condition Look up'!$I$4:$I$135,MATCH(S35,'G-8 Condition Look up'!$A$4:$A$135,0)),"")</f>
        <v/>
      </c>
      <c r="E35" s="319" t="str">
        <f>'A-1 On-Site Habitat Baseline'!AL34</f>
        <v/>
      </c>
      <c r="F35" s="310" t="str">
        <f>IF(E35="","",IF(ISNA(VLOOKUP($E35,'A-1 On-Site Habitat Baseline'!$D$1:$AV$258,45,FALSE)),"",(VLOOKUP($E35,'A-1 On-Site Habitat Baseline'!$D$1:$AV$258,45,FALSE))))</f>
        <v/>
      </c>
      <c r="G35" s="310" t="str">
        <f>IF(E35="","",IF(ISNA(VLOOKUP($E35,'A-1 On-Site Habitat Baseline'!$D$1:$O$258,5,FALSE)),"",(VLOOKUP($E35,'A-1 On-Site Habitat Baseline'!$D$1:$O$258,5,FALSE))))</f>
        <v/>
      </c>
      <c r="H35" s="310" t="str">
        <f>IF(E35="","",IF(ISNA(VLOOKUP($E35,'A-1 On-Site Habitat Baseline'!$D$1:$O$258,6,FALSE)),"",(VLOOKUP($E35,'A-1 On-Site Habitat Baseline'!$D$1:$O$258,6,FALSE))))</f>
        <v/>
      </c>
      <c r="I35" s="310" t="str">
        <f>IF(E35="","",IF(ISNA(VLOOKUP($E35,'A-1 On-Site Habitat Baseline'!$D$1:$O$258,7,FALSE)),"",(VLOOKUP($E35,'A-1 On-Site Habitat Baseline'!$D$1:$O$258,7,FALSE))))</f>
        <v/>
      </c>
      <c r="J35" s="310" t="str">
        <f>IF(E35="","",IF(ISNA(VLOOKUP($E35,'A-1 On-Site Habitat Baseline'!$D$1:$O$258,8,FALSE)),"",(VLOOKUP($E35,'A-1 On-Site Habitat Baseline'!$D$1:$O$258,8,FALSE))))</f>
        <v/>
      </c>
      <c r="K35" s="310" t="str">
        <f>IF(E35="","",IF(ISNA(VLOOKUP($E35,'A-1 On-Site Habitat Baseline'!$D$1:$O$258,9,FALSE)),"",(VLOOKUP($E35,'A-1 On-Site Habitat Baseline'!$D$1:$O$258,9,FALSE))))</f>
        <v/>
      </c>
      <c r="L35" s="310" t="str">
        <f>IF(E35="","",IF(ISNA(VLOOKUP($E35,'A-1 On-Site Habitat Baseline'!$D$1:$O$258,11,FALSE)),"",(VLOOKUP($E35,'A-1 On-Site Habitat Baseline'!$D$1:$O$258,11,FALSE))))</f>
        <v/>
      </c>
      <c r="M35" s="310" t="str">
        <f>IF(E35="","",IF(ISNA(VLOOKUP($E35,'A-1 On-Site Habitat Baseline'!$D$1:$O$258,12,FALSE)),"",(VLOOKUP($E35,'A-1 On-Site Habitat Baseline'!$D$1:$O$258,12,FALSE))))</f>
        <v/>
      </c>
      <c r="N35" s="320" t="str">
        <f>IF(E35="","",IF(ISNA(VLOOKUP($E35,'A-1 On-Site Habitat Baseline'!$D$1:$X$258,14,FALSE)),"",(VLOOKUP($E35,'A-1 On-Site Habitat Baseline'!$D$1:$X$258,14,FALSE))))</f>
        <v/>
      </c>
      <c r="O35" s="314" t="str">
        <f>IF(E35="","",IF(ISNA(VLOOKUP($E35,'A-1 On-Site Habitat Baseline'!$D$1:$X$258,16,FALSE)),"",(VLOOKUP($E35,'A-1 On-Site Habitat Baseline'!$D$1:$X$258,13,FALSE))))</f>
        <v/>
      </c>
      <c r="P35" s="161" t="str">
        <f>IFERROR(INDEX('G-1 All Habitats'!$AG$49:$AG$63,MATCH(Q35,'G-1 All Habitats'!$AF$27:$AF$41,0)),"")</f>
        <v/>
      </c>
      <c r="Q35" s="162" t="str">
        <f t="shared" si="0"/>
        <v/>
      </c>
      <c r="R35" s="162"/>
      <c r="S35" s="252" t="str">
        <f>IFERROR(INDEX('G-1 All Habitats'!$B$3:$B$135,MATCH(R35,'G-1 All Habitats'!$A$3:$A$135,0)),"")</f>
        <v/>
      </c>
      <c r="T35" s="290" t="str">
        <f t="shared" si="1"/>
        <v/>
      </c>
      <c r="U35" s="291" t="str">
        <f t="shared" si="10"/>
        <v/>
      </c>
      <c r="V35" s="325" t="str">
        <f t="shared" si="2"/>
        <v/>
      </c>
      <c r="W35" s="310" t="str">
        <f>IF(S35="","",VLOOKUP(S35,'G-1 All Habitats'!$B$2:$M$135,10,FALSE))</f>
        <v/>
      </c>
      <c r="X35" s="310" t="str">
        <f>IFERROR(VLOOKUP(W35,'G-1 All Habitats'!$V$3:$W$7,2,FALSE),"")</f>
        <v/>
      </c>
      <c r="Y35" s="45"/>
      <c r="Z35" s="314" t="str">
        <f>IFERROR(INDEX('G-8 Condition Look up'!$A$3:$H$135,MATCH(S35,'G-8 Condition Look up'!$A$3:$A$135,0),MATCH(Y35,'G-8 Condition Look up'!$A$3:$H$3,0)),"")</f>
        <v/>
      </c>
      <c r="AA35" s="38"/>
      <c r="AB35" s="310" t="str">
        <f>IF(AA35="","",IF(VLOOKUP(AA35,'G-3 Multipliers'!$L$3:$N$6,2,FALSE)=0,"Spatial Data Missing ⚠",VLOOKUP(AA35,'G-3 Multipliers'!$L$3:$N$6,2,FALSE)))</f>
        <v/>
      </c>
      <c r="AC35" s="314" t="str">
        <f>IF(AA35="","",IF(VLOOKUP(AA35,'G-3 Multipliers'!$L$3:$N$6,3,FALSE)=0,"Spatial Data Missing ⚠",VLOOKUP(AA35,'G-3 Multipliers'!$L$3:$N$6,3,FALSE)))</f>
        <v/>
      </c>
      <c r="AD35" s="327" t="str">
        <f t="shared" si="3"/>
        <v/>
      </c>
      <c r="AE35" s="47"/>
      <c r="AF35" s="47"/>
      <c r="AG35" s="298" t="str">
        <f t="shared" si="4"/>
        <v/>
      </c>
      <c r="AH35" s="311" t="str">
        <f t="shared" si="5"/>
        <v/>
      </c>
      <c r="AI35" s="312" t="str">
        <f>IF(AH35="Check Data","Check Data",IFERROR(VLOOKUP(AH35,'G-4 Temporal multipliers'!$A$4:$C$36,3,FALSE),""))</f>
        <v/>
      </c>
      <c r="AJ35" s="290" t="str">
        <f>IF(S35="","",VLOOKUP(S35,'G-3 Multipliers'!$A$2:$E$134,4,FALSE))</f>
        <v/>
      </c>
      <c r="AK35" s="298" t="str">
        <f t="shared" si="6"/>
        <v/>
      </c>
      <c r="AL35" s="298" t="str">
        <f t="shared" si="7"/>
        <v/>
      </c>
      <c r="AM35" s="328" t="str">
        <f>IFERROR(IF(F35="","",IF(AH35="Check Data ⚠","Check Data ⚠",VLOOKUP(AL35, 'G-3 Multipliers'!$P$2:$Q$6,2,FALSE))),"")</f>
        <v/>
      </c>
      <c r="AN35" s="304" t="str">
        <f t="shared" si="8"/>
        <v/>
      </c>
      <c r="AO35" s="163"/>
      <c r="AP35" s="164"/>
      <c r="AQ35" s="101"/>
      <c r="AT35" s="20" t="str">
        <f t="shared" si="9"/>
        <v>No</v>
      </c>
      <c r="AU35" s="20" t="str">
        <f>IF(E35="","",IF(ISNA(VLOOKUP($E35,'A-1 On-Site Habitat Baseline'!$D$1:$AV$258,4,FALSE)),"",(VLOOKUP($E35,'A-1 On-Site Habitat Baseline'!$D$1:$AV$258,4,FALSE))))</f>
        <v/>
      </c>
    </row>
    <row r="36" spans="1:47" x14ac:dyDescent="0.3">
      <c r="A36" s="20" t="str">
        <f>IF(E36="","",IF(ISNA(VLOOKUP($E36,'A-1 On-Site Habitat Baseline'!$D$1:$O$258,2,FALSE)),"",(VLOOKUP($E36,'A-1 On-Site Habitat Baseline'!$D$1:$O$258,2,FALSE))))</f>
        <v/>
      </c>
      <c r="B36" s="20" t="str">
        <f>IF(E36="","",IF(ISNA(VLOOKUP($E36,'A-1 On-Site Habitat Baseline'!$D$1:$O$258,3,FALSE)),"",(VLOOKUP($E36,'A-1 On-Site Habitat Baseline'!$D$1:$O$258,3,FALSE))))</f>
        <v/>
      </c>
      <c r="C36" s="20" t="str">
        <f>IFERROR(INDEX('G-8 Condition Look up'!$I$4:$I$135,MATCH(S36,'G-8 Condition Look up'!$A$4:$A$135,0)),"")</f>
        <v/>
      </c>
      <c r="E36" s="319" t="str">
        <f>'A-1 On-Site Habitat Baseline'!AL35</f>
        <v/>
      </c>
      <c r="F36" s="310" t="str">
        <f>IF(E36="","",IF(ISNA(VLOOKUP($E36,'A-1 On-Site Habitat Baseline'!$D$1:$AV$258,45,FALSE)),"",(VLOOKUP($E36,'A-1 On-Site Habitat Baseline'!$D$1:$AV$258,45,FALSE))))</f>
        <v/>
      </c>
      <c r="G36" s="310" t="str">
        <f>IF(E36="","",IF(ISNA(VLOOKUP($E36,'A-1 On-Site Habitat Baseline'!$D$1:$O$258,5,FALSE)),"",(VLOOKUP($E36,'A-1 On-Site Habitat Baseline'!$D$1:$O$258,5,FALSE))))</f>
        <v/>
      </c>
      <c r="H36" s="310" t="str">
        <f>IF(E36="","",IF(ISNA(VLOOKUP($E36,'A-1 On-Site Habitat Baseline'!$D$1:$O$258,6,FALSE)),"",(VLOOKUP($E36,'A-1 On-Site Habitat Baseline'!$D$1:$O$258,6,FALSE))))</f>
        <v/>
      </c>
      <c r="I36" s="310" t="str">
        <f>IF(E36="","",IF(ISNA(VLOOKUP($E36,'A-1 On-Site Habitat Baseline'!$D$1:$O$258,7,FALSE)),"",(VLOOKUP($E36,'A-1 On-Site Habitat Baseline'!$D$1:$O$258,7,FALSE))))</f>
        <v/>
      </c>
      <c r="J36" s="310" t="str">
        <f>IF(E36="","",IF(ISNA(VLOOKUP($E36,'A-1 On-Site Habitat Baseline'!$D$1:$O$258,8,FALSE)),"",(VLOOKUP($E36,'A-1 On-Site Habitat Baseline'!$D$1:$O$258,8,FALSE))))</f>
        <v/>
      </c>
      <c r="K36" s="310" t="str">
        <f>IF(E36="","",IF(ISNA(VLOOKUP($E36,'A-1 On-Site Habitat Baseline'!$D$1:$O$258,9,FALSE)),"",(VLOOKUP($E36,'A-1 On-Site Habitat Baseline'!$D$1:$O$258,9,FALSE))))</f>
        <v/>
      </c>
      <c r="L36" s="310" t="str">
        <f>IF(E36="","",IF(ISNA(VLOOKUP($E36,'A-1 On-Site Habitat Baseline'!$D$1:$O$258,11,FALSE)),"",(VLOOKUP($E36,'A-1 On-Site Habitat Baseline'!$D$1:$O$258,11,FALSE))))</f>
        <v/>
      </c>
      <c r="M36" s="310" t="str">
        <f>IF(E36="","",IF(ISNA(VLOOKUP($E36,'A-1 On-Site Habitat Baseline'!$D$1:$O$258,12,FALSE)),"",(VLOOKUP($E36,'A-1 On-Site Habitat Baseline'!$D$1:$O$258,12,FALSE))))</f>
        <v/>
      </c>
      <c r="N36" s="320" t="str">
        <f>IF(E36="","",IF(ISNA(VLOOKUP($E36,'A-1 On-Site Habitat Baseline'!$D$1:$X$258,14,FALSE)),"",(VLOOKUP($E36,'A-1 On-Site Habitat Baseline'!$D$1:$X$258,14,FALSE))))</f>
        <v/>
      </c>
      <c r="O36" s="314" t="str">
        <f>IF(E36="","",IF(ISNA(VLOOKUP($E36,'A-1 On-Site Habitat Baseline'!$D$1:$X$258,16,FALSE)),"",(VLOOKUP($E36,'A-1 On-Site Habitat Baseline'!$D$1:$X$258,13,FALSE))))</f>
        <v/>
      </c>
      <c r="P36" s="161" t="str">
        <f>IFERROR(INDEX('G-1 All Habitats'!$AG$49:$AG$63,MATCH(Q36,'G-1 All Habitats'!$AF$27:$AF$41,0)),"")</f>
        <v/>
      </c>
      <c r="Q36" s="162" t="str">
        <f t="shared" si="0"/>
        <v/>
      </c>
      <c r="R36" s="162"/>
      <c r="S36" s="252" t="str">
        <f>IFERROR(INDEX('G-1 All Habitats'!$B$3:$B$135,MATCH(R36,'G-1 All Habitats'!$A$3:$A$135,0)),"")</f>
        <v/>
      </c>
      <c r="T36" s="290" t="str">
        <f t="shared" si="1"/>
        <v/>
      </c>
      <c r="U36" s="291" t="str">
        <f t="shared" si="10"/>
        <v/>
      </c>
      <c r="V36" s="325" t="str">
        <f t="shared" si="2"/>
        <v/>
      </c>
      <c r="W36" s="310" t="str">
        <f>IF(S36="","",VLOOKUP(S36,'G-1 All Habitats'!$B$2:$M$135,10,FALSE))</f>
        <v/>
      </c>
      <c r="X36" s="310" t="str">
        <f>IFERROR(VLOOKUP(W36,'G-1 All Habitats'!$V$3:$W$7,2,FALSE),"")</f>
        <v/>
      </c>
      <c r="Y36" s="45"/>
      <c r="Z36" s="314" t="str">
        <f>IFERROR(INDEX('G-8 Condition Look up'!$A$3:$H$135,MATCH(S36,'G-8 Condition Look up'!$A$3:$A$135,0),MATCH(Y36,'G-8 Condition Look up'!$A$3:$H$3,0)),"")</f>
        <v/>
      </c>
      <c r="AA36" s="38"/>
      <c r="AB36" s="310" t="str">
        <f>IF(AA36="","",IF(VLOOKUP(AA36,'G-3 Multipliers'!$L$3:$N$6,2,FALSE)=0,"Spatial Data Missing ⚠",VLOOKUP(AA36,'G-3 Multipliers'!$L$3:$N$6,2,FALSE)))</f>
        <v/>
      </c>
      <c r="AC36" s="314" t="str">
        <f>IF(AA36="","",IF(VLOOKUP(AA36,'G-3 Multipliers'!$L$3:$N$6,3,FALSE)=0,"Spatial Data Missing ⚠",VLOOKUP(AA36,'G-3 Multipliers'!$L$3:$N$6,3,FALSE)))</f>
        <v/>
      </c>
      <c r="AD36" s="327" t="str">
        <f t="shared" si="3"/>
        <v/>
      </c>
      <c r="AE36" s="47"/>
      <c r="AF36" s="47"/>
      <c r="AG36" s="298" t="str">
        <f t="shared" si="4"/>
        <v/>
      </c>
      <c r="AH36" s="311" t="str">
        <f t="shared" si="5"/>
        <v/>
      </c>
      <c r="AI36" s="312" t="str">
        <f>IF(AH36="Check Data","Check Data",IFERROR(VLOOKUP(AH36,'G-4 Temporal multipliers'!$A$4:$C$36,3,FALSE),""))</f>
        <v/>
      </c>
      <c r="AJ36" s="290" t="str">
        <f>IF(S36="","",VLOOKUP(S36,'G-3 Multipliers'!$A$2:$E$134,4,FALSE))</f>
        <v/>
      </c>
      <c r="AK36" s="298" t="str">
        <f t="shared" si="6"/>
        <v/>
      </c>
      <c r="AL36" s="298" t="str">
        <f t="shared" si="7"/>
        <v/>
      </c>
      <c r="AM36" s="328" t="str">
        <f>IFERROR(IF(F36="","",IF(AH36="Check Data ⚠","Check Data ⚠",VLOOKUP(AL36, 'G-3 Multipliers'!$P$2:$Q$6,2,FALSE))),"")</f>
        <v/>
      </c>
      <c r="AN36" s="304" t="str">
        <f t="shared" si="8"/>
        <v/>
      </c>
      <c r="AO36" s="163"/>
      <c r="AP36" s="164"/>
      <c r="AQ36" s="101"/>
      <c r="AT36" s="20" t="str">
        <f t="shared" si="9"/>
        <v>No</v>
      </c>
      <c r="AU36" s="20" t="str">
        <f>IF(E36="","",IF(ISNA(VLOOKUP($E36,'A-1 On-Site Habitat Baseline'!$D$1:$AV$258,4,FALSE)),"",(VLOOKUP($E36,'A-1 On-Site Habitat Baseline'!$D$1:$AV$258,4,FALSE))))</f>
        <v/>
      </c>
    </row>
    <row r="37" spans="1:47" x14ac:dyDescent="0.3">
      <c r="A37" s="20" t="str">
        <f>IF(E37="","",IF(ISNA(VLOOKUP($E37,'A-1 On-Site Habitat Baseline'!$D$1:$O$258,2,FALSE)),"",(VLOOKUP($E37,'A-1 On-Site Habitat Baseline'!$D$1:$O$258,2,FALSE))))</f>
        <v/>
      </c>
      <c r="B37" s="20" t="str">
        <f>IF(E37="","",IF(ISNA(VLOOKUP($E37,'A-1 On-Site Habitat Baseline'!$D$1:$O$258,3,FALSE)),"",(VLOOKUP($E37,'A-1 On-Site Habitat Baseline'!$D$1:$O$258,3,FALSE))))</f>
        <v/>
      </c>
      <c r="C37" s="20" t="str">
        <f>IFERROR(INDEX('G-8 Condition Look up'!$I$4:$I$135,MATCH(S37,'G-8 Condition Look up'!$A$4:$A$135,0)),"")</f>
        <v/>
      </c>
      <c r="E37" s="319" t="str">
        <f>'A-1 On-Site Habitat Baseline'!AL36</f>
        <v/>
      </c>
      <c r="F37" s="310" t="str">
        <f>IF(E37="","",IF(ISNA(VLOOKUP($E37,'A-1 On-Site Habitat Baseline'!$D$1:$AV$258,45,FALSE)),"",(VLOOKUP($E37,'A-1 On-Site Habitat Baseline'!$D$1:$AV$258,45,FALSE))))</f>
        <v/>
      </c>
      <c r="G37" s="310" t="str">
        <f>IF(E37="","",IF(ISNA(VLOOKUP($E37,'A-1 On-Site Habitat Baseline'!$D$1:$O$258,5,FALSE)),"",(VLOOKUP($E37,'A-1 On-Site Habitat Baseline'!$D$1:$O$258,5,FALSE))))</f>
        <v/>
      </c>
      <c r="H37" s="310" t="str">
        <f>IF(E37="","",IF(ISNA(VLOOKUP($E37,'A-1 On-Site Habitat Baseline'!$D$1:$O$258,6,FALSE)),"",(VLOOKUP($E37,'A-1 On-Site Habitat Baseline'!$D$1:$O$258,6,FALSE))))</f>
        <v/>
      </c>
      <c r="I37" s="310" t="str">
        <f>IF(E37="","",IF(ISNA(VLOOKUP($E37,'A-1 On-Site Habitat Baseline'!$D$1:$O$258,7,FALSE)),"",(VLOOKUP($E37,'A-1 On-Site Habitat Baseline'!$D$1:$O$258,7,FALSE))))</f>
        <v/>
      </c>
      <c r="J37" s="310" t="str">
        <f>IF(E37="","",IF(ISNA(VLOOKUP($E37,'A-1 On-Site Habitat Baseline'!$D$1:$O$258,8,FALSE)),"",(VLOOKUP($E37,'A-1 On-Site Habitat Baseline'!$D$1:$O$258,8,FALSE))))</f>
        <v/>
      </c>
      <c r="K37" s="310" t="str">
        <f>IF(E37="","",IF(ISNA(VLOOKUP($E37,'A-1 On-Site Habitat Baseline'!$D$1:$O$258,9,FALSE)),"",(VLOOKUP($E37,'A-1 On-Site Habitat Baseline'!$D$1:$O$258,9,FALSE))))</f>
        <v/>
      </c>
      <c r="L37" s="310" t="str">
        <f>IF(E37="","",IF(ISNA(VLOOKUP($E37,'A-1 On-Site Habitat Baseline'!$D$1:$O$258,11,FALSE)),"",(VLOOKUP($E37,'A-1 On-Site Habitat Baseline'!$D$1:$O$258,11,FALSE))))</f>
        <v/>
      </c>
      <c r="M37" s="310" t="str">
        <f>IF(E37="","",IF(ISNA(VLOOKUP($E37,'A-1 On-Site Habitat Baseline'!$D$1:$O$258,12,FALSE)),"",(VLOOKUP($E37,'A-1 On-Site Habitat Baseline'!$D$1:$O$258,12,FALSE))))</f>
        <v/>
      </c>
      <c r="N37" s="320" t="str">
        <f>IF(E37="","",IF(ISNA(VLOOKUP($E37,'A-1 On-Site Habitat Baseline'!$D$1:$X$258,14,FALSE)),"",(VLOOKUP($E37,'A-1 On-Site Habitat Baseline'!$D$1:$X$258,14,FALSE))))</f>
        <v/>
      </c>
      <c r="O37" s="314" t="str">
        <f>IF(E37="","",IF(ISNA(VLOOKUP($E37,'A-1 On-Site Habitat Baseline'!$D$1:$X$258,16,FALSE)),"",(VLOOKUP($E37,'A-1 On-Site Habitat Baseline'!$D$1:$X$258,13,FALSE))))</f>
        <v/>
      </c>
      <c r="P37" s="161" t="str">
        <f>IFERROR(INDEX('G-1 All Habitats'!$AG$49:$AG$63,MATCH(Q37,'G-1 All Habitats'!$AF$27:$AF$41,0)),"")</f>
        <v/>
      </c>
      <c r="Q37" s="162" t="str">
        <f t="shared" si="0"/>
        <v/>
      </c>
      <c r="R37" s="162"/>
      <c r="S37" s="252" t="str">
        <f>IFERROR(INDEX('G-1 All Habitats'!$B$3:$B$135,MATCH(R37,'G-1 All Habitats'!$A$3:$A$135,0)),"")</f>
        <v/>
      </c>
      <c r="T37" s="290" t="str">
        <f t="shared" si="1"/>
        <v/>
      </c>
      <c r="U37" s="291" t="str">
        <f t="shared" si="10"/>
        <v/>
      </c>
      <c r="V37" s="325" t="str">
        <f t="shared" si="2"/>
        <v/>
      </c>
      <c r="W37" s="310" t="str">
        <f>IF(S37="","",VLOOKUP(S37,'G-1 All Habitats'!$B$2:$M$135,10,FALSE))</f>
        <v/>
      </c>
      <c r="X37" s="310" t="str">
        <f>IFERROR(VLOOKUP(W37,'G-1 All Habitats'!$V$3:$W$7,2,FALSE),"")</f>
        <v/>
      </c>
      <c r="Y37" s="45"/>
      <c r="Z37" s="314" t="str">
        <f>IFERROR(INDEX('G-8 Condition Look up'!$A$3:$H$135,MATCH(S37,'G-8 Condition Look up'!$A$3:$A$135,0),MATCH(Y37,'G-8 Condition Look up'!$A$3:$H$3,0)),"")</f>
        <v/>
      </c>
      <c r="AA37" s="38"/>
      <c r="AB37" s="310" t="str">
        <f>IF(AA37="","",IF(VLOOKUP(AA37,'G-3 Multipliers'!$L$3:$N$6,2,FALSE)=0,"Spatial Data Missing ⚠",VLOOKUP(AA37,'G-3 Multipliers'!$L$3:$N$6,2,FALSE)))</f>
        <v/>
      </c>
      <c r="AC37" s="314" t="str">
        <f>IF(AA37="","",IF(VLOOKUP(AA37,'G-3 Multipliers'!$L$3:$N$6,3,FALSE)=0,"Spatial Data Missing ⚠",VLOOKUP(AA37,'G-3 Multipliers'!$L$3:$N$6,3,FALSE)))</f>
        <v/>
      </c>
      <c r="AD37" s="327" t="str">
        <f t="shared" si="3"/>
        <v/>
      </c>
      <c r="AE37" s="47"/>
      <c r="AF37" s="47"/>
      <c r="AG37" s="298" t="str">
        <f t="shared" si="4"/>
        <v/>
      </c>
      <c r="AH37" s="311" t="str">
        <f t="shared" si="5"/>
        <v/>
      </c>
      <c r="AI37" s="312" t="str">
        <f>IF(AH37="Check Data","Check Data",IFERROR(VLOOKUP(AH37,'G-4 Temporal multipliers'!$A$4:$C$36,3,FALSE),""))</f>
        <v/>
      </c>
      <c r="AJ37" s="290" t="str">
        <f>IF(S37="","",VLOOKUP(S37,'G-3 Multipliers'!$A$2:$E$134,4,FALSE))</f>
        <v/>
      </c>
      <c r="AK37" s="298" t="str">
        <f t="shared" si="6"/>
        <v/>
      </c>
      <c r="AL37" s="298" t="str">
        <f t="shared" si="7"/>
        <v/>
      </c>
      <c r="AM37" s="328" t="str">
        <f>IFERROR(IF(F37="","",IF(AH37="Check Data ⚠","Check Data ⚠",VLOOKUP(AL37, 'G-3 Multipliers'!$P$2:$Q$6,2,FALSE))),"")</f>
        <v/>
      </c>
      <c r="AN37" s="304" t="str">
        <f t="shared" si="8"/>
        <v/>
      </c>
      <c r="AO37" s="163"/>
      <c r="AP37" s="164"/>
      <c r="AQ37" s="101"/>
      <c r="AT37" s="20" t="str">
        <f t="shared" si="9"/>
        <v>No</v>
      </c>
      <c r="AU37" s="20" t="str">
        <f>IF(E37="","",IF(ISNA(VLOOKUP($E37,'A-1 On-Site Habitat Baseline'!$D$1:$AV$258,4,FALSE)),"",(VLOOKUP($E37,'A-1 On-Site Habitat Baseline'!$D$1:$AV$258,4,FALSE))))</f>
        <v/>
      </c>
    </row>
    <row r="38" spans="1:47" x14ac:dyDescent="0.3">
      <c r="A38" s="20" t="str">
        <f>IF(E38="","",IF(ISNA(VLOOKUP($E38,'A-1 On-Site Habitat Baseline'!$D$1:$O$258,2,FALSE)),"",(VLOOKUP($E38,'A-1 On-Site Habitat Baseline'!$D$1:$O$258,2,FALSE))))</f>
        <v/>
      </c>
      <c r="B38" s="20" t="str">
        <f>IF(E38="","",IF(ISNA(VLOOKUP($E38,'A-1 On-Site Habitat Baseline'!$D$1:$O$258,3,FALSE)),"",(VLOOKUP($E38,'A-1 On-Site Habitat Baseline'!$D$1:$O$258,3,FALSE))))</f>
        <v/>
      </c>
      <c r="C38" s="20" t="str">
        <f>IFERROR(INDEX('G-8 Condition Look up'!$I$4:$I$135,MATCH(S38,'G-8 Condition Look up'!$A$4:$A$135,0)),"")</f>
        <v/>
      </c>
      <c r="E38" s="319" t="str">
        <f>'A-1 On-Site Habitat Baseline'!AL37</f>
        <v/>
      </c>
      <c r="F38" s="310" t="str">
        <f>IF(E38="","",IF(ISNA(VLOOKUP($E38,'A-1 On-Site Habitat Baseline'!$D$1:$AV$258,45,FALSE)),"",(VLOOKUP($E38,'A-1 On-Site Habitat Baseline'!$D$1:$AV$258,45,FALSE))))</f>
        <v/>
      </c>
      <c r="G38" s="310" t="str">
        <f>IF(E38="","",IF(ISNA(VLOOKUP($E38,'A-1 On-Site Habitat Baseline'!$D$1:$O$258,5,FALSE)),"",(VLOOKUP($E38,'A-1 On-Site Habitat Baseline'!$D$1:$O$258,5,FALSE))))</f>
        <v/>
      </c>
      <c r="H38" s="310" t="str">
        <f>IF(E38="","",IF(ISNA(VLOOKUP($E38,'A-1 On-Site Habitat Baseline'!$D$1:$O$258,6,FALSE)),"",(VLOOKUP($E38,'A-1 On-Site Habitat Baseline'!$D$1:$O$258,6,FALSE))))</f>
        <v/>
      </c>
      <c r="I38" s="310" t="str">
        <f>IF(E38="","",IF(ISNA(VLOOKUP($E38,'A-1 On-Site Habitat Baseline'!$D$1:$O$258,7,FALSE)),"",(VLOOKUP($E38,'A-1 On-Site Habitat Baseline'!$D$1:$O$258,7,FALSE))))</f>
        <v/>
      </c>
      <c r="J38" s="310" t="str">
        <f>IF(E38="","",IF(ISNA(VLOOKUP($E38,'A-1 On-Site Habitat Baseline'!$D$1:$O$258,8,FALSE)),"",(VLOOKUP($E38,'A-1 On-Site Habitat Baseline'!$D$1:$O$258,8,FALSE))))</f>
        <v/>
      </c>
      <c r="K38" s="310" t="str">
        <f>IF(E38="","",IF(ISNA(VLOOKUP($E38,'A-1 On-Site Habitat Baseline'!$D$1:$O$258,9,FALSE)),"",(VLOOKUP($E38,'A-1 On-Site Habitat Baseline'!$D$1:$O$258,9,FALSE))))</f>
        <v/>
      </c>
      <c r="L38" s="310" t="str">
        <f>IF(E38="","",IF(ISNA(VLOOKUP($E38,'A-1 On-Site Habitat Baseline'!$D$1:$O$258,11,FALSE)),"",(VLOOKUP($E38,'A-1 On-Site Habitat Baseline'!$D$1:$O$258,11,FALSE))))</f>
        <v/>
      </c>
      <c r="M38" s="310" t="str">
        <f>IF(E38="","",IF(ISNA(VLOOKUP($E38,'A-1 On-Site Habitat Baseline'!$D$1:$O$258,12,FALSE)),"",(VLOOKUP($E38,'A-1 On-Site Habitat Baseline'!$D$1:$O$258,12,FALSE))))</f>
        <v/>
      </c>
      <c r="N38" s="320" t="str">
        <f>IF(E38="","",IF(ISNA(VLOOKUP($E38,'A-1 On-Site Habitat Baseline'!$D$1:$X$258,14,FALSE)),"",(VLOOKUP($E38,'A-1 On-Site Habitat Baseline'!$D$1:$X$258,14,FALSE))))</f>
        <v/>
      </c>
      <c r="O38" s="314" t="str">
        <f>IF(E38="","",IF(ISNA(VLOOKUP($E38,'A-1 On-Site Habitat Baseline'!$D$1:$X$258,16,FALSE)),"",(VLOOKUP($E38,'A-1 On-Site Habitat Baseline'!$D$1:$X$258,13,FALSE))))</f>
        <v/>
      </c>
      <c r="P38" s="161" t="str">
        <f>IFERROR(INDEX('G-1 All Habitats'!$AG$49:$AG$63,MATCH(Q38,'G-1 All Habitats'!$AF$27:$AF$41,0)),"")</f>
        <v/>
      </c>
      <c r="Q38" s="162" t="str">
        <f t="shared" si="0"/>
        <v/>
      </c>
      <c r="R38" s="162"/>
      <c r="S38" s="252" t="str">
        <f>IFERROR(INDEX('G-1 All Habitats'!$B$3:$B$135,MATCH(R38,'G-1 All Habitats'!$A$3:$A$135,0)),"")</f>
        <v/>
      </c>
      <c r="T38" s="290" t="str">
        <f t="shared" si="1"/>
        <v/>
      </c>
      <c r="U38" s="291" t="str">
        <f t="shared" si="10"/>
        <v/>
      </c>
      <c r="V38" s="325" t="str">
        <f t="shared" si="2"/>
        <v/>
      </c>
      <c r="W38" s="310" t="str">
        <f>IF(S38="","",VLOOKUP(S38,'G-1 All Habitats'!$B$2:$M$135,10,FALSE))</f>
        <v/>
      </c>
      <c r="X38" s="310" t="str">
        <f>IFERROR(VLOOKUP(W38,'G-1 All Habitats'!$V$3:$W$7,2,FALSE),"")</f>
        <v/>
      </c>
      <c r="Y38" s="45"/>
      <c r="Z38" s="314" t="str">
        <f>IFERROR(INDEX('G-8 Condition Look up'!$A$3:$H$135,MATCH(S38,'G-8 Condition Look up'!$A$3:$A$135,0),MATCH(Y38,'G-8 Condition Look up'!$A$3:$H$3,0)),"")</f>
        <v/>
      </c>
      <c r="AA38" s="38"/>
      <c r="AB38" s="310" t="str">
        <f>IF(AA38="","",IF(VLOOKUP(AA38,'G-3 Multipliers'!$L$3:$N$6,2,FALSE)=0,"Spatial Data Missing ⚠",VLOOKUP(AA38,'G-3 Multipliers'!$L$3:$N$6,2,FALSE)))</f>
        <v/>
      </c>
      <c r="AC38" s="314" t="str">
        <f>IF(AA38="","",IF(VLOOKUP(AA38,'G-3 Multipliers'!$L$3:$N$6,3,FALSE)=0,"Spatial Data Missing ⚠",VLOOKUP(AA38,'G-3 Multipliers'!$L$3:$N$6,3,FALSE)))</f>
        <v/>
      </c>
      <c r="AD38" s="327" t="str">
        <f t="shared" si="3"/>
        <v/>
      </c>
      <c r="AE38" s="47"/>
      <c r="AF38" s="47"/>
      <c r="AG38" s="298" t="str">
        <f t="shared" si="4"/>
        <v/>
      </c>
      <c r="AH38" s="311" t="str">
        <f t="shared" si="5"/>
        <v/>
      </c>
      <c r="AI38" s="312" t="str">
        <f>IF(AH38="Check Data","Check Data",IFERROR(VLOOKUP(AH38,'G-4 Temporal multipliers'!$A$4:$C$36,3,FALSE),""))</f>
        <v/>
      </c>
      <c r="AJ38" s="290" t="str">
        <f>IF(S38="","",VLOOKUP(S38,'G-3 Multipliers'!$A$2:$E$134,4,FALSE))</f>
        <v/>
      </c>
      <c r="AK38" s="298" t="str">
        <f t="shared" si="6"/>
        <v/>
      </c>
      <c r="AL38" s="298" t="str">
        <f t="shared" si="7"/>
        <v/>
      </c>
      <c r="AM38" s="328" t="str">
        <f>IFERROR(IF(F38="","",IF(AH38="Check Data ⚠","Check Data ⚠",VLOOKUP(AL38, 'G-3 Multipliers'!$P$2:$Q$6,2,FALSE))),"")</f>
        <v/>
      </c>
      <c r="AN38" s="304" t="str">
        <f t="shared" si="8"/>
        <v/>
      </c>
      <c r="AO38" s="163"/>
      <c r="AP38" s="164"/>
      <c r="AQ38" s="101"/>
      <c r="AT38" s="20" t="str">
        <f t="shared" si="9"/>
        <v>No</v>
      </c>
      <c r="AU38" s="20" t="str">
        <f>IF(E38="","",IF(ISNA(VLOOKUP($E38,'A-1 On-Site Habitat Baseline'!$D$1:$AV$258,4,FALSE)),"",(VLOOKUP($E38,'A-1 On-Site Habitat Baseline'!$D$1:$AV$258,4,FALSE))))</f>
        <v/>
      </c>
    </row>
    <row r="39" spans="1:47" x14ac:dyDescent="0.3">
      <c r="A39" s="20" t="str">
        <f>IF(E39="","",IF(ISNA(VLOOKUP($E39,'A-1 On-Site Habitat Baseline'!$D$1:$O$258,2,FALSE)),"",(VLOOKUP($E39,'A-1 On-Site Habitat Baseline'!$D$1:$O$258,2,FALSE))))</f>
        <v/>
      </c>
      <c r="B39" s="20" t="str">
        <f>IF(E39="","",IF(ISNA(VLOOKUP($E39,'A-1 On-Site Habitat Baseline'!$D$1:$O$258,3,FALSE)),"",(VLOOKUP($E39,'A-1 On-Site Habitat Baseline'!$D$1:$O$258,3,FALSE))))</f>
        <v/>
      </c>
      <c r="C39" s="20" t="str">
        <f>IFERROR(INDEX('G-8 Condition Look up'!$I$4:$I$135,MATCH(S39,'G-8 Condition Look up'!$A$4:$A$135,0)),"")</f>
        <v/>
      </c>
      <c r="E39" s="319" t="str">
        <f>'A-1 On-Site Habitat Baseline'!AL38</f>
        <v/>
      </c>
      <c r="F39" s="310" t="str">
        <f>IF(E39="","",IF(ISNA(VLOOKUP($E39,'A-1 On-Site Habitat Baseline'!$D$1:$AV$258,45,FALSE)),"",(VLOOKUP($E39,'A-1 On-Site Habitat Baseline'!$D$1:$AV$258,45,FALSE))))</f>
        <v/>
      </c>
      <c r="G39" s="310" t="str">
        <f>IF(E39="","",IF(ISNA(VLOOKUP($E39,'A-1 On-Site Habitat Baseline'!$D$1:$O$258,5,FALSE)),"",(VLOOKUP($E39,'A-1 On-Site Habitat Baseline'!$D$1:$O$258,5,FALSE))))</f>
        <v/>
      </c>
      <c r="H39" s="310" t="str">
        <f>IF(E39="","",IF(ISNA(VLOOKUP($E39,'A-1 On-Site Habitat Baseline'!$D$1:$O$258,6,FALSE)),"",(VLOOKUP($E39,'A-1 On-Site Habitat Baseline'!$D$1:$O$258,6,FALSE))))</f>
        <v/>
      </c>
      <c r="I39" s="310" t="str">
        <f>IF(E39="","",IF(ISNA(VLOOKUP($E39,'A-1 On-Site Habitat Baseline'!$D$1:$O$258,7,FALSE)),"",(VLOOKUP($E39,'A-1 On-Site Habitat Baseline'!$D$1:$O$258,7,FALSE))))</f>
        <v/>
      </c>
      <c r="J39" s="310" t="str">
        <f>IF(E39="","",IF(ISNA(VLOOKUP($E39,'A-1 On-Site Habitat Baseline'!$D$1:$O$258,8,FALSE)),"",(VLOOKUP($E39,'A-1 On-Site Habitat Baseline'!$D$1:$O$258,8,FALSE))))</f>
        <v/>
      </c>
      <c r="K39" s="310" t="str">
        <f>IF(E39="","",IF(ISNA(VLOOKUP($E39,'A-1 On-Site Habitat Baseline'!$D$1:$O$258,9,FALSE)),"",(VLOOKUP($E39,'A-1 On-Site Habitat Baseline'!$D$1:$O$258,9,FALSE))))</f>
        <v/>
      </c>
      <c r="L39" s="310" t="str">
        <f>IF(E39="","",IF(ISNA(VLOOKUP($E39,'A-1 On-Site Habitat Baseline'!$D$1:$O$258,11,FALSE)),"",(VLOOKUP($E39,'A-1 On-Site Habitat Baseline'!$D$1:$O$258,11,FALSE))))</f>
        <v/>
      </c>
      <c r="M39" s="310" t="str">
        <f>IF(E39="","",IF(ISNA(VLOOKUP($E39,'A-1 On-Site Habitat Baseline'!$D$1:$O$258,12,FALSE)),"",(VLOOKUP($E39,'A-1 On-Site Habitat Baseline'!$D$1:$O$258,12,FALSE))))</f>
        <v/>
      </c>
      <c r="N39" s="320" t="str">
        <f>IF(E39="","",IF(ISNA(VLOOKUP($E39,'A-1 On-Site Habitat Baseline'!$D$1:$X$258,14,FALSE)),"",(VLOOKUP($E39,'A-1 On-Site Habitat Baseline'!$D$1:$X$258,14,FALSE))))</f>
        <v/>
      </c>
      <c r="O39" s="314" t="str">
        <f>IF(E39="","",IF(ISNA(VLOOKUP($E39,'A-1 On-Site Habitat Baseline'!$D$1:$X$258,16,FALSE)),"",(VLOOKUP($E39,'A-1 On-Site Habitat Baseline'!$D$1:$X$258,13,FALSE))))</f>
        <v/>
      </c>
      <c r="P39" s="161" t="str">
        <f>IFERROR(INDEX('G-1 All Habitats'!$AG$49:$AG$63,MATCH(Q39,'G-1 All Habitats'!$AF$27:$AF$41,0)),"")</f>
        <v/>
      </c>
      <c r="Q39" s="162" t="str">
        <f t="shared" si="0"/>
        <v/>
      </c>
      <c r="R39" s="162"/>
      <c r="S39" s="252" t="str">
        <f>IFERROR(INDEX('G-1 All Habitats'!$B$3:$B$135,MATCH(R39,'G-1 All Habitats'!$A$3:$A$135,0)),"")</f>
        <v/>
      </c>
      <c r="T39" s="290" t="str">
        <f t="shared" si="1"/>
        <v/>
      </c>
      <c r="U39" s="291" t="str">
        <f t="shared" si="10"/>
        <v/>
      </c>
      <c r="V39" s="325" t="str">
        <f t="shared" si="2"/>
        <v/>
      </c>
      <c r="W39" s="310" t="str">
        <f>IF(S39="","",VLOOKUP(S39,'G-1 All Habitats'!$B$2:$M$135,10,FALSE))</f>
        <v/>
      </c>
      <c r="X39" s="310" t="str">
        <f>IFERROR(VLOOKUP(W39,'G-1 All Habitats'!$V$3:$W$7,2,FALSE),"")</f>
        <v/>
      </c>
      <c r="Y39" s="45"/>
      <c r="Z39" s="314" t="str">
        <f>IFERROR(INDEX('G-8 Condition Look up'!$A$3:$H$135,MATCH(S39,'G-8 Condition Look up'!$A$3:$A$135,0),MATCH(Y39,'G-8 Condition Look up'!$A$3:$H$3,0)),"")</f>
        <v/>
      </c>
      <c r="AA39" s="38"/>
      <c r="AB39" s="310" t="str">
        <f>IF(AA39="","",IF(VLOOKUP(AA39,'G-3 Multipliers'!$L$3:$N$6,2,FALSE)=0,"Spatial Data Missing ⚠",VLOOKUP(AA39,'G-3 Multipliers'!$L$3:$N$6,2,FALSE)))</f>
        <v/>
      </c>
      <c r="AC39" s="314" t="str">
        <f>IF(AA39="","",IF(VLOOKUP(AA39,'G-3 Multipliers'!$L$3:$N$6,3,FALSE)=0,"Spatial Data Missing ⚠",VLOOKUP(AA39,'G-3 Multipliers'!$L$3:$N$6,3,FALSE)))</f>
        <v/>
      </c>
      <c r="AD39" s="327" t="str">
        <f t="shared" si="3"/>
        <v/>
      </c>
      <c r="AE39" s="47"/>
      <c r="AF39" s="47"/>
      <c r="AG39" s="298" t="str">
        <f t="shared" si="4"/>
        <v/>
      </c>
      <c r="AH39" s="311" t="str">
        <f t="shared" si="5"/>
        <v/>
      </c>
      <c r="AI39" s="312" t="str">
        <f>IF(AH39="Check Data","Check Data",IFERROR(VLOOKUP(AH39,'G-4 Temporal multipliers'!$A$4:$C$36,3,FALSE),""))</f>
        <v/>
      </c>
      <c r="AJ39" s="290" t="str">
        <f>IF(S39="","",VLOOKUP(S39,'G-3 Multipliers'!$A$2:$E$134,4,FALSE))</f>
        <v/>
      </c>
      <c r="AK39" s="298" t="str">
        <f t="shared" si="6"/>
        <v/>
      </c>
      <c r="AL39" s="298" t="str">
        <f t="shared" si="7"/>
        <v/>
      </c>
      <c r="AM39" s="328" t="str">
        <f>IFERROR(IF(F39="","",IF(AH39="Check Data ⚠","Check Data ⚠",VLOOKUP(AL39, 'G-3 Multipliers'!$P$2:$Q$6,2,FALSE))),"")</f>
        <v/>
      </c>
      <c r="AN39" s="304" t="str">
        <f t="shared" si="8"/>
        <v/>
      </c>
      <c r="AO39" s="163"/>
      <c r="AP39" s="164"/>
      <c r="AQ39" s="101"/>
      <c r="AT39" s="20" t="str">
        <f t="shared" si="9"/>
        <v>No</v>
      </c>
      <c r="AU39" s="20" t="str">
        <f>IF(E39="","",IF(ISNA(VLOOKUP($E39,'A-1 On-Site Habitat Baseline'!$D$1:$AV$258,4,FALSE)),"",(VLOOKUP($E39,'A-1 On-Site Habitat Baseline'!$D$1:$AV$258,4,FALSE))))</f>
        <v/>
      </c>
    </row>
    <row r="40" spans="1:47" x14ac:dyDescent="0.3">
      <c r="A40" s="20" t="str">
        <f>IF(E40="","",IF(ISNA(VLOOKUP($E40,'A-1 On-Site Habitat Baseline'!$D$1:$O$258,2,FALSE)),"",(VLOOKUP($E40,'A-1 On-Site Habitat Baseline'!$D$1:$O$258,2,FALSE))))</f>
        <v/>
      </c>
      <c r="B40" s="20" t="str">
        <f>IF(E40="","",IF(ISNA(VLOOKUP($E40,'A-1 On-Site Habitat Baseline'!$D$1:$O$258,3,FALSE)),"",(VLOOKUP($E40,'A-1 On-Site Habitat Baseline'!$D$1:$O$258,3,FALSE))))</f>
        <v/>
      </c>
      <c r="C40" s="20" t="str">
        <f>IFERROR(INDEX('G-8 Condition Look up'!$I$4:$I$135,MATCH(S40,'G-8 Condition Look up'!$A$4:$A$135,0)),"")</f>
        <v/>
      </c>
      <c r="E40" s="319" t="str">
        <f>'A-1 On-Site Habitat Baseline'!AL39</f>
        <v/>
      </c>
      <c r="F40" s="310" t="str">
        <f>IF(E40="","",IF(ISNA(VLOOKUP($E40,'A-1 On-Site Habitat Baseline'!$D$1:$AV$258,45,FALSE)),"",(VLOOKUP($E40,'A-1 On-Site Habitat Baseline'!$D$1:$AV$258,45,FALSE))))</f>
        <v/>
      </c>
      <c r="G40" s="310" t="str">
        <f>IF(E40="","",IF(ISNA(VLOOKUP($E40,'A-1 On-Site Habitat Baseline'!$D$1:$O$258,5,FALSE)),"",(VLOOKUP($E40,'A-1 On-Site Habitat Baseline'!$D$1:$O$258,5,FALSE))))</f>
        <v/>
      </c>
      <c r="H40" s="310" t="str">
        <f>IF(E40="","",IF(ISNA(VLOOKUP($E40,'A-1 On-Site Habitat Baseline'!$D$1:$O$258,6,FALSE)),"",(VLOOKUP($E40,'A-1 On-Site Habitat Baseline'!$D$1:$O$258,6,FALSE))))</f>
        <v/>
      </c>
      <c r="I40" s="310" t="str">
        <f>IF(E40="","",IF(ISNA(VLOOKUP($E40,'A-1 On-Site Habitat Baseline'!$D$1:$O$258,7,FALSE)),"",(VLOOKUP($E40,'A-1 On-Site Habitat Baseline'!$D$1:$O$258,7,FALSE))))</f>
        <v/>
      </c>
      <c r="J40" s="310" t="str">
        <f>IF(E40="","",IF(ISNA(VLOOKUP($E40,'A-1 On-Site Habitat Baseline'!$D$1:$O$258,8,FALSE)),"",(VLOOKUP($E40,'A-1 On-Site Habitat Baseline'!$D$1:$O$258,8,FALSE))))</f>
        <v/>
      </c>
      <c r="K40" s="310" t="str">
        <f>IF(E40="","",IF(ISNA(VLOOKUP($E40,'A-1 On-Site Habitat Baseline'!$D$1:$O$258,9,FALSE)),"",(VLOOKUP($E40,'A-1 On-Site Habitat Baseline'!$D$1:$O$258,9,FALSE))))</f>
        <v/>
      </c>
      <c r="L40" s="310" t="str">
        <f>IF(E40="","",IF(ISNA(VLOOKUP($E40,'A-1 On-Site Habitat Baseline'!$D$1:$O$258,11,FALSE)),"",(VLOOKUP($E40,'A-1 On-Site Habitat Baseline'!$D$1:$O$258,11,FALSE))))</f>
        <v/>
      </c>
      <c r="M40" s="310" t="str">
        <f>IF(E40="","",IF(ISNA(VLOOKUP($E40,'A-1 On-Site Habitat Baseline'!$D$1:$O$258,12,FALSE)),"",(VLOOKUP($E40,'A-1 On-Site Habitat Baseline'!$D$1:$O$258,12,FALSE))))</f>
        <v/>
      </c>
      <c r="N40" s="320" t="str">
        <f>IF(E40="","",IF(ISNA(VLOOKUP($E40,'A-1 On-Site Habitat Baseline'!$D$1:$X$258,14,FALSE)),"",(VLOOKUP($E40,'A-1 On-Site Habitat Baseline'!$D$1:$X$258,14,FALSE))))</f>
        <v/>
      </c>
      <c r="O40" s="314" t="str">
        <f>IF(E40="","",IF(ISNA(VLOOKUP($E40,'A-1 On-Site Habitat Baseline'!$D$1:$X$258,16,FALSE)),"",(VLOOKUP($E40,'A-1 On-Site Habitat Baseline'!$D$1:$X$258,13,FALSE))))</f>
        <v/>
      </c>
      <c r="P40" s="161" t="str">
        <f>IFERROR(INDEX('G-1 All Habitats'!$AG$49:$AG$63,MATCH(Q40,'G-1 All Habitats'!$AF$27:$AF$41,0)),"")</f>
        <v/>
      </c>
      <c r="Q40" s="162" t="str">
        <f t="shared" si="0"/>
        <v/>
      </c>
      <c r="R40" s="162"/>
      <c r="S40" s="252" t="str">
        <f>IFERROR(INDEX('G-1 All Habitats'!$B$3:$B$135,MATCH(R40,'G-1 All Habitats'!$A$3:$A$135,0)),"")</f>
        <v/>
      </c>
      <c r="T40" s="290" t="str">
        <f t="shared" si="1"/>
        <v/>
      </c>
      <c r="U40" s="291" t="str">
        <f t="shared" si="10"/>
        <v/>
      </c>
      <c r="V40" s="325" t="str">
        <f t="shared" si="2"/>
        <v/>
      </c>
      <c r="W40" s="310" t="str">
        <f>IF(S40="","",VLOOKUP(S40,'G-1 All Habitats'!$B$2:$M$135,10,FALSE))</f>
        <v/>
      </c>
      <c r="X40" s="310" t="str">
        <f>IFERROR(VLOOKUP(W40,'G-1 All Habitats'!$V$3:$W$7,2,FALSE),"")</f>
        <v/>
      </c>
      <c r="Y40" s="45"/>
      <c r="Z40" s="314" t="str">
        <f>IFERROR(INDEX('G-8 Condition Look up'!$A$3:$H$135,MATCH(S40,'G-8 Condition Look up'!$A$3:$A$135,0),MATCH(Y40,'G-8 Condition Look up'!$A$3:$H$3,0)),"")</f>
        <v/>
      </c>
      <c r="AA40" s="38"/>
      <c r="AB40" s="310" t="str">
        <f>IF(AA40="","",IF(VLOOKUP(AA40,'G-3 Multipliers'!$L$3:$N$6,2,FALSE)=0,"Spatial Data Missing ⚠",VLOOKUP(AA40,'G-3 Multipliers'!$L$3:$N$6,2,FALSE)))</f>
        <v/>
      </c>
      <c r="AC40" s="314" t="str">
        <f>IF(AA40="","",IF(VLOOKUP(AA40,'G-3 Multipliers'!$L$3:$N$6,3,FALSE)=0,"Spatial Data Missing ⚠",VLOOKUP(AA40,'G-3 Multipliers'!$L$3:$N$6,3,FALSE)))</f>
        <v/>
      </c>
      <c r="AD40" s="327" t="str">
        <f t="shared" si="3"/>
        <v/>
      </c>
      <c r="AE40" s="47"/>
      <c r="AF40" s="47"/>
      <c r="AG40" s="298" t="str">
        <f t="shared" si="4"/>
        <v/>
      </c>
      <c r="AH40" s="311" t="str">
        <f t="shared" si="5"/>
        <v/>
      </c>
      <c r="AI40" s="312" t="str">
        <f>IF(AH40="Check Data","Check Data",IFERROR(VLOOKUP(AH40,'G-4 Temporal multipliers'!$A$4:$C$36,3,FALSE),""))</f>
        <v/>
      </c>
      <c r="AJ40" s="290" t="str">
        <f>IF(S40="","",VLOOKUP(S40,'G-3 Multipliers'!$A$2:$E$134,4,FALSE))</f>
        <v/>
      </c>
      <c r="AK40" s="298" t="str">
        <f t="shared" si="6"/>
        <v/>
      </c>
      <c r="AL40" s="298" t="str">
        <f t="shared" si="7"/>
        <v/>
      </c>
      <c r="AM40" s="328" t="str">
        <f>IFERROR(IF(F40="","",IF(AH40="Check Data ⚠","Check Data ⚠",VLOOKUP(AL40, 'G-3 Multipliers'!$P$2:$Q$6,2,FALSE))),"")</f>
        <v/>
      </c>
      <c r="AN40" s="304" t="str">
        <f t="shared" si="8"/>
        <v/>
      </c>
      <c r="AO40" s="163"/>
      <c r="AP40" s="164"/>
      <c r="AQ40" s="101"/>
      <c r="AT40" s="20" t="str">
        <f t="shared" si="9"/>
        <v>No</v>
      </c>
      <c r="AU40" s="20" t="str">
        <f>IF(E40="","",IF(ISNA(VLOOKUP($E40,'A-1 On-Site Habitat Baseline'!$D$1:$AV$258,4,FALSE)),"",(VLOOKUP($E40,'A-1 On-Site Habitat Baseline'!$D$1:$AV$258,4,FALSE))))</f>
        <v/>
      </c>
    </row>
    <row r="41" spans="1:47" x14ac:dyDescent="0.3">
      <c r="A41" s="20" t="str">
        <f>IF(E41="","",IF(ISNA(VLOOKUP($E41,'A-1 On-Site Habitat Baseline'!$D$1:$O$258,2,FALSE)),"",(VLOOKUP($E41,'A-1 On-Site Habitat Baseline'!$D$1:$O$258,2,FALSE))))</f>
        <v/>
      </c>
      <c r="B41" s="20" t="str">
        <f>IF(E41="","",IF(ISNA(VLOOKUP($E41,'A-1 On-Site Habitat Baseline'!$D$1:$O$258,3,FALSE)),"",(VLOOKUP($E41,'A-1 On-Site Habitat Baseline'!$D$1:$O$258,3,FALSE))))</f>
        <v/>
      </c>
      <c r="C41" s="20" t="str">
        <f>IFERROR(INDEX('G-8 Condition Look up'!$I$4:$I$135,MATCH(S41,'G-8 Condition Look up'!$A$4:$A$135,0)),"")</f>
        <v/>
      </c>
      <c r="E41" s="319" t="str">
        <f>'A-1 On-Site Habitat Baseline'!AL40</f>
        <v/>
      </c>
      <c r="F41" s="310" t="str">
        <f>IF(E41="","",IF(ISNA(VLOOKUP($E41,'A-1 On-Site Habitat Baseline'!$D$1:$AV$258,45,FALSE)),"",(VLOOKUP($E41,'A-1 On-Site Habitat Baseline'!$D$1:$AV$258,45,FALSE))))</f>
        <v/>
      </c>
      <c r="G41" s="310" t="str">
        <f>IF(E41="","",IF(ISNA(VLOOKUP($E41,'A-1 On-Site Habitat Baseline'!$D$1:$O$258,5,FALSE)),"",(VLOOKUP($E41,'A-1 On-Site Habitat Baseline'!$D$1:$O$258,5,FALSE))))</f>
        <v/>
      </c>
      <c r="H41" s="310" t="str">
        <f>IF(E41="","",IF(ISNA(VLOOKUP($E41,'A-1 On-Site Habitat Baseline'!$D$1:$O$258,6,FALSE)),"",(VLOOKUP($E41,'A-1 On-Site Habitat Baseline'!$D$1:$O$258,6,FALSE))))</f>
        <v/>
      </c>
      <c r="I41" s="310" t="str">
        <f>IF(E41="","",IF(ISNA(VLOOKUP($E41,'A-1 On-Site Habitat Baseline'!$D$1:$O$258,7,FALSE)),"",(VLOOKUP($E41,'A-1 On-Site Habitat Baseline'!$D$1:$O$258,7,FALSE))))</f>
        <v/>
      </c>
      <c r="J41" s="310" t="str">
        <f>IF(E41="","",IF(ISNA(VLOOKUP($E41,'A-1 On-Site Habitat Baseline'!$D$1:$O$258,8,FALSE)),"",(VLOOKUP($E41,'A-1 On-Site Habitat Baseline'!$D$1:$O$258,8,FALSE))))</f>
        <v/>
      </c>
      <c r="K41" s="310" t="str">
        <f>IF(E41="","",IF(ISNA(VLOOKUP($E41,'A-1 On-Site Habitat Baseline'!$D$1:$O$258,9,FALSE)),"",(VLOOKUP($E41,'A-1 On-Site Habitat Baseline'!$D$1:$O$258,9,FALSE))))</f>
        <v/>
      </c>
      <c r="L41" s="310" t="str">
        <f>IF(E41="","",IF(ISNA(VLOOKUP($E41,'A-1 On-Site Habitat Baseline'!$D$1:$O$258,11,FALSE)),"",(VLOOKUP($E41,'A-1 On-Site Habitat Baseline'!$D$1:$O$258,11,FALSE))))</f>
        <v/>
      </c>
      <c r="M41" s="310" t="str">
        <f>IF(E41="","",IF(ISNA(VLOOKUP($E41,'A-1 On-Site Habitat Baseline'!$D$1:$O$258,12,FALSE)),"",(VLOOKUP($E41,'A-1 On-Site Habitat Baseline'!$D$1:$O$258,12,FALSE))))</f>
        <v/>
      </c>
      <c r="N41" s="320" t="str">
        <f>IF(E41="","",IF(ISNA(VLOOKUP($E41,'A-1 On-Site Habitat Baseline'!$D$1:$X$258,14,FALSE)),"",(VLOOKUP($E41,'A-1 On-Site Habitat Baseline'!$D$1:$X$258,14,FALSE))))</f>
        <v/>
      </c>
      <c r="O41" s="314" t="str">
        <f>IF(E41="","",IF(ISNA(VLOOKUP($E41,'A-1 On-Site Habitat Baseline'!$D$1:$X$258,16,FALSE)),"",(VLOOKUP($E41,'A-1 On-Site Habitat Baseline'!$D$1:$X$258,13,FALSE))))</f>
        <v/>
      </c>
      <c r="P41" s="161" t="str">
        <f>IFERROR(INDEX('G-1 All Habitats'!$AG$49:$AG$63,MATCH(Q41,'G-1 All Habitats'!$AF$27:$AF$41,0)),"")</f>
        <v/>
      </c>
      <c r="Q41" s="162" t="str">
        <f t="shared" si="0"/>
        <v/>
      </c>
      <c r="R41" s="162"/>
      <c r="S41" s="252" t="str">
        <f>IFERROR(INDEX('G-1 All Habitats'!$B$3:$B$135,MATCH(R41,'G-1 All Habitats'!$A$3:$A$135,0)),"")</f>
        <v/>
      </c>
      <c r="T41" s="290" t="str">
        <f t="shared" si="1"/>
        <v/>
      </c>
      <c r="U41" s="291" t="str">
        <f t="shared" si="10"/>
        <v/>
      </c>
      <c r="V41" s="325" t="str">
        <f t="shared" si="2"/>
        <v/>
      </c>
      <c r="W41" s="310" t="str">
        <f>IF(S41="","",VLOOKUP(S41,'G-1 All Habitats'!$B$2:$M$135,10,FALSE))</f>
        <v/>
      </c>
      <c r="X41" s="310" t="str">
        <f>IFERROR(VLOOKUP(W41,'G-1 All Habitats'!$V$3:$W$7,2,FALSE),"")</f>
        <v/>
      </c>
      <c r="Y41" s="45"/>
      <c r="Z41" s="314" t="str">
        <f>IFERROR(INDEX('G-8 Condition Look up'!$A$3:$H$135,MATCH(S41,'G-8 Condition Look up'!$A$3:$A$135,0),MATCH(Y41,'G-8 Condition Look up'!$A$3:$H$3,0)),"")</f>
        <v/>
      </c>
      <c r="AA41" s="38"/>
      <c r="AB41" s="310" t="str">
        <f>IF(AA41="","",IF(VLOOKUP(AA41,'G-3 Multipliers'!$L$3:$N$6,2,FALSE)=0,"Spatial Data Missing ⚠",VLOOKUP(AA41,'G-3 Multipliers'!$L$3:$N$6,2,FALSE)))</f>
        <v/>
      </c>
      <c r="AC41" s="314" t="str">
        <f>IF(AA41="","",IF(VLOOKUP(AA41,'G-3 Multipliers'!$L$3:$N$6,3,FALSE)=0,"Spatial Data Missing ⚠",VLOOKUP(AA41,'G-3 Multipliers'!$L$3:$N$6,3,FALSE)))</f>
        <v/>
      </c>
      <c r="AD41" s="327" t="str">
        <f t="shared" si="3"/>
        <v/>
      </c>
      <c r="AE41" s="47"/>
      <c r="AF41" s="47"/>
      <c r="AG41" s="298" t="str">
        <f t="shared" si="4"/>
        <v/>
      </c>
      <c r="AH41" s="311" t="str">
        <f t="shared" si="5"/>
        <v/>
      </c>
      <c r="AI41" s="312" t="str">
        <f>IF(AH41="Check Data","Check Data",IFERROR(VLOOKUP(AH41,'G-4 Temporal multipliers'!$A$4:$C$36,3,FALSE),""))</f>
        <v/>
      </c>
      <c r="AJ41" s="290" t="str">
        <f>IF(S41="","",VLOOKUP(S41,'G-3 Multipliers'!$A$2:$E$134,4,FALSE))</f>
        <v/>
      </c>
      <c r="AK41" s="298" t="str">
        <f t="shared" si="6"/>
        <v/>
      </c>
      <c r="AL41" s="298" t="str">
        <f t="shared" si="7"/>
        <v/>
      </c>
      <c r="AM41" s="328" t="str">
        <f>IFERROR(IF(F41="","",IF(AH41="Check Data ⚠","Check Data ⚠",VLOOKUP(AL41, 'G-3 Multipliers'!$P$2:$Q$6,2,FALSE))),"")</f>
        <v/>
      </c>
      <c r="AN41" s="304" t="str">
        <f t="shared" si="8"/>
        <v/>
      </c>
      <c r="AO41" s="163"/>
      <c r="AP41" s="164"/>
      <c r="AQ41" s="101"/>
      <c r="AT41" s="20" t="str">
        <f t="shared" si="9"/>
        <v>No</v>
      </c>
      <c r="AU41" s="20" t="str">
        <f>IF(E41="","",IF(ISNA(VLOOKUP($E41,'A-1 On-Site Habitat Baseline'!$D$1:$AV$258,4,FALSE)),"",(VLOOKUP($E41,'A-1 On-Site Habitat Baseline'!$D$1:$AV$258,4,FALSE))))</f>
        <v/>
      </c>
    </row>
    <row r="42" spans="1:47" x14ac:dyDescent="0.3">
      <c r="A42" s="20" t="str">
        <f>IF(E42="","",IF(ISNA(VLOOKUP($E42,'A-1 On-Site Habitat Baseline'!$D$1:$O$258,2,FALSE)),"",(VLOOKUP($E42,'A-1 On-Site Habitat Baseline'!$D$1:$O$258,2,FALSE))))</f>
        <v/>
      </c>
      <c r="B42" s="20" t="str">
        <f>IF(E42="","",IF(ISNA(VLOOKUP($E42,'A-1 On-Site Habitat Baseline'!$D$1:$O$258,3,FALSE)),"",(VLOOKUP($E42,'A-1 On-Site Habitat Baseline'!$D$1:$O$258,3,FALSE))))</f>
        <v/>
      </c>
      <c r="C42" s="20" t="str">
        <f>IFERROR(INDEX('G-8 Condition Look up'!$I$4:$I$135,MATCH(S42,'G-8 Condition Look up'!$A$4:$A$135,0)),"")</f>
        <v/>
      </c>
      <c r="E42" s="319" t="str">
        <f>'A-1 On-Site Habitat Baseline'!AL41</f>
        <v/>
      </c>
      <c r="F42" s="310" t="str">
        <f>IF(E42="","",IF(ISNA(VLOOKUP($E42,'A-1 On-Site Habitat Baseline'!$D$1:$AV$258,45,FALSE)),"",(VLOOKUP($E42,'A-1 On-Site Habitat Baseline'!$D$1:$AV$258,45,FALSE))))</f>
        <v/>
      </c>
      <c r="G42" s="310" t="str">
        <f>IF(E42="","",IF(ISNA(VLOOKUP($E42,'A-1 On-Site Habitat Baseline'!$D$1:$O$258,5,FALSE)),"",(VLOOKUP($E42,'A-1 On-Site Habitat Baseline'!$D$1:$O$258,5,FALSE))))</f>
        <v/>
      </c>
      <c r="H42" s="310" t="str">
        <f>IF(E42="","",IF(ISNA(VLOOKUP($E42,'A-1 On-Site Habitat Baseline'!$D$1:$O$258,6,FALSE)),"",(VLOOKUP($E42,'A-1 On-Site Habitat Baseline'!$D$1:$O$258,6,FALSE))))</f>
        <v/>
      </c>
      <c r="I42" s="310" t="str">
        <f>IF(E42="","",IF(ISNA(VLOOKUP($E42,'A-1 On-Site Habitat Baseline'!$D$1:$O$258,7,FALSE)),"",(VLOOKUP($E42,'A-1 On-Site Habitat Baseline'!$D$1:$O$258,7,FALSE))))</f>
        <v/>
      </c>
      <c r="J42" s="310" t="str">
        <f>IF(E42="","",IF(ISNA(VLOOKUP($E42,'A-1 On-Site Habitat Baseline'!$D$1:$O$258,8,FALSE)),"",(VLOOKUP($E42,'A-1 On-Site Habitat Baseline'!$D$1:$O$258,8,FALSE))))</f>
        <v/>
      </c>
      <c r="K42" s="310" t="str">
        <f>IF(E42="","",IF(ISNA(VLOOKUP($E42,'A-1 On-Site Habitat Baseline'!$D$1:$O$258,9,FALSE)),"",(VLOOKUP($E42,'A-1 On-Site Habitat Baseline'!$D$1:$O$258,9,FALSE))))</f>
        <v/>
      </c>
      <c r="L42" s="310" t="str">
        <f>IF(E42="","",IF(ISNA(VLOOKUP($E42,'A-1 On-Site Habitat Baseline'!$D$1:$O$258,11,FALSE)),"",(VLOOKUP($E42,'A-1 On-Site Habitat Baseline'!$D$1:$O$258,11,FALSE))))</f>
        <v/>
      </c>
      <c r="M42" s="310" t="str">
        <f>IF(E42="","",IF(ISNA(VLOOKUP($E42,'A-1 On-Site Habitat Baseline'!$D$1:$O$258,12,FALSE)),"",(VLOOKUP($E42,'A-1 On-Site Habitat Baseline'!$D$1:$O$258,12,FALSE))))</f>
        <v/>
      </c>
      <c r="N42" s="320" t="str">
        <f>IF(E42="","",IF(ISNA(VLOOKUP($E42,'A-1 On-Site Habitat Baseline'!$D$1:$X$258,14,FALSE)),"",(VLOOKUP($E42,'A-1 On-Site Habitat Baseline'!$D$1:$X$258,14,FALSE))))</f>
        <v/>
      </c>
      <c r="O42" s="314" t="str">
        <f>IF(E42="","",IF(ISNA(VLOOKUP($E42,'A-1 On-Site Habitat Baseline'!$D$1:$X$258,16,FALSE)),"",(VLOOKUP($E42,'A-1 On-Site Habitat Baseline'!$D$1:$X$258,13,FALSE))))</f>
        <v/>
      </c>
      <c r="P42" s="161" t="str">
        <f>IFERROR(INDEX('G-1 All Habitats'!$AG$49:$AG$63,MATCH(Q42,'G-1 All Habitats'!$AF$27:$AF$41,0)),"")</f>
        <v/>
      </c>
      <c r="Q42" s="162" t="str">
        <f t="shared" si="0"/>
        <v/>
      </c>
      <c r="R42" s="162"/>
      <c r="S42" s="252" t="str">
        <f>IFERROR(INDEX('G-1 All Habitats'!$B$3:$B$135,MATCH(R42,'G-1 All Habitats'!$A$3:$A$135,0)),"")</f>
        <v/>
      </c>
      <c r="T42" s="290" t="str">
        <f t="shared" si="1"/>
        <v/>
      </c>
      <c r="U42" s="291" t="str">
        <f t="shared" si="10"/>
        <v/>
      </c>
      <c r="V42" s="325" t="str">
        <f t="shared" si="2"/>
        <v/>
      </c>
      <c r="W42" s="310" t="str">
        <f>IF(S42="","",VLOOKUP(S42,'G-1 All Habitats'!$B$2:$M$135,10,FALSE))</f>
        <v/>
      </c>
      <c r="X42" s="310" t="str">
        <f>IFERROR(VLOOKUP(W42,'G-1 All Habitats'!$V$3:$W$7,2,FALSE),"")</f>
        <v/>
      </c>
      <c r="Y42" s="45"/>
      <c r="Z42" s="314" t="str">
        <f>IFERROR(INDEX('G-8 Condition Look up'!$A$3:$H$135,MATCH(S42,'G-8 Condition Look up'!$A$3:$A$135,0),MATCH(Y42,'G-8 Condition Look up'!$A$3:$H$3,0)),"")</f>
        <v/>
      </c>
      <c r="AA42" s="38"/>
      <c r="AB42" s="310" t="str">
        <f>IF(AA42="","",IF(VLOOKUP(AA42,'G-3 Multipliers'!$L$3:$N$6,2,FALSE)=0,"Spatial Data Missing ⚠",VLOOKUP(AA42,'G-3 Multipliers'!$L$3:$N$6,2,FALSE)))</f>
        <v/>
      </c>
      <c r="AC42" s="314" t="str">
        <f>IF(AA42="","",IF(VLOOKUP(AA42,'G-3 Multipliers'!$L$3:$N$6,3,FALSE)=0,"Spatial Data Missing ⚠",VLOOKUP(AA42,'G-3 Multipliers'!$L$3:$N$6,3,FALSE)))</f>
        <v/>
      </c>
      <c r="AD42" s="327" t="str">
        <f t="shared" si="3"/>
        <v/>
      </c>
      <c r="AE42" s="47"/>
      <c r="AF42" s="47"/>
      <c r="AG42" s="298" t="str">
        <f t="shared" si="4"/>
        <v/>
      </c>
      <c r="AH42" s="311" t="str">
        <f t="shared" si="5"/>
        <v/>
      </c>
      <c r="AI42" s="312" t="str">
        <f>IF(AH42="Check Data","Check Data",IFERROR(VLOOKUP(AH42,'G-4 Temporal multipliers'!$A$4:$C$36,3,FALSE),""))</f>
        <v/>
      </c>
      <c r="AJ42" s="290" t="str">
        <f>IF(S42="","",VLOOKUP(S42,'G-3 Multipliers'!$A$2:$E$134,4,FALSE))</f>
        <v/>
      </c>
      <c r="AK42" s="298" t="str">
        <f t="shared" si="6"/>
        <v/>
      </c>
      <c r="AL42" s="298" t="str">
        <f t="shared" si="7"/>
        <v/>
      </c>
      <c r="AM42" s="328" t="str">
        <f>IFERROR(IF(F42="","",IF(AH42="Check Data ⚠","Check Data ⚠",VLOOKUP(AL42, 'G-3 Multipliers'!$P$2:$Q$6,2,FALSE))),"")</f>
        <v/>
      </c>
      <c r="AN42" s="304" t="str">
        <f t="shared" si="8"/>
        <v/>
      </c>
      <c r="AO42" s="163"/>
      <c r="AP42" s="164"/>
      <c r="AQ42" s="101"/>
      <c r="AT42" s="20" t="str">
        <f t="shared" si="9"/>
        <v>No</v>
      </c>
      <c r="AU42" s="20" t="str">
        <f>IF(E42="","",IF(ISNA(VLOOKUP($E42,'A-1 On-Site Habitat Baseline'!$D$1:$AV$258,4,FALSE)),"",(VLOOKUP($E42,'A-1 On-Site Habitat Baseline'!$D$1:$AV$258,4,FALSE))))</f>
        <v/>
      </c>
    </row>
    <row r="43" spans="1:47" x14ac:dyDescent="0.3">
      <c r="A43" s="20" t="str">
        <f>IF(E43="","",IF(ISNA(VLOOKUP($E43,'A-1 On-Site Habitat Baseline'!$D$1:$O$258,2,FALSE)),"",(VLOOKUP($E43,'A-1 On-Site Habitat Baseline'!$D$1:$O$258,2,FALSE))))</f>
        <v/>
      </c>
      <c r="B43" s="20" t="str">
        <f>IF(E43="","",IF(ISNA(VLOOKUP($E43,'A-1 On-Site Habitat Baseline'!$D$1:$O$258,3,FALSE)),"",(VLOOKUP($E43,'A-1 On-Site Habitat Baseline'!$D$1:$O$258,3,FALSE))))</f>
        <v/>
      </c>
      <c r="C43" s="20" t="str">
        <f>IFERROR(INDEX('G-8 Condition Look up'!$I$4:$I$135,MATCH(S43,'G-8 Condition Look up'!$A$4:$A$135,0)),"")</f>
        <v/>
      </c>
      <c r="E43" s="319" t="str">
        <f>'A-1 On-Site Habitat Baseline'!AL42</f>
        <v/>
      </c>
      <c r="F43" s="310" t="str">
        <f>IF(E43="","",IF(ISNA(VLOOKUP($E43,'A-1 On-Site Habitat Baseline'!$D$1:$AV$258,45,FALSE)),"",(VLOOKUP($E43,'A-1 On-Site Habitat Baseline'!$D$1:$AV$258,45,FALSE))))</f>
        <v/>
      </c>
      <c r="G43" s="310" t="str">
        <f>IF(E43="","",IF(ISNA(VLOOKUP($E43,'A-1 On-Site Habitat Baseline'!$D$1:$O$258,5,FALSE)),"",(VLOOKUP($E43,'A-1 On-Site Habitat Baseline'!$D$1:$O$258,5,FALSE))))</f>
        <v/>
      </c>
      <c r="H43" s="310" t="str">
        <f>IF(E43="","",IF(ISNA(VLOOKUP($E43,'A-1 On-Site Habitat Baseline'!$D$1:$O$258,6,FALSE)),"",(VLOOKUP($E43,'A-1 On-Site Habitat Baseline'!$D$1:$O$258,6,FALSE))))</f>
        <v/>
      </c>
      <c r="I43" s="310" t="str">
        <f>IF(E43="","",IF(ISNA(VLOOKUP($E43,'A-1 On-Site Habitat Baseline'!$D$1:$O$258,7,FALSE)),"",(VLOOKUP($E43,'A-1 On-Site Habitat Baseline'!$D$1:$O$258,7,FALSE))))</f>
        <v/>
      </c>
      <c r="J43" s="310" t="str">
        <f>IF(E43="","",IF(ISNA(VLOOKUP($E43,'A-1 On-Site Habitat Baseline'!$D$1:$O$258,8,FALSE)),"",(VLOOKUP($E43,'A-1 On-Site Habitat Baseline'!$D$1:$O$258,8,FALSE))))</f>
        <v/>
      </c>
      <c r="K43" s="310" t="str">
        <f>IF(E43="","",IF(ISNA(VLOOKUP($E43,'A-1 On-Site Habitat Baseline'!$D$1:$O$258,9,FALSE)),"",(VLOOKUP($E43,'A-1 On-Site Habitat Baseline'!$D$1:$O$258,9,FALSE))))</f>
        <v/>
      </c>
      <c r="L43" s="310" t="str">
        <f>IF(E43="","",IF(ISNA(VLOOKUP($E43,'A-1 On-Site Habitat Baseline'!$D$1:$O$258,11,FALSE)),"",(VLOOKUP($E43,'A-1 On-Site Habitat Baseline'!$D$1:$O$258,11,FALSE))))</f>
        <v/>
      </c>
      <c r="M43" s="310" t="str">
        <f>IF(E43="","",IF(ISNA(VLOOKUP($E43,'A-1 On-Site Habitat Baseline'!$D$1:$O$258,12,FALSE)),"",(VLOOKUP($E43,'A-1 On-Site Habitat Baseline'!$D$1:$O$258,12,FALSE))))</f>
        <v/>
      </c>
      <c r="N43" s="320" t="str">
        <f>IF(E43="","",IF(ISNA(VLOOKUP($E43,'A-1 On-Site Habitat Baseline'!$D$1:$X$258,14,FALSE)),"",(VLOOKUP($E43,'A-1 On-Site Habitat Baseline'!$D$1:$X$258,14,FALSE))))</f>
        <v/>
      </c>
      <c r="O43" s="314" t="str">
        <f>IF(E43="","",IF(ISNA(VLOOKUP($E43,'A-1 On-Site Habitat Baseline'!$D$1:$X$258,16,FALSE)),"",(VLOOKUP($E43,'A-1 On-Site Habitat Baseline'!$D$1:$X$258,13,FALSE))))</f>
        <v/>
      </c>
      <c r="P43" s="161" t="str">
        <f>IFERROR(INDEX('G-1 All Habitats'!$AG$49:$AG$63,MATCH(Q43,'G-1 All Habitats'!$AF$27:$AF$41,0)),"")</f>
        <v/>
      </c>
      <c r="Q43" s="162" t="str">
        <f t="shared" si="0"/>
        <v/>
      </c>
      <c r="R43" s="162"/>
      <c r="S43" s="252" t="str">
        <f>IFERROR(INDEX('G-1 All Habitats'!$B$3:$B$135,MATCH(R43,'G-1 All Habitats'!$A$3:$A$135,0)),"")</f>
        <v/>
      </c>
      <c r="T43" s="290" t="str">
        <f t="shared" si="1"/>
        <v/>
      </c>
      <c r="U43" s="291" t="str">
        <f t="shared" si="10"/>
        <v/>
      </c>
      <c r="V43" s="325" t="str">
        <f t="shared" si="2"/>
        <v/>
      </c>
      <c r="W43" s="310" t="str">
        <f>IF(S43="","",VLOOKUP(S43,'G-1 All Habitats'!$B$2:$M$135,10,FALSE))</f>
        <v/>
      </c>
      <c r="X43" s="310" t="str">
        <f>IFERROR(VLOOKUP(W43,'G-1 All Habitats'!$V$3:$W$7,2,FALSE),"")</f>
        <v/>
      </c>
      <c r="Y43" s="45"/>
      <c r="Z43" s="314" t="str">
        <f>IFERROR(INDEX('G-8 Condition Look up'!$A$3:$H$135,MATCH(S43,'G-8 Condition Look up'!$A$3:$A$135,0),MATCH(Y43,'G-8 Condition Look up'!$A$3:$H$3,0)),"")</f>
        <v/>
      </c>
      <c r="AA43" s="38"/>
      <c r="AB43" s="310" t="str">
        <f>IF(AA43="","",IF(VLOOKUP(AA43,'G-3 Multipliers'!$L$3:$N$6,2,FALSE)=0,"Spatial Data Missing ⚠",VLOOKUP(AA43,'G-3 Multipliers'!$L$3:$N$6,2,FALSE)))</f>
        <v/>
      </c>
      <c r="AC43" s="314" t="str">
        <f>IF(AA43="","",IF(VLOOKUP(AA43,'G-3 Multipliers'!$L$3:$N$6,3,FALSE)=0,"Spatial Data Missing ⚠",VLOOKUP(AA43,'G-3 Multipliers'!$L$3:$N$6,3,FALSE)))</f>
        <v/>
      </c>
      <c r="AD43" s="327" t="str">
        <f t="shared" si="3"/>
        <v/>
      </c>
      <c r="AE43" s="47"/>
      <c r="AF43" s="47"/>
      <c r="AG43" s="298" t="str">
        <f t="shared" si="4"/>
        <v/>
      </c>
      <c r="AH43" s="311" t="str">
        <f t="shared" si="5"/>
        <v/>
      </c>
      <c r="AI43" s="312" t="str">
        <f>IF(AH43="Check Data","Check Data",IFERROR(VLOOKUP(AH43,'G-4 Temporal multipliers'!$A$4:$C$36,3,FALSE),""))</f>
        <v/>
      </c>
      <c r="AJ43" s="290" t="str">
        <f>IF(S43="","",VLOOKUP(S43,'G-3 Multipliers'!$A$2:$E$134,4,FALSE))</f>
        <v/>
      </c>
      <c r="AK43" s="298" t="str">
        <f t="shared" si="6"/>
        <v/>
      </c>
      <c r="AL43" s="298" t="str">
        <f t="shared" si="7"/>
        <v/>
      </c>
      <c r="AM43" s="328" t="str">
        <f>IFERROR(IF(F43="","",IF(AH43="Check Data ⚠","Check Data ⚠",VLOOKUP(AL43, 'G-3 Multipliers'!$P$2:$Q$6,2,FALSE))),"")</f>
        <v/>
      </c>
      <c r="AN43" s="304" t="str">
        <f t="shared" si="8"/>
        <v/>
      </c>
      <c r="AO43" s="163"/>
      <c r="AP43" s="164"/>
      <c r="AQ43" s="101"/>
      <c r="AT43" s="20" t="str">
        <f t="shared" si="9"/>
        <v>No</v>
      </c>
      <c r="AU43" s="20" t="str">
        <f>IF(E43="","",IF(ISNA(VLOOKUP($E43,'A-1 On-Site Habitat Baseline'!$D$1:$AV$258,4,FALSE)),"",(VLOOKUP($E43,'A-1 On-Site Habitat Baseline'!$D$1:$AV$258,4,FALSE))))</f>
        <v/>
      </c>
    </row>
    <row r="44" spans="1:47" x14ac:dyDescent="0.3">
      <c r="A44" s="20" t="str">
        <f>IF(E44="","",IF(ISNA(VLOOKUP($E44,'A-1 On-Site Habitat Baseline'!$D$1:$O$258,2,FALSE)),"",(VLOOKUP($E44,'A-1 On-Site Habitat Baseline'!$D$1:$O$258,2,FALSE))))</f>
        <v/>
      </c>
      <c r="B44" s="20" t="str">
        <f>IF(E44="","",IF(ISNA(VLOOKUP($E44,'A-1 On-Site Habitat Baseline'!$D$1:$O$258,3,FALSE)),"",(VLOOKUP($E44,'A-1 On-Site Habitat Baseline'!$D$1:$O$258,3,FALSE))))</f>
        <v/>
      </c>
      <c r="C44" s="20" t="str">
        <f>IFERROR(INDEX('G-8 Condition Look up'!$I$4:$I$135,MATCH(S44,'G-8 Condition Look up'!$A$4:$A$135,0)),"")</f>
        <v/>
      </c>
      <c r="E44" s="319" t="str">
        <f>'A-1 On-Site Habitat Baseline'!AL43</f>
        <v/>
      </c>
      <c r="F44" s="310" t="str">
        <f>IF(E44="","",IF(ISNA(VLOOKUP($E44,'A-1 On-Site Habitat Baseline'!$D$1:$AV$258,45,FALSE)),"",(VLOOKUP($E44,'A-1 On-Site Habitat Baseline'!$D$1:$AV$258,45,FALSE))))</f>
        <v/>
      </c>
      <c r="G44" s="310" t="str">
        <f>IF(E44="","",IF(ISNA(VLOOKUP($E44,'A-1 On-Site Habitat Baseline'!$D$1:$O$258,5,FALSE)),"",(VLOOKUP($E44,'A-1 On-Site Habitat Baseline'!$D$1:$O$258,5,FALSE))))</f>
        <v/>
      </c>
      <c r="H44" s="310" t="str">
        <f>IF(E44="","",IF(ISNA(VLOOKUP($E44,'A-1 On-Site Habitat Baseline'!$D$1:$O$258,6,FALSE)),"",(VLOOKUP($E44,'A-1 On-Site Habitat Baseline'!$D$1:$O$258,6,FALSE))))</f>
        <v/>
      </c>
      <c r="I44" s="310" t="str">
        <f>IF(E44="","",IF(ISNA(VLOOKUP($E44,'A-1 On-Site Habitat Baseline'!$D$1:$O$258,7,FALSE)),"",(VLOOKUP($E44,'A-1 On-Site Habitat Baseline'!$D$1:$O$258,7,FALSE))))</f>
        <v/>
      </c>
      <c r="J44" s="310" t="str">
        <f>IF(E44="","",IF(ISNA(VLOOKUP($E44,'A-1 On-Site Habitat Baseline'!$D$1:$O$258,8,FALSE)),"",(VLOOKUP($E44,'A-1 On-Site Habitat Baseline'!$D$1:$O$258,8,FALSE))))</f>
        <v/>
      </c>
      <c r="K44" s="310" t="str">
        <f>IF(E44="","",IF(ISNA(VLOOKUP($E44,'A-1 On-Site Habitat Baseline'!$D$1:$O$258,9,FALSE)),"",(VLOOKUP($E44,'A-1 On-Site Habitat Baseline'!$D$1:$O$258,9,FALSE))))</f>
        <v/>
      </c>
      <c r="L44" s="310" t="str">
        <f>IF(E44="","",IF(ISNA(VLOOKUP($E44,'A-1 On-Site Habitat Baseline'!$D$1:$O$258,11,FALSE)),"",(VLOOKUP($E44,'A-1 On-Site Habitat Baseline'!$D$1:$O$258,11,FALSE))))</f>
        <v/>
      </c>
      <c r="M44" s="310" t="str">
        <f>IF(E44="","",IF(ISNA(VLOOKUP($E44,'A-1 On-Site Habitat Baseline'!$D$1:$O$258,12,FALSE)),"",(VLOOKUP($E44,'A-1 On-Site Habitat Baseline'!$D$1:$O$258,12,FALSE))))</f>
        <v/>
      </c>
      <c r="N44" s="320" t="str">
        <f>IF(E44="","",IF(ISNA(VLOOKUP($E44,'A-1 On-Site Habitat Baseline'!$D$1:$X$258,14,FALSE)),"",(VLOOKUP($E44,'A-1 On-Site Habitat Baseline'!$D$1:$X$258,14,FALSE))))</f>
        <v/>
      </c>
      <c r="O44" s="314" t="str">
        <f>IF(E44="","",IF(ISNA(VLOOKUP($E44,'A-1 On-Site Habitat Baseline'!$D$1:$X$258,16,FALSE)),"",(VLOOKUP($E44,'A-1 On-Site Habitat Baseline'!$D$1:$X$258,13,FALSE))))</f>
        <v/>
      </c>
      <c r="P44" s="161" t="str">
        <f>IFERROR(INDEX('G-1 All Habitats'!$AG$49:$AG$63,MATCH(Q44,'G-1 All Habitats'!$AF$27:$AF$41,0)),"")</f>
        <v/>
      </c>
      <c r="Q44" s="162" t="str">
        <f t="shared" si="0"/>
        <v/>
      </c>
      <c r="R44" s="162"/>
      <c r="S44" s="252" t="str">
        <f>IFERROR(INDEX('G-1 All Habitats'!$B$3:$B$135,MATCH(R44,'G-1 All Habitats'!$A$3:$A$135,0)),"")</f>
        <v/>
      </c>
      <c r="T44" s="290" t="str">
        <f t="shared" si="1"/>
        <v/>
      </c>
      <c r="U44" s="291" t="str">
        <f t="shared" si="10"/>
        <v/>
      </c>
      <c r="V44" s="325" t="str">
        <f t="shared" si="2"/>
        <v/>
      </c>
      <c r="W44" s="310" t="str">
        <f>IF(S44="","",VLOOKUP(S44,'G-1 All Habitats'!$B$2:$M$135,10,FALSE))</f>
        <v/>
      </c>
      <c r="X44" s="310" t="str">
        <f>IFERROR(VLOOKUP(W44,'G-1 All Habitats'!$V$3:$W$7,2,FALSE),"")</f>
        <v/>
      </c>
      <c r="Y44" s="45"/>
      <c r="Z44" s="314" t="str">
        <f>IFERROR(INDEX('G-8 Condition Look up'!$A$3:$H$135,MATCH(S44,'G-8 Condition Look up'!$A$3:$A$135,0),MATCH(Y44,'G-8 Condition Look up'!$A$3:$H$3,0)),"")</f>
        <v/>
      </c>
      <c r="AA44" s="38"/>
      <c r="AB44" s="310" t="str">
        <f>IF(AA44="","",IF(VLOOKUP(AA44,'G-3 Multipliers'!$L$3:$N$6,2,FALSE)=0,"Spatial Data Missing ⚠",VLOOKUP(AA44,'G-3 Multipliers'!$L$3:$N$6,2,FALSE)))</f>
        <v/>
      </c>
      <c r="AC44" s="314" t="str">
        <f>IF(AA44="","",IF(VLOOKUP(AA44,'G-3 Multipliers'!$L$3:$N$6,3,FALSE)=0,"Spatial Data Missing ⚠",VLOOKUP(AA44,'G-3 Multipliers'!$L$3:$N$6,3,FALSE)))</f>
        <v/>
      </c>
      <c r="AD44" s="327" t="str">
        <f t="shared" si="3"/>
        <v/>
      </c>
      <c r="AE44" s="47"/>
      <c r="AF44" s="47"/>
      <c r="AG44" s="298" t="str">
        <f t="shared" si="4"/>
        <v/>
      </c>
      <c r="AH44" s="311" t="str">
        <f t="shared" si="5"/>
        <v/>
      </c>
      <c r="AI44" s="312" t="str">
        <f>IF(AH44="Check Data","Check Data",IFERROR(VLOOKUP(AH44,'G-4 Temporal multipliers'!$A$4:$C$36,3,FALSE),""))</f>
        <v/>
      </c>
      <c r="AJ44" s="290" t="str">
        <f>IF(S44="","",VLOOKUP(S44,'G-3 Multipliers'!$A$2:$E$134,4,FALSE))</f>
        <v/>
      </c>
      <c r="AK44" s="298" t="str">
        <f t="shared" si="6"/>
        <v/>
      </c>
      <c r="AL44" s="298" t="str">
        <f t="shared" si="7"/>
        <v/>
      </c>
      <c r="AM44" s="328" t="str">
        <f>IFERROR(IF(F44="","",IF(AH44="Check Data ⚠","Check Data ⚠",VLOOKUP(AL44, 'G-3 Multipliers'!$P$2:$Q$6,2,FALSE))),"")</f>
        <v/>
      </c>
      <c r="AN44" s="304" t="str">
        <f t="shared" si="8"/>
        <v/>
      </c>
      <c r="AO44" s="163"/>
      <c r="AP44" s="164"/>
      <c r="AQ44" s="101"/>
      <c r="AT44" s="20" t="str">
        <f t="shared" si="9"/>
        <v>No</v>
      </c>
      <c r="AU44" s="20" t="str">
        <f>IF(E44="","",IF(ISNA(VLOOKUP($E44,'A-1 On-Site Habitat Baseline'!$D$1:$AV$258,4,FALSE)),"",(VLOOKUP($E44,'A-1 On-Site Habitat Baseline'!$D$1:$AV$258,4,FALSE))))</f>
        <v/>
      </c>
    </row>
    <row r="45" spans="1:47" x14ac:dyDescent="0.3">
      <c r="A45" s="20" t="str">
        <f>IF(E45="","",IF(ISNA(VLOOKUP($E45,'A-1 On-Site Habitat Baseline'!$D$1:$O$258,2,FALSE)),"",(VLOOKUP($E45,'A-1 On-Site Habitat Baseline'!$D$1:$O$258,2,FALSE))))</f>
        <v/>
      </c>
      <c r="B45" s="20" t="str">
        <f>IF(E45="","",IF(ISNA(VLOOKUP($E45,'A-1 On-Site Habitat Baseline'!$D$1:$O$258,3,FALSE)),"",(VLOOKUP($E45,'A-1 On-Site Habitat Baseline'!$D$1:$O$258,3,FALSE))))</f>
        <v/>
      </c>
      <c r="C45" s="20" t="str">
        <f>IFERROR(INDEX('G-8 Condition Look up'!$I$4:$I$135,MATCH(S45,'G-8 Condition Look up'!$A$4:$A$135,0)),"")</f>
        <v/>
      </c>
      <c r="E45" s="319" t="str">
        <f>'A-1 On-Site Habitat Baseline'!AL44</f>
        <v/>
      </c>
      <c r="F45" s="310" t="str">
        <f>IF(E45="","",IF(ISNA(VLOOKUP($E45,'A-1 On-Site Habitat Baseline'!$D$1:$AV$258,45,FALSE)),"",(VLOOKUP($E45,'A-1 On-Site Habitat Baseline'!$D$1:$AV$258,45,FALSE))))</f>
        <v/>
      </c>
      <c r="G45" s="310" t="str">
        <f>IF(E45="","",IF(ISNA(VLOOKUP($E45,'A-1 On-Site Habitat Baseline'!$D$1:$O$258,5,FALSE)),"",(VLOOKUP($E45,'A-1 On-Site Habitat Baseline'!$D$1:$O$258,5,FALSE))))</f>
        <v/>
      </c>
      <c r="H45" s="310" t="str">
        <f>IF(E45="","",IF(ISNA(VLOOKUP($E45,'A-1 On-Site Habitat Baseline'!$D$1:$O$258,6,FALSE)),"",(VLOOKUP($E45,'A-1 On-Site Habitat Baseline'!$D$1:$O$258,6,FALSE))))</f>
        <v/>
      </c>
      <c r="I45" s="310" t="str">
        <f>IF(E45="","",IF(ISNA(VLOOKUP($E45,'A-1 On-Site Habitat Baseline'!$D$1:$O$258,7,FALSE)),"",(VLOOKUP($E45,'A-1 On-Site Habitat Baseline'!$D$1:$O$258,7,FALSE))))</f>
        <v/>
      </c>
      <c r="J45" s="310" t="str">
        <f>IF(E45="","",IF(ISNA(VLOOKUP($E45,'A-1 On-Site Habitat Baseline'!$D$1:$O$258,8,FALSE)),"",(VLOOKUP($E45,'A-1 On-Site Habitat Baseline'!$D$1:$O$258,8,FALSE))))</f>
        <v/>
      </c>
      <c r="K45" s="310" t="str">
        <f>IF(E45="","",IF(ISNA(VLOOKUP($E45,'A-1 On-Site Habitat Baseline'!$D$1:$O$258,9,FALSE)),"",(VLOOKUP($E45,'A-1 On-Site Habitat Baseline'!$D$1:$O$258,9,FALSE))))</f>
        <v/>
      </c>
      <c r="L45" s="310" t="str">
        <f>IF(E45="","",IF(ISNA(VLOOKUP($E45,'A-1 On-Site Habitat Baseline'!$D$1:$O$258,11,FALSE)),"",(VLOOKUP($E45,'A-1 On-Site Habitat Baseline'!$D$1:$O$258,11,FALSE))))</f>
        <v/>
      </c>
      <c r="M45" s="310" t="str">
        <f>IF(E45="","",IF(ISNA(VLOOKUP($E45,'A-1 On-Site Habitat Baseline'!$D$1:$O$258,12,FALSE)),"",(VLOOKUP($E45,'A-1 On-Site Habitat Baseline'!$D$1:$O$258,12,FALSE))))</f>
        <v/>
      </c>
      <c r="N45" s="320" t="str">
        <f>IF(E45="","",IF(ISNA(VLOOKUP($E45,'A-1 On-Site Habitat Baseline'!$D$1:$X$258,14,FALSE)),"",(VLOOKUP($E45,'A-1 On-Site Habitat Baseline'!$D$1:$X$258,14,FALSE))))</f>
        <v/>
      </c>
      <c r="O45" s="314" t="str">
        <f>IF(E45="","",IF(ISNA(VLOOKUP($E45,'A-1 On-Site Habitat Baseline'!$D$1:$X$258,16,FALSE)),"",(VLOOKUP($E45,'A-1 On-Site Habitat Baseline'!$D$1:$X$258,13,FALSE))))</f>
        <v/>
      </c>
      <c r="P45" s="161" t="str">
        <f>IFERROR(INDEX('G-1 All Habitats'!$AG$49:$AG$63,MATCH(Q45,'G-1 All Habitats'!$AF$27:$AF$41,0)),"")</f>
        <v/>
      </c>
      <c r="Q45" s="162" t="str">
        <f t="shared" si="0"/>
        <v/>
      </c>
      <c r="R45" s="162"/>
      <c r="S45" s="252" t="str">
        <f>IFERROR(INDEX('G-1 All Habitats'!$B$3:$B$135,MATCH(R45,'G-1 All Habitats'!$A$3:$A$135,0)),"")</f>
        <v/>
      </c>
      <c r="T45" s="290" t="str">
        <f t="shared" si="1"/>
        <v/>
      </c>
      <c r="U45" s="291" t="str">
        <f t="shared" si="10"/>
        <v/>
      </c>
      <c r="V45" s="325" t="str">
        <f t="shared" si="2"/>
        <v/>
      </c>
      <c r="W45" s="310" t="str">
        <f>IF(S45="","",VLOOKUP(S45,'G-1 All Habitats'!$B$2:$M$135,10,FALSE))</f>
        <v/>
      </c>
      <c r="X45" s="310" t="str">
        <f>IFERROR(VLOOKUP(W45,'G-1 All Habitats'!$V$3:$W$7,2,FALSE),"")</f>
        <v/>
      </c>
      <c r="Y45" s="45"/>
      <c r="Z45" s="314" t="str">
        <f>IFERROR(INDEX('G-8 Condition Look up'!$A$3:$H$135,MATCH(S45,'G-8 Condition Look up'!$A$3:$A$135,0),MATCH(Y45,'G-8 Condition Look up'!$A$3:$H$3,0)),"")</f>
        <v/>
      </c>
      <c r="AA45" s="38"/>
      <c r="AB45" s="310" t="str">
        <f>IF(AA45="","",IF(VLOOKUP(AA45,'G-3 Multipliers'!$L$3:$N$6,2,FALSE)=0,"Spatial Data Missing ⚠",VLOOKUP(AA45,'G-3 Multipliers'!$L$3:$N$6,2,FALSE)))</f>
        <v/>
      </c>
      <c r="AC45" s="314" t="str">
        <f>IF(AA45="","",IF(VLOOKUP(AA45,'G-3 Multipliers'!$L$3:$N$6,3,FALSE)=0,"Spatial Data Missing ⚠",VLOOKUP(AA45,'G-3 Multipliers'!$L$3:$N$6,3,FALSE)))</f>
        <v/>
      </c>
      <c r="AD45" s="327" t="str">
        <f t="shared" si="3"/>
        <v/>
      </c>
      <c r="AE45" s="47"/>
      <c r="AF45" s="47"/>
      <c r="AG45" s="298" t="str">
        <f t="shared" si="4"/>
        <v/>
      </c>
      <c r="AH45" s="311" t="str">
        <f t="shared" si="5"/>
        <v/>
      </c>
      <c r="AI45" s="312" t="str">
        <f>IF(AH45="Check Data","Check Data",IFERROR(VLOOKUP(AH45,'G-4 Temporal multipliers'!$A$4:$C$36,3,FALSE),""))</f>
        <v/>
      </c>
      <c r="AJ45" s="290" t="str">
        <f>IF(S45="","",VLOOKUP(S45,'G-3 Multipliers'!$A$2:$E$134,4,FALSE))</f>
        <v/>
      </c>
      <c r="AK45" s="298" t="str">
        <f t="shared" si="6"/>
        <v/>
      </c>
      <c r="AL45" s="298" t="str">
        <f t="shared" si="7"/>
        <v/>
      </c>
      <c r="AM45" s="328" t="str">
        <f>IFERROR(IF(F45="","",IF(AH45="Check Data ⚠","Check Data ⚠",VLOOKUP(AL45, 'G-3 Multipliers'!$P$2:$Q$6,2,FALSE))),"")</f>
        <v/>
      </c>
      <c r="AN45" s="304" t="str">
        <f t="shared" si="8"/>
        <v/>
      </c>
      <c r="AO45" s="163"/>
      <c r="AP45" s="164"/>
      <c r="AQ45" s="101"/>
      <c r="AT45" s="20" t="str">
        <f t="shared" si="9"/>
        <v>No</v>
      </c>
      <c r="AU45" s="20" t="str">
        <f>IF(E45="","",IF(ISNA(VLOOKUP($E45,'A-1 On-Site Habitat Baseline'!$D$1:$AV$258,4,FALSE)),"",(VLOOKUP($E45,'A-1 On-Site Habitat Baseline'!$D$1:$AV$258,4,FALSE))))</f>
        <v/>
      </c>
    </row>
    <row r="46" spans="1:47" x14ac:dyDescent="0.3">
      <c r="A46" s="20" t="str">
        <f>IF(E46="","",IF(ISNA(VLOOKUP($E46,'A-1 On-Site Habitat Baseline'!$D$1:$O$258,2,FALSE)),"",(VLOOKUP($E46,'A-1 On-Site Habitat Baseline'!$D$1:$O$258,2,FALSE))))</f>
        <v/>
      </c>
      <c r="B46" s="20" t="str">
        <f>IF(E46="","",IF(ISNA(VLOOKUP($E46,'A-1 On-Site Habitat Baseline'!$D$1:$O$258,3,FALSE)),"",(VLOOKUP($E46,'A-1 On-Site Habitat Baseline'!$D$1:$O$258,3,FALSE))))</f>
        <v/>
      </c>
      <c r="C46" s="20" t="str">
        <f>IFERROR(INDEX('G-8 Condition Look up'!$I$4:$I$135,MATCH(S46,'G-8 Condition Look up'!$A$4:$A$135,0)),"")</f>
        <v/>
      </c>
      <c r="E46" s="319" t="str">
        <f>'A-1 On-Site Habitat Baseline'!AL45</f>
        <v/>
      </c>
      <c r="F46" s="310" t="str">
        <f>IF(E46="","",IF(ISNA(VLOOKUP($E46,'A-1 On-Site Habitat Baseline'!$D$1:$AV$258,45,FALSE)),"",(VLOOKUP($E46,'A-1 On-Site Habitat Baseline'!$D$1:$AV$258,45,FALSE))))</f>
        <v/>
      </c>
      <c r="G46" s="310" t="str">
        <f>IF(E46="","",IF(ISNA(VLOOKUP($E46,'A-1 On-Site Habitat Baseline'!$D$1:$O$258,5,FALSE)),"",(VLOOKUP($E46,'A-1 On-Site Habitat Baseline'!$D$1:$O$258,5,FALSE))))</f>
        <v/>
      </c>
      <c r="H46" s="310" t="str">
        <f>IF(E46="","",IF(ISNA(VLOOKUP($E46,'A-1 On-Site Habitat Baseline'!$D$1:$O$258,6,FALSE)),"",(VLOOKUP($E46,'A-1 On-Site Habitat Baseline'!$D$1:$O$258,6,FALSE))))</f>
        <v/>
      </c>
      <c r="I46" s="310" t="str">
        <f>IF(E46="","",IF(ISNA(VLOOKUP($E46,'A-1 On-Site Habitat Baseline'!$D$1:$O$258,7,FALSE)),"",(VLOOKUP($E46,'A-1 On-Site Habitat Baseline'!$D$1:$O$258,7,FALSE))))</f>
        <v/>
      </c>
      <c r="J46" s="310" t="str">
        <f>IF(E46="","",IF(ISNA(VLOOKUP($E46,'A-1 On-Site Habitat Baseline'!$D$1:$O$258,8,FALSE)),"",(VLOOKUP($E46,'A-1 On-Site Habitat Baseline'!$D$1:$O$258,8,FALSE))))</f>
        <v/>
      </c>
      <c r="K46" s="310" t="str">
        <f>IF(E46="","",IF(ISNA(VLOOKUP($E46,'A-1 On-Site Habitat Baseline'!$D$1:$O$258,9,FALSE)),"",(VLOOKUP($E46,'A-1 On-Site Habitat Baseline'!$D$1:$O$258,9,FALSE))))</f>
        <v/>
      </c>
      <c r="L46" s="310" t="str">
        <f>IF(E46="","",IF(ISNA(VLOOKUP($E46,'A-1 On-Site Habitat Baseline'!$D$1:$O$258,11,FALSE)),"",(VLOOKUP($E46,'A-1 On-Site Habitat Baseline'!$D$1:$O$258,11,FALSE))))</f>
        <v/>
      </c>
      <c r="M46" s="310" t="str">
        <f>IF(E46="","",IF(ISNA(VLOOKUP($E46,'A-1 On-Site Habitat Baseline'!$D$1:$O$258,12,FALSE)),"",(VLOOKUP($E46,'A-1 On-Site Habitat Baseline'!$D$1:$O$258,12,FALSE))))</f>
        <v/>
      </c>
      <c r="N46" s="320" t="str">
        <f>IF(E46="","",IF(ISNA(VLOOKUP($E46,'A-1 On-Site Habitat Baseline'!$D$1:$X$258,14,FALSE)),"",(VLOOKUP($E46,'A-1 On-Site Habitat Baseline'!$D$1:$X$258,14,FALSE))))</f>
        <v/>
      </c>
      <c r="O46" s="314" t="str">
        <f>IF(E46="","",IF(ISNA(VLOOKUP($E46,'A-1 On-Site Habitat Baseline'!$D$1:$X$258,16,FALSE)),"",(VLOOKUP($E46,'A-1 On-Site Habitat Baseline'!$D$1:$X$258,13,FALSE))))</f>
        <v/>
      </c>
      <c r="P46" s="161" t="str">
        <f>IFERROR(INDEX('G-1 All Habitats'!$AG$49:$AG$63,MATCH(Q46,'G-1 All Habitats'!$AF$27:$AF$41,0)),"")</f>
        <v/>
      </c>
      <c r="Q46" s="162" t="str">
        <f t="shared" si="0"/>
        <v/>
      </c>
      <c r="R46" s="162"/>
      <c r="S46" s="252" t="str">
        <f>IFERROR(INDEX('G-1 All Habitats'!$B$3:$B$135,MATCH(R46,'G-1 All Habitats'!$A$3:$A$135,0)),"")</f>
        <v/>
      </c>
      <c r="T46" s="290" t="str">
        <f t="shared" si="1"/>
        <v/>
      </c>
      <c r="U46" s="291" t="str">
        <f t="shared" si="10"/>
        <v/>
      </c>
      <c r="V46" s="325" t="str">
        <f t="shared" si="2"/>
        <v/>
      </c>
      <c r="W46" s="310" t="str">
        <f>IF(S46="","",VLOOKUP(S46,'G-1 All Habitats'!$B$2:$M$135,10,FALSE))</f>
        <v/>
      </c>
      <c r="X46" s="310" t="str">
        <f>IFERROR(VLOOKUP(W46,'G-1 All Habitats'!$V$3:$W$7,2,FALSE),"")</f>
        <v/>
      </c>
      <c r="Y46" s="45"/>
      <c r="Z46" s="314" t="str">
        <f>IFERROR(INDEX('G-8 Condition Look up'!$A$3:$H$135,MATCH(S46,'G-8 Condition Look up'!$A$3:$A$135,0),MATCH(Y46,'G-8 Condition Look up'!$A$3:$H$3,0)),"")</f>
        <v/>
      </c>
      <c r="AA46" s="38"/>
      <c r="AB46" s="310" t="str">
        <f>IF(AA46="","",IF(VLOOKUP(AA46,'G-3 Multipliers'!$L$3:$N$6,2,FALSE)=0,"Spatial Data Missing ⚠",VLOOKUP(AA46,'G-3 Multipliers'!$L$3:$N$6,2,FALSE)))</f>
        <v/>
      </c>
      <c r="AC46" s="314" t="str">
        <f>IF(AA46="","",IF(VLOOKUP(AA46,'G-3 Multipliers'!$L$3:$N$6,3,FALSE)=0,"Spatial Data Missing ⚠",VLOOKUP(AA46,'G-3 Multipliers'!$L$3:$N$6,3,FALSE)))</f>
        <v/>
      </c>
      <c r="AD46" s="327" t="str">
        <f t="shared" si="3"/>
        <v/>
      </c>
      <c r="AE46" s="47"/>
      <c r="AF46" s="47"/>
      <c r="AG46" s="298" t="str">
        <f t="shared" si="4"/>
        <v/>
      </c>
      <c r="AH46" s="311" t="str">
        <f t="shared" si="5"/>
        <v/>
      </c>
      <c r="AI46" s="312" t="str">
        <f>IF(AH46="Check Data","Check Data",IFERROR(VLOOKUP(AH46,'G-4 Temporal multipliers'!$A$4:$C$36,3,FALSE),""))</f>
        <v/>
      </c>
      <c r="AJ46" s="290" t="str">
        <f>IF(S46="","",VLOOKUP(S46,'G-3 Multipliers'!$A$2:$E$134,4,FALSE))</f>
        <v/>
      </c>
      <c r="AK46" s="298" t="str">
        <f t="shared" si="6"/>
        <v/>
      </c>
      <c r="AL46" s="298" t="str">
        <f t="shared" si="7"/>
        <v/>
      </c>
      <c r="AM46" s="328" t="str">
        <f>IFERROR(IF(F46="","",IF(AH46="Check Data ⚠","Check Data ⚠",VLOOKUP(AL46, 'G-3 Multipliers'!$P$2:$Q$6,2,FALSE))),"")</f>
        <v/>
      </c>
      <c r="AN46" s="304" t="str">
        <f t="shared" si="8"/>
        <v/>
      </c>
      <c r="AO46" s="163"/>
      <c r="AP46" s="164"/>
      <c r="AQ46" s="101"/>
      <c r="AT46" s="20" t="str">
        <f t="shared" si="9"/>
        <v>No</v>
      </c>
      <c r="AU46" s="20" t="str">
        <f>IF(E46="","",IF(ISNA(VLOOKUP($E46,'A-1 On-Site Habitat Baseline'!$D$1:$AV$258,4,FALSE)),"",(VLOOKUP($E46,'A-1 On-Site Habitat Baseline'!$D$1:$AV$258,4,FALSE))))</f>
        <v/>
      </c>
    </row>
    <row r="47" spans="1:47" x14ac:dyDescent="0.3">
      <c r="A47" s="20" t="str">
        <f>IF(E47="","",IF(ISNA(VLOOKUP($E47,'A-1 On-Site Habitat Baseline'!$D$1:$O$258,2,FALSE)),"",(VLOOKUP($E47,'A-1 On-Site Habitat Baseline'!$D$1:$O$258,2,FALSE))))</f>
        <v/>
      </c>
      <c r="B47" s="20" t="str">
        <f>IF(E47="","",IF(ISNA(VLOOKUP($E47,'A-1 On-Site Habitat Baseline'!$D$1:$O$258,3,FALSE)),"",(VLOOKUP($E47,'A-1 On-Site Habitat Baseline'!$D$1:$O$258,3,FALSE))))</f>
        <v/>
      </c>
      <c r="C47" s="20" t="str">
        <f>IFERROR(INDEX('G-8 Condition Look up'!$I$4:$I$135,MATCH(S47,'G-8 Condition Look up'!$A$4:$A$135,0)),"")</f>
        <v/>
      </c>
      <c r="E47" s="319" t="str">
        <f>'A-1 On-Site Habitat Baseline'!AL46</f>
        <v/>
      </c>
      <c r="F47" s="310" t="str">
        <f>IF(E47="","",IF(ISNA(VLOOKUP($E47,'A-1 On-Site Habitat Baseline'!$D$1:$AV$258,45,FALSE)),"",(VLOOKUP($E47,'A-1 On-Site Habitat Baseline'!$D$1:$AV$258,45,FALSE))))</f>
        <v/>
      </c>
      <c r="G47" s="310" t="str">
        <f>IF(E47="","",IF(ISNA(VLOOKUP($E47,'A-1 On-Site Habitat Baseline'!$D$1:$O$258,5,FALSE)),"",(VLOOKUP($E47,'A-1 On-Site Habitat Baseline'!$D$1:$O$258,5,FALSE))))</f>
        <v/>
      </c>
      <c r="H47" s="310" t="str">
        <f>IF(E47="","",IF(ISNA(VLOOKUP($E47,'A-1 On-Site Habitat Baseline'!$D$1:$O$258,6,FALSE)),"",(VLOOKUP($E47,'A-1 On-Site Habitat Baseline'!$D$1:$O$258,6,FALSE))))</f>
        <v/>
      </c>
      <c r="I47" s="310" t="str">
        <f>IF(E47="","",IF(ISNA(VLOOKUP($E47,'A-1 On-Site Habitat Baseline'!$D$1:$O$258,7,FALSE)),"",(VLOOKUP($E47,'A-1 On-Site Habitat Baseline'!$D$1:$O$258,7,FALSE))))</f>
        <v/>
      </c>
      <c r="J47" s="310" t="str">
        <f>IF(E47="","",IF(ISNA(VLOOKUP($E47,'A-1 On-Site Habitat Baseline'!$D$1:$O$258,8,FALSE)),"",(VLOOKUP($E47,'A-1 On-Site Habitat Baseline'!$D$1:$O$258,8,FALSE))))</f>
        <v/>
      </c>
      <c r="K47" s="310" t="str">
        <f>IF(E47="","",IF(ISNA(VLOOKUP($E47,'A-1 On-Site Habitat Baseline'!$D$1:$O$258,9,FALSE)),"",(VLOOKUP($E47,'A-1 On-Site Habitat Baseline'!$D$1:$O$258,9,FALSE))))</f>
        <v/>
      </c>
      <c r="L47" s="310" t="str">
        <f>IF(E47="","",IF(ISNA(VLOOKUP($E47,'A-1 On-Site Habitat Baseline'!$D$1:$O$258,11,FALSE)),"",(VLOOKUP($E47,'A-1 On-Site Habitat Baseline'!$D$1:$O$258,11,FALSE))))</f>
        <v/>
      </c>
      <c r="M47" s="310" t="str">
        <f>IF(E47="","",IF(ISNA(VLOOKUP($E47,'A-1 On-Site Habitat Baseline'!$D$1:$O$258,12,FALSE)),"",(VLOOKUP($E47,'A-1 On-Site Habitat Baseline'!$D$1:$O$258,12,FALSE))))</f>
        <v/>
      </c>
      <c r="N47" s="320" t="str">
        <f>IF(E47="","",IF(ISNA(VLOOKUP($E47,'A-1 On-Site Habitat Baseline'!$D$1:$X$258,14,FALSE)),"",(VLOOKUP($E47,'A-1 On-Site Habitat Baseline'!$D$1:$X$258,14,FALSE))))</f>
        <v/>
      </c>
      <c r="O47" s="314" t="str">
        <f>IF(E47="","",IF(ISNA(VLOOKUP($E47,'A-1 On-Site Habitat Baseline'!$D$1:$X$258,16,FALSE)),"",(VLOOKUP($E47,'A-1 On-Site Habitat Baseline'!$D$1:$X$258,13,FALSE))))</f>
        <v/>
      </c>
      <c r="P47" s="161" t="str">
        <f>IFERROR(INDEX('G-1 All Habitats'!$AG$49:$AG$63,MATCH(Q47,'G-1 All Habitats'!$AF$27:$AF$41,0)),"")</f>
        <v/>
      </c>
      <c r="Q47" s="162" t="str">
        <f t="shared" si="0"/>
        <v/>
      </c>
      <c r="R47" s="162"/>
      <c r="S47" s="252" t="str">
        <f>IFERROR(INDEX('G-1 All Habitats'!$B$3:$B$135,MATCH(R47,'G-1 All Habitats'!$A$3:$A$135,0)),"")</f>
        <v/>
      </c>
      <c r="T47" s="290" t="str">
        <f t="shared" si="1"/>
        <v/>
      </c>
      <c r="U47" s="291" t="str">
        <f t="shared" si="10"/>
        <v/>
      </c>
      <c r="V47" s="325" t="str">
        <f t="shared" si="2"/>
        <v/>
      </c>
      <c r="W47" s="310" t="str">
        <f>IF(S47="","",VLOOKUP(S47,'G-1 All Habitats'!$B$2:$M$135,10,FALSE))</f>
        <v/>
      </c>
      <c r="X47" s="310" t="str">
        <f>IFERROR(VLOOKUP(W47,'G-1 All Habitats'!$V$3:$W$7,2,FALSE),"")</f>
        <v/>
      </c>
      <c r="Y47" s="45"/>
      <c r="Z47" s="314" t="str">
        <f>IFERROR(INDEX('G-8 Condition Look up'!$A$3:$H$135,MATCH(S47,'G-8 Condition Look up'!$A$3:$A$135,0),MATCH(Y47,'G-8 Condition Look up'!$A$3:$H$3,0)),"")</f>
        <v/>
      </c>
      <c r="AA47" s="38"/>
      <c r="AB47" s="310" t="str">
        <f>IF(AA47="","",IF(VLOOKUP(AA47,'G-3 Multipliers'!$L$3:$N$6,2,FALSE)=0,"Spatial Data Missing ⚠",VLOOKUP(AA47,'G-3 Multipliers'!$L$3:$N$6,2,FALSE)))</f>
        <v/>
      </c>
      <c r="AC47" s="314" t="str">
        <f>IF(AA47="","",IF(VLOOKUP(AA47,'G-3 Multipliers'!$L$3:$N$6,3,FALSE)=0,"Spatial Data Missing ⚠",VLOOKUP(AA47,'G-3 Multipliers'!$L$3:$N$6,3,FALSE)))</f>
        <v/>
      </c>
      <c r="AD47" s="327" t="str">
        <f t="shared" si="3"/>
        <v/>
      </c>
      <c r="AE47" s="47"/>
      <c r="AF47" s="47"/>
      <c r="AG47" s="298" t="str">
        <f t="shared" si="4"/>
        <v/>
      </c>
      <c r="AH47" s="311" t="str">
        <f t="shared" si="5"/>
        <v/>
      </c>
      <c r="AI47" s="312" t="str">
        <f>IF(AH47="Check Data","Check Data",IFERROR(VLOOKUP(AH47,'G-4 Temporal multipliers'!$A$4:$C$36,3,FALSE),""))</f>
        <v/>
      </c>
      <c r="AJ47" s="290" t="str">
        <f>IF(S47="","",VLOOKUP(S47,'G-3 Multipliers'!$A$2:$E$134,4,FALSE))</f>
        <v/>
      </c>
      <c r="AK47" s="298" t="str">
        <f t="shared" si="6"/>
        <v/>
      </c>
      <c r="AL47" s="298" t="str">
        <f t="shared" si="7"/>
        <v/>
      </c>
      <c r="AM47" s="328" t="str">
        <f>IFERROR(IF(F47="","",IF(AH47="Check Data ⚠","Check Data ⚠",VLOOKUP(AL47, 'G-3 Multipliers'!$P$2:$Q$6,2,FALSE))),"")</f>
        <v/>
      </c>
      <c r="AN47" s="304" t="str">
        <f t="shared" si="8"/>
        <v/>
      </c>
      <c r="AO47" s="163"/>
      <c r="AP47" s="164"/>
      <c r="AQ47" s="101"/>
      <c r="AT47" s="20" t="str">
        <f t="shared" si="9"/>
        <v>No</v>
      </c>
      <c r="AU47" s="20" t="str">
        <f>IF(E47="","",IF(ISNA(VLOOKUP($E47,'A-1 On-Site Habitat Baseline'!$D$1:$AV$258,4,FALSE)),"",(VLOOKUP($E47,'A-1 On-Site Habitat Baseline'!$D$1:$AV$258,4,FALSE))))</f>
        <v/>
      </c>
    </row>
    <row r="48" spans="1:47" x14ac:dyDescent="0.3">
      <c r="A48" s="20" t="str">
        <f>IF(E48="","",IF(ISNA(VLOOKUP($E48,'A-1 On-Site Habitat Baseline'!$D$1:$O$258,2,FALSE)),"",(VLOOKUP($E48,'A-1 On-Site Habitat Baseline'!$D$1:$O$258,2,FALSE))))</f>
        <v/>
      </c>
      <c r="B48" s="20" t="str">
        <f>IF(E48="","",IF(ISNA(VLOOKUP($E48,'A-1 On-Site Habitat Baseline'!$D$1:$O$258,3,FALSE)),"",(VLOOKUP($E48,'A-1 On-Site Habitat Baseline'!$D$1:$O$258,3,FALSE))))</f>
        <v/>
      </c>
      <c r="C48" s="20" t="str">
        <f>IFERROR(INDEX('G-8 Condition Look up'!$I$4:$I$135,MATCH(S48,'G-8 Condition Look up'!$A$4:$A$135,0)),"")</f>
        <v/>
      </c>
      <c r="E48" s="319" t="str">
        <f>'A-1 On-Site Habitat Baseline'!AL47</f>
        <v/>
      </c>
      <c r="F48" s="310" t="str">
        <f>IF(E48="","",IF(ISNA(VLOOKUP($E48,'A-1 On-Site Habitat Baseline'!$D$1:$AV$258,45,FALSE)),"",(VLOOKUP($E48,'A-1 On-Site Habitat Baseline'!$D$1:$AV$258,45,FALSE))))</f>
        <v/>
      </c>
      <c r="G48" s="310" t="str">
        <f>IF(E48="","",IF(ISNA(VLOOKUP($E48,'A-1 On-Site Habitat Baseline'!$D$1:$O$258,5,FALSE)),"",(VLOOKUP($E48,'A-1 On-Site Habitat Baseline'!$D$1:$O$258,5,FALSE))))</f>
        <v/>
      </c>
      <c r="H48" s="310" t="str">
        <f>IF(E48="","",IF(ISNA(VLOOKUP($E48,'A-1 On-Site Habitat Baseline'!$D$1:$O$258,6,FALSE)),"",(VLOOKUP($E48,'A-1 On-Site Habitat Baseline'!$D$1:$O$258,6,FALSE))))</f>
        <v/>
      </c>
      <c r="I48" s="310" t="str">
        <f>IF(E48="","",IF(ISNA(VLOOKUP($E48,'A-1 On-Site Habitat Baseline'!$D$1:$O$258,7,FALSE)),"",(VLOOKUP($E48,'A-1 On-Site Habitat Baseline'!$D$1:$O$258,7,FALSE))))</f>
        <v/>
      </c>
      <c r="J48" s="310" t="str">
        <f>IF(E48="","",IF(ISNA(VLOOKUP($E48,'A-1 On-Site Habitat Baseline'!$D$1:$O$258,8,FALSE)),"",(VLOOKUP($E48,'A-1 On-Site Habitat Baseline'!$D$1:$O$258,8,FALSE))))</f>
        <v/>
      </c>
      <c r="K48" s="310" t="str">
        <f>IF(E48="","",IF(ISNA(VLOOKUP($E48,'A-1 On-Site Habitat Baseline'!$D$1:$O$258,9,FALSE)),"",(VLOOKUP($E48,'A-1 On-Site Habitat Baseline'!$D$1:$O$258,9,FALSE))))</f>
        <v/>
      </c>
      <c r="L48" s="310" t="str">
        <f>IF(E48="","",IF(ISNA(VLOOKUP($E48,'A-1 On-Site Habitat Baseline'!$D$1:$O$258,11,FALSE)),"",(VLOOKUP($E48,'A-1 On-Site Habitat Baseline'!$D$1:$O$258,11,FALSE))))</f>
        <v/>
      </c>
      <c r="M48" s="310" t="str">
        <f>IF(E48="","",IF(ISNA(VLOOKUP($E48,'A-1 On-Site Habitat Baseline'!$D$1:$O$258,12,FALSE)),"",(VLOOKUP($E48,'A-1 On-Site Habitat Baseline'!$D$1:$O$258,12,FALSE))))</f>
        <v/>
      </c>
      <c r="N48" s="320" t="str">
        <f>IF(E48="","",IF(ISNA(VLOOKUP($E48,'A-1 On-Site Habitat Baseline'!$D$1:$X$258,14,FALSE)),"",(VLOOKUP($E48,'A-1 On-Site Habitat Baseline'!$D$1:$X$258,14,FALSE))))</f>
        <v/>
      </c>
      <c r="O48" s="314" t="str">
        <f>IF(E48="","",IF(ISNA(VLOOKUP($E48,'A-1 On-Site Habitat Baseline'!$D$1:$X$258,16,FALSE)),"",(VLOOKUP($E48,'A-1 On-Site Habitat Baseline'!$D$1:$X$258,13,FALSE))))</f>
        <v/>
      </c>
      <c r="P48" s="161" t="str">
        <f>IFERROR(INDEX('G-1 All Habitats'!$AG$49:$AG$63,MATCH(Q48,'G-1 All Habitats'!$AF$27:$AF$41,0)),"")</f>
        <v/>
      </c>
      <c r="Q48" s="162" t="str">
        <f t="shared" si="0"/>
        <v/>
      </c>
      <c r="R48" s="162"/>
      <c r="S48" s="252" t="str">
        <f>IFERROR(INDEX('G-1 All Habitats'!$B$3:$B$135,MATCH(R48,'G-1 All Habitats'!$A$3:$A$135,0)),"")</f>
        <v/>
      </c>
      <c r="T48" s="290" t="str">
        <f t="shared" si="1"/>
        <v/>
      </c>
      <c r="U48" s="291" t="str">
        <f t="shared" si="10"/>
        <v/>
      </c>
      <c r="V48" s="325" t="str">
        <f t="shared" si="2"/>
        <v/>
      </c>
      <c r="W48" s="310" t="str">
        <f>IF(S48="","",VLOOKUP(S48,'G-1 All Habitats'!$B$2:$M$135,10,FALSE))</f>
        <v/>
      </c>
      <c r="X48" s="310" t="str">
        <f>IFERROR(VLOOKUP(W48,'G-1 All Habitats'!$V$3:$W$7,2,FALSE),"")</f>
        <v/>
      </c>
      <c r="Y48" s="45"/>
      <c r="Z48" s="314" t="str">
        <f>IFERROR(INDEX('G-8 Condition Look up'!$A$3:$H$135,MATCH(S48,'G-8 Condition Look up'!$A$3:$A$135,0),MATCH(Y48,'G-8 Condition Look up'!$A$3:$H$3,0)),"")</f>
        <v/>
      </c>
      <c r="AA48" s="38"/>
      <c r="AB48" s="310" t="str">
        <f>IF(AA48="","",IF(VLOOKUP(AA48,'G-3 Multipliers'!$L$3:$N$6,2,FALSE)=0,"Spatial Data Missing ⚠",VLOOKUP(AA48,'G-3 Multipliers'!$L$3:$N$6,2,FALSE)))</f>
        <v/>
      </c>
      <c r="AC48" s="314" t="str">
        <f>IF(AA48="","",IF(VLOOKUP(AA48,'G-3 Multipliers'!$L$3:$N$6,3,FALSE)=0,"Spatial Data Missing ⚠",VLOOKUP(AA48,'G-3 Multipliers'!$L$3:$N$6,3,FALSE)))</f>
        <v/>
      </c>
      <c r="AD48" s="327" t="str">
        <f t="shared" si="3"/>
        <v/>
      </c>
      <c r="AE48" s="47"/>
      <c r="AF48" s="47"/>
      <c r="AG48" s="298" t="str">
        <f t="shared" si="4"/>
        <v/>
      </c>
      <c r="AH48" s="311" t="str">
        <f t="shared" si="5"/>
        <v/>
      </c>
      <c r="AI48" s="312" t="str">
        <f>IF(AH48="Check Data","Check Data",IFERROR(VLOOKUP(AH48,'G-4 Temporal multipliers'!$A$4:$C$36,3,FALSE),""))</f>
        <v/>
      </c>
      <c r="AJ48" s="290" t="str">
        <f>IF(S48="","",VLOOKUP(S48,'G-3 Multipliers'!$A$2:$E$134,4,FALSE))</f>
        <v/>
      </c>
      <c r="AK48" s="298" t="str">
        <f t="shared" si="6"/>
        <v/>
      </c>
      <c r="AL48" s="298" t="str">
        <f t="shared" si="7"/>
        <v/>
      </c>
      <c r="AM48" s="328" t="str">
        <f>IFERROR(IF(F48="","",IF(AH48="Check Data ⚠","Check Data ⚠",VLOOKUP(AL48, 'G-3 Multipliers'!$P$2:$Q$6,2,FALSE))),"")</f>
        <v/>
      </c>
      <c r="AN48" s="304" t="str">
        <f t="shared" si="8"/>
        <v/>
      </c>
      <c r="AO48" s="163"/>
      <c r="AP48" s="164"/>
      <c r="AQ48" s="101"/>
      <c r="AT48" s="20" t="str">
        <f t="shared" si="9"/>
        <v>No</v>
      </c>
      <c r="AU48" s="20" t="str">
        <f>IF(E48="","",IF(ISNA(VLOOKUP($E48,'A-1 On-Site Habitat Baseline'!$D$1:$AV$258,4,FALSE)),"",(VLOOKUP($E48,'A-1 On-Site Habitat Baseline'!$D$1:$AV$258,4,FALSE))))</f>
        <v/>
      </c>
    </row>
    <row r="49" spans="1:47" x14ac:dyDescent="0.3">
      <c r="A49" s="20" t="str">
        <f>IF(E49="","",IF(ISNA(VLOOKUP($E49,'A-1 On-Site Habitat Baseline'!$D$1:$O$258,2,FALSE)),"",(VLOOKUP($E49,'A-1 On-Site Habitat Baseline'!$D$1:$O$258,2,FALSE))))</f>
        <v/>
      </c>
      <c r="B49" s="20" t="str">
        <f>IF(E49="","",IF(ISNA(VLOOKUP($E49,'A-1 On-Site Habitat Baseline'!$D$1:$O$258,3,FALSE)),"",(VLOOKUP($E49,'A-1 On-Site Habitat Baseline'!$D$1:$O$258,3,FALSE))))</f>
        <v/>
      </c>
      <c r="C49" s="20" t="str">
        <f>IFERROR(INDEX('G-8 Condition Look up'!$I$4:$I$135,MATCH(S49,'G-8 Condition Look up'!$A$4:$A$135,0)),"")</f>
        <v/>
      </c>
      <c r="E49" s="319" t="str">
        <f>'A-1 On-Site Habitat Baseline'!AL48</f>
        <v/>
      </c>
      <c r="F49" s="310" t="str">
        <f>IF(E49="","",IF(ISNA(VLOOKUP($E49,'A-1 On-Site Habitat Baseline'!$D$1:$AV$258,45,FALSE)),"",(VLOOKUP($E49,'A-1 On-Site Habitat Baseline'!$D$1:$AV$258,45,FALSE))))</f>
        <v/>
      </c>
      <c r="G49" s="310" t="str">
        <f>IF(E49="","",IF(ISNA(VLOOKUP($E49,'A-1 On-Site Habitat Baseline'!$D$1:$O$258,5,FALSE)),"",(VLOOKUP($E49,'A-1 On-Site Habitat Baseline'!$D$1:$O$258,5,FALSE))))</f>
        <v/>
      </c>
      <c r="H49" s="310" t="str">
        <f>IF(E49="","",IF(ISNA(VLOOKUP($E49,'A-1 On-Site Habitat Baseline'!$D$1:$O$258,6,FALSE)),"",(VLOOKUP($E49,'A-1 On-Site Habitat Baseline'!$D$1:$O$258,6,FALSE))))</f>
        <v/>
      </c>
      <c r="I49" s="310" t="str">
        <f>IF(E49="","",IF(ISNA(VLOOKUP($E49,'A-1 On-Site Habitat Baseline'!$D$1:$O$258,7,FALSE)),"",(VLOOKUP($E49,'A-1 On-Site Habitat Baseline'!$D$1:$O$258,7,FALSE))))</f>
        <v/>
      </c>
      <c r="J49" s="310" t="str">
        <f>IF(E49="","",IF(ISNA(VLOOKUP($E49,'A-1 On-Site Habitat Baseline'!$D$1:$O$258,8,FALSE)),"",(VLOOKUP($E49,'A-1 On-Site Habitat Baseline'!$D$1:$O$258,8,FALSE))))</f>
        <v/>
      </c>
      <c r="K49" s="310" t="str">
        <f>IF(E49="","",IF(ISNA(VLOOKUP($E49,'A-1 On-Site Habitat Baseline'!$D$1:$O$258,9,FALSE)),"",(VLOOKUP($E49,'A-1 On-Site Habitat Baseline'!$D$1:$O$258,9,FALSE))))</f>
        <v/>
      </c>
      <c r="L49" s="310" t="str">
        <f>IF(E49="","",IF(ISNA(VLOOKUP($E49,'A-1 On-Site Habitat Baseline'!$D$1:$O$258,11,FALSE)),"",(VLOOKUP($E49,'A-1 On-Site Habitat Baseline'!$D$1:$O$258,11,FALSE))))</f>
        <v/>
      </c>
      <c r="M49" s="310" t="str">
        <f>IF(E49="","",IF(ISNA(VLOOKUP($E49,'A-1 On-Site Habitat Baseline'!$D$1:$O$258,12,FALSE)),"",(VLOOKUP($E49,'A-1 On-Site Habitat Baseline'!$D$1:$O$258,12,FALSE))))</f>
        <v/>
      </c>
      <c r="N49" s="320" t="str">
        <f>IF(E49="","",IF(ISNA(VLOOKUP($E49,'A-1 On-Site Habitat Baseline'!$D$1:$X$258,14,FALSE)),"",(VLOOKUP($E49,'A-1 On-Site Habitat Baseline'!$D$1:$X$258,14,FALSE))))</f>
        <v/>
      </c>
      <c r="O49" s="314" t="str">
        <f>IF(E49="","",IF(ISNA(VLOOKUP($E49,'A-1 On-Site Habitat Baseline'!$D$1:$X$258,16,FALSE)),"",(VLOOKUP($E49,'A-1 On-Site Habitat Baseline'!$D$1:$X$258,13,FALSE))))</f>
        <v/>
      </c>
      <c r="P49" s="161" t="str">
        <f>IFERROR(INDEX('G-1 All Habitats'!$AG$49:$AG$63,MATCH(Q49,'G-1 All Habitats'!$AF$27:$AF$41,0)),"")</f>
        <v/>
      </c>
      <c r="Q49" s="162" t="str">
        <f t="shared" si="0"/>
        <v/>
      </c>
      <c r="R49" s="162"/>
      <c r="S49" s="252" t="str">
        <f>IFERROR(INDEX('G-1 All Habitats'!$B$3:$B$135,MATCH(R49,'G-1 All Habitats'!$A$3:$A$135,0)),"")</f>
        <v/>
      </c>
      <c r="T49" s="290" t="str">
        <f t="shared" si="1"/>
        <v/>
      </c>
      <c r="U49" s="291" t="str">
        <f t="shared" si="10"/>
        <v/>
      </c>
      <c r="V49" s="325" t="str">
        <f t="shared" si="2"/>
        <v/>
      </c>
      <c r="W49" s="310" t="str">
        <f>IF(S49="","",VLOOKUP(S49,'G-1 All Habitats'!$B$2:$M$135,10,FALSE))</f>
        <v/>
      </c>
      <c r="X49" s="310" t="str">
        <f>IFERROR(VLOOKUP(W49,'G-1 All Habitats'!$V$3:$W$7,2,FALSE),"")</f>
        <v/>
      </c>
      <c r="Y49" s="45"/>
      <c r="Z49" s="314" t="str">
        <f>IFERROR(INDEX('G-8 Condition Look up'!$A$3:$H$135,MATCH(S49,'G-8 Condition Look up'!$A$3:$A$135,0),MATCH(Y49,'G-8 Condition Look up'!$A$3:$H$3,0)),"")</f>
        <v/>
      </c>
      <c r="AA49" s="38"/>
      <c r="AB49" s="310" t="str">
        <f>IF(AA49="","",IF(VLOOKUP(AA49,'G-3 Multipliers'!$L$3:$N$6,2,FALSE)=0,"Spatial Data Missing ⚠",VLOOKUP(AA49,'G-3 Multipliers'!$L$3:$N$6,2,FALSE)))</f>
        <v/>
      </c>
      <c r="AC49" s="314" t="str">
        <f>IF(AA49="","",IF(VLOOKUP(AA49,'G-3 Multipliers'!$L$3:$N$6,3,FALSE)=0,"Spatial Data Missing ⚠",VLOOKUP(AA49,'G-3 Multipliers'!$L$3:$N$6,3,FALSE)))</f>
        <v/>
      </c>
      <c r="AD49" s="327" t="str">
        <f t="shared" si="3"/>
        <v/>
      </c>
      <c r="AE49" s="47"/>
      <c r="AF49" s="47"/>
      <c r="AG49" s="298" t="str">
        <f t="shared" si="4"/>
        <v/>
      </c>
      <c r="AH49" s="311" t="str">
        <f t="shared" si="5"/>
        <v/>
      </c>
      <c r="AI49" s="312" t="str">
        <f>IF(AH49="Check Data","Check Data",IFERROR(VLOOKUP(AH49,'G-4 Temporal multipliers'!$A$4:$C$36,3,FALSE),""))</f>
        <v/>
      </c>
      <c r="AJ49" s="290" t="str">
        <f>IF(S49="","",VLOOKUP(S49,'G-3 Multipliers'!$A$2:$E$134,4,FALSE))</f>
        <v/>
      </c>
      <c r="AK49" s="298" t="str">
        <f t="shared" si="6"/>
        <v/>
      </c>
      <c r="AL49" s="298" t="str">
        <f t="shared" si="7"/>
        <v/>
      </c>
      <c r="AM49" s="328" t="str">
        <f>IFERROR(IF(F49="","",IF(AH49="Check Data ⚠","Check Data ⚠",VLOOKUP(AL49, 'G-3 Multipliers'!$P$2:$Q$6,2,FALSE))),"")</f>
        <v/>
      </c>
      <c r="AN49" s="304" t="str">
        <f t="shared" si="8"/>
        <v/>
      </c>
      <c r="AO49" s="163"/>
      <c r="AP49" s="164"/>
      <c r="AQ49" s="101"/>
      <c r="AT49" s="20" t="str">
        <f t="shared" si="9"/>
        <v>No</v>
      </c>
      <c r="AU49" s="20" t="str">
        <f>IF(E49="","",IF(ISNA(VLOOKUP($E49,'A-1 On-Site Habitat Baseline'!$D$1:$AV$258,4,FALSE)),"",(VLOOKUP($E49,'A-1 On-Site Habitat Baseline'!$D$1:$AV$258,4,FALSE))))</f>
        <v/>
      </c>
    </row>
    <row r="50" spans="1:47" x14ac:dyDescent="0.3">
      <c r="A50" s="20" t="str">
        <f>IF(E50="","",IF(ISNA(VLOOKUP($E50,'A-1 On-Site Habitat Baseline'!$D$1:$O$258,2,FALSE)),"",(VLOOKUP($E50,'A-1 On-Site Habitat Baseline'!$D$1:$O$258,2,FALSE))))</f>
        <v/>
      </c>
      <c r="B50" s="20" t="str">
        <f>IF(E50="","",IF(ISNA(VLOOKUP($E50,'A-1 On-Site Habitat Baseline'!$D$1:$O$258,3,FALSE)),"",(VLOOKUP($E50,'A-1 On-Site Habitat Baseline'!$D$1:$O$258,3,FALSE))))</f>
        <v/>
      </c>
      <c r="C50" s="20" t="str">
        <f>IFERROR(INDEX('G-8 Condition Look up'!$I$4:$I$135,MATCH(S50,'G-8 Condition Look up'!$A$4:$A$135,0)),"")</f>
        <v/>
      </c>
      <c r="E50" s="319" t="str">
        <f>'A-1 On-Site Habitat Baseline'!AL49</f>
        <v/>
      </c>
      <c r="F50" s="310" t="str">
        <f>IF(E50="","",IF(ISNA(VLOOKUP($E50,'A-1 On-Site Habitat Baseline'!$D$1:$AV$258,45,FALSE)),"",(VLOOKUP($E50,'A-1 On-Site Habitat Baseline'!$D$1:$AV$258,45,FALSE))))</f>
        <v/>
      </c>
      <c r="G50" s="310" t="str">
        <f>IF(E50="","",IF(ISNA(VLOOKUP($E50,'A-1 On-Site Habitat Baseline'!$D$1:$O$258,5,FALSE)),"",(VLOOKUP($E50,'A-1 On-Site Habitat Baseline'!$D$1:$O$258,5,FALSE))))</f>
        <v/>
      </c>
      <c r="H50" s="310" t="str">
        <f>IF(E50="","",IF(ISNA(VLOOKUP($E50,'A-1 On-Site Habitat Baseline'!$D$1:$O$258,6,FALSE)),"",(VLOOKUP($E50,'A-1 On-Site Habitat Baseline'!$D$1:$O$258,6,FALSE))))</f>
        <v/>
      </c>
      <c r="I50" s="310" t="str">
        <f>IF(E50="","",IF(ISNA(VLOOKUP($E50,'A-1 On-Site Habitat Baseline'!$D$1:$O$258,7,FALSE)),"",(VLOOKUP($E50,'A-1 On-Site Habitat Baseline'!$D$1:$O$258,7,FALSE))))</f>
        <v/>
      </c>
      <c r="J50" s="310" t="str">
        <f>IF(E50="","",IF(ISNA(VLOOKUP($E50,'A-1 On-Site Habitat Baseline'!$D$1:$O$258,8,FALSE)),"",(VLOOKUP($E50,'A-1 On-Site Habitat Baseline'!$D$1:$O$258,8,FALSE))))</f>
        <v/>
      </c>
      <c r="K50" s="310" t="str">
        <f>IF(E50="","",IF(ISNA(VLOOKUP($E50,'A-1 On-Site Habitat Baseline'!$D$1:$O$258,9,FALSE)),"",(VLOOKUP($E50,'A-1 On-Site Habitat Baseline'!$D$1:$O$258,9,FALSE))))</f>
        <v/>
      </c>
      <c r="L50" s="310" t="str">
        <f>IF(E50="","",IF(ISNA(VLOOKUP($E50,'A-1 On-Site Habitat Baseline'!$D$1:$O$258,11,FALSE)),"",(VLOOKUP($E50,'A-1 On-Site Habitat Baseline'!$D$1:$O$258,11,FALSE))))</f>
        <v/>
      </c>
      <c r="M50" s="310" t="str">
        <f>IF(E50="","",IF(ISNA(VLOOKUP($E50,'A-1 On-Site Habitat Baseline'!$D$1:$O$258,12,FALSE)),"",(VLOOKUP($E50,'A-1 On-Site Habitat Baseline'!$D$1:$O$258,12,FALSE))))</f>
        <v/>
      </c>
      <c r="N50" s="320" t="str">
        <f>IF(E50="","",IF(ISNA(VLOOKUP($E50,'A-1 On-Site Habitat Baseline'!$D$1:$X$258,14,FALSE)),"",(VLOOKUP($E50,'A-1 On-Site Habitat Baseline'!$D$1:$X$258,14,FALSE))))</f>
        <v/>
      </c>
      <c r="O50" s="314" t="str">
        <f>IF(E50="","",IF(ISNA(VLOOKUP($E50,'A-1 On-Site Habitat Baseline'!$D$1:$X$258,16,FALSE)),"",(VLOOKUP($E50,'A-1 On-Site Habitat Baseline'!$D$1:$X$258,13,FALSE))))</f>
        <v/>
      </c>
      <c r="P50" s="161" t="str">
        <f>IFERROR(INDEX('G-1 All Habitats'!$AG$49:$AG$63,MATCH(Q50,'G-1 All Habitats'!$AF$27:$AF$41,0)),"")</f>
        <v/>
      </c>
      <c r="Q50" s="162" t="str">
        <f t="shared" si="0"/>
        <v/>
      </c>
      <c r="R50" s="162"/>
      <c r="S50" s="252" t="str">
        <f>IFERROR(INDEX('G-1 All Habitats'!$B$3:$B$135,MATCH(R50,'G-1 All Habitats'!$A$3:$A$135,0)),"")</f>
        <v/>
      </c>
      <c r="T50" s="290" t="str">
        <f t="shared" si="1"/>
        <v/>
      </c>
      <c r="U50" s="291" t="str">
        <f t="shared" si="10"/>
        <v/>
      </c>
      <c r="V50" s="325" t="str">
        <f t="shared" si="2"/>
        <v/>
      </c>
      <c r="W50" s="310" t="str">
        <f>IF(S50="","",VLOOKUP(S50,'G-1 All Habitats'!$B$2:$M$135,10,FALSE))</f>
        <v/>
      </c>
      <c r="X50" s="310" t="str">
        <f>IFERROR(VLOOKUP(W50,'G-1 All Habitats'!$V$3:$W$7,2,FALSE),"")</f>
        <v/>
      </c>
      <c r="Y50" s="45"/>
      <c r="Z50" s="314" t="str">
        <f>IFERROR(INDEX('G-8 Condition Look up'!$A$3:$H$135,MATCH(S50,'G-8 Condition Look up'!$A$3:$A$135,0),MATCH(Y50,'G-8 Condition Look up'!$A$3:$H$3,0)),"")</f>
        <v/>
      </c>
      <c r="AA50" s="38"/>
      <c r="AB50" s="310" t="str">
        <f>IF(AA50="","",IF(VLOOKUP(AA50,'G-3 Multipliers'!$L$3:$N$6,2,FALSE)=0,"Spatial Data Missing ⚠",VLOOKUP(AA50,'G-3 Multipliers'!$L$3:$N$6,2,FALSE)))</f>
        <v/>
      </c>
      <c r="AC50" s="314" t="str">
        <f>IF(AA50="","",IF(VLOOKUP(AA50,'G-3 Multipliers'!$L$3:$N$6,3,FALSE)=0,"Spatial Data Missing ⚠",VLOOKUP(AA50,'G-3 Multipliers'!$L$3:$N$6,3,FALSE)))</f>
        <v/>
      </c>
      <c r="AD50" s="327" t="str">
        <f t="shared" si="3"/>
        <v/>
      </c>
      <c r="AE50" s="47"/>
      <c r="AF50" s="47"/>
      <c r="AG50" s="298" t="str">
        <f t="shared" si="4"/>
        <v/>
      </c>
      <c r="AH50" s="311" t="str">
        <f t="shared" si="5"/>
        <v/>
      </c>
      <c r="AI50" s="312" t="str">
        <f>IF(AH50="Check Data","Check Data",IFERROR(VLOOKUP(AH50,'G-4 Temporal multipliers'!$A$4:$C$36,3,FALSE),""))</f>
        <v/>
      </c>
      <c r="AJ50" s="290" t="str">
        <f>IF(S50="","",VLOOKUP(S50,'G-3 Multipliers'!$A$2:$E$134,4,FALSE))</f>
        <v/>
      </c>
      <c r="AK50" s="298" t="str">
        <f t="shared" si="6"/>
        <v/>
      </c>
      <c r="AL50" s="298" t="str">
        <f t="shared" si="7"/>
        <v/>
      </c>
      <c r="AM50" s="328" t="str">
        <f>IFERROR(IF(F50="","",IF(AH50="Check Data ⚠","Check Data ⚠",VLOOKUP(AL50, 'G-3 Multipliers'!$P$2:$Q$6,2,FALSE))),"")</f>
        <v/>
      </c>
      <c r="AN50" s="304" t="str">
        <f t="shared" si="8"/>
        <v/>
      </c>
      <c r="AO50" s="163"/>
      <c r="AP50" s="164"/>
      <c r="AQ50" s="101"/>
      <c r="AT50" s="20" t="str">
        <f t="shared" si="9"/>
        <v>No</v>
      </c>
      <c r="AU50" s="20" t="str">
        <f>IF(E50="","",IF(ISNA(VLOOKUP($E50,'A-1 On-Site Habitat Baseline'!$D$1:$AV$258,4,FALSE)),"",(VLOOKUP($E50,'A-1 On-Site Habitat Baseline'!$D$1:$AV$258,4,FALSE))))</f>
        <v/>
      </c>
    </row>
    <row r="51" spans="1:47" x14ac:dyDescent="0.3">
      <c r="A51" s="20" t="str">
        <f>IF(E51="","",IF(ISNA(VLOOKUP($E51,'A-1 On-Site Habitat Baseline'!$D$1:$O$258,2,FALSE)),"",(VLOOKUP($E51,'A-1 On-Site Habitat Baseline'!$D$1:$O$258,2,FALSE))))</f>
        <v/>
      </c>
      <c r="B51" s="20" t="str">
        <f>IF(E51="","",IF(ISNA(VLOOKUP($E51,'A-1 On-Site Habitat Baseline'!$D$1:$O$258,3,FALSE)),"",(VLOOKUP($E51,'A-1 On-Site Habitat Baseline'!$D$1:$O$258,3,FALSE))))</f>
        <v/>
      </c>
      <c r="C51" s="20" t="str">
        <f>IFERROR(INDEX('G-8 Condition Look up'!$I$4:$I$135,MATCH(S51,'G-8 Condition Look up'!$A$4:$A$135,0)),"")</f>
        <v/>
      </c>
      <c r="E51" s="319" t="str">
        <f>'A-1 On-Site Habitat Baseline'!AL50</f>
        <v/>
      </c>
      <c r="F51" s="310" t="str">
        <f>IF(E51="","",IF(ISNA(VLOOKUP($E51,'A-1 On-Site Habitat Baseline'!$D$1:$AV$258,45,FALSE)),"",(VLOOKUP($E51,'A-1 On-Site Habitat Baseline'!$D$1:$AV$258,45,FALSE))))</f>
        <v/>
      </c>
      <c r="G51" s="310" t="str">
        <f>IF(E51="","",IF(ISNA(VLOOKUP($E51,'A-1 On-Site Habitat Baseline'!$D$1:$O$258,5,FALSE)),"",(VLOOKUP($E51,'A-1 On-Site Habitat Baseline'!$D$1:$O$258,5,FALSE))))</f>
        <v/>
      </c>
      <c r="H51" s="310" t="str">
        <f>IF(E51="","",IF(ISNA(VLOOKUP($E51,'A-1 On-Site Habitat Baseline'!$D$1:$O$258,6,FALSE)),"",(VLOOKUP($E51,'A-1 On-Site Habitat Baseline'!$D$1:$O$258,6,FALSE))))</f>
        <v/>
      </c>
      <c r="I51" s="310" t="str">
        <f>IF(E51="","",IF(ISNA(VLOOKUP($E51,'A-1 On-Site Habitat Baseline'!$D$1:$O$258,7,FALSE)),"",(VLOOKUP($E51,'A-1 On-Site Habitat Baseline'!$D$1:$O$258,7,FALSE))))</f>
        <v/>
      </c>
      <c r="J51" s="310" t="str">
        <f>IF(E51="","",IF(ISNA(VLOOKUP($E51,'A-1 On-Site Habitat Baseline'!$D$1:$O$258,8,FALSE)),"",(VLOOKUP($E51,'A-1 On-Site Habitat Baseline'!$D$1:$O$258,8,FALSE))))</f>
        <v/>
      </c>
      <c r="K51" s="310" t="str">
        <f>IF(E51="","",IF(ISNA(VLOOKUP($E51,'A-1 On-Site Habitat Baseline'!$D$1:$O$258,9,FALSE)),"",(VLOOKUP($E51,'A-1 On-Site Habitat Baseline'!$D$1:$O$258,9,FALSE))))</f>
        <v/>
      </c>
      <c r="L51" s="310" t="str">
        <f>IF(E51="","",IF(ISNA(VLOOKUP($E51,'A-1 On-Site Habitat Baseline'!$D$1:$O$258,11,FALSE)),"",(VLOOKUP($E51,'A-1 On-Site Habitat Baseline'!$D$1:$O$258,11,FALSE))))</f>
        <v/>
      </c>
      <c r="M51" s="310" t="str">
        <f>IF(E51="","",IF(ISNA(VLOOKUP($E51,'A-1 On-Site Habitat Baseline'!$D$1:$O$258,12,FALSE)),"",(VLOOKUP($E51,'A-1 On-Site Habitat Baseline'!$D$1:$O$258,12,FALSE))))</f>
        <v/>
      </c>
      <c r="N51" s="320" t="str">
        <f>IF(E51="","",IF(ISNA(VLOOKUP($E51,'A-1 On-Site Habitat Baseline'!$D$1:$X$258,14,FALSE)),"",(VLOOKUP($E51,'A-1 On-Site Habitat Baseline'!$D$1:$X$258,14,FALSE))))</f>
        <v/>
      </c>
      <c r="O51" s="314" t="str">
        <f>IF(E51="","",IF(ISNA(VLOOKUP($E51,'A-1 On-Site Habitat Baseline'!$D$1:$X$258,16,FALSE)),"",(VLOOKUP($E51,'A-1 On-Site Habitat Baseline'!$D$1:$X$258,13,FALSE))))</f>
        <v/>
      </c>
      <c r="P51" s="161" t="str">
        <f>IFERROR(INDEX('G-1 All Habitats'!$AG$49:$AG$63,MATCH(Q51,'G-1 All Habitats'!$AF$27:$AF$41,0)),"")</f>
        <v/>
      </c>
      <c r="Q51" s="162" t="str">
        <f t="shared" si="0"/>
        <v/>
      </c>
      <c r="R51" s="162"/>
      <c r="S51" s="252" t="str">
        <f>IFERROR(INDEX('G-1 All Habitats'!$B$3:$B$135,MATCH(R51,'G-1 All Habitats'!$A$3:$A$135,0)),"")</f>
        <v/>
      </c>
      <c r="T51" s="290" t="str">
        <f t="shared" si="1"/>
        <v/>
      </c>
      <c r="U51" s="291" t="str">
        <f t="shared" si="10"/>
        <v/>
      </c>
      <c r="V51" s="325" t="str">
        <f t="shared" si="2"/>
        <v/>
      </c>
      <c r="W51" s="310" t="str">
        <f>IF(S51="","",VLOOKUP(S51,'G-1 All Habitats'!$B$2:$M$135,10,FALSE))</f>
        <v/>
      </c>
      <c r="X51" s="310" t="str">
        <f>IFERROR(VLOOKUP(W51,'G-1 All Habitats'!$V$3:$W$7,2,FALSE),"")</f>
        <v/>
      </c>
      <c r="Y51" s="45"/>
      <c r="Z51" s="314" t="str">
        <f>IFERROR(INDEX('G-8 Condition Look up'!$A$3:$H$135,MATCH(S51,'G-8 Condition Look up'!$A$3:$A$135,0),MATCH(Y51,'G-8 Condition Look up'!$A$3:$H$3,0)),"")</f>
        <v/>
      </c>
      <c r="AA51" s="38"/>
      <c r="AB51" s="310" t="str">
        <f>IF(AA51="","",IF(VLOOKUP(AA51,'G-3 Multipliers'!$L$3:$N$6,2,FALSE)=0,"Spatial Data Missing ⚠",VLOOKUP(AA51,'G-3 Multipliers'!$L$3:$N$6,2,FALSE)))</f>
        <v/>
      </c>
      <c r="AC51" s="314" t="str">
        <f>IF(AA51="","",IF(VLOOKUP(AA51,'G-3 Multipliers'!$L$3:$N$6,3,FALSE)=0,"Spatial Data Missing ⚠",VLOOKUP(AA51,'G-3 Multipliers'!$L$3:$N$6,3,FALSE)))</f>
        <v/>
      </c>
      <c r="AD51" s="327" t="str">
        <f t="shared" si="3"/>
        <v/>
      </c>
      <c r="AE51" s="47"/>
      <c r="AF51" s="47"/>
      <c r="AG51" s="298" t="str">
        <f t="shared" si="4"/>
        <v/>
      </c>
      <c r="AH51" s="311" t="str">
        <f t="shared" si="5"/>
        <v/>
      </c>
      <c r="AI51" s="312" t="str">
        <f>IF(AH51="Check Data","Check Data",IFERROR(VLOOKUP(AH51,'G-4 Temporal multipliers'!$A$4:$C$36,3,FALSE),""))</f>
        <v/>
      </c>
      <c r="AJ51" s="290" t="str">
        <f>IF(S51="","",VLOOKUP(S51,'G-3 Multipliers'!$A$2:$E$134,4,FALSE))</f>
        <v/>
      </c>
      <c r="AK51" s="298" t="str">
        <f t="shared" si="6"/>
        <v/>
      </c>
      <c r="AL51" s="298" t="str">
        <f t="shared" si="7"/>
        <v/>
      </c>
      <c r="AM51" s="328" t="str">
        <f>IFERROR(IF(F51="","",IF(AH51="Check Data ⚠","Check Data ⚠",VLOOKUP(AL51, 'G-3 Multipliers'!$P$2:$Q$6,2,FALSE))),"")</f>
        <v/>
      </c>
      <c r="AN51" s="304" t="str">
        <f t="shared" si="8"/>
        <v/>
      </c>
      <c r="AO51" s="163"/>
      <c r="AP51" s="164"/>
      <c r="AQ51" s="101"/>
      <c r="AT51" s="20" t="str">
        <f t="shared" si="9"/>
        <v>No</v>
      </c>
      <c r="AU51" s="20" t="str">
        <f>IF(E51="","",IF(ISNA(VLOOKUP($E51,'A-1 On-Site Habitat Baseline'!$D$1:$AV$258,4,FALSE)),"",(VLOOKUP($E51,'A-1 On-Site Habitat Baseline'!$D$1:$AV$258,4,FALSE))))</f>
        <v/>
      </c>
    </row>
    <row r="52" spans="1:47" x14ac:dyDescent="0.3">
      <c r="A52" s="20" t="str">
        <f>IF(E52="","",IF(ISNA(VLOOKUP($E52,'A-1 On-Site Habitat Baseline'!$D$1:$O$258,2,FALSE)),"",(VLOOKUP($E52,'A-1 On-Site Habitat Baseline'!$D$1:$O$258,2,FALSE))))</f>
        <v/>
      </c>
      <c r="B52" s="20" t="str">
        <f>IF(E52="","",IF(ISNA(VLOOKUP($E52,'A-1 On-Site Habitat Baseline'!$D$1:$O$258,3,FALSE)),"",(VLOOKUP($E52,'A-1 On-Site Habitat Baseline'!$D$1:$O$258,3,FALSE))))</f>
        <v/>
      </c>
      <c r="C52" s="20" t="str">
        <f>IFERROR(INDEX('G-8 Condition Look up'!$I$4:$I$135,MATCH(S52,'G-8 Condition Look up'!$A$4:$A$135,0)),"")</f>
        <v/>
      </c>
      <c r="E52" s="319" t="str">
        <f>'A-1 On-Site Habitat Baseline'!AL51</f>
        <v/>
      </c>
      <c r="F52" s="310" t="str">
        <f>IF(E52="","",IF(ISNA(VLOOKUP($E52,'A-1 On-Site Habitat Baseline'!$D$1:$AV$258,45,FALSE)),"",(VLOOKUP($E52,'A-1 On-Site Habitat Baseline'!$D$1:$AV$258,45,FALSE))))</f>
        <v/>
      </c>
      <c r="G52" s="310" t="str">
        <f>IF(E52="","",IF(ISNA(VLOOKUP($E52,'A-1 On-Site Habitat Baseline'!$D$1:$O$258,5,FALSE)),"",(VLOOKUP($E52,'A-1 On-Site Habitat Baseline'!$D$1:$O$258,5,FALSE))))</f>
        <v/>
      </c>
      <c r="H52" s="310" t="str">
        <f>IF(E52="","",IF(ISNA(VLOOKUP($E52,'A-1 On-Site Habitat Baseline'!$D$1:$O$258,6,FALSE)),"",(VLOOKUP($E52,'A-1 On-Site Habitat Baseline'!$D$1:$O$258,6,FALSE))))</f>
        <v/>
      </c>
      <c r="I52" s="310" t="str">
        <f>IF(E52="","",IF(ISNA(VLOOKUP($E52,'A-1 On-Site Habitat Baseline'!$D$1:$O$258,7,FALSE)),"",(VLOOKUP($E52,'A-1 On-Site Habitat Baseline'!$D$1:$O$258,7,FALSE))))</f>
        <v/>
      </c>
      <c r="J52" s="310" t="str">
        <f>IF(E52="","",IF(ISNA(VLOOKUP($E52,'A-1 On-Site Habitat Baseline'!$D$1:$O$258,8,FALSE)),"",(VLOOKUP($E52,'A-1 On-Site Habitat Baseline'!$D$1:$O$258,8,FALSE))))</f>
        <v/>
      </c>
      <c r="K52" s="310" t="str">
        <f>IF(E52="","",IF(ISNA(VLOOKUP($E52,'A-1 On-Site Habitat Baseline'!$D$1:$O$258,9,FALSE)),"",(VLOOKUP($E52,'A-1 On-Site Habitat Baseline'!$D$1:$O$258,9,FALSE))))</f>
        <v/>
      </c>
      <c r="L52" s="310" t="str">
        <f>IF(E52="","",IF(ISNA(VLOOKUP($E52,'A-1 On-Site Habitat Baseline'!$D$1:$O$258,11,FALSE)),"",(VLOOKUP($E52,'A-1 On-Site Habitat Baseline'!$D$1:$O$258,11,FALSE))))</f>
        <v/>
      </c>
      <c r="M52" s="310" t="str">
        <f>IF(E52="","",IF(ISNA(VLOOKUP($E52,'A-1 On-Site Habitat Baseline'!$D$1:$O$258,12,FALSE)),"",(VLOOKUP($E52,'A-1 On-Site Habitat Baseline'!$D$1:$O$258,12,FALSE))))</f>
        <v/>
      </c>
      <c r="N52" s="320" t="str">
        <f>IF(E52="","",IF(ISNA(VLOOKUP($E52,'A-1 On-Site Habitat Baseline'!$D$1:$X$258,14,FALSE)),"",(VLOOKUP($E52,'A-1 On-Site Habitat Baseline'!$D$1:$X$258,14,FALSE))))</f>
        <v/>
      </c>
      <c r="O52" s="314" t="str">
        <f>IF(E52="","",IF(ISNA(VLOOKUP($E52,'A-1 On-Site Habitat Baseline'!$D$1:$X$258,16,FALSE)),"",(VLOOKUP($E52,'A-1 On-Site Habitat Baseline'!$D$1:$X$258,13,FALSE))))</f>
        <v/>
      </c>
      <c r="P52" s="161" t="str">
        <f>IFERROR(INDEX('G-1 All Habitats'!$AG$49:$AG$63,MATCH(Q52,'G-1 All Habitats'!$AF$27:$AF$41,0)),"")</f>
        <v/>
      </c>
      <c r="Q52" s="162" t="str">
        <f t="shared" si="0"/>
        <v/>
      </c>
      <c r="R52" s="162"/>
      <c r="S52" s="252" t="str">
        <f>IFERROR(INDEX('G-1 All Habitats'!$B$3:$B$135,MATCH(R52,'G-1 All Habitats'!$A$3:$A$135,0)),"")</f>
        <v/>
      </c>
      <c r="T52" s="290" t="str">
        <f t="shared" si="1"/>
        <v/>
      </c>
      <c r="U52" s="291" t="str">
        <f t="shared" si="10"/>
        <v/>
      </c>
      <c r="V52" s="325" t="str">
        <f t="shared" si="2"/>
        <v/>
      </c>
      <c r="W52" s="310" t="str">
        <f>IF(S52="","",VLOOKUP(S52,'G-1 All Habitats'!$B$2:$M$135,10,FALSE))</f>
        <v/>
      </c>
      <c r="X52" s="310" t="str">
        <f>IFERROR(VLOOKUP(W52,'G-1 All Habitats'!$V$3:$W$7,2,FALSE),"")</f>
        <v/>
      </c>
      <c r="Y52" s="45"/>
      <c r="Z52" s="314" t="str">
        <f>IFERROR(INDEX('G-8 Condition Look up'!$A$3:$H$135,MATCH(S52,'G-8 Condition Look up'!$A$3:$A$135,0),MATCH(Y52,'G-8 Condition Look up'!$A$3:$H$3,0)),"")</f>
        <v/>
      </c>
      <c r="AA52" s="38"/>
      <c r="AB52" s="310" t="str">
        <f>IF(AA52="","",IF(VLOOKUP(AA52,'G-3 Multipliers'!$L$3:$N$6,2,FALSE)=0,"Spatial Data Missing ⚠",VLOOKUP(AA52,'G-3 Multipliers'!$L$3:$N$6,2,FALSE)))</f>
        <v/>
      </c>
      <c r="AC52" s="314" t="str">
        <f>IF(AA52="","",IF(VLOOKUP(AA52,'G-3 Multipliers'!$L$3:$N$6,3,FALSE)=0,"Spatial Data Missing ⚠",VLOOKUP(AA52,'G-3 Multipliers'!$L$3:$N$6,3,FALSE)))</f>
        <v/>
      </c>
      <c r="AD52" s="327" t="str">
        <f t="shared" si="3"/>
        <v/>
      </c>
      <c r="AE52" s="47"/>
      <c r="AF52" s="47"/>
      <c r="AG52" s="298" t="str">
        <f t="shared" si="4"/>
        <v/>
      </c>
      <c r="AH52" s="311" t="str">
        <f t="shared" si="5"/>
        <v/>
      </c>
      <c r="AI52" s="312" t="str">
        <f>IF(AH52="Check Data","Check Data",IFERROR(VLOOKUP(AH52,'G-4 Temporal multipliers'!$A$4:$C$36,3,FALSE),""))</f>
        <v/>
      </c>
      <c r="AJ52" s="290" t="str">
        <f>IF(S52="","",VLOOKUP(S52,'G-3 Multipliers'!$A$2:$E$134,4,FALSE))</f>
        <v/>
      </c>
      <c r="AK52" s="298" t="str">
        <f t="shared" si="6"/>
        <v/>
      </c>
      <c r="AL52" s="298" t="str">
        <f t="shared" si="7"/>
        <v/>
      </c>
      <c r="AM52" s="328" t="str">
        <f>IFERROR(IF(F52="","",IF(AH52="Check Data ⚠","Check Data ⚠",VLOOKUP(AL52, 'G-3 Multipliers'!$P$2:$Q$6,2,FALSE))),"")</f>
        <v/>
      </c>
      <c r="AN52" s="304" t="str">
        <f t="shared" si="8"/>
        <v/>
      </c>
      <c r="AO52" s="163"/>
      <c r="AP52" s="164"/>
      <c r="AQ52" s="101"/>
      <c r="AT52" s="20" t="str">
        <f t="shared" si="9"/>
        <v>No</v>
      </c>
      <c r="AU52" s="20" t="str">
        <f>IF(E52="","",IF(ISNA(VLOOKUP($E52,'A-1 On-Site Habitat Baseline'!$D$1:$AV$258,4,FALSE)),"",(VLOOKUP($E52,'A-1 On-Site Habitat Baseline'!$D$1:$AV$258,4,FALSE))))</f>
        <v/>
      </c>
    </row>
    <row r="53" spans="1:47" x14ac:dyDescent="0.3">
      <c r="A53" s="20" t="str">
        <f>IF(E53="","",IF(ISNA(VLOOKUP($E53,'A-1 On-Site Habitat Baseline'!$D$1:$O$258,2,FALSE)),"",(VLOOKUP($E53,'A-1 On-Site Habitat Baseline'!$D$1:$O$258,2,FALSE))))</f>
        <v/>
      </c>
      <c r="B53" s="20" t="str">
        <f>IF(E53="","",IF(ISNA(VLOOKUP($E53,'A-1 On-Site Habitat Baseline'!$D$1:$O$258,3,FALSE)),"",(VLOOKUP($E53,'A-1 On-Site Habitat Baseline'!$D$1:$O$258,3,FALSE))))</f>
        <v/>
      </c>
      <c r="C53" s="20" t="str">
        <f>IFERROR(INDEX('G-8 Condition Look up'!$I$4:$I$135,MATCH(S53,'G-8 Condition Look up'!$A$4:$A$135,0)),"")</f>
        <v/>
      </c>
      <c r="E53" s="319" t="str">
        <f>'A-1 On-Site Habitat Baseline'!AL52</f>
        <v/>
      </c>
      <c r="F53" s="310" t="str">
        <f>IF(E53="","",IF(ISNA(VLOOKUP($E53,'A-1 On-Site Habitat Baseline'!$D$1:$AV$258,45,FALSE)),"",(VLOOKUP($E53,'A-1 On-Site Habitat Baseline'!$D$1:$AV$258,45,FALSE))))</f>
        <v/>
      </c>
      <c r="G53" s="310" t="str">
        <f>IF(E53="","",IF(ISNA(VLOOKUP($E53,'A-1 On-Site Habitat Baseline'!$D$1:$O$258,5,FALSE)),"",(VLOOKUP($E53,'A-1 On-Site Habitat Baseline'!$D$1:$O$258,5,FALSE))))</f>
        <v/>
      </c>
      <c r="H53" s="310" t="str">
        <f>IF(E53="","",IF(ISNA(VLOOKUP($E53,'A-1 On-Site Habitat Baseline'!$D$1:$O$258,6,FALSE)),"",(VLOOKUP($E53,'A-1 On-Site Habitat Baseline'!$D$1:$O$258,6,FALSE))))</f>
        <v/>
      </c>
      <c r="I53" s="310" t="str">
        <f>IF(E53="","",IF(ISNA(VLOOKUP($E53,'A-1 On-Site Habitat Baseline'!$D$1:$O$258,7,FALSE)),"",(VLOOKUP($E53,'A-1 On-Site Habitat Baseline'!$D$1:$O$258,7,FALSE))))</f>
        <v/>
      </c>
      <c r="J53" s="310" t="str">
        <f>IF(E53="","",IF(ISNA(VLOOKUP($E53,'A-1 On-Site Habitat Baseline'!$D$1:$O$258,8,FALSE)),"",(VLOOKUP($E53,'A-1 On-Site Habitat Baseline'!$D$1:$O$258,8,FALSE))))</f>
        <v/>
      </c>
      <c r="K53" s="310" t="str">
        <f>IF(E53="","",IF(ISNA(VLOOKUP($E53,'A-1 On-Site Habitat Baseline'!$D$1:$O$258,9,FALSE)),"",(VLOOKUP($E53,'A-1 On-Site Habitat Baseline'!$D$1:$O$258,9,FALSE))))</f>
        <v/>
      </c>
      <c r="L53" s="310" t="str">
        <f>IF(E53="","",IF(ISNA(VLOOKUP($E53,'A-1 On-Site Habitat Baseline'!$D$1:$O$258,11,FALSE)),"",(VLOOKUP($E53,'A-1 On-Site Habitat Baseline'!$D$1:$O$258,11,FALSE))))</f>
        <v/>
      </c>
      <c r="M53" s="310" t="str">
        <f>IF(E53="","",IF(ISNA(VLOOKUP($E53,'A-1 On-Site Habitat Baseline'!$D$1:$O$258,12,FALSE)),"",(VLOOKUP($E53,'A-1 On-Site Habitat Baseline'!$D$1:$O$258,12,FALSE))))</f>
        <v/>
      </c>
      <c r="N53" s="320" t="str">
        <f>IF(E53="","",IF(ISNA(VLOOKUP($E53,'A-1 On-Site Habitat Baseline'!$D$1:$X$258,14,FALSE)),"",(VLOOKUP($E53,'A-1 On-Site Habitat Baseline'!$D$1:$X$258,14,FALSE))))</f>
        <v/>
      </c>
      <c r="O53" s="314" t="str">
        <f>IF(E53="","",IF(ISNA(VLOOKUP($E53,'A-1 On-Site Habitat Baseline'!$D$1:$X$258,16,FALSE)),"",(VLOOKUP($E53,'A-1 On-Site Habitat Baseline'!$D$1:$X$258,13,FALSE))))</f>
        <v/>
      </c>
      <c r="P53" s="161" t="str">
        <f>IFERROR(INDEX('G-1 All Habitats'!$AG$49:$AG$63,MATCH(Q53,'G-1 All Habitats'!$AF$27:$AF$41,0)),"")</f>
        <v/>
      </c>
      <c r="Q53" s="162" t="str">
        <f t="shared" si="0"/>
        <v/>
      </c>
      <c r="R53" s="162"/>
      <c r="S53" s="252" t="str">
        <f>IFERROR(INDEX('G-1 All Habitats'!$B$3:$B$135,MATCH(R53,'G-1 All Habitats'!$A$3:$A$135,0)),"")</f>
        <v/>
      </c>
      <c r="T53" s="290" t="str">
        <f t="shared" si="1"/>
        <v/>
      </c>
      <c r="U53" s="291" t="str">
        <f t="shared" si="10"/>
        <v/>
      </c>
      <c r="V53" s="325" t="str">
        <f t="shared" si="2"/>
        <v/>
      </c>
      <c r="W53" s="310" t="str">
        <f>IF(S53="","",VLOOKUP(S53,'G-1 All Habitats'!$B$2:$M$135,10,FALSE))</f>
        <v/>
      </c>
      <c r="X53" s="310" t="str">
        <f>IFERROR(VLOOKUP(W53,'G-1 All Habitats'!$V$3:$W$7,2,FALSE),"")</f>
        <v/>
      </c>
      <c r="Y53" s="45"/>
      <c r="Z53" s="314" t="str">
        <f>IFERROR(INDEX('G-8 Condition Look up'!$A$3:$H$135,MATCH(S53,'G-8 Condition Look up'!$A$3:$A$135,0),MATCH(Y53,'G-8 Condition Look up'!$A$3:$H$3,0)),"")</f>
        <v/>
      </c>
      <c r="AA53" s="38"/>
      <c r="AB53" s="310" t="str">
        <f>IF(AA53="","",IF(VLOOKUP(AA53,'G-3 Multipliers'!$L$3:$N$6,2,FALSE)=0,"Spatial Data Missing ⚠",VLOOKUP(AA53,'G-3 Multipliers'!$L$3:$N$6,2,FALSE)))</f>
        <v/>
      </c>
      <c r="AC53" s="314" t="str">
        <f>IF(AA53="","",IF(VLOOKUP(AA53,'G-3 Multipliers'!$L$3:$N$6,3,FALSE)=0,"Spatial Data Missing ⚠",VLOOKUP(AA53,'G-3 Multipliers'!$L$3:$N$6,3,FALSE)))</f>
        <v/>
      </c>
      <c r="AD53" s="327" t="str">
        <f t="shared" si="3"/>
        <v/>
      </c>
      <c r="AE53" s="47"/>
      <c r="AF53" s="47"/>
      <c r="AG53" s="298" t="str">
        <f t="shared" si="4"/>
        <v/>
      </c>
      <c r="AH53" s="311" t="str">
        <f t="shared" si="5"/>
        <v/>
      </c>
      <c r="AI53" s="312" t="str">
        <f>IF(AH53="Check Data","Check Data",IFERROR(VLOOKUP(AH53,'G-4 Temporal multipliers'!$A$4:$C$36,3,FALSE),""))</f>
        <v/>
      </c>
      <c r="AJ53" s="290" t="str">
        <f>IF(S53="","",VLOOKUP(S53,'G-3 Multipliers'!$A$2:$E$134,4,FALSE))</f>
        <v/>
      </c>
      <c r="AK53" s="298" t="str">
        <f t="shared" si="6"/>
        <v/>
      </c>
      <c r="AL53" s="298" t="str">
        <f t="shared" si="7"/>
        <v/>
      </c>
      <c r="AM53" s="328" t="str">
        <f>IFERROR(IF(F53="","",IF(AH53="Check Data ⚠","Check Data ⚠",VLOOKUP(AL53, 'G-3 Multipliers'!$P$2:$Q$6,2,FALSE))),"")</f>
        <v/>
      </c>
      <c r="AN53" s="304" t="str">
        <f t="shared" si="8"/>
        <v/>
      </c>
      <c r="AO53" s="163"/>
      <c r="AP53" s="164"/>
      <c r="AQ53" s="101"/>
      <c r="AT53" s="20" t="str">
        <f t="shared" si="9"/>
        <v>No</v>
      </c>
      <c r="AU53" s="20" t="str">
        <f>IF(E53="","",IF(ISNA(VLOOKUP($E53,'A-1 On-Site Habitat Baseline'!$D$1:$AV$258,4,FALSE)),"",(VLOOKUP($E53,'A-1 On-Site Habitat Baseline'!$D$1:$AV$258,4,FALSE))))</f>
        <v/>
      </c>
    </row>
    <row r="54" spans="1:47" x14ac:dyDescent="0.3">
      <c r="A54" s="20" t="str">
        <f>IF(E54="","",IF(ISNA(VLOOKUP($E54,'A-1 On-Site Habitat Baseline'!$D$1:$O$258,2,FALSE)),"",(VLOOKUP($E54,'A-1 On-Site Habitat Baseline'!$D$1:$O$258,2,FALSE))))</f>
        <v/>
      </c>
      <c r="B54" s="20" t="str">
        <f>IF(E54="","",IF(ISNA(VLOOKUP($E54,'A-1 On-Site Habitat Baseline'!$D$1:$O$258,3,FALSE)),"",(VLOOKUP($E54,'A-1 On-Site Habitat Baseline'!$D$1:$O$258,3,FALSE))))</f>
        <v/>
      </c>
      <c r="C54" s="20" t="str">
        <f>IFERROR(INDEX('G-8 Condition Look up'!$I$4:$I$135,MATCH(S54,'G-8 Condition Look up'!$A$4:$A$135,0)),"")</f>
        <v/>
      </c>
      <c r="E54" s="319" t="str">
        <f>'A-1 On-Site Habitat Baseline'!AL53</f>
        <v/>
      </c>
      <c r="F54" s="310" t="str">
        <f>IF(E54="","",IF(ISNA(VLOOKUP($E54,'A-1 On-Site Habitat Baseline'!$D$1:$AV$258,45,FALSE)),"",(VLOOKUP($E54,'A-1 On-Site Habitat Baseline'!$D$1:$AV$258,45,FALSE))))</f>
        <v/>
      </c>
      <c r="G54" s="310" t="str">
        <f>IF(E54="","",IF(ISNA(VLOOKUP($E54,'A-1 On-Site Habitat Baseline'!$D$1:$O$258,5,FALSE)),"",(VLOOKUP($E54,'A-1 On-Site Habitat Baseline'!$D$1:$O$258,5,FALSE))))</f>
        <v/>
      </c>
      <c r="H54" s="310" t="str">
        <f>IF(E54="","",IF(ISNA(VLOOKUP($E54,'A-1 On-Site Habitat Baseline'!$D$1:$O$258,6,FALSE)),"",(VLOOKUP($E54,'A-1 On-Site Habitat Baseline'!$D$1:$O$258,6,FALSE))))</f>
        <v/>
      </c>
      <c r="I54" s="310" t="str">
        <f>IF(E54="","",IF(ISNA(VLOOKUP($E54,'A-1 On-Site Habitat Baseline'!$D$1:$O$258,7,FALSE)),"",(VLOOKUP($E54,'A-1 On-Site Habitat Baseline'!$D$1:$O$258,7,FALSE))))</f>
        <v/>
      </c>
      <c r="J54" s="310" t="str">
        <f>IF(E54="","",IF(ISNA(VLOOKUP($E54,'A-1 On-Site Habitat Baseline'!$D$1:$O$258,8,FALSE)),"",(VLOOKUP($E54,'A-1 On-Site Habitat Baseline'!$D$1:$O$258,8,FALSE))))</f>
        <v/>
      </c>
      <c r="K54" s="310" t="str">
        <f>IF(E54="","",IF(ISNA(VLOOKUP($E54,'A-1 On-Site Habitat Baseline'!$D$1:$O$258,9,FALSE)),"",(VLOOKUP($E54,'A-1 On-Site Habitat Baseline'!$D$1:$O$258,9,FALSE))))</f>
        <v/>
      </c>
      <c r="L54" s="310" t="str">
        <f>IF(E54="","",IF(ISNA(VLOOKUP($E54,'A-1 On-Site Habitat Baseline'!$D$1:$O$258,11,FALSE)),"",(VLOOKUP($E54,'A-1 On-Site Habitat Baseline'!$D$1:$O$258,11,FALSE))))</f>
        <v/>
      </c>
      <c r="M54" s="310" t="str">
        <f>IF(E54="","",IF(ISNA(VLOOKUP($E54,'A-1 On-Site Habitat Baseline'!$D$1:$O$258,12,FALSE)),"",(VLOOKUP($E54,'A-1 On-Site Habitat Baseline'!$D$1:$O$258,12,FALSE))))</f>
        <v/>
      </c>
      <c r="N54" s="320" t="str">
        <f>IF(E54="","",IF(ISNA(VLOOKUP($E54,'A-1 On-Site Habitat Baseline'!$D$1:$X$258,14,FALSE)),"",(VLOOKUP($E54,'A-1 On-Site Habitat Baseline'!$D$1:$X$258,14,FALSE))))</f>
        <v/>
      </c>
      <c r="O54" s="314" t="str">
        <f>IF(E54="","",IF(ISNA(VLOOKUP($E54,'A-1 On-Site Habitat Baseline'!$D$1:$X$258,16,FALSE)),"",(VLOOKUP($E54,'A-1 On-Site Habitat Baseline'!$D$1:$X$258,13,FALSE))))</f>
        <v/>
      </c>
      <c r="P54" s="161" t="str">
        <f>IFERROR(INDEX('G-1 All Habitats'!$AG$49:$AG$63,MATCH(Q54,'G-1 All Habitats'!$AF$27:$AF$41,0)),"")</f>
        <v/>
      </c>
      <c r="Q54" s="162" t="str">
        <f t="shared" si="0"/>
        <v/>
      </c>
      <c r="R54" s="162"/>
      <c r="S54" s="252" t="str">
        <f>IFERROR(INDEX('G-1 All Habitats'!$B$3:$B$135,MATCH(R54,'G-1 All Habitats'!$A$3:$A$135,0)),"")</f>
        <v/>
      </c>
      <c r="T54" s="290" t="str">
        <f t="shared" si="1"/>
        <v/>
      </c>
      <c r="U54" s="291" t="str">
        <f t="shared" si="10"/>
        <v/>
      </c>
      <c r="V54" s="325" t="str">
        <f t="shared" si="2"/>
        <v/>
      </c>
      <c r="W54" s="310" t="str">
        <f>IF(S54="","",VLOOKUP(S54,'G-1 All Habitats'!$B$2:$M$135,10,FALSE))</f>
        <v/>
      </c>
      <c r="X54" s="310" t="str">
        <f>IFERROR(VLOOKUP(W54,'G-1 All Habitats'!$V$3:$W$7,2,FALSE),"")</f>
        <v/>
      </c>
      <c r="Y54" s="45"/>
      <c r="Z54" s="314" t="str">
        <f>IFERROR(INDEX('G-8 Condition Look up'!$A$3:$H$135,MATCH(S54,'G-8 Condition Look up'!$A$3:$A$135,0),MATCH(Y54,'G-8 Condition Look up'!$A$3:$H$3,0)),"")</f>
        <v/>
      </c>
      <c r="AA54" s="38"/>
      <c r="AB54" s="310" t="str">
        <f>IF(AA54="","",IF(VLOOKUP(AA54,'G-3 Multipliers'!$L$3:$N$6,2,FALSE)=0,"Spatial Data Missing ⚠",VLOOKUP(AA54,'G-3 Multipliers'!$L$3:$N$6,2,FALSE)))</f>
        <v/>
      </c>
      <c r="AC54" s="314" t="str">
        <f>IF(AA54="","",IF(VLOOKUP(AA54,'G-3 Multipliers'!$L$3:$N$6,3,FALSE)=0,"Spatial Data Missing ⚠",VLOOKUP(AA54,'G-3 Multipliers'!$L$3:$N$6,3,FALSE)))</f>
        <v/>
      </c>
      <c r="AD54" s="327" t="str">
        <f t="shared" si="3"/>
        <v/>
      </c>
      <c r="AE54" s="47"/>
      <c r="AF54" s="47"/>
      <c r="AG54" s="298" t="str">
        <f t="shared" si="4"/>
        <v/>
      </c>
      <c r="AH54" s="311" t="str">
        <f t="shared" si="5"/>
        <v/>
      </c>
      <c r="AI54" s="312" t="str">
        <f>IF(AH54="Check Data","Check Data",IFERROR(VLOOKUP(AH54,'G-4 Temporal multipliers'!$A$4:$C$36,3,FALSE),""))</f>
        <v/>
      </c>
      <c r="AJ54" s="290" t="str">
        <f>IF(S54="","",VLOOKUP(S54,'G-3 Multipliers'!$A$2:$E$134,4,FALSE))</f>
        <v/>
      </c>
      <c r="AK54" s="298" t="str">
        <f t="shared" si="6"/>
        <v/>
      </c>
      <c r="AL54" s="298" t="str">
        <f t="shared" si="7"/>
        <v/>
      </c>
      <c r="AM54" s="328" t="str">
        <f>IFERROR(IF(F54="","",IF(AH54="Check Data ⚠","Check Data ⚠",VLOOKUP(AL54, 'G-3 Multipliers'!$P$2:$Q$6,2,FALSE))),"")</f>
        <v/>
      </c>
      <c r="AN54" s="304" t="str">
        <f t="shared" si="8"/>
        <v/>
      </c>
      <c r="AO54" s="163"/>
      <c r="AP54" s="164"/>
      <c r="AQ54" s="101"/>
      <c r="AT54" s="20" t="str">
        <f t="shared" si="9"/>
        <v>No</v>
      </c>
      <c r="AU54" s="20" t="str">
        <f>IF(E54="","",IF(ISNA(VLOOKUP($E54,'A-1 On-Site Habitat Baseline'!$D$1:$AV$258,4,FALSE)),"",(VLOOKUP($E54,'A-1 On-Site Habitat Baseline'!$D$1:$AV$258,4,FALSE))))</f>
        <v/>
      </c>
    </row>
    <row r="55" spans="1:47" x14ac:dyDescent="0.3">
      <c r="A55" s="20" t="str">
        <f>IF(E55="","",IF(ISNA(VLOOKUP($E55,'A-1 On-Site Habitat Baseline'!$D$1:$O$258,2,FALSE)),"",(VLOOKUP($E55,'A-1 On-Site Habitat Baseline'!$D$1:$O$258,2,FALSE))))</f>
        <v/>
      </c>
      <c r="B55" s="20" t="str">
        <f>IF(E55="","",IF(ISNA(VLOOKUP($E55,'A-1 On-Site Habitat Baseline'!$D$1:$O$258,3,FALSE)),"",(VLOOKUP($E55,'A-1 On-Site Habitat Baseline'!$D$1:$O$258,3,FALSE))))</f>
        <v/>
      </c>
      <c r="C55" s="20" t="str">
        <f>IFERROR(INDEX('G-8 Condition Look up'!$I$4:$I$135,MATCH(S55,'G-8 Condition Look up'!$A$4:$A$135,0)),"")</f>
        <v/>
      </c>
      <c r="E55" s="319" t="str">
        <f>'A-1 On-Site Habitat Baseline'!AL54</f>
        <v/>
      </c>
      <c r="F55" s="310" t="str">
        <f>IF(E55="","",IF(ISNA(VLOOKUP($E55,'A-1 On-Site Habitat Baseline'!$D$1:$AV$258,45,FALSE)),"",(VLOOKUP($E55,'A-1 On-Site Habitat Baseline'!$D$1:$AV$258,45,FALSE))))</f>
        <v/>
      </c>
      <c r="G55" s="310" t="str">
        <f>IF(E55="","",IF(ISNA(VLOOKUP($E55,'A-1 On-Site Habitat Baseline'!$D$1:$O$258,5,FALSE)),"",(VLOOKUP($E55,'A-1 On-Site Habitat Baseline'!$D$1:$O$258,5,FALSE))))</f>
        <v/>
      </c>
      <c r="H55" s="310" t="str">
        <f>IF(E55="","",IF(ISNA(VLOOKUP($E55,'A-1 On-Site Habitat Baseline'!$D$1:$O$258,6,FALSE)),"",(VLOOKUP($E55,'A-1 On-Site Habitat Baseline'!$D$1:$O$258,6,FALSE))))</f>
        <v/>
      </c>
      <c r="I55" s="310" t="str">
        <f>IF(E55="","",IF(ISNA(VLOOKUP($E55,'A-1 On-Site Habitat Baseline'!$D$1:$O$258,7,FALSE)),"",(VLOOKUP($E55,'A-1 On-Site Habitat Baseline'!$D$1:$O$258,7,FALSE))))</f>
        <v/>
      </c>
      <c r="J55" s="310" t="str">
        <f>IF(E55="","",IF(ISNA(VLOOKUP($E55,'A-1 On-Site Habitat Baseline'!$D$1:$O$258,8,FALSE)),"",(VLOOKUP($E55,'A-1 On-Site Habitat Baseline'!$D$1:$O$258,8,FALSE))))</f>
        <v/>
      </c>
      <c r="K55" s="310" t="str">
        <f>IF(E55="","",IF(ISNA(VLOOKUP($E55,'A-1 On-Site Habitat Baseline'!$D$1:$O$258,9,FALSE)),"",(VLOOKUP($E55,'A-1 On-Site Habitat Baseline'!$D$1:$O$258,9,FALSE))))</f>
        <v/>
      </c>
      <c r="L55" s="310" t="str">
        <f>IF(E55="","",IF(ISNA(VLOOKUP($E55,'A-1 On-Site Habitat Baseline'!$D$1:$O$258,11,FALSE)),"",(VLOOKUP($E55,'A-1 On-Site Habitat Baseline'!$D$1:$O$258,11,FALSE))))</f>
        <v/>
      </c>
      <c r="M55" s="310" t="str">
        <f>IF(E55="","",IF(ISNA(VLOOKUP($E55,'A-1 On-Site Habitat Baseline'!$D$1:$O$258,12,FALSE)),"",(VLOOKUP($E55,'A-1 On-Site Habitat Baseline'!$D$1:$O$258,12,FALSE))))</f>
        <v/>
      </c>
      <c r="N55" s="320" t="str">
        <f>IF(E55="","",IF(ISNA(VLOOKUP($E55,'A-1 On-Site Habitat Baseline'!$D$1:$X$258,14,FALSE)),"",(VLOOKUP($E55,'A-1 On-Site Habitat Baseline'!$D$1:$X$258,14,FALSE))))</f>
        <v/>
      </c>
      <c r="O55" s="314" t="str">
        <f>IF(E55="","",IF(ISNA(VLOOKUP($E55,'A-1 On-Site Habitat Baseline'!$D$1:$X$258,16,FALSE)),"",(VLOOKUP($E55,'A-1 On-Site Habitat Baseline'!$D$1:$X$258,13,FALSE))))</f>
        <v/>
      </c>
      <c r="P55" s="161" t="str">
        <f>IFERROR(INDEX('G-1 All Habitats'!$AG$49:$AG$63,MATCH(Q55,'G-1 All Habitats'!$AF$27:$AF$41,0)),"")</f>
        <v/>
      </c>
      <c r="Q55" s="162" t="str">
        <f t="shared" si="0"/>
        <v/>
      </c>
      <c r="R55" s="162"/>
      <c r="S55" s="252" t="str">
        <f>IFERROR(INDEX('G-1 All Habitats'!$B$3:$B$135,MATCH(R55,'G-1 All Habitats'!$A$3:$A$135,0)),"")</f>
        <v/>
      </c>
      <c r="T55" s="290" t="str">
        <f t="shared" si="1"/>
        <v/>
      </c>
      <c r="U55" s="291" t="str">
        <f t="shared" si="10"/>
        <v/>
      </c>
      <c r="V55" s="325" t="str">
        <f t="shared" si="2"/>
        <v/>
      </c>
      <c r="W55" s="310" t="str">
        <f>IF(S55="","",VLOOKUP(S55,'G-1 All Habitats'!$B$2:$M$135,10,FALSE))</f>
        <v/>
      </c>
      <c r="X55" s="310" t="str">
        <f>IFERROR(VLOOKUP(W55,'G-1 All Habitats'!$V$3:$W$7,2,FALSE),"")</f>
        <v/>
      </c>
      <c r="Y55" s="45"/>
      <c r="Z55" s="314" t="str">
        <f>IFERROR(INDEX('G-8 Condition Look up'!$A$3:$H$135,MATCH(S55,'G-8 Condition Look up'!$A$3:$A$135,0),MATCH(Y55,'G-8 Condition Look up'!$A$3:$H$3,0)),"")</f>
        <v/>
      </c>
      <c r="AA55" s="38"/>
      <c r="AB55" s="310" t="str">
        <f>IF(AA55="","",IF(VLOOKUP(AA55,'G-3 Multipliers'!$L$3:$N$6,2,FALSE)=0,"Spatial Data Missing ⚠",VLOOKUP(AA55,'G-3 Multipliers'!$L$3:$N$6,2,FALSE)))</f>
        <v/>
      </c>
      <c r="AC55" s="314" t="str">
        <f>IF(AA55="","",IF(VLOOKUP(AA55,'G-3 Multipliers'!$L$3:$N$6,3,FALSE)=0,"Spatial Data Missing ⚠",VLOOKUP(AA55,'G-3 Multipliers'!$L$3:$N$6,3,FALSE)))</f>
        <v/>
      </c>
      <c r="AD55" s="327" t="str">
        <f t="shared" si="3"/>
        <v/>
      </c>
      <c r="AE55" s="47"/>
      <c r="AF55" s="47"/>
      <c r="AG55" s="298" t="str">
        <f t="shared" si="4"/>
        <v/>
      </c>
      <c r="AH55" s="311" t="str">
        <f t="shared" si="5"/>
        <v/>
      </c>
      <c r="AI55" s="312" t="str">
        <f>IF(AH55="Check Data","Check Data",IFERROR(VLOOKUP(AH55,'G-4 Temporal multipliers'!$A$4:$C$36,3,FALSE),""))</f>
        <v/>
      </c>
      <c r="AJ55" s="290" t="str">
        <f>IF(S55="","",VLOOKUP(S55,'G-3 Multipliers'!$A$2:$E$134,4,FALSE))</f>
        <v/>
      </c>
      <c r="AK55" s="298" t="str">
        <f t="shared" si="6"/>
        <v/>
      </c>
      <c r="AL55" s="298" t="str">
        <f t="shared" si="7"/>
        <v/>
      </c>
      <c r="AM55" s="328" t="str">
        <f>IFERROR(IF(F55="","",IF(AH55="Check Data ⚠","Check Data ⚠",VLOOKUP(AL55, 'G-3 Multipliers'!$P$2:$Q$6,2,FALSE))),"")</f>
        <v/>
      </c>
      <c r="AN55" s="304" t="str">
        <f t="shared" si="8"/>
        <v/>
      </c>
      <c r="AO55" s="163"/>
      <c r="AP55" s="164"/>
      <c r="AQ55" s="101"/>
      <c r="AT55" s="20" t="str">
        <f t="shared" si="9"/>
        <v>No</v>
      </c>
      <c r="AU55" s="20" t="str">
        <f>IF(E55="","",IF(ISNA(VLOOKUP($E55,'A-1 On-Site Habitat Baseline'!$D$1:$AV$258,4,FALSE)),"",(VLOOKUP($E55,'A-1 On-Site Habitat Baseline'!$D$1:$AV$258,4,FALSE))))</f>
        <v/>
      </c>
    </row>
    <row r="56" spans="1:47" x14ac:dyDescent="0.3">
      <c r="A56" s="20" t="str">
        <f>IF(E56="","",IF(ISNA(VLOOKUP($E56,'A-1 On-Site Habitat Baseline'!$D$1:$O$258,2,FALSE)),"",(VLOOKUP($E56,'A-1 On-Site Habitat Baseline'!$D$1:$O$258,2,FALSE))))</f>
        <v/>
      </c>
      <c r="B56" s="20" t="str">
        <f>IF(E56="","",IF(ISNA(VLOOKUP($E56,'A-1 On-Site Habitat Baseline'!$D$1:$O$258,3,FALSE)),"",(VLOOKUP($E56,'A-1 On-Site Habitat Baseline'!$D$1:$O$258,3,FALSE))))</f>
        <v/>
      </c>
      <c r="C56" s="20" t="str">
        <f>IFERROR(INDEX('G-8 Condition Look up'!$I$4:$I$135,MATCH(S56,'G-8 Condition Look up'!$A$4:$A$135,0)),"")</f>
        <v/>
      </c>
      <c r="E56" s="319" t="str">
        <f>'A-1 On-Site Habitat Baseline'!AL55</f>
        <v/>
      </c>
      <c r="F56" s="310" t="str">
        <f>IF(E56="","",IF(ISNA(VLOOKUP($E56,'A-1 On-Site Habitat Baseline'!$D$1:$AV$258,45,FALSE)),"",(VLOOKUP($E56,'A-1 On-Site Habitat Baseline'!$D$1:$AV$258,45,FALSE))))</f>
        <v/>
      </c>
      <c r="G56" s="310" t="str">
        <f>IF(E56="","",IF(ISNA(VLOOKUP($E56,'A-1 On-Site Habitat Baseline'!$D$1:$O$258,5,FALSE)),"",(VLOOKUP($E56,'A-1 On-Site Habitat Baseline'!$D$1:$O$258,5,FALSE))))</f>
        <v/>
      </c>
      <c r="H56" s="310" t="str">
        <f>IF(E56="","",IF(ISNA(VLOOKUP($E56,'A-1 On-Site Habitat Baseline'!$D$1:$O$258,6,FALSE)),"",(VLOOKUP($E56,'A-1 On-Site Habitat Baseline'!$D$1:$O$258,6,FALSE))))</f>
        <v/>
      </c>
      <c r="I56" s="310" t="str">
        <f>IF(E56="","",IF(ISNA(VLOOKUP($E56,'A-1 On-Site Habitat Baseline'!$D$1:$O$258,7,FALSE)),"",(VLOOKUP($E56,'A-1 On-Site Habitat Baseline'!$D$1:$O$258,7,FALSE))))</f>
        <v/>
      </c>
      <c r="J56" s="310" t="str">
        <f>IF(E56="","",IF(ISNA(VLOOKUP($E56,'A-1 On-Site Habitat Baseline'!$D$1:$O$258,8,FALSE)),"",(VLOOKUP($E56,'A-1 On-Site Habitat Baseline'!$D$1:$O$258,8,FALSE))))</f>
        <v/>
      </c>
      <c r="K56" s="310" t="str">
        <f>IF(E56="","",IF(ISNA(VLOOKUP($E56,'A-1 On-Site Habitat Baseline'!$D$1:$O$258,9,FALSE)),"",(VLOOKUP($E56,'A-1 On-Site Habitat Baseline'!$D$1:$O$258,9,FALSE))))</f>
        <v/>
      </c>
      <c r="L56" s="310" t="str">
        <f>IF(E56="","",IF(ISNA(VLOOKUP($E56,'A-1 On-Site Habitat Baseline'!$D$1:$O$258,11,FALSE)),"",(VLOOKUP($E56,'A-1 On-Site Habitat Baseline'!$D$1:$O$258,11,FALSE))))</f>
        <v/>
      </c>
      <c r="M56" s="310" t="str">
        <f>IF(E56="","",IF(ISNA(VLOOKUP($E56,'A-1 On-Site Habitat Baseline'!$D$1:$O$258,12,FALSE)),"",(VLOOKUP($E56,'A-1 On-Site Habitat Baseline'!$D$1:$O$258,12,FALSE))))</f>
        <v/>
      </c>
      <c r="N56" s="320" t="str">
        <f>IF(E56="","",IF(ISNA(VLOOKUP($E56,'A-1 On-Site Habitat Baseline'!$D$1:$X$258,14,FALSE)),"",(VLOOKUP($E56,'A-1 On-Site Habitat Baseline'!$D$1:$X$258,14,FALSE))))</f>
        <v/>
      </c>
      <c r="O56" s="314" t="str">
        <f>IF(E56="","",IF(ISNA(VLOOKUP($E56,'A-1 On-Site Habitat Baseline'!$D$1:$X$258,16,FALSE)),"",(VLOOKUP($E56,'A-1 On-Site Habitat Baseline'!$D$1:$X$258,13,FALSE))))</f>
        <v/>
      </c>
      <c r="P56" s="161" t="str">
        <f>IFERROR(INDEX('G-1 All Habitats'!$AG$49:$AG$63,MATCH(Q56,'G-1 All Habitats'!$AF$27:$AF$41,0)),"")</f>
        <v/>
      </c>
      <c r="Q56" s="162" t="str">
        <f t="shared" si="0"/>
        <v/>
      </c>
      <c r="R56" s="162"/>
      <c r="S56" s="252" t="str">
        <f>IFERROR(INDEX('G-1 All Habitats'!$B$3:$B$135,MATCH(R56,'G-1 All Habitats'!$A$3:$A$135,0)),"")</f>
        <v/>
      </c>
      <c r="T56" s="290" t="str">
        <f t="shared" si="1"/>
        <v/>
      </c>
      <c r="U56" s="291" t="str">
        <f t="shared" si="10"/>
        <v/>
      </c>
      <c r="V56" s="325" t="str">
        <f t="shared" si="2"/>
        <v/>
      </c>
      <c r="W56" s="310" t="str">
        <f>IF(S56="","",VLOOKUP(S56,'G-1 All Habitats'!$B$2:$M$135,10,FALSE))</f>
        <v/>
      </c>
      <c r="X56" s="310" t="str">
        <f>IFERROR(VLOOKUP(W56,'G-1 All Habitats'!$V$3:$W$7,2,FALSE),"")</f>
        <v/>
      </c>
      <c r="Y56" s="45"/>
      <c r="Z56" s="314" t="str">
        <f>IFERROR(INDEX('G-8 Condition Look up'!$A$3:$H$135,MATCH(S56,'G-8 Condition Look up'!$A$3:$A$135,0),MATCH(Y56,'G-8 Condition Look up'!$A$3:$H$3,0)),"")</f>
        <v/>
      </c>
      <c r="AA56" s="38"/>
      <c r="AB56" s="310" t="str">
        <f>IF(AA56="","",IF(VLOOKUP(AA56,'G-3 Multipliers'!$L$3:$N$6,2,FALSE)=0,"Spatial Data Missing ⚠",VLOOKUP(AA56,'G-3 Multipliers'!$L$3:$N$6,2,FALSE)))</f>
        <v/>
      </c>
      <c r="AC56" s="314" t="str">
        <f>IF(AA56="","",IF(VLOOKUP(AA56,'G-3 Multipliers'!$L$3:$N$6,3,FALSE)=0,"Spatial Data Missing ⚠",VLOOKUP(AA56,'G-3 Multipliers'!$L$3:$N$6,3,FALSE)))</f>
        <v/>
      </c>
      <c r="AD56" s="327" t="str">
        <f t="shared" si="3"/>
        <v/>
      </c>
      <c r="AE56" s="47"/>
      <c r="AF56" s="47"/>
      <c r="AG56" s="298" t="str">
        <f t="shared" si="4"/>
        <v/>
      </c>
      <c r="AH56" s="311" t="str">
        <f t="shared" si="5"/>
        <v/>
      </c>
      <c r="AI56" s="312" t="str">
        <f>IF(AH56="Check Data","Check Data",IFERROR(VLOOKUP(AH56,'G-4 Temporal multipliers'!$A$4:$C$36,3,FALSE),""))</f>
        <v/>
      </c>
      <c r="AJ56" s="290" t="str">
        <f>IF(S56="","",VLOOKUP(S56,'G-3 Multipliers'!$A$2:$E$134,4,FALSE))</f>
        <v/>
      </c>
      <c r="AK56" s="298" t="str">
        <f t="shared" si="6"/>
        <v/>
      </c>
      <c r="AL56" s="298" t="str">
        <f t="shared" si="7"/>
        <v/>
      </c>
      <c r="AM56" s="328" t="str">
        <f>IFERROR(IF(F56="","",IF(AH56="Check Data ⚠","Check Data ⚠",VLOOKUP(AL56, 'G-3 Multipliers'!$P$2:$Q$6,2,FALSE))),"")</f>
        <v/>
      </c>
      <c r="AN56" s="304" t="str">
        <f t="shared" si="8"/>
        <v/>
      </c>
      <c r="AO56" s="163"/>
      <c r="AP56" s="164"/>
      <c r="AQ56" s="101"/>
      <c r="AT56" s="20" t="str">
        <f t="shared" si="9"/>
        <v>No</v>
      </c>
      <c r="AU56" s="20" t="str">
        <f>IF(E56="","",IF(ISNA(VLOOKUP($E56,'A-1 On-Site Habitat Baseline'!$D$1:$AV$258,4,FALSE)),"",(VLOOKUP($E56,'A-1 On-Site Habitat Baseline'!$D$1:$AV$258,4,FALSE))))</f>
        <v/>
      </c>
    </row>
    <row r="57" spans="1:47" x14ac:dyDescent="0.3">
      <c r="A57" s="20" t="str">
        <f>IF(E57="","",IF(ISNA(VLOOKUP($E57,'A-1 On-Site Habitat Baseline'!$D$1:$O$258,2,FALSE)),"",(VLOOKUP($E57,'A-1 On-Site Habitat Baseline'!$D$1:$O$258,2,FALSE))))</f>
        <v/>
      </c>
      <c r="B57" s="20" t="str">
        <f>IF(E57="","",IF(ISNA(VLOOKUP($E57,'A-1 On-Site Habitat Baseline'!$D$1:$O$258,3,FALSE)),"",(VLOOKUP($E57,'A-1 On-Site Habitat Baseline'!$D$1:$O$258,3,FALSE))))</f>
        <v/>
      </c>
      <c r="C57" s="20" t="str">
        <f>IFERROR(INDEX('G-8 Condition Look up'!$I$4:$I$135,MATCH(S57,'G-8 Condition Look up'!$A$4:$A$135,0)),"")</f>
        <v/>
      </c>
      <c r="E57" s="319" t="str">
        <f>'A-1 On-Site Habitat Baseline'!AL56</f>
        <v/>
      </c>
      <c r="F57" s="310" t="str">
        <f>IF(E57="","",IF(ISNA(VLOOKUP($E57,'A-1 On-Site Habitat Baseline'!$D$1:$AV$258,45,FALSE)),"",(VLOOKUP($E57,'A-1 On-Site Habitat Baseline'!$D$1:$AV$258,45,FALSE))))</f>
        <v/>
      </c>
      <c r="G57" s="310" t="str">
        <f>IF(E57="","",IF(ISNA(VLOOKUP($E57,'A-1 On-Site Habitat Baseline'!$D$1:$O$258,5,FALSE)),"",(VLOOKUP($E57,'A-1 On-Site Habitat Baseline'!$D$1:$O$258,5,FALSE))))</f>
        <v/>
      </c>
      <c r="H57" s="310" t="str">
        <f>IF(E57="","",IF(ISNA(VLOOKUP($E57,'A-1 On-Site Habitat Baseline'!$D$1:$O$258,6,FALSE)),"",(VLOOKUP($E57,'A-1 On-Site Habitat Baseline'!$D$1:$O$258,6,FALSE))))</f>
        <v/>
      </c>
      <c r="I57" s="310" t="str">
        <f>IF(E57="","",IF(ISNA(VLOOKUP($E57,'A-1 On-Site Habitat Baseline'!$D$1:$O$258,7,FALSE)),"",(VLOOKUP($E57,'A-1 On-Site Habitat Baseline'!$D$1:$O$258,7,FALSE))))</f>
        <v/>
      </c>
      <c r="J57" s="310" t="str">
        <f>IF(E57="","",IF(ISNA(VLOOKUP($E57,'A-1 On-Site Habitat Baseline'!$D$1:$O$258,8,FALSE)),"",(VLOOKUP($E57,'A-1 On-Site Habitat Baseline'!$D$1:$O$258,8,FALSE))))</f>
        <v/>
      </c>
      <c r="K57" s="310" t="str">
        <f>IF(E57="","",IF(ISNA(VLOOKUP($E57,'A-1 On-Site Habitat Baseline'!$D$1:$O$258,9,FALSE)),"",(VLOOKUP($E57,'A-1 On-Site Habitat Baseline'!$D$1:$O$258,9,FALSE))))</f>
        <v/>
      </c>
      <c r="L57" s="310" t="str">
        <f>IF(E57="","",IF(ISNA(VLOOKUP($E57,'A-1 On-Site Habitat Baseline'!$D$1:$O$258,11,FALSE)),"",(VLOOKUP($E57,'A-1 On-Site Habitat Baseline'!$D$1:$O$258,11,FALSE))))</f>
        <v/>
      </c>
      <c r="M57" s="310" t="str">
        <f>IF(E57="","",IF(ISNA(VLOOKUP($E57,'A-1 On-Site Habitat Baseline'!$D$1:$O$258,12,FALSE)),"",(VLOOKUP($E57,'A-1 On-Site Habitat Baseline'!$D$1:$O$258,12,FALSE))))</f>
        <v/>
      </c>
      <c r="N57" s="320" t="str">
        <f>IF(E57="","",IF(ISNA(VLOOKUP($E57,'A-1 On-Site Habitat Baseline'!$D$1:$X$258,14,FALSE)),"",(VLOOKUP($E57,'A-1 On-Site Habitat Baseline'!$D$1:$X$258,14,FALSE))))</f>
        <v/>
      </c>
      <c r="O57" s="314" t="str">
        <f>IF(E57="","",IF(ISNA(VLOOKUP($E57,'A-1 On-Site Habitat Baseline'!$D$1:$X$258,16,FALSE)),"",(VLOOKUP($E57,'A-1 On-Site Habitat Baseline'!$D$1:$X$258,13,FALSE))))</f>
        <v/>
      </c>
      <c r="P57" s="161" t="str">
        <f>IFERROR(INDEX('G-1 All Habitats'!$AG$49:$AG$63,MATCH(Q57,'G-1 All Habitats'!$AF$27:$AF$41,0)),"")</f>
        <v/>
      </c>
      <c r="Q57" s="162" t="str">
        <f t="shared" si="0"/>
        <v/>
      </c>
      <c r="R57" s="162"/>
      <c r="S57" s="252" t="str">
        <f>IFERROR(INDEX('G-1 All Habitats'!$B$3:$B$135,MATCH(R57,'G-1 All Habitats'!$A$3:$A$135,0)),"")</f>
        <v/>
      </c>
      <c r="T57" s="290" t="str">
        <f t="shared" si="1"/>
        <v/>
      </c>
      <c r="U57" s="291" t="str">
        <f t="shared" si="10"/>
        <v/>
      </c>
      <c r="V57" s="325" t="str">
        <f t="shared" si="2"/>
        <v/>
      </c>
      <c r="W57" s="310" t="str">
        <f>IF(S57="","",VLOOKUP(S57,'G-1 All Habitats'!$B$2:$M$135,10,FALSE))</f>
        <v/>
      </c>
      <c r="X57" s="310" t="str">
        <f>IFERROR(VLOOKUP(W57,'G-1 All Habitats'!$V$3:$W$7,2,FALSE),"")</f>
        <v/>
      </c>
      <c r="Y57" s="45"/>
      <c r="Z57" s="314" t="str">
        <f>IFERROR(INDEX('G-8 Condition Look up'!$A$3:$H$135,MATCH(S57,'G-8 Condition Look up'!$A$3:$A$135,0),MATCH(Y57,'G-8 Condition Look up'!$A$3:$H$3,0)),"")</f>
        <v/>
      </c>
      <c r="AA57" s="38"/>
      <c r="AB57" s="310" t="str">
        <f>IF(AA57="","",IF(VLOOKUP(AA57,'G-3 Multipliers'!$L$3:$N$6,2,FALSE)=0,"Spatial Data Missing ⚠",VLOOKUP(AA57,'G-3 Multipliers'!$L$3:$N$6,2,FALSE)))</f>
        <v/>
      </c>
      <c r="AC57" s="314" t="str">
        <f>IF(AA57="","",IF(VLOOKUP(AA57,'G-3 Multipliers'!$L$3:$N$6,3,FALSE)=0,"Spatial Data Missing ⚠",VLOOKUP(AA57,'G-3 Multipliers'!$L$3:$N$6,3,FALSE)))</f>
        <v/>
      </c>
      <c r="AD57" s="327" t="str">
        <f t="shared" si="3"/>
        <v/>
      </c>
      <c r="AE57" s="47"/>
      <c r="AF57" s="47"/>
      <c r="AG57" s="298" t="str">
        <f t="shared" si="4"/>
        <v/>
      </c>
      <c r="AH57" s="311" t="str">
        <f t="shared" si="5"/>
        <v/>
      </c>
      <c r="AI57" s="312" t="str">
        <f>IF(AH57="Check Data","Check Data",IFERROR(VLOOKUP(AH57,'G-4 Temporal multipliers'!$A$4:$C$36,3,FALSE),""))</f>
        <v/>
      </c>
      <c r="AJ57" s="290" t="str">
        <f>IF(S57="","",VLOOKUP(S57,'G-3 Multipliers'!$A$2:$E$134,4,FALSE))</f>
        <v/>
      </c>
      <c r="AK57" s="298" t="str">
        <f t="shared" si="6"/>
        <v/>
      </c>
      <c r="AL57" s="298" t="str">
        <f t="shared" si="7"/>
        <v/>
      </c>
      <c r="AM57" s="328" t="str">
        <f>IFERROR(IF(F57="","",IF(AH57="Check Data ⚠","Check Data ⚠",VLOOKUP(AL57, 'G-3 Multipliers'!$P$2:$Q$6,2,FALSE))),"")</f>
        <v/>
      </c>
      <c r="AN57" s="304" t="str">
        <f t="shared" si="8"/>
        <v/>
      </c>
      <c r="AO57" s="163"/>
      <c r="AP57" s="164"/>
      <c r="AQ57" s="101"/>
      <c r="AT57" s="20" t="str">
        <f t="shared" si="9"/>
        <v>No</v>
      </c>
      <c r="AU57" s="20" t="str">
        <f>IF(E57="","",IF(ISNA(VLOOKUP($E57,'A-1 On-Site Habitat Baseline'!$D$1:$AV$258,4,FALSE)),"",(VLOOKUP($E57,'A-1 On-Site Habitat Baseline'!$D$1:$AV$258,4,FALSE))))</f>
        <v/>
      </c>
    </row>
    <row r="58" spans="1:47" x14ac:dyDescent="0.3">
      <c r="A58" s="20" t="str">
        <f>IF(E58="","",IF(ISNA(VLOOKUP($E58,'A-1 On-Site Habitat Baseline'!$D$1:$O$258,2,FALSE)),"",(VLOOKUP($E58,'A-1 On-Site Habitat Baseline'!$D$1:$O$258,2,FALSE))))</f>
        <v/>
      </c>
      <c r="B58" s="20" t="str">
        <f>IF(E58="","",IF(ISNA(VLOOKUP($E58,'A-1 On-Site Habitat Baseline'!$D$1:$O$258,3,FALSE)),"",(VLOOKUP($E58,'A-1 On-Site Habitat Baseline'!$D$1:$O$258,3,FALSE))))</f>
        <v/>
      </c>
      <c r="C58" s="20" t="str">
        <f>IFERROR(INDEX('G-8 Condition Look up'!$I$4:$I$135,MATCH(S58,'G-8 Condition Look up'!$A$4:$A$135,0)),"")</f>
        <v/>
      </c>
      <c r="E58" s="319" t="str">
        <f>'A-1 On-Site Habitat Baseline'!AL57</f>
        <v/>
      </c>
      <c r="F58" s="310" t="str">
        <f>IF(E58="","",IF(ISNA(VLOOKUP($E58,'A-1 On-Site Habitat Baseline'!$D$1:$AV$258,45,FALSE)),"",(VLOOKUP($E58,'A-1 On-Site Habitat Baseline'!$D$1:$AV$258,45,FALSE))))</f>
        <v/>
      </c>
      <c r="G58" s="310" t="str">
        <f>IF(E58="","",IF(ISNA(VLOOKUP($E58,'A-1 On-Site Habitat Baseline'!$D$1:$O$258,5,FALSE)),"",(VLOOKUP($E58,'A-1 On-Site Habitat Baseline'!$D$1:$O$258,5,FALSE))))</f>
        <v/>
      </c>
      <c r="H58" s="310" t="str">
        <f>IF(E58="","",IF(ISNA(VLOOKUP($E58,'A-1 On-Site Habitat Baseline'!$D$1:$O$258,6,FALSE)),"",(VLOOKUP($E58,'A-1 On-Site Habitat Baseline'!$D$1:$O$258,6,FALSE))))</f>
        <v/>
      </c>
      <c r="I58" s="310" t="str">
        <f>IF(E58="","",IF(ISNA(VLOOKUP($E58,'A-1 On-Site Habitat Baseline'!$D$1:$O$258,7,FALSE)),"",(VLOOKUP($E58,'A-1 On-Site Habitat Baseline'!$D$1:$O$258,7,FALSE))))</f>
        <v/>
      </c>
      <c r="J58" s="310" t="str">
        <f>IF(E58="","",IF(ISNA(VLOOKUP($E58,'A-1 On-Site Habitat Baseline'!$D$1:$O$258,8,FALSE)),"",(VLOOKUP($E58,'A-1 On-Site Habitat Baseline'!$D$1:$O$258,8,FALSE))))</f>
        <v/>
      </c>
      <c r="K58" s="310" t="str">
        <f>IF(E58="","",IF(ISNA(VLOOKUP($E58,'A-1 On-Site Habitat Baseline'!$D$1:$O$258,9,FALSE)),"",(VLOOKUP($E58,'A-1 On-Site Habitat Baseline'!$D$1:$O$258,9,FALSE))))</f>
        <v/>
      </c>
      <c r="L58" s="310" t="str">
        <f>IF(E58="","",IF(ISNA(VLOOKUP($E58,'A-1 On-Site Habitat Baseline'!$D$1:$O$258,11,FALSE)),"",(VLOOKUP($E58,'A-1 On-Site Habitat Baseline'!$D$1:$O$258,11,FALSE))))</f>
        <v/>
      </c>
      <c r="M58" s="310" t="str">
        <f>IF(E58="","",IF(ISNA(VLOOKUP($E58,'A-1 On-Site Habitat Baseline'!$D$1:$O$258,12,FALSE)),"",(VLOOKUP($E58,'A-1 On-Site Habitat Baseline'!$D$1:$O$258,12,FALSE))))</f>
        <v/>
      </c>
      <c r="N58" s="320" t="str">
        <f>IF(E58="","",IF(ISNA(VLOOKUP($E58,'A-1 On-Site Habitat Baseline'!$D$1:$X$258,14,FALSE)),"",(VLOOKUP($E58,'A-1 On-Site Habitat Baseline'!$D$1:$X$258,14,FALSE))))</f>
        <v/>
      </c>
      <c r="O58" s="314" t="str">
        <f>IF(E58="","",IF(ISNA(VLOOKUP($E58,'A-1 On-Site Habitat Baseline'!$D$1:$X$258,16,FALSE)),"",(VLOOKUP($E58,'A-1 On-Site Habitat Baseline'!$D$1:$X$258,13,FALSE))))</f>
        <v/>
      </c>
      <c r="P58" s="161" t="str">
        <f>IFERROR(INDEX('G-1 All Habitats'!$AG$49:$AG$63,MATCH(Q58,'G-1 All Habitats'!$AF$27:$AF$41,0)),"")</f>
        <v/>
      </c>
      <c r="Q58" s="162" t="str">
        <f t="shared" si="0"/>
        <v/>
      </c>
      <c r="R58" s="162"/>
      <c r="S58" s="252" t="str">
        <f>IFERROR(INDEX('G-1 All Habitats'!$B$3:$B$135,MATCH(R58,'G-1 All Habitats'!$A$3:$A$135,0)),"")</f>
        <v/>
      </c>
      <c r="T58" s="290" t="str">
        <f t="shared" si="1"/>
        <v/>
      </c>
      <c r="U58" s="291" t="str">
        <f t="shared" si="10"/>
        <v/>
      </c>
      <c r="V58" s="325" t="str">
        <f t="shared" si="2"/>
        <v/>
      </c>
      <c r="W58" s="310" t="str">
        <f>IF(S58="","",VLOOKUP(S58,'G-1 All Habitats'!$B$2:$M$135,10,FALSE))</f>
        <v/>
      </c>
      <c r="X58" s="310" t="str">
        <f>IFERROR(VLOOKUP(W58,'G-1 All Habitats'!$V$3:$W$7,2,FALSE),"")</f>
        <v/>
      </c>
      <c r="Y58" s="45"/>
      <c r="Z58" s="314" t="str">
        <f>IFERROR(INDEX('G-8 Condition Look up'!$A$3:$H$135,MATCH(S58,'G-8 Condition Look up'!$A$3:$A$135,0),MATCH(Y58,'G-8 Condition Look up'!$A$3:$H$3,0)),"")</f>
        <v/>
      </c>
      <c r="AA58" s="38"/>
      <c r="AB58" s="310" t="str">
        <f>IF(AA58="","",IF(VLOOKUP(AA58,'G-3 Multipliers'!$L$3:$N$6,2,FALSE)=0,"Spatial Data Missing ⚠",VLOOKUP(AA58,'G-3 Multipliers'!$L$3:$N$6,2,FALSE)))</f>
        <v/>
      </c>
      <c r="AC58" s="314" t="str">
        <f>IF(AA58="","",IF(VLOOKUP(AA58,'G-3 Multipliers'!$L$3:$N$6,3,FALSE)=0,"Spatial Data Missing ⚠",VLOOKUP(AA58,'G-3 Multipliers'!$L$3:$N$6,3,FALSE)))</f>
        <v/>
      </c>
      <c r="AD58" s="327" t="str">
        <f t="shared" si="3"/>
        <v/>
      </c>
      <c r="AE58" s="47"/>
      <c r="AF58" s="47"/>
      <c r="AG58" s="298" t="str">
        <f t="shared" si="4"/>
        <v/>
      </c>
      <c r="AH58" s="311" t="str">
        <f t="shared" si="5"/>
        <v/>
      </c>
      <c r="AI58" s="312" t="str">
        <f>IF(AH58="Check Data","Check Data",IFERROR(VLOOKUP(AH58,'G-4 Temporal multipliers'!$A$4:$C$36,3,FALSE),""))</f>
        <v/>
      </c>
      <c r="AJ58" s="290" t="str">
        <f>IF(S58="","",VLOOKUP(S58,'G-3 Multipliers'!$A$2:$E$134,4,FALSE))</f>
        <v/>
      </c>
      <c r="AK58" s="298" t="str">
        <f t="shared" si="6"/>
        <v/>
      </c>
      <c r="AL58" s="298" t="str">
        <f t="shared" si="7"/>
        <v/>
      </c>
      <c r="AM58" s="328" t="str">
        <f>IFERROR(IF(F58="","",IF(AH58="Check Data ⚠","Check Data ⚠",VLOOKUP(AL58, 'G-3 Multipliers'!$P$2:$Q$6,2,FALSE))),"")</f>
        <v/>
      </c>
      <c r="AN58" s="304" t="str">
        <f t="shared" si="8"/>
        <v/>
      </c>
      <c r="AO58" s="163"/>
      <c r="AP58" s="164"/>
      <c r="AQ58" s="101"/>
      <c r="AT58" s="20" t="str">
        <f t="shared" si="9"/>
        <v>No</v>
      </c>
      <c r="AU58" s="20" t="str">
        <f>IF(E58="","",IF(ISNA(VLOOKUP($E58,'A-1 On-Site Habitat Baseline'!$D$1:$AV$258,4,FALSE)),"",(VLOOKUP($E58,'A-1 On-Site Habitat Baseline'!$D$1:$AV$258,4,FALSE))))</f>
        <v/>
      </c>
    </row>
    <row r="59" spans="1:47" x14ac:dyDescent="0.3">
      <c r="A59" s="20" t="str">
        <f>IF(E59="","",IF(ISNA(VLOOKUP($E59,'A-1 On-Site Habitat Baseline'!$D$1:$O$258,2,FALSE)),"",(VLOOKUP($E59,'A-1 On-Site Habitat Baseline'!$D$1:$O$258,2,FALSE))))</f>
        <v/>
      </c>
      <c r="B59" s="20" t="str">
        <f>IF(E59="","",IF(ISNA(VLOOKUP($E59,'A-1 On-Site Habitat Baseline'!$D$1:$O$258,3,FALSE)),"",(VLOOKUP($E59,'A-1 On-Site Habitat Baseline'!$D$1:$O$258,3,FALSE))))</f>
        <v/>
      </c>
      <c r="C59" s="20" t="str">
        <f>IFERROR(INDEX('G-8 Condition Look up'!$I$4:$I$135,MATCH(S59,'G-8 Condition Look up'!$A$4:$A$135,0)),"")</f>
        <v/>
      </c>
      <c r="E59" s="319" t="str">
        <f>'A-1 On-Site Habitat Baseline'!AL58</f>
        <v/>
      </c>
      <c r="F59" s="310" t="str">
        <f>IF(E59="","",IF(ISNA(VLOOKUP($E59,'A-1 On-Site Habitat Baseline'!$D$1:$AV$258,45,FALSE)),"",(VLOOKUP($E59,'A-1 On-Site Habitat Baseline'!$D$1:$AV$258,45,FALSE))))</f>
        <v/>
      </c>
      <c r="G59" s="310" t="str">
        <f>IF(E59="","",IF(ISNA(VLOOKUP($E59,'A-1 On-Site Habitat Baseline'!$D$1:$O$258,5,FALSE)),"",(VLOOKUP($E59,'A-1 On-Site Habitat Baseline'!$D$1:$O$258,5,FALSE))))</f>
        <v/>
      </c>
      <c r="H59" s="310" t="str">
        <f>IF(E59="","",IF(ISNA(VLOOKUP($E59,'A-1 On-Site Habitat Baseline'!$D$1:$O$258,6,FALSE)),"",(VLOOKUP($E59,'A-1 On-Site Habitat Baseline'!$D$1:$O$258,6,FALSE))))</f>
        <v/>
      </c>
      <c r="I59" s="310" t="str">
        <f>IF(E59="","",IF(ISNA(VLOOKUP($E59,'A-1 On-Site Habitat Baseline'!$D$1:$O$258,7,FALSE)),"",(VLOOKUP($E59,'A-1 On-Site Habitat Baseline'!$D$1:$O$258,7,FALSE))))</f>
        <v/>
      </c>
      <c r="J59" s="310" t="str">
        <f>IF(E59="","",IF(ISNA(VLOOKUP($E59,'A-1 On-Site Habitat Baseline'!$D$1:$O$258,8,FALSE)),"",(VLOOKUP($E59,'A-1 On-Site Habitat Baseline'!$D$1:$O$258,8,FALSE))))</f>
        <v/>
      </c>
      <c r="K59" s="310" t="str">
        <f>IF(E59="","",IF(ISNA(VLOOKUP($E59,'A-1 On-Site Habitat Baseline'!$D$1:$O$258,9,FALSE)),"",(VLOOKUP($E59,'A-1 On-Site Habitat Baseline'!$D$1:$O$258,9,FALSE))))</f>
        <v/>
      </c>
      <c r="L59" s="310" t="str">
        <f>IF(E59="","",IF(ISNA(VLOOKUP($E59,'A-1 On-Site Habitat Baseline'!$D$1:$O$258,11,FALSE)),"",(VLOOKUP($E59,'A-1 On-Site Habitat Baseline'!$D$1:$O$258,11,FALSE))))</f>
        <v/>
      </c>
      <c r="M59" s="310" t="str">
        <f>IF(E59="","",IF(ISNA(VLOOKUP($E59,'A-1 On-Site Habitat Baseline'!$D$1:$O$258,12,FALSE)),"",(VLOOKUP($E59,'A-1 On-Site Habitat Baseline'!$D$1:$O$258,12,FALSE))))</f>
        <v/>
      </c>
      <c r="N59" s="320" t="str">
        <f>IF(E59="","",IF(ISNA(VLOOKUP($E59,'A-1 On-Site Habitat Baseline'!$D$1:$X$258,14,FALSE)),"",(VLOOKUP($E59,'A-1 On-Site Habitat Baseline'!$D$1:$X$258,14,FALSE))))</f>
        <v/>
      </c>
      <c r="O59" s="314" t="str">
        <f>IF(E59="","",IF(ISNA(VLOOKUP($E59,'A-1 On-Site Habitat Baseline'!$D$1:$X$258,16,FALSE)),"",(VLOOKUP($E59,'A-1 On-Site Habitat Baseline'!$D$1:$X$258,13,FALSE))))</f>
        <v/>
      </c>
      <c r="P59" s="161" t="str">
        <f>IFERROR(INDEX('G-1 All Habitats'!$AG$49:$AG$63,MATCH(Q59,'G-1 All Habitats'!$AF$27:$AF$41,0)),"")</f>
        <v/>
      </c>
      <c r="Q59" s="162" t="str">
        <f t="shared" si="0"/>
        <v/>
      </c>
      <c r="R59" s="162"/>
      <c r="S59" s="252" t="str">
        <f>IFERROR(INDEX('G-1 All Habitats'!$B$3:$B$135,MATCH(R59,'G-1 All Habitats'!$A$3:$A$135,0)),"")</f>
        <v/>
      </c>
      <c r="T59" s="290" t="str">
        <f t="shared" si="1"/>
        <v/>
      </c>
      <c r="U59" s="291" t="str">
        <f t="shared" si="10"/>
        <v/>
      </c>
      <c r="V59" s="325" t="str">
        <f t="shared" si="2"/>
        <v/>
      </c>
      <c r="W59" s="310" t="str">
        <f>IF(S59="","",VLOOKUP(S59,'G-1 All Habitats'!$B$2:$M$135,10,FALSE))</f>
        <v/>
      </c>
      <c r="X59" s="310" t="str">
        <f>IFERROR(VLOOKUP(W59,'G-1 All Habitats'!$V$3:$W$7,2,FALSE),"")</f>
        <v/>
      </c>
      <c r="Y59" s="45"/>
      <c r="Z59" s="314" t="str">
        <f>IFERROR(INDEX('G-8 Condition Look up'!$A$3:$H$135,MATCH(S59,'G-8 Condition Look up'!$A$3:$A$135,0),MATCH(Y59,'G-8 Condition Look up'!$A$3:$H$3,0)),"")</f>
        <v/>
      </c>
      <c r="AA59" s="38"/>
      <c r="AB59" s="310" t="str">
        <f>IF(AA59="","",IF(VLOOKUP(AA59,'G-3 Multipliers'!$L$3:$N$6,2,FALSE)=0,"Spatial Data Missing ⚠",VLOOKUP(AA59,'G-3 Multipliers'!$L$3:$N$6,2,FALSE)))</f>
        <v/>
      </c>
      <c r="AC59" s="314" t="str">
        <f>IF(AA59="","",IF(VLOOKUP(AA59,'G-3 Multipliers'!$L$3:$N$6,3,FALSE)=0,"Spatial Data Missing ⚠",VLOOKUP(AA59,'G-3 Multipliers'!$L$3:$N$6,3,FALSE)))</f>
        <v/>
      </c>
      <c r="AD59" s="327" t="str">
        <f t="shared" si="3"/>
        <v/>
      </c>
      <c r="AE59" s="47"/>
      <c r="AF59" s="47"/>
      <c r="AG59" s="298" t="str">
        <f t="shared" si="4"/>
        <v/>
      </c>
      <c r="AH59" s="311" t="str">
        <f t="shared" si="5"/>
        <v/>
      </c>
      <c r="AI59" s="312" t="str">
        <f>IF(AH59="Check Data","Check Data",IFERROR(VLOOKUP(AH59,'G-4 Temporal multipliers'!$A$4:$C$36,3,FALSE),""))</f>
        <v/>
      </c>
      <c r="AJ59" s="290" t="str">
        <f>IF(S59="","",VLOOKUP(S59,'G-3 Multipliers'!$A$2:$E$134,4,FALSE))</f>
        <v/>
      </c>
      <c r="AK59" s="298" t="str">
        <f t="shared" si="6"/>
        <v/>
      </c>
      <c r="AL59" s="298" t="str">
        <f t="shared" si="7"/>
        <v/>
      </c>
      <c r="AM59" s="328" t="str">
        <f>IFERROR(IF(F59="","",IF(AH59="Check Data ⚠","Check Data ⚠",VLOOKUP(AL59, 'G-3 Multipliers'!$P$2:$Q$6,2,FALSE))),"")</f>
        <v/>
      </c>
      <c r="AN59" s="304" t="str">
        <f t="shared" si="8"/>
        <v/>
      </c>
      <c r="AO59" s="163"/>
      <c r="AP59" s="164"/>
      <c r="AQ59" s="101"/>
      <c r="AT59" s="20" t="str">
        <f t="shared" si="9"/>
        <v>No</v>
      </c>
      <c r="AU59" s="20" t="str">
        <f>IF(E59="","",IF(ISNA(VLOOKUP($E59,'A-1 On-Site Habitat Baseline'!$D$1:$AV$258,4,FALSE)),"",(VLOOKUP($E59,'A-1 On-Site Habitat Baseline'!$D$1:$AV$258,4,FALSE))))</f>
        <v/>
      </c>
    </row>
    <row r="60" spans="1:47" x14ac:dyDescent="0.3">
      <c r="A60" s="20" t="str">
        <f>IF(E60="","",IF(ISNA(VLOOKUP($E60,'A-1 On-Site Habitat Baseline'!$D$1:$O$258,2,FALSE)),"",(VLOOKUP($E60,'A-1 On-Site Habitat Baseline'!$D$1:$O$258,2,FALSE))))</f>
        <v/>
      </c>
      <c r="B60" s="20" t="str">
        <f>IF(E60="","",IF(ISNA(VLOOKUP($E60,'A-1 On-Site Habitat Baseline'!$D$1:$O$258,3,FALSE)),"",(VLOOKUP($E60,'A-1 On-Site Habitat Baseline'!$D$1:$O$258,3,FALSE))))</f>
        <v/>
      </c>
      <c r="C60" s="20" t="str">
        <f>IFERROR(INDEX('G-8 Condition Look up'!$I$4:$I$135,MATCH(S60,'G-8 Condition Look up'!$A$4:$A$135,0)),"")</f>
        <v/>
      </c>
      <c r="E60" s="319" t="str">
        <f>'A-1 On-Site Habitat Baseline'!AL59</f>
        <v/>
      </c>
      <c r="F60" s="310" t="str">
        <f>IF(E60="","",IF(ISNA(VLOOKUP($E60,'A-1 On-Site Habitat Baseline'!$D$1:$AV$258,45,FALSE)),"",(VLOOKUP($E60,'A-1 On-Site Habitat Baseline'!$D$1:$AV$258,45,FALSE))))</f>
        <v/>
      </c>
      <c r="G60" s="310" t="str">
        <f>IF(E60="","",IF(ISNA(VLOOKUP($E60,'A-1 On-Site Habitat Baseline'!$D$1:$O$258,5,FALSE)),"",(VLOOKUP($E60,'A-1 On-Site Habitat Baseline'!$D$1:$O$258,5,FALSE))))</f>
        <v/>
      </c>
      <c r="H60" s="310" t="str">
        <f>IF(E60="","",IF(ISNA(VLOOKUP($E60,'A-1 On-Site Habitat Baseline'!$D$1:$O$258,6,FALSE)),"",(VLOOKUP($E60,'A-1 On-Site Habitat Baseline'!$D$1:$O$258,6,FALSE))))</f>
        <v/>
      </c>
      <c r="I60" s="310" t="str">
        <f>IF(E60="","",IF(ISNA(VLOOKUP($E60,'A-1 On-Site Habitat Baseline'!$D$1:$O$258,7,FALSE)),"",(VLOOKUP($E60,'A-1 On-Site Habitat Baseline'!$D$1:$O$258,7,FALSE))))</f>
        <v/>
      </c>
      <c r="J60" s="310" t="str">
        <f>IF(E60="","",IF(ISNA(VLOOKUP($E60,'A-1 On-Site Habitat Baseline'!$D$1:$O$258,8,FALSE)),"",(VLOOKUP($E60,'A-1 On-Site Habitat Baseline'!$D$1:$O$258,8,FALSE))))</f>
        <v/>
      </c>
      <c r="K60" s="310" t="str">
        <f>IF(E60="","",IF(ISNA(VLOOKUP($E60,'A-1 On-Site Habitat Baseline'!$D$1:$O$258,9,FALSE)),"",(VLOOKUP($E60,'A-1 On-Site Habitat Baseline'!$D$1:$O$258,9,FALSE))))</f>
        <v/>
      </c>
      <c r="L60" s="310" t="str">
        <f>IF(E60="","",IF(ISNA(VLOOKUP($E60,'A-1 On-Site Habitat Baseline'!$D$1:$O$258,11,FALSE)),"",(VLOOKUP($E60,'A-1 On-Site Habitat Baseline'!$D$1:$O$258,11,FALSE))))</f>
        <v/>
      </c>
      <c r="M60" s="310" t="str">
        <f>IF(E60="","",IF(ISNA(VLOOKUP($E60,'A-1 On-Site Habitat Baseline'!$D$1:$O$258,12,FALSE)),"",(VLOOKUP($E60,'A-1 On-Site Habitat Baseline'!$D$1:$O$258,12,FALSE))))</f>
        <v/>
      </c>
      <c r="N60" s="320" t="str">
        <f>IF(E60="","",IF(ISNA(VLOOKUP($E60,'A-1 On-Site Habitat Baseline'!$D$1:$X$258,14,FALSE)),"",(VLOOKUP($E60,'A-1 On-Site Habitat Baseline'!$D$1:$X$258,14,FALSE))))</f>
        <v/>
      </c>
      <c r="O60" s="314" t="str">
        <f>IF(E60="","",IF(ISNA(VLOOKUP($E60,'A-1 On-Site Habitat Baseline'!$D$1:$X$258,16,FALSE)),"",(VLOOKUP($E60,'A-1 On-Site Habitat Baseline'!$D$1:$X$258,13,FALSE))))</f>
        <v/>
      </c>
      <c r="P60" s="161" t="str">
        <f>IFERROR(INDEX('G-1 All Habitats'!$AG$49:$AG$63,MATCH(Q60,'G-1 All Habitats'!$AF$27:$AF$41,0)),"")</f>
        <v/>
      </c>
      <c r="Q60" s="162" t="str">
        <f t="shared" si="0"/>
        <v/>
      </c>
      <c r="R60" s="162"/>
      <c r="S60" s="252" t="str">
        <f>IFERROR(INDEX('G-1 All Habitats'!$B$3:$B$135,MATCH(R60,'G-1 All Habitats'!$A$3:$A$135,0)),"")</f>
        <v/>
      </c>
      <c r="T60" s="290" t="str">
        <f t="shared" si="1"/>
        <v/>
      </c>
      <c r="U60" s="291" t="str">
        <f t="shared" si="10"/>
        <v/>
      </c>
      <c r="V60" s="325" t="str">
        <f t="shared" si="2"/>
        <v/>
      </c>
      <c r="W60" s="310" t="str">
        <f>IF(S60="","",VLOOKUP(S60,'G-1 All Habitats'!$B$2:$M$135,10,FALSE))</f>
        <v/>
      </c>
      <c r="X60" s="310" t="str">
        <f>IFERROR(VLOOKUP(W60,'G-1 All Habitats'!$V$3:$W$7,2,FALSE),"")</f>
        <v/>
      </c>
      <c r="Y60" s="45"/>
      <c r="Z60" s="314" t="str">
        <f>IFERROR(INDEX('G-8 Condition Look up'!$A$3:$H$135,MATCH(S60,'G-8 Condition Look up'!$A$3:$A$135,0),MATCH(Y60,'G-8 Condition Look up'!$A$3:$H$3,0)),"")</f>
        <v/>
      </c>
      <c r="AA60" s="38"/>
      <c r="AB60" s="310" t="str">
        <f>IF(AA60="","",IF(VLOOKUP(AA60,'G-3 Multipliers'!$L$3:$N$6,2,FALSE)=0,"Spatial Data Missing ⚠",VLOOKUP(AA60,'G-3 Multipliers'!$L$3:$N$6,2,FALSE)))</f>
        <v/>
      </c>
      <c r="AC60" s="314" t="str">
        <f>IF(AA60="","",IF(VLOOKUP(AA60,'G-3 Multipliers'!$L$3:$N$6,3,FALSE)=0,"Spatial Data Missing ⚠",VLOOKUP(AA60,'G-3 Multipliers'!$L$3:$N$6,3,FALSE)))</f>
        <v/>
      </c>
      <c r="AD60" s="327" t="str">
        <f t="shared" si="3"/>
        <v/>
      </c>
      <c r="AE60" s="47"/>
      <c r="AF60" s="47"/>
      <c r="AG60" s="298" t="str">
        <f t="shared" si="4"/>
        <v/>
      </c>
      <c r="AH60" s="311" t="str">
        <f t="shared" si="5"/>
        <v/>
      </c>
      <c r="AI60" s="312" t="str">
        <f>IF(AH60="Check Data","Check Data",IFERROR(VLOOKUP(AH60,'G-4 Temporal multipliers'!$A$4:$C$36,3,FALSE),""))</f>
        <v/>
      </c>
      <c r="AJ60" s="290" t="str">
        <f>IF(S60="","",VLOOKUP(S60,'G-3 Multipliers'!$A$2:$E$134,4,FALSE))</f>
        <v/>
      </c>
      <c r="AK60" s="298" t="str">
        <f t="shared" si="6"/>
        <v/>
      </c>
      <c r="AL60" s="298" t="str">
        <f t="shared" si="7"/>
        <v/>
      </c>
      <c r="AM60" s="328" t="str">
        <f>IFERROR(IF(F60="","",IF(AH60="Check Data ⚠","Check Data ⚠",VLOOKUP(AL60, 'G-3 Multipliers'!$P$2:$Q$6,2,FALSE))),"")</f>
        <v/>
      </c>
      <c r="AN60" s="304" t="str">
        <f t="shared" si="8"/>
        <v/>
      </c>
      <c r="AO60" s="163"/>
      <c r="AP60" s="164"/>
      <c r="AQ60" s="101"/>
      <c r="AT60" s="20" t="str">
        <f t="shared" si="9"/>
        <v>No</v>
      </c>
      <c r="AU60" s="20" t="str">
        <f>IF(E60="","",IF(ISNA(VLOOKUP($E60,'A-1 On-Site Habitat Baseline'!$D$1:$AV$258,4,FALSE)),"",(VLOOKUP($E60,'A-1 On-Site Habitat Baseline'!$D$1:$AV$258,4,FALSE))))</f>
        <v/>
      </c>
    </row>
    <row r="61" spans="1:47" x14ac:dyDescent="0.3">
      <c r="A61" s="20" t="str">
        <f>IF(E61="","",IF(ISNA(VLOOKUP($E61,'A-1 On-Site Habitat Baseline'!$D$1:$O$258,2,FALSE)),"",(VLOOKUP($E61,'A-1 On-Site Habitat Baseline'!$D$1:$O$258,2,FALSE))))</f>
        <v/>
      </c>
      <c r="B61" s="20" t="str">
        <f>IF(E61="","",IF(ISNA(VLOOKUP($E61,'A-1 On-Site Habitat Baseline'!$D$1:$O$258,3,FALSE)),"",(VLOOKUP($E61,'A-1 On-Site Habitat Baseline'!$D$1:$O$258,3,FALSE))))</f>
        <v/>
      </c>
      <c r="C61" s="20" t="str">
        <f>IFERROR(INDEX('G-8 Condition Look up'!$I$4:$I$135,MATCH(S61,'G-8 Condition Look up'!$A$4:$A$135,0)),"")</f>
        <v/>
      </c>
      <c r="E61" s="319" t="str">
        <f>'A-1 On-Site Habitat Baseline'!AL60</f>
        <v/>
      </c>
      <c r="F61" s="310" t="str">
        <f>IF(E61="","",IF(ISNA(VLOOKUP($E61,'A-1 On-Site Habitat Baseline'!$D$1:$AV$258,45,FALSE)),"",(VLOOKUP($E61,'A-1 On-Site Habitat Baseline'!$D$1:$AV$258,45,FALSE))))</f>
        <v/>
      </c>
      <c r="G61" s="310" t="str">
        <f>IF(E61="","",IF(ISNA(VLOOKUP($E61,'A-1 On-Site Habitat Baseline'!$D$1:$O$258,5,FALSE)),"",(VLOOKUP($E61,'A-1 On-Site Habitat Baseline'!$D$1:$O$258,5,FALSE))))</f>
        <v/>
      </c>
      <c r="H61" s="310" t="str">
        <f>IF(E61="","",IF(ISNA(VLOOKUP($E61,'A-1 On-Site Habitat Baseline'!$D$1:$O$258,6,FALSE)),"",(VLOOKUP($E61,'A-1 On-Site Habitat Baseline'!$D$1:$O$258,6,FALSE))))</f>
        <v/>
      </c>
      <c r="I61" s="310" t="str">
        <f>IF(E61="","",IF(ISNA(VLOOKUP($E61,'A-1 On-Site Habitat Baseline'!$D$1:$O$258,7,FALSE)),"",(VLOOKUP($E61,'A-1 On-Site Habitat Baseline'!$D$1:$O$258,7,FALSE))))</f>
        <v/>
      </c>
      <c r="J61" s="310" t="str">
        <f>IF(E61="","",IF(ISNA(VLOOKUP($E61,'A-1 On-Site Habitat Baseline'!$D$1:$O$258,8,FALSE)),"",(VLOOKUP($E61,'A-1 On-Site Habitat Baseline'!$D$1:$O$258,8,FALSE))))</f>
        <v/>
      </c>
      <c r="K61" s="310" t="str">
        <f>IF(E61="","",IF(ISNA(VLOOKUP($E61,'A-1 On-Site Habitat Baseline'!$D$1:$O$258,9,FALSE)),"",(VLOOKUP($E61,'A-1 On-Site Habitat Baseline'!$D$1:$O$258,9,FALSE))))</f>
        <v/>
      </c>
      <c r="L61" s="310" t="str">
        <f>IF(E61="","",IF(ISNA(VLOOKUP($E61,'A-1 On-Site Habitat Baseline'!$D$1:$O$258,11,FALSE)),"",(VLOOKUP($E61,'A-1 On-Site Habitat Baseline'!$D$1:$O$258,11,FALSE))))</f>
        <v/>
      </c>
      <c r="M61" s="310" t="str">
        <f>IF(E61="","",IF(ISNA(VLOOKUP($E61,'A-1 On-Site Habitat Baseline'!$D$1:$O$258,12,FALSE)),"",(VLOOKUP($E61,'A-1 On-Site Habitat Baseline'!$D$1:$O$258,12,FALSE))))</f>
        <v/>
      </c>
      <c r="N61" s="320" t="str">
        <f>IF(E61="","",IF(ISNA(VLOOKUP($E61,'A-1 On-Site Habitat Baseline'!$D$1:$X$258,14,FALSE)),"",(VLOOKUP($E61,'A-1 On-Site Habitat Baseline'!$D$1:$X$258,14,FALSE))))</f>
        <v/>
      </c>
      <c r="O61" s="314" t="str">
        <f>IF(E61="","",IF(ISNA(VLOOKUP($E61,'A-1 On-Site Habitat Baseline'!$D$1:$X$258,16,FALSE)),"",(VLOOKUP($E61,'A-1 On-Site Habitat Baseline'!$D$1:$X$258,13,FALSE))))</f>
        <v/>
      </c>
      <c r="P61" s="161" t="str">
        <f>IFERROR(INDEX('G-1 All Habitats'!$AG$49:$AG$63,MATCH(Q61,'G-1 All Habitats'!$AF$27:$AF$41,0)),"")</f>
        <v/>
      </c>
      <c r="Q61" s="162" t="str">
        <f t="shared" si="0"/>
        <v/>
      </c>
      <c r="R61" s="162"/>
      <c r="S61" s="252" t="str">
        <f>IFERROR(INDEX('G-1 All Habitats'!$B$3:$B$135,MATCH(R61,'G-1 All Habitats'!$A$3:$A$135,0)),"")</f>
        <v/>
      </c>
      <c r="T61" s="290" t="str">
        <f t="shared" si="1"/>
        <v/>
      </c>
      <c r="U61" s="291" t="str">
        <f t="shared" si="10"/>
        <v/>
      </c>
      <c r="V61" s="325" t="str">
        <f t="shared" si="2"/>
        <v/>
      </c>
      <c r="W61" s="310" t="str">
        <f>IF(S61="","",VLOOKUP(S61,'G-1 All Habitats'!$B$2:$M$135,10,FALSE))</f>
        <v/>
      </c>
      <c r="X61" s="310" t="str">
        <f>IFERROR(VLOOKUP(W61,'G-1 All Habitats'!$V$3:$W$7,2,FALSE),"")</f>
        <v/>
      </c>
      <c r="Y61" s="45"/>
      <c r="Z61" s="314" t="str">
        <f>IFERROR(INDEX('G-8 Condition Look up'!$A$3:$H$135,MATCH(S61,'G-8 Condition Look up'!$A$3:$A$135,0),MATCH(Y61,'G-8 Condition Look up'!$A$3:$H$3,0)),"")</f>
        <v/>
      </c>
      <c r="AA61" s="38"/>
      <c r="AB61" s="310" t="str">
        <f>IF(AA61="","",IF(VLOOKUP(AA61,'G-3 Multipliers'!$L$3:$N$6,2,FALSE)=0,"Spatial Data Missing ⚠",VLOOKUP(AA61,'G-3 Multipliers'!$L$3:$N$6,2,FALSE)))</f>
        <v/>
      </c>
      <c r="AC61" s="314" t="str">
        <f>IF(AA61="","",IF(VLOOKUP(AA61,'G-3 Multipliers'!$L$3:$N$6,3,FALSE)=0,"Spatial Data Missing ⚠",VLOOKUP(AA61,'G-3 Multipliers'!$L$3:$N$6,3,FALSE)))</f>
        <v/>
      </c>
      <c r="AD61" s="327" t="str">
        <f t="shared" si="3"/>
        <v/>
      </c>
      <c r="AE61" s="47"/>
      <c r="AF61" s="47"/>
      <c r="AG61" s="298" t="str">
        <f t="shared" si="4"/>
        <v/>
      </c>
      <c r="AH61" s="311" t="str">
        <f t="shared" si="5"/>
        <v/>
      </c>
      <c r="AI61" s="312" t="str">
        <f>IF(AH61="Check Data","Check Data",IFERROR(VLOOKUP(AH61,'G-4 Temporal multipliers'!$A$4:$C$36,3,FALSE),""))</f>
        <v/>
      </c>
      <c r="AJ61" s="290" t="str">
        <f>IF(S61="","",VLOOKUP(S61,'G-3 Multipliers'!$A$2:$E$134,4,FALSE))</f>
        <v/>
      </c>
      <c r="AK61" s="298" t="str">
        <f t="shared" si="6"/>
        <v/>
      </c>
      <c r="AL61" s="298" t="str">
        <f t="shared" si="7"/>
        <v/>
      </c>
      <c r="AM61" s="328" t="str">
        <f>IFERROR(IF(F61="","",IF(AH61="Check Data ⚠","Check Data ⚠",VLOOKUP(AL61, 'G-3 Multipliers'!$P$2:$Q$6,2,FALSE))),"")</f>
        <v/>
      </c>
      <c r="AN61" s="304" t="str">
        <f t="shared" si="8"/>
        <v/>
      </c>
      <c r="AO61" s="163"/>
      <c r="AP61" s="164"/>
      <c r="AQ61" s="101"/>
      <c r="AT61" s="20" t="str">
        <f t="shared" si="9"/>
        <v>No</v>
      </c>
      <c r="AU61" s="20" t="str">
        <f>IF(E61="","",IF(ISNA(VLOOKUP($E61,'A-1 On-Site Habitat Baseline'!$D$1:$AV$258,4,FALSE)),"",(VLOOKUP($E61,'A-1 On-Site Habitat Baseline'!$D$1:$AV$258,4,FALSE))))</f>
        <v/>
      </c>
    </row>
    <row r="62" spans="1:47" x14ac:dyDescent="0.3">
      <c r="A62" s="20" t="str">
        <f>IF(E62="","",IF(ISNA(VLOOKUP($E62,'A-1 On-Site Habitat Baseline'!$D$1:$O$258,2,FALSE)),"",(VLOOKUP($E62,'A-1 On-Site Habitat Baseline'!$D$1:$O$258,2,FALSE))))</f>
        <v/>
      </c>
      <c r="B62" s="20" t="str">
        <f>IF(E62="","",IF(ISNA(VLOOKUP($E62,'A-1 On-Site Habitat Baseline'!$D$1:$O$258,3,FALSE)),"",(VLOOKUP($E62,'A-1 On-Site Habitat Baseline'!$D$1:$O$258,3,FALSE))))</f>
        <v/>
      </c>
      <c r="C62" s="20" t="str">
        <f>IFERROR(INDEX('G-8 Condition Look up'!$I$4:$I$135,MATCH(S62,'G-8 Condition Look up'!$A$4:$A$135,0)),"")</f>
        <v/>
      </c>
      <c r="E62" s="319" t="str">
        <f>'A-1 On-Site Habitat Baseline'!AL61</f>
        <v/>
      </c>
      <c r="F62" s="310" t="str">
        <f>IF(E62="","",IF(ISNA(VLOOKUP($E62,'A-1 On-Site Habitat Baseline'!$D$1:$AV$258,45,FALSE)),"",(VLOOKUP($E62,'A-1 On-Site Habitat Baseline'!$D$1:$AV$258,45,FALSE))))</f>
        <v/>
      </c>
      <c r="G62" s="310" t="str">
        <f>IF(E62="","",IF(ISNA(VLOOKUP($E62,'A-1 On-Site Habitat Baseline'!$D$1:$O$258,5,FALSE)),"",(VLOOKUP($E62,'A-1 On-Site Habitat Baseline'!$D$1:$O$258,5,FALSE))))</f>
        <v/>
      </c>
      <c r="H62" s="310" t="str">
        <f>IF(E62="","",IF(ISNA(VLOOKUP($E62,'A-1 On-Site Habitat Baseline'!$D$1:$O$258,6,FALSE)),"",(VLOOKUP($E62,'A-1 On-Site Habitat Baseline'!$D$1:$O$258,6,FALSE))))</f>
        <v/>
      </c>
      <c r="I62" s="310" t="str">
        <f>IF(E62="","",IF(ISNA(VLOOKUP($E62,'A-1 On-Site Habitat Baseline'!$D$1:$O$258,7,FALSE)),"",(VLOOKUP($E62,'A-1 On-Site Habitat Baseline'!$D$1:$O$258,7,FALSE))))</f>
        <v/>
      </c>
      <c r="J62" s="310" t="str">
        <f>IF(E62="","",IF(ISNA(VLOOKUP($E62,'A-1 On-Site Habitat Baseline'!$D$1:$O$258,8,FALSE)),"",(VLOOKUP($E62,'A-1 On-Site Habitat Baseline'!$D$1:$O$258,8,FALSE))))</f>
        <v/>
      </c>
      <c r="K62" s="310" t="str">
        <f>IF(E62="","",IF(ISNA(VLOOKUP($E62,'A-1 On-Site Habitat Baseline'!$D$1:$O$258,9,FALSE)),"",(VLOOKUP($E62,'A-1 On-Site Habitat Baseline'!$D$1:$O$258,9,FALSE))))</f>
        <v/>
      </c>
      <c r="L62" s="310" t="str">
        <f>IF(E62="","",IF(ISNA(VLOOKUP($E62,'A-1 On-Site Habitat Baseline'!$D$1:$O$258,11,FALSE)),"",(VLOOKUP($E62,'A-1 On-Site Habitat Baseline'!$D$1:$O$258,11,FALSE))))</f>
        <v/>
      </c>
      <c r="M62" s="310" t="str">
        <f>IF(E62="","",IF(ISNA(VLOOKUP($E62,'A-1 On-Site Habitat Baseline'!$D$1:$O$258,12,FALSE)),"",(VLOOKUP($E62,'A-1 On-Site Habitat Baseline'!$D$1:$O$258,12,FALSE))))</f>
        <v/>
      </c>
      <c r="N62" s="320" t="str">
        <f>IF(E62="","",IF(ISNA(VLOOKUP($E62,'A-1 On-Site Habitat Baseline'!$D$1:$X$258,14,FALSE)),"",(VLOOKUP($E62,'A-1 On-Site Habitat Baseline'!$D$1:$X$258,14,FALSE))))</f>
        <v/>
      </c>
      <c r="O62" s="314" t="str">
        <f>IF(E62="","",IF(ISNA(VLOOKUP($E62,'A-1 On-Site Habitat Baseline'!$D$1:$X$258,16,FALSE)),"",(VLOOKUP($E62,'A-1 On-Site Habitat Baseline'!$D$1:$X$258,13,FALSE))))</f>
        <v/>
      </c>
      <c r="P62" s="161" t="str">
        <f>IFERROR(INDEX('G-1 All Habitats'!$AG$49:$AG$63,MATCH(Q62,'G-1 All Habitats'!$AF$27:$AF$41,0)),"")</f>
        <v/>
      </c>
      <c r="Q62" s="162" t="str">
        <f t="shared" si="0"/>
        <v/>
      </c>
      <c r="R62" s="162"/>
      <c r="S62" s="252" t="str">
        <f>IFERROR(INDEX('G-1 All Habitats'!$B$3:$B$135,MATCH(R62,'G-1 All Habitats'!$A$3:$A$135,0)),"")</f>
        <v/>
      </c>
      <c r="T62" s="290" t="str">
        <f t="shared" si="1"/>
        <v/>
      </c>
      <c r="U62" s="291" t="str">
        <f t="shared" si="10"/>
        <v/>
      </c>
      <c r="V62" s="325" t="str">
        <f t="shared" si="2"/>
        <v/>
      </c>
      <c r="W62" s="310" t="str">
        <f>IF(S62="","",VLOOKUP(S62,'G-1 All Habitats'!$B$2:$M$135,10,FALSE))</f>
        <v/>
      </c>
      <c r="X62" s="310" t="str">
        <f>IFERROR(VLOOKUP(W62,'G-1 All Habitats'!$V$3:$W$7,2,FALSE),"")</f>
        <v/>
      </c>
      <c r="Y62" s="45"/>
      <c r="Z62" s="314" t="str">
        <f>IFERROR(INDEX('G-8 Condition Look up'!$A$3:$H$135,MATCH(S62,'G-8 Condition Look up'!$A$3:$A$135,0),MATCH(Y62,'G-8 Condition Look up'!$A$3:$H$3,0)),"")</f>
        <v/>
      </c>
      <c r="AA62" s="38"/>
      <c r="AB62" s="310" t="str">
        <f>IF(AA62="","",IF(VLOOKUP(AA62,'G-3 Multipliers'!$L$3:$N$6,2,FALSE)=0,"Spatial Data Missing ⚠",VLOOKUP(AA62,'G-3 Multipliers'!$L$3:$N$6,2,FALSE)))</f>
        <v/>
      </c>
      <c r="AC62" s="314" t="str">
        <f>IF(AA62="","",IF(VLOOKUP(AA62,'G-3 Multipliers'!$L$3:$N$6,3,FALSE)=0,"Spatial Data Missing ⚠",VLOOKUP(AA62,'G-3 Multipliers'!$L$3:$N$6,3,FALSE)))</f>
        <v/>
      </c>
      <c r="AD62" s="327" t="str">
        <f t="shared" si="3"/>
        <v/>
      </c>
      <c r="AE62" s="47"/>
      <c r="AF62" s="47"/>
      <c r="AG62" s="298" t="str">
        <f t="shared" si="4"/>
        <v/>
      </c>
      <c r="AH62" s="311" t="str">
        <f t="shared" si="5"/>
        <v/>
      </c>
      <c r="AI62" s="312" t="str">
        <f>IF(AH62="Check Data","Check Data",IFERROR(VLOOKUP(AH62,'G-4 Temporal multipliers'!$A$4:$C$36,3,FALSE),""))</f>
        <v/>
      </c>
      <c r="AJ62" s="290" t="str">
        <f>IF(S62="","",VLOOKUP(S62,'G-3 Multipliers'!$A$2:$E$134,4,FALSE))</f>
        <v/>
      </c>
      <c r="AK62" s="298" t="str">
        <f t="shared" si="6"/>
        <v/>
      </c>
      <c r="AL62" s="298" t="str">
        <f t="shared" si="7"/>
        <v/>
      </c>
      <c r="AM62" s="328" t="str">
        <f>IFERROR(IF(F62="","",IF(AH62="Check Data ⚠","Check Data ⚠",VLOOKUP(AL62, 'G-3 Multipliers'!$P$2:$Q$6,2,FALSE))),"")</f>
        <v/>
      </c>
      <c r="AN62" s="304" t="str">
        <f t="shared" si="8"/>
        <v/>
      </c>
      <c r="AO62" s="163"/>
      <c r="AP62" s="164"/>
      <c r="AQ62" s="101"/>
      <c r="AT62" s="20" t="str">
        <f t="shared" si="9"/>
        <v>No</v>
      </c>
      <c r="AU62" s="20" t="str">
        <f>IF(E62="","",IF(ISNA(VLOOKUP($E62,'A-1 On-Site Habitat Baseline'!$D$1:$AV$258,4,FALSE)),"",(VLOOKUP($E62,'A-1 On-Site Habitat Baseline'!$D$1:$AV$258,4,FALSE))))</f>
        <v/>
      </c>
    </row>
    <row r="63" spans="1:47" x14ac:dyDescent="0.3">
      <c r="A63" s="20" t="str">
        <f>IF(E63="","",IF(ISNA(VLOOKUP($E63,'A-1 On-Site Habitat Baseline'!$D$1:$O$258,2,FALSE)),"",(VLOOKUP($E63,'A-1 On-Site Habitat Baseline'!$D$1:$O$258,2,FALSE))))</f>
        <v/>
      </c>
      <c r="B63" s="20" t="str">
        <f>IF(E63="","",IF(ISNA(VLOOKUP($E63,'A-1 On-Site Habitat Baseline'!$D$1:$O$258,3,FALSE)),"",(VLOOKUP($E63,'A-1 On-Site Habitat Baseline'!$D$1:$O$258,3,FALSE))))</f>
        <v/>
      </c>
      <c r="C63" s="20" t="str">
        <f>IFERROR(INDEX('G-8 Condition Look up'!$I$4:$I$135,MATCH(S63,'G-8 Condition Look up'!$A$4:$A$135,0)),"")</f>
        <v/>
      </c>
      <c r="E63" s="319" t="str">
        <f>'A-1 On-Site Habitat Baseline'!AL62</f>
        <v/>
      </c>
      <c r="F63" s="310" t="str">
        <f>IF(E63="","",IF(ISNA(VLOOKUP($E63,'A-1 On-Site Habitat Baseline'!$D$1:$AV$258,45,FALSE)),"",(VLOOKUP($E63,'A-1 On-Site Habitat Baseline'!$D$1:$AV$258,45,FALSE))))</f>
        <v/>
      </c>
      <c r="G63" s="310" t="str">
        <f>IF(E63="","",IF(ISNA(VLOOKUP($E63,'A-1 On-Site Habitat Baseline'!$D$1:$O$258,5,FALSE)),"",(VLOOKUP($E63,'A-1 On-Site Habitat Baseline'!$D$1:$O$258,5,FALSE))))</f>
        <v/>
      </c>
      <c r="H63" s="310" t="str">
        <f>IF(E63="","",IF(ISNA(VLOOKUP($E63,'A-1 On-Site Habitat Baseline'!$D$1:$O$258,6,FALSE)),"",(VLOOKUP($E63,'A-1 On-Site Habitat Baseline'!$D$1:$O$258,6,FALSE))))</f>
        <v/>
      </c>
      <c r="I63" s="310" t="str">
        <f>IF(E63="","",IF(ISNA(VLOOKUP($E63,'A-1 On-Site Habitat Baseline'!$D$1:$O$258,7,FALSE)),"",(VLOOKUP($E63,'A-1 On-Site Habitat Baseline'!$D$1:$O$258,7,FALSE))))</f>
        <v/>
      </c>
      <c r="J63" s="310" t="str">
        <f>IF(E63="","",IF(ISNA(VLOOKUP($E63,'A-1 On-Site Habitat Baseline'!$D$1:$O$258,8,FALSE)),"",(VLOOKUP($E63,'A-1 On-Site Habitat Baseline'!$D$1:$O$258,8,FALSE))))</f>
        <v/>
      </c>
      <c r="K63" s="310" t="str">
        <f>IF(E63="","",IF(ISNA(VLOOKUP($E63,'A-1 On-Site Habitat Baseline'!$D$1:$O$258,9,FALSE)),"",(VLOOKUP($E63,'A-1 On-Site Habitat Baseline'!$D$1:$O$258,9,FALSE))))</f>
        <v/>
      </c>
      <c r="L63" s="310" t="str">
        <f>IF(E63="","",IF(ISNA(VLOOKUP($E63,'A-1 On-Site Habitat Baseline'!$D$1:$O$258,11,FALSE)),"",(VLOOKUP($E63,'A-1 On-Site Habitat Baseline'!$D$1:$O$258,11,FALSE))))</f>
        <v/>
      </c>
      <c r="M63" s="310" t="str">
        <f>IF(E63="","",IF(ISNA(VLOOKUP($E63,'A-1 On-Site Habitat Baseline'!$D$1:$O$258,12,FALSE)),"",(VLOOKUP($E63,'A-1 On-Site Habitat Baseline'!$D$1:$O$258,12,FALSE))))</f>
        <v/>
      </c>
      <c r="N63" s="320" t="str">
        <f>IF(E63="","",IF(ISNA(VLOOKUP($E63,'A-1 On-Site Habitat Baseline'!$D$1:$X$258,14,FALSE)),"",(VLOOKUP($E63,'A-1 On-Site Habitat Baseline'!$D$1:$X$258,14,FALSE))))</f>
        <v/>
      </c>
      <c r="O63" s="314" t="str">
        <f>IF(E63="","",IF(ISNA(VLOOKUP($E63,'A-1 On-Site Habitat Baseline'!$D$1:$X$258,16,FALSE)),"",(VLOOKUP($E63,'A-1 On-Site Habitat Baseline'!$D$1:$X$258,13,FALSE))))</f>
        <v/>
      </c>
      <c r="P63" s="161" t="str">
        <f>IFERROR(INDEX('G-1 All Habitats'!$AG$49:$AG$63,MATCH(Q63,'G-1 All Habitats'!$AF$27:$AF$41,0)),"")</f>
        <v/>
      </c>
      <c r="Q63" s="162" t="str">
        <f t="shared" si="0"/>
        <v/>
      </c>
      <c r="R63" s="162"/>
      <c r="S63" s="252" t="str">
        <f>IFERROR(INDEX('G-1 All Habitats'!$B$3:$B$135,MATCH(R63,'G-1 All Habitats'!$A$3:$A$135,0)),"")</f>
        <v/>
      </c>
      <c r="T63" s="290" t="str">
        <f t="shared" si="1"/>
        <v/>
      </c>
      <c r="U63" s="291" t="str">
        <f t="shared" si="10"/>
        <v/>
      </c>
      <c r="V63" s="325" t="str">
        <f t="shared" si="2"/>
        <v/>
      </c>
      <c r="W63" s="310" t="str">
        <f>IF(S63="","",VLOOKUP(S63,'G-1 All Habitats'!$B$2:$M$135,10,FALSE))</f>
        <v/>
      </c>
      <c r="X63" s="310" t="str">
        <f>IFERROR(VLOOKUP(W63,'G-1 All Habitats'!$V$3:$W$7,2,FALSE),"")</f>
        <v/>
      </c>
      <c r="Y63" s="45"/>
      <c r="Z63" s="314" t="str">
        <f>IFERROR(INDEX('G-8 Condition Look up'!$A$3:$H$135,MATCH(S63,'G-8 Condition Look up'!$A$3:$A$135,0),MATCH(Y63,'G-8 Condition Look up'!$A$3:$H$3,0)),"")</f>
        <v/>
      </c>
      <c r="AA63" s="38"/>
      <c r="AB63" s="310" t="str">
        <f>IF(AA63="","",IF(VLOOKUP(AA63,'G-3 Multipliers'!$L$3:$N$6,2,FALSE)=0,"Spatial Data Missing ⚠",VLOOKUP(AA63,'G-3 Multipliers'!$L$3:$N$6,2,FALSE)))</f>
        <v/>
      </c>
      <c r="AC63" s="314" t="str">
        <f>IF(AA63="","",IF(VLOOKUP(AA63,'G-3 Multipliers'!$L$3:$N$6,3,FALSE)=0,"Spatial Data Missing ⚠",VLOOKUP(AA63,'G-3 Multipliers'!$L$3:$N$6,3,FALSE)))</f>
        <v/>
      </c>
      <c r="AD63" s="327" t="str">
        <f t="shared" si="3"/>
        <v/>
      </c>
      <c r="AE63" s="47"/>
      <c r="AF63" s="47"/>
      <c r="AG63" s="298" t="str">
        <f t="shared" si="4"/>
        <v/>
      </c>
      <c r="AH63" s="311" t="str">
        <f t="shared" si="5"/>
        <v/>
      </c>
      <c r="AI63" s="312" t="str">
        <f>IF(AH63="Check Data","Check Data",IFERROR(VLOOKUP(AH63,'G-4 Temporal multipliers'!$A$4:$C$36,3,FALSE),""))</f>
        <v/>
      </c>
      <c r="AJ63" s="290" t="str">
        <f>IF(S63="","",VLOOKUP(S63,'G-3 Multipliers'!$A$2:$E$134,4,FALSE))</f>
        <v/>
      </c>
      <c r="AK63" s="298" t="str">
        <f t="shared" si="6"/>
        <v/>
      </c>
      <c r="AL63" s="298" t="str">
        <f t="shared" si="7"/>
        <v/>
      </c>
      <c r="AM63" s="328" t="str">
        <f>IFERROR(IF(F63="","",IF(AH63="Check Data ⚠","Check Data ⚠",VLOOKUP(AL63, 'G-3 Multipliers'!$P$2:$Q$6,2,FALSE))),"")</f>
        <v/>
      </c>
      <c r="AN63" s="304" t="str">
        <f t="shared" si="8"/>
        <v/>
      </c>
      <c r="AO63" s="163"/>
      <c r="AP63" s="164"/>
      <c r="AQ63" s="101"/>
      <c r="AT63" s="20" t="str">
        <f t="shared" si="9"/>
        <v>No</v>
      </c>
      <c r="AU63" s="20" t="str">
        <f>IF(E63="","",IF(ISNA(VLOOKUP($E63,'A-1 On-Site Habitat Baseline'!$D$1:$AV$258,4,FALSE)),"",(VLOOKUP($E63,'A-1 On-Site Habitat Baseline'!$D$1:$AV$258,4,FALSE))))</f>
        <v/>
      </c>
    </row>
    <row r="64" spans="1:47" x14ac:dyDescent="0.3">
      <c r="A64" s="20" t="str">
        <f>IF(E64="","",IF(ISNA(VLOOKUP($E64,'A-1 On-Site Habitat Baseline'!$D$1:$O$258,2,FALSE)),"",(VLOOKUP($E64,'A-1 On-Site Habitat Baseline'!$D$1:$O$258,2,FALSE))))</f>
        <v/>
      </c>
      <c r="B64" s="20" t="str">
        <f>IF(E64="","",IF(ISNA(VLOOKUP($E64,'A-1 On-Site Habitat Baseline'!$D$1:$O$258,3,FALSE)),"",(VLOOKUP($E64,'A-1 On-Site Habitat Baseline'!$D$1:$O$258,3,FALSE))))</f>
        <v/>
      </c>
      <c r="C64" s="20" t="str">
        <f>IFERROR(INDEX('G-8 Condition Look up'!$I$4:$I$135,MATCH(S64,'G-8 Condition Look up'!$A$4:$A$135,0)),"")</f>
        <v/>
      </c>
      <c r="E64" s="319" t="str">
        <f>'A-1 On-Site Habitat Baseline'!AL63</f>
        <v/>
      </c>
      <c r="F64" s="310" t="str">
        <f>IF(E64="","",IF(ISNA(VLOOKUP($E64,'A-1 On-Site Habitat Baseline'!$D$1:$AV$258,45,FALSE)),"",(VLOOKUP($E64,'A-1 On-Site Habitat Baseline'!$D$1:$AV$258,45,FALSE))))</f>
        <v/>
      </c>
      <c r="G64" s="310" t="str">
        <f>IF(E64="","",IF(ISNA(VLOOKUP($E64,'A-1 On-Site Habitat Baseline'!$D$1:$O$258,5,FALSE)),"",(VLOOKUP($E64,'A-1 On-Site Habitat Baseline'!$D$1:$O$258,5,FALSE))))</f>
        <v/>
      </c>
      <c r="H64" s="310" t="str">
        <f>IF(E64="","",IF(ISNA(VLOOKUP($E64,'A-1 On-Site Habitat Baseline'!$D$1:$O$258,6,FALSE)),"",(VLOOKUP($E64,'A-1 On-Site Habitat Baseline'!$D$1:$O$258,6,FALSE))))</f>
        <v/>
      </c>
      <c r="I64" s="310" t="str">
        <f>IF(E64="","",IF(ISNA(VLOOKUP($E64,'A-1 On-Site Habitat Baseline'!$D$1:$O$258,7,FALSE)),"",(VLOOKUP($E64,'A-1 On-Site Habitat Baseline'!$D$1:$O$258,7,FALSE))))</f>
        <v/>
      </c>
      <c r="J64" s="310" t="str">
        <f>IF(E64="","",IF(ISNA(VLOOKUP($E64,'A-1 On-Site Habitat Baseline'!$D$1:$O$258,8,FALSE)),"",(VLOOKUP($E64,'A-1 On-Site Habitat Baseline'!$D$1:$O$258,8,FALSE))))</f>
        <v/>
      </c>
      <c r="K64" s="310" t="str">
        <f>IF(E64="","",IF(ISNA(VLOOKUP($E64,'A-1 On-Site Habitat Baseline'!$D$1:$O$258,9,FALSE)),"",(VLOOKUP($E64,'A-1 On-Site Habitat Baseline'!$D$1:$O$258,9,FALSE))))</f>
        <v/>
      </c>
      <c r="L64" s="310" t="str">
        <f>IF(E64="","",IF(ISNA(VLOOKUP($E64,'A-1 On-Site Habitat Baseline'!$D$1:$O$258,11,FALSE)),"",(VLOOKUP($E64,'A-1 On-Site Habitat Baseline'!$D$1:$O$258,11,FALSE))))</f>
        <v/>
      </c>
      <c r="M64" s="310" t="str">
        <f>IF(E64="","",IF(ISNA(VLOOKUP($E64,'A-1 On-Site Habitat Baseline'!$D$1:$O$258,12,FALSE)),"",(VLOOKUP($E64,'A-1 On-Site Habitat Baseline'!$D$1:$O$258,12,FALSE))))</f>
        <v/>
      </c>
      <c r="N64" s="320" t="str">
        <f>IF(E64="","",IF(ISNA(VLOOKUP($E64,'A-1 On-Site Habitat Baseline'!$D$1:$X$258,14,FALSE)),"",(VLOOKUP($E64,'A-1 On-Site Habitat Baseline'!$D$1:$X$258,14,FALSE))))</f>
        <v/>
      </c>
      <c r="O64" s="314" t="str">
        <f>IF(E64="","",IF(ISNA(VLOOKUP($E64,'A-1 On-Site Habitat Baseline'!$D$1:$X$258,16,FALSE)),"",(VLOOKUP($E64,'A-1 On-Site Habitat Baseline'!$D$1:$X$258,13,FALSE))))</f>
        <v/>
      </c>
      <c r="P64" s="161" t="str">
        <f>IFERROR(INDEX('G-1 All Habitats'!$AG$49:$AG$63,MATCH(Q64,'G-1 All Habitats'!$AF$27:$AF$41,0)),"")</f>
        <v/>
      </c>
      <c r="Q64" s="162" t="str">
        <f t="shared" si="0"/>
        <v/>
      </c>
      <c r="R64" s="162"/>
      <c r="S64" s="252" t="str">
        <f>IFERROR(INDEX('G-1 All Habitats'!$B$3:$B$135,MATCH(R64,'G-1 All Habitats'!$A$3:$A$135,0)),"")</f>
        <v/>
      </c>
      <c r="T64" s="290" t="str">
        <f t="shared" si="1"/>
        <v/>
      </c>
      <c r="U64" s="291" t="str">
        <f t="shared" si="10"/>
        <v/>
      </c>
      <c r="V64" s="325" t="str">
        <f t="shared" si="2"/>
        <v/>
      </c>
      <c r="W64" s="310" t="str">
        <f>IF(S64="","",VLOOKUP(S64,'G-1 All Habitats'!$B$2:$M$135,10,FALSE))</f>
        <v/>
      </c>
      <c r="X64" s="310" t="str">
        <f>IFERROR(VLOOKUP(W64,'G-1 All Habitats'!$V$3:$W$7,2,FALSE),"")</f>
        <v/>
      </c>
      <c r="Y64" s="45"/>
      <c r="Z64" s="314" t="str">
        <f>IFERROR(INDEX('G-8 Condition Look up'!$A$3:$H$135,MATCH(S64,'G-8 Condition Look up'!$A$3:$A$135,0),MATCH(Y64,'G-8 Condition Look up'!$A$3:$H$3,0)),"")</f>
        <v/>
      </c>
      <c r="AA64" s="38"/>
      <c r="AB64" s="310" t="str">
        <f>IF(AA64="","",IF(VLOOKUP(AA64,'G-3 Multipliers'!$L$3:$N$6,2,FALSE)=0,"Spatial Data Missing ⚠",VLOOKUP(AA64,'G-3 Multipliers'!$L$3:$N$6,2,FALSE)))</f>
        <v/>
      </c>
      <c r="AC64" s="314" t="str">
        <f>IF(AA64="","",IF(VLOOKUP(AA64,'G-3 Multipliers'!$L$3:$N$6,3,FALSE)=0,"Spatial Data Missing ⚠",VLOOKUP(AA64,'G-3 Multipliers'!$L$3:$N$6,3,FALSE)))</f>
        <v/>
      </c>
      <c r="AD64" s="327" t="str">
        <f t="shared" si="3"/>
        <v/>
      </c>
      <c r="AE64" s="47"/>
      <c r="AF64" s="47"/>
      <c r="AG64" s="298" t="str">
        <f t="shared" si="4"/>
        <v/>
      </c>
      <c r="AH64" s="311" t="str">
        <f t="shared" si="5"/>
        <v/>
      </c>
      <c r="AI64" s="312" t="str">
        <f>IF(AH64="Check Data","Check Data",IFERROR(VLOOKUP(AH64,'G-4 Temporal multipliers'!$A$4:$C$36,3,FALSE),""))</f>
        <v/>
      </c>
      <c r="AJ64" s="290" t="str">
        <f>IF(S64="","",VLOOKUP(S64,'G-3 Multipliers'!$A$2:$E$134,4,FALSE))</f>
        <v/>
      </c>
      <c r="AK64" s="298" t="str">
        <f t="shared" si="6"/>
        <v/>
      </c>
      <c r="AL64" s="298" t="str">
        <f t="shared" si="7"/>
        <v/>
      </c>
      <c r="AM64" s="328" t="str">
        <f>IFERROR(IF(F64="","",IF(AH64="Check Data ⚠","Check Data ⚠",VLOOKUP(AL64, 'G-3 Multipliers'!$P$2:$Q$6,2,FALSE))),"")</f>
        <v/>
      </c>
      <c r="AN64" s="304" t="str">
        <f t="shared" si="8"/>
        <v/>
      </c>
      <c r="AO64" s="163"/>
      <c r="AP64" s="164"/>
      <c r="AQ64" s="101"/>
      <c r="AT64" s="20" t="str">
        <f t="shared" si="9"/>
        <v>No</v>
      </c>
      <c r="AU64" s="20" t="str">
        <f>IF(E64="","",IF(ISNA(VLOOKUP($E64,'A-1 On-Site Habitat Baseline'!$D$1:$AV$258,4,FALSE)),"",(VLOOKUP($E64,'A-1 On-Site Habitat Baseline'!$D$1:$AV$258,4,FALSE))))</f>
        <v/>
      </c>
    </row>
    <row r="65" spans="1:47" x14ac:dyDescent="0.3">
      <c r="A65" s="20" t="str">
        <f>IF(E65="","",IF(ISNA(VLOOKUP($E65,'A-1 On-Site Habitat Baseline'!$D$1:$O$258,2,FALSE)),"",(VLOOKUP($E65,'A-1 On-Site Habitat Baseline'!$D$1:$O$258,2,FALSE))))</f>
        <v/>
      </c>
      <c r="B65" s="20" t="str">
        <f>IF(E65="","",IF(ISNA(VLOOKUP($E65,'A-1 On-Site Habitat Baseline'!$D$1:$O$258,3,FALSE)),"",(VLOOKUP($E65,'A-1 On-Site Habitat Baseline'!$D$1:$O$258,3,FALSE))))</f>
        <v/>
      </c>
      <c r="C65" s="20" t="str">
        <f>IFERROR(INDEX('G-8 Condition Look up'!$I$4:$I$135,MATCH(S65,'G-8 Condition Look up'!$A$4:$A$135,0)),"")</f>
        <v/>
      </c>
      <c r="E65" s="319" t="str">
        <f>'A-1 On-Site Habitat Baseline'!AL64</f>
        <v/>
      </c>
      <c r="F65" s="310" t="str">
        <f>IF(E65="","",IF(ISNA(VLOOKUP($E65,'A-1 On-Site Habitat Baseline'!$D$1:$AV$258,45,FALSE)),"",(VLOOKUP($E65,'A-1 On-Site Habitat Baseline'!$D$1:$AV$258,45,FALSE))))</f>
        <v/>
      </c>
      <c r="G65" s="310" t="str">
        <f>IF(E65="","",IF(ISNA(VLOOKUP($E65,'A-1 On-Site Habitat Baseline'!$D$1:$O$258,5,FALSE)),"",(VLOOKUP($E65,'A-1 On-Site Habitat Baseline'!$D$1:$O$258,5,FALSE))))</f>
        <v/>
      </c>
      <c r="H65" s="310" t="str">
        <f>IF(E65="","",IF(ISNA(VLOOKUP($E65,'A-1 On-Site Habitat Baseline'!$D$1:$O$258,6,FALSE)),"",(VLOOKUP($E65,'A-1 On-Site Habitat Baseline'!$D$1:$O$258,6,FALSE))))</f>
        <v/>
      </c>
      <c r="I65" s="310" t="str">
        <f>IF(E65="","",IF(ISNA(VLOOKUP($E65,'A-1 On-Site Habitat Baseline'!$D$1:$O$258,7,FALSE)),"",(VLOOKUP($E65,'A-1 On-Site Habitat Baseline'!$D$1:$O$258,7,FALSE))))</f>
        <v/>
      </c>
      <c r="J65" s="310" t="str">
        <f>IF(E65="","",IF(ISNA(VLOOKUP($E65,'A-1 On-Site Habitat Baseline'!$D$1:$O$258,8,FALSE)),"",(VLOOKUP($E65,'A-1 On-Site Habitat Baseline'!$D$1:$O$258,8,FALSE))))</f>
        <v/>
      </c>
      <c r="K65" s="310" t="str">
        <f>IF(E65="","",IF(ISNA(VLOOKUP($E65,'A-1 On-Site Habitat Baseline'!$D$1:$O$258,9,FALSE)),"",(VLOOKUP($E65,'A-1 On-Site Habitat Baseline'!$D$1:$O$258,9,FALSE))))</f>
        <v/>
      </c>
      <c r="L65" s="310" t="str">
        <f>IF(E65="","",IF(ISNA(VLOOKUP($E65,'A-1 On-Site Habitat Baseline'!$D$1:$O$258,11,FALSE)),"",(VLOOKUP($E65,'A-1 On-Site Habitat Baseline'!$D$1:$O$258,11,FALSE))))</f>
        <v/>
      </c>
      <c r="M65" s="310" t="str">
        <f>IF(E65="","",IF(ISNA(VLOOKUP($E65,'A-1 On-Site Habitat Baseline'!$D$1:$O$258,12,FALSE)),"",(VLOOKUP($E65,'A-1 On-Site Habitat Baseline'!$D$1:$O$258,12,FALSE))))</f>
        <v/>
      </c>
      <c r="N65" s="320" t="str">
        <f>IF(E65="","",IF(ISNA(VLOOKUP($E65,'A-1 On-Site Habitat Baseline'!$D$1:$X$258,14,FALSE)),"",(VLOOKUP($E65,'A-1 On-Site Habitat Baseline'!$D$1:$X$258,14,FALSE))))</f>
        <v/>
      </c>
      <c r="O65" s="314" t="str">
        <f>IF(E65="","",IF(ISNA(VLOOKUP($E65,'A-1 On-Site Habitat Baseline'!$D$1:$X$258,16,FALSE)),"",(VLOOKUP($E65,'A-1 On-Site Habitat Baseline'!$D$1:$X$258,13,FALSE))))</f>
        <v/>
      </c>
      <c r="P65" s="161" t="str">
        <f>IFERROR(INDEX('G-1 All Habitats'!$AG$49:$AG$63,MATCH(Q65,'G-1 All Habitats'!$AF$27:$AF$41,0)),"")</f>
        <v/>
      </c>
      <c r="Q65" s="162" t="str">
        <f t="shared" si="0"/>
        <v/>
      </c>
      <c r="R65" s="162"/>
      <c r="S65" s="252" t="str">
        <f>IFERROR(INDEX('G-1 All Habitats'!$B$3:$B$135,MATCH(R65,'G-1 All Habitats'!$A$3:$A$135,0)),"")</f>
        <v/>
      </c>
      <c r="T65" s="290" t="str">
        <f t="shared" si="1"/>
        <v/>
      </c>
      <c r="U65" s="291" t="str">
        <f t="shared" si="10"/>
        <v/>
      </c>
      <c r="V65" s="325" t="str">
        <f t="shared" si="2"/>
        <v/>
      </c>
      <c r="W65" s="310" t="str">
        <f>IF(S65="","",VLOOKUP(S65,'G-1 All Habitats'!$B$2:$M$135,10,FALSE))</f>
        <v/>
      </c>
      <c r="X65" s="310" t="str">
        <f>IFERROR(VLOOKUP(W65,'G-1 All Habitats'!$V$3:$W$7,2,FALSE),"")</f>
        <v/>
      </c>
      <c r="Y65" s="45"/>
      <c r="Z65" s="314" t="str">
        <f>IFERROR(INDEX('G-8 Condition Look up'!$A$3:$H$135,MATCH(S65,'G-8 Condition Look up'!$A$3:$A$135,0),MATCH(Y65,'G-8 Condition Look up'!$A$3:$H$3,0)),"")</f>
        <v/>
      </c>
      <c r="AA65" s="38"/>
      <c r="AB65" s="310" t="str">
        <f>IF(AA65="","",IF(VLOOKUP(AA65,'G-3 Multipliers'!$L$3:$N$6,2,FALSE)=0,"Spatial Data Missing ⚠",VLOOKUP(AA65,'G-3 Multipliers'!$L$3:$N$6,2,FALSE)))</f>
        <v/>
      </c>
      <c r="AC65" s="314" t="str">
        <f>IF(AA65="","",IF(VLOOKUP(AA65,'G-3 Multipliers'!$L$3:$N$6,3,FALSE)=0,"Spatial Data Missing ⚠",VLOOKUP(AA65,'G-3 Multipliers'!$L$3:$N$6,3,FALSE)))</f>
        <v/>
      </c>
      <c r="AD65" s="327" t="str">
        <f t="shared" si="3"/>
        <v/>
      </c>
      <c r="AE65" s="47"/>
      <c r="AF65" s="47"/>
      <c r="AG65" s="298" t="str">
        <f t="shared" si="4"/>
        <v/>
      </c>
      <c r="AH65" s="311" t="str">
        <f t="shared" si="5"/>
        <v/>
      </c>
      <c r="AI65" s="312" t="str">
        <f>IF(AH65="Check Data","Check Data",IFERROR(VLOOKUP(AH65,'G-4 Temporal multipliers'!$A$4:$C$36,3,FALSE),""))</f>
        <v/>
      </c>
      <c r="AJ65" s="290" t="str">
        <f>IF(S65="","",VLOOKUP(S65,'G-3 Multipliers'!$A$2:$E$134,4,FALSE))</f>
        <v/>
      </c>
      <c r="AK65" s="298" t="str">
        <f t="shared" si="6"/>
        <v/>
      </c>
      <c r="AL65" s="298" t="str">
        <f t="shared" si="7"/>
        <v/>
      </c>
      <c r="AM65" s="328" t="str">
        <f>IFERROR(IF(F65="","",IF(AH65="Check Data ⚠","Check Data ⚠",VLOOKUP(AL65, 'G-3 Multipliers'!$P$2:$Q$6,2,FALSE))),"")</f>
        <v/>
      </c>
      <c r="AN65" s="304" t="str">
        <f t="shared" si="8"/>
        <v/>
      </c>
      <c r="AO65" s="163"/>
      <c r="AP65" s="164"/>
      <c r="AQ65" s="101"/>
      <c r="AT65" s="20" t="str">
        <f t="shared" si="9"/>
        <v>No</v>
      </c>
      <c r="AU65" s="20" t="str">
        <f>IF(E65="","",IF(ISNA(VLOOKUP($E65,'A-1 On-Site Habitat Baseline'!$D$1:$AV$258,4,FALSE)),"",(VLOOKUP($E65,'A-1 On-Site Habitat Baseline'!$D$1:$AV$258,4,FALSE))))</f>
        <v/>
      </c>
    </row>
    <row r="66" spans="1:47" x14ac:dyDescent="0.3">
      <c r="A66" s="20" t="str">
        <f>IF(E66="","",IF(ISNA(VLOOKUP($E66,'A-1 On-Site Habitat Baseline'!$D$1:$O$258,2,FALSE)),"",(VLOOKUP($E66,'A-1 On-Site Habitat Baseline'!$D$1:$O$258,2,FALSE))))</f>
        <v/>
      </c>
      <c r="B66" s="20" t="str">
        <f>IF(E66="","",IF(ISNA(VLOOKUP($E66,'A-1 On-Site Habitat Baseline'!$D$1:$O$258,3,FALSE)),"",(VLOOKUP($E66,'A-1 On-Site Habitat Baseline'!$D$1:$O$258,3,FALSE))))</f>
        <v/>
      </c>
      <c r="C66" s="20" t="str">
        <f>IFERROR(INDEX('G-8 Condition Look up'!$I$4:$I$135,MATCH(S66,'G-8 Condition Look up'!$A$4:$A$135,0)),"")</f>
        <v/>
      </c>
      <c r="E66" s="319" t="str">
        <f>'A-1 On-Site Habitat Baseline'!AL65</f>
        <v/>
      </c>
      <c r="F66" s="310" t="str">
        <f>IF(E66="","",IF(ISNA(VLOOKUP($E66,'A-1 On-Site Habitat Baseline'!$D$1:$AV$258,45,FALSE)),"",(VLOOKUP($E66,'A-1 On-Site Habitat Baseline'!$D$1:$AV$258,45,FALSE))))</f>
        <v/>
      </c>
      <c r="G66" s="310" t="str">
        <f>IF(E66="","",IF(ISNA(VLOOKUP($E66,'A-1 On-Site Habitat Baseline'!$D$1:$O$258,5,FALSE)),"",(VLOOKUP($E66,'A-1 On-Site Habitat Baseline'!$D$1:$O$258,5,FALSE))))</f>
        <v/>
      </c>
      <c r="H66" s="310" t="str">
        <f>IF(E66="","",IF(ISNA(VLOOKUP($E66,'A-1 On-Site Habitat Baseline'!$D$1:$O$258,6,FALSE)),"",(VLOOKUP($E66,'A-1 On-Site Habitat Baseline'!$D$1:$O$258,6,FALSE))))</f>
        <v/>
      </c>
      <c r="I66" s="310" t="str">
        <f>IF(E66="","",IF(ISNA(VLOOKUP($E66,'A-1 On-Site Habitat Baseline'!$D$1:$O$258,7,FALSE)),"",(VLOOKUP($E66,'A-1 On-Site Habitat Baseline'!$D$1:$O$258,7,FALSE))))</f>
        <v/>
      </c>
      <c r="J66" s="310" t="str">
        <f>IF(E66="","",IF(ISNA(VLOOKUP($E66,'A-1 On-Site Habitat Baseline'!$D$1:$O$258,8,FALSE)),"",(VLOOKUP($E66,'A-1 On-Site Habitat Baseline'!$D$1:$O$258,8,FALSE))))</f>
        <v/>
      </c>
      <c r="K66" s="310" t="str">
        <f>IF(E66="","",IF(ISNA(VLOOKUP($E66,'A-1 On-Site Habitat Baseline'!$D$1:$O$258,9,FALSE)),"",(VLOOKUP($E66,'A-1 On-Site Habitat Baseline'!$D$1:$O$258,9,FALSE))))</f>
        <v/>
      </c>
      <c r="L66" s="310" t="str">
        <f>IF(E66="","",IF(ISNA(VLOOKUP($E66,'A-1 On-Site Habitat Baseline'!$D$1:$O$258,11,FALSE)),"",(VLOOKUP($E66,'A-1 On-Site Habitat Baseline'!$D$1:$O$258,11,FALSE))))</f>
        <v/>
      </c>
      <c r="M66" s="310" t="str">
        <f>IF(E66="","",IF(ISNA(VLOOKUP($E66,'A-1 On-Site Habitat Baseline'!$D$1:$O$258,12,FALSE)),"",(VLOOKUP($E66,'A-1 On-Site Habitat Baseline'!$D$1:$O$258,12,FALSE))))</f>
        <v/>
      </c>
      <c r="N66" s="320" t="str">
        <f>IF(E66="","",IF(ISNA(VLOOKUP($E66,'A-1 On-Site Habitat Baseline'!$D$1:$X$258,14,FALSE)),"",(VLOOKUP($E66,'A-1 On-Site Habitat Baseline'!$D$1:$X$258,14,FALSE))))</f>
        <v/>
      </c>
      <c r="O66" s="314" t="str">
        <f>IF(E66="","",IF(ISNA(VLOOKUP($E66,'A-1 On-Site Habitat Baseline'!$D$1:$X$258,16,FALSE)),"",(VLOOKUP($E66,'A-1 On-Site Habitat Baseline'!$D$1:$X$258,13,FALSE))))</f>
        <v/>
      </c>
      <c r="P66" s="161" t="str">
        <f>IFERROR(INDEX('G-1 All Habitats'!$AG$49:$AG$63,MATCH(Q66,'G-1 All Habitats'!$AF$27:$AF$41,0)),"")</f>
        <v/>
      </c>
      <c r="Q66" s="162" t="str">
        <f t="shared" si="0"/>
        <v/>
      </c>
      <c r="R66" s="162"/>
      <c r="S66" s="252" t="str">
        <f>IFERROR(INDEX('G-1 All Habitats'!$B$3:$B$135,MATCH(R66,'G-1 All Habitats'!$A$3:$A$135,0)),"")</f>
        <v/>
      </c>
      <c r="T66" s="290" t="str">
        <f t="shared" si="1"/>
        <v/>
      </c>
      <c r="U66" s="291" t="str">
        <f t="shared" si="10"/>
        <v/>
      </c>
      <c r="V66" s="325" t="str">
        <f t="shared" si="2"/>
        <v/>
      </c>
      <c r="W66" s="310" t="str">
        <f>IF(S66="","",VLOOKUP(S66,'G-1 All Habitats'!$B$2:$M$135,10,FALSE))</f>
        <v/>
      </c>
      <c r="X66" s="310" t="str">
        <f>IFERROR(VLOOKUP(W66,'G-1 All Habitats'!$V$3:$W$7,2,FALSE),"")</f>
        <v/>
      </c>
      <c r="Y66" s="45"/>
      <c r="Z66" s="314" t="str">
        <f>IFERROR(INDEX('G-8 Condition Look up'!$A$3:$H$135,MATCH(S66,'G-8 Condition Look up'!$A$3:$A$135,0),MATCH(Y66,'G-8 Condition Look up'!$A$3:$H$3,0)),"")</f>
        <v/>
      </c>
      <c r="AA66" s="38"/>
      <c r="AB66" s="310" t="str">
        <f>IF(AA66="","",IF(VLOOKUP(AA66,'G-3 Multipliers'!$L$3:$N$6,2,FALSE)=0,"Spatial Data Missing ⚠",VLOOKUP(AA66,'G-3 Multipliers'!$L$3:$N$6,2,FALSE)))</f>
        <v/>
      </c>
      <c r="AC66" s="314" t="str">
        <f>IF(AA66="","",IF(VLOOKUP(AA66,'G-3 Multipliers'!$L$3:$N$6,3,FALSE)=0,"Spatial Data Missing ⚠",VLOOKUP(AA66,'G-3 Multipliers'!$L$3:$N$6,3,FALSE)))</f>
        <v/>
      </c>
      <c r="AD66" s="327" t="str">
        <f t="shared" si="3"/>
        <v/>
      </c>
      <c r="AE66" s="47"/>
      <c r="AF66" s="47"/>
      <c r="AG66" s="298" t="str">
        <f t="shared" si="4"/>
        <v/>
      </c>
      <c r="AH66" s="311" t="str">
        <f t="shared" si="5"/>
        <v/>
      </c>
      <c r="AI66" s="312" t="str">
        <f>IF(AH66="Check Data","Check Data",IFERROR(VLOOKUP(AH66,'G-4 Temporal multipliers'!$A$4:$C$36,3,FALSE),""))</f>
        <v/>
      </c>
      <c r="AJ66" s="290" t="str">
        <f>IF(S66="","",VLOOKUP(S66,'G-3 Multipliers'!$A$2:$E$134,4,FALSE))</f>
        <v/>
      </c>
      <c r="AK66" s="298" t="str">
        <f t="shared" si="6"/>
        <v/>
      </c>
      <c r="AL66" s="298" t="str">
        <f t="shared" si="7"/>
        <v/>
      </c>
      <c r="AM66" s="328" t="str">
        <f>IFERROR(IF(F66="","",IF(AH66="Check Data ⚠","Check Data ⚠",VLOOKUP(AL66, 'G-3 Multipliers'!$P$2:$Q$6,2,FALSE))),"")</f>
        <v/>
      </c>
      <c r="AN66" s="304" t="str">
        <f t="shared" si="8"/>
        <v/>
      </c>
      <c r="AO66" s="163"/>
      <c r="AP66" s="164"/>
      <c r="AQ66" s="101"/>
      <c r="AT66" s="20" t="str">
        <f t="shared" si="9"/>
        <v>No</v>
      </c>
      <c r="AU66" s="20" t="str">
        <f>IF(E66="","",IF(ISNA(VLOOKUP($E66,'A-1 On-Site Habitat Baseline'!$D$1:$AV$258,4,FALSE)),"",(VLOOKUP($E66,'A-1 On-Site Habitat Baseline'!$D$1:$AV$258,4,FALSE))))</f>
        <v/>
      </c>
    </row>
    <row r="67" spans="1:47" x14ac:dyDescent="0.3">
      <c r="A67" s="20" t="str">
        <f>IF(E67="","",IF(ISNA(VLOOKUP($E67,'A-1 On-Site Habitat Baseline'!$D$1:$O$258,2,FALSE)),"",(VLOOKUP($E67,'A-1 On-Site Habitat Baseline'!$D$1:$O$258,2,FALSE))))</f>
        <v/>
      </c>
      <c r="B67" s="20" t="str">
        <f>IF(E67="","",IF(ISNA(VLOOKUP($E67,'A-1 On-Site Habitat Baseline'!$D$1:$O$258,3,FALSE)),"",(VLOOKUP($E67,'A-1 On-Site Habitat Baseline'!$D$1:$O$258,3,FALSE))))</f>
        <v/>
      </c>
      <c r="C67" s="20" t="str">
        <f>IFERROR(INDEX('G-8 Condition Look up'!$I$4:$I$135,MATCH(S67,'G-8 Condition Look up'!$A$4:$A$135,0)),"")</f>
        <v/>
      </c>
      <c r="E67" s="319" t="str">
        <f>'A-1 On-Site Habitat Baseline'!AL66</f>
        <v/>
      </c>
      <c r="F67" s="310" t="str">
        <f>IF(E67="","",IF(ISNA(VLOOKUP($E67,'A-1 On-Site Habitat Baseline'!$D$1:$AV$258,45,FALSE)),"",(VLOOKUP($E67,'A-1 On-Site Habitat Baseline'!$D$1:$AV$258,45,FALSE))))</f>
        <v/>
      </c>
      <c r="G67" s="310" t="str">
        <f>IF(E67="","",IF(ISNA(VLOOKUP($E67,'A-1 On-Site Habitat Baseline'!$D$1:$O$258,5,FALSE)),"",(VLOOKUP($E67,'A-1 On-Site Habitat Baseline'!$D$1:$O$258,5,FALSE))))</f>
        <v/>
      </c>
      <c r="H67" s="310" t="str">
        <f>IF(E67="","",IF(ISNA(VLOOKUP($E67,'A-1 On-Site Habitat Baseline'!$D$1:$O$258,6,FALSE)),"",(VLOOKUP($E67,'A-1 On-Site Habitat Baseline'!$D$1:$O$258,6,FALSE))))</f>
        <v/>
      </c>
      <c r="I67" s="310" t="str">
        <f>IF(E67="","",IF(ISNA(VLOOKUP($E67,'A-1 On-Site Habitat Baseline'!$D$1:$O$258,7,FALSE)),"",(VLOOKUP($E67,'A-1 On-Site Habitat Baseline'!$D$1:$O$258,7,FALSE))))</f>
        <v/>
      </c>
      <c r="J67" s="310" t="str">
        <f>IF(E67="","",IF(ISNA(VLOOKUP($E67,'A-1 On-Site Habitat Baseline'!$D$1:$O$258,8,FALSE)),"",(VLOOKUP($E67,'A-1 On-Site Habitat Baseline'!$D$1:$O$258,8,FALSE))))</f>
        <v/>
      </c>
      <c r="K67" s="310" t="str">
        <f>IF(E67="","",IF(ISNA(VLOOKUP($E67,'A-1 On-Site Habitat Baseline'!$D$1:$O$258,9,FALSE)),"",(VLOOKUP($E67,'A-1 On-Site Habitat Baseline'!$D$1:$O$258,9,FALSE))))</f>
        <v/>
      </c>
      <c r="L67" s="310" t="str">
        <f>IF(E67="","",IF(ISNA(VLOOKUP($E67,'A-1 On-Site Habitat Baseline'!$D$1:$O$258,11,FALSE)),"",(VLOOKUP($E67,'A-1 On-Site Habitat Baseline'!$D$1:$O$258,11,FALSE))))</f>
        <v/>
      </c>
      <c r="M67" s="310" t="str">
        <f>IF(E67="","",IF(ISNA(VLOOKUP($E67,'A-1 On-Site Habitat Baseline'!$D$1:$O$258,12,FALSE)),"",(VLOOKUP($E67,'A-1 On-Site Habitat Baseline'!$D$1:$O$258,12,FALSE))))</f>
        <v/>
      </c>
      <c r="N67" s="320" t="str">
        <f>IF(E67="","",IF(ISNA(VLOOKUP($E67,'A-1 On-Site Habitat Baseline'!$D$1:$X$258,14,FALSE)),"",(VLOOKUP($E67,'A-1 On-Site Habitat Baseline'!$D$1:$X$258,14,FALSE))))</f>
        <v/>
      </c>
      <c r="O67" s="314" t="str">
        <f>IF(E67="","",IF(ISNA(VLOOKUP($E67,'A-1 On-Site Habitat Baseline'!$D$1:$X$258,16,FALSE)),"",(VLOOKUP($E67,'A-1 On-Site Habitat Baseline'!$D$1:$X$258,13,FALSE))))</f>
        <v/>
      </c>
      <c r="P67" s="161" t="str">
        <f>IFERROR(INDEX('G-1 All Habitats'!$AG$49:$AG$63,MATCH(Q67,'G-1 All Habitats'!$AF$27:$AF$41,0)),"")</f>
        <v/>
      </c>
      <c r="Q67" s="162" t="str">
        <f t="shared" si="0"/>
        <v/>
      </c>
      <c r="R67" s="162"/>
      <c r="S67" s="252" t="str">
        <f>IFERROR(INDEX('G-1 All Habitats'!$B$3:$B$135,MATCH(R67,'G-1 All Habitats'!$A$3:$A$135,0)),"")</f>
        <v/>
      </c>
      <c r="T67" s="290" t="str">
        <f t="shared" si="1"/>
        <v/>
      </c>
      <c r="U67" s="291" t="str">
        <f t="shared" si="10"/>
        <v/>
      </c>
      <c r="V67" s="325" t="str">
        <f t="shared" si="2"/>
        <v/>
      </c>
      <c r="W67" s="310" t="str">
        <f>IF(S67="","",VLOOKUP(S67,'G-1 All Habitats'!$B$2:$M$135,10,FALSE))</f>
        <v/>
      </c>
      <c r="X67" s="310" t="str">
        <f>IFERROR(VLOOKUP(W67,'G-1 All Habitats'!$V$3:$W$7,2,FALSE),"")</f>
        <v/>
      </c>
      <c r="Y67" s="45"/>
      <c r="Z67" s="314" t="str">
        <f>IFERROR(INDEX('G-8 Condition Look up'!$A$3:$H$135,MATCH(S67,'G-8 Condition Look up'!$A$3:$A$135,0),MATCH(Y67,'G-8 Condition Look up'!$A$3:$H$3,0)),"")</f>
        <v/>
      </c>
      <c r="AA67" s="38"/>
      <c r="AB67" s="310" t="str">
        <f>IF(AA67="","",IF(VLOOKUP(AA67,'G-3 Multipliers'!$L$3:$N$6,2,FALSE)=0,"Spatial Data Missing ⚠",VLOOKUP(AA67,'G-3 Multipliers'!$L$3:$N$6,2,FALSE)))</f>
        <v/>
      </c>
      <c r="AC67" s="314" t="str">
        <f>IF(AA67="","",IF(VLOOKUP(AA67,'G-3 Multipliers'!$L$3:$N$6,3,FALSE)=0,"Spatial Data Missing ⚠",VLOOKUP(AA67,'G-3 Multipliers'!$L$3:$N$6,3,FALSE)))</f>
        <v/>
      </c>
      <c r="AD67" s="327" t="str">
        <f t="shared" si="3"/>
        <v/>
      </c>
      <c r="AE67" s="47"/>
      <c r="AF67" s="47"/>
      <c r="AG67" s="298" t="str">
        <f t="shared" si="4"/>
        <v/>
      </c>
      <c r="AH67" s="311" t="str">
        <f t="shared" si="5"/>
        <v/>
      </c>
      <c r="AI67" s="312" t="str">
        <f>IF(AH67="Check Data","Check Data",IFERROR(VLOOKUP(AH67,'G-4 Temporal multipliers'!$A$4:$C$36,3,FALSE),""))</f>
        <v/>
      </c>
      <c r="AJ67" s="290" t="str">
        <f>IF(S67="","",VLOOKUP(S67,'G-3 Multipliers'!$A$2:$E$134,4,FALSE))</f>
        <v/>
      </c>
      <c r="AK67" s="298" t="str">
        <f t="shared" si="6"/>
        <v/>
      </c>
      <c r="AL67" s="298" t="str">
        <f t="shared" si="7"/>
        <v/>
      </c>
      <c r="AM67" s="328" t="str">
        <f>IFERROR(IF(F67="","",IF(AH67="Check Data ⚠","Check Data ⚠",VLOOKUP(AL67, 'G-3 Multipliers'!$P$2:$Q$6,2,FALSE))),"")</f>
        <v/>
      </c>
      <c r="AN67" s="304" t="str">
        <f t="shared" si="8"/>
        <v/>
      </c>
      <c r="AO67" s="163"/>
      <c r="AP67" s="164"/>
      <c r="AQ67" s="101"/>
      <c r="AT67" s="20" t="str">
        <f t="shared" si="9"/>
        <v>No</v>
      </c>
      <c r="AU67" s="20" t="str">
        <f>IF(E67="","",IF(ISNA(VLOOKUP($E67,'A-1 On-Site Habitat Baseline'!$D$1:$AV$258,4,FALSE)),"",(VLOOKUP($E67,'A-1 On-Site Habitat Baseline'!$D$1:$AV$258,4,FALSE))))</f>
        <v/>
      </c>
    </row>
    <row r="68" spans="1:47" x14ac:dyDescent="0.3">
      <c r="A68" s="20" t="str">
        <f>IF(E68="","",IF(ISNA(VLOOKUP($E68,'A-1 On-Site Habitat Baseline'!$D$1:$O$258,2,FALSE)),"",(VLOOKUP($E68,'A-1 On-Site Habitat Baseline'!$D$1:$O$258,2,FALSE))))</f>
        <v/>
      </c>
      <c r="B68" s="20" t="str">
        <f>IF(E68="","",IF(ISNA(VLOOKUP($E68,'A-1 On-Site Habitat Baseline'!$D$1:$O$258,3,FALSE)),"",(VLOOKUP($E68,'A-1 On-Site Habitat Baseline'!$D$1:$O$258,3,FALSE))))</f>
        <v/>
      </c>
      <c r="C68" s="20" t="str">
        <f>IFERROR(INDEX('G-8 Condition Look up'!$I$4:$I$135,MATCH(S68,'G-8 Condition Look up'!$A$4:$A$135,0)),"")</f>
        <v/>
      </c>
      <c r="E68" s="319" t="str">
        <f>'A-1 On-Site Habitat Baseline'!AL67</f>
        <v/>
      </c>
      <c r="F68" s="310" t="str">
        <f>IF(E68="","",IF(ISNA(VLOOKUP($E68,'A-1 On-Site Habitat Baseline'!$D$1:$AV$258,45,FALSE)),"",(VLOOKUP($E68,'A-1 On-Site Habitat Baseline'!$D$1:$AV$258,45,FALSE))))</f>
        <v/>
      </c>
      <c r="G68" s="310" t="str">
        <f>IF(E68="","",IF(ISNA(VLOOKUP($E68,'A-1 On-Site Habitat Baseline'!$D$1:$O$258,5,FALSE)),"",(VLOOKUP($E68,'A-1 On-Site Habitat Baseline'!$D$1:$O$258,5,FALSE))))</f>
        <v/>
      </c>
      <c r="H68" s="310" t="str">
        <f>IF(E68="","",IF(ISNA(VLOOKUP($E68,'A-1 On-Site Habitat Baseline'!$D$1:$O$258,6,FALSE)),"",(VLOOKUP($E68,'A-1 On-Site Habitat Baseline'!$D$1:$O$258,6,FALSE))))</f>
        <v/>
      </c>
      <c r="I68" s="310" t="str">
        <f>IF(E68="","",IF(ISNA(VLOOKUP($E68,'A-1 On-Site Habitat Baseline'!$D$1:$O$258,7,FALSE)),"",(VLOOKUP($E68,'A-1 On-Site Habitat Baseline'!$D$1:$O$258,7,FALSE))))</f>
        <v/>
      </c>
      <c r="J68" s="310" t="str">
        <f>IF(E68="","",IF(ISNA(VLOOKUP($E68,'A-1 On-Site Habitat Baseline'!$D$1:$O$258,8,FALSE)),"",(VLOOKUP($E68,'A-1 On-Site Habitat Baseline'!$D$1:$O$258,8,FALSE))))</f>
        <v/>
      </c>
      <c r="K68" s="310" t="str">
        <f>IF(E68="","",IF(ISNA(VLOOKUP($E68,'A-1 On-Site Habitat Baseline'!$D$1:$O$258,9,FALSE)),"",(VLOOKUP($E68,'A-1 On-Site Habitat Baseline'!$D$1:$O$258,9,FALSE))))</f>
        <v/>
      </c>
      <c r="L68" s="310" t="str">
        <f>IF(E68="","",IF(ISNA(VLOOKUP($E68,'A-1 On-Site Habitat Baseline'!$D$1:$O$258,11,FALSE)),"",(VLOOKUP($E68,'A-1 On-Site Habitat Baseline'!$D$1:$O$258,11,FALSE))))</f>
        <v/>
      </c>
      <c r="M68" s="310" t="str">
        <f>IF(E68="","",IF(ISNA(VLOOKUP($E68,'A-1 On-Site Habitat Baseline'!$D$1:$O$258,12,FALSE)),"",(VLOOKUP($E68,'A-1 On-Site Habitat Baseline'!$D$1:$O$258,12,FALSE))))</f>
        <v/>
      </c>
      <c r="N68" s="320" t="str">
        <f>IF(E68="","",IF(ISNA(VLOOKUP($E68,'A-1 On-Site Habitat Baseline'!$D$1:$X$258,14,FALSE)),"",(VLOOKUP($E68,'A-1 On-Site Habitat Baseline'!$D$1:$X$258,14,FALSE))))</f>
        <v/>
      </c>
      <c r="O68" s="314" t="str">
        <f>IF(E68="","",IF(ISNA(VLOOKUP($E68,'A-1 On-Site Habitat Baseline'!$D$1:$X$258,16,FALSE)),"",(VLOOKUP($E68,'A-1 On-Site Habitat Baseline'!$D$1:$X$258,13,FALSE))))</f>
        <v/>
      </c>
      <c r="P68" s="161" t="str">
        <f>IFERROR(INDEX('G-1 All Habitats'!$AG$49:$AG$63,MATCH(Q68,'G-1 All Habitats'!$AF$27:$AF$41,0)),"")</f>
        <v/>
      </c>
      <c r="Q68" s="162" t="str">
        <f t="shared" si="0"/>
        <v/>
      </c>
      <c r="R68" s="162"/>
      <c r="S68" s="252" t="str">
        <f>IFERROR(INDEX('G-1 All Habitats'!$B$3:$B$135,MATCH(R68,'G-1 All Habitats'!$A$3:$A$135,0)),"")</f>
        <v/>
      </c>
      <c r="T68" s="290" t="str">
        <f t="shared" si="1"/>
        <v/>
      </c>
      <c r="U68" s="291" t="str">
        <f t="shared" si="10"/>
        <v/>
      </c>
      <c r="V68" s="325" t="str">
        <f t="shared" si="2"/>
        <v/>
      </c>
      <c r="W68" s="310" t="str">
        <f>IF(S68="","",VLOOKUP(S68,'G-1 All Habitats'!$B$2:$M$135,10,FALSE))</f>
        <v/>
      </c>
      <c r="X68" s="310" t="str">
        <f>IFERROR(VLOOKUP(W68,'G-1 All Habitats'!$V$3:$W$7,2,FALSE),"")</f>
        <v/>
      </c>
      <c r="Y68" s="45"/>
      <c r="Z68" s="314" t="str">
        <f>IFERROR(INDEX('G-8 Condition Look up'!$A$3:$H$135,MATCH(S68,'G-8 Condition Look up'!$A$3:$A$135,0),MATCH(Y68,'G-8 Condition Look up'!$A$3:$H$3,0)),"")</f>
        <v/>
      </c>
      <c r="AA68" s="38"/>
      <c r="AB68" s="310" t="str">
        <f>IF(AA68="","",IF(VLOOKUP(AA68,'G-3 Multipliers'!$L$3:$N$6,2,FALSE)=0,"Spatial Data Missing ⚠",VLOOKUP(AA68,'G-3 Multipliers'!$L$3:$N$6,2,FALSE)))</f>
        <v/>
      </c>
      <c r="AC68" s="314" t="str">
        <f>IF(AA68="","",IF(VLOOKUP(AA68,'G-3 Multipliers'!$L$3:$N$6,3,FALSE)=0,"Spatial Data Missing ⚠",VLOOKUP(AA68,'G-3 Multipliers'!$L$3:$N$6,3,FALSE)))</f>
        <v/>
      </c>
      <c r="AD68" s="327" t="str">
        <f t="shared" si="3"/>
        <v/>
      </c>
      <c r="AE68" s="47"/>
      <c r="AF68" s="47"/>
      <c r="AG68" s="298" t="str">
        <f t="shared" si="4"/>
        <v/>
      </c>
      <c r="AH68" s="311" t="str">
        <f t="shared" si="5"/>
        <v/>
      </c>
      <c r="AI68" s="312" t="str">
        <f>IF(AH68="Check Data","Check Data",IFERROR(VLOOKUP(AH68,'G-4 Temporal multipliers'!$A$4:$C$36,3,FALSE),""))</f>
        <v/>
      </c>
      <c r="AJ68" s="290" t="str">
        <f>IF(S68="","",VLOOKUP(S68,'G-3 Multipliers'!$A$2:$E$134,4,FALSE))</f>
        <v/>
      </c>
      <c r="AK68" s="298" t="str">
        <f t="shared" si="6"/>
        <v/>
      </c>
      <c r="AL68" s="298" t="str">
        <f t="shared" si="7"/>
        <v/>
      </c>
      <c r="AM68" s="328" t="str">
        <f>IFERROR(IF(F68="","",IF(AH68="Check Data ⚠","Check Data ⚠",VLOOKUP(AL68, 'G-3 Multipliers'!$P$2:$Q$6,2,FALSE))),"")</f>
        <v/>
      </c>
      <c r="AN68" s="304" t="str">
        <f t="shared" si="8"/>
        <v/>
      </c>
      <c r="AO68" s="163"/>
      <c r="AP68" s="164"/>
      <c r="AQ68" s="101"/>
      <c r="AT68" s="20" t="str">
        <f t="shared" si="9"/>
        <v>No</v>
      </c>
      <c r="AU68" s="20" t="str">
        <f>IF(E68="","",IF(ISNA(VLOOKUP($E68,'A-1 On-Site Habitat Baseline'!$D$1:$AV$258,4,FALSE)),"",(VLOOKUP($E68,'A-1 On-Site Habitat Baseline'!$D$1:$AV$258,4,FALSE))))</f>
        <v/>
      </c>
    </row>
    <row r="69" spans="1:47" x14ac:dyDescent="0.3">
      <c r="A69" s="20" t="str">
        <f>IF(E69="","",IF(ISNA(VLOOKUP($E69,'A-1 On-Site Habitat Baseline'!$D$1:$O$258,2,FALSE)),"",(VLOOKUP($E69,'A-1 On-Site Habitat Baseline'!$D$1:$O$258,2,FALSE))))</f>
        <v/>
      </c>
      <c r="B69" s="20" t="str">
        <f>IF(E69="","",IF(ISNA(VLOOKUP($E69,'A-1 On-Site Habitat Baseline'!$D$1:$O$258,3,FALSE)),"",(VLOOKUP($E69,'A-1 On-Site Habitat Baseline'!$D$1:$O$258,3,FALSE))))</f>
        <v/>
      </c>
      <c r="C69" s="20" t="str">
        <f>IFERROR(INDEX('G-8 Condition Look up'!$I$4:$I$135,MATCH(S69,'G-8 Condition Look up'!$A$4:$A$135,0)),"")</f>
        <v/>
      </c>
      <c r="E69" s="319" t="str">
        <f>'A-1 On-Site Habitat Baseline'!AL68</f>
        <v/>
      </c>
      <c r="F69" s="310" t="str">
        <f>IF(E69="","",IF(ISNA(VLOOKUP($E69,'A-1 On-Site Habitat Baseline'!$D$1:$AV$258,45,FALSE)),"",(VLOOKUP($E69,'A-1 On-Site Habitat Baseline'!$D$1:$AV$258,45,FALSE))))</f>
        <v/>
      </c>
      <c r="G69" s="310" t="str">
        <f>IF(E69="","",IF(ISNA(VLOOKUP($E69,'A-1 On-Site Habitat Baseline'!$D$1:$O$258,5,FALSE)),"",(VLOOKUP($E69,'A-1 On-Site Habitat Baseline'!$D$1:$O$258,5,FALSE))))</f>
        <v/>
      </c>
      <c r="H69" s="310" t="str">
        <f>IF(E69="","",IF(ISNA(VLOOKUP($E69,'A-1 On-Site Habitat Baseline'!$D$1:$O$258,6,FALSE)),"",(VLOOKUP($E69,'A-1 On-Site Habitat Baseline'!$D$1:$O$258,6,FALSE))))</f>
        <v/>
      </c>
      <c r="I69" s="310" t="str">
        <f>IF(E69="","",IF(ISNA(VLOOKUP($E69,'A-1 On-Site Habitat Baseline'!$D$1:$O$258,7,FALSE)),"",(VLOOKUP($E69,'A-1 On-Site Habitat Baseline'!$D$1:$O$258,7,FALSE))))</f>
        <v/>
      </c>
      <c r="J69" s="310" t="str">
        <f>IF(E69="","",IF(ISNA(VLOOKUP($E69,'A-1 On-Site Habitat Baseline'!$D$1:$O$258,8,FALSE)),"",(VLOOKUP($E69,'A-1 On-Site Habitat Baseline'!$D$1:$O$258,8,FALSE))))</f>
        <v/>
      </c>
      <c r="K69" s="310" t="str">
        <f>IF(E69="","",IF(ISNA(VLOOKUP($E69,'A-1 On-Site Habitat Baseline'!$D$1:$O$258,9,FALSE)),"",(VLOOKUP($E69,'A-1 On-Site Habitat Baseline'!$D$1:$O$258,9,FALSE))))</f>
        <v/>
      </c>
      <c r="L69" s="310" t="str">
        <f>IF(E69="","",IF(ISNA(VLOOKUP($E69,'A-1 On-Site Habitat Baseline'!$D$1:$O$258,11,FALSE)),"",(VLOOKUP($E69,'A-1 On-Site Habitat Baseline'!$D$1:$O$258,11,FALSE))))</f>
        <v/>
      </c>
      <c r="M69" s="310" t="str">
        <f>IF(E69="","",IF(ISNA(VLOOKUP($E69,'A-1 On-Site Habitat Baseline'!$D$1:$O$258,12,FALSE)),"",(VLOOKUP($E69,'A-1 On-Site Habitat Baseline'!$D$1:$O$258,12,FALSE))))</f>
        <v/>
      </c>
      <c r="N69" s="320" t="str">
        <f>IF(E69="","",IF(ISNA(VLOOKUP($E69,'A-1 On-Site Habitat Baseline'!$D$1:$X$258,14,FALSE)),"",(VLOOKUP($E69,'A-1 On-Site Habitat Baseline'!$D$1:$X$258,14,FALSE))))</f>
        <v/>
      </c>
      <c r="O69" s="314" t="str">
        <f>IF(E69="","",IF(ISNA(VLOOKUP($E69,'A-1 On-Site Habitat Baseline'!$D$1:$X$258,16,FALSE)),"",(VLOOKUP($E69,'A-1 On-Site Habitat Baseline'!$D$1:$X$258,13,FALSE))))</f>
        <v/>
      </c>
      <c r="P69" s="161" t="str">
        <f>IFERROR(INDEX('G-1 All Habitats'!$AG$49:$AG$63,MATCH(Q69,'G-1 All Habitats'!$AF$27:$AF$41,0)),"")</f>
        <v/>
      </c>
      <c r="Q69" s="162" t="str">
        <f t="shared" si="0"/>
        <v/>
      </c>
      <c r="R69" s="162"/>
      <c r="S69" s="252" t="str">
        <f>IFERROR(INDEX('G-1 All Habitats'!$B$3:$B$135,MATCH(R69,'G-1 All Habitats'!$A$3:$A$135,0)),"")</f>
        <v/>
      </c>
      <c r="T69" s="290" t="str">
        <f t="shared" si="1"/>
        <v/>
      </c>
      <c r="U69" s="291" t="str">
        <f t="shared" si="10"/>
        <v/>
      </c>
      <c r="V69" s="325" t="str">
        <f t="shared" si="2"/>
        <v/>
      </c>
      <c r="W69" s="310" t="str">
        <f>IF(S69="","",VLOOKUP(S69,'G-1 All Habitats'!$B$2:$M$135,10,FALSE))</f>
        <v/>
      </c>
      <c r="X69" s="310" t="str">
        <f>IFERROR(VLOOKUP(W69,'G-1 All Habitats'!$V$3:$W$7,2,FALSE),"")</f>
        <v/>
      </c>
      <c r="Y69" s="45"/>
      <c r="Z69" s="314" t="str">
        <f>IFERROR(INDEX('G-8 Condition Look up'!$A$3:$H$135,MATCH(S69,'G-8 Condition Look up'!$A$3:$A$135,0),MATCH(Y69,'G-8 Condition Look up'!$A$3:$H$3,0)),"")</f>
        <v/>
      </c>
      <c r="AA69" s="38"/>
      <c r="AB69" s="310" t="str">
        <f>IF(AA69="","",IF(VLOOKUP(AA69,'G-3 Multipliers'!$L$3:$N$6,2,FALSE)=0,"Spatial Data Missing ⚠",VLOOKUP(AA69,'G-3 Multipliers'!$L$3:$N$6,2,FALSE)))</f>
        <v/>
      </c>
      <c r="AC69" s="314" t="str">
        <f>IF(AA69="","",IF(VLOOKUP(AA69,'G-3 Multipliers'!$L$3:$N$6,3,FALSE)=0,"Spatial Data Missing ⚠",VLOOKUP(AA69,'G-3 Multipliers'!$L$3:$N$6,3,FALSE)))</f>
        <v/>
      </c>
      <c r="AD69" s="327" t="str">
        <f t="shared" si="3"/>
        <v/>
      </c>
      <c r="AE69" s="47"/>
      <c r="AF69" s="47"/>
      <c r="AG69" s="298" t="str">
        <f t="shared" si="4"/>
        <v/>
      </c>
      <c r="AH69" s="311" t="str">
        <f t="shared" si="5"/>
        <v/>
      </c>
      <c r="AI69" s="312" t="str">
        <f>IF(AH69="Check Data","Check Data",IFERROR(VLOOKUP(AH69,'G-4 Temporal multipliers'!$A$4:$C$36,3,FALSE),""))</f>
        <v/>
      </c>
      <c r="AJ69" s="290" t="str">
        <f>IF(S69="","",VLOOKUP(S69,'G-3 Multipliers'!$A$2:$E$134,4,FALSE))</f>
        <v/>
      </c>
      <c r="AK69" s="298" t="str">
        <f t="shared" si="6"/>
        <v/>
      </c>
      <c r="AL69" s="298" t="str">
        <f t="shared" si="7"/>
        <v/>
      </c>
      <c r="AM69" s="328" t="str">
        <f>IFERROR(IF(F69="","",IF(AH69="Check Data ⚠","Check Data ⚠",VLOOKUP(AL69, 'G-3 Multipliers'!$P$2:$Q$6,2,FALSE))),"")</f>
        <v/>
      </c>
      <c r="AN69" s="304" t="str">
        <f t="shared" si="8"/>
        <v/>
      </c>
      <c r="AO69" s="163"/>
      <c r="AP69" s="164"/>
      <c r="AQ69" s="101"/>
      <c r="AT69" s="20" t="str">
        <f t="shared" si="9"/>
        <v>No</v>
      </c>
      <c r="AU69" s="20" t="str">
        <f>IF(E69="","",IF(ISNA(VLOOKUP($E69,'A-1 On-Site Habitat Baseline'!$D$1:$AV$258,4,FALSE)),"",(VLOOKUP($E69,'A-1 On-Site Habitat Baseline'!$D$1:$AV$258,4,FALSE))))</f>
        <v/>
      </c>
    </row>
    <row r="70" spans="1:47" x14ac:dyDescent="0.3">
      <c r="A70" s="20" t="str">
        <f>IF(E70="","",IF(ISNA(VLOOKUP($E70,'A-1 On-Site Habitat Baseline'!$D$1:$O$258,2,FALSE)),"",(VLOOKUP($E70,'A-1 On-Site Habitat Baseline'!$D$1:$O$258,2,FALSE))))</f>
        <v/>
      </c>
      <c r="B70" s="20" t="str">
        <f>IF(E70="","",IF(ISNA(VLOOKUP($E70,'A-1 On-Site Habitat Baseline'!$D$1:$O$258,3,FALSE)),"",(VLOOKUP($E70,'A-1 On-Site Habitat Baseline'!$D$1:$O$258,3,FALSE))))</f>
        <v/>
      </c>
      <c r="C70" s="20" t="str">
        <f>IFERROR(INDEX('G-8 Condition Look up'!$I$4:$I$135,MATCH(S70,'G-8 Condition Look up'!$A$4:$A$135,0)),"")</f>
        <v/>
      </c>
      <c r="E70" s="319" t="str">
        <f>'A-1 On-Site Habitat Baseline'!AL69</f>
        <v/>
      </c>
      <c r="F70" s="310" t="str">
        <f>IF(E70="","",IF(ISNA(VLOOKUP($E70,'A-1 On-Site Habitat Baseline'!$D$1:$AV$258,45,FALSE)),"",(VLOOKUP($E70,'A-1 On-Site Habitat Baseline'!$D$1:$AV$258,45,FALSE))))</f>
        <v/>
      </c>
      <c r="G70" s="310" t="str">
        <f>IF(E70="","",IF(ISNA(VLOOKUP($E70,'A-1 On-Site Habitat Baseline'!$D$1:$O$258,5,FALSE)),"",(VLOOKUP($E70,'A-1 On-Site Habitat Baseline'!$D$1:$O$258,5,FALSE))))</f>
        <v/>
      </c>
      <c r="H70" s="310" t="str">
        <f>IF(E70="","",IF(ISNA(VLOOKUP($E70,'A-1 On-Site Habitat Baseline'!$D$1:$O$258,6,FALSE)),"",(VLOOKUP($E70,'A-1 On-Site Habitat Baseline'!$D$1:$O$258,6,FALSE))))</f>
        <v/>
      </c>
      <c r="I70" s="310" t="str">
        <f>IF(E70="","",IF(ISNA(VLOOKUP($E70,'A-1 On-Site Habitat Baseline'!$D$1:$O$258,7,FALSE)),"",(VLOOKUP($E70,'A-1 On-Site Habitat Baseline'!$D$1:$O$258,7,FALSE))))</f>
        <v/>
      </c>
      <c r="J70" s="310" t="str">
        <f>IF(E70="","",IF(ISNA(VLOOKUP($E70,'A-1 On-Site Habitat Baseline'!$D$1:$O$258,8,FALSE)),"",(VLOOKUP($E70,'A-1 On-Site Habitat Baseline'!$D$1:$O$258,8,FALSE))))</f>
        <v/>
      </c>
      <c r="K70" s="310" t="str">
        <f>IF(E70="","",IF(ISNA(VLOOKUP($E70,'A-1 On-Site Habitat Baseline'!$D$1:$O$258,9,FALSE)),"",(VLOOKUP($E70,'A-1 On-Site Habitat Baseline'!$D$1:$O$258,9,FALSE))))</f>
        <v/>
      </c>
      <c r="L70" s="310" t="str">
        <f>IF(E70="","",IF(ISNA(VLOOKUP($E70,'A-1 On-Site Habitat Baseline'!$D$1:$O$258,11,FALSE)),"",(VLOOKUP($E70,'A-1 On-Site Habitat Baseline'!$D$1:$O$258,11,FALSE))))</f>
        <v/>
      </c>
      <c r="M70" s="310" t="str">
        <f>IF(E70="","",IF(ISNA(VLOOKUP($E70,'A-1 On-Site Habitat Baseline'!$D$1:$O$258,12,FALSE)),"",(VLOOKUP($E70,'A-1 On-Site Habitat Baseline'!$D$1:$O$258,12,FALSE))))</f>
        <v/>
      </c>
      <c r="N70" s="320" t="str">
        <f>IF(E70="","",IF(ISNA(VLOOKUP($E70,'A-1 On-Site Habitat Baseline'!$D$1:$X$258,14,FALSE)),"",(VLOOKUP($E70,'A-1 On-Site Habitat Baseline'!$D$1:$X$258,14,FALSE))))</f>
        <v/>
      </c>
      <c r="O70" s="314" t="str">
        <f>IF(E70="","",IF(ISNA(VLOOKUP($E70,'A-1 On-Site Habitat Baseline'!$D$1:$X$258,16,FALSE)),"",(VLOOKUP($E70,'A-1 On-Site Habitat Baseline'!$D$1:$X$258,13,FALSE))))</f>
        <v/>
      </c>
      <c r="P70" s="161" t="str">
        <f>IFERROR(INDEX('G-1 All Habitats'!$AG$49:$AG$63,MATCH(Q70,'G-1 All Habitats'!$AF$27:$AF$41,0)),"")</f>
        <v/>
      </c>
      <c r="Q70" s="162" t="str">
        <f t="shared" si="0"/>
        <v/>
      </c>
      <c r="R70" s="162"/>
      <c r="S70" s="252" t="str">
        <f>IFERROR(INDEX('G-1 All Habitats'!$B$3:$B$135,MATCH(R70,'G-1 All Habitats'!$A$3:$A$135,0)),"")</f>
        <v/>
      </c>
      <c r="T70" s="290" t="str">
        <f t="shared" si="1"/>
        <v/>
      </c>
      <c r="U70" s="291" t="str">
        <f t="shared" si="10"/>
        <v/>
      </c>
      <c r="V70" s="325" t="str">
        <f t="shared" si="2"/>
        <v/>
      </c>
      <c r="W70" s="310" t="str">
        <f>IF(S70="","",VLOOKUP(S70,'G-1 All Habitats'!$B$2:$M$135,10,FALSE))</f>
        <v/>
      </c>
      <c r="X70" s="310" t="str">
        <f>IFERROR(VLOOKUP(W70,'G-1 All Habitats'!$V$3:$W$7,2,FALSE),"")</f>
        <v/>
      </c>
      <c r="Y70" s="45"/>
      <c r="Z70" s="314" t="str">
        <f>IFERROR(INDEX('G-8 Condition Look up'!$A$3:$H$135,MATCH(S70,'G-8 Condition Look up'!$A$3:$A$135,0),MATCH(Y70,'G-8 Condition Look up'!$A$3:$H$3,0)),"")</f>
        <v/>
      </c>
      <c r="AA70" s="38"/>
      <c r="AB70" s="310" t="str">
        <f>IF(AA70="","",IF(VLOOKUP(AA70,'G-3 Multipliers'!$L$3:$N$6,2,FALSE)=0,"Spatial Data Missing ⚠",VLOOKUP(AA70,'G-3 Multipliers'!$L$3:$N$6,2,FALSE)))</f>
        <v/>
      </c>
      <c r="AC70" s="314" t="str">
        <f>IF(AA70="","",IF(VLOOKUP(AA70,'G-3 Multipliers'!$L$3:$N$6,3,FALSE)=0,"Spatial Data Missing ⚠",VLOOKUP(AA70,'G-3 Multipliers'!$L$3:$N$6,3,FALSE)))</f>
        <v/>
      </c>
      <c r="AD70" s="327" t="str">
        <f t="shared" si="3"/>
        <v/>
      </c>
      <c r="AE70" s="47"/>
      <c r="AF70" s="47"/>
      <c r="AG70" s="298" t="str">
        <f t="shared" si="4"/>
        <v/>
      </c>
      <c r="AH70" s="311" t="str">
        <f t="shared" si="5"/>
        <v/>
      </c>
      <c r="AI70" s="312" t="str">
        <f>IF(AH70="Check Data","Check Data",IFERROR(VLOOKUP(AH70,'G-4 Temporal multipliers'!$A$4:$C$36,3,FALSE),""))</f>
        <v/>
      </c>
      <c r="AJ70" s="290" t="str">
        <f>IF(S70="","",VLOOKUP(S70,'G-3 Multipliers'!$A$2:$E$134,4,FALSE))</f>
        <v/>
      </c>
      <c r="AK70" s="298" t="str">
        <f t="shared" si="6"/>
        <v/>
      </c>
      <c r="AL70" s="298" t="str">
        <f t="shared" si="7"/>
        <v/>
      </c>
      <c r="AM70" s="328" t="str">
        <f>IFERROR(IF(F70="","",IF(AH70="Check Data ⚠","Check Data ⚠",VLOOKUP(AL70, 'G-3 Multipliers'!$P$2:$Q$6,2,FALSE))),"")</f>
        <v/>
      </c>
      <c r="AN70" s="304" t="str">
        <f t="shared" si="8"/>
        <v/>
      </c>
      <c r="AO70" s="163"/>
      <c r="AP70" s="164"/>
      <c r="AQ70" s="101"/>
      <c r="AT70" s="20" t="str">
        <f t="shared" si="9"/>
        <v>No</v>
      </c>
      <c r="AU70" s="20" t="str">
        <f>IF(E70="","",IF(ISNA(VLOOKUP($E70,'A-1 On-Site Habitat Baseline'!$D$1:$AV$258,4,FALSE)),"",(VLOOKUP($E70,'A-1 On-Site Habitat Baseline'!$D$1:$AV$258,4,FALSE))))</f>
        <v/>
      </c>
    </row>
    <row r="71" spans="1:47" x14ac:dyDescent="0.3">
      <c r="A71" s="20" t="str">
        <f>IF(E71="","",IF(ISNA(VLOOKUP($E71,'A-1 On-Site Habitat Baseline'!$D$1:$O$258,2,FALSE)),"",(VLOOKUP($E71,'A-1 On-Site Habitat Baseline'!$D$1:$O$258,2,FALSE))))</f>
        <v/>
      </c>
      <c r="B71" s="20" t="str">
        <f>IF(E71="","",IF(ISNA(VLOOKUP($E71,'A-1 On-Site Habitat Baseline'!$D$1:$O$258,3,FALSE)),"",(VLOOKUP($E71,'A-1 On-Site Habitat Baseline'!$D$1:$O$258,3,FALSE))))</f>
        <v/>
      </c>
      <c r="C71" s="20" t="str">
        <f>IFERROR(INDEX('G-8 Condition Look up'!$I$4:$I$135,MATCH(S71,'G-8 Condition Look up'!$A$4:$A$135,0)),"")</f>
        <v/>
      </c>
      <c r="E71" s="319" t="str">
        <f>'A-1 On-Site Habitat Baseline'!AL70</f>
        <v/>
      </c>
      <c r="F71" s="310" t="str">
        <f>IF(E71="","",IF(ISNA(VLOOKUP($E71,'A-1 On-Site Habitat Baseline'!$D$1:$AV$258,45,FALSE)),"",(VLOOKUP($E71,'A-1 On-Site Habitat Baseline'!$D$1:$AV$258,45,FALSE))))</f>
        <v/>
      </c>
      <c r="G71" s="310" t="str">
        <f>IF(E71="","",IF(ISNA(VLOOKUP($E71,'A-1 On-Site Habitat Baseline'!$D$1:$O$258,5,FALSE)),"",(VLOOKUP($E71,'A-1 On-Site Habitat Baseline'!$D$1:$O$258,5,FALSE))))</f>
        <v/>
      </c>
      <c r="H71" s="310" t="str">
        <f>IF(E71="","",IF(ISNA(VLOOKUP($E71,'A-1 On-Site Habitat Baseline'!$D$1:$O$258,6,FALSE)),"",(VLOOKUP($E71,'A-1 On-Site Habitat Baseline'!$D$1:$O$258,6,FALSE))))</f>
        <v/>
      </c>
      <c r="I71" s="310" t="str">
        <f>IF(E71="","",IF(ISNA(VLOOKUP($E71,'A-1 On-Site Habitat Baseline'!$D$1:$O$258,7,FALSE)),"",(VLOOKUP($E71,'A-1 On-Site Habitat Baseline'!$D$1:$O$258,7,FALSE))))</f>
        <v/>
      </c>
      <c r="J71" s="310" t="str">
        <f>IF(E71="","",IF(ISNA(VLOOKUP($E71,'A-1 On-Site Habitat Baseline'!$D$1:$O$258,8,FALSE)),"",(VLOOKUP($E71,'A-1 On-Site Habitat Baseline'!$D$1:$O$258,8,FALSE))))</f>
        <v/>
      </c>
      <c r="K71" s="310" t="str">
        <f>IF(E71="","",IF(ISNA(VLOOKUP($E71,'A-1 On-Site Habitat Baseline'!$D$1:$O$258,9,FALSE)),"",(VLOOKUP($E71,'A-1 On-Site Habitat Baseline'!$D$1:$O$258,9,FALSE))))</f>
        <v/>
      </c>
      <c r="L71" s="310" t="str">
        <f>IF(E71="","",IF(ISNA(VLOOKUP($E71,'A-1 On-Site Habitat Baseline'!$D$1:$O$258,11,FALSE)),"",(VLOOKUP($E71,'A-1 On-Site Habitat Baseline'!$D$1:$O$258,11,FALSE))))</f>
        <v/>
      </c>
      <c r="M71" s="310" t="str">
        <f>IF(E71="","",IF(ISNA(VLOOKUP($E71,'A-1 On-Site Habitat Baseline'!$D$1:$O$258,12,FALSE)),"",(VLOOKUP($E71,'A-1 On-Site Habitat Baseline'!$D$1:$O$258,12,FALSE))))</f>
        <v/>
      </c>
      <c r="N71" s="320" t="str">
        <f>IF(E71="","",IF(ISNA(VLOOKUP($E71,'A-1 On-Site Habitat Baseline'!$D$1:$X$258,14,FALSE)),"",(VLOOKUP($E71,'A-1 On-Site Habitat Baseline'!$D$1:$X$258,14,FALSE))))</f>
        <v/>
      </c>
      <c r="O71" s="314" t="str">
        <f>IF(E71="","",IF(ISNA(VLOOKUP($E71,'A-1 On-Site Habitat Baseline'!$D$1:$X$258,16,FALSE)),"",(VLOOKUP($E71,'A-1 On-Site Habitat Baseline'!$D$1:$X$258,13,FALSE))))</f>
        <v/>
      </c>
      <c r="P71" s="161" t="str">
        <f>IFERROR(INDEX('G-1 All Habitats'!$AG$49:$AG$63,MATCH(Q71,'G-1 All Habitats'!$AF$27:$AF$41,0)),"")</f>
        <v/>
      </c>
      <c r="Q71" s="162" t="str">
        <f t="shared" si="0"/>
        <v/>
      </c>
      <c r="R71" s="162"/>
      <c r="S71" s="252" t="str">
        <f>IFERROR(INDEX('G-1 All Habitats'!$B$3:$B$135,MATCH(R71,'G-1 All Habitats'!$A$3:$A$135,0)),"")</f>
        <v/>
      </c>
      <c r="T71" s="290" t="str">
        <f t="shared" si="1"/>
        <v/>
      </c>
      <c r="U71" s="291" t="str">
        <f t="shared" si="10"/>
        <v/>
      </c>
      <c r="V71" s="325" t="str">
        <f t="shared" si="2"/>
        <v/>
      </c>
      <c r="W71" s="310" t="str">
        <f>IF(S71="","",VLOOKUP(S71,'G-1 All Habitats'!$B$2:$M$135,10,FALSE))</f>
        <v/>
      </c>
      <c r="X71" s="310" t="str">
        <f>IFERROR(VLOOKUP(W71,'G-1 All Habitats'!$V$3:$W$7,2,FALSE),"")</f>
        <v/>
      </c>
      <c r="Y71" s="45"/>
      <c r="Z71" s="314" t="str">
        <f>IFERROR(INDEX('G-8 Condition Look up'!$A$3:$H$135,MATCH(S71,'G-8 Condition Look up'!$A$3:$A$135,0),MATCH(Y71,'G-8 Condition Look up'!$A$3:$H$3,0)),"")</f>
        <v/>
      </c>
      <c r="AA71" s="38"/>
      <c r="AB71" s="310" t="str">
        <f>IF(AA71="","",IF(VLOOKUP(AA71,'G-3 Multipliers'!$L$3:$N$6,2,FALSE)=0,"Spatial Data Missing ⚠",VLOOKUP(AA71,'G-3 Multipliers'!$L$3:$N$6,2,FALSE)))</f>
        <v/>
      </c>
      <c r="AC71" s="314" t="str">
        <f>IF(AA71="","",IF(VLOOKUP(AA71,'G-3 Multipliers'!$L$3:$N$6,3,FALSE)=0,"Spatial Data Missing ⚠",VLOOKUP(AA71,'G-3 Multipliers'!$L$3:$N$6,3,FALSE)))</f>
        <v/>
      </c>
      <c r="AD71" s="327" t="str">
        <f t="shared" si="3"/>
        <v/>
      </c>
      <c r="AE71" s="47"/>
      <c r="AF71" s="47"/>
      <c r="AG71" s="298" t="str">
        <f t="shared" si="4"/>
        <v/>
      </c>
      <c r="AH71" s="311" t="str">
        <f t="shared" si="5"/>
        <v/>
      </c>
      <c r="AI71" s="312" t="str">
        <f>IF(AH71="Check Data","Check Data",IFERROR(VLOOKUP(AH71,'G-4 Temporal multipliers'!$A$4:$C$36,3,FALSE),""))</f>
        <v/>
      </c>
      <c r="AJ71" s="290" t="str">
        <f>IF(S71="","",VLOOKUP(S71,'G-3 Multipliers'!$A$2:$E$134,4,FALSE))</f>
        <v/>
      </c>
      <c r="AK71" s="298" t="str">
        <f t="shared" si="6"/>
        <v/>
      </c>
      <c r="AL71" s="298" t="str">
        <f t="shared" si="7"/>
        <v/>
      </c>
      <c r="AM71" s="328" t="str">
        <f>IFERROR(IF(F71="","",IF(AH71="Check Data ⚠","Check Data ⚠",VLOOKUP(AL71, 'G-3 Multipliers'!$P$2:$Q$6,2,FALSE))),"")</f>
        <v/>
      </c>
      <c r="AN71" s="304" t="str">
        <f t="shared" si="8"/>
        <v/>
      </c>
      <c r="AO71" s="163"/>
      <c r="AP71" s="164"/>
      <c r="AQ71" s="101"/>
      <c r="AT71" s="20" t="str">
        <f t="shared" si="9"/>
        <v>No</v>
      </c>
      <c r="AU71" s="20" t="str">
        <f>IF(E71="","",IF(ISNA(VLOOKUP($E71,'A-1 On-Site Habitat Baseline'!$D$1:$AV$258,4,FALSE)),"",(VLOOKUP($E71,'A-1 On-Site Habitat Baseline'!$D$1:$AV$258,4,FALSE))))</f>
        <v/>
      </c>
    </row>
    <row r="72" spans="1:47" x14ac:dyDescent="0.3">
      <c r="A72" s="20" t="str">
        <f>IF(E72="","",IF(ISNA(VLOOKUP($E72,'A-1 On-Site Habitat Baseline'!$D$1:$O$258,2,FALSE)),"",(VLOOKUP($E72,'A-1 On-Site Habitat Baseline'!$D$1:$O$258,2,FALSE))))</f>
        <v/>
      </c>
      <c r="B72" s="20" t="str">
        <f>IF(E72="","",IF(ISNA(VLOOKUP($E72,'A-1 On-Site Habitat Baseline'!$D$1:$O$258,3,FALSE)),"",(VLOOKUP($E72,'A-1 On-Site Habitat Baseline'!$D$1:$O$258,3,FALSE))))</f>
        <v/>
      </c>
      <c r="C72" s="20" t="str">
        <f>IFERROR(INDEX('G-8 Condition Look up'!$I$4:$I$135,MATCH(S72,'G-8 Condition Look up'!$A$4:$A$135,0)),"")</f>
        <v/>
      </c>
      <c r="E72" s="319" t="str">
        <f>'A-1 On-Site Habitat Baseline'!AL71</f>
        <v/>
      </c>
      <c r="F72" s="310" t="str">
        <f>IF(E72="","",IF(ISNA(VLOOKUP($E72,'A-1 On-Site Habitat Baseline'!$D$1:$AV$258,45,FALSE)),"",(VLOOKUP($E72,'A-1 On-Site Habitat Baseline'!$D$1:$AV$258,45,FALSE))))</f>
        <v/>
      </c>
      <c r="G72" s="310" t="str">
        <f>IF(E72="","",IF(ISNA(VLOOKUP($E72,'A-1 On-Site Habitat Baseline'!$D$1:$O$258,5,FALSE)),"",(VLOOKUP($E72,'A-1 On-Site Habitat Baseline'!$D$1:$O$258,5,FALSE))))</f>
        <v/>
      </c>
      <c r="H72" s="310" t="str">
        <f>IF(E72="","",IF(ISNA(VLOOKUP($E72,'A-1 On-Site Habitat Baseline'!$D$1:$O$258,6,FALSE)),"",(VLOOKUP($E72,'A-1 On-Site Habitat Baseline'!$D$1:$O$258,6,FALSE))))</f>
        <v/>
      </c>
      <c r="I72" s="310" t="str">
        <f>IF(E72="","",IF(ISNA(VLOOKUP($E72,'A-1 On-Site Habitat Baseline'!$D$1:$O$258,7,FALSE)),"",(VLOOKUP($E72,'A-1 On-Site Habitat Baseline'!$D$1:$O$258,7,FALSE))))</f>
        <v/>
      </c>
      <c r="J72" s="310" t="str">
        <f>IF(E72="","",IF(ISNA(VLOOKUP($E72,'A-1 On-Site Habitat Baseline'!$D$1:$O$258,8,FALSE)),"",(VLOOKUP($E72,'A-1 On-Site Habitat Baseline'!$D$1:$O$258,8,FALSE))))</f>
        <v/>
      </c>
      <c r="K72" s="310" t="str">
        <f>IF(E72="","",IF(ISNA(VLOOKUP($E72,'A-1 On-Site Habitat Baseline'!$D$1:$O$258,9,FALSE)),"",(VLOOKUP($E72,'A-1 On-Site Habitat Baseline'!$D$1:$O$258,9,FALSE))))</f>
        <v/>
      </c>
      <c r="L72" s="310" t="str">
        <f>IF(E72="","",IF(ISNA(VLOOKUP($E72,'A-1 On-Site Habitat Baseline'!$D$1:$O$258,11,FALSE)),"",(VLOOKUP($E72,'A-1 On-Site Habitat Baseline'!$D$1:$O$258,11,FALSE))))</f>
        <v/>
      </c>
      <c r="M72" s="310" t="str">
        <f>IF(E72="","",IF(ISNA(VLOOKUP($E72,'A-1 On-Site Habitat Baseline'!$D$1:$O$258,12,FALSE)),"",(VLOOKUP($E72,'A-1 On-Site Habitat Baseline'!$D$1:$O$258,12,FALSE))))</f>
        <v/>
      </c>
      <c r="N72" s="320" t="str">
        <f>IF(E72="","",IF(ISNA(VLOOKUP($E72,'A-1 On-Site Habitat Baseline'!$D$1:$X$258,14,FALSE)),"",(VLOOKUP($E72,'A-1 On-Site Habitat Baseline'!$D$1:$X$258,14,FALSE))))</f>
        <v/>
      </c>
      <c r="O72" s="314" t="str">
        <f>IF(E72="","",IF(ISNA(VLOOKUP($E72,'A-1 On-Site Habitat Baseline'!$D$1:$X$258,16,FALSE)),"",(VLOOKUP($E72,'A-1 On-Site Habitat Baseline'!$D$1:$X$258,13,FALSE))))</f>
        <v/>
      </c>
      <c r="P72" s="161" t="str">
        <f>IFERROR(INDEX('G-1 All Habitats'!$AG$49:$AG$63,MATCH(Q72,'G-1 All Habitats'!$AF$27:$AF$41,0)),"")</f>
        <v/>
      </c>
      <c r="Q72" s="162" t="str">
        <f t="shared" si="0"/>
        <v/>
      </c>
      <c r="R72" s="162"/>
      <c r="S72" s="252" t="str">
        <f>IFERROR(INDEX('G-1 All Habitats'!$B$3:$B$135,MATCH(R72,'G-1 All Habitats'!$A$3:$A$135,0)),"")</f>
        <v/>
      </c>
      <c r="T72" s="290" t="str">
        <f t="shared" si="1"/>
        <v/>
      </c>
      <c r="U72" s="291" t="str">
        <f t="shared" si="10"/>
        <v/>
      </c>
      <c r="V72" s="325" t="str">
        <f t="shared" si="2"/>
        <v/>
      </c>
      <c r="W72" s="310" t="str">
        <f>IF(S72="","",VLOOKUP(S72,'G-1 All Habitats'!$B$2:$M$135,10,FALSE))</f>
        <v/>
      </c>
      <c r="X72" s="310" t="str">
        <f>IFERROR(VLOOKUP(W72,'G-1 All Habitats'!$V$3:$W$7,2,FALSE),"")</f>
        <v/>
      </c>
      <c r="Y72" s="45"/>
      <c r="Z72" s="314" t="str">
        <f>IFERROR(INDEX('G-8 Condition Look up'!$A$3:$H$135,MATCH(S72,'G-8 Condition Look up'!$A$3:$A$135,0),MATCH(Y72,'G-8 Condition Look up'!$A$3:$H$3,0)),"")</f>
        <v/>
      </c>
      <c r="AA72" s="38"/>
      <c r="AB72" s="310" t="str">
        <f>IF(AA72="","",IF(VLOOKUP(AA72,'G-3 Multipliers'!$L$3:$N$6,2,FALSE)=0,"Spatial Data Missing ⚠",VLOOKUP(AA72,'G-3 Multipliers'!$L$3:$N$6,2,FALSE)))</f>
        <v/>
      </c>
      <c r="AC72" s="314" t="str">
        <f>IF(AA72="","",IF(VLOOKUP(AA72,'G-3 Multipliers'!$L$3:$N$6,3,FALSE)=0,"Spatial Data Missing ⚠",VLOOKUP(AA72,'G-3 Multipliers'!$L$3:$N$6,3,FALSE)))</f>
        <v/>
      </c>
      <c r="AD72" s="327" t="str">
        <f t="shared" si="3"/>
        <v/>
      </c>
      <c r="AE72" s="47"/>
      <c r="AF72" s="47"/>
      <c r="AG72" s="298" t="str">
        <f t="shared" si="4"/>
        <v/>
      </c>
      <c r="AH72" s="311" t="str">
        <f t="shared" si="5"/>
        <v/>
      </c>
      <c r="AI72" s="312" t="str">
        <f>IF(AH72="Check Data","Check Data",IFERROR(VLOOKUP(AH72,'G-4 Temporal multipliers'!$A$4:$C$36,3,FALSE),""))</f>
        <v/>
      </c>
      <c r="AJ72" s="290" t="str">
        <f>IF(S72="","",VLOOKUP(S72,'G-3 Multipliers'!$A$2:$E$134,4,FALSE))</f>
        <v/>
      </c>
      <c r="AK72" s="298" t="str">
        <f t="shared" si="6"/>
        <v/>
      </c>
      <c r="AL72" s="298" t="str">
        <f t="shared" si="7"/>
        <v/>
      </c>
      <c r="AM72" s="328" t="str">
        <f>IFERROR(IF(F72="","",IF(AH72="Check Data ⚠","Check Data ⚠",VLOOKUP(AL72, 'G-3 Multipliers'!$P$2:$Q$6,2,FALSE))),"")</f>
        <v/>
      </c>
      <c r="AN72" s="304" t="str">
        <f t="shared" si="8"/>
        <v/>
      </c>
      <c r="AO72" s="163"/>
      <c r="AP72" s="164"/>
      <c r="AQ72" s="101"/>
      <c r="AT72" s="20" t="str">
        <f t="shared" si="9"/>
        <v>No</v>
      </c>
      <c r="AU72" s="20" t="str">
        <f>IF(E72="","",IF(ISNA(VLOOKUP($E72,'A-1 On-Site Habitat Baseline'!$D$1:$AV$258,4,FALSE)),"",(VLOOKUP($E72,'A-1 On-Site Habitat Baseline'!$D$1:$AV$258,4,FALSE))))</f>
        <v/>
      </c>
    </row>
    <row r="73" spans="1:47" x14ac:dyDescent="0.3">
      <c r="A73" s="20" t="str">
        <f>IF(E73="","",IF(ISNA(VLOOKUP($E73,'A-1 On-Site Habitat Baseline'!$D$1:$O$258,2,FALSE)),"",(VLOOKUP($E73,'A-1 On-Site Habitat Baseline'!$D$1:$O$258,2,FALSE))))</f>
        <v/>
      </c>
      <c r="B73" s="20" t="str">
        <f>IF(E73="","",IF(ISNA(VLOOKUP($E73,'A-1 On-Site Habitat Baseline'!$D$1:$O$258,3,FALSE)),"",(VLOOKUP($E73,'A-1 On-Site Habitat Baseline'!$D$1:$O$258,3,FALSE))))</f>
        <v/>
      </c>
      <c r="C73" s="20" t="str">
        <f>IFERROR(INDEX('G-8 Condition Look up'!$I$4:$I$135,MATCH(S73,'G-8 Condition Look up'!$A$4:$A$135,0)),"")</f>
        <v/>
      </c>
      <c r="E73" s="319" t="str">
        <f>'A-1 On-Site Habitat Baseline'!AL72</f>
        <v/>
      </c>
      <c r="F73" s="310" t="str">
        <f>IF(E73="","",IF(ISNA(VLOOKUP($E73,'A-1 On-Site Habitat Baseline'!$D$1:$AV$258,45,FALSE)),"",(VLOOKUP($E73,'A-1 On-Site Habitat Baseline'!$D$1:$AV$258,45,FALSE))))</f>
        <v/>
      </c>
      <c r="G73" s="310" t="str">
        <f>IF(E73="","",IF(ISNA(VLOOKUP($E73,'A-1 On-Site Habitat Baseline'!$D$1:$O$258,5,FALSE)),"",(VLOOKUP($E73,'A-1 On-Site Habitat Baseline'!$D$1:$O$258,5,FALSE))))</f>
        <v/>
      </c>
      <c r="H73" s="310" t="str">
        <f>IF(E73="","",IF(ISNA(VLOOKUP($E73,'A-1 On-Site Habitat Baseline'!$D$1:$O$258,6,FALSE)),"",(VLOOKUP($E73,'A-1 On-Site Habitat Baseline'!$D$1:$O$258,6,FALSE))))</f>
        <v/>
      </c>
      <c r="I73" s="310" t="str">
        <f>IF(E73="","",IF(ISNA(VLOOKUP($E73,'A-1 On-Site Habitat Baseline'!$D$1:$O$258,7,FALSE)),"",(VLOOKUP($E73,'A-1 On-Site Habitat Baseline'!$D$1:$O$258,7,FALSE))))</f>
        <v/>
      </c>
      <c r="J73" s="310" t="str">
        <f>IF(E73="","",IF(ISNA(VLOOKUP($E73,'A-1 On-Site Habitat Baseline'!$D$1:$O$258,8,FALSE)),"",(VLOOKUP($E73,'A-1 On-Site Habitat Baseline'!$D$1:$O$258,8,FALSE))))</f>
        <v/>
      </c>
      <c r="K73" s="310" t="str">
        <f>IF(E73="","",IF(ISNA(VLOOKUP($E73,'A-1 On-Site Habitat Baseline'!$D$1:$O$258,9,FALSE)),"",(VLOOKUP($E73,'A-1 On-Site Habitat Baseline'!$D$1:$O$258,9,FALSE))))</f>
        <v/>
      </c>
      <c r="L73" s="310" t="str">
        <f>IF(E73="","",IF(ISNA(VLOOKUP($E73,'A-1 On-Site Habitat Baseline'!$D$1:$O$258,11,FALSE)),"",(VLOOKUP($E73,'A-1 On-Site Habitat Baseline'!$D$1:$O$258,11,FALSE))))</f>
        <v/>
      </c>
      <c r="M73" s="310" t="str">
        <f>IF(E73="","",IF(ISNA(VLOOKUP($E73,'A-1 On-Site Habitat Baseline'!$D$1:$O$258,12,FALSE)),"",(VLOOKUP($E73,'A-1 On-Site Habitat Baseline'!$D$1:$O$258,12,FALSE))))</f>
        <v/>
      </c>
      <c r="N73" s="320" t="str">
        <f>IF(E73="","",IF(ISNA(VLOOKUP($E73,'A-1 On-Site Habitat Baseline'!$D$1:$X$258,14,FALSE)),"",(VLOOKUP($E73,'A-1 On-Site Habitat Baseline'!$D$1:$X$258,14,FALSE))))</f>
        <v/>
      </c>
      <c r="O73" s="314" t="str">
        <f>IF(E73="","",IF(ISNA(VLOOKUP($E73,'A-1 On-Site Habitat Baseline'!$D$1:$X$258,16,FALSE)),"",(VLOOKUP($E73,'A-1 On-Site Habitat Baseline'!$D$1:$X$258,13,FALSE))))</f>
        <v/>
      </c>
      <c r="P73" s="161" t="str">
        <f>IFERROR(INDEX('G-1 All Habitats'!$AG$49:$AG$63,MATCH(Q73,'G-1 All Habitats'!$AF$27:$AF$41,0)),"")</f>
        <v/>
      </c>
      <c r="Q73" s="162" t="str">
        <f t="shared" si="0"/>
        <v/>
      </c>
      <c r="R73" s="162"/>
      <c r="S73" s="252" t="str">
        <f>IFERROR(INDEX('G-1 All Habitats'!$B$3:$B$135,MATCH(R73,'G-1 All Habitats'!$A$3:$A$135,0)),"")</f>
        <v/>
      </c>
      <c r="T73" s="290" t="str">
        <f t="shared" si="1"/>
        <v/>
      </c>
      <c r="U73" s="291" t="str">
        <f t="shared" si="10"/>
        <v/>
      </c>
      <c r="V73" s="325" t="str">
        <f t="shared" si="2"/>
        <v/>
      </c>
      <c r="W73" s="310" t="str">
        <f>IF(S73="","",VLOOKUP(S73,'G-1 All Habitats'!$B$2:$M$135,10,FALSE))</f>
        <v/>
      </c>
      <c r="X73" s="310" t="str">
        <f>IFERROR(VLOOKUP(W73,'G-1 All Habitats'!$V$3:$W$7,2,FALSE),"")</f>
        <v/>
      </c>
      <c r="Y73" s="45"/>
      <c r="Z73" s="314" t="str">
        <f>IFERROR(INDEX('G-8 Condition Look up'!$A$3:$H$135,MATCH(S73,'G-8 Condition Look up'!$A$3:$A$135,0),MATCH(Y73,'G-8 Condition Look up'!$A$3:$H$3,0)),"")</f>
        <v/>
      </c>
      <c r="AA73" s="38"/>
      <c r="AB73" s="310" t="str">
        <f>IF(AA73="","",IF(VLOOKUP(AA73,'G-3 Multipliers'!$L$3:$N$6,2,FALSE)=0,"Spatial Data Missing ⚠",VLOOKUP(AA73,'G-3 Multipliers'!$L$3:$N$6,2,FALSE)))</f>
        <v/>
      </c>
      <c r="AC73" s="314" t="str">
        <f>IF(AA73="","",IF(VLOOKUP(AA73,'G-3 Multipliers'!$L$3:$N$6,3,FALSE)=0,"Spatial Data Missing ⚠",VLOOKUP(AA73,'G-3 Multipliers'!$L$3:$N$6,3,FALSE)))</f>
        <v/>
      </c>
      <c r="AD73" s="327" t="str">
        <f t="shared" si="3"/>
        <v/>
      </c>
      <c r="AE73" s="47"/>
      <c r="AF73" s="47"/>
      <c r="AG73" s="298" t="str">
        <f t="shared" si="4"/>
        <v/>
      </c>
      <c r="AH73" s="311" t="str">
        <f t="shared" si="5"/>
        <v/>
      </c>
      <c r="AI73" s="312" t="str">
        <f>IF(AH73="Check Data","Check Data",IFERROR(VLOOKUP(AH73,'G-4 Temporal multipliers'!$A$4:$C$36,3,FALSE),""))</f>
        <v/>
      </c>
      <c r="AJ73" s="290" t="str">
        <f>IF(S73="","",VLOOKUP(S73,'G-3 Multipliers'!$A$2:$E$134,4,FALSE))</f>
        <v/>
      </c>
      <c r="AK73" s="298" t="str">
        <f t="shared" si="6"/>
        <v/>
      </c>
      <c r="AL73" s="298" t="str">
        <f t="shared" si="7"/>
        <v/>
      </c>
      <c r="AM73" s="328" t="str">
        <f>IFERROR(IF(F73="","",IF(AH73="Check Data ⚠","Check Data ⚠",VLOOKUP(AL73, 'G-3 Multipliers'!$P$2:$Q$6,2,FALSE))),"")</f>
        <v/>
      </c>
      <c r="AN73" s="304" t="str">
        <f t="shared" si="8"/>
        <v/>
      </c>
      <c r="AO73" s="163"/>
      <c r="AP73" s="164"/>
      <c r="AQ73" s="101"/>
      <c r="AT73" s="20" t="str">
        <f t="shared" si="9"/>
        <v>No</v>
      </c>
      <c r="AU73" s="20" t="str">
        <f>IF(E73="","",IF(ISNA(VLOOKUP($E73,'A-1 On-Site Habitat Baseline'!$D$1:$AV$258,4,FALSE)),"",(VLOOKUP($E73,'A-1 On-Site Habitat Baseline'!$D$1:$AV$258,4,FALSE))))</f>
        <v/>
      </c>
    </row>
    <row r="74" spans="1:47" x14ac:dyDescent="0.3">
      <c r="A74" s="20" t="str">
        <f>IF(E74="","",IF(ISNA(VLOOKUP($E74,'A-1 On-Site Habitat Baseline'!$D$1:$O$258,2,FALSE)),"",(VLOOKUP($E74,'A-1 On-Site Habitat Baseline'!$D$1:$O$258,2,FALSE))))</f>
        <v/>
      </c>
      <c r="B74" s="20" t="str">
        <f>IF(E74="","",IF(ISNA(VLOOKUP($E74,'A-1 On-Site Habitat Baseline'!$D$1:$O$258,3,FALSE)),"",(VLOOKUP($E74,'A-1 On-Site Habitat Baseline'!$D$1:$O$258,3,FALSE))))</f>
        <v/>
      </c>
      <c r="C74" s="20" t="str">
        <f>IFERROR(INDEX('G-8 Condition Look up'!$I$4:$I$135,MATCH(S74,'G-8 Condition Look up'!$A$4:$A$135,0)),"")</f>
        <v/>
      </c>
      <c r="E74" s="319" t="str">
        <f>'A-1 On-Site Habitat Baseline'!AL73</f>
        <v/>
      </c>
      <c r="F74" s="310" t="str">
        <f>IF(E74="","",IF(ISNA(VLOOKUP($E74,'A-1 On-Site Habitat Baseline'!$D$1:$AV$258,45,FALSE)),"",(VLOOKUP($E74,'A-1 On-Site Habitat Baseline'!$D$1:$AV$258,45,FALSE))))</f>
        <v/>
      </c>
      <c r="G74" s="310" t="str">
        <f>IF(E74="","",IF(ISNA(VLOOKUP($E74,'A-1 On-Site Habitat Baseline'!$D$1:$O$258,5,FALSE)),"",(VLOOKUP($E74,'A-1 On-Site Habitat Baseline'!$D$1:$O$258,5,FALSE))))</f>
        <v/>
      </c>
      <c r="H74" s="310" t="str">
        <f>IF(E74="","",IF(ISNA(VLOOKUP($E74,'A-1 On-Site Habitat Baseline'!$D$1:$O$258,6,FALSE)),"",(VLOOKUP($E74,'A-1 On-Site Habitat Baseline'!$D$1:$O$258,6,FALSE))))</f>
        <v/>
      </c>
      <c r="I74" s="310" t="str">
        <f>IF(E74="","",IF(ISNA(VLOOKUP($E74,'A-1 On-Site Habitat Baseline'!$D$1:$O$258,7,FALSE)),"",(VLOOKUP($E74,'A-1 On-Site Habitat Baseline'!$D$1:$O$258,7,FALSE))))</f>
        <v/>
      </c>
      <c r="J74" s="310" t="str">
        <f>IF(E74="","",IF(ISNA(VLOOKUP($E74,'A-1 On-Site Habitat Baseline'!$D$1:$O$258,8,FALSE)),"",(VLOOKUP($E74,'A-1 On-Site Habitat Baseline'!$D$1:$O$258,8,FALSE))))</f>
        <v/>
      </c>
      <c r="K74" s="310" t="str">
        <f>IF(E74="","",IF(ISNA(VLOOKUP($E74,'A-1 On-Site Habitat Baseline'!$D$1:$O$258,9,FALSE)),"",(VLOOKUP($E74,'A-1 On-Site Habitat Baseline'!$D$1:$O$258,9,FALSE))))</f>
        <v/>
      </c>
      <c r="L74" s="310" t="str">
        <f>IF(E74="","",IF(ISNA(VLOOKUP($E74,'A-1 On-Site Habitat Baseline'!$D$1:$O$258,11,FALSE)),"",(VLOOKUP($E74,'A-1 On-Site Habitat Baseline'!$D$1:$O$258,11,FALSE))))</f>
        <v/>
      </c>
      <c r="M74" s="310" t="str">
        <f>IF(E74="","",IF(ISNA(VLOOKUP($E74,'A-1 On-Site Habitat Baseline'!$D$1:$O$258,12,FALSE)),"",(VLOOKUP($E74,'A-1 On-Site Habitat Baseline'!$D$1:$O$258,12,FALSE))))</f>
        <v/>
      </c>
      <c r="N74" s="320" t="str">
        <f>IF(E74="","",IF(ISNA(VLOOKUP($E74,'A-1 On-Site Habitat Baseline'!$D$1:$X$258,14,FALSE)),"",(VLOOKUP($E74,'A-1 On-Site Habitat Baseline'!$D$1:$X$258,14,FALSE))))</f>
        <v/>
      </c>
      <c r="O74" s="314" t="str">
        <f>IF(E74="","",IF(ISNA(VLOOKUP($E74,'A-1 On-Site Habitat Baseline'!$D$1:$X$258,16,FALSE)),"",(VLOOKUP($E74,'A-1 On-Site Habitat Baseline'!$D$1:$X$258,13,FALSE))))</f>
        <v/>
      </c>
      <c r="P74" s="161" t="str">
        <f>IFERROR(INDEX('G-1 All Habitats'!$AG$49:$AG$63,MATCH(Q74,'G-1 All Habitats'!$AF$27:$AF$41,0)),"")</f>
        <v/>
      </c>
      <c r="Q74" s="162" t="str">
        <f t="shared" si="0"/>
        <v/>
      </c>
      <c r="R74" s="162"/>
      <c r="S74" s="252" t="str">
        <f>IFERROR(INDEX('G-1 All Habitats'!$B$3:$B$135,MATCH(R74,'G-1 All Habitats'!$A$3:$A$135,0)),"")</f>
        <v/>
      </c>
      <c r="T74" s="290" t="str">
        <f t="shared" si="1"/>
        <v/>
      </c>
      <c r="U74" s="291" t="str">
        <f t="shared" si="10"/>
        <v/>
      </c>
      <c r="V74" s="325" t="str">
        <f t="shared" si="2"/>
        <v/>
      </c>
      <c r="W74" s="310" t="str">
        <f>IF(S74="","",VLOOKUP(S74,'G-1 All Habitats'!$B$2:$M$135,10,FALSE))</f>
        <v/>
      </c>
      <c r="X74" s="310" t="str">
        <f>IFERROR(VLOOKUP(W74,'G-1 All Habitats'!$V$3:$W$7,2,FALSE),"")</f>
        <v/>
      </c>
      <c r="Y74" s="45"/>
      <c r="Z74" s="314" t="str">
        <f>IFERROR(INDEX('G-8 Condition Look up'!$A$3:$H$135,MATCH(S74,'G-8 Condition Look up'!$A$3:$A$135,0),MATCH(Y74,'G-8 Condition Look up'!$A$3:$H$3,0)),"")</f>
        <v/>
      </c>
      <c r="AA74" s="38"/>
      <c r="AB74" s="310" t="str">
        <f>IF(AA74="","",IF(VLOOKUP(AA74,'G-3 Multipliers'!$L$3:$N$6,2,FALSE)=0,"Spatial Data Missing ⚠",VLOOKUP(AA74,'G-3 Multipliers'!$L$3:$N$6,2,FALSE)))</f>
        <v/>
      </c>
      <c r="AC74" s="314" t="str">
        <f>IF(AA74="","",IF(VLOOKUP(AA74,'G-3 Multipliers'!$L$3:$N$6,3,FALSE)=0,"Spatial Data Missing ⚠",VLOOKUP(AA74,'G-3 Multipliers'!$L$3:$N$6,3,FALSE)))</f>
        <v/>
      </c>
      <c r="AD74" s="327" t="str">
        <f t="shared" si="3"/>
        <v/>
      </c>
      <c r="AE74" s="47"/>
      <c r="AF74" s="47"/>
      <c r="AG74" s="298" t="str">
        <f t="shared" si="4"/>
        <v/>
      </c>
      <c r="AH74" s="311" t="str">
        <f t="shared" si="5"/>
        <v/>
      </c>
      <c r="AI74" s="312" t="str">
        <f>IF(AH74="Check Data","Check Data",IFERROR(VLOOKUP(AH74,'G-4 Temporal multipliers'!$A$4:$C$36,3,FALSE),""))</f>
        <v/>
      </c>
      <c r="AJ74" s="290" t="str">
        <f>IF(S74="","",VLOOKUP(S74,'G-3 Multipliers'!$A$2:$E$134,4,FALSE))</f>
        <v/>
      </c>
      <c r="AK74" s="298" t="str">
        <f t="shared" si="6"/>
        <v/>
      </c>
      <c r="AL74" s="298" t="str">
        <f t="shared" si="7"/>
        <v/>
      </c>
      <c r="AM74" s="328" t="str">
        <f>IFERROR(IF(F74="","",IF(AH74="Check Data ⚠","Check Data ⚠",VLOOKUP(AL74, 'G-3 Multipliers'!$P$2:$Q$6,2,FALSE))),"")</f>
        <v/>
      </c>
      <c r="AN74" s="304" t="str">
        <f t="shared" si="8"/>
        <v/>
      </c>
      <c r="AO74" s="163"/>
      <c r="AP74" s="164"/>
      <c r="AQ74" s="101"/>
      <c r="AT74" s="20" t="str">
        <f t="shared" si="9"/>
        <v>No</v>
      </c>
      <c r="AU74" s="20" t="str">
        <f>IF(E74="","",IF(ISNA(VLOOKUP($E74,'A-1 On-Site Habitat Baseline'!$D$1:$AV$258,4,FALSE)),"",(VLOOKUP($E74,'A-1 On-Site Habitat Baseline'!$D$1:$AV$258,4,FALSE))))</f>
        <v/>
      </c>
    </row>
    <row r="75" spans="1:47" x14ac:dyDescent="0.3">
      <c r="A75" s="20" t="str">
        <f>IF(E75="","",IF(ISNA(VLOOKUP($E75,'A-1 On-Site Habitat Baseline'!$D$1:$O$258,2,FALSE)),"",(VLOOKUP($E75,'A-1 On-Site Habitat Baseline'!$D$1:$O$258,2,FALSE))))</f>
        <v/>
      </c>
      <c r="B75" s="20" t="str">
        <f>IF(E75="","",IF(ISNA(VLOOKUP($E75,'A-1 On-Site Habitat Baseline'!$D$1:$O$258,3,FALSE)),"",(VLOOKUP($E75,'A-1 On-Site Habitat Baseline'!$D$1:$O$258,3,FALSE))))</f>
        <v/>
      </c>
      <c r="C75" s="20" t="str">
        <f>IFERROR(INDEX('G-8 Condition Look up'!$I$4:$I$135,MATCH(S75,'G-8 Condition Look up'!$A$4:$A$135,0)),"")</f>
        <v/>
      </c>
      <c r="E75" s="319" t="str">
        <f>'A-1 On-Site Habitat Baseline'!AL74</f>
        <v/>
      </c>
      <c r="F75" s="310" t="str">
        <f>IF(E75="","",IF(ISNA(VLOOKUP($E75,'A-1 On-Site Habitat Baseline'!$D$1:$AV$258,45,FALSE)),"",(VLOOKUP($E75,'A-1 On-Site Habitat Baseline'!$D$1:$AV$258,45,FALSE))))</f>
        <v/>
      </c>
      <c r="G75" s="310" t="str">
        <f>IF(E75="","",IF(ISNA(VLOOKUP($E75,'A-1 On-Site Habitat Baseline'!$D$1:$O$258,5,FALSE)),"",(VLOOKUP($E75,'A-1 On-Site Habitat Baseline'!$D$1:$O$258,5,FALSE))))</f>
        <v/>
      </c>
      <c r="H75" s="310" t="str">
        <f>IF(E75="","",IF(ISNA(VLOOKUP($E75,'A-1 On-Site Habitat Baseline'!$D$1:$O$258,6,FALSE)),"",(VLOOKUP($E75,'A-1 On-Site Habitat Baseline'!$D$1:$O$258,6,FALSE))))</f>
        <v/>
      </c>
      <c r="I75" s="310" t="str">
        <f>IF(E75="","",IF(ISNA(VLOOKUP($E75,'A-1 On-Site Habitat Baseline'!$D$1:$O$258,7,FALSE)),"",(VLOOKUP($E75,'A-1 On-Site Habitat Baseline'!$D$1:$O$258,7,FALSE))))</f>
        <v/>
      </c>
      <c r="J75" s="310" t="str">
        <f>IF(E75="","",IF(ISNA(VLOOKUP($E75,'A-1 On-Site Habitat Baseline'!$D$1:$O$258,8,FALSE)),"",(VLOOKUP($E75,'A-1 On-Site Habitat Baseline'!$D$1:$O$258,8,FALSE))))</f>
        <v/>
      </c>
      <c r="K75" s="310" t="str">
        <f>IF(E75="","",IF(ISNA(VLOOKUP($E75,'A-1 On-Site Habitat Baseline'!$D$1:$O$258,9,FALSE)),"",(VLOOKUP($E75,'A-1 On-Site Habitat Baseline'!$D$1:$O$258,9,FALSE))))</f>
        <v/>
      </c>
      <c r="L75" s="310" t="str">
        <f>IF(E75="","",IF(ISNA(VLOOKUP($E75,'A-1 On-Site Habitat Baseline'!$D$1:$O$258,11,FALSE)),"",(VLOOKUP($E75,'A-1 On-Site Habitat Baseline'!$D$1:$O$258,11,FALSE))))</f>
        <v/>
      </c>
      <c r="M75" s="310" t="str">
        <f>IF(E75="","",IF(ISNA(VLOOKUP($E75,'A-1 On-Site Habitat Baseline'!$D$1:$O$258,12,FALSE)),"",(VLOOKUP($E75,'A-1 On-Site Habitat Baseline'!$D$1:$O$258,12,FALSE))))</f>
        <v/>
      </c>
      <c r="N75" s="320" t="str">
        <f>IF(E75="","",IF(ISNA(VLOOKUP($E75,'A-1 On-Site Habitat Baseline'!$D$1:$X$258,14,FALSE)),"",(VLOOKUP($E75,'A-1 On-Site Habitat Baseline'!$D$1:$X$258,14,FALSE))))</f>
        <v/>
      </c>
      <c r="O75" s="314" t="str">
        <f>IF(E75="","",IF(ISNA(VLOOKUP($E75,'A-1 On-Site Habitat Baseline'!$D$1:$X$258,16,FALSE)),"",(VLOOKUP($E75,'A-1 On-Site Habitat Baseline'!$D$1:$X$258,13,FALSE))))</f>
        <v/>
      </c>
      <c r="P75" s="161" t="str">
        <f>IFERROR(INDEX('G-1 All Habitats'!$AG$49:$AG$63,MATCH(Q75,'G-1 All Habitats'!$AF$27:$AF$41,0)),"")</f>
        <v/>
      </c>
      <c r="Q75" s="162" t="str">
        <f t="shared" si="0"/>
        <v/>
      </c>
      <c r="R75" s="162"/>
      <c r="S75" s="252" t="str">
        <f>IFERROR(INDEX('G-1 All Habitats'!$B$3:$B$135,MATCH(R75,'G-1 All Habitats'!$A$3:$A$135,0)),"")</f>
        <v/>
      </c>
      <c r="T75" s="290" t="str">
        <f t="shared" si="1"/>
        <v/>
      </c>
      <c r="U75" s="291" t="str">
        <f t="shared" si="10"/>
        <v/>
      </c>
      <c r="V75" s="325" t="str">
        <f t="shared" si="2"/>
        <v/>
      </c>
      <c r="W75" s="310" t="str">
        <f>IF(S75="","",VLOOKUP(S75,'G-1 All Habitats'!$B$2:$M$135,10,FALSE))</f>
        <v/>
      </c>
      <c r="X75" s="310" t="str">
        <f>IFERROR(VLOOKUP(W75,'G-1 All Habitats'!$V$3:$W$7,2,FALSE),"")</f>
        <v/>
      </c>
      <c r="Y75" s="45"/>
      <c r="Z75" s="314" t="str">
        <f>IFERROR(INDEX('G-8 Condition Look up'!$A$3:$H$135,MATCH(S75,'G-8 Condition Look up'!$A$3:$A$135,0),MATCH(Y75,'G-8 Condition Look up'!$A$3:$H$3,0)),"")</f>
        <v/>
      </c>
      <c r="AA75" s="38"/>
      <c r="AB75" s="310" t="str">
        <f>IF(AA75="","",IF(VLOOKUP(AA75,'G-3 Multipliers'!$L$3:$N$6,2,FALSE)=0,"Spatial Data Missing ⚠",VLOOKUP(AA75,'G-3 Multipliers'!$L$3:$N$6,2,FALSE)))</f>
        <v/>
      </c>
      <c r="AC75" s="314" t="str">
        <f>IF(AA75="","",IF(VLOOKUP(AA75,'G-3 Multipliers'!$L$3:$N$6,3,FALSE)=0,"Spatial Data Missing ⚠",VLOOKUP(AA75,'G-3 Multipliers'!$L$3:$N$6,3,FALSE)))</f>
        <v/>
      </c>
      <c r="AD75" s="327" t="str">
        <f t="shared" si="3"/>
        <v/>
      </c>
      <c r="AE75" s="47"/>
      <c r="AF75" s="47"/>
      <c r="AG75" s="298" t="str">
        <f t="shared" si="4"/>
        <v/>
      </c>
      <c r="AH75" s="311" t="str">
        <f t="shared" si="5"/>
        <v/>
      </c>
      <c r="AI75" s="312" t="str">
        <f>IF(AH75="Check Data","Check Data",IFERROR(VLOOKUP(AH75,'G-4 Temporal multipliers'!$A$4:$C$36,3,FALSE),""))</f>
        <v/>
      </c>
      <c r="AJ75" s="290" t="str">
        <f>IF(S75="","",VLOOKUP(S75,'G-3 Multipliers'!$A$2:$E$134,4,FALSE))</f>
        <v/>
      </c>
      <c r="AK75" s="298" t="str">
        <f t="shared" si="6"/>
        <v/>
      </c>
      <c r="AL75" s="298" t="str">
        <f t="shared" si="7"/>
        <v/>
      </c>
      <c r="AM75" s="328" t="str">
        <f>IFERROR(IF(F75="","",IF(AH75="Check Data ⚠","Check Data ⚠",VLOOKUP(AL75, 'G-3 Multipliers'!$P$2:$Q$6,2,FALSE))),"")</f>
        <v/>
      </c>
      <c r="AN75" s="304" t="str">
        <f t="shared" si="8"/>
        <v/>
      </c>
      <c r="AO75" s="163"/>
      <c r="AP75" s="164"/>
      <c r="AQ75" s="101"/>
      <c r="AT75" s="20" t="str">
        <f t="shared" si="9"/>
        <v>No</v>
      </c>
      <c r="AU75" s="20" t="str">
        <f>IF(E75="","",IF(ISNA(VLOOKUP($E75,'A-1 On-Site Habitat Baseline'!$D$1:$AV$258,4,FALSE)),"",(VLOOKUP($E75,'A-1 On-Site Habitat Baseline'!$D$1:$AV$258,4,FALSE))))</f>
        <v/>
      </c>
    </row>
    <row r="76" spans="1:47" x14ac:dyDescent="0.3">
      <c r="A76" s="20" t="str">
        <f>IF(E76="","",IF(ISNA(VLOOKUP($E76,'A-1 On-Site Habitat Baseline'!$D$1:$O$258,2,FALSE)),"",(VLOOKUP($E76,'A-1 On-Site Habitat Baseline'!$D$1:$O$258,2,FALSE))))</f>
        <v/>
      </c>
      <c r="B76" s="20" t="str">
        <f>IF(E76="","",IF(ISNA(VLOOKUP($E76,'A-1 On-Site Habitat Baseline'!$D$1:$O$258,3,FALSE)),"",(VLOOKUP($E76,'A-1 On-Site Habitat Baseline'!$D$1:$O$258,3,FALSE))))</f>
        <v/>
      </c>
      <c r="C76" s="20" t="str">
        <f>IFERROR(INDEX('G-8 Condition Look up'!$I$4:$I$135,MATCH(S76,'G-8 Condition Look up'!$A$4:$A$135,0)),"")</f>
        <v/>
      </c>
      <c r="E76" s="319" t="str">
        <f>'A-1 On-Site Habitat Baseline'!AL75</f>
        <v/>
      </c>
      <c r="F76" s="310" t="str">
        <f>IF(E76="","",IF(ISNA(VLOOKUP($E76,'A-1 On-Site Habitat Baseline'!$D$1:$AV$258,45,FALSE)),"",(VLOOKUP($E76,'A-1 On-Site Habitat Baseline'!$D$1:$AV$258,45,FALSE))))</f>
        <v/>
      </c>
      <c r="G76" s="310" t="str">
        <f>IF(E76="","",IF(ISNA(VLOOKUP($E76,'A-1 On-Site Habitat Baseline'!$D$1:$O$258,5,FALSE)),"",(VLOOKUP($E76,'A-1 On-Site Habitat Baseline'!$D$1:$O$258,5,FALSE))))</f>
        <v/>
      </c>
      <c r="H76" s="310" t="str">
        <f>IF(E76="","",IF(ISNA(VLOOKUP($E76,'A-1 On-Site Habitat Baseline'!$D$1:$O$258,6,FALSE)),"",(VLOOKUP($E76,'A-1 On-Site Habitat Baseline'!$D$1:$O$258,6,FALSE))))</f>
        <v/>
      </c>
      <c r="I76" s="310" t="str">
        <f>IF(E76="","",IF(ISNA(VLOOKUP($E76,'A-1 On-Site Habitat Baseline'!$D$1:$O$258,7,FALSE)),"",(VLOOKUP($E76,'A-1 On-Site Habitat Baseline'!$D$1:$O$258,7,FALSE))))</f>
        <v/>
      </c>
      <c r="J76" s="310" t="str">
        <f>IF(E76="","",IF(ISNA(VLOOKUP($E76,'A-1 On-Site Habitat Baseline'!$D$1:$O$258,8,FALSE)),"",(VLOOKUP($E76,'A-1 On-Site Habitat Baseline'!$D$1:$O$258,8,FALSE))))</f>
        <v/>
      </c>
      <c r="K76" s="310" t="str">
        <f>IF(E76="","",IF(ISNA(VLOOKUP($E76,'A-1 On-Site Habitat Baseline'!$D$1:$O$258,9,FALSE)),"",(VLOOKUP($E76,'A-1 On-Site Habitat Baseline'!$D$1:$O$258,9,FALSE))))</f>
        <v/>
      </c>
      <c r="L76" s="310" t="str">
        <f>IF(E76="","",IF(ISNA(VLOOKUP($E76,'A-1 On-Site Habitat Baseline'!$D$1:$O$258,11,FALSE)),"",(VLOOKUP($E76,'A-1 On-Site Habitat Baseline'!$D$1:$O$258,11,FALSE))))</f>
        <v/>
      </c>
      <c r="M76" s="310" t="str">
        <f>IF(E76="","",IF(ISNA(VLOOKUP($E76,'A-1 On-Site Habitat Baseline'!$D$1:$O$258,12,FALSE)),"",(VLOOKUP($E76,'A-1 On-Site Habitat Baseline'!$D$1:$O$258,12,FALSE))))</f>
        <v/>
      </c>
      <c r="N76" s="320" t="str">
        <f>IF(E76="","",IF(ISNA(VLOOKUP($E76,'A-1 On-Site Habitat Baseline'!$D$1:$X$258,14,FALSE)),"",(VLOOKUP($E76,'A-1 On-Site Habitat Baseline'!$D$1:$X$258,14,FALSE))))</f>
        <v/>
      </c>
      <c r="O76" s="314" t="str">
        <f>IF(E76="","",IF(ISNA(VLOOKUP($E76,'A-1 On-Site Habitat Baseline'!$D$1:$X$258,16,FALSE)),"",(VLOOKUP($E76,'A-1 On-Site Habitat Baseline'!$D$1:$X$258,13,FALSE))))</f>
        <v/>
      </c>
      <c r="P76" s="161" t="str">
        <f>IFERROR(INDEX('G-1 All Habitats'!$AG$49:$AG$63,MATCH(Q76,'G-1 All Habitats'!$AF$27:$AF$41,0)),"")</f>
        <v/>
      </c>
      <c r="Q76" s="162" t="str">
        <f t="shared" si="0"/>
        <v/>
      </c>
      <c r="R76" s="162"/>
      <c r="S76" s="252" t="str">
        <f>IFERROR(INDEX('G-1 All Habitats'!$B$3:$B$135,MATCH(R76,'G-1 All Habitats'!$A$3:$A$135,0)),"")</f>
        <v/>
      </c>
      <c r="T76" s="290" t="str">
        <f t="shared" si="1"/>
        <v/>
      </c>
      <c r="U76" s="291" t="str">
        <f t="shared" si="10"/>
        <v/>
      </c>
      <c r="V76" s="325" t="str">
        <f t="shared" ref="V76:V139" si="11">IF(S76="","",VLOOKUP(E76,BaselineHabSite,17,FALSE))</f>
        <v/>
      </c>
      <c r="W76" s="310" t="str">
        <f>IF(S76="","",VLOOKUP(S76,'G-1 All Habitats'!$B$2:$M$135,10,FALSE))</f>
        <v/>
      </c>
      <c r="X76" s="310" t="str">
        <f>IFERROR(VLOOKUP(W76,'G-1 All Habitats'!$V$3:$W$7,2,FALSE),"")</f>
        <v/>
      </c>
      <c r="Y76" s="45"/>
      <c r="Z76" s="314" t="str">
        <f>IFERROR(INDEX('G-8 Condition Look up'!$A$3:$H$135,MATCH(S76,'G-8 Condition Look up'!$A$3:$A$135,0),MATCH(Y76,'G-8 Condition Look up'!$A$3:$H$3,0)),"")</f>
        <v/>
      </c>
      <c r="AA76" s="38"/>
      <c r="AB76" s="310" t="str">
        <f>IF(AA76="","",IF(VLOOKUP(AA76,'G-3 Multipliers'!$L$3:$N$6,2,FALSE)=0,"Spatial Data Missing ⚠",VLOOKUP(AA76,'G-3 Multipliers'!$L$3:$N$6,2,FALSE)))</f>
        <v/>
      </c>
      <c r="AC76" s="314" t="str">
        <f>IF(AA76="","",IF(VLOOKUP(AA76,'G-3 Multipliers'!$L$3:$N$6,3,FALSE)=0,"Spatial Data Missing ⚠",VLOOKUP(AA76,'G-3 Multipliers'!$L$3:$N$6,3,FALSE)))</f>
        <v/>
      </c>
      <c r="AD76" s="327" t="str">
        <f t="shared" ref="AD76:AD139" si="12">IFERROR(IF(OR(LEFT(U76,5)="Error",LEFT(T76,5)="Error"),"Check Data ⚠",INDEX(EnhanceTemporal,MATCH(S76,EnhanceHabitat,0),MATCH(U76,EnhanceCondition,0))),"")</f>
        <v/>
      </c>
      <c r="AE76" s="47"/>
      <c r="AF76" s="47"/>
      <c r="AG76" s="298" t="str">
        <f t="shared" si="4"/>
        <v/>
      </c>
      <c r="AH76" s="311" t="str">
        <f t="shared" si="5"/>
        <v/>
      </c>
      <c r="AI76" s="312" t="str">
        <f>IF(AH76="Check Data","Check Data",IFERROR(VLOOKUP(AH76,'G-4 Temporal multipliers'!$A$4:$C$36,3,FALSE),""))</f>
        <v/>
      </c>
      <c r="AJ76" s="290" t="str">
        <f>IF(S76="","",VLOOKUP(S76,'G-3 Multipliers'!$A$2:$E$134,4,FALSE))</f>
        <v/>
      </c>
      <c r="AK76" s="298" t="str">
        <f t="shared" si="6"/>
        <v/>
      </c>
      <c r="AL76" s="298" t="str">
        <f t="shared" si="7"/>
        <v/>
      </c>
      <c r="AM76" s="328" t="str">
        <f>IFERROR(IF(F76="","",IF(AH76="Check Data ⚠","Check Data ⚠",VLOOKUP(AL76, 'G-3 Multipliers'!$P$2:$Q$6,2,FALSE))),"")</f>
        <v/>
      </c>
      <c r="AN76" s="304" t="str">
        <f t="shared" si="8"/>
        <v/>
      </c>
      <c r="AO76" s="163"/>
      <c r="AP76" s="164"/>
      <c r="AQ76" s="101"/>
      <c r="AT76" s="20" t="str">
        <f t="shared" si="9"/>
        <v>No</v>
      </c>
      <c r="AU76" s="20" t="str">
        <f>IF(E76="","",IF(ISNA(VLOOKUP($E76,'A-1 On-Site Habitat Baseline'!$D$1:$AV$258,4,FALSE)),"",(VLOOKUP($E76,'A-1 On-Site Habitat Baseline'!$D$1:$AV$258,4,FALSE))))</f>
        <v/>
      </c>
    </row>
    <row r="77" spans="1:47" x14ac:dyDescent="0.3">
      <c r="A77" s="20" t="str">
        <f>IF(E77="","",IF(ISNA(VLOOKUP($E77,'A-1 On-Site Habitat Baseline'!$D$1:$O$258,2,FALSE)),"",(VLOOKUP($E77,'A-1 On-Site Habitat Baseline'!$D$1:$O$258,2,FALSE))))</f>
        <v/>
      </c>
      <c r="B77" s="20" t="str">
        <f>IF(E77="","",IF(ISNA(VLOOKUP($E77,'A-1 On-Site Habitat Baseline'!$D$1:$O$258,3,FALSE)),"",(VLOOKUP($E77,'A-1 On-Site Habitat Baseline'!$D$1:$O$258,3,FALSE))))</f>
        <v/>
      </c>
      <c r="C77" s="20" t="str">
        <f>IFERROR(INDEX('G-8 Condition Look up'!$I$4:$I$135,MATCH(S77,'G-8 Condition Look up'!$A$4:$A$135,0)),"")</f>
        <v/>
      </c>
      <c r="E77" s="319" t="str">
        <f>'A-1 On-Site Habitat Baseline'!AL76</f>
        <v/>
      </c>
      <c r="F77" s="310" t="str">
        <f>IF(E77="","",IF(ISNA(VLOOKUP($E77,'A-1 On-Site Habitat Baseline'!$D$1:$AV$258,45,FALSE)),"",(VLOOKUP($E77,'A-1 On-Site Habitat Baseline'!$D$1:$AV$258,45,FALSE))))</f>
        <v/>
      </c>
      <c r="G77" s="310" t="str">
        <f>IF(E77="","",IF(ISNA(VLOOKUP($E77,'A-1 On-Site Habitat Baseline'!$D$1:$O$258,5,FALSE)),"",(VLOOKUP($E77,'A-1 On-Site Habitat Baseline'!$D$1:$O$258,5,FALSE))))</f>
        <v/>
      </c>
      <c r="H77" s="310" t="str">
        <f>IF(E77="","",IF(ISNA(VLOOKUP($E77,'A-1 On-Site Habitat Baseline'!$D$1:$O$258,6,FALSE)),"",(VLOOKUP($E77,'A-1 On-Site Habitat Baseline'!$D$1:$O$258,6,FALSE))))</f>
        <v/>
      </c>
      <c r="I77" s="310" t="str">
        <f>IF(E77="","",IF(ISNA(VLOOKUP($E77,'A-1 On-Site Habitat Baseline'!$D$1:$O$258,7,FALSE)),"",(VLOOKUP($E77,'A-1 On-Site Habitat Baseline'!$D$1:$O$258,7,FALSE))))</f>
        <v/>
      </c>
      <c r="J77" s="310" t="str">
        <f>IF(E77="","",IF(ISNA(VLOOKUP($E77,'A-1 On-Site Habitat Baseline'!$D$1:$O$258,8,FALSE)),"",(VLOOKUP($E77,'A-1 On-Site Habitat Baseline'!$D$1:$O$258,8,FALSE))))</f>
        <v/>
      </c>
      <c r="K77" s="310" t="str">
        <f>IF(E77="","",IF(ISNA(VLOOKUP($E77,'A-1 On-Site Habitat Baseline'!$D$1:$O$258,9,FALSE)),"",(VLOOKUP($E77,'A-1 On-Site Habitat Baseline'!$D$1:$O$258,9,FALSE))))</f>
        <v/>
      </c>
      <c r="L77" s="310" t="str">
        <f>IF(E77="","",IF(ISNA(VLOOKUP($E77,'A-1 On-Site Habitat Baseline'!$D$1:$O$258,11,FALSE)),"",(VLOOKUP($E77,'A-1 On-Site Habitat Baseline'!$D$1:$O$258,11,FALSE))))</f>
        <v/>
      </c>
      <c r="M77" s="310" t="str">
        <f>IF(E77="","",IF(ISNA(VLOOKUP($E77,'A-1 On-Site Habitat Baseline'!$D$1:$O$258,12,FALSE)),"",(VLOOKUP($E77,'A-1 On-Site Habitat Baseline'!$D$1:$O$258,12,FALSE))))</f>
        <v/>
      </c>
      <c r="N77" s="320" t="str">
        <f>IF(E77="","",IF(ISNA(VLOOKUP($E77,'A-1 On-Site Habitat Baseline'!$D$1:$X$258,14,FALSE)),"",(VLOOKUP($E77,'A-1 On-Site Habitat Baseline'!$D$1:$X$258,14,FALSE))))</f>
        <v/>
      </c>
      <c r="O77" s="314" t="str">
        <f>IF(E77="","",IF(ISNA(VLOOKUP($E77,'A-1 On-Site Habitat Baseline'!$D$1:$X$258,16,FALSE)),"",(VLOOKUP($E77,'A-1 On-Site Habitat Baseline'!$D$1:$X$258,13,FALSE))))</f>
        <v/>
      </c>
      <c r="P77" s="161" t="str">
        <f>IFERROR(INDEX('G-1 All Habitats'!$AG$49:$AG$63,MATCH(Q77,'G-1 All Habitats'!$AF$27:$AF$41,0)),"")</f>
        <v/>
      </c>
      <c r="Q77" s="162" t="str">
        <f t="shared" ref="Q77:Q140" si="13">A77</f>
        <v/>
      </c>
      <c r="R77" s="162"/>
      <c r="S77" s="252" t="str">
        <f>IFERROR(INDEX('G-1 All Habitats'!$B$3:$B$135,MATCH(R77,'G-1 All Habitats'!$A$3:$A$135,0)),"")</f>
        <v/>
      </c>
      <c r="T77" s="290" t="str">
        <f t="shared" ref="T77:T140" si="14">IF(E77="","",IF(AND(LEFT(O77,6)="Same d",I77&gt;X77),"Error - Trading rules not satisfied ▲",IF(AND(LEFT(O77,6)="Same b",AND(LEFT(F77,5)&lt;&gt;LEFT(S77,5),I77&gt;X77)),"Error - Trading rules not satisfied ▲",IF(AND(LEFT(O77,6)="Same h",F77&lt;&gt;S77),"Error - Trading rules not satisfied ▲",IF(AND(LEFT(O77,6)="Bespok",F77&lt;&gt;S77),"Error - Trading rules not satisfied ▲",IF(X77&lt;I77,"Error Trading Down ▲",H77&amp;" - "&amp;W77))))))</f>
        <v/>
      </c>
      <c r="U77" s="291" t="str">
        <f t="shared" ref="U77:U140" si="15">IF(F77="","",IF(AND(S77&lt;&gt;F77,AU77="Yes"), "Error you cannot replace an irreplaceable habitat ▲",IF(AND(LEFT(F77,55)&lt;&gt;LEFT(S77,55),T77= "High - High"),"Error - Not like for like ▲",IF(AND(I77=X77,K77&gt;Z77),"Error - Can not reduce condition ▲",IF(AND(I77=X77,K77=Z77),"Error - No enhancement ▲", IF(K77&gt;Z77, "Error - condition cannot be reduced ▲", IF(X77&lt;I77,"Error Trading Down ▲",IF(AND(F77&lt;&gt;S77,I77&lt;X77),"Lower Distinctiveness Habitat"&amp;" - "&amp;Y77,J77&amp;" - "&amp;Y77))))))))</f>
        <v/>
      </c>
      <c r="V77" s="325" t="str">
        <f t="shared" si="11"/>
        <v/>
      </c>
      <c r="W77" s="310" t="str">
        <f>IF(S77="","",VLOOKUP(S77,'G-1 All Habitats'!$B$2:$M$135,10,FALSE))</f>
        <v/>
      </c>
      <c r="X77" s="310" t="str">
        <f>IFERROR(VLOOKUP(W77,'G-1 All Habitats'!$V$3:$W$7,2,FALSE),"")</f>
        <v/>
      </c>
      <c r="Y77" s="45"/>
      <c r="Z77" s="314" t="str">
        <f>IFERROR(INDEX('G-8 Condition Look up'!$A$3:$H$135,MATCH(S77,'G-8 Condition Look up'!$A$3:$A$135,0),MATCH(Y77,'G-8 Condition Look up'!$A$3:$H$3,0)),"")</f>
        <v/>
      </c>
      <c r="AA77" s="38"/>
      <c r="AB77" s="310" t="str">
        <f>IF(AA77="","",IF(VLOOKUP(AA77,'G-3 Multipliers'!$L$3:$N$6,2,FALSE)=0,"Spatial Data Missing ⚠",VLOOKUP(AA77,'G-3 Multipliers'!$L$3:$N$6,2,FALSE)))</f>
        <v/>
      </c>
      <c r="AC77" s="314" t="str">
        <f>IF(AA77="","",IF(VLOOKUP(AA77,'G-3 Multipliers'!$L$3:$N$6,3,FALSE)=0,"Spatial Data Missing ⚠",VLOOKUP(AA77,'G-3 Multipliers'!$L$3:$N$6,3,FALSE)))</f>
        <v/>
      </c>
      <c r="AD77" s="327" t="str">
        <f t="shared" si="12"/>
        <v/>
      </c>
      <c r="AE77" s="47"/>
      <c r="AF77" s="47"/>
      <c r="AG77" s="298" t="str">
        <f t="shared" ref="AG77:AG140" si="16">IF(AD77="","",IF(AD77="Check Data ⚠","Check Data ⚠",IF(R77="","",IF(AND(AE77&gt;0,AF77&gt;0),"Error -both advance and delayed habitat creation ▲",IF(AND(OR(AE77="Habitat already in target condition",AD77&lt;=AE77),AF77=0),"Check details - Is there evidence that habitat has reached target condition? ⚠",IF(O76="","",IF(AE77&gt;0,"Check details - Is there evidence habitat creation started/in place? ⚠",IF(AF77&gt;0,"Check details- Delay in starting habitat in required condition? ⚠","Standard time to target condition applied"))))))))</f>
        <v/>
      </c>
      <c r="AH77" s="311" t="str">
        <f t="shared" ref="AH77:AH140" si="17">IF(AG77="Error -both advance and delayed habitat creation ▲","Check Data ⚠",IF(AG77="Check Data ⚠","Check Data ⚠",IF(AD77="","",IF(AD77="Not Possible","Check Data ⚠",IF(AND(AD77="30+",AE77=0),"30+",IF(AND(AD77="30+",AE77="30+"),0,IF(AND(AD77="30+",AE77&lt;30),30-AE77,IF(AD77="30+",30-AE77,IF(AE77&gt;AD77,0,IF(AF77="30+","30+",IF(AD77+AF77&gt;30,"30+",IF(AD77+AF77&gt;30,"30+",IF(AD77-AE77&gt;30,"30+",IF(AD77+AF77-AE77&gt;0,AD77+AF77-AE77,IF(AD77-AE77&gt;0,AD77-AE77,AD77+AF77-AE77)))))))))))))))</f>
        <v/>
      </c>
      <c r="AI77" s="312" t="str">
        <f>IF(AH77="Check Data","Check Data",IFERROR(VLOOKUP(AH77,'G-4 Temporal multipliers'!$A$4:$C$36,3,FALSE),""))</f>
        <v/>
      </c>
      <c r="AJ77" s="290" t="str">
        <f>IF(S77="","",VLOOKUP(S77,'G-3 Multipliers'!$A$2:$E$134,4,FALSE))</f>
        <v/>
      </c>
      <c r="AK77" s="298" t="str">
        <f t="shared" ref="AK77:AK140" si="18">IF(E77="","",IF(AG77="Check details - Is there evidence that habitat has reached target condition? ⚠","Low Difficulty - only applicable if all habitat created before losses ⚠","Standard difficulty applied"))</f>
        <v/>
      </c>
      <c r="AL77" s="298" t="str">
        <f t="shared" ref="AL77:AL140" si="19">(IF(AND(AK77="Standard difficulty applied",AD77&gt;AE77),AJ77,IF(AND(AK77="Low Difficulty - only applicable if all habitat created before losses ⚠",AE77&gt;=AD77),"Low", AJ77)))</f>
        <v/>
      </c>
      <c r="AM77" s="328" t="str">
        <f>IFERROR(IF(F77="","",IF(AH77="Check Data ⚠","Check Data ⚠",VLOOKUP(AL77, 'G-3 Multipliers'!$P$2:$Q$6,2,FALSE))),"")</f>
        <v/>
      </c>
      <c r="AN77" s="304" t="str">
        <f t="shared" ref="AN77:AN140" si="20">IFERROR(IF(OR(F77="Individual trees - Rural tree",F77="Individual trees - Urban tree"), "Error - You cannot enhance individual trees ▲",((((V77*X77*Z77)-(V77*I77*K77))*(AM77*AI77))+(V77*I77*K77))*(AC77)),"")</f>
        <v/>
      </c>
      <c r="AO77" s="163"/>
      <c r="AP77" s="164"/>
      <c r="AQ77" s="101"/>
      <c r="AT77" s="20" t="str">
        <f t="shared" ref="AT77:AT140" si="21">IF(Q77&lt;&gt;A77,"Yes","No")</f>
        <v>No</v>
      </c>
      <c r="AU77" s="20" t="str">
        <f>IF(E77="","",IF(ISNA(VLOOKUP($E77,'A-1 On-Site Habitat Baseline'!$D$1:$AV$258,4,FALSE)),"",(VLOOKUP($E77,'A-1 On-Site Habitat Baseline'!$D$1:$AV$258,4,FALSE))))</f>
        <v/>
      </c>
    </row>
    <row r="78" spans="1:47" x14ac:dyDescent="0.3">
      <c r="A78" s="20" t="str">
        <f>IF(E78="","",IF(ISNA(VLOOKUP($E78,'A-1 On-Site Habitat Baseline'!$D$1:$O$258,2,FALSE)),"",(VLOOKUP($E78,'A-1 On-Site Habitat Baseline'!$D$1:$O$258,2,FALSE))))</f>
        <v/>
      </c>
      <c r="B78" s="20" t="str">
        <f>IF(E78="","",IF(ISNA(VLOOKUP($E78,'A-1 On-Site Habitat Baseline'!$D$1:$O$258,3,FALSE)),"",(VLOOKUP($E78,'A-1 On-Site Habitat Baseline'!$D$1:$O$258,3,FALSE))))</f>
        <v/>
      </c>
      <c r="C78" s="20" t="str">
        <f>IFERROR(INDEX('G-8 Condition Look up'!$I$4:$I$135,MATCH(S78,'G-8 Condition Look up'!$A$4:$A$135,0)),"")</f>
        <v/>
      </c>
      <c r="E78" s="319" t="str">
        <f>'A-1 On-Site Habitat Baseline'!AL77</f>
        <v/>
      </c>
      <c r="F78" s="310" t="str">
        <f>IF(E78="","",IF(ISNA(VLOOKUP($E78,'A-1 On-Site Habitat Baseline'!$D$1:$AV$258,45,FALSE)),"",(VLOOKUP($E78,'A-1 On-Site Habitat Baseline'!$D$1:$AV$258,45,FALSE))))</f>
        <v/>
      </c>
      <c r="G78" s="310" t="str">
        <f>IF(E78="","",IF(ISNA(VLOOKUP($E78,'A-1 On-Site Habitat Baseline'!$D$1:$O$258,5,FALSE)),"",(VLOOKUP($E78,'A-1 On-Site Habitat Baseline'!$D$1:$O$258,5,FALSE))))</f>
        <v/>
      </c>
      <c r="H78" s="310" t="str">
        <f>IF(E78="","",IF(ISNA(VLOOKUP($E78,'A-1 On-Site Habitat Baseline'!$D$1:$O$258,6,FALSE)),"",(VLOOKUP($E78,'A-1 On-Site Habitat Baseline'!$D$1:$O$258,6,FALSE))))</f>
        <v/>
      </c>
      <c r="I78" s="310" t="str">
        <f>IF(E78="","",IF(ISNA(VLOOKUP($E78,'A-1 On-Site Habitat Baseline'!$D$1:$O$258,7,FALSE)),"",(VLOOKUP($E78,'A-1 On-Site Habitat Baseline'!$D$1:$O$258,7,FALSE))))</f>
        <v/>
      </c>
      <c r="J78" s="310" t="str">
        <f>IF(E78="","",IF(ISNA(VLOOKUP($E78,'A-1 On-Site Habitat Baseline'!$D$1:$O$258,8,FALSE)),"",(VLOOKUP($E78,'A-1 On-Site Habitat Baseline'!$D$1:$O$258,8,FALSE))))</f>
        <v/>
      </c>
      <c r="K78" s="310" t="str">
        <f>IF(E78="","",IF(ISNA(VLOOKUP($E78,'A-1 On-Site Habitat Baseline'!$D$1:$O$258,9,FALSE)),"",(VLOOKUP($E78,'A-1 On-Site Habitat Baseline'!$D$1:$O$258,9,FALSE))))</f>
        <v/>
      </c>
      <c r="L78" s="310" t="str">
        <f>IF(E78="","",IF(ISNA(VLOOKUP($E78,'A-1 On-Site Habitat Baseline'!$D$1:$O$258,11,FALSE)),"",(VLOOKUP($E78,'A-1 On-Site Habitat Baseline'!$D$1:$O$258,11,FALSE))))</f>
        <v/>
      </c>
      <c r="M78" s="310" t="str">
        <f>IF(E78="","",IF(ISNA(VLOOKUP($E78,'A-1 On-Site Habitat Baseline'!$D$1:$O$258,12,FALSE)),"",(VLOOKUP($E78,'A-1 On-Site Habitat Baseline'!$D$1:$O$258,12,FALSE))))</f>
        <v/>
      </c>
      <c r="N78" s="320" t="str">
        <f>IF(E78="","",IF(ISNA(VLOOKUP($E78,'A-1 On-Site Habitat Baseline'!$D$1:$X$258,14,FALSE)),"",(VLOOKUP($E78,'A-1 On-Site Habitat Baseline'!$D$1:$X$258,14,FALSE))))</f>
        <v/>
      </c>
      <c r="O78" s="314" t="str">
        <f>IF(E78="","",IF(ISNA(VLOOKUP($E78,'A-1 On-Site Habitat Baseline'!$D$1:$X$258,16,FALSE)),"",(VLOOKUP($E78,'A-1 On-Site Habitat Baseline'!$D$1:$X$258,13,FALSE))))</f>
        <v/>
      </c>
      <c r="P78" s="161" t="str">
        <f>IFERROR(INDEX('G-1 All Habitats'!$AG$49:$AG$63,MATCH(Q78,'G-1 All Habitats'!$AF$27:$AF$41,0)),"")</f>
        <v/>
      </c>
      <c r="Q78" s="162" t="str">
        <f t="shared" si="13"/>
        <v/>
      </c>
      <c r="R78" s="162"/>
      <c r="S78" s="252" t="str">
        <f>IFERROR(INDEX('G-1 All Habitats'!$B$3:$B$135,MATCH(R78,'G-1 All Habitats'!$A$3:$A$135,0)),"")</f>
        <v/>
      </c>
      <c r="T78" s="290" t="str">
        <f t="shared" si="14"/>
        <v/>
      </c>
      <c r="U78" s="291" t="str">
        <f t="shared" si="15"/>
        <v/>
      </c>
      <c r="V78" s="325" t="str">
        <f t="shared" si="11"/>
        <v/>
      </c>
      <c r="W78" s="310" t="str">
        <f>IF(S78="","",VLOOKUP(S78,'G-1 All Habitats'!$B$2:$M$135,10,FALSE))</f>
        <v/>
      </c>
      <c r="X78" s="310" t="str">
        <f>IFERROR(VLOOKUP(W78,'G-1 All Habitats'!$V$3:$W$7,2,FALSE),"")</f>
        <v/>
      </c>
      <c r="Y78" s="45"/>
      <c r="Z78" s="314" t="str">
        <f>IFERROR(INDEX('G-8 Condition Look up'!$A$3:$H$135,MATCH(S78,'G-8 Condition Look up'!$A$3:$A$135,0),MATCH(Y78,'G-8 Condition Look up'!$A$3:$H$3,0)),"")</f>
        <v/>
      </c>
      <c r="AA78" s="38"/>
      <c r="AB78" s="310" t="str">
        <f>IF(AA78="","",IF(VLOOKUP(AA78,'G-3 Multipliers'!$L$3:$N$6,2,FALSE)=0,"Spatial Data Missing ⚠",VLOOKUP(AA78,'G-3 Multipliers'!$L$3:$N$6,2,FALSE)))</f>
        <v/>
      </c>
      <c r="AC78" s="314" t="str">
        <f>IF(AA78="","",IF(VLOOKUP(AA78,'G-3 Multipliers'!$L$3:$N$6,3,FALSE)=0,"Spatial Data Missing ⚠",VLOOKUP(AA78,'G-3 Multipliers'!$L$3:$N$6,3,FALSE)))</f>
        <v/>
      </c>
      <c r="AD78" s="327" t="str">
        <f t="shared" si="12"/>
        <v/>
      </c>
      <c r="AE78" s="47"/>
      <c r="AF78" s="47"/>
      <c r="AG78" s="298" t="str">
        <f t="shared" si="16"/>
        <v/>
      </c>
      <c r="AH78" s="311" t="str">
        <f t="shared" si="17"/>
        <v/>
      </c>
      <c r="AI78" s="312" t="str">
        <f>IF(AH78="Check Data","Check Data",IFERROR(VLOOKUP(AH78,'G-4 Temporal multipliers'!$A$4:$C$36,3,FALSE),""))</f>
        <v/>
      </c>
      <c r="AJ78" s="290" t="str">
        <f>IF(S78="","",VLOOKUP(S78,'G-3 Multipliers'!$A$2:$E$134,4,FALSE))</f>
        <v/>
      </c>
      <c r="AK78" s="298" t="str">
        <f t="shared" si="18"/>
        <v/>
      </c>
      <c r="AL78" s="298" t="str">
        <f t="shared" si="19"/>
        <v/>
      </c>
      <c r="AM78" s="328" t="str">
        <f>IFERROR(IF(F78="","",IF(AH78="Check Data ⚠","Check Data ⚠",VLOOKUP(AL78, 'G-3 Multipliers'!$P$2:$Q$6,2,FALSE))),"")</f>
        <v/>
      </c>
      <c r="AN78" s="304" t="str">
        <f t="shared" si="20"/>
        <v/>
      </c>
      <c r="AO78" s="163"/>
      <c r="AP78" s="164"/>
      <c r="AQ78" s="101"/>
      <c r="AT78" s="20" t="str">
        <f t="shared" si="21"/>
        <v>No</v>
      </c>
      <c r="AU78" s="20" t="str">
        <f>IF(E78="","",IF(ISNA(VLOOKUP($E78,'A-1 On-Site Habitat Baseline'!$D$1:$AV$258,4,FALSE)),"",(VLOOKUP($E78,'A-1 On-Site Habitat Baseline'!$D$1:$AV$258,4,FALSE))))</f>
        <v/>
      </c>
    </row>
    <row r="79" spans="1:47" x14ac:dyDescent="0.3">
      <c r="A79" s="20" t="str">
        <f>IF(E79="","",IF(ISNA(VLOOKUP($E79,'A-1 On-Site Habitat Baseline'!$D$1:$O$258,2,FALSE)),"",(VLOOKUP($E79,'A-1 On-Site Habitat Baseline'!$D$1:$O$258,2,FALSE))))</f>
        <v/>
      </c>
      <c r="B79" s="20" t="str">
        <f>IF(E79="","",IF(ISNA(VLOOKUP($E79,'A-1 On-Site Habitat Baseline'!$D$1:$O$258,3,FALSE)),"",(VLOOKUP($E79,'A-1 On-Site Habitat Baseline'!$D$1:$O$258,3,FALSE))))</f>
        <v/>
      </c>
      <c r="C79" s="20" t="str">
        <f>IFERROR(INDEX('G-8 Condition Look up'!$I$4:$I$135,MATCH(S79,'G-8 Condition Look up'!$A$4:$A$135,0)),"")</f>
        <v/>
      </c>
      <c r="E79" s="319" t="str">
        <f>'A-1 On-Site Habitat Baseline'!AL78</f>
        <v/>
      </c>
      <c r="F79" s="310" t="str">
        <f>IF(E79="","",IF(ISNA(VLOOKUP($E79,'A-1 On-Site Habitat Baseline'!$D$1:$AV$258,45,FALSE)),"",(VLOOKUP($E79,'A-1 On-Site Habitat Baseline'!$D$1:$AV$258,45,FALSE))))</f>
        <v/>
      </c>
      <c r="G79" s="310" t="str">
        <f>IF(E79="","",IF(ISNA(VLOOKUP($E79,'A-1 On-Site Habitat Baseline'!$D$1:$O$258,5,FALSE)),"",(VLOOKUP($E79,'A-1 On-Site Habitat Baseline'!$D$1:$O$258,5,FALSE))))</f>
        <v/>
      </c>
      <c r="H79" s="310" t="str">
        <f>IF(E79="","",IF(ISNA(VLOOKUP($E79,'A-1 On-Site Habitat Baseline'!$D$1:$O$258,6,FALSE)),"",(VLOOKUP($E79,'A-1 On-Site Habitat Baseline'!$D$1:$O$258,6,FALSE))))</f>
        <v/>
      </c>
      <c r="I79" s="310" t="str">
        <f>IF(E79="","",IF(ISNA(VLOOKUP($E79,'A-1 On-Site Habitat Baseline'!$D$1:$O$258,7,FALSE)),"",(VLOOKUP($E79,'A-1 On-Site Habitat Baseline'!$D$1:$O$258,7,FALSE))))</f>
        <v/>
      </c>
      <c r="J79" s="310" t="str">
        <f>IF(E79="","",IF(ISNA(VLOOKUP($E79,'A-1 On-Site Habitat Baseline'!$D$1:$O$258,8,FALSE)),"",(VLOOKUP($E79,'A-1 On-Site Habitat Baseline'!$D$1:$O$258,8,FALSE))))</f>
        <v/>
      </c>
      <c r="K79" s="310" t="str">
        <f>IF(E79="","",IF(ISNA(VLOOKUP($E79,'A-1 On-Site Habitat Baseline'!$D$1:$O$258,9,FALSE)),"",(VLOOKUP($E79,'A-1 On-Site Habitat Baseline'!$D$1:$O$258,9,FALSE))))</f>
        <v/>
      </c>
      <c r="L79" s="310" t="str">
        <f>IF(E79="","",IF(ISNA(VLOOKUP($E79,'A-1 On-Site Habitat Baseline'!$D$1:$O$258,11,FALSE)),"",(VLOOKUP($E79,'A-1 On-Site Habitat Baseline'!$D$1:$O$258,11,FALSE))))</f>
        <v/>
      </c>
      <c r="M79" s="310" t="str">
        <f>IF(E79="","",IF(ISNA(VLOOKUP($E79,'A-1 On-Site Habitat Baseline'!$D$1:$O$258,12,FALSE)),"",(VLOOKUP($E79,'A-1 On-Site Habitat Baseline'!$D$1:$O$258,12,FALSE))))</f>
        <v/>
      </c>
      <c r="N79" s="320" t="str">
        <f>IF(E79="","",IF(ISNA(VLOOKUP($E79,'A-1 On-Site Habitat Baseline'!$D$1:$X$258,14,FALSE)),"",(VLOOKUP($E79,'A-1 On-Site Habitat Baseline'!$D$1:$X$258,14,FALSE))))</f>
        <v/>
      </c>
      <c r="O79" s="314" t="str">
        <f>IF(E79="","",IF(ISNA(VLOOKUP($E79,'A-1 On-Site Habitat Baseline'!$D$1:$X$258,16,FALSE)),"",(VLOOKUP($E79,'A-1 On-Site Habitat Baseline'!$D$1:$X$258,13,FALSE))))</f>
        <v/>
      </c>
      <c r="P79" s="161" t="str">
        <f>IFERROR(INDEX('G-1 All Habitats'!$AG$49:$AG$63,MATCH(Q79,'G-1 All Habitats'!$AF$27:$AF$41,0)),"")</f>
        <v/>
      </c>
      <c r="Q79" s="162" t="str">
        <f t="shared" si="13"/>
        <v/>
      </c>
      <c r="R79" s="162"/>
      <c r="S79" s="252" t="str">
        <f>IFERROR(INDEX('G-1 All Habitats'!$B$3:$B$135,MATCH(R79,'G-1 All Habitats'!$A$3:$A$135,0)),"")</f>
        <v/>
      </c>
      <c r="T79" s="290" t="str">
        <f t="shared" si="14"/>
        <v/>
      </c>
      <c r="U79" s="291" t="str">
        <f t="shared" si="15"/>
        <v/>
      </c>
      <c r="V79" s="325" t="str">
        <f t="shared" si="11"/>
        <v/>
      </c>
      <c r="W79" s="310" t="str">
        <f>IF(S79="","",VLOOKUP(S79,'G-1 All Habitats'!$B$2:$M$135,10,FALSE))</f>
        <v/>
      </c>
      <c r="X79" s="310" t="str">
        <f>IFERROR(VLOOKUP(W79,'G-1 All Habitats'!$V$3:$W$7,2,FALSE),"")</f>
        <v/>
      </c>
      <c r="Y79" s="45"/>
      <c r="Z79" s="314" t="str">
        <f>IFERROR(INDEX('G-8 Condition Look up'!$A$3:$H$135,MATCH(S79,'G-8 Condition Look up'!$A$3:$A$135,0),MATCH(Y79,'G-8 Condition Look up'!$A$3:$H$3,0)),"")</f>
        <v/>
      </c>
      <c r="AA79" s="38"/>
      <c r="AB79" s="310" t="str">
        <f>IF(AA79="","",IF(VLOOKUP(AA79,'G-3 Multipliers'!$L$3:$N$6,2,FALSE)=0,"Spatial Data Missing ⚠",VLOOKUP(AA79,'G-3 Multipliers'!$L$3:$N$6,2,FALSE)))</f>
        <v/>
      </c>
      <c r="AC79" s="314" t="str">
        <f>IF(AA79="","",IF(VLOOKUP(AA79,'G-3 Multipliers'!$L$3:$N$6,3,FALSE)=0,"Spatial Data Missing ⚠",VLOOKUP(AA79,'G-3 Multipliers'!$L$3:$N$6,3,FALSE)))</f>
        <v/>
      </c>
      <c r="AD79" s="327" t="str">
        <f t="shared" si="12"/>
        <v/>
      </c>
      <c r="AE79" s="47"/>
      <c r="AF79" s="47"/>
      <c r="AG79" s="298" t="str">
        <f t="shared" si="16"/>
        <v/>
      </c>
      <c r="AH79" s="311" t="str">
        <f t="shared" si="17"/>
        <v/>
      </c>
      <c r="AI79" s="312" t="str">
        <f>IF(AH79="Check Data","Check Data",IFERROR(VLOOKUP(AH79,'G-4 Temporal multipliers'!$A$4:$C$36,3,FALSE),""))</f>
        <v/>
      </c>
      <c r="AJ79" s="290" t="str">
        <f>IF(S79="","",VLOOKUP(S79,'G-3 Multipliers'!$A$2:$E$134,4,FALSE))</f>
        <v/>
      </c>
      <c r="AK79" s="298" t="str">
        <f t="shared" si="18"/>
        <v/>
      </c>
      <c r="AL79" s="298" t="str">
        <f t="shared" si="19"/>
        <v/>
      </c>
      <c r="AM79" s="328" t="str">
        <f>IFERROR(IF(F79="","",IF(AH79="Check Data ⚠","Check Data ⚠",VLOOKUP(AL79, 'G-3 Multipliers'!$P$2:$Q$6,2,FALSE))),"")</f>
        <v/>
      </c>
      <c r="AN79" s="304" t="str">
        <f t="shared" si="20"/>
        <v/>
      </c>
      <c r="AO79" s="163"/>
      <c r="AP79" s="164"/>
      <c r="AQ79" s="101"/>
      <c r="AT79" s="20" t="str">
        <f t="shared" si="21"/>
        <v>No</v>
      </c>
      <c r="AU79" s="20" t="str">
        <f>IF(E79="","",IF(ISNA(VLOOKUP($E79,'A-1 On-Site Habitat Baseline'!$D$1:$AV$258,4,FALSE)),"",(VLOOKUP($E79,'A-1 On-Site Habitat Baseline'!$D$1:$AV$258,4,FALSE))))</f>
        <v/>
      </c>
    </row>
    <row r="80" spans="1:47" x14ac:dyDescent="0.3">
      <c r="A80" s="20" t="str">
        <f>IF(E80="","",IF(ISNA(VLOOKUP($E80,'A-1 On-Site Habitat Baseline'!$D$1:$O$258,2,FALSE)),"",(VLOOKUP($E80,'A-1 On-Site Habitat Baseline'!$D$1:$O$258,2,FALSE))))</f>
        <v/>
      </c>
      <c r="B80" s="20" t="str">
        <f>IF(E80="","",IF(ISNA(VLOOKUP($E80,'A-1 On-Site Habitat Baseline'!$D$1:$O$258,3,FALSE)),"",(VLOOKUP($E80,'A-1 On-Site Habitat Baseline'!$D$1:$O$258,3,FALSE))))</f>
        <v/>
      </c>
      <c r="C80" s="20" t="str">
        <f>IFERROR(INDEX('G-8 Condition Look up'!$I$4:$I$135,MATCH(S80,'G-8 Condition Look up'!$A$4:$A$135,0)),"")</f>
        <v/>
      </c>
      <c r="E80" s="319" t="str">
        <f>'A-1 On-Site Habitat Baseline'!AL79</f>
        <v/>
      </c>
      <c r="F80" s="310" t="str">
        <f>IF(E80="","",IF(ISNA(VLOOKUP($E80,'A-1 On-Site Habitat Baseline'!$D$1:$AV$258,45,FALSE)),"",(VLOOKUP($E80,'A-1 On-Site Habitat Baseline'!$D$1:$AV$258,45,FALSE))))</f>
        <v/>
      </c>
      <c r="G80" s="310" t="str">
        <f>IF(E80="","",IF(ISNA(VLOOKUP($E80,'A-1 On-Site Habitat Baseline'!$D$1:$O$258,5,FALSE)),"",(VLOOKUP($E80,'A-1 On-Site Habitat Baseline'!$D$1:$O$258,5,FALSE))))</f>
        <v/>
      </c>
      <c r="H80" s="310" t="str">
        <f>IF(E80="","",IF(ISNA(VLOOKUP($E80,'A-1 On-Site Habitat Baseline'!$D$1:$O$258,6,FALSE)),"",(VLOOKUP($E80,'A-1 On-Site Habitat Baseline'!$D$1:$O$258,6,FALSE))))</f>
        <v/>
      </c>
      <c r="I80" s="310" t="str">
        <f>IF(E80="","",IF(ISNA(VLOOKUP($E80,'A-1 On-Site Habitat Baseline'!$D$1:$O$258,7,FALSE)),"",(VLOOKUP($E80,'A-1 On-Site Habitat Baseline'!$D$1:$O$258,7,FALSE))))</f>
        <v/>
      </c>
      <c r="J80" s="310" t="str">
        <f>IF(E80="","",IF(ISNA(VLOOKUP($E80,'A-1 On-Site Habitat Baseline'!$D$1:$O$258,8,FALSE)),"",(VLOOKUP($E80,'A-1 On-Site Habitat Baseline'!$D$1:$O$258,8,FALSE))))</f>
        <v/>
      </c>
      <c r="K80" s="310" t="str">
        <f>IF(E80="","",IF(ISNA(VLOOKUP($E80,'A-1 On-Site Habitat Baseline'!$D$1:$O$258,9,FALSE)),"",(VLOOKUP($E80,'A-1 On-Site Habitat Baseline'!$D$1:$O$258,9,FALSE))))</f>
        <v/>
      </c>
      <c r="L80" s="310" t="str">
        <f>IF(E80="","",IF(ISNA(VLOOKUP($E80,'A-1 On-Site Habitat Baseline'!$D$1:$O$258,11,FALSE)),"",(VLOOKUP($E80,'A-1 On-Site Habitat Baseline'!$D$1:$O$258,11,FALSE))))</f>
        <v/>
      </c>
      <c r="M80" s="310" t="str">
        <f>IF(E80="","",IF(ISNA(VLOOKUP($E80,'A-1 On-Site Habitat Baseline'!$D$1:$O$258,12,FALSE)),"",(VLOOKUP($E80,'A-1 On-Site Habitat Baseline'!$D$1:$O$258,12,FALSE))))</f>
        <v/>
      </c>
      <c r="N80" s="320" t="str">
        <f>IF(E80="","",IF(ISNA(VLOOKUP($E80,'A-1 On-Site Habitat Baseline'!$D$1:$X$258,14,FALSE)),"",(VLOOKUP($E80,'A-1 On-Site Habitat Baseline'!$D$1:$X$258,14,FALSE))))</f>
        <v/>
      </c>
      <c r="O80" s="314" t="str">
        <f>IF(E80="","",IF(ISNA(VLOOKUP($E80,'A-1 On-Site Habitat Baseline'!$D$1:$X$258,16,FALSE)),"",(VLOOKUP($E80,'A-1 On-Site Habitat Baseline'!$D$1:$X$258,13,FALSE))))</f>
        <v/>
      </c>
      <c r="P80" s="161" t="str">
        <f>IFERROR(INDEX('G-1 All Habitats'!$AG$49:$AG$63,MATCH(Q80,'G-1 All Habitats'!$AF$27:$AF$41,0)),"")</f>
        <v/>
      </c>
      <c r="Q80" s="162" t="str">
        <f t="shared" si="13"/>
        <v/>
      </c>
      <c r="R80" s="162"/>
      <c r="S80" s="252" t="str">
        <f>IFERROR(INDEX('G-1 All Habitats'!$B$3:$B$135,MATCH(R80,'G-1 All Habitats'!$A$3:$A$135,0)),"")</f>
        <v/>
      </c>
      <c r="T80" s="290" t="str">
        <f t="shared" si="14"/>
        <v/>
      </c>
      <c r="U80" s="291" t="str">
        <f t="shared" si="15"/>
        <v/>
      </c>
      <c r="V80" s="325" t="str">
        <f t="shared" si="11"/>
        <v/>
      </c>
      <c r="W80" s="310" t="str">
        <f>IF(S80="","",VLOOKUP(S80,'G-1 All Habitats'!$B$2:$M$135,10,FALSE))</f>
        <v/>
      </c>
      <c r="X80" s="310" t="str">
        <f>IFERROR(VLOOKUP(W80,'G-1 All Habitats'!$V$3:$W$7,2,FALSE),"")</f>
        <v/>
      </c>
      <c r="Y80" s="45"/>
      <c r="Z80" s="314" t="str">
        <f>IFERROR(INDEX('G-8 Condition Look up'!$A$3:$H$135,MATCH(S80,'G-8 Condition Look up'!$A$3:$A$135,0),MATCH(Y80,'G-8 Condition Look up'!$A$3:$H$3,0)),"")</f>
        <v/>
      </c>
      <c r="AA80" s="38"/>
      <c r="AB80" s="310" t="str">
        <f>IF(AA80="","",IF(VLOOKUP(AA80,'G-3 Multipliers'!$L$3:$N$6,2,FALSE)=0,"Spatial Data Missing ⚠",VLOOKUP(AA80,'G-3 Multipliers'!$L$3:$N$6,2,FALSE)))</f>
        <v/>
      </c>
      <c r="AC80" s="314" t="str">
        <f>IF(AA80="","",IF(VLOOKUP(AA80,'G-3 Multipliers'!$L$3:$N$6,3,FALSE)=0,"Spatial Data Missing ⚠",VLOOKUP(AA80,'G-3 Multipliers'!$L$3:$N$6,3,FALSE)))</f>
        <v/>
      </c>
      <c r="AD80" s="327" t="str">
        <f t="shared" si="12"/>
        <v/>
      </c>
      <c r="AE80" s="47"/>
      <c r="AF80" s="47"/>
      <c r="AG80" s="298" t="str">
        <f t="shared" si="16"/>
        <v/>
      </c>
      <c r="AH80" s="311" t="str">
        <f t="shared" si="17"/>
        <v/>
      </c>
      <c r="AI80" s="312" t="str">
        <f>IF(AH80="Check Data","Check Data",IFERROR(VLOOKUP(AH80,'G-4 Temporal multipliers'!$A$4:$C$36,3,FALSE),""))</f>
        <v/>
      </c>
      <c r="AJ80" s="290" t="str">
        <f>IF(S80="","",VLOOKUP(S80,'G-3 Multipliers'!$A$2:$E$134,4,FALSE))</f>
        <v/>
      </c>
      <c r="AK80" s="298" t="str">
        <f t="shared" si="18"/>
        <v/>
      </c>
      <c r="AL80" s="298" t="str">
        <f t="shared" si="19"/>
        <v/>
      </c>
      <c r="AM80" s="328" t="str">
        <f>IFERROR(IF(F80="","",IF(AH80="Check Data ⚠","Check Data ⚠",VLOOKUP(AL80, 'G-3 Multipliers'!$P$2:$Q$6,2,FALSE))),"")</f>
        <v/>
      </c>
      <c r="AN80" s="304" t="str">
        <f t="shared" si="20"/>
        <v/>
      </c>
      <c r="AO80" s="163"/>
      <c r="AP80" s="164"/>
      <c r="AQ80" s="101"/>
      <c r="AT80" s="20" t="str">
        <f t="shared" si="21"/>
        <v>No</v>
      </c>
      <c r="AU80" s="20" t="str">
        <f>IF(E80="","",IF(ISNA(VLOOKUP($E80,'A-1 On-Site Habitat Baseline'!$D$1:$AV$258,4,FALSE)),"",(VLOOKUP($E80,'A-1 On-Site Habitat Baseline'!$D$1:$AV$258,4,FALSE))))</f>
        <v/>
      </c>
    </row>
    <row r="81" spans="1:47" x14ac:dyDescent="0.3">
      <c r="A81" s="20" t="str">
        <f>IF(E81="","",IF(ISNA(VLOOKUP($E81,'A-1 On-Site Habitat Baseline'!$D$1:$O$258,2,FALSE)),"",(VLOOKUP($E81,'A-1 On-Site Habitat Baseline'!$D$1:$O$258,2,FALSE))))</f>
        <v/>
      </c>
      <c r="B81" s="20" t="str">
        <f>IF(E81="","",IF(ISNA(VLOOKUP($E81,'A-1 On-Site Habitat Baseline'!$D$1:$O$258,3,FALSE)),"",(VLOOKUP($E81,'A-1 On-Site Habitat Baseline'!$D$1:$O$258,3,FALSE))))</f>
        <v/>
      </c>
      <c r="C81" s="20" t="str">
        <f>IFERROR(INDEX('G-8 Condition Look up'!$I$4:$I$135,MATCH(S81,'G-8 Condition Look up'!$A$4:$A$135,0)),"")</f>
        <v/>
      </c>
      <c r="E81" s="319" t="str">
        <f>'A-1 On-Site Habitat Baseline'!AL80</f>
        <v/>
      </c>
      <c r="F81" s="310" t="str">
        <f>IF(E81="","",IF(ISNA(VLOOKUP($E81,'A-1 On-Site Habitat Baseline'!$D$1:$AV$258,45,FALSE)),"",(VLOOKUP($E81,'A-1 On-Site Habitat Baseline'!$D$1:$AV$258,45,FALSE))))</f>
        <v/>
      </c>
      <c r="G81" s="310" t="str">
        <f>IF(E81="","",IF(ISNA(VLOOKUP($E81,'A-1 On-Site Habitat Baseline'!$D$1:$O$258,5,FALSE)),"",(VLOOKUP($E81,'A-1 On-Site Habitat Baseline'!$D$1:$O$258,5,FALSE))))</f>
        <v/>
      </c>
      <c r="H81" s="310" t="str">
        <f>IF(E81="","",IF(ISNA(VLOOKUP($E81,'A-1 On-Site Habitat Baseline'!$D$1:$O$258,6,FALSE)),"",(VLOOKUP($E81,'A-1 On-Site Habitat Baseline'!$D$1:$O$258,6,FALSE))))</f>
        <v/>
      </c>
      <c r="I81" s="310" t="str">
        <f>IF(E81="","",IF(ISNA(VLOOKUP($E81,'A-1 On-Site Habitat Baseline'!$D$1:$O$258,7,FALSE)),"",(VLOOKUP($E81,'A-1 On-Site Habitat Baseline'!$D$1:$O$258,7,FALSE))))</f>
        <v/>
      </c>
      <c r="J81" s="310" t="str">
        <f>IF(E81="","",IF(ISNA(VLOOKUP($E81,'A-1 On-Site Habitat Baseline'!$D$1:$O$258,8,FALSE)),"",(VLOOKUP($E81,'A-1 On-Site Habitat Baseline'!$D$1:$O$258,8,FALSE))))</f>
        <v/>
      </c>
      <c r="K81" s="310" t="str">
        <f>IF(E81="","",IF(ISNA(VLOOKUP($E81,'A-1 On-Site Habitat Baseline'!$D$1:$O$258,9,FALSE)),"",(VLOOKUP($E81,'A-1 On-Site Habitat Baseline'!$D$1:$O$258,9,FALSE))))</f>
        <v/>
      </c>
      <c r="L81" s="310" t="str">
        <f>IF(E81="","",IF(ISNA(VLOOKUP($E81,'A-1 On-Site Habitat Baseline'!$D$1:$O$258,11,FALSE)),"",(VLOOKUP($E81,'A-1 On-Site Habitat Baseline'!$D$1:$O$258,11,FALSE))))</f>
        <v/>
      </c>
      <c r="M81" s="310" t="str">
        <f>IF(E81="","",IF(ISNA(VLOOKUP($E81,'A-1 On-Site Habitat Baseline'!$D$1:$O$258,12,FALSE)),"",(VLOOKUP($E81,'A-1 On-Site Habitat Baseline'!$D$1:$O$258,12,FALSE))))</f>
        <v/>
      </c>
      <c r="N81" s="320" t="str">
        <f>IF(E81="","",IF(ISNA(VLOOKUP($E81,'A-1 On-Site Habitat Baseline'!$D$1:$X$258,14,FALSE)),"",(VLOOKUP($E81,'A-1 On-Site Habitat Baseline'!$D$1:$X$258,14,FALSE))))</f>
        <v/>
      </c>
      <c r="O81" s="314" t="str">
        <f>IF(E81="","",IF(ISNA(VLOOKUP($E81,'A-1 On-Site Habitat Baseline'!$D$1:$X$258,16,FALSE)),"",(VLOOKUP($E81,'A-1 On-Site Habitat Baseline'!$D$1:$X$258,13,FALSE))))</f>
        <v/>
      </c>
      <c r="P81" s="161" t="str">
        <f>IFERROR(INDEX('G-1 All Habitats'!$AG$49:$AG$63,MATCH(Q81,'G-1 All Habitats'!$AF$27:$AF$41,0)),"")</f>
        <v/>
      </c>
      <c r="Q81" s="162" t="str">
        <f t="shared" si="13"/>
        <v/>
      </c>
      <c r="R81" s="162"/>
      <c r="S81" s="252" t="str">
        <f>IFERROR(INDEX('G-1 All Habitats'!$B$3:$B$135,MATCH(R81,'G-1 All Habitats'!$A$3:$A$135,0)),"")</f>
        <v/>
      </c>
      <c r="T81" s="290" t="str">
        <f t="shared" si="14"/>
        <v/>
      </c>
      <c r="U81" s="291" t="str">
        <f t="shared" si="15"/>
        <v/>
      </c>
      <c r="V81" s="325" t="str">
        <f t="shared" si="11"/>
        <v/>
      </c>
      <c r="W81" s="310" t="str">
        <f>IF(S81="","",VLOOKUP(S81,'G-1 All Habitats'!$B$2:$M$135,10,FALSE))</f>
        <v/>
      </c>
      <c r="X81" s="310" t="str">
        <f>IFERROR(VLOOKUP(W81,'G-1 All Habitats'!$V$3:$W$7,2,FALSE),"")</f>
        <v/>
      </c>
      <c r="Y81" s="45"/>
      <c r="Z81" s="314" t="str">
        <f>IFERROR(INDEX('G-8 Condition Look up'!$A$3:$H$135,MATCH(S81,'G-8 Condition Look up'!$A$3:$A$135,0),MATCH(Y81,'G-8 Condition Look up'!$A$3:$H$3,0)),"")</f>
        <v/>
      </c>
      <c r="AA81" s="38"/>
      <c r="AB81" s="310" t="str">
        <f>IF(AA81="","",IF(VLOOKUP(AA81,'G-3 Multipliers'!$L$3:$N$6,2,FALSE)=0,"Spatial Data Missing ⚠",VLOOKUP(AA81,'G-3 Multipliers'!$L$3:$N$6,2,FALSE)))</f>
        <v/>
      </c>
      <c r="AC81" s="314" t="str">
        <f>IF(AA81="","",IF(VLOOKUP(AA81,'G-3 Multipliers'!$L$3:$N$6,3,FALSE)=0,"Spatial Data Missing ⚠",VLOOKUP(AA81,'G-3 Multipliers'!$L$3:$N$6,3,FALSE)))</f>
        <v/>
      </c>
      <c r="AD81" s="327" t="str">
        <f t="shared" si="12"/>
        <v/>
      </c>
      <c r="AE81" s="47"/>
      <c r="AF81" s="47"/>
      <c r="AG81" s="298" t="str">
        <f t="shared" si="16"/>
        <v/>
      </c>
      <c r="AH81" s="311" t="str">
        <f t="shared" si="17"/>
        <v/>
      </c>
      <c r="AI81" s="312" t="str">
        <f>IF(AH81="Check Data","Check Data",IFERROR(VLOOKUP(AH81,'G-4 Temporal multipliers'!$A$4:$C$36,3,FALSE),""))</f>
        <v/>
      </c>
      <c r="AJ81" s="290" t="str">
        <f>IF(S81="","",VLOOKUP(S81,'G-3 Multipliers'!$A$2:$E$134,4,FALSE))</f>
        <v/>
      </c>
      <c r="AK81" s="298" t="str">
        <f t="shared" si="18"/>
        <v/>
      </c>
      <c r="AL81" s="298" t="str">
        <f t="shared" si="19"/>
        <v/>
      </c>
      <c r="AM81" s="328" t="str">
        <f>IFERROR(IF(F81="","",IF(AH81="Check Data ⚠","Check Data ⚠",VLOOKUP(AL81, 'G-3 Multipliers'!$P$2:$Q$6,2,FALSE))),"")</f>
        <v/>
      </c>
      <c r="AN81" s="304" t="str">
        <f t="shared" si="20"/>
        <v/>
      </c>
      <c r="AO81" s="163"/>
      <c r="AP81" s="164"/>
      <c r="AQ81" s="101"/>
      <c r="AT81" s="20" t="str">
        <f t="shared" si="21"/>
        <v>No</v>
      </c>
      <c r="AU81" s="20" t="str">
        <f>IF(E81="","",IF(ISNA(VLOOKUP($E81,'A-1 On-Site Habitat Baseline'!$D$1:$AV$258,4,FALSE)),"",(VLOOKUP($E81,'A-1 On-Site Habitat Baseline'!$D$1:$AV$258,4,FALSE))))</f>
        <v/>
      </c>
    </row>
    <row r="82" spans="1:47" x14ac:dyDescent="0.3">
      <c r="A82" s="20" t="str">
        <f>IF(E82="","",IF(ISNA(VLOOKUP($E82,'A-1 On-Site Habitat Baseline'!$D$1:$O$258,2,FALSE)),"",(VLOOKUP($E82,'A-1 On-Site Habitat Baseline'!$D$1:$O$258,2,FALSE))))</f>
        <v/>
      </c>
      <c r="B82" s="20" t="str">
        <f>IF(E82="","",IF(ISNA(VLOOKUP($E82,'A-1 On-Site Habitat Baseline'!$D$1:$O$258,3,FALSE)),"",(VLOOKUP($E82,'A-1 On-Site Habitat Baseline'!$D$1:$O$258,3,FALSE))))</f>
        <v/>
      </c>
      <c r="C82" s="20" t="str">
        <f>IFERROR(INDEX('G-8 Condition Look up'!$I$4:$I$135,MATCH(S82,'G-8 Condition Look up'!$A$4:$A$135,0)),"")</f>
        <v/>
      </c>
      <c r="E82" s="319" t="str">
        <f>'A-1 On-Site Habitat Baseline'!AL81</f>
        <v/>
      </c>
      <c r="F82" s="310" t="str">
        <f>IF(E82="","",IF(ISNA(VLOOKUP($E82,'A-1 On-Site Habitat Baseline'!$D$1:$AV$258,45,FALSE)),"",(VLOOKUP($E82,'A-1 On-Site Habitat Baseline'!$D$1:$AV$258,45,FALSE))))</f>
        <v/>
      </c>
      <c r="G82" s="310" t="str">
        <f>IF(E82="","",IF(ISNA(VLOOKUP($E82,'A-1 On-Site Habitat Baseline'!$D$1:$O$258,5,FALSE)),"",(VLOOKUP($E82,'A-1 On-Site Habitat Baseline'!$D$1:$O$258,5,FALSE))))</f>
        <v/>
      </c>
      <c r="H82" s="310" t="str">
        <f>IF(E82="","",IF(ISNA(VLOOKUP($E82,'A-1 On-Site Habitat Baseline'!$D$1:$O$258,6,FALSE)),"",(VLOOKUP($E82,'A-1 On-Site Habitat Baseline'!$D$1:$O$258,6,FALSE))))</f>
        <v/>
      </c>
      <c r="I82" s="310" t="str">
        <f>IF(E82="","",IF(ISNA(VLOOKUP($E82,'A-1 On-Site Habitat Baseline'!$D$1:$O$258,7,FALSE)),"",(VLOOKUP($E82,'A-1 On-Site Habitat Baseline'!$D$1:$O$258,7,FALSE))))</f>
        <v/>
      </c>
      <c r="J82" s="310" t="str">
        <f>IF(E82="","",IF(ISNA(VLOOKUP($E82,'A-1 On-Site Habitat Baseline'!$D$1:$O$258,8,FALSE)),"",(VLOOKUP($E82,'A-1 On-Site Habitat Baseline'!$D$1:$O$258,8,FALSE))))</f>
        <v/>
      </c>
      <c r="K82" s="310" t="str">
        <f>IF(E82="","",IF(ISNA(VLOOKUP($E82,'A-1 On-Site Habitat Baseline'!$D$1:$O$258,9,FALSE)),"",(VLOOKUP($E82,'A-1 On-Site Habitat Baseline'!$D$1:$O$258,9,FALSE))))</f>
        <v/>
      </c>
      <c r="L82" s="310" t="str">
        <f>IF(E82="","",IF(ISNA(VLOOKUP($E82,'A-1 On-Site Habitat Baseline'!$D$1:$O$258,11,FALSE)),"",(VLOOKUP($E82,'A-1 On-Site Habitat Baseline'!$D$1:$O$258,11,FALSE))))</f>
        <v/>
      </c>
      <c r="M82" s="310" t="str">
        <f>IF(E82="","",IF(ISNA(VLOOKUP($E82,'A-1 On-Site Habitat Baseline'!$D$1:$O$258,12,FALSE)),"",(VLOOKUP($E82,'A-1 On-Site Habitat Baseline'!$D$1:$O$258,12,FALSE))))</f>
        <v/>
      </c>
      <c r="N82" s="320" t="str">
        <f>IF(E82="","",IF(ISNA(VLOOKUP($E82,'A-1 On-Site Habitat Baseline'!$D$1:$X$258,14,FALSE)),"",(VLOOKUP($E82,'A-1 On-Site Habitat Baseline'!$D$1:$X$258,14,FALSE))))</f>
        <v/>
      </c>
      <c r="O82" s="314" t="str">
        <f>IF(E82="","",IF(ISNA(VLOOKUP($E82,'A-1 On-Site Habitat Baseline'!$D$1:$X$258,16,FALSE)),"",(VLOOKUP($E82,'A-1 On-Site Habitat Baseline'!$D$1:$X$258,13,FALSE))))</f>
        <v/>
      </c>
      <c r="P82" s="161" t="str">
        <f>IFERROR(INDEX('G-1 All Habitats'!$AG$49:$AG$63,MATCH(Q82,'G-1 All Habitats'!$AF$27:$AF$41,0)),"")</f>
        <v/>
      </c>
      <c r="Q82" s="162" t="str">
        <f t="shared" si="13"/>
        <v/>
      </c>
      <c r="R82" s="162"/>
      <c r="S82" s="252" t="str">
        <f>IFERROR(INDEX('G-1 All Habitats'!$B$3:$B$135,MATCH(R82,'G-1 All Habitats'!$A$3:$A$135,0)),"")</f>
        <v/>
      </c>
      <c r="T82" s="290" t="str">
        <f t="shared" si="14"/>
        <v/>
      </c>
      <c r="U82" s="291" t="str">
        <f t="shared" si="15"/>
        <v/>
      </c>
      <c r="V82" s="325" t="str">
        <f t="shared" si="11"/>
        <v/>
      </c>
      <c r="W82" s="310" t="str">
        <f>IF(S82="","",VLOOKUP(S82,'G-1 All Habitats'!$B$2:$M$135,10,FALSE))</f>
        <v/>
      </c>
      <c r="X82" s="310" t="str">
        <f>IFERROR(VLOOKUP(W82,'G-1 All Habitats'!$V$3:$W$7,2,FALSE),"")</f>
        <v/>
      </c>
      <c r="Y82" s="45"/>
      <c r="Z82" s="314" t="str">
        <f>IFERROR(INDEX('G-8 Condition Look up'!$A$3:$H$135,MATCH(S82,'G-8 Condition Look up'!$A$3:$A$135,0),MATCH(Y82,'G-8 Condition Look up'!$A$3:$H$3,0)),"")</f>
        <v/>
      </c>
      <c r="AA82" s="38"/>
      <c r="AB82" s="310" t="str">
        <f>IF(AA82="","",IF(VLOOKUP(AA82,'G-3 Multipliers'!$L$3:$N$6,2,FALSE)=0,"Spatial Data Missing ⚠",VLOOKUP(AA82,'G-3 Multipliers'!$L$3:$N$6,2,FALSE)))</f>
        <v/>
      </c>
      <c r="AC82" s="314" t="str">
        <f>IF(AA82="","",IF(VLOOKUP(AA82,'G-3 Multipliers'!$L$3:$N$6,3,FALSE)=0,"Spatial Data Missing ⚠",VLOOKUP(AA82,'G-3 Multipliers'!$L$3:$N$6,3,FALSE)))</f>
        <v/>
      </c>
      <c r="AD82" s="327" t="str">
        <f t="shared" si="12"/>
        <v/>
      </c>
      <c r="AE82" s="47"/>
      <c r="AF82" s="47"/>
      <c r="AG82" s="298" t="str">
        <f t="shared" si="16"/>
        <v/>
      </c>
      <c r="AH82" s="311" t="str">
        <f t="shared" si="17"/>
        <v/>
      </c>
      <c r="AI82" s="312" t="str">
        <f>IF(AH82="Check Data","Check Data",IFERROR(VLOOKUP(AH82,'G-4 Temporal multipliers'!$A$4:$C$36,3,FALSE),""))</f>
        <v/>
      </c>
      <c r="AJ82" s="290" t="str">
        <f>IF(S82="","",VLOOKUP(S82,'G-3 Multipliers'!$A$2:$E$134,4,FALSE))</f>
        <v/>
      </c>
      <c r="AK82" s="298" t="str">
        <f t="shared" si="18"/>
        <v/>
      </c>
      <c r="AL82" s="298" t="str">
        <f t="shared" si="19"/>
        <v/>
      </c>
      <c r="AM82" s="328" t="str">
        <f>IFERROR(IF(F82="","",IF(AH82="Check Data ⚠","Check Data ⚠",VLOOKUP(AL82, 'G-3 Multipliers'!$P$2:$Q$6,2,FALSE))),"")</f>
        <v/>
      </c>
      <c r="AN82" s="304" t="str">
        <f t="shared" si="20"/>
        <v/>
      </c>
      <c r="AO82" s="163"/>
      <c r="AP82" s="164"/>
      <c r="AQ82" s="101"/>
      <c r="AT82" s="20" t="str">
        <f t="shared" si="21"/>
        <v>No</v>
      </c>
      <c r="AU82" s="20" t="str">
        <f>IF(E82="","",IF(ISNA(VLOOKUP($E82,'A-1 On-Site Habitat Baseline'!$D$1:$AV$258,4,FALSE)),"",(VLOOKUP($E82,'A-1 On-Site Habitat Baseline'!$D$1:$AV$258,4,FALSE))))</f>
        <v/>
      </c>
    </row>
    <row r="83" spans="1:47" x14ac:dyDescent="0.3">
      <c r="A83" s="20" t="str">
        <f>IF(E83="","",IF(ISNA(VLOOKUP($E83,'A-1 On-Site Habitat Baseline'!$D$1:$O$258,2,FALSE)),"",(VLOOKUP($E83,'A-1 On-Site Habitat Baseline'!$D$1:$O$258,2,FALSE))))</f>
        <v/>
      </c>
      <c r="B83" s="20" t="str">
        <f>IF(E83="","",IF(ISNA(VLOOKUP($E83,'A-1 On-Site Habitat Baseline'!$D$1:$O$258,3,FALSE)),"",(VLOOKUP($E83,'A-1 On-Site Habitat Baseline'!$D$1:$O$258,3,FALSE))))</f>
        <v/>
      </c>
      <c r="C83" s="20" t="str">
        <f>IFERROR(INDEX('G-8 Condition Look up'!$I$4:$I$135,MATCH(S83,'G-8 Condition Look up'!$A$4:$A$135,0)),"")</f>
        <v/>
      </c>
      <c r="E83" s="319" t="str">
        <f>'A-1 On-Site Habitat Baseline'!AL82</f>
        <v/>
      </c>
      <c r="F83" s="310" t="str">
        <f>IF(E83="","",IF(ISNA(VLOOKUP($E83,'A-1 On-Site Habitat Baseline'!$D$1:$AV$258,45,FALSE)),"",(VLOOKUP($E83,'A-1 On-Site Habitat Baseline'!$D$1:$AV$258,45,FALSE))))</f>
        <v/>
      </c>
      <c r="G83" s="310" t="str">
        <f>IF(E83="","",IF(ISNA(VLOOKUP($E83,'A-1 On-Site Habitat Baseline'!$D$1:$O$258,5,FALSE)),"",(VLOOKUP($E83,'A-1 On-Site Habitat Baseline'!$D$1:$O$258,5,FALSE))))</f>
        <v/>
      </c>
      <c r="H83" s="310" t="str">
        <f>IF(E83="","",IF(ISNA(VLOOKUP($E83,'A-1 On-Site Habitat Baseline'!$D$1:$O$258,6,FALSE)),"",(VLOOKUP($E83,'A-1 On-Site Habitat Baseline'!$D$1:$O$258,6,FALSE))))</f>
        <v/>
      </c>
      <c r="I83" s="310" t="str">
        <f>IF(E83="","",IF(ISNA(VLOOKUP($E83,'A-1 On-Site Habitat Baseline'!$D$1:$O$258,7,FALSE)),"",(VLOOKUP($E83,'A-1 On-Site Habitat Baseline'!$D$1:$O$258,7,FALSE))))</f>
        <v/>
      </c>
      <c r="J83" s="310" t="str">
        <f>IF(E83="","",IF(ISNA(VLOOKUP($E83,'A-1 On-Site Habitat Baseline'!$D$1:$O$258,8,FALSE)),"",(VLOOKUP($E83,'A-1 On-Site Habitat Baseline'!$D$1:$O$258,8,FALSE))))</f>
        <v/>
      </c>
      <c r="K83" s="310" t="str">
        <f>IF(E83="","",IF(ISNA(VLOOKUP($E83,'A-1 On-Site Habitat Baseline'!$D$1:$O$258,9,FALSE)),"",(VLOOKUP($E83,'A-1 On-Site Habitat Baseline'!$D$1:$O$258,9,FALSE))))</f>
        <v/>
      </c>
      <c r="L83" s="310" t="str">
        <f>IF(E83="","",IF(ISNA(VLOOKUP($E83,'A-1 On-Site Habitat Baseline'!$D$1:$O$258,11,FALSE)),"",(VLOOKUP($E83,'A-1 On-Site Habitat Baseline'!$D$1:$O$258,11,FALSE))))</f>
        <v/>
      </c>
      <c r="M83" s="310" t="str">
        <f>IF(E83="","",IF(ISNA(VLOOKUP($E83,'A-1 On-Site Habitat Baseline'!$D$1:$O$258,12,FALSE)),"",(VLOOKUP($E83,'A-1 On-Site Habitat Baseline'!$D$1:$O$258,12,FALSE))))</f>
        <v/>
      </c>
      <c r="N83" s="320" t="str">
        <f>IF(E83="","",IF(ISNA(VLOOKUP($E83,'A-1 On-Site Habitat Baseline'!$D$1:$X$258,14,FALSE)),"",(VLOOKUP($E83,'A-1 On-Site Habitat Baseline'!$D$1:$X$258,14,FALSE))))</f>
        <v/>
      </c>
      <c r="O83" s="314" t="str">
        <f>IF(E83="","",IF(ISNA(VLOOKUP($E83,'A-1 On-Site Habitat Baseline'!$D$1:$X$258,16,FALSE)),"",(VLOOKUP($E83,'A-1 On-Site Habitat Baseline'!$D$1:$X$258,13,FALSE))))</f>
        <v/>
      </c>
      <c r="P83" s="161" t="str">
        <f>IFERROR(INDEX('G-1 All Habitats'!$AG$49:$AG$63,MATCH(Q83,'G-1 All Habitats'!$AF$27:$AF$41,0)),"")</f>
        <v/>
      </c>
      <c r="Q83" s="162" t="str">
        <f t="shared" si="13"/>
        <v/>
      </c>
      <c r="R83" s="162"/>
      <c r="S83" s="252" t="str">
        <f>IFERROR(INDEX('G-1 All Habitats'!$B$3:$B$135,MATCH(R83,'G-1 All Habitats'!$A$3:$A$135,0)),"")</f>
        <v/>
      </c>
      <c r="T83" s="290" t="str">
        <f t="shared" si="14"/>
        <v/>
      </c>
      <c r="U83" s="291" t="str">
        <f t="shared" si="15"/>
        <v/>
      </c>
      <c r="V83" s="325" t="str">
        <f t="shared" si="11"/>
        <v/>
      </c>
      <c r="W83" s="310" t="str">
        <f>IF(S83="","",VLOOKUP(S83,'G-1 All Habitats'!$B$2:$M$135,10,FALSE))</f>
        <v/>
      </c>
      <c r="X83" s="310" t="str">
        <f>IFERROR(VLOOKUP(W83,'G-1 All Habitats'!$V$3:$W$7,2,FALSE),"")</f>
        <v/>
      </c>
      <c r="Y83" s="45"/>
      <c r="Z83" s="314" t="str">
        <f>IFERROR(INDEX('G-8 Condition Look up'!$A$3:$H$135,MATCH(S83,'G-8 Condition Look up'!$A$3:$A$135,0),MATCH(Y83,'G-8 Condition Look up'!$A$3:$H$3,0)),"")</f>
        <v/>
      </c>
      <c r="AA83" s="38"/>
      <c r="AB83" s="310" t="str">
        <f>IF(AA83="","",IF(VLOOKUP(AA83,'G-3 Multipliers'!$L$3:$N$6,2,FALSE)=0,"Spatial Data Missing ⚠",VLOOKUP(AA83,'G-3 Multipliers'!$L$3:$N$6,2,FALSE)))</f>
        <v/>
      </c>
      <c r="AC83" s="314" t="str">
        <f>IF(AA83="","",IF(VLOOKUP(AA83,'G-3 Multipliers'!$L$3:$N$6,3,FALSE)=0,"Spatial Data Missing ⚠",VLOOKUP(AA83,'G-3 Multipliers'!$L$3:$N$6,3,FALSE)))</f>
        <v/>
      </c>
      <c r="AD83" s="327" t="str">
        <f t="shared" si="12"/>
        <v/>
      </c>
      <c r="AE83" s="47"/>
      <c r="AF83" s="47"/>
      <c r="AG83" s="298" t="str">
        <f t="shared" si="16"/>
        <v/>
      </c>
      <c r="AH83" s="311" t="str">
        <f t="shared" si="17"/>
        <v/>
      </c>
      <c r="AI83" s="312" t="str">
        <f>IF(AH83="Check Data","Check Data",IFERROR(VLOOKUP(AH83,'G-4 Temporal multipliers'!$A$4:$C$36,3,FALSE),""))</f>
        <v/>
      </c>
      <c r="AJ83" s="290" t="str">
        <f>IF(S83="","",VLOOKUP(S83,'G-3 Multipliers'!$A$2:$E$134,4,FALSE))</f>
        <v/>
      </c>
      <c r="AK83" s="298" t="str">
        <f t="shared" si="18"/>
        <v/>
      </c>
      <c r="AL83" s="298" t="str">
        <f t="shared" si="19"/>
        <v/>
      </c>
      <c r="AM83" s="328" t="str">
        <f>IFERROR(IF(F83="","",IF(AH83="Check Data ⚠","Check Data ⚠",VLOOKUP(AL83, 'G-3 Multipliers'!$P$2:$Q$6,2,FALSE))),"")</f>
        <v/>
      </c>
      <c r="AN83" s="304" t="str">
        <f t="shared" si="20"/>
        <v/>
      </c>
      <c r="AO83" s="163"/>
      <c r="AP83" s="164"/>
      <c r="AQ83" s="101"/>
      <c r="AT83" s="20" t="str">
        <f t="shared" si="21"/>
        <v>No</v>
      </c>
      <c r="AU83" s="20" t="str">
        <f>IF(E83="","",IF(ISNA(VLOOKUP($E83,'A-1 On-Site Habitat Baseline'!$D$1:$AV$258,4,FALSE)),"",(VLOOKUP($E83,'A-1 On-Site Habitat Baseline'!$D$1:$AV$258,4,FALSE))))</f>
        <v/>
      </c>
    </row>
    <row r="84" spans="1:47" x14ac:dyDescent="0.3">
      <c r="A84" s="20" t="str">
        <f>IF(E84="","",IF(ISNA(VLOOKUP($E84,'A-1 On-Site Habitat Baseline'!$D$1:$O$258,2,FALSE)),"",(VLOOKUP($E84,'A-1 On-Site Habitat Baseline'!$D$1:$O$258,2,FALSE))))</f>
        <v/>
      </c>
      <c r="B84" s="20" t="str">
        <f>IF(E84="","",IF(ISNA(VLOOKUP($E84,'A-1 On-Site Habitat Baseline'!$D$1:$O$258,3,FALSE)),"",(VLOOKUP($E84,'A-1 On-Site Habitat Baseline'!$D$1:$O$258,3,FALSE))))</f>
        <v/>
      </c>
      <c r="C84" s="20" t="str">
        <f>IFERROR(INDEX('G-8 Condition Look up'!$I$4:$I$135,MATCH(S84,'G-8 Condition Look up'!$A$4:$A$135,0)),"")</f>
        <v/>
      </c>
      <c r="E84" s="319" t="str">
        <f>'A-1 On-Site Habitat Baseline'!AL83</f>
        <v/>
      </c>
      <c r="F84" s="310" t="str">
        <f>IF(E84="","",IF(ISNA(VLOOKUP($E84,'A-1 On-Site Habitat Baseline'!$D$1:$AV$258,45,FALSE)),"",(VLOOKUP($E84,'A-1 On-Site Habitat Baseline'!$D$1:$AV$258,45,FALSE))))</f>
        <v/>
      </c>
      <c r="G84" s="310" t="str">
        <f>IF(E84="","",IF(ISNA(VLOOKUP($E84,'A-1 On-Site Habitat Baseline'!$D$1:$O$258,5,FALSE)),"",(VLOOKUP($E84,'A-1 On-Site Habitat Baseline'!$D$1:$O$258,5,FALSE))))</f>
        <v/>
      </c>
      <c r="H84" s="310" t="str">
        <f>IF(E84="","",IF(ISNA(VLOOKUP($E84,'A-1 On-Site Habitat Baseline'!$D$1:$O$258,6,FALSE)),"",(VLOOKUP($E84,'A-1 On-Site Habitat Baseline'!$D$1:$O$258,6,FALSE))))</f>
        <v/>
      </c>
      <c r="I84" s="310" t="str">
        <f>IF(E84="","",IF(ISNA(VLOOKUP($E84,'A-1 On-Site Habitat Baseline'!$D$1:$O$258,7,FALSE)),"",(VLOOKUP($E84,'A-1 On-Site Habitat Baseline'!$D$1:$O$258,7,FALSE))))</f>
        <v/>
      </c>
      <c r="J84" s="310" t="str">
        <f>IF(E84="","",IF(ISNA(VLOOKUP($E84,'A-1 On-Site Habitat Baseline'!$D$1:$O$258,8,FALSE)),"",(VLOOKUP($E84,'A-1 On-Site Habitat Baseline'!$D$1:$O$258,8,FALSE))))</f>
        <v/>
      </c>
      <c r="K84" s="310" t="str">
        <f>IF(E84="","",IF(ISNA(VLOOKUP($E84,'A-1 On-Site Habitat Baseline'!$D$1:$O$258,9,FALSE)),"",(VLOOKUP($E84,'A-1 On-Site Habitat Baseline'!$D$1:$O$258,9,FALSE))))</f>
        <v/>
      </c>
      <c r="L84" s="310" t="str">
        <f>IF(E84="","",IF(ISNA(VLOOKUP($E84,'A-1 On-Site Habitat Baseline'!$D$1:$O$258,11,FALSE)),"",(VLOOKUP($E84,'A-1 On-Site Habitat Baseline'!$D$1:$O$258,11,FALSE))))</f>
        <v/>
      </c>
      <c r="M84" s="310" t="str">
        <f>IF(E84="","",IF(ISNA(VLOOKUP($E84,'A-1 On-Site Habitat Baseline'!$D$1:$O$258,12,FALSE)),"",(VLOOKUP($E84,'A-1 On-Site Habitat Baseline'!$D$1:$O$258,12,FALSE))))</f>
        <v/>
      </c>
      <c r="N84" s="320" t="str">
        <f>IF(E84="","",IF(ISNA(VLOOKUP($E84,'A-1 On-Site Habitat Baseline'!$D$1:$X$258,14,FALSE)),"",(VLOOKUP($E84,'A-1 On-Site Habitat Baseline'!$D$1:$X$258,14,FALSE))))</f>
        <v/>
      </c>
      <c r="O84" s="314" t="str">
        <f>IF(E84="","",IF(ISNA(VLOOKUP($E84,'A-1 On-Site Habitat Baseline'!$D$1:$X$258,16,FALSE)),"",(VLOOKUP($E84,'A-1 On-Site Habitat Baseline'!$D$1:$X$258,13,FALSE))))</f>
        <v/>
      </c>
      <c r="P84" s="161" t="str">
        <f>IFERROR(INDEX('G-1 All Habitats'!$AG$49:$AG$63,MATCH(Q84,'G-1 All Habitats'!$AF$27:$AF$41,0)),"")</f>
        <v/>
      </c>
      <c r="Q84" s="162" t="str">
        <f t="shared" si="13"/>
        <v/>
      </c>
      <c r="R84" s="162"/>
      <c r="S84" s="252" t="str">
        <f>IFERROR(INDEX('G-1 All Habitats'!$B$3:$B$135,MATCH(R84,'G-1 All Habitats'!$A$3:$A$135,0)),"")</f>
        <v/>
      </c>
      <c r="T84" s="290" t="str">
        <f t="shared" si="14"/>
        <v/>
      </c>
      <c r="U84" s="291" t="str">
        <f t="shared" si="15"/>
        <v/>
      </c>
      <c r="V84" s="325" t="str">
        <f t="shared" si="11"/>
        <v/>
      </c>
      <c r="W84" s="310" t="str">
        <f>IF(S84="","",VLOOKUP(S84,'G-1 All Habitats'!$B$2:$M$135,10,FALSE))</f>
        <v/>
      </c>
      <c r="X84" s="310" t="str">
        <f>IFERROR(VLOOKUP(W84,'G-1 All Habitats'!$V$3:$W$7,2,FALSE),"")</f>
        <v/>
      </c>
      <c r="Y84" s="45"/>
      <c r="Z84" s="314" t="str">
        <f>IFERROR(INDEX('G-8 Condition Look up'!$A$3:$H$135,MATCH(S84,'G-8 Condition Look up'!$A$3:$A$135,0),MATCH(Y84,'G-8 Condition Look up'!$A$3:$H$3,0)),"")</f>
        <v/>
      </c>
      <c r="AA84" s="38"/>
      <c r="AB84" s="310" t="str">
        <f>IF(AA84="","",IF(VLOOKUP(AA84,'G-3 Multipliers'!$L$3:$N$6,2,FALSE)=0,"Spatial Data Missing ⚠",VLOOKUP(AA84,'G-3 Multipliers'!$L$3:$N$6,2,FALSE)))</f>
        <v/>
      </c>
      <c r="AC84" s="314" t="str">
        <f>IF(AA84="","",IF(VLOOKUP(AA84,'G-3 Multipliers'!$L$3:$N$6,3,FALSE)=0,"Spatial Data Missing ⚠",VLOOKUP(AA84,'G-3 Multipliers'!$L$3:$N$6,3,FALSE)))</f>
        <v/>
      </c>
      <c r="AD84" s="327" t="str">
        <f t="shared" si="12"/>
        <v/>
      </c>
      <c r="AE84" s="47"/>
      <c r="AF84" s="47"/>
      <c r="AG84" s="298" t="str">
        <f t="shared" si="16"/>
        <v/>
      </c>
      <c r="AH84" s="311" t="str">
        <f t="shared" si="17"/>
        <v/>
      </c>
      <c r="AI84" s="312" t="str">
        <f>IF(AH84="Check Data","Check Data",IFERROR(VLOOKUP(AH84,'G-4 Temporal multipliers'!$A$4:$C$36,3,FALSE),""))</f>
        <v/>
      </c>
      <c r="AJ84" s="290" t="str">
        <f>IF(S84="","",VLOOKUP(S84,'G-3 Multipliers'!$A$2:$E$134,4,FALSE))</f>
        <v/>
      </c>
      <c r="AK84" s="298" t="str">
        <f t="shared" si="18"/>
        <v/>
      </c>
      <c r="AL84" s="298" t="str">
        <f t="shared" si="19"/>
        <v/>
      </c>
      <c r="AM84" s="328" t="str">
        <f>IFERROR(IF(F84="","",IF(AH84="Check Data ⚠","Check Data ⚠",VLOOKUP(AL84, 'G-3 Multipliers'!$P$2:$Q$6,2,FALSE))),"")</f>
        <v/>
      </c>
      <c r="AN84" s="304" t="str">
        <f t="shared" si="20"/>
        <v/>
      </c>
      <c r="AO84" s="163"/>
      <c r="AP84" s="164"/>
      <c r="AQ84" s="101"/>
      <c r="AT84" s="20" t="str">
        <f t="shared" si="21"/>
        <v>No</v>
      </c>
      <c r="AU84" s="20" t="str">
        <f>IF(E84="","",IF(ISNA(VLOOKUP($E84,'A-1 On-Site Habitat Baseline'!$D$1:$AV$258,4,FALSE)),"",(VLOOKUP($E84,'A-1 On-Site Habitat Baseline'!$D$1:$AV$258,4,FALSE))))</f>
        <v/>
      </c>
    </row>
    <row r="85" spans="1:47" x14ac:dyDescent="0.3">
      <c r="A85" s="20" t="str">
        <f>IF(E85="","",IF(ISNA(VLOOKUP($E85,'A-1 On-Site Habitat Baseline'!$D$1:$O$258,2,FALSE)),"",(VLOOKUP($E85,'A-1 On-Site Habitat Baseline'!$D$1:$O$258,2,FALSE))))</f>
        <v/>
      </c>
      <c r="B85" s="20" t="str">
        <f>IF(E85="","",IF(ISNA(VLOOKUP($E85,'A-1 On-Site Habitat Baseline'!$D$1:$O$258,3,FALSE)),"",(VLOOKUP($E85,'A-1 On-Site Habitat Baseline'!$D$1:$O$258,3,FALSE))))</f>
        <v/>
      </c>
      <c r="C85" s="20" t="str">
        <f>IFERROR(INDEX('G-8 Condition Look up'!$I$4:$I$135,MATCH(S85,'G-8 Condition Look up'!$A$4:$A$135,0)),"")</f>
        <v/>
      </c>
      <c r="E85" s="319" t="str">
        <f>'A-1 On-Site Habitat Baseline'!AL84</f>
        <v/>
      </c>
      <c r="F85" s="310" t="str">
        <f>IF(E85="","",IF(ISNA(VLOOKUP($E85,'A-1 On-Site Habitat Baseline'!$D$1:$AV$258,45,FALSE)),"",(VLOOKUP($E85,'A-1 On-Site Habitat Baseline'!$D$1:$AV$258,45,FALSE))))</f>
        <v/>
      </c>
      <c r="G85" s="310" t="str">
        <f>IF(E85="","",IF(ISNA(VLOOKUP($E85,'A-1 On-Site Habitat Baseline'!$D$1:$O$258,5,FALSE)),"",(VLOOKUP($E85,'A-1 On-Site Habitat Baseline'!$D$1:$O$258,5,FALSE))))</f>
        <v/>
      </c>
      <c r="H85" s="310" t="str">
        <f>IF(E85="","",IF(ISNA(VLOOKUP($E85,'A-1 On-Site Habitat Baseline'!$D$1:$O$258,6,FALSE)),"",(VLOOKUP($E85,'A-1 On-Site Habitat Baseline'!$D$1:$O$258,6,FALSE))))</f>
        <v/>
      </c>
      <c r="I85" s="310" t="str">
        <f>IF(E85="","",IF(ISNA(VLOOKUP($E85,'A-1 On-Site Habitat Baseline'!$D$1:$O$258,7,FALSE)),"",(VLOOKUP($E85,'A-1 On-Site Habitat Baseline'!$D$1:$O$258,7,FALSE))))</f>
        <v/>
      </c>
      <c r="J85" s="310" t="str">
        <f>IF(E85="","",IF(ISNA(VLOOKUP($E85,'A-1 On-Site Habitat Baseline'!$D$1:$O$258,8,FALSE)),"",(VLOOKUP($E85,'A-1 On-Site Habitat Baseline'!$D$1:$O$258,8,FALSE))))</f>
        <v/>
      </c>
      <c r="K85" s="310" t="str">
        <f>IF(E85="","",IF(ISNA(VLOOKUP($E85,'A-1 On-Site Habitat Baseline'!$D$1:$O$258,9,FALSE)),"",(VLOOKUP($E85,'A-1 On-Site Habitat Baseline'!$D$1:$O$258,9,FALSE))))</f>
        <v/>
      </c>
      <c r="L85" s="310" t="str">
        <f>IF(E85="","",IF(ISNA(VLOOKUP($E85,'A-1 On-Site Habitat Baseline'!$D$1:$O$258,11,FALSE)),"",(VLOOKUP($E85,'A-1 On-Site Habitat Baseline'!$D$1:$O$258,11,FALSE))))</f>
        <v/>
      </c>
      <c r="M85" s="310" t="str">
        <f>IF(E85="","",IF(ISNA(VLOOKUP($E85,'A-1 On-Site Habitat Baseline'!$D$1:$O$258,12,FALSE)),"",(VLOOKUP($E85,'A-1 On-Site Habitat Baseline'!$D$1:$O$258,12,FALSE))))</f>
        <v/>
      </c>
      <c r="N85" s="320" t="str">
        <f>IF(E85="","",IF(ISNA(VLOOKUP($E85,'A-1 On-Site Habitat Baseline'!$D$1:$X$258,14,FALSE)),"",(VLOOKUP($E85,'A-1 On-Site Habitat Baseline'!$D$1:$X$258,14,FALSE))))</f>
        <v/>
      </c>
      <c r="O85" s="314" t="str">
        <f>IF(E85="","",IF(ISNA(VLOOKUP($E85,'A-1 On-Site Habitat Baseline'!$D$1:$X$258,16,FALSE)),"",(VLOOKUP($E85,'A-1 On-Site Habitat Baseline'!$D$1:$X$258,13,FALSE))))</f>
        <v/>
      </c>
      <c r="P85" s="161" t="str">
        <f>IFERROR(INDEX('G-1 All Habitats'!$AG$49:$AG$63,MATCH(Q85,'G-1 All Habitats'!$AF$27:$AF$41,0)),"")</f>
        <v/>
      </c>
      <c r="Q85" s="162" t="str">
        <f t="shared" si="13"/>
        <v/>
      </c>
      <c r="R85" s="162"/>
      <c r="S85" s="252" t="str">
        <f>IFERROR(INDEX('G-1 All Habitats'!$B$3:$B$135,MATCH(R85,'G-1 All Habitats'!$A$3:$A$135,0)),"")</f>
        <v/>
      </c>
      <c r="T85" s="290" t="str">
        <f t="shared" si="14"/>
        <v/>
      </c>
      <c r="U85" s="291" t="str">
        <f t="shared" si="15"/>
        <v/>
      </c>
      <c r="V85" s="325" t="str">
        <f t="shared" si="11"/>
        <v/>
      </c>
      <c r="W85" s="310" t="str">
        <f>IF(S85="","",VLOOKUP(S85,'G-1 All Habitats'!$B$2:$M$135,10,FALSE))</f>
        <v/>
      </c>
      <c r="X85" s="310" t="str">
        <f>IFERROR(VLOOKUP(W85,'G-1 All Habitats'!$V$3:$W$7,2,FALSE),"")</f>
        <v/>
      </c>
      <c r="Y85" s="45"/>
      <c r="Z85" s="314" t="str">
        <f>IFERROR(INDEX('G-8 Condition Look up'!$A$3:$H$135,MATCH(S85,'G-8 Condition Look up'!$A$3:$A$135,0),MATCH(Y85,'G-8 Condition Look up'!$A$3:$H$3,0)),"")</f>
        <v/>
      </c>
      <c r="AA85" s="38"/>
      <c r="AB85" s="310" t="str">
        <f>IF(AA85="","",IF(VLOOKUP(AA85,'G-3 Multipliers'!$L$3:$N$6,2,FALSE)=0,"Spatial Data Missing ⚠",VLOOKUP(AA85,'G-3 Multipliers'!$L$3:$N$6,2,FALSE)))</f>
        <v/>
      </c>
      <c r="AC85" s="314" t="str">
        <f>IF(AA85="","",IF(VLOOKUP(AA85,'G-3 Multipliers'!$L$3:$N$6,3,FALSE)=0,"Spatial Data Missing ⚠",VLOOKUP(AA85,'G-3 Multipliers'!$L$3:$N$6,3,FALSE)))</f>
        <v/>
      </c>
      <c r="AD85" s="327" t="str">
        <f t="shared" si="12"/>
        <v/>
      </c>
      <c r="AE85" s="47"/>
      <c r="AF85" s="47"/>
      <c r="AG85" s="298" t="str">
        <f t="shared" si="16"/>
        <v/>
      </c>
      <c r="AH85" s="311" t="str">
        <f t="shared" si="17"/>
        <v/>
      </c>
      <c r="AI85" s="312" t="str">
        <f>IF(AH85="Check Data","Check Data",IFERROR(VLOOKUP(AH85,'G-4 Temporal multipliers'!$A$4:$C$36,3,FALSE),""))</f>
        <v/>
      </c>
      <c r="AJ85" s="290" t="str">
        <f>IF(S85="","",VLOOKUP(S85,'G-3 Multipliers'!$A$2:$E$134,4,FALSE))</f>
        <v/>
      </c>
      <c r="AK85" s="298" t="str">
        <f t="shared" si="18"/>
        <v/>
      </c>
      <c r="AL85" s="298" t="str">
        <f t="shared" si="19"/>
        <v/>
      </c>
      <c r="AM85" s="328" t="str">
        <f>IFERROR(IF(F85="","",IF(AH85="Check Data ⚠","Check Data ⚠",VLOOKUP(AL85, 'G-3 Multipliers'!$P$2:$Q$6,2,FALSE))),"")</f>
        <v/>
      </c>
      <c r="AN85" s="304" t="str">
        <f t="shared" si="20"/>
        <v/>
      </c>
      <c r="AO85" s="163"/>
      <c r="AP85" s="164"/>
      <c r="AQ85" s="101"/>
      <c r="AT85" s="20" t="str">
        <f t="shared" si="21"/>
        <v>No</v>
      </c>
      <c r="AU85" s="20" t="str">
        <f>IF(E85="","",IF(ISNA(VLOOKUP($E85,'A-1 On-Site Habitat Baseline'!$D$1:$AV$258,4,FALSE)),"",(VLOOKUP($E85,'A-1 On-Site Habitat Baseline'!$D$1:$AV$258,4,FALSE))))</f>
        <v/>
      </c>
    </row>
    <row r="86" spans="1:47" x14ac:dyDescent="0.3">
      <c r="A86" s="20" t="str">
        <f>IF(E86="","",IF(ISNA(VLOOKUP($E86,'A-1 On-Site Habitat Baseline'!$D$1:$O$258,2,FALSE)),"",(VLOOKUP($E86,'A-1 On-Site Habitat Baseline'!$D$1:$O$258,2,FALSE))))</f>
        <v/>
      </c>
      <c r="B86" s="20" t="str">
        <f>IF(E86="","",IF(ISNA(VLOOKUP($E86,'A-1 On-Site Habitat Baseline'!$D$1:$O$258,3,FALSE)),"",(VLOOKUP($E86,'A-1 On-Site Habitat Baseline'!$D$1:$O$258,3,FALSE))))</f>
        <v/>
      </c>
      <c r="C86" s="20" t="str">
        <f>IFERROR(INDEX('G-8 Condition Look up'!$I$4:$I$135,MATCH(S86,'G-8 Condition Look up'!$A$4:$A$135,0)),"")</f>
        <v/>
      </c>
      <c r="E86" s="319" t="str">
        <f>'A-1 On-Site Habitat Baseline'!AL85</f>
        <v/>
      </c>
      <c r="F86" s="310" t="str">
        <f>IF(E86="","",IF(ISNA(VLOOKUP($E86,'A-1 On-Site Habitat Baseline'!$D$1:$AV$258,45,FALSE)),"",(VLOOKUP($E86,'A-1 On-Site Habitat Baseline'!$D$1:$AV$258,45,FALSE))))</f>
        <v/>
      </c>
      <c r="G86" s="310" t="str">
        <f>IF(E86="","",IF(ISNA(VLOOKUP($E86,'A-1 On-Site Habitat Baseline'!$D$1:$O$258,5,FALSE)),"",(VLOOKUP($E86,'A-1 On-Site Habitat Baseline'!$D$1:$O$258,5,FALSE))))</f>
        <v/>
      </c>
      <c r="H86" s="310" t="str">
        <f>IF(E86="","",IF(ISNA(VLOOKUP($E86,'A-1 On-Site Habitat Baseline'!$D$1:$O$258,6,FALSE)),"",(VLOOKUP($E86,'A-1 On-Site Habitat Baseline'!$D$1:$O$258,6,FALSE))))</f>
        <v/>
      </c>
      <c r="I86" s="310" t="str">
        <f>IF(E86="","",IF(ISNA(VLOOKUP($E86,'A-1 On-Site Habitat Baseline'!$D$1:$O$258,7,FALSE)),"",(VLOOKUP($E86,'A-1 On-Site Habitat Baseline'!$D$1:$O$258,7,FALSE))))</f>
        <v/>
      </c>
      <c r="J86" s="310" t="str">
        <f>IF(E86="","",IF(ISNA(VLOOKUP($E86,'A-1 On-Site Habitat Baseline'!$D$1:$O$258,8,FALSE)),"",(VLOOKUP($E86,'A-1 On-Site Habitat Baseline'!$D$1:$O$258,8,FALSE))))</f>
        <v/>
      </c>
      <c r="K86" s="310" t="str">
        <f>IF(E86="","",IF(ISNA(VLOOKUP($E86,'A-1 On-Site Habitat Baseline'!$D$1:$O$258,9,FALSE)),"",(VLOOKUP($E86,'A-1 On-Site Habitat Baseline'!$D$1:$O$258,9,FALSE))))</f>
        <v/>
      </c>
      <c r="L86" s="310" t="str">
        <f>IF(E86="","",IF(ISNA(VLOOKUP($E86,'A-1 On-Site Habitat Baseline'!$D$1:$O$258,11,FALSE)),"",(VLOOKUP($E86,'A-1 On-Site Habitat Baseline'!$D$1:$O$258,11,FALSE))))</f>
        <v/>
      </c>
      <c r="M86" s="310" t="str">
        <f>IF(E86="","",IF(ISNA(VLOOKUP($E86,'A-1 On-Site Habitat Baseline'!$D$1:$O$258,12,FALSE)),"",(VLOOKUP($E86,'A-1 On-Site Habitat Baseline'!$D$1:$O$258,12,FALSE))))</f>
        <v/>
      </c>
      <c r="N86" s="320" t="str">
        <f>IF(E86="","",IF(ISNA(VLOOKUP($E86,'A-1 On-Site Habitat Baseline'!$D$1:$X$258,14,FALSE)),"",(VLOOKUP($E86,'A-1 On-Site Habitat Baseline'!$D$1:$X$258,14,FALSE))))</f>
        <v/>
      </c>
      <c r="O86" s="314" t="str">
        <f>IF(E86="","",IF(ISNA(VLOOKUP($E86,'A-1 On-Site Habitat Baseline'!$D$1:$X$258,16,FALSE)),"",(VLOOKUP($E86,'A-1 On-Site Habitat Baseline'!$D$1:$X$258,13,FALSE))))</f>
        <v/>
      </c>
      <c r="P86" s="161" t="str">
        <f>IFERROR(INDEX('G-1 All Habitats'!$AG$49:$AG$63,MATCH(Q86,'G-1 All Habitats'!$AF$27:$AF$41,0)),"")</f>
        <v/>
      </c>
      <c r="Q86" s="162" t="str">
        <f t="shared" si="13"/>
        <v/>
      </c>
      <c r="R86" s="162"/>
      <c r="S86" s="252" t="str">
        <f>IFERROR(INDEX('G-1 All Habitats'!$B$3:$B$135,MATCH(R86,'G-1 All Habitats'!$A$3:$A$135,0)),"")</f>
        <v/>
      </c>
      <c r="T86" s="290" t="str">
        <f t="shared" si="14"/>
        <v/>
      </c>
      <c r="U86" s="291" t="str">
        <f t="shared" si="15"/>
        <v/>
      </c>
      <c r="V86" s="325" t="str">
        <f t="shared" si="11"/>
        <v/>
      </c>
      <c r="W86" s="310" t="str">
        <f>IF(S86="","",VLOOKUP(S86,'G-1 All Habitats'!$B$2:$M$135,10,FALSE))</f>
        <v/>
      </c>
      <c r="X86" s="310" t="str">
        <f>IFERROR(VLOOKUP(W86,'G-1 All Habitats'!$V$3:$W$7,2,FALSE),"")</f>
        <v/>
      </c>
      <c r="Y86" s="45"/>
      <c r="Z86" s="314" t="str">
        <f>IFERROR(INDEX('G-8 Condition Look up'!$A$3:$H$135,MATCH(S86,'G-8 Condition Look up'!$A$3:$A$135,0),MATCH(Y86,'G-8 Condition Look up'!$A$3:$H$3,0)),"")</f>
        <v/>
      </c>
      <c r="AA86" s="38"/>
      <c r="AB86" s="310" t="str">
        <f>IF(AA86="","",IF(VLOOKUP(AA86,'G-3 Multipliers'!$L$3:$N$6,2,FALSE)=0,"Spatial Data Missing ⚠",VLOOKUP(AA86,'G-3 Multipliers'!$L$3:$N$6,2,FALSE)))</f>
        <v/>
      </c>
      <c r="AC86" s="314" t="str">
        <f>IF(AA86="","",IF(VLOOKUP(AA86,'G-3 Multipliers'!$L$3:$N$6,3,FALSE)=0,"Spatial Data Missing ⚠",VLOOKUP(AA86,'G-3 Multipliers'!$L$3:$N$6,3,FALSE)))</f>
        <v/>
      </c>
      <c r="AD86" s="327" t="str">
        <f t="shared" si="12"/>
        <v/>
      </c>
      <c r="AE86" s="47"/>
      <c r="AF86" s="47"/>
      <c r="AG86" s="298" t="str">
        <f t="shared" si="16"/>
        <v/>
      </c>
      <c r="AH86" s="311" t="str">
        <f t="shared" si="17"/>
        <v/>
      </c>
      <c r="AI86" s="312" t="str">
        <f>IF(AH86="Check Data","Check Data",IFERROR(VLOOKUP(AH86,'G-4 Temporal multipliers'!$A$4:$C$36,3,FALSE),""))</f>
        <v/>
      </c>
      <c r="AJ86" s="290" t="str">
        <f>IF(S86="","",VLOOKUP(S86,'G-3 Multipliers'!$A$2:$E$134,4,FALSE))</f>
        <v/>
      </c>
      <c r="AK86" s="298" t="str">
        <f t="shared" si="18"/>
        <v/>
      </c>
      <c r="AL86" s="298" t="str">
        <f t="shared" si="19"/>
        <v/>
      </c>
      <c r="AM86" s="328" t="str">
        <f>IFERROR(IF(F86="","",IF(AH86="Check Data ⚠","Check Data ⚠",VLOOKUP(AL86, 'G-3 Multipliers'!$P$2:$Q$6,2,FALSE))),"")</f>
        <v/>
      </c>
      <c r="AN86" s="304" t="str">
        <f t="shared" si="20"/>
        <v/>
      </c>
      <c r="AO86" s="163"/>
      <c r="AP86" s="164"/>
      <c r="AQ86" s="101"/>
      <c r="AT86" s="20" t="str">
        <f t="shared" si="21"/>
        <v>No</v>
      </c>
      <c r="AU86" s="20" t="str">
        <f>IF(E86="","",IF(ISNA(VLOOKUP($E86,'A-1 On-Site Habitat Baseline'!$D$1:$AV$258,4,FALSE)),"",(VLOOKUP($E86,'A-1 On-Site Habitat Baseline'!$D$1:$AV$258,4,FALSE))))</f>
        <v/>
      </c>
    </row>
    <row r="87" spans="1:47" x14ac:dyDescent="0.3">
      <c r="A87" s="20" t="str">
        <f>IF(E87="","",IF(ISNA(VLOOKUP($E87,'A-1 On-Site Habitat Baseline'!$D$1:$O$258,2,FALSE)),"",(VLOOKUP($E87,'A-1 On-Site Habitat Baseline'!$D$1:$O$258,2,FALSE))))</f>
        <v/>
      </c>
      <c r="B87" s="20" t="str">
        <f>IF(E87="","",IF(ISNA(VLOOKUP($E87,'A-1 On-Site Habitat Baseline'!$D$1:$O$258,3,FALSE)),"",(VLOOKUP($E87,'A-1 On-Site Habitat Baseline'!$D$1:$O$258,3,FALSE))))</f>
        <v/>
      </c>
      <c r="C87" s="20" t="str">
        <f>IFERROR(INDEX('G-8 Condition Look up'!$I$4:$I$135,MATCH(S87,'G-8 Condition Look up'!$A$4:$A$135,0)),"")</f>
        <v/>
      </c>
      <c r="E87" s="319" t="str">
        <f>'A-1 On-Site Habitat Baseline'!AL86</f>
        <v/>
      </c>
      <c r="F87" s="310" t="str">
        <f>IF(E87="","",IF(ISNA(VLOOKUP($E87,'A-1 On-Site Habitat Baseline'!$D$1:$AV$258,45,FALSE)),"",(VLOOKUP($E87,'A-1 On-Site Habitat Baseline'!$D$1:$AV$258,45,FALSE))))</f>
        <v/>
      </c>
      <c r="G87" s="310" t="str">
        <f>IF(E87="","",IF(ISNA(VLOOKUP($E87,'A-1 On-Site Habitat Baseline'!$D$1:$O$258,5,FALSE)),"",(VLOOKUP($E87,'A-1 On-Site Habitat Baseline'!$D$1:$O$258,5,FALSE))))</f>
        <v/>
      </c>
      <c r="H87" s="310" t="str">
        <f>IF(E87="","",IF(ISNA(VLOOKUP($E87,'A-1 On-Site Habitat Baseline'!$D$1:$O$258,6,FALSE)),"",(VLOOKUP($E87,'A-1 On-Site Habitat Baseline'!$D$1:$O$258,6,FALSE))))</f>
        <v/>
      </c>
      <c r="I87" s="310" t="str">
        <f>IF(E87="","",IF(ISNA(VLOOKUP($E87,'A-1 On-Site Habitat Baseline'!$D$1:$O$258,7,FALSE)),"",(VLOOKUP($E87,'A-1 On-Site Habitat Baseline'!$D$1:$O$258,7,FALSE))))</f>
        <v/>
      </c>
      <c r="J87" s="310" t="str">
        <f>IF(E87="","",IF(ISNA(VLOOKUP($E87,'A-1 On-Site Habitat Baseline'!$D$1:$O$258,8,FALSE)),"",(VLOOKUP($E87,'A-1 On-Site Habitat Baseline'!$D$1:$O$258,8,FALSE))))</f>
        <v/>
      </c>
      <c r="K87" s="310" t="str">
        <f>IF(E87="","",IF(ISNA(VLOOKUP($E87,'A-1 On-Site Habitat Baseline'!$D$1:$O$258,9,FALSE)),"",(VLOOKUP($E87,'A-1 On-Site Habitat Baseline'!$D$1:$O$258,9,FALSE))))</f>
        <v/>
      </c>
      <c r="L87" s="310" t="str">
        <f>IF(E87="","",IF(ISNA(VLOOKUP($E87,'A-1 On-Site Habitat Baseline'!$D$1:$O$258,11,FALSE)),"",(VLOOKUP($E87,'A-1 On-Site Habitat Baseline'!$D$1:$O$258,11,FALSE))))</f>
        <v/>
      </c>
      <c r="M87" s="310" t="str">
        <f>IF(E87="","",IF(ISNA(VLOOKUP($E87,'A-1 On-Site Habitat Baseline'!$D$1:$O$258,12,FALSE)),"",(VLOOKUP($E87,'A-1 On-Site Habitat Baseline'!$D$1:$O$258,12,FALSE))))</f>
        <v/>
      </c>
      <c r="N87" s="320" t="str">
        <f>IF(E87="","",IF(ISNA(VLOOKUP($E87,'A-1 On-Site Habitat Baseline'!$D$1:$X$258,14,FALSE)),"",(VLOOKUP($E87,'A-1 On-Site Habitat Baseline'!$D$1:$X$258,14,FALSE))))</f>
        <v/>
      </c>
      <c r="O87" s="314" t="str">
        <f>IF(E87="","",IF(ISNA(VLOOKUP($E87,'A-1 On-Site Habitat Baseline'!$D$1:$X$258,16,FALSE)),"",(VLOOKUP($E87,'A-1 On-Site Habitat Baseline'!$D$1:$X$258,13,FALSE))))</f>
        <v/>
      </c>
      <c r="P87" s="161" t="str">
        <f>IFERROR(INDEX('G-1 All Habitats'!$AG$49:$AG$63,MATCH(Q87,'G-1 All Habitats'!$AF$27:$AF$41,0)),"")</f>
        <v/>
      </c>
      <c r="Q87" s="162" t="str">
        <f t="shared" si="13"/>
        <v/>
      </c>
      <c r="R87" s="162"/>
      <c r="S87" s="252" t="str">
        <f>IFERROR(INDEX('G-1 All Habitats'!$B$3:$B$135,MATCH(R87,'G-1 All Habitats'!$A$3:$A$135,0)),"")</f>
        <v/>
      </c>
      <c r="T87" s="290" t="str">
        <f t="shared" si="14"/>
        <v/>
      </c>
      <c r="U87" s="291" t="str">
        <f t="shared" si="15"/>
        <v/>
      </c>
      <c r="V87" s="325" t="str">
        <f t="shared" si="11"/>
        <v/>
      </c>
      <c r="W87" s="310" t="str">
        <f>IF(S87="","",VLOOKUP(S87,'G-1 All Habitats'!$B$2:$M$135,10,FALSE))</f>
        <v/>
      </c>
      <c r="X87" s="310" t="str">
        <f>IFERROR(VLOOKUP(W87,'G-1 All Habitats'!$V$3:$W$7,2,FALSE),"")</f>
        <v/>
      </c>
      <c r="Y87" s="45"/>
      <c r="Z87" s="314" t="str">
        <f>IFERROR(INDEX('G-8 Condition Look up'!$A$3:$H$135,MATCH(S87,'G-8 Condition Look up'!$A$3:$A$135,0),MATCH(Y87,'G-8 Condition Look up'!$A$3:$H$3,0)),"")</f>
        <v/>
      </c>
      <c r="AA87" s="38"/>
      <c r="AB87" s="310" t="str">
        <f>IF(AA87="","",IF(VLOOKUP(AA87,'G-3 Multipliers'!$L$3:$N$6,2,FALSE)=0,"Spatial Data Missing ⚠",VLOOKUP(AA87,'G-3 Multipliers'!$L$3:$N$6,2,FALSE)))</f>
        <v/>
      </c>
      <c r="AC87" s="314" t="str">
        <f>IF(AA87="","",IF(VLOOKUP(AA87,'G-3 Multipliers'!$L$3:$N$6,3,FALSE)=0,"Spatial Data Missing ⚠",VLOOKUP(AA87,'G-3 Multipliers'!$L$3:$N$6,3,FALSE)))</f>
        <v/>
      </c>
      <c r="AD87" s="327" t="str">
        <f t="shared" si="12"/>
        <v/>
      </c>
      <c r="AE87" s="47"/>
      <c r="AF87" s="47"/>
      <c r="AG87" s="298" t="str">
        <f t="shared" si="16"/>
        <v/>
      </c>
      <c r="AH87" s="311" t="str">
        <f t="shared" si="17"/>
        <v/>
      </c>
      <c r="AI87" s="312" t="str">
        <f>IF(AH87="Check Data","Check Data",IFERROR(VLOOKUP(AH87,'G-4 Temporal multipliers'!$A$4:$C$36,3,FALSE),""))</f>
        <v/>
      </c>
      <c r="AJ87" s="290" t="str">
        <f>IF(S87="","",VLOOKUP(S87,'G-3 Multipliers'!$A$2:$E$134,4,FALSE))</f>
        <v/>
      </c>
      <c r="AK87" s="298" t="str">
        <f t="shared" si="18"/>
        <v/>
      </c>
      <c r="AL87" s="298" t="str">
        <f t="shared" si="19"/>
        <v/>
      </c>
      <c r="AM87" s="328" t="str">
        <f>IFERROR(IF(F87="","",IF(AH87="Check Data ⚠","Check Data ⚠",VLOOKUP(AL87, 'G-3 Multipliers'!$P$2:$Q$6,2,FALSE))),"")</f>
        <v/>
      </c>
      <c r="AN87" s="304" t="str">
        <f t="shared" si="20"/>
        <v/>
      </c>
      <c r="AO87" s="163"/>
      <c r="AP87" s="164"/>
      <c r="AQ87" s="101"/>
      <c r="AT87" s="20" t="str">
        <f t="shared" si="21"/>
        <v>No</v>
      </c>
      <c r="AU87" s="20" t="str">
        <f>IF(E87="","",IF(ISNA(VLOOKUP($E87,'A-1 On-Site Habitat Baseline'!$D$1:$AV$258,4,FALSE)),"",(VLOOKUP($E87,'A-1 On-Site Habitat Baseline'!$D$1:$AV$258,4,FALSE))))</f>
        <v/>
      </c>
    </row>
    <row r="88" spans="1:47" x14ac:dyDescent="0.3">
      <c r="A88" s="20" t="str">
        <f>IF(E88="","",IF(ISNA(VLOOKUP($E88,'A-1 On-Site Habitat Baseline'!$D$1:$O$258,2,FALSE)),"",(VLOOKUP($E88,'A-1 On-Site Habitat Baseline'!$D$1:$O$258,2,FALSE))))</f>
        <v/>
      </c>
      <c r="B88" s="20" t="str">
        <f>IF(E88="","",IF(ISNA(VLOOKUP($E88,'A-1 On-Site Habitat Baseline'!$D$1:$O$258,3,FALSE)),"",(VLOOKUP($E88,'A-1 On-Site Habitat Baseline'!$D$1:$O$258,3,FALSE))))</f>
        <v/>
      </c>
      <c r="C88" s="20" t="str">
        <f>IFERROR(INDEX('G-8 Condition Look up'!$I$4:$I$135,MATCH(S88,'G-8 Condition Look up'!$A$4:$A$135,0)),"")</f>
        <v/>
      </c>
      <c r="E88" s="319" t="str">
        <f>'A-1 On-Site Habitat Baseline'!AL87</f>
        <v/>
      </c>
      <c r="F88" s="310" t="str">
        <f>IF(E88="","",IF(ISNA(VLOOKUP($E88,'A-1 On-Site Habitat Baseline'!$D$1:$AV$258,45,FALSE)),"",(VLOOKUP($E88,'A-1 On-Site Habitat Baseline'!$D$1:$AV$258,45,FALSE))))</f>
        <v/>
      </c>
      <c r="G88" s="310" t="str">
        <f>IF(E88="","",IF(ISNA(VLOOKUP($E88,'A-1 On-Site Habitat Baseline'!$D$1:$O$258,5,FALSE)),"",(VLOOKUP($E88,'A-1 On-Site Habitat Baseline'!$D$1:$O$258,5,FALSE))))</f>
        <v/>
      </c>
      <c r="H88" s="310" t="str">
        <f>IF(E88="","",IF(ISNA(VLOOKUP($E88,'A-1 On-Site Habitat Baseline'!$D$1:$O$258,6,FALSE)),"",(VLOOKUP($E88,'A-1 On-Site Habitat Baseline'!$D$1:$O$258,6,FALSE))))</f>
        <v/>
      </c>
      <c r="I88" s="310" t="str">
        <f>IF(E88="","",IF(ISNA(VLOOKUP($E88,'A-1 On-Site Habitat Baseline'!$D$1:$O$258,7,FALSE)),"",(VLOOKUP($E88,'A-1 On-Site Habitat Baseline'!$D$1:$O$258,7,FALSE))))</f>
        <v/>
      </c>
      <c r="J88" s="310" t="str">
        <f>IF(E88="","",IF(ISNA(VLOOKUP($E88,'A-1 On-Site Habitat Baseline'!$D$1:$O$258,8,FALSE)),"",(VLOOKUP($E88,'A-1 On-Site Habitat Baseline'!$D$1:$O$258,8,FALSE))))</f>
        <v/>
      </c>
      <c r="K88" s="310" t="str">
        <f>IF(E88="","",IF(ISNA(VLOOKUP($E88,'A-1 On-Site Habitat Baseline'!$D$1:$O$258,9,FALSE)),"",(VLOOKUP($E88,'A-1 On-Site Habitat Baseline'!$D$1:$O$258,9,FALSE))))</f>
        <v/>
      </c>
      <c r="L88" s="310" t="str">
        <f>IF(E88="","",IF(ISNA(VLOOKUP($E88,'A-1 On-Site Habitat Baseline'!$D$1:$O$258,11,FALSE)),"",(VLOOKUP($E88,'A-1 On-Site Habitat Baseline'!$D$1:$O$258,11,FALSE))))</f>
        <v/>
      </c>
      <c r="M88" s="310" t="str">
        <f>IF(E88="","",IF(ISNA(VLOOKUP($E88,'A-1 On-Site Habitat Baseline'!$D$1:$O$258,12,FALSE)),"",(VLOOKUP($E88,'A-1 On-Site Habitat Baseline'!$D$1:$O$258,12,FALSE))))</f>
        <v/>
      </c>
      <c r="N88" s="320" t="str">
        <f>IF(E88="","",IF(ISNA(VLOOKUP($E88,'A-1 On-Site Habitat Baseline'!$D$1:$X$258,14,FALSE)),"",(VLOOKUP($E88,'A-1 On-Site Habitat Baseline'!$D$1:$X$258,14,FALSE))))</f>
        <v/>
      </c>
      <c r="O88" s="314" t="str">
        <f>IF(E88="","",IF(ISNA(VLOOKUP($E88,'A-1 On-Site Habitat Baseline'!$D$1:$X$258,16,FALSE)),"",(VLOOKUP($E88,'A-1 On-Site Habitat Baseline'!$D$1:$X$258,13,FALSE))))</f>
        <v/>
      </c>
      <c r="P88" s="161" t="str">
        <f>IFERROR(INDEX('G-1 All Habitats'!$AG$49:$AG$63,MATCH(Q88,'G-1 All Habitats'!$AF$27:$AF$41,0)),"")</f>
        <v/>
      </c>
      <c r="Q88" s="162" t="str">
        <f t="shared" si="13"/>
        <v/>
      </c>
      <c r="R88" s="162"/>
      <c r="S88" s="252" t="str">
        <f>IFERROR(INDEX('G-1 All Habitats'!$B$3:$B$135,MATCH(R88,'G-1 All Habitats'!$A$3:$A$135,0)),"")</f>
        <v/>
      </c>
      <c r="T88" s="290" t="str">
        <f t="shared" si="14"/>
        <v/>
      </c>
      <c r="U88" s="291" t="str">
        <f t="shared" si="15"/>
        <v/>
      </c>
      <c r="V88" s="325" t="str">
        <f t="shared" si="11"/>
        <v/>
      </c>
      <c r="W88" s="310" t="str">
        <f>IF(S88="","",VLOOKUP(S88,'G-1 All Habitats'!$B$2:$M$135,10,FALSE))</f>
        <v/>
      </c>
      <c r="X88" s="310" t="str">
        <f>IFERROR(VLOOKUP(W88,'G-1 All Habitats'!$V$3:$W$7,2,FALSE),"")</f>
        <v/>
      </c>
      <c r="Y88" s="45"/>
      <c r="Z88" s="314" t="str">
        <f>IFERROR(INDEX('G-8 Condition Look up'!$A$3:$H$135,MATCH(S88,'G-8 Condition Look up'!$A$3:$A$135,0),MATCH(Y88,'G-8 Condition Look up'!$A$3:$H$3,0)),"")</f>
        <v/>
      </c>
      <c r="AA88" s="38"/>
      <c r="AB88" s="310" t="str">
        <f>IF(AA88="","",IF(VLOOKUP(AA88,'G-3 Multipliers'!$L$3:$N$6,2,FALSE)=0,"Spatial Data Missing ⚠",VLOOKUP(AA88,'G-3 Multipliers'!$L$3:$N$6,2,FALSE)))</f>
        <v/>
      </c>
      <c r="AC88" s="314" t="str">
        <f>IF(AA88="","",IF(VLOOKUP(AA88,'G-3 Multipliers'!$L$3:$N$6,3,FALSE)=0,"Spatial Data Missing ⚠",VLOOKUP(AA88,'G-3 Multipliers'!$L$3:$N$6,3,FALSE)))</f>
        <v/>
      </c>
      <c r="AD88" s="327" t="str">
        <f t="shared" si="12"/>
        <v/>
      </c>
      <c r="AE88" s="47"/>
      <c r="AF88" s="47"/>
      <c r="AG88" s="298" t="str">
        <f t="shared" si="16"/>
        <v/>
      </c>
      <c r="AH88" s="311" t="str">
        <f t="shared" si="17"/>
        <v/>
      </c>
      <c r="AI88" s="312" t="str">
        <f>IF(AH88="Check Data","Check Data",IFERROR(VLOOKUP(AH88,'G-4 Temporal multipliers'!$A$4:$C$36,3,FALSE),""))</f>
        <v/>
      </c>
      <c r="AJ88" s="290" t="str">
        <f>IF(S88="","",VLOOKUP(S88,'G-3 Multipliers'!$A$2:$E$134,4,FALSE))</f>
        <v/>
      </c>
      <c r="AK88" s="298" t="str">
        <f t="shared" si="18"/>
        <v/>
      </c>
      <c r="AL88" s="298" t="str">
        <f t="shared" si="19"/>
        <v/>
      </c>
      <c r="AM88" s="328" t="str">
        <f>IFERROR(IF(F88="","",IF(AH88="Check Data ⚠","Check Data ⚠",VLOOKUP(AL88, 'G-3 Multipliers'!$P$2:$Q$6,2,FALSE))),"")</f>
        <v/>
      </c>
      <c r="AN88" s="304" t="str">
        <f t="shared" si="20"/>
        <v/>
      </c>
      <c r="AO88" s="163"/>
      <c r="AP88" s="164"/>
      <c r="AQ88" s="101"/>
      <c r="AT88" s="20" t="str">
        <f t="shared" si="21"/>
        <v>No</v>
      </c>
      <c r="AU88" s="20" t="str">
        <f>IF(E88="","",IF(ISNA(VLOOKUP($E88,'A-1 On-Site Habitat Baseline'!$D$1:$AV$258,4,FALSE)),"",(VLOOKUP($E88,'A-1 On-Site Habitat Baseline'!$D$1:$AV$258,4,FALSE))))</f>
        <v/>
      </c>
    </row>
    <row r="89" spans="1:47" x14ac:dyDescent="0.3">
      <c r="A89" s="20" t="str">
        <f>IF(E89="","",IF(ISNA(VLOOKUP($E89,'A-1 On-Site Habitat Baseline'!$D$1:$O$258,2,FALSE)),"",(VLOOKUP($E89,'A-1 On-Site Habitat Baseline'!$D$1:$O$258,2,FALSE))))</f>
        <v/>
      </c>
      <c r="B89" s="20" t="str">
        <f>IF(E89="","",IF(ISNA(VLOOKUP($E89,'A-1 On-Site Habitat Baseline'!$D$1:$O$258,3,FALSE)),"",(VLOOKUP($E89,'A-1 On-Site Habitat Baseline'!$D$1:$O$258,3,FALSE))))</f>
        <v/>
      </c>
      <c r="C89" s="20" t="str">
        <f>IFERROR(INDEX('G-8 Condition Look up'!$I$4:$I$135,MATCH(S89,'G-8 Condition Look up'!$A$4:$A$135,0)),"")</f>
        <v/>
      </c>
      <c r="E89" s="319" t="str">
        <f>'A-1 On-Site Habitat Baseline'!AL88</f>
        <v/>
      </c>
      <c r="F89" s="310" t="str">
        <f>IF(E89="","",IF(ISNA(VLOOKUP($E89,'A-1 On-Site Habitat Baseline'!$D$1:$AV$258,45,FALSE)),"",(VLOOKUP($E89,'A-1 On-Site Habitat Baseline'!$D$1:$AV$258,45,FALSE))))</f>
        <v/>
      </c>
      <c r="G89" s="310" t="str">
        <f>IF(E89="","",IF(ISNA(VLOOKUP($E89,'A-1 On-Site Habitat Baseline'!$D$1:$O$258,5,FALSE)),"",(VLOOKUP($E89,'A-1 On-Site Habitat Baseline'!$D$1:$O$258,5,FALSE))))</f>
        <v/>
      </c>
      <c r="H89" s="310" t="str">
        <f>IF(E89="","",IF(ISNA(VLOOKUP($E89,'A-1 On-Site Habitat Baseline'!$D$1:$O$258,6,FALSE)),"",(VLOOKUP($E89,'A-1 On-Site Habitat Baseline'!$D$1:$O$258,6,FALSE))))</f>
        <v/>
      </c>
      <c r="I89" s="310" t="str">
        <f>IF(E89="","",IF(ISNA(VLOOKUP($E89,'A-1 On-Site Habitat Baseline'!$D$1:$O$258,7,FALSE)),"",(VLOOKUP($E89,'A-1 On-Site Habitat Baseline'!$D$1:$O$258,7,FALSE))))</f>
        <v/>
      </c>
      <c r="J89" s="310" t="str">
        <f>IF(E89="","",IF(ISNA(VLOOKUP($E89,'A-1 On-Site Habitat Baseline'!$D$1:$O$258,8,FALSE)),"",(VLOOKUP($E89,'A-1 On-Site Habitat Baseline'!$D$1:$O$258,8,FALSE))))</f>
        <v/>
      </c>
      <c r="K89" s="310" t="str">
        <f>IF(E89="","",IF(ISNA(VLOOKUP($E89,'A-1 On-Site Habitat Baseline'!$D$1:$O$258,9,FALSE)),"",(VLOOKUP($E89,'A-1 On-Site Habitat Baseline'!$D$1:$O$258,9,FALSE))))</f>
        <v/>
      </c>
      <c r="L89" s="310" t="str">
        <f>IF(E89="","",IF(ISNA(VLOOKUP($E89,'A-1 On-Site Habitat Baseline'!$D$1:$O$258,11,FALSE)),"",(VLOOKUP($E89,'A-1 On-Site Habitat Baseline'!$D$1:$O$258,11,FALSE))))</f>
        <v/>
      </c>
      <c r="M89" s="310" t="str">
        <f>IF(E89="","",IF(ISNA(VLOOKUP($E89,'A-1 On-Site Habitat Baseline'!$D$1:$O$258,12,FALSE)),"",(VLOOKUP($E89,'A-1 On-Site Habitat Baseline'!$D$1:$O$258,12,FALSE))))</f>
        <v/>
      </c>
      <c r="N89" s="320" t="str">
        <f>IF(E89="","",IF(ISNA(VLOOKUP($E89,'A-1 On-Site Habitat Baseline'!$D$1:$X$258,14,FALSE)),"",(VLOOKUP($E89,'A-1 On-Site Habitat Baseline'!$D$1:$X$258,14,FALSE))))</f>
        <v/>
      </c>
      <c r="O89" s="314" t="str">
        <f>IF(E89="","",IF(ISNA(VLOOKUP($E89,'A-1 On-Site Habitat Baseline'!$D$1:$X$258,16,FALSE)),"",(VLOOKUP($E89,'A-1 On-Site Habitat Baseline'!$D$1:$X$258,13,FALSE))))</f>
        <v/>
      </c>
      <c r="P89" s="161" t="str">
        <f>IFERROR(INDEX('G-1 All Habitats'!$AG$49:$AG$63,MATCH(Q89,'G-1 All Habitats'!$AF$27:$AF$41,0)),"")</f>
        <v/>
      </c>
      <c r="Q89" s="162" t="str">
        <f t="shared" si="13"/>
        <v/>
      </c>
      <c r="R89" s="162"/>
      <c r="S89" s="252" t="str">
        <f>IFERROR(INDEX('G-1 All Habitats'!$B$3:$B$135,MATCH(R89,'G-1 All Habitats'!$A$3:$A$135,0)),"")</f>
        <v/>
      </c>
      <c r="T89" s="290" t="str">
        <f t="shared" si="14"/>
        <v/>
      </c>
      <c r="U89" s="291" t="str">
        <f t="shared" si="15"/>
        <v/>
      </c>
      <c r="V89" s="325" t="str">
        <f t="shared" si="11"/>
        <v/>
      </c>
      <c r="W89" s="310" t="str">
        <f>IF(S89="","",VLOOKUP(S89,'G-1 All Habitats'!$B$2:$M$135,10,FALSE))</f>
        <v/>
      </c>
      <c r="X89" s="310" t="str">
        <f>IFERROR(VLOOKUP(W89,'G-1 All Habitats'!$V$3:$W$7,2,FALSE),"")</f>
        <v/>
      </c>
      <c r="Y89" s="45"/>
      <c r="Z89" s="314" t="str">
        <f>IFERROR(INDEX('G-8 Condition Look up'!$A$3:$H$135,MATCH(S89,'G-8 Condition Look up'!$A$3:$A$135,0),MATCH(Y89,'G-8 Condition Look up'!$A$3:$H$3,0)),"")</f>
        <v/>
      </c>
      <c r="AA89" s="38"/>
      <c r="AB89" s="310" t="str">
        <f>IF(AA89="","",IF(VLOOKUP(AA89,'G-3 Multipliers'!$L$3:$N$6,2,FALSE)=0,"Spatial Data Missing ⚠",VLOOKUP(AA89,'G-3 Multipliers'!$L$3:$N$6,2,FALSE)))</f>
        <v/>
      </c>
      <c r="AC89" s="314" t="str">
        <f>IF(AA89="","",IF(VLOOKUP(AA89,'G-3 Multipliers'!$L$3:$N$6,3,FALSE)=0,"Spatial Data Missing ⚠",VLOOKUP(AA89,'G-3 Multipliers'!$L$3:$N$6,3,FALSE)))</f>
        <v/>
      </c>
      <c r="AD89" s="327" t="str">
        <f t="shared" si="12"/>
        <v/>
      </c>
      <c r="AE89" s="47"/>
      <c r="AF89" s="47"/>
      <c r="AG89" s="298" t="str">
        <f t="shared" si="16"/>
        <v/>
      </c>
      <c r="AH89" s="311" t="str">
        <f t="shared" si="17"/>
        <v/>
      </c>
      <c r="AI89" s="312" t="str">
        <f>IF(AH89="Check Data","Check Data",IFERROR(VLOOKUP(AH89,'G-4 Temporal multipliers'!$A$4:$C$36,3,FALSE),""))</f>
        <v/>
      </c>
      <c r="AJ89" s="290" t="str">
        <f>IF(S89="","",VLOOKUP(S89,'G-3 Multipliers'!$A$2:$E$134,4,FALSE))</f>
        <v/>
      </c>
      <c r="AK89" s="298" t="str">
        <f t="shared" si="18"/>
        <v/>
      </c>
      <c r="AL89" s="298" t="str">
        <f t="shared" si="19"/>
        <v/>
      </c>
      <c r="AM89" s="328" t="str">
        <f>IFERROR(IF(F89="","",IF(AH89="Check Data ⚠","Check Data ⚠",VLOOKUP(AL89, 'G-3 Multipliers'!$P$2:$Q$6,2,FALSE))),"")</f>
        <v/>
      </c>
      <c r="AN89" s="304" t="str">
        <f t="shared" si="20"/>
        <v/>
      </c>
      <c r="AO89" s="163"/>
      <c r="AP89" s="164"/>
      <c r="AQ89" s="101"/>
      <c r="AT89" s="20" t="str">
        <f t="shared" si="21"/>
        <v>No</v>
      </c>
      <c r="AU89" s="20" t="str">
        <f>IF(E89="","",IF(ISNA(VLOOKUP($E89,'A-1 On-Site Habitat Baseline'!$D$1:$AV$258,4,FALSE)),"",(VLOOKUP($E89,'A-1 On-Site Habitat Baseline'!$D$1:$AV$258,4,FALSE))))</f>
        <v/>
      </c>
    </row>
    <row r="90" spans="1:47" x14ac:dyDescent="0.3">
      <c r="A90" s="20" t="str">
        <f>IF(E90="","",IF(ISNA(VLOOKUP($E90,'A-1 On-Site Habitat Baseline'!$D$1:$O$258,2,FALSE)),"",(VLOOKUP($E90,'A-1 On-Site Habitat Baseline'!$D$1:$O$258,2,FALSE))))</f>
        <v/>
      </c>
      <c r="B90" s="20" t="str">
        <f>IF(E90="","",IF(ISNA(VLOOKUP($E90,'A-1 On-Site Habitat Baseline'!$D$1:$O$258,3,FALSE)),"",(VLOOKUP($E90,'A-1 On-Site Habitat Baseline'!$D$1:$O$258,3,FALSE))))</f>
        <v/>
      </c>
      <c r="C90" s="20" t="str">
        <f>IFERROR(INDEX('G-8 Condition Look up'!$I$4:$I$135,MATCH(S90,'G-8 Condition Look up'!$A$4:$A$135,0)),"")</f>
        <v/>
      </c>
      <c r="E90" s="319" t="str">
        <f>'A-1 On-Site Habitat Baseline'!AL89</f>
        <v/>
      </c>
      <c r="F90" s="310" t="str">
        <f>IF(E90="","",IF(ISNA(VLOOKUP($E90,'A-1 On-Site Habitat Baseline'!$D$1:$AV$258,45,FALSE)),"",(VLOOKUP($E90,'A-1 On-Site Habitat Baseline'!$D$1:$AV$258,45,FALSE))))</f>
        <v/>
      </c>
      <c r="G90" s="310" t="str">
        <f>IF(E90="","",IF(ISNA(VLOOKUP($E90,'A-1 On-Site Habitat Baseline'!$D$1:$O$258,5,FALSE)),"",(VLOOKUP($E90,'A-1 On-Site Habitat Baseline'!$D$1:$O$258,5,FALSE))))</f>
        <v/>
      </c>
      <c r="H90" s="310" t="str">
        <f>IF(E90="","",IF(ISNA(VLOOKUP($E90,'A-1 On-Site Habitat Baseline'!$D$1:$O$258,6,FALSE)),"",(VLOOKUP($E90,'A-1 On-Site Habitat Baseline'!$D$1:$O$258,6,FALSE))))</f>
        <v/>
      </c>
      <c r="I90" s="310" t="str">
        <f>IF(E90="","",IF(ISNA(VLOOKUP($E90,'A-1 On-Site Habitat Baseline'!$D$1:$O$258,7,FALSE)),"",(VLOOKUP($E90,'A-1 On-Site Habitat Baseline'!$D$1:$O$258,7,FALSE))))</f>
        <v/>
      </c>
      <c r="J90" s="310" t="str">
        <f>IF(E90="","",IF(ISNA(VLOOKUP($E90,'A-1 On-Site Habitat Baseline'!$D$1:$O$258,8,FALSE)),"",(VLOOKUP($E90,'A-1 On-Site Habitat Baseline'!$D$1:$O$258,8,FALSE))))</f>
        <v/>
      </c>
      <c r="K90" s="310" t="str">
        <f>IF(E90="","",IF(ISNA(VLOOKUP($E90,'A-1 On-Site Habitat Baseline'!$D$1:$O$258,9,FALSE)),"",(VLOOKUP($E90,'A-1 On-Site Habitat Baseline'!$D$1:$O$258,9,FALSE))))</f>
        <v/>
      </c>
      <c r="L90" s="310" t="str">
        <f>IF(E90="","",IF(ISNA(VLOOKUP($E90,'A-1 On-Site Habitat Baseline'!$D$1:$O$258,11,FALSE)),"",(VLOOKUP($E90,'A-1 On-Site Habitat Baseline'!$D$1:$O$258,11,FALSE))))</f>
        <v/>
      </c>
      <c r="M90" s="310" t="str">
        <f>IF(E90="","",IF(ISNA(VLOOKUP($E90,'A-1 On-Site Habitat Baseline'!$D$1:$O$258,12,FALSE)),"",(VLOOKUP($E90,'A-1 On-Site Habitat Baseline'!$D$1:$O$258,12,FALSE))))</f>
        <v/>
      </c>
      <c r="N90" s="320" t="str">
        <f>IF(E90="","",IF(ISNA(VLOOKUP($E90,'A-1 On-Site Habitat Baseline'!$D$1:$X$258,14,FALSE)),"",(VLOOKUP($E90,'A-1 On-Site Habitat Baseline'!$D$1:$X$258,14,FALSE))))</f>
        <v/>
      </c>
      <c r="O90" s="314" t="str">
        <f>IF(E90="","",IF(ISNA(VLOOKUP($E90,'A-1 On-Site Habitat Baseline'!$D$1:$X$258,16,FALSE)),"",(VLOOKUP($E90,'A-1 On-Site Habitat Baseline'!$D$1:$X$258,13,FALSE))))</f>
        <v/>
      </c>
      <c r="P90" s="161" t="str">
        <f>IFERROR(INDEX('G-1 All Habitats'!$AG$49:$AG$63,MATCH(Q90,'G-1 All Habitats'!$AF$27:$AF$41,0)),"")</f>
        <v/>
      </c>
      <c r="Q90" s="162" t="str">
        <f t="shared" si="13"/>
        <v/>
      </c>
      <c r="R90" s="162"/>
      <c r="S90" s="252" t="str">
        <f>IFERROR(INDEX('G-1 All Habitats'!$B$3:$B$135,MATCH(R90,'G-1 All Habitats'!$A$3:$A$135,0)),"")</f>
        <v/>
      </c>
      <c r="T90" s="290" t="str">
        <f t="shared" si="14"/>
        <v/>
      </c>
      <c r="U90" s="291" t="str">
        <f t="shared" si="15"/>
        <v/>
      </c>
      <c r="V90" s="325" t="str">
        <f t="shared" si="11"/>
        <v/>
      </c>
      <c r="W90" s="310" t="str">
        <f>IF(S90="","",VLOOKUP(S90,'G-1 All Habitats'!$B$2:$M$135,10,FALSE))</f>
        <v/>
      </c>
      <c r="X90" s="310" t="str">
        <f>IFERROR(VLOOKUP(W90,'G-1 All Habitats'!$V$3:$W$7,2,FALSE),"")</f>
        <v/>
      </c>
      <c r="Y90" s="45"/>
      <c r="Z90" s="314" t="str">
        <f>IFERROR(INDEX('G-8 Condition Look up'!$A$3:$H$135,MATCH(S90,'G-8 Condition Look up'!$A$3:$A$135,0),MATCH(Y90,'G-8 Condition Look up'!$A$3:$H$3,0)),"")</f>
        <v/>
      </c>
      <c r="AA90" s="38"/>
      <c r="AB90" s="310" t="str">
        <f>IF(AA90="","",IF(VLOOKUP(AA90,'G-3 Multipliers'!$L$3:$N$6,2,FALSE)=0,"Spatial Data Missing ⚠",VLOOKUP(AA90,'G-3 Multipliers'!$L$3:$N$6,2,FALSE)))</f>
        <v/>
      </c>
      <c r="AC90" s="314" t="str">
        <f>IF(AA90="","",IF(VLOOKUP(AA90,'G-3 Multipliers'!$L$3:$N$6,3,FALSE)=0,"Spatial Data Missing ⚠",VLOOKUP(AA90,'G-3 Multipliers'!$L$3:$N$6,3,FALSE)))</f>
        <v/>
      </c>
      <c r="AD90" s="327" t="str">
        <f t="shared" si="12"/>
        <v/>
      </c>
      <c r="AE90" s="47"/>
      <c r="AF90" s="47"/>
      <c r="AG90" s="298" t="str">
        <f t="shared" si="16"/>
        <v/>
      </c>
      <c r="AH90" s="311" t="str">
        <f t="shared" si="17"/>
        <v/>
      </c>
      <c r="AI90" s="312" t="str">
        <f>IF(AH90="Check Data","Check Data",IFERROR(VLOOKUP(AH90,'G-4 Temporal multipliers'!$A$4:$C$36,3,FALSE),""))</f>
        <v/>
      </c>
      <c r="AJ90" s="290" t="str">
        <f>IF(S90="","",VLOOKUP(S90,'G-3 Multipliers'!$A$2:$E$134,4,FALSE))</f>
        <v/>
      </c>
      <c r="AK90" s="298" t="str">
        <f t="shared" si="18"/>
        <v/>
      </c>
      <c r="AL90" s="298" t="str">
        <f t="shared" si="19"/>
        <v/>
      </c>
      <c r="AM90" s="328" t="str">
        <f>IFERROR(IF(F90="","",IF(AH90="Check Data ⚠","Check Data ⚠",VLOOKUP(AL90, 'G-3 Multipliers'!$P$2:$Q$6,2,FALSE))),"")</f>
        <v/>
      </c>
      <c r="AN90" s="304" t="str">
        <f t="shared" si="20"/>
        <v/>
      </c>
      <c r="AO90" s="163"/>
      <c r="AP90" s="164"/>
      <c r="AQ90" s="101"/>
      <c r="AT90" s="20" t="str">
        <f t="shared" si="21"/>
        <v>No</v>
      </c>
      <c r="AU90" s="20" t="str">
        <f>IF(E90="","",IF(ISNA(VLOOKUP($E90,'A-1 On-Site Habitat Baseline'!$D$1:$AV$258,4,FALSE)),"",(VLOOKUP($E90,'A-1 On-Site Habitat Baseline'!$D$1:$AV$258,4,FALSE))))</f>
        <v/>
      </c>
    </row>
    <row r="91" spans="1:47" x14ac:dyDescent="0.3">
      <c r="A91" s="20" t="str">
        <f>IF(E91="","",IF(ISNA(VLOOKUP($E91,'A-1 On-Site Habitat Baseline'!$D$1:$O$258,2,FALSE)),"",(VLOOKUP($E91,'A-1 On-Site Habitat Baseline'!$D$1:$O$258,2,FALSE))))</f>
        <v/>
      </c>
      <c r="B91" s="20" t="str">
        <f>IF(E91="","",IF(ISNA(VLOOKUP($E91,'A-1 On-Site Habitat Baseline'!$D$1:$O$258,3,FALSE)),"",(VLOOKUP($E91,'A-1 On-Site Habitat Baseline'!$D$1:$O$258,3,FALSE))))</f>
        <v/>
      </c>
      <c r="C91" s="20" t="str">
        <f>IFERROR(INDEX('G-8 Condition Look up'!$I$4:$I$135,MATCH(S91,'G-8 Condition Look up'!$A$4:$A$135,0)),"")</f>
        <v/>
      </c>
      <c r="E91" s="319" t="str">
        <f>'A-1 On-Site Habitat Baseline'!AL90</f>
        <v/>
      </c>
      <c r="F91" s="310" t="str">
        <f>IF(E91="","",IF(ISNA(VLOOKUP($E91,'A-1 On-Site Habitat Baseline'!$D$1:$AV$258,45,FALSE)),"",(VLOOKUP($E91,'A-1 On-Site Habitat Baseline'!$D$1:$AV$258,45,FALSE))))</f>
        <v/>
      </c>
      <c r="G91" s="310" t="str">
        <f>IF(E91="","",IF(ISNA(VLOOKUP($E91,'A-1 On-Site Habitat Baseline'!$D$1:$O$258,5,FALSE)),"",(VLOOKUP($E91,'A-1 On-Site Habitat Baseline'!$D$1:$O$258,5,FALSE))))</f>
        <v/>
      </c>
      <c r="H91" s="310" t="str">
        <f>IF(E91="","",IF(ISNA(VLOOKUP($E91,'A-1 On-Site Habitat Baseline'!$D$1:$O$258,6,FALSE)),"",(VLOOKUP($E91,'A-1 On-Site Habitat Baseline'!$D$1:$O$258,6,FALSE))))</f>
        <v/>
      </c>
      <c r="I91" s="310" t="str">
        <f>IF(E91="","",IF(ISNA(VLOOKUP($E91,'A-1 On-Site Habitat Baseline'!$D$1:$O$258,7,FALSE)),"",(VLOOKUP($E91,'A-1 On-Site Habitat Baseline'!$D$1:$O$258,7,FALSE))))</f>
        <v/>
      </c>
      <c r="J91" s="310" t="str">
        <f>IF(E91="","",IF(ISNA(VLOOKUP($E91,'A-1 On-Site Habitat Baseline'!$D$1:$O$258,8,FALSE)),"",(VLOOKUP($E91,'A-1 On-Site Habitat Baseline'!$D$1:$O$258,8,FALSE))))</f>
        <v/>
      </c>
      <c r="K91" s="310" t="str">
        <f>IF(E91="","",IF(ISNA(VLOOKUP($E91,'A-1 On-Site Habitat Baseline'!$D$1:$O$258,9,FALSE)),"",(VLOOKUP($E91,'A-1 On-Site Habitat Baseline'!$D$1:$O$258,9,FALSE))))</f>
        <v/>
      </c>
      <c r="L91" s="310" t="str">
        <f>IF(E91="","",IF(ISNA(VLOOKUP($E91,'A-1 On-Site Habitat Baseline'!$D$1:$O$258,11,FALSE)),"",(VLOOKUP($E91,'A-1 On-Site Habitat Baseline'!$D$1:$O$258,11,FALSE))))</f>
        <v/>
      </c>
      <c r="M91" s="310" t="str">
        <f>IF(E91="","",IF(ISNA(VLOOKUP($E91,'A-1 On-Site Habitat Baseline'!$D$1:$O$258,12,FALSE)),"",(VLOOKUP($E91,'A-1 On-Site Habitat Baseline'!$D$1:$O$258,12,FALSE))))</f>
        <v/>
      </c>
      <c r="N91" s="320" t="str">
        <f>IF(E91="","",IF(ISNA(VLOOKUP($E91,'A-1 On-Site Habitat Baseline'!$D$1:$X$258,14,FALSE)),"",(VLOOKUP($E91,'A-1 On-Site Habitat Baseline'!$D$1:$X$258,14,FALSE))))</f>
        <v/>
      </c>
      <c r="O91" s="314" t="str">
        <f>IF(E91="","",IF(ISNA(VLOOKUP($E91,'A-1 On-Site Habitat Baseline'!$D$1:$X$258,16,FALSE)),"",(VLOOKUP($E91,'A-1 On-Site Habitat Baseline'!$D$1:$X$258,13,FALSE))))</f>
        <v/>
      </c>
      <c r="P91" s="161" t="str">
        <f>IFERROR(INDEX('G-1 All Habitats'!$AG$49:$AG$63,MATCH(Q91,'G-1 All Habitats'!$AF$27:$AF$41,0)),"")</f>
        <v/>
      </c>
      <c r="Q91" s="162" t="str">
        <f t="shared" si="13"/>
        <v/>
      </c>
      <c r="R91" s="162"/>
      <c r="S91" s="252" t="str">
        <f>IFERROR(INDEX('G-1 All Habitats'!$B$3:$B$135,MATCH(R91,'G-1 All Habitats'!$A$3:$A$135,0)),"")</f>
        <v/>
      </c>
      <c r="T91" s="290" t="str">
        <f t="shared" si="14"/>
        <v/>
      </c>
      <c r="U91" s="291" t="str">
        <f t="shared" si="15"/>
        <v/>
      </c>
      <c r="V91" s="325" t="str">
        <f t="shared" si="11"/>
        <v/>
      </c>
      <c r="W91" s="310" t="str">
        <f>IF(S91="","",VLOOKUP(S91,'G-1 All Habitats'!$B$2:$M$135,10,FALSE))</f>
        <v/>
      </c>
      <c r="X91" s="310" t="str">
        <f>IFERROR(VLOOKUP(W91,'G-1 All Habitats'!$V$3:$W$7,2,FALSE),"")</f>
        <v/>
      </c>
      <c r="Y91" s="45"/>
      <c r="Z91" s="314" t="str">
        <f>IFERROR(INDEX('G-8 Condition Look up'!$A$3:$H$135,MATCH(S91,'G-8 Condition Look up'!$A$3:$A$135,0),MATCH(Y91,'G-8 Condition Look up'!$A$3:$H$3,0)),"")</f>
        <v/>
      </c>
      <c r="AA91" s="38"/>
      <c r="AB91" s="310" t="str">
        <f>IF(AA91="","",IF(VLOOKUP(AA91,'G-3 Multipliers'!$L$3:$N$6,2,FALSE)=0,"Spatial Data Missing ⚠",VLOOKUP(AA91,'G-3 Multipliers'!$L$3:$N$6,2,FALSE)))</f>
        <v/>
      </c>
      <c r="AC91" s="314" t="str">
        <f>IF(AA91="","",IF(VLOOKUP(AA91,'G-3 Multipliers'!$L$3:$N$6,3,FALSE)=0,"Spatial Data Missing ⚠",VLOOKUP(AA91,'G-3 Multipliers'!$L$3:$N$6,3,FALSE)))</f>
        <v/>
      </c>
      <c r="AD91" s="327" t="str">
        <f t="shared" si="12"/>
        <v/>
      </c>
      <c r="AE91" s="47"/>
      <c r="AF91" s="47"/>
      <c r="AG91" s="298" t="str">
        <f t="shared" si="16"/>
        <v/>
      </c>
      <c r="AH91" s="311" t="str">
        <f t="shared" si="17"/>
        <v/>
      </c>
      <c r="AI91" s="312" t="str">
        <f>IF(AH91="Check Data","Check Data",IFERROR(VLOOKUP(AH91,'G-4 Temporal multipliers'!$A$4:$C$36,3,FALSE),""))</f>
        <v/>
      </c>
      <c r="AJ91" s="290" t="str">
        <f>IF(S91="","",VLOOKUP(S91,'G-3 Multipliers'!$A$2:$E$134,4,FALSE))</f>
        <v/>
      </c>
      <c r="AK91" s="298" t="str">
        <f t="shared" si="18"/>
        <v/>
      </c>
      <c r="AL91" s="298" t="str">
        <f t="shared" si="19"/>
        <v/>
      </c>
      <c r="AM91" s="328" t="str">
        <f>IFERROR(IF(F91="","",IF(AH91="Check Data ⚠","Check Data ⚠",VLOOKUP(AL91, 'G-3 Multipliers'!$P$2:$Q$6,2,FALSE))),"")</f>
        <v/>
      </c>
      <c r="AN91" s="304" t="str">
        <f t="shared" si="20"/>
        <v/>
      </c>
      <c r="AO91" s="163"/>
      <c r="AP91" s="164"/>
      <c r="AQ91" s="101"/>
      <c r="AT91" s="20" t="str">
        <f t="shared" si="21"/>
        <v>No</v>
      </c>
      <c r="AU91" s="20" t="str">
        <f>IF(E91="","",IF(ISNA(VLOOKUP($E91,'A-1 On-Site Habitat Baseline'!$D$1:$AV$258,4,FALSE)),"",(VLOOKUP($E91,'A-1 On-Site Habitat Baseline'!$D$1:$AV$258,4,FALSE))))</f>
        <v/>
      </c>
    </row>
    <row r="92" spans="1:47" x14ac:dyDescent="0.3">
      <c r="A92" s="20" t="str">
        <f>IF(E92="","",IF(ISNA(VLOOKUP($E92,'A-1 On-Site Habitat Baseline'!$D$1:$O$258,2,FALSE)),"",(VLOOKUP($E92,'A-1 On-Site Habitat Baseline'!$D$1:$O$258,2,FALSE))))</f>
        <v/>
      </c>
      <c r="B92" s="20" t="str">
        <f>IF(E92="","",IF(ISNA(VLOOKUP($E92,'A-1 On-Site Habitat Baseline'!$D$1:$O$258,3,FALSE)),"",(VLOOKUP($E92,'A-1 On-Site Habitat Baseline'!$D$1:$O$258,3,FALSE))))</f>
        <v/>
      </c>
      <c r="C92" s="20" t="str">
        <f>IFERROR(INDEX('G-8 Condition Look up'!$I$4:$I$135,MATCH(S92,'G-8 Condition Look up'!$A$4:$A$135,0)),"")</f>
        <v/>
      </c>
      <c r="E92" s="319" t="str">
        <f>'A-1 On-Site Habitat Baseline'!AL91</f>
        <v/>
      </c>
      <c r="F92" s="310" t="str">
        <f>IF(E92="","",IF(ISNA(VLOOKUP($E92,'A-1 On-Site Habitat Baseline'!$D$1:$AV$258,45,FALSE)),"",(VLOOKUP($E92,'A-1 On-Site Habitat Baseline'!$D$1:$AV$258,45,FALSE))))</f>
        <v/>
      </c>
      <c r="G92" s="310" t="str">
        <f>IF(E92="","",IF(ISNA(VLOOKUP($E92,'A-1 On-Site Habitat Baseline'!$D$1:$O$258,5,FALSE)),"",(VLOOKUP($E92,'A-1 On-Site Habitat Baseline'!$D$1:$O$258,5,FALSE))))</f>
        <v/>
      </c>
      <c r="H92" s="310" t="str">
        <f>IF(E92="","",IF(ISNA(VLOOKUP($E92,'A-1 On-Site Habitat Baseline'!$D$1:$O$258,6,FALSE)),"",(VLOOKUP($E92,'A-1 On-Site Habitat Baseline'!$D$1:$O$258,6,FALSE))))</f>
        <v/>
      </c>
      <c r="I92" s="310" t="str">
        <f>IF(E92="","",IF(ISNA(VLOOKUP($E92,'A-1 On-Site Habitat Baseline'!$D$1:$O$258,7,FALSE)),"",(VLOOKUP($E92,'A-1 On-Site Habitat Baseline'!$D$1:$O$258,7,FALSE))))</f>
        <v/>
      </c>
      <c r="J92" s="310" t="str">
        <f>IF(E92="","",IF(ISNA(VLOOKUP($E92,'A-1 On-Site Habitat Baseline'!$D$1:$O$258,8,FALSE)),"",(VLOOKUP($E92,'A-1 On-Site Habitat Baseline'!$D$1:$O$258,8,FALSE))))</f>
        <v/>
      </c>
      <c r="K92" s="310" t="str">
        <f>IF(E92="","",IF(ISNA(VLOOKUP($E92,'A-1 On-Site Habitat Baseline'!$D$1:$O$258,9,FALSE)),"",(VLOOKUP($E92,'A-1 On-Site Habitat Baseline'!$D$1:$O$258,9,FALSE))))</f>
        <v/>
      </c>
      <c r="L92" s="310" t="str">
        <f>IF(E92="","",IF(ISNA(VLOOKUP($E92,'A-1 On-Site Habitat Baseline'!$D$1:$O$258,11,FALSE)),"",(VLOOKUP($E92,'A-1 On-Site Habitat Baseline'!$D$1:$O$258,11,FALSE))))</f>
        <v/>
      </c>
      <c r="M92" s="310" t="str">
        <f>IF(E92="","",IF(ISNA(VLOOKUP($E92,'A-1 On-Site Habitat Baseline'!$D$1:$O$258,12,FALSE)),"",(VLOOKUP($E92,'A-1 On-Site Habitat Baseline'!$D$1:$O$258,12,FALSE))))</f>
        <v/>
      </c>
      <c r="N92" s="320" t="str">
        <f>IF(E92="","",IF(ISNA(VLOOKUP($E92,'A-1 On-Site Habitat Baseline'!$D$1:$X$258,14,FALSE)),"",(VLOOKUP($E92,'A-1 On-Site Habitat Baseline'!$D$1:$X$258,14,FALSE))))</f>
        <v/>
      </c>
      <c r="O92" s="314" t="str">
        <f>IF(E92="","",IF(ISNA(VLOOKUP($E92,'A-1 On-Site Habitat Baseline'!$D$1:$X$258,16,FALSE)),"",(VLOOKUP($E92,'A-1 On-Site Habitat Baseline'!$D$1:$X$258,13,FALSE))))</f>
        <v/>
      </c>
      <c r="P92" s="161" t="str">
        <f>IFERROR(INDEX('G-1 All Habitats'!$AG$49:$AG$63,MATCH(Q92,'G-1 All Habitats'!$AF$27:$AF$41,0)),"")</f>
        <v/>
      </c>
      <c r="Q92" s="162" t="str">
        <f t="shared" si="13"/>
        <v/>
      </c>
      <c r="R92" s="162"/>
      <c r="S92" s="252" t="str">
        <f>IFERROR(INDEX('G-1 All Habitats'!$B$3:$B$135,MATCH(R92,'G-1 All Habitats'!$A$3:$A$135,0)),"")</f>
        <v/>
      </c>
      <c r="T92" s="290" t="str">
        <f t="shared" si="14"/>
        <v/>
      </c>
      <c r="U92" s="291" t="str">
        <f t="shared" si="15"/>
        <v/>
      </c>
      <c r="V92" s="325" t="str">
        <f t="shared" si="11"/>
        <v/>
      </c>
      <c r="W92" s="310" t="str">
        <f>IF(S92="","",VLOOKUP(S92,'G-1 All Habitats'!$B$2:$M$135,10,FALSE))</f>
        <v/>
      </c>
      <c r="X92" s="310" t="str">
        <f>IFERROR(VLOOKUP(W92,'G-1 All Habitats'!$V$3:$W$7,2,FALSE),"")</f>
        <v/>
      </c>
      <c r="Y92" s="45"/>
      <c r="Z92" s="314" t="str">
        <f>IFERROR(INDEX('G-8 Condition Look up'!$A$3:$H$135,MATCH(S92,'G-8 Condition Look up'!$A$3:$A$135,0),MATCH(Y92,'G-8 Condition Look up'!$A$3:$H$3,0)),"")</f>
        <v/>
      </c>
      <c r="AA92" s="38"/>
      <c r="AB92" s="310" t="str">
        <f>IF(AA92="","",IF(VLOOKUP(AA92,'G-3 Multipliers'!$L$3:$N$6,2,FALSE)=0,"Spatial Data Missing ⚠",VLOOKUP(AA92,'G-3 Multipliers'!$L$3:$N$6,2,FALSE)))</f>
        <v/>
      </c>
      <c r="AC92" s="314" t="str">
        <f>IF(AA92="","",IF(VLOOKUP(AA92,'G-3 Multipliers'!$L$3:$N$6,3,FALSE)=0,"Spatial Data Missing ⚠",VLOOKUP(AA92,'G-3 Multipliers'!$L$3:$N$6,3,FALSE)))</f>
        <v/>
      </c>
      <c r="AD92" s="327" t="str">
        <f t="shared" si="12"/>
        <v/>
      </c>
      <c r="AE92" s="47"/>
      <c r="AF92" s="47"/>
      <c r="AG92" s="298" t="str">
        <f t="shared" si="16"/>
        <v/>
      </c>
      <c r="AH92" s="311" t="str">
        <f t="shared" si="17"/>
        <v/>
      </c>
      <c r="AI92" s="312" t="str">
        <f>IF(AH92="Check Data","Check Data",IFERROR(VLOOKUP(AH92,'G-4 Temporal multipliers'!$A$4:$C$36,3,FALSE),""))</f>
        <v/>
      </c>
      <c r="AJ92" s="290" t="str">
        <f>IF(S92="","",VLOOKUP(S92,'G-3 Multipliers'!$A$2:$E$134,4,FALSE))</f>
        <v/>
      </c>
      <c r="AK92" s="298" t="str">
        <f t="shared" si="18"/>
        <v/>
      </c>
      <c r="AL92" s="298" t="str">
        <f t="shared" si="19"/>
        <v/>
      </c>
      <c r="AM92" s="328" t="str">
        <f>IFERROR(IF(F92="","",IF(AH92="Check Data ⚠","Check Data ⚠",VLOOKUP(AL92, 'G-3 Multipliers'!$P$2:$Q$6,2,FALSE))),"")</f>
        <v/>
      </c>
      <c r="AN92" s="304" t="str">
        <f t="shared" si="20"/>
        <v/>
      </c>
      <c r="AO92" s="163"/>
      <c r="AP92" s="164"/>
      <c r="AQ92" s="101"/>
      <c r="AT92" s="20" t="str">
        <f t="shared" si="21"/>
        <v>No</v>
      </c>
      <c r="AU92" s="20" t="str">
        <f>IF(E92="","",IF(ISNA(VLOOKUP($E92,'A-1 On-Site Habitat Baseline'!$D$1:$AV$258,4,FALSE)),"",(VLOOKUP($E92,'A-1 On-Site Habitat Baseline'!$D$1:$AV$258,4,FALSE))))</f>
        <v/>
      </c>
    </row>
    <row r="93" spans="1:47" x14ac:dyDescent="0.3">
      <c r="A93" s="20" t="str">
        <f>IF(E93="","",IF(ISNA(VLOOKUP($E93,'A-1 On-Site Habitat Baseline'!$D$1:$O$258,2,FALSE)),"",(VLOOKUP($E93,'A-1 On-Site Habitat Baseline'!$D$1:$O$258,2,FALSE))))</f>
        <v/>
      </c>
      <c r="B93" s="20" t="str">
        <f>IF(E93="","",IF(ISNA(VLOOKUP($E93,'A-1 On-Site Habitat Baseline'!$D$1:$O$258,3,FALSE)),"",(VLOOKUP($E93,'A-1 On-Site Habitat Baseline'!$D$1:$O$258,3,FALSE))))</f>
        <v/>
      </c>
      <c r="C93" s="20" t="str">
        <f>IFERROR(INDEX('G-8 Condition Look up'!$I$4:$I$135,MATCH(S93,'G-8 Condition Look up'!$A$4:$A$135,0)),"")</f>
        <v/>
      </c>
      <c r="E93" s="319" t="str">
        <f>'A-1 On-Site Habitat Baseline'!AL92</f>
        <v/>
      </c>
      <c r="F93" s="310" t="str">
        <f>IF(E93="","",IF(ISNA(VLOOKUP($E93,'A-1 On-Site Habitat Baseline'!$D$1:$AV$258,45,FALSE)),"",(VLOOKUP($E93,'A-1 On-Site Habitat Baseline'!$D$1:$AV$258,45,FALSE))))</f>
        <v/>
      </c>
      <c r="G93" s="310" t="str">
        <f>IF(E93="","",IF(ISNA(VLOOKUP($E93,'A-1 On-Site Habitat Baseline'!$D$1:$O$258,5,FALSE)),"",(VLOOKUP($E93,'A-1 On-Site Habitat Baseline'!$D$1:$O$258,5,FALSE))))</f>
        <v/>
      </c>
      <c r="H93" s="310" t="str">
        <f>IF(E93="","",IF(ISNA(VLOOKUP($E93,'A-1 On-Site Habitat Baseline'!$D$1:$O$258,6,FALSE)),"",(VLOOKUP($E93,'A-1 On-Site Habitat Baseline'!$D$1:$O$258,6,FALSE))))</f>
        <v/>
      </c>
      <c r="I93" s="310" t="str">
        <f>IF(E93="","",IF(ISNA(VLOOKUP($E93,'A-1 On-Site Habitat Baseline'!$D$1:$O$258,7,FALSE)),"",(VLOOKUP($E93,'A-1 On-Site Habitat Baseline'!$D$1:$O$258,7,FALSE))))</f>
        <v/>
      </c>
      <c r="J93" s="310" t="str">
        <f>IF(E93="","",IF(ISNA(VLOOKUP($E93,'A-1 On-Site Habitat Baseline'!$D$1:$O$258,8,FALSE)),"",(VLOOKUP($E93,'A-1 On-Site Habitat Baseline'!$D$1:$O$258,8,FALSE))))</f>
        <v/>
      </c>
      <c r="K93" s="310" t="str">
        <f>IF(E93="","",IF(ISNA(VLOOKUP($E93,'A-1 On-Site Habitat Baseline'!$D$1:$O$258,9,FALSE)),"",(VLOOKUP($E93,'A-1 On-Site Habitat Baseline'!$D$1:$O$258,9,FALSE))))</f>
        <v/>
      </c>
      <c r="L93" s="310" t="str">
        <f>IF(E93="","",IF(ISNA(VLOOKUP($E93,'A-1 On-Site Habitat Baseline'!$D$1:$O$258,11,FALSE)),"",(VLOOKUP($E93,'A-1 On-Site Habitat Baseline'!$D$1:$O$258,11,FALSE))))</f>
        <v/>
      </c>
      <c r="M93" s="310" t="str">
        <f>IF(E93="","",IF(ISNA(VLOOKUP($E93,'A-1 On-Site Habitat Baseline'!$D$1:$O$258,12,FALSE)),"",(VLOOKUP($E93,'A-1 On-Site Habitat Baseline'!$D$1:$O$258,12,FALSE))))</f>
        <v/>
      </c>
      <c r="N93" s="320" t="str">
        <f>IF(E93="","",IF(ISNA(VLOOKUP($E93,'A-1 On-Site Habitat Baseline'!$D$1:$X$258,14,FALSE)),"",(VLOOKUP($E93,'A-1 On-Site Habitat Baseline'!$D$1:$X$258,14,FALSE))))</f>
        <v/>
      </c>
      <c r="O93" s="314" t="str">
        <f>IF(E93="","",IF(ISNA(VLOOKUP($E93,'A-1 On-Site Habitat Baseline'!$D$1:$X$258,16,FALSE)),"",(VLOOKUP($E93,'A-1 On-Site Habitat Baseline'!$D$1:$X$258,13,FALSE))))</f>
        <v/>
      </c>
      <c r="P93" s="161" t="str">
        <f>IFERROR(INDEX('G-1 All Habitats'!$AG$49:$AG$63,MATCH(Q93,'G-1 All Habitats'!$AF$27:$AF$41,0)),"")</f>
        <v/>
      </c>
      <c r="Q93" s="162" t="str">
        <f t="shared" si="13"/>
        <v/>
      </c>
      <c r="R93" s="162"/>
      <c r="S93" s="252" t="str">
        <f>IFERROR(INDEX('G-1 All Habitats'!$B$3:$B$135,MATCH(R93,'G-1 All Habitats'!$A$3:$A$135,0)),"")</f>
        <v/>
      </c>
      <c r="T93" s="290" t="str">
        <f t="shared" si="14"/>
        <v/>
      </c>
      <c r="U93" s="291" t="str">
        <f t="shared" si="15"/>
        <v/>
      </c>
      <c r="V93" s="325" t="str">
        <f t="shared" si="11"/>
        <v/>
      </c>
      <c r="W93" s="310" t="str">
        <f>IF(S93="","",VLOOKUP(S93,'G-1 All Habitats'!$B$2:$M$135,10,FALSE))</f>
        <v/>
      </c>
      <c r="X93" s="310" t="str">
        <f>IFERROR(VLOOKUP(W93,'G-1 All Habitats'!$V$3:$W$7,2,FALSE),"")</f>
        <v/>
      </c>
      <c r="Y93" s="45"/>
      <c r="Z93" s="314" t="str">
        <f>IFERROR(INDEX('G-8 Condition Look up'!$A$3:$H$135,MATCH(S93,'G-8 Condition Look up'!$A$3:$A$135,0),MATCH(Y93,'G-8 Condition Look up'!$A$3:$H$3,0)),"")</f>
        <v/>
      </c>
      <c r="AA93" s="38"/>
      <c r="AB93" s="310" t="str">
        <f>IF(AA93="","",IF(VLOOKUP(AA93,'G-3 Multipliers'!$L$3:$N$6,2,FALSE)=0,"Spatial Data Missing ⚠",VLOOKUP(AA93,'G-3 Multipliers'!$L$3:$N$6,2,FALSE)))</f>
        <v/>
      </c>
      <c r="AC93" s="314" t="str">
        <f>IF(AA93="","",IF(VLOOKUP(AA93,'G-3 Multipliers'!$L$3:$N$6,3,FALSE)=0,"Spatial Data Missing ⚠",VLOOKUP(AA93,'G-3 Multipliers'!$L$3:$N$6,3,FALSE)))</f>
        <v/>
      </c>
      <c r="AD93" s="327" t="str">
        <f t="shared" si="12"/>
        <v/>
      </c>
      <c r="AE93" s="47"/>
      <c r="AF93" s="47"/>
      <c r="AG93" s="298" t="str">
        <f t="shared" si="16"/>
        <v/>
      </c>
      <c r="AH93" s="311" t="str">
        <f t="shared" si="17"/>
        <v/>
      </c>
      <c r="AI93" s="312" t="str">
        <f>IF(AH93="Check Data","Check Data",IFERROR(VLOOKUP(AH93,'G-4 Temporal multipliers'!$A$4:$C$36,3,FALSE),""))</f>
        <v/>
      </c>
      <c r="AJ93" s="290" t="str">
        <f>IF(S93="","",VLOOKUP(S93,'G-3 Multipliers'!$A$2:$E$134,4,FALSE))</f>
        <v/>
      </c>
      <c r="AK93" s="298" t="str">
        <f t="shared" si="18"/>
        <v/>
      </c>
      <c r="AL93" s="298" t="str">
        <f t="shared" si="19"/>
        <v/>
      </c>
      <c r="AM93" s="328" t="str">
        <f>IFERROR(IF(F93="","",IF(AH93="Check Data ⚠","Check Data ⚠",VLOOKUP(AL93, 'G-3 Multipliers'!$P$2:$Q$6,2,FALSE))),"")</f>
        <v/>
      </c>
      <c r="AN93" s="304" t="str">
        <f t="shared" si="20"/>
        <v/>
      </c>
      <c r="AO93" s="163"/>
      <c r="AP93" s="164"/>
      <c r="AQ93" s="101"/>
      <c r="AT93" s="20" t="str">
        <f t="shared" si="21"/>
        <v>No</v>
      </c>
      <c r="AU93" s="20" t="str">
        <f>IF(E93="","",IF(ISNA(VLOOKUP($E93,'A-1 On-Site Habitat Baseline'!$D$1:$AV$258,4,FALSE)),"",(VLOOKUP($E93,'A-1 On-Site Habitat Baseline'!$D$1:$AV$258,4,FALSE))))</f>
        <v/>
      </c>
    </row>
    <row r="94" spans="1:47" x14ac:dyDescent="0.3">
      <c r="A94" s="20" t="str">
        <f>IF(E94="","",IF(ISNA(VLOOKUP($E94,'A-1 On-Site Habitat Baseline'!$D$1:$O$258,2,FALSE)),"",(VLOOKUP($E94,'A-1 On-Site Habitat Baseline'!$D$1:$O$258,2,FALSE))))</f>
        <v/>
      </c>
      <c r="B94" s="20" t="str">
        <f>IF(E94="","",IF(ISNA(VLOOKUP($E94,'A-1 On-Site Habitat Baseline'!$D$1:$O$258,3,FALSE)),"",(VLOOKUP($E94,'A-1 On-Site Habitat Baseline'!$D$1:$O$258,3,FALSE))))</f>
        <v/>
      </c>
      <c r="C94" s="20" t="str">
        <f>IFERROR(INDEX('G-8 Condition Look up'!$I$4:$I$135,MATCH(S94,'G-8 Condition Look up'!$A$4:$A$135,0)),"")</f>
        <v/>
      </c>
      <c r="E94" s="319" t="str">
        <f>'A-1 On-Site Habitat Baseline'!AL93</f>
        <v/>
      </c>
      <c r="F94" s="310" t="str">
        <f>IF(E94="","",IF(ISNA(VLOOKUP($E94,'A-1 On-Site Habitat Baseline'!$D$1:$AV$258,45,FALSE)),"",(VLOOKUP($E94,'A-1 On-Site Habitat Baseline'!$D$1:$AV$258,45,FALSE))))</f>
        <v/>
      </c>
      <c r="G94" s="310" t="str">
        <f>IF(E94="","",IF(ISNA(VLOOKUP($E94,'A-1 On-Site Habitat Baseline'!$D$1:$O$258,5,FALSE)),"",(VLOOKUP($E94,'A-1 On-Site Habitat Baseline'!$D$1:$O$258,5,FALSE))))</f>
        <v/>
      </c>
      <c r="H94" s="310" t="str">
        <f>IF(E94="","",IF(ISNA(VLOOKUP($E94,'A-1 On-Site Habitat Baseline'!$D$1:$O$258,6,FALSE)),"",(VLOOKUP($E94,'A-1 On-Site Habitat Baseline'!$D$1:$O$258,6,FALSE))))</f>
        <v/>
      </c>
      <c r="I94" s="310" t="str">
        <f>IF(E94="","",IF(ISNA(VLOOKUP($E94,'A-1 On-Site Habitat Baseline'!$D$1:$O$258,7,FALSE)),"",(VLOOKUP($E94,'A-1 On-Site Habitat Baseline'!$D$1:$O$258,7,FALSE))))</f>
        <v/>
      </c>
      <c r="J94" s="310" t="str">
        <f>IF(E94="","",IF(ISNA(VLOOKUP($E94,'A-1 On-Site Habitat Baseline'!$D$1:$O$258,8,FALSE)),"",(VLOOKUP($E94,'A-1 On-Site Habitat Baseline'!$D$1:$O$258,8,FALSE))))</f>
        <v/>
      </c>
      <c r="K94" s="310" t="str">
        <f>IF(E94="","",IF(ISNA(VLOOKUP($E94,'A-1 On-Site Habitat Baseline'!$D$1:$O$258,9,FALSE)),"",(VLOOKUP($E94,'A-1 On-Site Habitat Baseline'!$D$1:$O$258,9,FALSE))))</f>
        <v/>
      </c>
      <c r="L94" s="310" t="str">
        <f>IF(E94="","",IF(ISNA(VLOOKUP($E94,'A-1 On-Site Habitat Baseline'!$D$1:$O$258,11,FALSE)),"",(VLOOKUP($E94,'A-1 On-Site Habitat Baseline'!$D$1:$O$258,11,FALSE))))</f>
        <v/>
      </c>
      <c r="M94" s="310" t="str">
        <f>IF(E94="","",IF(ISNA(VLOOKUP($E94,'A-1 On-Site Habitat Baseline'!$D$1:$O$258,12,FALSE)),"",(VLOOKUP($E94,'A-1 On-Site Habitat Baseline'!$D$1:$O$258,12,FALSE))))</f>
        <v/>
      </c>
      <c r="N94" s="320" t="str">
        <f>IF(E94="","",IF(ISNA(VLOOKUP($E94,'A-1 On-Site Habitat Baseline'!$D$1:$X$258,14,FALSE)),"",(VLOOKUP($E94,'A-1 On-Site Habitat Baseline'!$D$1:$X$258,14,FALSE))))</f>
        <v/>
      </c>
      <c r="O94" s="314" t="str">
        <f>IF(E94="","",IF(ISNA(VLOOKUP($E94,'A-1 On-Site Habitat Baseline'!$D$1:$X$258,16,FALSE)),"",(VLOOKUP($E94,'A-1 On-Site Habitat Baseline'!$D$1:$X$258,13,FALSE))))</f>
        <v/>
      </c>
      <c r="P94" s="161" t="str">
        <f>IFERROR(INDEX('G-1 All Habitats'!$AG$49:$AG$63,MATCH(Q94,'G-1 All Habitats'!$AF$27:$AF$41,0)),"")</f>
        <v/>
      </c>
      <c r="Q94" s="162" t="str">
        <f t="shared" si="13"/>
        <v/>
      </c>
      <c r="R94" s="162"/>
      <c r="S94" s="252" t="str">
        <f>IFERROR(INDEX('G-1 All Habitats'!$B$3:$B$135,MATCH(R94,'G-1 All Habitats'!$A$3:$A$135,0)),"")</f>
        <v/>
      </c>
      <c r="T94" s="290" t="str">
        <f t="shared" si="14"/>
        <v/>
      </c>
      <c r="U94" s="291" t="str">
        <f t="shared" si="15"/>
        <v/>
      </c>
      <c r="V94" s="325" t="str">
        <f t="shared" si="11"/>
        <v/>
      </c>
      <c r="W94" s="310" t="str">
        <f>IF(S94="","",VLOOKUP(S94,'G-1 All Habitats'!$B$2:$M$135,10,FALSE))</f>
        <v/>
      </c>
      <c r="X94" s="310" t="str">
        <f>IFERROR(VLOOKUP(W94,'G-1 All Habitats'!$V$3:$W$7,2,FALSE),"")</f>
        <v/>
      </c>
      <c r="Y94" s="45"/>
      <c r="Z94" s="314" t="str">
        <f>IFERROR(INDEX('G-8 Condition Look up'!$A$3:$H$135,MATCH(S94,'G-8 Condition Look up'!$A$3:$A$135,0),MATCH(Y94,'G-8 Condition Look up'!$A$3:$H$3,0)),"")</f>
        <v/>
      </c>
      <c r="AA94" s="38"/>
      <c r="AB94" s="310" t="str">
        <f>IF(AA94="","",IF(VLOOKUP(AA94,'G-3 Multipliers'!$L$3:$N$6,2,FALSE)=0,"Spatial Data Missing ⚠",VLOOKUP(AA94,'G-3 Multipliers'!$L$3:$N$6,2,FALSE)))</f>
        <v/>
      </c>
      <c r="AC94" s="314" t="str">
        <f>IF(AA94="","",IF(VLOOKUP(AA94,'G-3 Multipliers'!$L$3:$N$6,3,FALSE)=0,"Spatial Data Missing ⚠",VLOOKUP(AA94,'G-3 Multipliers'!$L$3:$N$6,3,FALSE)))</f>
        <v/>
      </c>
      <c r="AD94" s="327" t="str">
        <f t="shared" si="12"/>
        <v/>
      </c>
      <c r="AE94" s="47"/>
      <c r="AF94" s="47"/>
      <c r="AG94" s="298" t="str">
        <f t="shared" si="16"/>
        <v/>
      </c>
      <c r="AH94" s="311" t="str">
        <f t="shared" si="17"/>
        <v/>
      </c>
      <c r="AI94" s="312" t="str">
        <f>IF(AH94="Check Data","Check Data",IFERROR(VLOOKUP(AH94,'G-4 Temporal multipliers'!$A$4:$C$36,3,FALSE),""))</f>
        <v/>
      </c>
      <c r="AJ94" s="290" t="str">
        <f>IF(S94="","",VLOOKUP(S94,'G-3 Multipliers'!$A$2:$E$134,4,FALSE))</f>
        <v/>
      </c>
      <c r="AK94" s="298" t="str">
        <f t="shared" si="18"/>
        <v/>
      </c>
      <c r="AL94" s="298" t="str">
        <f t="shared" si="19"/>
        <v/>
      </c>
      <c r="AM94" s="328" t="str">
        <f>IFERROR(IF(F94="","",IF(AH94="Check Data ⚠","Check Data ⚠",VLOOKUP(AL94, 'G-3 Multipliers'!$P$2:$Q$6,2,FALSE))),"")</f>
        <v/>
      </c>
      <c r="AN94" s="304" t="str">
        <f t="shared" si="20"/>
        <v/>
      </c>
      <c r="AO94" s="163"/>
      <c r="AP94" s="164"/>
      <c r="AQ94" s="101"/>
      <c r="AT94" s="20" t="str">
        <f t="shared" si="21"/>
        <v>No</v>
      </c>
      <c r="AU94" s="20" t="str">
        <f>IF(E94="","",IF(ISNA(VLOOKUP($E94,'A-1 On-Site Habitat Baseline'!$D$1:$AV$258,4,FALSE)),"",(VLOOKUP($E94,'A-1 On-Site Habitat Baseline'!$D$1:$AV$258,4,FALSE))))</f>
        <v/>
      </c>
    </row>
    <row r="95" spans="1:47" x14ac:dyDescent="0.3">
      <c r="A95" s="20" t="str">
        <f>IF(E95="","",IF(ISNA(VLOOKUP($E95,'A-1 On-Site Habitat Baseline'!$D$1:$O$258,2,FALSE)),"",(VLOOKUP($E95,'A-1 On-Site Habitat Baseline'!$D$1:$O$258,2,FALSE))))</f>
        <v/>
      </c>
      <c r="B95" s="20" t="str">
        <f>IF(E95="","",IF(ISNA(VLOOKUP($E95,'A-1 On-Site Habitat Baseline'!$D$1:$O$258,3,FALSE)),"",(VLOOKUP($E95,'A-1 On-Site Habitat Baseline'!$D$1:$O$258,3,FALSE))))</f>
        <v/>
      </c>
      <c r="C95" s="20" t="str">
        <f>IFERROR(INDEX('G-8 Condition Look up'!$I$4:$I$135,MATCH(S95,'G-8 Condition Look up'!$A$4:$A$135,0)),"")</f>
        <v/>
      </c>
      <c r="E95" s="319" t="str">
        <f>'A-1 On-Site Habitat Baseline'!AL94</f>
        <v/>
      </c>
      <c r="F95" s="310" t="str">
        <f>IF(E95="","",IF(ISNA(VLOOKUP($E95,'A-1 On-Site Habitat Baseline'!$D$1:$AV$258,45,FALSE)),"",(VLOOKUP($E95,'A-1 On-Site Habitat Baseline'!$D$1:$AV$258,45,FALSE))))</f>
        <v/>
      </c>
      <c r="G95" s="310" t="str">
        <f>IF(E95="","",IF(ISNA(VLOOKUP($E95,'A-1 On-Site Habitat Baseline'!$D$1:$O$258,5,FALSE)),"",(VLOOKUP($E95,'A-1 On-Site Habitat Baseline'!$D$1:$O$258,5,FALSE))))</f>
        <v/>
      </c>
      <c r="H95" s="310" t="str">
        <f>IF(E95="","",IF(ISNA(VLOOKUP($E95,'A-1 On-Site Habitat Baseline'!$D$1:$O$258,6,FALSE)),"",(VLOOKUP($E95,'A-1 On-Site Habitat Baseline'!$D$1:$O$258,6,FALSE))))</f>
        <v/>
      </c>
      <c r="I95" s="310" t="str">
        <f>IF(E95="","",IF(ISNA(VLOOKUP($E95,'A-1 On-Site Habitat Baseline'!$D$1:$O$258,7,FALSE)),"",(VLOOKUP($E95,'A-1 On-Site Habitat Baseline'!$D$1:$O$258,7,FALSE))))</f>
        <v/>
      </c>
      <c r="J95" s="310" t="str">
        <f>IF(E95="","",IF(ISNA(VLOOKUP($E95,'A-1 On-Site Habitat Baseline'!$D$1:$O$258,8,FALSE)),"",(VLOOKUP($E95,'A-1 On-Site Habitat Baseline'!$D$1:$O$258,8,FALSE))))</f>
        <v/>
      </c>
      <c r="K95" s="310" t="str">
        <f>IF(E95="","",IF(ISNA(VLOOKUP($E95,'A-1 On-Site Habitat Baseline'!$D$1:$O$258,9,FALSE)),"",(VLOOKUP($E95,'A-1 On-Site Habitat Baseline'!$D$1:$O$258,9,FALSE))))</f>
        <v/>
      </c>
      <c r="L95" s="310" t="str">
        <f>IF(E95="","",IF(ISNA(VLOOKUP($E95,'A-1 On-Site Habitat Baseline'!$D$1:$O$258,11,FALSE)),"",(VLOOKUP($E95,'A-1 On-Site Habitat Baseline'!$D$1:$O$258,11,FALSE))))</f>
        <v/>
      </c>
      <c r="M95" s="310" t="str">
        <f>IF(E95="","",IF(ISNA(VLOOKUP($E95,'A-1 On-Site Habitat Baseline'!$D$1:$O$258,12,FALSE)),"",(VLOOKUP($E95,'A-1 On-Site Habitat Baseline'!$D$1:$O$258,12,FALSE))))</f>
        <v/>
      </c>
      <c r="N95" s="320" t="str">
        <f>IF(E95="","",IF(ISNA(VLOOKUP($E95,'A-1 On-Site Habitat Baseline'!$D$1:$X$258,14,FALSE)),"",(VLOOKUP($E95,'A-1 On-Site Habitat Baseline'!$D$1:$X$258,14,FALSE))))</f>
        <v/>
      </c>
      <c r="O95" s="314" t="str">
        <f>IF(E95="","",IF(ISNA(VLOOKUP($E95,'A-1 On-Site Habitat Baseline'!$D$1:$X$258,16,FALSE)),"",(VLOOKUP($E95,'A-1 On-Site Habitat Baseline'!$D$1:$X$258,13,FALSE))))</f>
        <v/>
      </c>
      <c r="P95" s="161" t="str">
        <f>IFERROR(INDEX('G-1 All Habitats'!$AG$49:$AG$63,MATCH(Q95,'G-1 All Habitats'!$AF$27:$AF$41,0)),"")</f>
        <v/>
      </c>
      <c r="Q95" s="162" t="str">
        <f t="shared" si="13"/>
        <v/>
      </c>
      <c r="R95" s="162"/>
      <c r="S95" s="252" t="str">
        <f>IFERROR(INDEX('G-1 All Habitats'!$B$3:$B$135,MATCH(R95,'G-1 All Habitats'!$A$3:$A$135,0)),"")</f>
        <v/>
      </c>
      <c r="T95" s="290" t="str">
        <f t="shared" si="14"/>
        <v/>
      </c>
      <c r="U95" s="291" t="str">
        <f t="shared" si="15"/>
        <v/>
      </c>
      <c r="V95" s="325" t="str">
        <f t="shared" si="11"/>
        <v/>
      </c>
      <c r="W95" s="310" t="str">
        <f>IF(S95="","",VLOOKUP(S95,'G-1 All Habitats'!$B$2:$M$135,10,FALSE))</f>
        <v/>
      </c>
      <c r="X95" s="310" t="str">
        <f>IFERROR(VLOOKUP(W95,'G-1 All Habitats'!$V$3:$W$7,2,FALSE),"")</f>
        <v/>
      </c>
      <c r="Y95" s="45"/>
      <c r="Z95" s="314" t="str">
        <f>IFERROR(INDEX('G-8 Condition Look up'!$A$3:$H$135,MATCH(S95,'G-8 Condition Look up'!$A$3:$A$135,0),MATCH(Y95,'G-8 Condition Look up'!$A$3:$H$3,0)),"")</f>
        <v/>
      </c>
      <c r="AA95" s="38"/>
      <c r="AB95" s="310" t="str">
        <f>IF(AA95="","",IF(VLOOKUP(AA95,'G-3 Multipliers'!$L$3:$N$6,2,FALSE)=0,"Spatial Data Missing ⚠",VLOOKUP(AA95,'G-3 Multipliers'!$L$3:$N$6,2,FALSE)))</f>
        <v/>
      </c>
      <c r="AC95" s="314" t="str">
        <f>IF(AA95="","",IF(VLOOKUP(AA95,'G-3 Multipliers'!$L$3:$N$6,3,FALSE)=0,"Spatial Data Missing ⚠",VLOOKUP(AA95,'G-3 Multipliers'!$L$3:$N$6,3,FALSE)))</f>
        <v/>
      </c>
      <c r="AD95" s="327" t="str">
        <f t="shared" si="12"/>
        <v/>
      </c>
      <c r="AE95" s="47"/>
      <c r="AF95" s="47"/>
      <c r="AG95" s="298" t="str">
        <f t="shared" si="16"/>
        <v/>
      </c>
      <c r="AH95" s="311" t="str">
        <f t="shared" si="17"/>
        <v/>
      </c>
      <c r="AI95" s="312" t="str">
        <f>IF(AH95="Check Data","Check Data",IFERROR(VLOOKUP(AH95,'G-4 Temporal multipliers'!$A$4:$C$36,3,FALSE),""))</f>
        <v/>
      </c>
      <c r="AJ95" s="290" t="str">
        <f>IF(S95="","",VLOOKUP(S95,'G-3 Multipliers'!$A$2:$E$134,4,FALSE))</f>
        <v/>
      </c>
      <c r="AK95" s="298" t="str">
        <f t="shared" si="18"/>
        <v/>
      </c>
      <c r="AL95" s="298" t="str">
        <f t="shared" si="19"/>
        <v/>
      </c>
      <c r="AM95" s="328" t="str">
        <f>IFERROR(IF(F95="","",IF(AH95="Check Data ⚠","Check Data ⚠",VLOOKUP(AL95, 'G-3 Multipliers'!$P$2:$Q$6,2,FALSE))),"")</f>
        <v/>
      </c>
      <c r="AN95" s="304" t="str">
        <f t="shared" si="20"/>
        <v/>
      </c>
      <c r="AO95" s="163"/>
      <c r="AP95" s="164"/>
      <c r="AQ95" s="101"/>
      <c r="AT95" s="20" t="str">
        <f t="shared" si="21"/>
        <v>No</v>
      </c>
      <c r="AU95" s="20" t="str">
        <f>IF(E95="","",IF(ISNA(VLOOKUP($E95,'A-1 On-Site Habitat Baseline'!$D$1:$AV$258,4,FALSE)),"",(VLOOKUP($E95,'A-1 On-Site Habitat Baseline'!$D$1:$AV$258,4,FALSE))))</f>
        <v/>
      </c>
    </row>
    <row r="96" spans="1:47" x14ac:dyDescent="0.3">
      <c r="A96" s="20" t="str">
        <f>IF(E96="","",IF(ISNA(VLOOKUP($E96,'A-1 On-Site Habitat Baseline'!$D$1:$O$258,2,FALSE)),"",(VLOOKUP($E96,'A-1 On-Site Habitat Baseline'!$D$1:$O$258,2,FALSE))))</f>
        <v/>
      </c>
      <c r="B96" s="20" t="str">
        <f>IF(E96="","",IF(ISNA(VLOOKUP($E96,'A-1 On-Site Habitat Baseline'!$D$1:$O$258,3,FALSE)),"",(VLOOKUP($E96,'A-1 On-Site Habitat Baseline'!$D$1:$O$258,3,FALSE))))</f>
        <v/>
      </c>
      <c r="C96" s="20" t="str">
        <f>IFERROR(INDEX('G-8 Condition Look up'!$I$4:$I$135,MATCH(S96,'G-8 Condition Look up'!$A$4:$A$135,0)),"")</f>
        <v/>
      </c>
      <c r="E96" s="319" t="str">
        <f>'A-1 On-Site Habitat Baseline'!AL95</f>
        <v/>
      </c>
      <c r="F96" s="310" t="str">
        <f>IF(E96="","",IF(ISNA(VLOOKUP($E96,'A-1 On-Site Habitat Baseline'!$D$1:$AV$258,45,FALSE)),"",(VLOOKUP($E96,'A-1 On-Site Habitat Baseline'!$D$1:$AV$258,45,FALSE))))</f>
        <v/>
      </c>
      <c r="G96" s="310" t="str">
        <f>IF(E96="","",IF(ISNA(VLOOKUP($E96,'A-1 On-Site Habitat Baseline'!$D$1:$O$258,5,FALSE)),"",(VLOOKUP($E96,'A-1 On-Site Habitat Baseline'!$D$1:$O$258,5,FALSE))))</f>
        <v/>
      </c>
      <c r="H96" s="310" t="str">
        <f>IF(E96="","",IF(ISNA(VLOOKUP($E96,'A-1 On-Site Habitat Baseline'!$D$1:$O$258,6,FALSE)),"",(VLOOKUP($E96,'A-1 On-Site Habitat Baseline'!$D$1:$O$258,6,FALSE))))</f>
        <v/>
      </c>
      <c r="I96" s="310" t="str">
        <f>IF(E96="","",IF(ISNA(VLOOKUP($E96,'A-1 On-Site Habitat Baseline'!$D$1:$O$258,7,FALSE)),"",(VLOOKUP($E96,'A-1 On-Site Habitat Baseline'!$D$1:$O$258,7,FALSE))))</f>
        <v/>
      </c>
      <c r="J96" s="310" t="str">
        <f>IF(E96="","",IF(ISNA(VLOOKUP($E96,'A-1 On-Site Habitat Baseline'!$D$1:$O$258,8,FALSE)),"",(VLOOKUP($E96,'A-1 On-Site Habitat Baseline'!$D$1:$O$258,8,FALSE))))</f>
        <v/>
      </c>
      <c r="K96" s="310" t="str">
        <f>IF(E96="","",IF(ISNA(VLOOKUP($E96,'A-1 On-Site Habitat Baseline'!$D$1:$O$258,9,FALSE)),"",(VLOOKUP($E96,'A-1 On-Site Habitat Baseline'!$D$1:$O$258,9,FALSE))))</f>
        <v/>
      </c>
      <c r="L96" s="310" t="str">
        <f>IF(E96="","",IF(ISNA(VLOOKUP($E96,'A-1 On-Site Habitat Baseline'!$D$1:$O$258,11,FALSE)),"",(VLOOKUP($E96,'A-1 On-Site Habitat Baseline'!$D$1:$O$258,11,FALSE))))</f>
        <v/>
      </c>
      <c r="M96" s="310" t="str">
        <f>IF(E96="","",IF(ISNA(VLOOKUP($E96,'A-1 On-Site Habitat Baseline'!$D$1:$O$258,12,FALSE)),"",(VLOOKUP($E96,'A-1 On-Site Habitat Baseline'!$D$1:$O$258,12,FALSE))))</f>
        <v/>
      </c>
      <c r="N96" s="320" t="str">
        <f>IF(E96="","",IF(ISNA(VLOOKUP($E96,'A-1 On-Site Habitat Baseline'!$D$1:$X$258,14,FALSE)),"",(VLOOKUP($E96,'A-1 On-Site Habitat Baseline'!$D$1:$X$258,14,FALSE))))</f>
        <v/>
      </c>
      <c r="O96" s="314" t="str">
        <f>IF(E96="","",IF(ISNA(VLOOKUP($E96,'A-1 On-Site Habitat Baseline'!$D$1:$X$258,16,FALSE)),"",(VLOOKUP($E96,'A-1 On-Site Habitat Baseline'!$D$1:$X$258,13,FALSE))))</f>
        <v/>
      </c>
      <c r="P96" s="161" t="str">
        <f>IFERROR(INDEX('G-1 All Habitats'!$AG$49:$AG$63,MATCH(Q96,'G-1 All Habitats'!$AF$27:$AF$41,0)),"")</f>
        <v/>
      </c>
      <c r="Q96" s="162" t="str">
        <f t="shared" si="13"/>
        <v/>
      </c>
      <c r="R96" s="162"/>
      <c r="S96" s="252" t="str">
        <f>IFERROR(INDEX('G-1 All Habitats'!$B$3:$B$135,MATCH(R96,'G-1 All Habitats'!$A$3:$A$135,0)),"")</f>
        <v/>
      </c>
      <c r="T96" s="290" t="str">
        <f t="shared" si="14"/>
        <v/>
      </c>
      <c r="U96" s="291" t="str">
        <f t="shared" si="15"/>
        <v/>
      </c>
      <c r="V96" s="325" t="str">
        <f t="shared" si="11"/>
        <v/>
      </c>
      <c r="W96" s="310" t="str">
        <f>IF(S96="","",VLOOKUP(S96,'G-1 All Habitats'!$B$2:$M$135,10,FALSE))</f>
        <v/>
      </c>
      <c r="X96" s="310" t="str">
        <f>IFERROR(VLOOKUP(W96,'G-1 All Habitats'!$V$3:$W$7,2,FALSE),"")</f>
        <v/>
      </c>
      <c r="Y96" s="45"/>
      <c r="Z96" s="314" t="str">
        <f>IFERROR(INDEX('G-8 Condition Look up'!$A$3:$H$135,MATCH(S96,'G-8 Condition Look up'!$A$3:$A$135,0),MATCH(Y96,'G-8 Condition Look up'!$A$3:$H$3,0)),"")</f>
        <v/>
      </c>
      <c r="AA96" s="38"/>
      <c r="AB96" s="310" t="str">
        <f>IF(AA96="","",IF(VLOOKUP(AA96,'G-3 Multipliers'!$L$3:$N$6,2,FALSE)=0,"Spatial Data Missing ⚠",VLOOKUP(AA96,'G-3 Multipliers'!$L$3:$N$6,2,FALSE)))</f>
        <v/>
      </c>
      <c r="AC96" s="314" t="str">
        <f>IF(AA96="","",IF(VLOOKUP(AA96,'G-3 Multipliers'!$L$3:$N$6,3,FALSE)=0,"Spatial Data Missing ⚠",VLOOKUP(AA96,'G-3 Multipliers'!$L$3:$N$6,3,FALSE)))</f>
        <v/>
      </c>
      <c r="AD96" s="327" t="str">
        <f t="shared" si="12"/>
        <v/>
      </c>
      <c r="AE96" s="47"/>
      <c r="AF96" s="47"/>
      <c r="AG96" s="298" t="str">
        <f t="shared" si="16"/>
        <v/>
      </c>
      <c r="AH96" s="311" t="str">
        <f t="shared" si="17"/>
        <v/>
      </c>
      <c r="AI96" s="312" t="str">
        <f>IF(AH96="Check Data","Check Data",IFERROR(VLOOKUP(AH96,'G-4 Temporal multipliers'!$A$4:$C$36,3,FALSE),""))</f>
        <v/>
      </c>
      <c r="AJ96" s="290" t="str">
        <f>IF(S96="","",VLOOKUP(S96,'G-3 Multipliers'!$A$2:$E$134,4,FALSE))</f>
        <v/>
      </c>
      <c r="AK96" s="298" t="str">
        <f t="shared" si="18"/>
        <v/>
      </c>
      <c r="AL96" s="298" t="str">
        <f t="shared" si="19"/>
        <v/>
      </c>
      <c r="AM96" s="328" t="str">
        <f>IFERROR(IF(F96="","",IF(AH96="Check Data ⚠","Check Data ⚠",VLOOKUP(AL96, 'G-3 Multipliers'!$P$2:$Q$6,2,FALSE))),"")</f>
        <v/>
      </c>
      <c r="AN96" s="304" t="str">
        <f t="shared" si="20"/>
        <v/>
      </c>
      <c r="AO96" s="163"/>
      <c r="AP96" s="164"/>
      <c r="AQ96" s="101"/>
      <c r="AT96" s="20" t="str">
        <f t="shared" si="21"/>
        <v>No</v>
      </c>
      <c r="AU96" s="20" t="str">
        <f>IF(E96="","",IF(ISNA(VLOOKUP($E96,'A-1 On-Site Habitat Baseline'!$D$1:$AV$258,4,FALSE)),"",(VLOOKUP($E96,'A-1 On-Site Habitat Baseline'!$D$1:$AV$258,4,FALSE))))</f>
        <v/>
      </c>
    </row>
    <row r="97" spans="1:47" x14ac:dyDescent="0.3">
      <c r="A97" s="20" t="str">
        <f>IF(E97="","",IF(ISNA(VLOOKUP($E97,'A-1 On-Site Habitat Baseline'!$D$1:$O$258,2,FALSE)),"",(VLOOKUP($E97,'A-1 On-Site Habitat Baseline'!$D$1:$O$258,2,FALSE))))</f>
        <v/>
      </c>
      <c r="B97" s="20" t="str">
        <f>IF(E97="","",IF(ISNA(VLOOKUP($E97,'A-1 On-Site Habitat Baseline'!$D$1:$O$258,3,FALSE)),"",(VLOOKUP($E97,'A-1 On-Site Habitat Baseline'!$D$1:$O$258,3,FALSE))))</f>
        <v/>
      </c>
      <c r="C97" s="20" t="str">
        <f>IFERROR(INDEX('G-8 Condition Look up'!$I$4:$I$135,MATCH(S97,'G-8 Condition Look up'!$A$4:$A$135,0)),"")</f>
        <v/>
      </c>
      <c r="E97" s="319" t="str">
        <f>'A-1 On-Site Habitat Baseline'!AL96</f>
        <v/>
      </c>
      <c r="F97" s="310" t="str">
        <f>IF(E97="","",IF(ISNA(VLOOKUP($E97,'A-1 On-Site Habitat Baseline'!$D$1:$AV$258,45,FALSE)),"",(VLOOKUP($E97,'A-1 On-Site Habitat Baseline'!$D$1:$AV$258,45,FALSE))))</f>
        <v/>
      </c>
      <c r="G97" s="310" t="str">
        <f>IF(E97="","",IF(ISNA(VLOOKUP($E97,'A-1 On-Site Habitat Baseline'!$D$1:$O$258,5,FALSE)),"",(VLOOKUP($E97,'A-1 On-Site Habitat Baseline'!$D$1:$O$258,5,FALSE))))</f>
        <v/>
      </c>
      <c r="H97" s="310" t="str">
        <f>IF(E97="","",IF(ISNA(VLOOKUP($E97,'A-1 On-Site Habitat Baseline'!$D$1:$O$258,6,FALSE)),"",(VLOOKUP($E97,'A-1 On-Site Habitat Baseline'!$D$1:$O$258,6,FALSE))))</f>
        <v/>
      </c>
      <c r="I97" s="310" t="str">
        <f>IF(E97="","",IF(ISNA(VLOOKUP($E97,'A-1 On-Site Habitat Baseline'!$D$1:$O$258,7,FALSE)),"",(VLOOKUP($E97,'A-1 On-Site Habitat Baseline'!$D$1:$O$258,7,FALSE))))</f>
        <v/>
      </c>
      <c r="J97" s="310" t="str">
        <f>IF(E97="","",IF(ISNA(VLOOKUP($E97,'A-1 On-Site Habitat Baseline'!$D$1:$O$258,8,FALSE)),"",(VLOOKUP($E97,'A-1 On-Site Habitat Baseline'!$D$1:$O$258,8,FALSE))))</f>
        <v/>
      </c>
      <c r="K97" s="310" t="str">
        <f>IF(E97="","",IF(ISNA(VLOOKUP($E97,'A-1 On-Site Habitat Baseline'!$D$1:$O$258,9,FALSE)),"",(VLOOKUP($E97,'A-1 On-Site Habitat Baseline'!$D$1:$O$258,9,FALSE))))</f>
        <v/>
      </c>
      <c r="L97" s="310" t="str">
        <f>IF(E97="","",IF(ISNA(VLOOKUP($E97,'A-1 On-Site Habitat Baseline'!$D$1:$O$258,11,FALSE)),"",(VLOOKUP($E97,'A-1 On-Site Habitat Baseline'!$D$1:$O$258,11,FALSE))))</f>
        <v/>
      </c>
      <c r="M97" s="310" t="str">
        <f>IF(E97="","",IF(ISNA(VLOOKUP($E97,'A-1 On-Site Habitat Baseline'!$D$1:$O$258,12,FALSE)),"",(VLOOKUP($E97,'A-1 On-Site Habitat Baseline'!$D$1:$O$258,12,FALSE))))</f>
        <v/>
      </c>
      <c r="N97" s="320" t="str">
        <f>IF(E97="","",IF(ISNA(VLOOKUP($E97,'A-1 On-Site Habitat Baseline'!$D$1:$X$258,14,FALSE)),"",(VLOOKUP($E97,'A-1 On-Site Habitat Baseline'!$D$1:$X$258,14,FALSE))))</f>
        <v/>
      </c>
      <c r="O97" s="314" t="str">
        <f>IF(E97="","",IF(ISNA(VLOOKUP($E97,'A-1 On-Site Habitat Baseline'!$D$1:$X$258,16,FALSE)),"",(VLOOKUP($E97,'A-1 On-Site Habitat Baseline'!$D$1:$X$258,13,FALSE))))</f>
        <v/>
      </c>
      <c r="P97" s="161" t="str">
        <f>IFERROR(INDEX('G-1 All Habitats'!$AG$49:$AG$63,MATCH(Q97,'G-1 All Habitats'!$AF$27:$AF$41,0)),"")</f>
        <v/>
      </c>
      <c r="Q97" s="162" t="str">
        <f t="shared" si="13"/>
        <v/>
      </c>
      <c r="R97" s="162"/>
      <c r="S97" s="252" t="str">
        <f>IFERROR(INDEX('G-1 All Habitats'!$B$3:$B$135,MATCH(R97,'G-1 All Habitats'!$A$3:$A$135,0)),"")</f>
        <v/>
      </c>
      <c r="T97" s="290" t="str">
        <f t="shared" si="14"/>
        <v/>
      </c>
      <c r="U97" s="291" t="str">
        <f t="shared" si="15"/>
        <v/>
      </c>
      <c r="V97" s="325" t="str">
        <f t="shared" si="11"/>
        <v/>
      </c>
      <c r="W97" s="310" t="str">
        <f>IF(S97="","",VLOOKUP(S97,'G-1 All Habitats'!$B$2:$M$135,10,FALSE))</f>
        <v/>
      </c>
      <c r="X97" s="310" t="str">
        <f>IFERROR(VLOOKUP(W97,'G-1 All Habitats'!$V$3:$W$7,2,FALSE),"")</f>
        <v/>
      </c>
      <c r="Y97" s="45"/>
      <c r="Z97" s="314" t="str">
        <f>IFERROR(INDEX('G-8 Condition Look up'!$A$3:$H$135,MATCH(S97,'G-8 Condition Look up'!$A$3:$A$135,0),MATCH(Y97,'G-8 Condition Look up'!$A$3:$H$3,0)),"")</f>
        <v/>
      </c>
      <c r="AA97" s="38"/>
      <c r="AB97" s="310" t="str">
        <f>IF(AA97="","",IF(VLOOKUP(AA97,'G-3 Multipliers'!$L$3:$N$6,2,FALSE)=0,"Spatial Data Missing ⚠",VLOOKUP(AA97,'G-3 Multipliers'!$L$3:$N$6,2,FALSE)))</f>
        <v/>
      </c>
      <c r="AC97" s="314" t="str">
        <f>IF(AA97="","",IF(VLOOKUP(AA97,'G-3 Multipliers'!$L$3:$N$6,3,FALSE)=0,"Spatial Data Missing ⚠",VLOOKUP(AA97,'G-3 Multipliers'!$L$3:$N$6,3,FALSE)))</f>
        <v/>
      </c>
      <c r="AD97" s="327" t="str">
        <f t="shared" si="12"/>
        <v/>
      </c>
      <c r="AE97" s="47"/>
      <c r="AF97" s="47"/>
      <c r="AG97" s="298" t="str">
        <f t="shared" si="16"/>
        <v/>
      </c>
      <c r="AH97" s="311" t="str">
        <f t="shared" si="17"/>
        <v/>
      </c>
      <c r="AI97" s="312" t="str">
        <f>IF(AH97="Check Data","Check Data",IFERROR(VLOOKUP(AH97,'G-4 Temporal multipliers'!$A$4:$C$36,3,FALSE),""))</f>
        <v/>
      </c>
      <c r="AJ97" s="290" t="str">
        <f>IF(S97="","",VLOOKUP(S97,'G-3 Multipliers'!$A$2:$E$134,4,FALSE))</f>
        <v/>
      </c>
      <c r="AK97" s="298" t="str">
        <f t="shared" si="18"/>
        <v/>
      </c>
      <c r="AL97" s="298" t="str">
        <f t="shared" si="19"/>
        <v/>
      </c>
      <c r="AM97" s="328" t="str">
        <f>IFERROR(IF(F97="","",IF(AH97="Check Data ⚠","Check Data ⚠",VLOOKUP(AL97, 'G-3 Multipliers'!$P$2:$Q$6,2,FALSE))),"")</f>
        <v/>
      </c>
      <c r="AN97" s="304" t="str">
        <f t="shared" si="20"/>
        <v/>
      </c>
      <c r="AO97" s="163"/>
      <c r="AP97" s="164"/>
      <c r="AQ97" s="101"/>
      <c r="AT97" s="20" t="str">
        <f t="shared" si="21"/>
        <v>No</v>
      </c>
      <c r="AU97" s="20" t="str">
        <f>IF(E97="","",IF(ISNA(VLOOKUP($E97,'A-1 On-Site Habitat Baseline'!$D$1:$AV$258,4,FALSE)),"",(VLOOKUP($E97,'A-1 On-Site Habitat Baseline'!$D$1:$AV$258,4,FALSE))))</f>
        <v/>
      </c>
    </row>
    <row r="98" spans="1:47" x14ac:dyDescent="0.3">
      <c r="A98" s="20" t="str">
        <f>IF(E98="","",IF(ISNA(VLOOKUP($E98,'A-1 On-Site Habitat Baseline'!$D$1:$O$258,2,FALSE)),"",(VLOOKUP($E98,'A-1 On-Site Habitat Baseline'!$D$1:$O$258,2,FALSE))))</f>
        <v/>
      </c>
      <c r="B98" s="20" t="str">
        <f>IF(E98="","",IF(ISNA(VLOOKUP($E98,'A-1 On-Site Habitat Baseline'!$D$1:$O$258,3,FALSE)),"",(VLOOKUP($E98,'A-1 On-Site Habitat Baseline'!$D$1:$O$258,3,FALSE))))</f>
        <v/>
      </c>
      <c r="C98" s="20" t="str">
        <f>IFERROR(INDEX('G-8 Condition Look up'!$I$4:$I$135,MATCH(S98,'G-8 Condition Look up'!$A$4:$A$135,0)),"")</f>
        <v/>
      </c>
      <c r="E98" s="319" t="str">
        <f>'A-1 On-Site Habitat Baseline'!AL97</f>
        <v/>
      </c>
      <c r="F98" s="310" t="str">
        <f>IF(E98="","",IF(ISNA(VLOOKUP($E98,'A-1 On-Site Habitat Baseline'!$D$1:$AV$258,45,FALSE)),"",(VLOOKUP($E98,'A-1 On-Site Habitat Baseline'!$D$1:$AV$258,45,FALSE))))</f>
        <v/>
      </c>
      <c r="G98" s="310" t="str">
        <f>IF(E98="","",IF(ISNA(VLOOKUP($E98,'A-1 On-Site Habitat Baseline'!$D$1:$O$258,5,FALSE)),"",(VLOOKUP($E98,'A-1 On-Site Habitat Baseline'!$D$1:$O$258,5,FALSE))))</f>
        <v/>
      </c>
      <c r="H98" s="310" t="str">
        <f>IF(E98="","",IF(ISNA(VLOOKUP($E98,'A-1 On-Site Habitat Baseline'!$D$1:$O$258,6,FALSE)),"",(VLOOKUP($E98,'A-1 On-Site Habitat Baseline'!$D$1:$O$258,6,FALSE))))</f>
        <v/>
      </c>
      <c r="I98" s="310" t="str">
        <f>IF(E98="","",IF(ISNA(VLOOKUP($E98,'A-1 On-Site Habitat Baseline'!$D$1:$O$258,7,FALSE)),"",(VLOOKUP($E98,'A-1 On-Site Habitat Baseline'!$D$1:$O$258,7,FALSE))))</f>
        <v/>
      </c>
      <c r="J98" s="310" t="str">
        <f>IF(E98="","",IF(ISNA(VLOOKUP($E98,'A-1 On-Site Habitat Baseline'!$D$1:$O$258,8,FALSE)),"",(VLOOKUP($E98,'A-1 On-Site Habitat Baseline'!$D$1:$O$258,8,FALSE))))</f>
        <v/>
      </c>
      <c r="K98" s="310" t="str">
        <f>IF(E98="","",IF(ISNA(VLOOKUP($E98,'A-1 On-Site Habitat Baseline'!$D$1:$O$258,9,FALSE)),"",(VLOOKUP($E98,'A-1 On-Site Habitat Baseline'!$D$1:$O$258,9,FALSE))))</f>
        <v/>
      </c>
      <c r="L98" s="310" t="str">
        <f>IF(E98="","",IF(ISNA(VLOOKUP($E98,'A-1 On-Site Habitat Baseline'!$D$1:$O$258,11,FALSE)),"",(VLOOKUP($E98,'A-1 On-Site Habitat Baseline'!$D$1:$O$258,11,FALSE))))</f>
        <v/>
      </c>
      <c r="M98" s="310" t="str">
        <f>IF(E98="","",IF(ISNA(VLOOKUP($E98,'A-1 On-Site Habitat Baseline'!$D$1:$O$258,12,FALSE)),"",(VLOOKUP($E98,'A-1 On-Site Habitat Baseline'!$D$1:$O$258,12,FALSE))))</f>
        <v/>
      </c>
      <c r="N98" s="320" t="str">
        <f>IF(E98="","",IF(ISNA(VLOOKUP($E98,'A-1 On-Site Habitat Baseline'!$D$1:$X$258,14,FALSE)),"",(VLOOKUP($E98,'A-1 On-Site Habitat Baseline'!$D$1:$X$258,14,FALSE))))</f>
        <v/>
      </c>
      <c r="O98" s="314" t="str">
        <f>IF(E98="","",IF(ISNA(VLOOKUP($E98,'A-1 On-Site Habitat Baseline'!$D$1:$X$258,16,FALSE)),"",(VLOOKUP($E98,'A-1 On-Site Habitat Baseline'!$D$1:$X$258,13,FALSE))))</f>
        <v/>
      </c>
      <c r="P98" s="161" t="str">
        <f>IFERROR(INDEX('G-1 All Habitats'!$AG$49:$AG$63,MATCH(Q98,'G-1 All Habitats'!$AF$27:$AF$41,0)),"")</f>
        <v/>
      </c>
      <c r="Q98" s="162" t="str">
        <f t="shared" si="13"/>
        <v/>
      </c>
      <c r="R98" s="162"/>
      <c r="S98" s="252" t="str">
        <f>IFERROR(INDEX('G-1 All Habitats'!$B$3:$B$135,MATCH(R98,'G-1 All Habitats'!$A$3:$A$135,0)),"")</f>
        <v/>
      </c>
      <c r="T98" s="290" t="str">
        <f t="shared" si="14"/>
        <v/>
      </c>
      <c r="U98" s="291" t="str">
        <f t="shared" si="15"/>
        <v/>
      </c>
      <c r="V98" s="325" t="str">
        <f t="shared" si="11"/>
        <v/>
      </c>
      <c r="W98" s="310" t="str">
        <f>IF(S98="","",VLOOKUP(S98,'G-1 All Habitats'!$B$2:$M$135,10,FALSE))</f>
        <v/>
      </c>
      <c r="X98" s="310" t="str">
        <f>IFERROR(VLOOKUP(W98,'G-1 All Habitats'!$V$3:$W$7,2,FALSE),"")</f>
        <v/>
      </c>
      <c r="Y98" s="45"/>
      <c r="Z98" s="314" t="str">
        <f>IFERROR(INDEX('G-8 Condition Look up'!$A$3:$H$135,MATCH(S98,'G-8 Condition Look up'!$A$3:$A$135,0),MATCH(Y98,'G-8 Condition Look up'!$A$3:$H$3,0)),"")</f>
        <v/>
      </c>
      <c r="AA98" s="38"/>
      <c r="AB98" s="310" t="str">
        <f>IF(AA98="","",IF(VLOOKUP(AA98,'G-3 Multipliers'!$L$3:$N$6,2,FALSE)=0,"Spatial Data Missing ⚠",VLOOKUP(AA98,'G-3 Multipliers'!$L$3:$N$6,2,FALSE)))</f>
        <v/>
      </c>
      <c r="AC98" s="314" t="str">
        <f>IF(AA98="","",IF(VLOOKUP(AA98,'G-3 Multipliers'!$L$3:$N$6,3,FALSE)=0,"Spatial Data Missing ⚠",VLOOKUP(AA98,'G-3 Multipliers'!$L$3:$N$6,3,FALSE)))</f>
        <v/>
      </c>
      <c r="AD98" s="327" t="str">
        <f t="shared" si="12"/>
        <v/>
      </c>
      <c r="AE98" s="47"/>
      <c r="AF98" s="47"/>
      <c r="AG98" s="298" t="str">
        <f t="shared" si="16"/>
        <v/>
      </c>
      <c r="AH98" s="311" t="str">
        <f t="shared" si="17"/>
        <v/>
      </c>
      <c r="AI98" s="312" t="str">
        <f>IF(AH98="Check Data","Check Data",IFERROR(VLOOKUP(AH98,'G-4 Temporal multipliers'!$A$4:$C$36,3,FALSE),""))</f>
        <v/>
      </c>
      <c r="AJ98" s="290" t="str">
        <f>IF(S98="","",VLOOKUP(S98,'G-3 Multipliers'!$A$2:$E$134,4,FALSE))</f>
        <v/>
      </c>
      <c r="AK98" s="298" t="str">
        <f t="shared" si="18"/>
        <v/>
      </c>
      <c r="AL98" s="298" t="str">
        <f t="shared" si="19"/>
        <v/>
      </c>
      <c r="AM98" s="328" t="str">
        <f>IFERROR(IF(F98="","",IF(AH98="Check Data ⚠","Check Data ⚠",VLOOKUP(AL98, 'G-3 Multipliers'!$P$2:$Q$6,2,FALSE))),"")</f>
        <v/>
      </c>
      <c r="AN98" s="304" t="str">
        <f t="shared" si="20"/>
        <v/>
      </c>
      <c r="AO98" s="163"/>
      <c r="AP98" s="164"/>
      <c r="AQ98" s="101"/>
      <c r="AT98" s="20" t="str">
        <f t="shared" si="21"/>
        <v>No</v>
      </c>
      <c r="AU98" s="20" t="str">
        <f>IF(E98="","",IF(ISNA(VLOOKUP($E98,'A-1 On-Site Habitat Baseline'!$D$1:$AV$258,4,FALSE)),"",(VLOOKUP($E98,'A-1 On-Site Habitat Baseline'!$D$1:$AV$258,4,FALSE))))</f>
        <v/>
      </c>
    </row>
    <row r="99" spans="1:47" x14ac:dyDescent="0.3">
      <c r="A99" s="20" t="str">
        <f>IF(E99="","",IF(ISNA(VLOOKUP($E99,'A-1 On-Site Habitat Baseline'!$D$1:$O$258,2,FALSE)),"",(VLOOKUP($E99,'A-1 On-Site Habitat Baseline'!$D$1:$O$258,2,FALSE))))</f>
        <v/>
      </c>
      <c r="B99" s="20" t="str">
        <f>IF(E99="","",IF(ISNA(VLOOKUP($E99,'A-1 On-Site Habitat Baseline'!$D$1:$O$258,3,FALSE)),"",(VLOOKUP($E99,'A-1 On-Site Habitat Baseline'!$D$1:$O$258,3,FALSE))))</f>
        <v/>
      </c>
      <c r="C99" s="20" t="str">
        <f>IFERROR(INDEX('G-8 Condition Look up'!$I$4:$I$135,MATCH(S99,'G-8 Condition Look up'!$A$4:$A$135,0)),"")</f>
        <v/>
      </c>
      <c r="E99" s="319" t="str">
        <f>'A-1 On-Site Habitat Baseline'!AL98</f>
        <v/>
      </c>
      <c r="F99" s="310" t="str">
        <f>IF(E99="","",IF(ISNA(VLOOKUP($E99,'A-1 On-Site Habitat Baseline'!$D$1:$AV$258,45,FALSE)),"",(VLOOKUP($E99,'A-1 On-Site Habitat Baseline'!$D$1:$AV$258,45,FALSE))))</f>
        <v/>
      </c>
      <c r="G99" s="310" t="str">
        <f>IF(E99="","",IF(ISNA(VLOOKUP($E99,'A-1 On-Site Habitat Baseline'!$D$1:$O$258,5,FALSE)),"",(VLOOKUP($E99,'A-1 On-Site Habitat Baseline'!$D$1:$O$258,5,FALSE))))</f>
        <v/>
      </c>
      <c r="H99" s="310" t="str">
        <f>IF(E99="","",IF(ISNA(VLOOKUP($E99,'A-1 On-Site Habitat Baseline'!$D$1:$O$258,6,FALSE)),"",(VLOOKUP($E99,'A-1 On-Site Habitat Baseline'!$D$1:$O$258,6,FALSE))))</f>
        <v/>
      </c>
      <c r="I99" s="310" t="str">
        <f>IF(E99="","",IF(ISNA(VLOOKUP($E99,'A-1 On-Site Habitat Baseline'!$D$1:$O$258,7,FALSE)),"",(VLOOKUP($E99,'A-1 On-Site Habitat Baseline'!$D$1:$O$258,7,FALSE))))</f>
        <v/>
      </c>
      <c r="J99" s="310" t="str">
        <f>IF(E99="","",IF(ISNA(VLOOKUP($E99,'A-1 On-Site Habitat Baseline'!$D$1:$O$258,8,FALSE)),"",(VLOOKUP($E99,'A-1 On-Site Habitat Baseline'!$D$1:$O$258,8,FALSE))))</f>
        <v/>
      </c>
      <c r="K99" s="310" t="str">
        <f>IF(E99="","",IF(ISNA(VLOOKUP($E99,'A-1 On-Site Habitat Baseline'!$D$1:$O$258,9,FALSE)),"",(VLOOKUP($E99,'A-1 On-Site Habitat Baseline'!$D$1:$O$258,9,FALSE))))</f>
        <v/>
      </c>
      <c r="L99" s="310" t="str">
        <f>IF(E99="","",IF(ISNA(VLOOKUP($E99,'A-1 On-Site Habitat Baseline'!$D$1:$O$258,11,FALSE)),"",(VLOOKUP($E99,'A-1 On-Site Habitat Baseline'!$D$1:$O$258,11,FALSE))))</f>
        <v/>
      </c>
      <c r="M99" s="310" t="str">
        <f>IF(E99="","",IF(ISNA(VLOOKUP($E99,'A-1 On-Site Habitat Baseline'!$D$1:$O$258,12,FALSE)),"",(VLOOKUP($E99,'A-1 On-Site Habitat Baseline'!$D$1:$O$258,12,FALSE))))</f>
        <v/>
      </c>
      <c r="N99" s="320" t="str">
        <f>IF(E99="","",IF(ISNA(VLOOKUP($E99,'A-1 On-Site Habitat Baseline'!$D$1:$X$258,14,FALSE)),"",(VLOOKUP($E99,'A-1 On-Site Habitat Baseline'!$D$1:$X$258,14,FALSE))))</f>
        <v/>
      </c>
      <c r="O99" s="314" t="str">
        <f>IF(E99="","",IF(ISNA(VLOOKUP($E99,'A-1 On-Site Habitat Baseline'!$D$1:$X$258,16,FALSE)),"",(VLOOKUP($E99,'A-1 On-Site Habitat Baseline'!$D$1:$X$258,13,FALSE))))</f>
        <v/>
      </c>
      <c r="P99" s="161" t="str">
        <f>IFERROR(INDEX('G-1 All Habitats'!$AG$49:$AG$63,MATCH(Q99,'G-1 All Habitats'!$AF$27:$AF$41,0)),"")</f>
        <v/>
      </c>
      <c r="Q99" s="162" t="str">
        <f t="shared" si="13"/>
        <v/>
      </c>
      <c r="R99" s="162"/>
      <c r="S99" s="252" t="str">
        <f>IFERROR(INDEX('G-1 All Habitats'!$B$3:$B$135,MATCH(R99,'G-1 All Habitats'!$A$3:$A$135,0)),"")</f>
        <v/>
      </c>
      <c r="T99" s="290" t="str">
        <f t="shared" si="14"/>
        <v/>
      </c>
      <c r="U99" s="291" t="str">
        <f t="shared" si="15"/>
        <v/>
      </c>
      <c r="V99" s="325" t="str">
        <f t="shared" si="11"/>
        <v/>
      </c>
      <c r="W99" s="310" t="str">
        <f>IF(S99="","",VLOOKUP(S99,'G-1 All Habitats'!$B$2:$M$135,10,FALSE))</f>
        <v/>
      </c>
      <c r="X99" s="310" t="str">
        <f>IFERROR(VLOOKUP(W99,'G-1 All Habitats'!$V$3:$W$7,2,FALSE),"")</f>
        <v/>
      </c>
      <c r="Y99" s="45"/>
      <c r="Z99" s="314" t="str">
        <f>IFERROR(INDEX('G-8 Condition Look up'!$A$3:$H$135,MATCH(S99,'G-8 Condition Look up'!$A$3:$A$135,0),MATCH(Y99,'G-8 Condition Look up'!$A$3:$H$3,0)),"")</f>
        <v/>
      </c>
      <c r="AA99" s="38"/>
      <c r="AB99" s="310" t="str">
        <f>IF(AA99="","",IF(VLOOKUP(AA99,'G-3 Multipliers'!$L$3:$N$6,2,FALSE)=0,"Spatial Data Missing ⚠",VLOOKUP(AA99,'G-3 Multipliers'!$L$3:$N$6,2,FALSE)))</f>
        <v/>
      </c>
      <c r="AC99" s="314" t="str">
        <f>IF(AA99="","",IF(VLOOKUP(AA99,'G-3 Multipliers'!$L$3:$N$6,3,FALSE)=0,"Spatial Data Missing ⚠",VLOOKUP(AA99,'G-3 Multipliers'!$L$3:$N$6,3,FALSE)))</f>
        <v/>
      </c>
      <c r="AD99" s="327" t="str">
        <f t="shared" si="12"/>
        <v/>
      </c>
      <c r="AE99" s="47"/>
      <c r="AF99" s="47"/>
      <c r="AG99" s="298" t="str">
        <f t="shared" si="16"/>
        <v/>
      </c>
      <c r="AH99" s="311" t="str">
        <f t="shared" si="17"/>
        <v/>
      </c>
      <c r="AI99" s="312" t="str">
        <f>IF(AH99="Check Data","Check Data",IFERROR(VLOOKUP(AH99,'G-4 Temporal multipliers'!$A$4:$C$36,3,FALSE),""))</f>
        <v/>
      </c>
      <c r="AJ99" s="290" t="str">
        <f>IF(S99="","",VLOOKUP(S99,'G-3 Multipliers'!$A$2:$E$134,4,FALSE))</f>
        <v/>
      </c>
      <c r="AK99" s="298" t="str">
        <f t="shared" si="18"/>
        <v/>
      </c>
      <c r="AL99" s="298" t="str">
        <f t="shared" si="19"/>
        <v/>
      </c>
      <c r="AM99" s="328" t="str">
        <f>IFERROR(IF(F99="","",IF(AH99="Check Data ⚠","Check Data ⚠",VLOOKUP(AL99, 'G-3 Multipliers'!$P$2:$Q$6,2,FALSE))),"")</f>
        <v/>
      </c>
      <c r="AN99" s="304" t="str">
        <f t="shared" si="20"/>
        <v/>
      </c>
      <c r="AO99" s="163"/>
      <c r="AP99" s="164"/>
      <c r="AQ99" s="101"/>
      <c r="AT99" s="20" t="str">
        <f t="shared" si="21"/>
        <v>No</v>
      </c>
      <c r="AU99" s="20" t="str">
        <f>IF(E99="","",IF(ISNA(VLOOKUP($E99,'A-1 On-Site Habitat Baseline'!$D$1:$AV$258,4,FALSE)),"",(VLOOKUP($E99,'A-1 On-Site Habitat Baseline'!$D$1:$AV$258,4,FALSE))))</f>
        <v/>
      </c>
    </row>
    <row r="100" spans="1:47" x14ac:dyDescent="0.3">
      <c r="A100" s="20" t="str">
        <f>IF(E100="","",IF(ISNA(VLOOKUP($E100,'A-1 On-Site Habitat Baseline'!$D$1:$O$258,2,FALSE)),"",(VLOOKUP($E100,'A-1 On-Site Habitat Baseline'!$D$1:$O$258,2,FALSE))))</f>
        <v/>
      </c>
      <c r="B100" s="20" t="str">
        <f>IF(E100="","",IF(ISNA(VLOOKUP($E100,'A-1 On-Site Habitat Baseline'!$D$1:$O$258,3,FALSE)),"",(VLOOKUP($E100,'A-1 On-Site Habitat Baseline'!$D$1:$O$258,3,FALSE))))</f>
        <v/>
      </c>
      <c r="C100" s="20" t="str">
        <f>IFERROR(INDEX('G-8 Condition Look up'!$I$4:$I$135,MATCH(S100,'G-8 Condition Look up'!$A$4:$A$135,0)),"")</f>
        <v/>
      </c>
      <c r="E100" s="319" t="str">
        <f>'A-1 On-Site Habitat Baseline'!AL99</f>
        <v/>
      </c>
      <c r="F100" s="310" t="str">
        <f>IF(E100="","",IF(ISNA(VLOOKUP($E100,'A-1 On-Site Habitat Baseline'!$D$1:$AV$258,45,FALSE)),"",(VLOOKUP($E100,'A-1 On-Site Habitat Baseline'!$D$1:$AV$258,45,FALSE))))</f>
        <v/>
      </c>
      <c r="G100" s="310" t="str">
        <f>IF(E100="","",IF(ISNA(VLOOKUP($E100,'A-1 On-Site Habitat Baseline'!$D$1:$O$258,5,FALSE)),"",(VLOOKUP($E100,'A-1 On-Site Habitat Baseline'!$D$1:$O$258,5,FALSE))))</f>
        <v/>
      </c>
      <c r="H100" s="310" t="str">
        <f>IF(E100="","",IF(ISNA(VLOOKUP($E100,'A-1 On-Site Habitat Baseline'!$D$1:$O$258,6,FALSE)),"",(VLOOKUP($E100,'A-1 On-Site Habitat Baseline'!$D$1:$O$258,6,FALSE))))</f>
        <v/>
      </c>
      <c r="I100" s="310" t="str">
        <f>IF(E100="","",IF(ISNA(VLOOKUP($E100,'A-1 On-Site Habitat Baseline'!$D$1:$O$258,7,FALSE)),"",(VLOOKUP($E100,'A-1 On-Site Habitat Baseline'!$D$1:$O$258,7,FALSE))))</f>
        <v/>
      </c>
      <c r="J100" s="310" t="str">
        <f>IF(E100="","",IF(ISNA(VLOOKUP($E100,'A-1 On-Site Habitat Baseline'!$D$1:$O$258,8,FALSE)),"",(VLOOKUP($E100,'A-1 On-Site Habitat Baseline'!$D$1:$O$258,8,FALSE))))</f>
        <v/>
      </c>
      <c r="K100" s="310" t="str">
        <f>IF(E100="","",IF(ISNA(VLOOKUP($E100,'A-1 On-Site Habitat Baseline'!$D$1:$O$258,9,FALSE)),"",(VLOOKUP($E100,'A-1 On-Site Habitat Baseline'!$D$1:$O$258,9,FALSE))))</f>
        <v/>
      </c>
      <c r="L100" s="310" t="str">
        <f>IF(E100="","",IF(ISNA(VLOOKUP($E100,'A-1 On-Site Habitat Baseline'!$D$1:$O$258,11,FALSE)),"",(VLOOKUP($E100,'A-1 On-Site Habitat Baseline'!$D$1:$O$258,11,FALSE))))</f>
        <v/>
      </c>
      <c r="M100" s="310" t="str">
        <f>IF(E100="","",IF(ISNA(VLOOKUP($E100,'A-1 On-Site Habitat Baseline'!$D$1:$O$258,12,FALSE)),"",(VLOOKUP($E100,'A-1 On-Site Habitat Baseline'!$D$1:$O$258,12,FALSE))))</f>
        <v/>
      </c>
      <c r="N100" s="320" t="str">
        <f>IF(E100="","",IF(ISNA(VLOOKUP($E100,'A-1 On-Site Habitat Baseline'!$D$1:$X$258,14,FALSE)),"",(VLOOKUP($E100,'A-1 On-Site Habitat Baseline'!$D$1:$X$258,14,FALSE))))</f>
        <v/>
      </c>
      <c r="O100" s="314" t="str">
        <f>IF(E100="","",IF(ISNA(VLOOKUP($E100,'A-1 On-Site Habitat Baseline'!$D$1:$X$258,16,FALSE)),"",(VLOOKUP($E100,'A-1 On-Site Habitat Baseline'!$D$1:$X$258,13,FALSE))))</f>
        <v/>
      </c>
      <c r="P100" s="161" t="str">
        <f>IFERROR(INDEX('G-1 All Habitats'!$AG$49:$AG$63,MATCH(Q100,'G-1 All Habitats'!$AF$27:$AF$41,0)),"")</f>
        <v/>
      </c>
      <c r="Q100" s="162" t="str">
        <f t="shared" si="13"/>
        <v/>
      </c>
      <c r="R100" s="162"/>
      <c r="S100" s="252" t="str">
        <f>IFERROR(INDEX('G-1 All Habitats'!$B$3:$B$135,MATCH(R100,'G-1 All Habitats'!$A$3:$A$135,0)),"")</f>
        <v/>
      </c>
      <c r="T100" s="290" t="str">
        <f t="shared" si="14"/>
        <v/>
      </c>
      <c r="U100" s="291" t="str">
        <f t="shared" si="15"/>
        <v/>
      </c>
      <c r="V100" s="325" t="str">
        <f t="shared" si="11"/>
        <v/>
      </c>
      <c r="W100" s="310" t="str">
        <f>IF(S100="","",VLOOKUP(S100,'G-1 All Habitats'!$B$2:$M$135,10,FALSE))</f>
        <v/>
      </c>
      <c r="X100" s="310" t="str">
        <f>IFERROR(VLOOKUP(W100,'G-1 All Habitats'!$V$3:$W$7,2,FALSE),"")</f>
        <v/>
      </c>
      <c r="Y100" s="45"/>
      <c r="Z100" s="314" t="str">
        <f>IFERROR(INDEX('G-8 Condition Look up'!$A$3:$H$135,MATCH(S100,'G-8 Condition Look up'!$A$3:$A$135,0),MATCH(Y100,'G-8 Condition Look up'!$A$3:$H$3,0)),"")</f>
        <v/>
      </c>
      <c r="AA100" s="38"/>
      <c r="AB100" s="310" t="str">
        <f>IF(AA100="","",IF(VLOOKUP(AA100,'G-3 Multipliers'!$L$3:$N$6,2,FALSE)=0,"Spatial Data Missing ⚠",VLOOKUP(AA100,'G-3 Multipliers'!$L$3:$N$6,2,FALSE)))</f>
        <v/>
      </c>
      <c r="AC100" s="314" t="str">
        <f>IF(AA100="","",IF(VLOOKUP(AA100,'G-3 Multipliers'!$L$3:$N$6,3,FALSE)=0,"Spatial Data Missing ⚠",VLOOKUP(AA100,'G-3 Multipliers'!$L$3:$N$6,3,FALSE)))</f>
        <v/>
      </c>
      <c r="AD100" s="327" t="str">
        <f t="shared" si="12"/>
        <v/>
      </c>
      <c r="AE100" s="47"/>
      <c r="AF100" s="47"/>
      <c r="AG100" s="298" t="str">
        <f t="shared" si="16"/>
        <v/>
      </c>
      <c r="AH100" s="311" t="str">
        <f t="shared" si="17"/>
        <v/>
      </c>
      <c r="AI100" s="312" t="str">
        <f>IF(AH100="Check Data","Check Data",IFERROR(VLOOKUP(AH100,'G-4 Temporal multipliers'!$A$4:$C$36,3,FALSE),""))</f>
        <v/>
      </c>
      <c r="AJ100" s="290" t="str">
        <f>IF(S100="","",VLOOKUP(S100,'G-3 Multipliers'!$A$2:$E$134,4,FALSE))</f>
        <v/>
      </c>
      <c r="AK100" s="298" t="str">
        <f t="shared" si="18"/>
        <v/>
      </c>
      <c r="AL100" s="298" t="str">
        <f t="shared" si="19"/>
        <v/>
      </c>
      <c r="AM100" s="328" t="str">
        <f>IFERROR(IF(F100="","",IF(AH100="Check Data ⚠","Check Data ⚠",VLOOKUP(AL100, 'G-3 Multipliers'!$P$2:$Q$6,2,FALSE))),"")</f>
        <v/>
      </c>
      <c r="AN100" s="304" t="str">
        <f t="shared" si="20"/>
        <v/>
      </c>
      <c r="AO100" s="163"/>
      <c r="AP100" s="164"/>
      <c r="AQ100" s="101"/>
      <c r="AT100" s="20" t="str">
        <f t="shared" si="21"/>
        <v>No</v>
      </c>
      <c r="AU100" s="20" t="str">
        <f>IF(E100="","",IF(ISNA(VLOOKUP($E100,'A-1 On-Site Habitat Baseline'!$D$1:$AV$258,4,FALSE)),"",(VLOOKUP($E100,'A-1 On-Site Habitat Baseline'!$D$1:$AV$258,4,FALSE))))</f>
        <v/>
      </c>
    </row>
    <row r="101" spans="1:47" x14ac:dyDescent="0.3">
      <c r="A101" s="20" t="str">
        <f>IF(E101="","",IF(ISNA(VLOOKUP($E101,'A-1 On-Site Habitat Baseline'!$D$1:$O$258,2,FALSE)),"",(VLOOKUP($E101,'A-1 On-Site Habitat Baseline'!$D$1:$O$258,2,FALSE))))</f>
        <v/>
      </c>
      <c r="B101" s="20" t="str">
        <f>IF(E101="","",IF(ISNA(VLOOKUP($E101,'A-1 On-Site Habitat Baseline'!$D$1:$O$258,3,FALSE)),"",(VLOOKUP($E101,'A-1 On-Site Habitat Baseline'!$D$1:$O$258,3,FALSE))))</f>
        <v/>
      </c>
      <c r="C101" s="20" t="str">
        <f>IFERROR(INDEX('G-8 Condition Look up'!$I$4:$I$135,MATCH(S101,'G-8 Condition Look up'!$A$4:$A$135,0)),"")</f>
        <v/>
      </c>
      <c r="E101" s="319" t="str">
        <f>'A-1 On-Site Habitat Baseline'!AL100</f>
        <v/>
      </c>
      <c r="F101" s="310" t="str">
        <f>IF(E101="","",IF(ISNA(VLOOKUP($E101,'A-1 On-Site Habitat Baseline'!$D$1:$AV$258,45,FALSE)),"",(VLOOKUP($E101,'A-1 On-Site Habitat Baseline'!$D$1:$AV$258,45,FALSE))))</f>
        <v/>
      </c>
      <c r="G101" s="310" t="str">
        <f>IF(E101="","",IF(ISNA(VLOOKUP($E101,'A-1 On-Site Habitat Baseline'!$D$1:$O$258,5,FALSE)),"",(VLOOKUP($E101,'A-1 On-Site Habitat Baseline'!$D$1:$O$258,5,FALSE))))</f>
        <v/>
      </c>
      <c r="H101" s="310" t="str">
        <f>IF(E101="","",IF(ISNA(VLOOKUP($E101,'A-1 On-Site Habitat Baseline'!$D$1:$O$258,6,FALSE)),"",(VLOOKUP($E101,'A-1 On-Site Habitat Baseline'!$D$1:$O$258,6,FALSE))))</f>
        <v/>
      </c>
      <c r="I101" s="310" t="str">
        <f>IF(E101="","",IF(ISNA(VLOOKUP($E101,'A-1 On-Site Habitat Baseline'!$D$1:$O$258,7,FALSE)),"",(VLOOKUP($E101,'A-1 On-Site Habitat Baseline'!$D$1:$O$258,7,FALSE))))</f>
        <v/>
      </c>
      <c r="J101" s="310" t="str">
        <f>IF(E101="","",IF(ISNA(VLOOKUP($E101,'A-1 On-Site Habitat Baseline'!$D$1:$O$258,8,FALSE)),"",(VLOOKUP($E101,'A-1 On-Site Habitat Baseline'!$D$1:$O$258,8,FALSE))))</f>
        <v/>
      </c>
      <c r="K101" s="310" t="str">
        <f>IF(E101="","",IF(ISNA(VLOOKUP($E101,'A-1 On-Site Habitat Baseline'!$D$1:$O$258,9,FALSE)),"",(VLOOKUP($E101,'A-1 On-Site Habitat Baseline'!$D$1:$O$258,9,FALSE))))</f>
        <v/>
      </c>
      <c r="L101" s="310" t="str">
        <f>IF(E101="","",IF(ISNA(VLOOKUP($E101,'A-1 On-Site Habitat Baseline'!$D$1:$O$258,11,FALSE)),"",(VLOOKUP($E101,'A-1 On-Site Habitat Baseline'!$D$1:$O$258,11,FALSE))))</f>
        <v/>
      </c>
      <c r="M101" s="310" t="str">
        <f>IF(E101="","",IF(ISNA(VLOOKUP($E101,'A-1 On-Site Habitat Baseline'!$D$1:$O$258,12,FALSE)),"",(VLOOKUP($E101,'A-1 On-Site Habitat Baseline'!$D$1:$O$258,12,FALSE))))</f>
        <v/>
      </c>
      <c r="N101" s="320" t="str">
        <f>IF(E101="","",IF(ISNA(VLOOKUP($E101,'A-1 On-Site Habitat Baseline'!$D$1:$X$258,14,FALSE)),"",(VLOOKUP($E101,'A-1 On-Site Habitat Baseline'!$D$1:$X$258,14,FALSE))))</f>
        <v/>
      </c>
      <c r="O101" s="314" t="str">
        <f>IF(E101="","",IF(ISNA(VLOOKUP($E101,'A-1 On-Site Habitat Baseline'!$D$1:$X$258,16,FALSE)),"",(VLOOKUP($E101,'A-1 On-Site Habitat Baseline'!$D$1:$X$258,13,FALSE))))</f>
        <v/>
      </c>
      <c r="P101" s="161" t="str">
        <f>IFERROR(INDEX('G-1 All Habitats'!$AG$49:$AG$63,MATCH(Q101,'G-1 All Habitats'!$AF$27:$AF$41,0)),"")</f>
        <v/>
      </c>
      <c r="Q101" s="162" t="str">
        <f t="shared" si="13"/>
        <v/>
      </c>
      <c r="R101" s="162"/>
      <c r="S101" s="252" t="str">
        <f>IFERROR(INDEX('G-1 All Habitats'!$B$3:$B$135,MATCH(R101,'G-1 All Habitats'!$A$3:$A$135,0)),"")</f>
        <v/>
      </c>
      <c r="T101" s="290" t="str">
        <f t="shared" si="14"/>
        <v/>
      </c>
      <c r="U101" s="291" t="str">
        <f t="shared" si="15"/>
        <v/>
      </c>
      <c r="V101" s="325" t="str">
        <f t="shared" si="11"/>
        <v/>
      </c>
      <c r="W101" s="310" t="str">
        <f>IF(S101="","",VLOOKUP(S101,'G-1 All Habitats'!$B$2:$M$135,10,FALSE))</f>
        <v/>
      </c>
      <c r="X101" s="310" t="str">
        <f>IFERROR(VLOOKUP(W101,'G-1 All Habitats'!$V$3:$W$7,2,FALSE),"")</f>
        <v/>
      </c>
      <c r="Y101" s="45"/>
      <c r="Z101" s="314" t="str">
        <f>IFERROR(INDEX('G-8 Condition Look up'!$A$3:$H$135,MATCH(S101,'G-8 Condition Look up'!$A$3:$A$135,0),MATCH(Y101,'G-8 Condition Look up'!$A$3:$H$3,0)),"")</f>
        <v/>
      </c>
      <c r="AA101" s="38"/>
      <c r="AB101" s="310" t="str">
        <f>IF(AA101="","",IF(VLOOKUP(AA101,'G-3 Multipliers'!$L$3:$N$6,2,FALSE)=0,"Spatial Data Missing ⚠",VLOOKUP(AA101,'G-3 Multipliers'!$L$3:$N$6,2,FALSE)))</f>
        <v/>
      </c>
      <c r="AC101" s="314" t="str">
        <f>IF(AA101="","",IF(VLOOKUP(AA101,'G-3 Multipliers'!$L$3:$N$6,3,FALSE)=0,"Spatial Data Missing ⚠",VLOOKUP(AA101,'G-3 Multipliers'!$L$3:$N$6,3,FALSE)))</f>
        <v/>
      </c>
      <c r="AD101" s="327" t="str">
        <f t="shared" si="12"/>
        <v/>
      </c>
      <c r="AE101" s="47"/>
      <c r="AF101" s="47"/>
      <c r="AG101" s="298" t="str">
        <f t="shared" si="16"/>
        <v/>
      </c>
      <c r="AH101" s="311" t="str">
        <f t="shared" si="17"/>
        <v/>
      </c>
      <c r="AI101" s="312" t="str">
        <f>IF(AH101="Check Data","Check Data",IFERROR(VLOOKUP(AH101,'G-4 Temporal multipliers'!$A$4:$C$36,3,FALSE),""))</f>
        <v/>
      </c>
      <c r="AJ101" s="290" t="str">
        <f>IF(S101="","",VLOOKUP(S101,'G-3 Multipliers'!$A$2:$E$134,4,FALSE))</f>
        <v/>
      </c>
      <c r="AK101" s="298" t="str">
        <f t="shared" si="18"/>
        <v/>
      </c>
      <c r="AL101" s="298" t="str">
        <f t="shared" si="19"/>
        <v/>
      </c>
      <c r="AM101" s="328" t="str">
        <f>IFERROR(IF(F101="","",IF(AH101="Check Data ⚠","Check Data ⚠",VLOOKUP(AL101, 'G-3 Multipliers'!$P$2:$Q$6,2,FALSE))),"")</f>
        <v/>
      </c>
      <c r="AN101" s="304" t="str">
        <f t="shared" si="20"/>
        <v/>
      </c>
      <c r="AO101" s="163"/>
      <c r="AP101" s="164"/>
      <c r="AQ101" s="101"/>
      <c r="AT101" s="20" t="str">
        <f t="shared" si="21"/>
        <v>No</v>
      </c>
      <c r="AU101" s="20" t="str">
        <f>IF(E101="","",IF(ISNA(VLOOKUP($E101,'A-1 On-Site Habitat Baseline'!$D$1:$AV$258,4,FALSE)),"",(VLOOKUP($E101,'A-1 On-Site Habitat Baseline'!$D$1:$AV$258,4,FALSE))))</f>
        <v/>
      </c>
    </row>
    <row r="102" spans="1:47" x14ac:dyDescent="0.3">
      <c r="A102" s="20" t="str">
        <f>IF(E102="","",IF(ISNA(VLOOKUP($E102,'A-1 On-Site Habitat Baseline'!$D$1:$O$258,2,FALSE)),"",(VLOOKUP($E102,'A-1 On-Site Habitat Baseline'!$D$1:$O$258,2,FALSE))))</f>
        <v/>
      </c>
      <c r="B102" s="20" t="str">
        <f>IF(E102="","",IF(ISNA(VLOOKUP($E102,'A-1 On-Site Habitat Baseline'!$D$1:$O$258,3,FALSE)),"",(VLOOKUP($E102,'A-1 On-Site Habitat Baseline'!$D$1:$O$258,3,FALSE))))</f>
        <v/>
      </c>
      <c r="C102" s="20" t="str">
        <f>IFERROR(INDEX('G-8 Condition Look up'!$I$4:$I$135,MATCH(S102,'G-8 Condition Look up'!$A$4:$A$135,0)),"")</f>
        <v/>
      </c>
      <c r="E102" s="319" t="str">
        <f>'A-1 On-Site Habitat Baseline'!AL101</f>
        <v/>
      </c>
      <c r="F102" s="310" t="str">
        <f>IF(E102="","",IF(ISNA(VLOOKUP($E102,'A-1 On-Site Habitat Baseline'!$D$1:$AV$258,45,FALSE)),"",(VLOOKUP($E102,'A-1 On-Site Habitat Baseline'!$D$1:$AV$258,45,FALSE))))</f>
        <v/>
      </c>
      <c r="G102" s="310" t="str">
        <f>IF(E102="","",IF(ISNA(VLOOKUP($E102,'A-1 On-Site Habitat Baseline'!$D$1:$O$258,5,FALSE)),"",(VLOOKUP($E102,'A-1 On-Site Habitat Baseline'!$D$1:$O$258,5,FALSE))))</f>
        <v/>
      </c>
      <c r="H102" s="310" t="str">
        <f>IF(E102="","",IF(ISNA(VLOOKUP($E102,'A-1 On-Site Habitat Baseline'!$D$1:$O$258,6,FALSE)),"",(VLOOKUP($E102,'A-1 On-Site Habitat Baseline'!$D$1:$O$258,6,FALSE))))</f>
        <v/>
      </c>
      <c r="I102" s="310" t="str">
        <f>IF(E102="","",IF(ISNA(VLOOKUP($E102,'A-1 On-Site Habitat Baseline'!$D$1:$O$258,7,FALSE)),"",(VLOOKUP($E102,'A-1 On-Site Habitat Baseline'!$D$1:$O$258,7,FALSE))))</f>
        <v/>
      </c>
      <c r="J102" s="310" t="str">
        <f>IF(E102="","",IF(ISNA(VLOOKUP($E102,'A-1 On-Site Habitat Baseline'!$D$1:$O$258,8,FALSE)),"",(VLOOKUP($E102,'A-1 On-Site Habitat Baseline'!$D$1:$O$258,8,FALSE))))</f>
        <v/>
      </c>
      <c r="K102" s="310" t="str">
        <f>IF(E102="","",IF(ISNA(VLOOKUP($E102,'A-1 On-Site Habitat Baseline'!$D$1:$O$258,9,FALSE)),"",(VLOOKUP($E102,'A-1 On-Site Habitat Baseline'!$D$1:$O$258,9,FALSE))))</f>
        <v/>
      </c>
      <c r="L102" s="310" t="str">
        <f>IF(E102="","",IF(ISNA(VLOOKUP($E102,'A-1 On-Site Habitat Baseline'!$D$1:$O$258,11,FALSE)),"",(VLOOKUP($E102,'A-1 On-Site Habitat Baseline'!$D$1:$O$258,11,FALSE))))</f>
        <v/>
      </c>
      <c r="M102" s="310" t="str">
        <f>IF(E102="","",IF(ISNA(VLOOKUP($E102,'A-1 On-Site Habitat Baseline'!$D$1:$O$258,12,FALSE)),"",(VLOOKUP($E102,'A-1 On-Site Habitat Baseline'!$D$1:$O$258,12,FALSE))))</f>
        <v/>
      </c>
      <c r="N102" s="320" t="str">
        <f>IF(E102="","",IF(ISNA(VLOOKUP($E102,'A-1 On-Site Habitat Baseline'!$D$1:$X$258,14,FALSE)),"",(VLOOKUP($E102,'A-1 On-Site Habitat Baseline'!$D$1:$X$258,14,FALSE))))</f>
        <v/>
      </c>
      <c r="O102" s="314" t="str">
        <f>IF(E102="","",IF(ISNA(VLOOKUP($E102,'A-1 On-Site Habitat Baseline'!$D$1:$X$258,16,FALSE)),"",(VLOOKUP($E102,'A-1 On-Site Habitat Baseline'!$D$1:$X$258,13,FALSE))))</f>
        <v/>
      </c>
      <c r="P102" s="161" t="str">
        <f>IFERROR(INDEX('G-1 All Habitats'!$AG$49:$AG$63,MATCH(Q102,'G-1 All Habitats'!$AF$27:$AF$41,0)),"")</f>
        <v/>
      </c>
      <c r="Q102" s="162" t="str">
        <f t="shared" si="13"/>
        <v/>
      </c>
      <c r="R102" s="162"/>
      <c r="S102" s="252" t="str">
        <f>IFERROR(INDEX('G-1 All Habitats'!$B$3:$B$135,MATCH(R102,'G-1 All Habitats'!$A$3:$A$135,0)),"")</f>
        <v/>
      </c>
      <c r="T102" s="290" t="str">
        <f t="shared" si="14"/>
        <v/>
      </c>
      <c r="U102" s="291" t="str">
        <f t="shared" si="15"/>
        <v/>
      </c>
      <c r="V102" s="325" t="str">
        <f t="shared" si="11"/>
        <v/>
      </c>
      <c r="W102" s="310" t="str">
        <f>IF(S102="","",VLOOKUP(S102,'G-1 All Habitats'!$B$2:$M$135,10,FALSE))</f>
        <v/>
      </c>
      <c r="X102" s="310" t="str">
        <f>IFERROR(VLOOKUP(W102,'G-1 All Habitats'!$V$3:$W$7,2,FALSE),"")</f>
        <v/>
      </c>
      <c r="Y102" s="45"/>
      <c r="Z102" s="314" t="str">
        <f>IFERROR(INDEX('G-8 Condition Look up'!$A$3:$H$135,MATCH(S102,'G-8 Condition Look up'!$A$3:$A$135,0),MATCH(Y102,'G-8 Condition Look up'!$A$3:$H$3,0)),"")</f>
        <v/>
      </c>
      <c r="AA102" s="38"/>
      <c r="AB102" s="310" t="str">
        <f>IF(AA102="","",IF(VLOOKUP(AA102,'G-3 Multipliers'!$L$3:$N$6,2,FALSE)=0,"Spatial Data Missing ⚠",VLOOKUP(AA102,'G-3 Multipliers'!$L$3:$N$6,2,FALSE)))</f>
        <v/>
      </c>
      <c r="AC102" s="314" t="str">
        <f>IF(AA102="","",IF(VLOOKUP(AA102,'G-3 Multipliers'!$L$3:$N$6,3,FALSE)=0,"Spatial Data Missing ⚠",VLOOKUP(AA102,'G-3 Multipliers'!$L$3:$N$6,3,FALSE)))</f>
        <v/>
      </c>
      <c r="AD102" s="327" t="str">
        <f t="shared" si="12"/>
        <v/>
      </c>
      <c r="AE102" s="47"/>
      <c r="AF102" s="47"/>
      <c r="AG102" s="298" t="str">
        <f t="shared" si="16"/>
        <v/>
      </c>
      <c r="AH102" s="311" t="str">
        <f t="shared" si="17"/>
        <v/>
      </c>
      <c r="AI102" s="312" t="str">
        <f>IF(AH102="Check Data","Check Data",IFERROR(VLOOKUP(AH102,'G-4 Temporal multipliers'!$A$4:$C$36,3,FALSE),""))</f>
        <v/>
      </c>
      <c r="AJ102" s="290" t="str">
        <f>IF(S102="","",VLOOKUP(S102,'G-3 Multipliers'!$A$2:$E$134,4,FALSE))</f>
        <v/>
      </c>
      <c r="AK102" s="298" t="str">
        <f t="shared" si="18"/>
        <v/>
      </c>
      <c r="AL102" s="298" t="str">
        <f t="shared" si="19"/>
        <v/>
      </c>
      <c r="AM102" s="328" t="str">
        <f>IFERROR(IF(F102="","",IF(AH102="Check Data ⚠","Check Data ⚠",VLOOKUP(AL102, 'G-3 Multipliers'!$P$2:$Q$6,2,FALSE))),"")</f>
        <v/>
      </c>
      <c r="AN102" s="304" t="str">
        <f t="shared" si="20"/>
        <v/>
      </c>
      <c r="AO102" s="163"/>
      <c r="AP102" s="164"/>
      <c r="AQ102" s="101"/>
      <c r="AT102" s="20" t="str">
        <f t="shared" si="21"/>
        <v>No</v>
      </c>
      <c r="AU102" s="20" t="str">
        <f>IF(E102="","",IF(ISNA(VLOOKUP($E102,'A-1 On-Site Habitat Baseline'!$D$1:$AV$258,4,FALSE)),"",(VLOOKUP($E102,'A-1 On-Site Habitat Baseline'!$D$1:$AV$258,4,FALSE))))</f>
        <v/>
      </c>
    </row>
    <row r="103" spans="1:47" x14ac:dyDescent="0.3">
      <c r="A103" s="20" t="str">
        <f>IF(E103="","",IF(ISNA(VLOOKUP($E103,'A-1 On-Site Habitat Baseline'!$D$1:$O$258,2,FALSE)),"",(VLOOKUP($E103,'A-1 On-Site Habitat Baseline'!$D$1:$O$258,2,FALSE))))</f>
        <v/>
      </c>
      <c r="B103" s="20" t="str">
        <f>IF(E103="","",IF(ISNA(VLOOKUP($E103,'A-1 On-Site Habitat Baseline'!$D$1:$O$258,3,FALSE)),"",(VLOOKUP($E103,'A-1 On-Site Habitat Baseline'!$D$1:$O$258,3,FALSE))))</f>
        <v/>
      </c>
      <c r="C103" s="20" t="str">
        <f>IFERROR(INDEX('G-8 Condition Look up'!$I$4:$I$135,MATCH(S103,'G-8 Condition Look up'!$A$4:$A$135,0)),"")</f>
        <v/>
      </c>
      <c r="E103" s="319" t="str">
        <f>'A-1 On-Site Habitat Baseline'!AL102</f>
        <v/>
      </c>
      <c r="F103" s="310" t="str">
        <f>IF(E103="","",IF(ISNA(VLOOKUP($E103,'A-1 On-Site Habitat Baseline'!$D$1:$AV$258,45,FALSE)),"",(VLOOKUP($E103,'A-1 On-Site Habitat Baseline'!$D$1:$AV$258,45,FALSE))))</f>
        <v/>
      </c>
      <c r="G103" s="310" t="str">
        <f>IF(E103="","",IF(ISNA(VLOOKUP($E103,'A-1 On-Site Habitat Baseline'!$D$1:$O$258,5,FALSE)),"",(VLOOKUP($E103,'A-1 On-Site Habitat Baseline'!$D$1:$O$258,5,FALSE))))</f>
        <v/>
      </c>
      <c r="H103" s="310" t="str">
        <f>IF(E103="","",IF(ISNA(VLOOKUP($E103,'A-1 On-Site Habitat Baseline'!$D$1:$O$258,6,FALSE)),"",(VLOOKUP($E103,'A-1 On-Site Habitat Baseline'!$D$1:$O$258,6,FALSE))))</f>
        <v/>
      </c>
      <c r="I103" s="310" t="str">
        <f>IF(E103="","",IF(ISNA(VLOOKUP($E103,'A-1 On-Site Habitat Baseline'!$D$1:$O$258,7,FALSE)),"",(VLOOKUP($E103,'A-1 On-Site Habitat Baseline'!$D$1:$O$258,7,FALSE))))</f>
        <v/>
      </c>
      <c r="J103" s="310" t="str">
        <f>IF(E103="","",IF(ISNA(VLOOKUP($E103,'A-1 On-Site Habitat Baseline'!$D$1:$O$258,8,FALSE)),"",(VLOOKUP($E103,'A-1 On-Site Habitat Baseline'!$D$1:$O$258,8,FALSE))))</f>
        <v/>
      </c>
      <c r="K103" s="310" t="str">
        <f>IF(E103="","",IF(ISNA(VLOOKUP($E103,'A-1 On-Site Habitat Baseline'!$D$1:$O$258,9,FALSE)),"",(VLOOKUP($E103,'A-1 On-Site Habitat Baseline'!$D$1:$O$258,9,FALSE))))</f>
        <v/>
      </c>
      <c r="L103" s="310" t="str">
        <f>IF(E103="","",IF(ISNA(VLOOKUP($E103,'A-1 On-Site Habitat Baseline'!$D$1:$O$258,11,FALSE)),"",(VLOOKUP($E103,'A-1 On-Site Habitat Baseline'!$D$1:$O$258,11,FALSE))))</f>
        <v/>
      </c>
      <c r="M103" s="310" t="str">
        <f>IF(E103="","",IF(ISNA(VLOOKUP($E103,'A-1 On-Site Habitat Baseline'!$D$1:$O$258,12,FALSE)),"",(VLOOKUP($E103,'A-1 On-Site Habitat Baseline'!$D$1:$O$258,12,FALSE))))</f>
        <v/>
      </c>
      <c r="N103" s="320" t="str">
        <f>IF(E103="","",IF(ISNA(VLOOKUP($E103,'A-1 On-Site Habitat Baseline'!$D$1:$X$258,14,FALSE)),"",(VLOOKUP($E103,'A-1 On-Site Habitat Baseline'!$D$1:$X$258,14,FALSE))))</f>
        <v/>
      </c>
      <c r="O103" s="314" t="str">
        <f>IF(E103="","",IF(ISNA(VLOOKUP($E103,'A-1 On-Site Habitat Baseline'!$D$1:$X$258,16,FALSE)),"",(VLOOKUP($E103,'A-1 On-Site Habitat Baseline'!$D$1:$X$258,13,FALSE))))</f>
        <v/>
      </c>
      <c r="P103" s="161" t="str">
        <f>IFERROR(INDEX('G-1 All Habitats'!$AG$49:$AG$63,MATCH(Q103,'G-1 All Habitats'!$AF$27:$AF$41,0)),"")</f>
        <v/>
      </c>
      <c r="Q103" s="162" t="str">
        <f t="shared" si="13"/>
        <v/>
      </c>
      <c r="R103" s="162"/>
      <c r="S103" s="252" t="str">
        <f>IFERROR(INDEX('G-1 All Habitats'!$B$3:$B$135,MATCH(R103,'G-1 All Habitats'!$A$3:$A$135,0)),"")</f>
        <v/>
      </c>
      <c r="T103" s="290" t="str">
        <f t="shared" si="14"/>
        <v/>
      </c>
      <c r="U103" s="291" t="str">
        <f t="shared" si="15"/>
        <v/>
      </c>
      <c r="V103" s="325" t="str">
        <f t="shared" si="11"/>
        <v/>
      </c>
      <c r="W103" s="310" t="str">
        <f>IF(S103="","",VLOOKUP(S103,'G-1 All Habitats'!$B$2:$M$135,10,FALSE))</f>
        <v/>
      </c>
      <c r="X103" s="310" t="str">
        <f>IFERROR(VLOOKUP(W103,'G-1 All Habitats'!$V$3:$W$7,2,FALSE),"")</f>
        <v/>
      </c>
      <c r="Y103" s="45"/>
      <c r="Z103" s="314" t="str">
        <f>IFERROR(INDEX('G-8 Condition Look up'!$A$3:$H$135,MATCH(S103,'G-8 Condition Look up'!$A$3:$A$135,0),MATCH(Y103,'G-8 Condition Look up'!$A$3:$H$3,0)),"")</f>
        <v/>
      </c>
      <c r="AA103" s="38"/>
      <c r="AB103" s="310" t="str">
        <f>IF(AA103="","",IF(VLOOKUP(AA103,'G-3 Multipliers'!$L$3:$N$6,2,FALSE)=0,"Spatial Data Missing ⚠",VLOOKUP(AA103,'G-3 Multipliers'!$L$3:$N$6,2,FALSE)))</f>
        <v/>
      </c>
      <c r="AC103" s="314" t="str">
        <f>IF(AA103="","",IF(VLOOKUP(AA103,'G-3 Multipliers'!$L$3:$N$6,3,FALSE)=0,"Spatial Data Missing ⚠",VLOOKUP(AA103,'G-3 Multipliers'!$L$3:$N$6,3,FALSE)))</f>
        <v/>
      </c>
      <c r="AD103" s="327" t="str">
        <f t="shared" si="12"/>
        <v/>
      </c>
      <c r="AE103" s="47"/>
      <c r="AF103" s="47"/>
      <c r="AG103" s="298" t="str">
        <f t="shared" si="16"/>
        <v/>
      </c>
      <c r="AH103" s="311" t="str">
        <f t="shared" si="17"/>
        <v/>
      </c>
      <c r="AI103" s="312" t="str">
        <f>IF(AH103="Check Data","Check Data",IFERROR(VLOOKUP(AH103,'G-4 Temporal multipliers'!$A$4:$C$36,3,FALSE),""))</f>
        <v/>
      </c>
      <c r="AJ103" s="290" t="str">
        <f>IF(S103="","",VLOOKUP(S103,'G-3 Multipliers'!$A$2:$E$134,4,FALSE))</f>
        <v/>
      </c>
      <c r="AK103" s="298" t="str">
        <f t="shared" si="18"/>
        <v/>
      </c>
      <c r="AL103" s="298" t="str">
        <f t="shared" si="19"/>
        <v/>
      </c>
      <c r="AM103" s="328" t="str">
        <f>IFERROR(IF(F103="","",IF(AH103="Check Data ⚠","Check Data ⚠",VLOOKUP(AL103, 'G-3 Multipliers'!$P$2:$Q$6,2,FALSE))),"")</f>
        <v/>
      </c>
      <c r="AN103" s="304" t="str">
        <f t="shared" si="20"/>
        <v/>
      </c>
      <c r="AO103" s="163"/>
      <c r="AP103" s="164"/>
      <c r="AQ103" s="101"/>
      <c r="AT103" s="20" t="str">
        <f t="shared" si="21"/>
        <v>No</v>
      </c>
      <c r="AU103" s="20" t="str">
        <f>IF(E103="","",IF(ISNA(VLOOKUP($E103,'A-1 On-Site Habitat Baseline'!$D$1:$AV$258,4,FALSE)),"",(VLOOKUP($E103,'A-1 On-Site Habitat Baseline'!$D$1:$AV$258,4,FALSE))))</f>
        <v/>
      </c>
    </row>
    <row r="104" spans="1:47" x14ac:dyDescent="0.3">
      <c r="A104" s="20" t="str">
        <f>IF(E104="","",IF(ISNA(VLOOKUP($E104,'A-1 On-Site Habitat Baseline'!$D$1:$O$258,2,FALSE)),"",(VLOOKUP($E104,'A-1 On-Site Habitat Baseline'!$D$1:$O$258,2,FALSE))))</f>
        <v/>
      </c>
      <c r="B104" s="20" t="str">
        <f>IF(E104="","",IF(ISNA(VLOOKUP($E104,'A-1 On-Site Habitat Baseline'!$D$1:$O$258,3,FALSE)),"",(VLOOKUP($E104,'A-1 On-Site Habitat Baseline'!$D$1:$O$258,3,FALSE))))</f>
        <v/>
      </c>
      <c r="C104" s="20" t="str">
        <f>IFERROR(INDEX('G-8 Condition Look up'!$I$4:$I$135,MATCH(S104,'G-8 Condition Look up'!$A$4:$A$135,0)),"")</f>
        <v/>
      </c>
      <c r="E104" s="319" t="str">
        <f>'A-1 On-Site Habitat Baseline'!AL103</f>
        <v/>
      </c>
      <c r="F104" s="310" t="str">
        <f>IF(E104="","",IF(ISNA(VLOOKUP($E104,'A-1 On-Site Habitat Baseline'!$D$1:$AV$258,45,FALSE)),"",(VLOOKUP($E104,'A-1 On-Site Habitat Baseline'!$D$1:$AV$258,45,FALSE))))</f>
        <v/>
      </c>
      <c r="G104" s="310" t="str">
        <f>IF(E104="","",IF(ISNA(VLOOKUP($E104,'A-1 On-Site Habitat Baseline'!$D$1:$O$258,5,FALSE)),"",(VLOOKUP($E104,'A-1 On-Site Habitat Baseline'!$D$1:$O$258,5,FALSE))))</f>
        <v/>
      </c>
      <c r="H104" s="310" t="str">
        <f>IF(E104="","",IF(ISNA(VLOOKUP($E104,'A-1 On-Site Habitat Baseline'!$D$1:$O$258,6,FALSE)),"",(VLOOKUP($E104,'A-1 On-Site Habitat Baseline'!$D$1:$O$258,6,FALSE))))</f>
        <v/>
      </c>
      <c r="I104" s="310" t="str">
        <f>IF(E104="","",IF(ISNA(VLOOKUP($E104,'A-1 On-Site Habitat Baseline'!$D$1:$O$258,7,FALSE)),"",(VLOOKUP($E104,'A-1 On-Site Habitat Baseline'!$D$1:$O$258,7,FALSE))))</f>
        <v/>
      </c>
      <c r="J104" s="310" t="str">
        <f>IF(E104="","",IF(ISNA(VLOOKUP($E104,'A-1 On-Site Habitat Baseline'!$D$1:$O$258,8,FALSE)),"",(VLOOKUP($E104,'A-1 On-Site Habitat Baseline'!$D$1:$O$258,8,FALSE))))</f>
        <v/>
      </c>
      <c r="K104" s="310" t="str">
        <f>IF(E104="","",IF(ISNA(VLOOKUP($E104,'A-1 On-Site Habitat Baseline'!$D$1:$O$258,9,FALSE)),"",(VLOOKUP($E104,'A-1 On-Site Habitat Baseline'!$D$1:$O$258,9,FALSE))))</f>
        <v/>
      </c>
      <c r="L104" s="310" t="str">
        <f>IF(E104="","",IF(ISNA(VLOOKUP($E104,'A-1 On-Site Habitat Baseline'!$D$1:$O$258,11,FALSE)),"",(VLOOKUP($E104,'A-1 On-Site Habitat Baseline'!$D$1:$O$258,11,FALSE))))</f>
        <v/>
      </c>
      <c r="M104" s="310" t="str">
        <f>IF(E104="","",IF(ISNA(VLOOKUP($E104,'A-1 On-Site Habitat Baseline'!$D$1:$O$258,12,FALSE)),"",(VLOOKUP($E104,'A-1 On-Site Habitat Baseline'!$D$1:$O$258,12,FALSE))))</f>
        <v/>
      </c>
      <c r="N104" s="320" t="str">
        <f>IF(E104="","",IF(ISNA(VLOOKUP($E104,'A-1 On-Site Habitat Baseline'!$D$1:$X$258,14,FALSE)),"",(VLOOKUP($E104,'A-1 On-Site Habitat Baseline'!$D$1:$X$258,14,FALSE))))</f>
        <v/>
      </c>
      <c r="O104" s="314" t="str">
        <f>IF(E104="","",IF(ISNA(VLOOKUP($E104,'A-1 On-Site Habitat Baseline'!$D$1:$X$258,16,FALSE)),"",(VLOOKUP($E104,'A-1 On-Site Habitat Baseline'!$D$1:$X$258,13,FALSE))))</f>
        <v/>
      </c>
      <c r="P104" s="161" t="str">
        <f>IFERROR(INDEX('G-1 All Habitats'!$AG$49:$AG$63,MATCH(Q104,'G-1 All Habitats'!$AF$27:$AF$41,0)),"")</f>
        <v/>
      </c>
      <c r="Q104" s="162" t="str">
        <f t="shared" si="13"/>
        <v/>
      </c>
      <c r="R104" s="162"/>
      <c r="S104" s="252" t="str">
        <f>IFERROR(INDEX('G-1 All Habitats'!$B$3:$B$135,MATCH(R104,'G-1 All Habitats'!$A$3:$A$135,0)),"")</f>
        <v/>
      </c>
      <c r="T104" s="290" t="str">
        <f t="shared" si="14"/>
        <v/>
      </c>
      <c r="U104" s="291" t="str">
        <f t="shared" si="15"/>
        <v/>
      </c>
      <c r="V104" s="325" t="str">
        <f t="shared" si="11"/>
        <v/>
      </c>
      <c r="W104" s="310" t="str">
        <f>IF(S104="","",VLOOKUP(S104,'G-1 All Habitats'!$B$2:$M$135,10,FALSE))</f>
        <v/>
      </c>
      <c r="X104" s="310" t="str">
        <f>IFERROR(VLOOKUP(W104,'G-1 All Habitats'!$V$3:$W$7,2,FALSE),"")</f>
        <v/>
      </c>
      <c r="Y104" s="45"/>
      <c r="Z104" s="314" t="str">
        <f>IFERROR(INDEX('G-8 Condition Look up'!$A$3:$H$135,MATCH(S104,'G-8 Condition Look up'!$A$3:$A$135,0),MATCH(Y104,'G-8 Condition Look up'!$A$3:$H$3,0)),"")</f>
        <v/>
      </c>
      <c r="AA104" s="38"/>
      <c r="AB104" s="310" t="str">
        <f>IF(AA104="","",IF(VLOOKUP(AA104,'G-3 Multipliers'!$L$3:$N$6,2,FALSE)=0,"Spatial Data Missing ⚠",VLOOKUP(AA104,'G-3 Multipliers'!$L$3:$N$6,2,FALSE)))</f>
        <v/>
      </c>
      <c r="AC104" s="314" t="str">
        <f>IF(AA104="","",IF(VLOOKUP(AA104,'G-3 Multipliers'!$L$3:$N$6,3,FALSE)=0,"Spatial Data Missing ⚠",VLOOKUP(AA104,'G-3 Multipliers'!$L$3:$N$6,3,FALSE)))</f>
        <v/>
      </c>
      <c r="AD104" s="327" t="str">
        <f t="shared" si="12"/>
        <v/>
      </c>
      <c r="AE104" s="47"/>
      <c r="AF104" s="47"/>
      <c r="AG104" s="298" t="str">
        <f t="shared" si="16"/>
        <v/>
      </c>
      <c r="AH104" s="311" t="str">
        <f t="shared" si="17"/>
        <v/>
      </c>
      <c r="AI104" s="312" t="str">
        <f>IF(AH104="Check Data","Check Data",IFERROR(VLOOKUP(AH104,'G-4 Temporal multipliers'!$A$4:$C$36,3,FALSE),""))</f>
        <v/>
      </c>
      <c r="AJ104" s="290" t="str">
        <f>IF(S104="","",VLOOKUP(S104,'G-3 Multipliers'!$A$2:$E$134,4,FALSE))</f>
        <v/>
      </c>
      <c r="AK104" s="298" t="str">
        <f t="shared" si="18"/>
        <v/>
      </c>
      <c r="AL104" s="298" t="str">
        <f t="shared" si="19"/>
        <v/>
      </c>
      <c r="AM104" s="328" t="str">
        <f>IFERROR(IF(F104="","",IF(AH104="Check Data ⚠","Check Data ⚠",VLOOKUP(AL104, 'G-3 Multipliers'!$P$2:$Q$6,2,FALSE))),"")</f>
        <v/>
      </c>
      <c r="AN104" s="304" t="str">
        <f t="shared" si="20"/>
        <v/>
      </c>
      <c r="AO104" s="163"/>
      <c r="AP104" s="164"/>
      <c r="AQ104" s="101"/>
      <c r="AT104" s="20" t="str">
        <f t="shared" si="21"/>
        <v>No</v>
      </c>
      <c r="AU104" s="20" t="str">
        <f>IF(E104="","",IF(ISNA(VLOOKUP($E104,'A-1 On-Site Habitat Baseline'!$D$1:$AV$258,4,FALSE)),"",(VLOOKUP($E104,'A-1 On-Site Habitat Baseline'!$D$1:$AV$258,4,FALSE))))</f>
        <v/>
      </c>
    </row>
    <row r="105" spans="1:47" x14ac:dyDescent="0.3">
      <c r="A105" s="20" t="str">
        <f>IF(E105="","",IF(ISNA(VLOOKUP($E105,'A-1 On-Site Habitat Baseline'!$D$1:$O$258,2,FALSE)),"",(VLOOKUP($E105,'A-1 On-Site Habitat Baseline'!$D$1:$O$258,2,FALSE))))</f>
        <v/>
      </c>
      <c r="B105" s="20" t="str">
        <f>IF(E105="","",IF(ISNA(VLOOKUP($E105,'A-1 On-Site Habitat Baseline'!$D$1:$O$258,3,FALSE)),"",(VLOOKUP($E105,'A-1 On-Site Habitat Baseline'!$D$1:$O$258,3,FALSE))))</f>
        <v/>
      </c>
      <c r="C105" s="20" t="str">
        <f>IFERROR(INDEX('G-8 Condition Look up'!$I$4:$I$135,MATCH(S105,'G-8 Condition Look up'!$A$4:$A$135,0)),"")</f>
        <v/>
      </c>
      <c r="E105" s="319" t="str">
        <f>'A-1 On-Site Habitat Baseline'!AL104</f>
        <v/>
      </c>
      <c r="F105" s="310" t="str">
        <f>IF(E105="","",IF(ISNA(VLOOKUP($E105,'A-1 On-Site Habitat Baseline'!$D$1:$AV$258,45,FALSE)),"",(VLOOKUP($E105,'A-1 On-Site Habitat Baseline'!$D$1:$AV$258,45,FALSE))))</f>
        <v/>
      </c>
      <c r="G105" s="310" t="str">
        <f>IF(E105="","",IF(ISNA(VLOOKUP($E105,'A-1 On-Site Habitat Baseline'!$D$1:$O$258,5,FALSE)),"",(VLOOKUP($E105,'A-1 On-Site Habitat Baseline'!$D$1:$O$258,5,FALSE))))</f>
        <v/>
      </c>
      <c r="H105" s="310" t="str">
        <f>IF(E105="","",IF(ISNA(VLOOKUP($E105,'A-1 On-Site Habitat Baseline'!$D$1:$O$258,6,FALSE)),"",(VLOOKUP($E105,'A-1 On-Site Habitat Baseline'!$D$1:$O$258,6,FALSE))))</f>
        <v/>
      </c>
      <c r="I105" s="310" t="str">
        <f>IF(E105="","",IF(ISNA(VLOOKUP($E105,'A-1 On-Site Habitat Baseline'!$D$1:$O$258,7,FALSE)),"",(VLOOKUP($E105,'A-1 On-Site Habitat Baseline'!$D$1:$O$258,7,FALSE))))</f>
        <v/>
      </c>
      <c r="J105" s="310" t="str">
        <f>IF(E105="","",IF(ISNA(VLOOKUP($E105,'A-1 On-Site Habitat Baseline'!$D$1:$O$258,8,FALSE)),"",(VLOOKUP($E105,'A-1 On-Site Habitat Baseline'!$D$1:$O$258,8,FALSE))))</f>
        <v/>
      </c>
      <c r="K105" s="310" t="str">
        <f>IF(E105="","",IF(ISNA(VLOOKUP($E105,'A-1 On-Site Habitat Baseline'!$D$1:$O$258,9,FALSE)),"",(VLOOKUP($E105,'A-1 On-Site Habitat Baseline'!$D$1:$O$258,9,FALSE))))</f>
        <v/>
      </c>
      <c r="L105" s="310" t="str">
        <f>IF(E105="","",IF(ISNA(VLOOKUP($E105,'A-1 On-Site Habitat Baseline'!$D$1:$O$258,11,FALSE)),"",(VLOOKUP($E105,'A-1 On-Site Habitat Baseline'!$D$1:$O$258,11,FALSE))))</f>
        <v/>
      </c>
      <c r="M105" s="310" t="str">
        <f>IF(E105="","",IF(ISNA(VLOOKUP($E105,'A-1 On-Site Habitat Baseline'!$D$1:$O$258,12,FALSE)),"",(VLOOKUP($E105,'A-1 On-Site Habitat Baseline'!$D$1:$O$258,12,FALSE))))</f>
        <v/>
      </c>
      <c r="N105" s="320" t="str">
        <f>IF(E105="","",IF(ISNA(VLOOKUP($E105,'A-1 On-Site Habitat Baseline'!$D$1:$X$258,14,FALSE)),"",(VLOOKUP($E105,'A-1 On-Site Habitat Baseline'!$D$1:$X$258,14,FALSE))))</f>
        <v/>
      </c>
      <c r="O105" s="314" t="str">
        <f>IF(E105="","",IF(ISNA(VLOOKUP($E105,'A-1 On-Site Habitat Baseline'!$D$1:$X$258,16,FALSE)),"",(VLOOKUP($E105,'A-1 On-Site Habitat Baseline'!$D$1:$X$258,13,FALSE))))</f>
        <v/>
      </c>
      <c r="P105" s="161" t="str">
        <f>IFERROR(INDEX('G-1 All Habitats'!$AG$49:$AG$63,MATCH(Q105,'G-1 All Habitats'!$AF$27:$AF$41,0)),"")</f>
        <v/>
      </c>
      <c r="Q105" s="162" t="str">
        <f t="shared" si="13"/>
        <v/>
      </c>
      <c r="R105" s="162"/>
      <c r="S105" s="252" t="str">
        <f>IFERROR(INDEX('G-1 All Habitats'!$B$3:$B$135,MATCH(R105,'G-1 All Habitats'!$A$3:$A$135,0)),"")</f>
        <v/>
      </c>
      <c r="T105" s="290" t="str">
        <f t="shared" si="14"/>
        <v/>
      </c>
      <c r="U105" s="291" t="str">
        <f t="shared" si="15"/>
        <v/>
      </c>
      <c r="V105" s="325" t="str">
        <f t="shared" si="11"/>
        <v/>
      </c>
      <c r="W105" s="310" t="str">
        <f>IF(S105="","",VLOOKUP(S105,'G-1 All Habitats'!$B$2:$M$135,10,FALSE))</f>
        <v/>
      </c>
      <c r="X105" s="310" t="str">
        <f>IFERROR(VLOOKUP(W105,'G-1 All Habitats'!$V$3:$W$7,2,FALSE),"")</f>
        <v/>
      </c>
      <c r="Y105" s="45"/>
      <c r="Z105" s="314" t="str">
        <f>IFERROR(INDEX('G-8 Condition Look up'!$A$3:$H$135,MATCH(S105,'G-8 Condition Look up'!$A$3:$A$135,0),MATCH(Y105,'G-8 Condition Look up'!$A$3:$H$3,0)),"")</f>
        <v/>
      </c>
      <c r="AA105" s="38"/>
      <c r="AB105" s="310" t="str">
        <f>IF(AA105="","",IF(VLOOKUP(AA105,'G-3 Multipliers'!$L$3:$N$6,2,FALSE)=0,"Spatial Data Missing ⚠",VLOOKUP(AA105,'G-3 Multipliers'!$L$3:$N$6,2,FALSE)))</f>
        <v/>
      </c>
      <c r="AC105" s="314" t="str">
        <f>IF(AA105="","",IF(VLOOKUP(AA105,'G-3 Multipliers'!$L$3:$N$6,3,FALSE)=0,"Spatial Data Missing ⚠",VLOOKUP(AA105,'G-3 Multipliers'!$L$3:$N$6,3,FALSE)))</f>
        <v/>
      </c>
      <c r="AD105" s="327" t="str">
        <f t="shared" si="12"/>
        <v/>
      </c>
      <c r="AE105" s="47"/>
      <c r="AF105" s="47"/>
      <c r="AG105" s="298" t="str">
        <f t="shared" si="16"/>
        <v/>
      </c>
      <c r="AH105" s="311" t="str">
        <f t="shared" si="17"/>
        <v/>
      </c>
      <c r="AI105" s="312" t="str">
        <f>IF(AH105="Check Data","Check Data",IFERROR(VLOOKUP(AH105,'G-4 Temporal multipliers'!$A$4:$C$36,3,FALSE),""))</f>
        <v/>
      </c>
      <c r="AJ105" s="290" t="str">
        <f>IF(S105="","",VLOOKUP(S105,'G-3 Multipliers'!$A$2:$E$134,4,FALSE))</f>
        <v/>
      </c>
      <c r="AK105" s="298" t="str">
        <f t="shared" si="18"/>
        <v/>
      </c>
      <c r="AL105" s="298" t="str">
        <f t="shared" si="19"/>
        <v/>
      </c>
      <c r="AM105" s="328" t="str">
        <f>IFERROR(IF(F105="","",IF(AH105="Check Data ⚠","Check Data ⚠",VLOOKUP(AL105, 'G-3 Multipliers'!$P$2:$Q$6,2,FALSE))),"")</f>
        <v/>
      </c>
      <c r="AN105" s="304" t="str">
        <f t="shared" si="20"/>
        <v/>
      </c>
      <c r="AO105" s="163"/>
      <c r="AP105" s="164"/>
      <c r="AQ105" s="101"/>
      <c r="AT105" s="20" t="str">
        <f t="shared" si="21"/>
        <v>No</v>
      </c>
      <c r="AU105" s="20" t="str">
        <f>IF(E105="","",IF(ISNA(VLOOKUP($E105,'A-1 On-Site Habitat Baseline'!$D$1:$AV$258,4,FALSE)),"",(VLOOKUP($E105,'A-1 On-Site Habitat Baseline'!$D$1:$AV$258,4,FALSE))))</f>
        <v/>
      </c>
    </row>
    <row r="106" spans="1:47" x14ac:dyDescent="0.3">
      <c r="A106" s="20" t="str">
        <f>IF(E106="","",IF(ISNA(VLOOKUP($E106,'A-1 On-Site Habitat Baseline'!$D$1:$O$258,2,FALSE)),"",(VLOOKUP($E106,'A-1 On-Site Habitat Baseline'!$D$1:$O$258,2,FALSE))))</f>
        <v/>
      </c>
      <c r="B106" s="20" t="str">
        <f>IF(E106="","",IF(ISNA(VLOOKUP($E106,'A-1 On-Site Habitat Baseline'!$D$1:$O$258,3,FALSE)),"",(VLOOKUP($E106,'A-1 On-Site Habitat Baseline'!$D$1:$O$258,3,FALSE))))</f>
        <v/>
      </c>
      <c r="C106" s="20" t="str">
        <f>IFERROR(INDEX('G-8 Condition Look up'!$I$4:$I$135,MATCH(S106,'G-8 Condition Look up'!$A$4:$A$135,0)),"")</f>
        <v/>
      </c>
      <c r="E106" s="319" t="str">
        <f>'A-1 On-Site Habitat Baseline'!AL105</f>
        <v/>
      </c>
      <c r="F106" s="310" t="str">
        <f>IF(E106="","",IF(ISNA(VLOOKUP($E106,'A-1 On-Site Habitat Baseline'!$D$1:$AV$258,45,FALSE)),"",(VLOOKUP($E106,'A-1 On-Site Habitat Baseline'!$D$1:$AV$258,45,FALSE))))</f>
        <v/>
      </c>
      <c r="G106" s="310" t="str">
        <f>IF(E106="","",IF(ISNA(VLOOKUP($E106,'A-1 On-Site Habitat Baseline'!$D$1:$O$258,5,FALSE)),"",(VLOOKUP($E106,'A-1 On-Site Habitat Baseline'!$D$1:$O$258,5,FALSE))))</f>
        <v/>
      </c>
      <c r="H106" s="310" t="str">
        <f>IF(E106="","",IF(ISNA(VLOOKUP($E106,'A-1 On-Site Habitat Baseline'!$D$1:$O$258,6,FALSE)),"",(VLOOKUP($E106,'A-1 On-Site Habitat Baseline'!$D$1:$O$258,6,FALSE))))</f>
        <v/>
      </c>
      <c r="I106" s="310" t="str">
        <f>IF(E106="","",IF(ISNA(VLOOKUP($E106,'A-1 On-Site Habitat Baseline'!$D$1:$O$258,7,FALSE)),"",(VLOOKUP($E106,'A-1 On-Site Habitat Baseline'!$D$1:$O$258,7,FALSE))))</f>
        <v/>
      </c>
      <c r="J106" s="310" t="str">
        <f>IF(E106="","",IF(ISNA(VLOOKUP($E106,'A-1 On-Site Habitat Baseline'!$D$1:$O$258,8,FALSE)),"",(VLOOKUP($E106,'A-1 On-Site Habitat Baseline'!$D$1:$O$258,8,FALSE))))</f>
        <v/>
      </c>
      <c r="K106" s="310" t="str">
        <f>IF(E106="","",IF(ISNA(VLOOKUP($E106,'A-1 On-Site Habitat Baseline'!$D$1:$O$258,9,FALSE)),"",(VLOOKUP($E106,'A-1 On-Site Habitat Baseline'!$D$1:$O$258,9,FALSE))))</f>
        <v/>
      </c>
      <c r="L106" s="310" t="str">
        <f>IF(E106="","",IF(ISNA(VLOOKUP($E106,'A-1 On-Site Habitat Baseline'!$D$1:$O$258,11,FALSE)),"",(VLOOKUP($E106,'A-1 On-Site Habitat Baseline'!$D$1:$O$258,11,FALSE))))</f>
        <v/>
      </c>
      <c r="M106" s="310" t="str">
        <f>IF(E106="","",IF(ISNA(VLOOKUP($E106,'A-1 On-Site Habitat Baseline'!$D$1:$O$258,12,FALSE)),"",(VLOOKUP($E106,'A-1 On-Site Habitat Baseline'!$D$1:$O$258,12,FALSE))))</f>
        <v/>
      </c>
      <c r="N106" s="320" t="str">
        <f>IF(E106="","",IF(ISNA(VLOOKUP($E106,'A-1 On-Site Habitat Baseline'!$D$1:$X$258,14,FALSE)),"",(VLOOKUP($E106,'A-1 On-Site Habitat Baseline'!$D$1:$X$258,14,FALSE))))</f>
        <v/>
      </c>
      <c r="O106" s="314" t="str">
        <f>IF(E106="","",IF(ISNA(VLOOKUP($E106,'A-1 On-Site Habitat Baseline'!$D$1:$X$258,16,FALSE)),"",(VLOOKUP($E106,'A-1 On-Site Habitat Baseline'!$D$1:$X$258,13,FALSE))))</f>
        <v/>
      </c>
      <c r="P106" s="161" t="str">
        <f>IFERROR(INDEX('G-1 All Habitats'!$AG$49:$AG$63,MATCH(Q106,'G-1 All Habitats'!$AF$27:$AF$41,0)),"")</f>
        <v/>
      </c>
      <c r="Q106" s="162" t="str">
        <f t="shared" si="13"/>
        <v/>
      </c>
      <c r="R106" s="162"/>
      <c r="S106" s="252" t="str">
        <f>IFERROR(INDEX('G-1 All Habitats'!$B$3:$B$135,MATCH(R106,'G-1 All Habitats'!$A$3:$A$135,0)),"")</f>
        <v/>
      </c>
      <c r="T106" s="290" t="str">
        <f t="shared" si="14"/>
        <v/>
      </c>
      <c r="U106" s="291" t="str">
        <f t="shared" si="15"/>
        <v/>
      </c>
      <c r="V106" s="325" t="str">
        <f t="shared" si="11"/>
        <v/>
      </c>
      <c r="W106" s="310" t="str">
        <f>IF(S106="","",VLOOKUP(S106,'G-1 All Habitats'!$B$2:$M$135,10,FALSE))</f>
        <v/>
      </c>
      <c r="X106" s="310" t="str">
        <f>IFERROR(VLOOKUP(W106,'G-1 All Habitats'!$V$3:$W$7,2,FALSE),"")</f>
        <v/>
      </c>
      <c r="Y106" s="45"/>
      <c r="Z106" s="314" t="str">
        <f>IFERROR(INDEX('G-8 Condition Look up'!$A$3:$H$135,MATCH(S106,'G-8 Condition Look up'!$A$3:$A$135,0),MATCH(Y106,'G-8 Condition Look up'!$A$3:$H$3,0)),"")</f>
        <v/>
      </c>
      <c r="AA106" s="38"/>
      <c r="AB106" s="310" t="str">
        <f>IF(AA106="","",IF(VLOOKUP(AA106,'G-3 Multipliers'!$L$3:$N$6,2,FALSE)=0,"Spatial Data Missing ⚠",VLOOKUP(AA106,'G-3 Multipliers'!$L$3:$N$6,2,FALSE)))</f>
        <v/>
      </c>
      <c r="AC106" s="314" t="str">
        <f>IF(AA106="","",IF(VLOOKUP(AA106,'G-3 Multipliers'!$L$3:$N$6,3,FALSE)=0,"Spatial Data Missing ⚠",VLOOKUP(AA106,'G-3 Multipliers'!$L$3:$N$6,3,FALSE)))</f>
        <v/>
      </c>
      <c r="AD106" s="327" t="str">
        <f t="shared" si="12"/>
        <v/>
      </c>
      <c r="AE106" s="47"/>
      <c r="AF106" s="47"/>
      <c r="AG106" s="298" t="str">
        <f t="shared" si="16"/>
        <v/>
      </c>
      <c r="AH106" s="311" t="str">
        <f t="shared" si="17"/>
        <v/>
      </c>
      <c r="AI106" s="312" t="str">
        <f>IF(AH106="Check Data","Check Data",IFERROR(VLOOKUP(AH106,'G-4 Temporal multipliers'!$A$4:$C$36,3,FALSE),""))</f>
        <v/>
      </c>
      <c r="AJ106" s="290" t="str">
        <f>IF(S106="","",VLOOKUP(S106,'G-3 Multipliers'!$A$2:$E$134,4,FALSE))</f>
        <v/>
      </c>
      <c r="AK106" s="298" t="str">
        <f t="shared" si="18"/>
        <v/>
      </c>
      <c r="AL106" s="298" t="str">
        <f t="shared" si="19"/>
        <v/>
      </c>
      <c r="AM106" s="328" t="str">
        <f>IFERROR(IF(F106="","",IF(AH106="Check Data ⚠","Check Data ⚠",VLOOKUP(AL106, 'G-3 Multipliers'!$P$2:$Q$6,2,FALSE))),"")</f>
        <v/>
      </c>
      <c r="AN106" s="304" t="str">
        <f t="shared" si="20"/>
        <v/>
      </c>
      <c r="AO106" s="163"/>
      <c r="AP106" s="164"/>
      <c r="AQ106" s="101"/>
      <c r="AT106" s="20" t="str">
        <f t="shared" si="21"/>
        <v>No</v>
      </c>
      <c r="AU106" s="20" t="str">
        <f>IF(E106="","",IF(ISNA(VLOOKUP($E106,'A-1 On-Site Habitat Baseline'!$D$1:$AV$258,4,FALSE)),"",(VLOOKUP($E106,'A-1 On-Site Habitat Baseline'!$D$1:$AV$258,4,FALSE))))</f>
        <v/>
      </c>
    </row>
    <row r="107" spans="1:47" x14ac:dyDescent="0.3">
      <c r="A107" s="20" t="str">
        <f>IF(E107="","",IF(ISNA(VLOOKUP($E107,'A-1 On-Site Habitat Baseline'!$D$1:$O$258,2,FALSE)),"",(VLOOKUP($E107,'A-1 On-Site Habitat Baseline'!$D$1:$O$258,2,FALSE))))</f>
        <v/>
      </c>
      <c r="B107" s="20" t="str">
        <f>IF(E107="","",IF(ISNA(VLOOKUP($E107,'A-1 On-Site Habitat Baseline'!$D$1:$O$258,3,FALSE)),"",(VLOOKUP($E107,'A-1 On-Site Habitat Baseline'!$D$1:$O$258,3,FALSE))))</f>
        <v/>
      </c>
      <c r="C107" s="20" t="str">
        <f>IFERROR(INDEX('G-8 Condition Look up'!$I$4:$I$135,MATCH(S107,'G-8 Condition Look up'!$A$4:$A$135,0)),"")</f>
        <v/>
      </c>
      <c r="E107" s="319" t="str">
        <f>'A-1 On-Site Habitat Baseline'!AL106</f>
        <v/>
      </c>
      <c r="F107" s="310" t="str">
        <f>IF(E107="","",IF(ISNA(VLOOKUP($E107,'A-1 On-Site Habitat Baseline'!$D$1:$AV$258,45,FALSE)),"",(VLOOKUP($E107,'A-1 On-Site Habitat Baseline'!$D$1:$AV$258,45,FALSE))))</f>
        <v/>
      </c>
      <c r="G107" s="310" t="str">
        <f>IF(E107="","",IF(ISNA(VLOOKUP($E107,'A-1 On-Site Habitat Baseline'!$D$1:$O$258,5,FALSE)),"",(VLOOKUP($E107,'A-1 On-Site Habitat Baseline'!$D$1:$O$258,5,FALSE))))</f>
        <v/>
      </c>
      <c r="H107" s="310" t="str">
        <f>IF(E107="","",IF(ISNA(VLOOKUP($E107,'A-1 On-Site Habitat Baseline'!$D$1:$O$258,6,FALSE)),"",(VLOOKUP($E107,'A-1 On-Site Habitat Baseline'!$D$1:$O$258,6,FALSE))))</f>
        <v/>
      </c>
      <c r="I107" s="310" t="str">
        <f>IF(E107="","",IF(ISNA(VLOOKUP($E107,'A-1 On-Site Habitat Baseline'!$D$1:$O$258,7,FALSE)),"",(VLOOKUP($E107,'A-1 On-Site Habitat Baseline'!$D$1:$O$258,7,FALSE))))</f>
        <v/>
      </c>
      <c r="J107" s="310" t="str">
        <f>IF(E107="","",IF(ISNA(VLOOKUP($E107,'A-1 On-Site Habitat Baseline'!$D$1:$O$258,8,FALSE)),"",(VLOOKUP($E107,'A-1 On-Site Habitat Baseline'!$D$1:$O$258,8,FALSE))))</f>
        <v/>
      </c>
      <c r="K107" s="310" t="str">
        <f>IF(E107="","",IF(ISNA(VLOOKUP($E107,'A-1 On-Site Habitat Baseline'!$D$1:$O$258,9,FALSE)),"",(VLOOKUP($E107,'A-1 On-Site Habitat Baseline'!$D$1:$O$258,9,FALSE))))</f>
        <v/>
      </c>
      <c r="L107" s="310" t="str">
        <f>IF(E107="","",IF(ISNA(VLOOKUP($E107,'A-1 On-Site Habitat Baseline'!$D$1:$O$258,11,FALSE)),"",(VLOOKUP($E107,'A-1 On-Site Habitat Baseline'!$D$1:$O$258,11,FALSE))))</f>
        <v/>
      </c>
      <c r="M107" s="310" t="str">
        <f>IF(E107="","",IF(ISNA(VLOOKUP($E107,'A-1 On-Site Habitat Baseline'!$D$1:$O$258,12,FALSE)),"",(VLOOKUP($E107,'A-1 On-Site Habitat Baseline'!$D$1:$O$258,12,FALSE))))</f>
        <v/>
      </c>
      <c r="N107" s="320" t="str">
        <f>IF(E107="","",IF(ISNA(VLOOKUP($E107,'A-1 On-Site Habitat Baseline'!$D$1:$X$258,14,FALSE)),"",(VLOOKUP($E107,'A-1 On-Site Habitat Baseline'!$D$1:$X$258,14,FALSE))))</f>
        <v/>
      </c>
      <c r="O107" s="314" t="str">
        <f>IF(E107="","",IF(ISNA(VLOOKUP($E107,'A-1 On-Site Habitat Baseline'!$D$1:$X$258,16,FALSE)),"",(VLOOKUP($E107,'A-1 On-Site Habitat Baseline'!$D$1:$X$258,13,FALSE))))</f>
        <v/>
      </c>
      <c r="P107" s="161" t="str">
        <f>IFERROR(INDEX('G-1 All Habitats'!$AG$49:$AG$63,MATCH(Q107,'G-1 All Habitats'!$AF$27:$AF$41,0)),"")</f>
        <v/>
      </c>
      <c r="Q107" s="162" t="str">
        <f t="shared" si="13"/>
        <v/>
      </c>
      <c r="R107" s="162"/>
      <c r="S107" s="252" t="str">
        <f>IFERROR(INDEX('G-1 All Habitats'!$B$3:$B$135,MATCH(R107,'G-1 All Habitats'!$A$3:$A$135,0)),"")</f>
        <v/>
      </c>
      <c r="T107" s="290" t="str">
        <f t="shared" si="14"/>
        <v/>
      </c>
      <c r="U107" s="291" t="str">
        <f t="shared" si="15"/>
        <v/>
      </c>
      <c r="V107" s="325" t="str">
        <f t="shared" si="11"/>
        <v/>
      </c>
      <c r="W107" s="310" t="str">
        <f>IF(S107="","",VLOOKUP(S107,'G-1 All Habitats'!$B$2:$M$135,10,FALSE))</f>
        <v/>
      </c>
      <c r="X107" s="310" t="str">
        <f>IFERROR(VLOOKUP(W107,'G-1 All Habitats'!$V$3:$W$7,2,FALSE),"")</f>
        <v/>
      </c>
      <c r="Y107" s="45"/>
      <c r="Z107" s="314" t="str">
        <f>IFERROR(INDEX('G-8 Condition Look up'!$A$3:$H$135,MATCH(S107,'G-8 Condition Look up'!$A$3:$A$135,0),MATCH(Y107,'G-8 Condition Look up'!$A$3:$H$3,0)),"")</f>
        <v/>
      </c>
      <c r="AA107" s="38"/>
      <c r="AB107" s="310" t="str">
        <f>IF(AA107="","",IF(VLOOKUP(AA107,'G-3 Multipliers'!$L$3:$N$6,2,FALSE)=0,"Spatial Data Missing ⚠",VLOOKUP(AA107,'G-3 Multipliers'!$L$3:$N$6,2,FALSE)))</f>
        <v/>
      </c>
      <c r="AC107" s="314" t="str">
        <f>IF(AA107="","",IF(VLOOKUP(AA107,'G-3 Multipliers'!$L$3:$N$6,3,FALSE)=0,"Spatial Data Missing ⚠",VLOOKUP(AA107,'G-3 Multipliers'!$L$3:$N$6,3,FALSE)))</f>
        <v/>
      </c>
      <c r="AD107" s="327" t="str">
        <f t="shared" si="12"/>
        <v/>
      </c>
      <c r="AE107" s="47"/>
      <c r="AF107" s="47"/>
      <c r="AG107" s="298" t="str">
        <f t="shared" si="16"/>
        <v/>
      </c>
      <c r="AH107" s="311" t="str">
        <f t="shared" si="17"/>
        <v/>
      </c>
      <c r="AI107" s="312" t="str">
        <f>IF(AH107="Check Data","Check Data",IFERROR(VLOOKUP(AH107,'G-4 Temporal multipliers'!$A$4:$C$36,3,FALSE),""))</f>
        <v/>
      </c>
      <c r="AJ107" s="290" t="str">
        <f>IF(S107="","",VLOOKUP(S107,'G-3 Multipliers'!$A$2:$E$134,4,FALSE))</f>
        <v/>
      </c>
      <c r="AK107" s="298" t="str">
        <f t="shared" si="18"/>
        <v/>
      </c>
      <c r="AL107" s="298" t="str">
        <f t="shared" si="19"/>
        <v/>
      </c>
      <c r="AM107" s="328" t="str">
        <f>IFERROR(IF(F107="","",IF(AH107="Check Data ⚠","Check Data ⚠",VLOOKUP(AL107, 'G-3 Multipliers'!$P$2:$Q$6,2,FALSE))),"")</f>
        <v/>
      </c>
      <c r="AN107" s="304" t="str">
        <f t="shared" si="20"/>
        <v/>
      </c>
      <c r="AO107" s="163"/>
      <c r="AP107" s="164"/>
      <c r="AQ107" s="101"/>
      <c r="AT107" s="20" t="str">
        <f t="shared" si="21"/>
        <v>No</v>
      </c>
      <c r="AU107" s="20" t="str">
        <f>IF(E107="","",IF(ISNA(VLOOKUP($E107,'A-1 On-Site Habitat Baseline'!$D$1:$AV$258,4,FALSE)),"",(VLOOKUP($E107,'A-1 On-Site Habitat Baseline'!$D$1:$AV$258,4,FALSE))))</f>
        <v/>
      </c>
    </row>
    <row r="108" spans="1:47" x14ac:dyDescent="0.3">
      <c r="A108" s="20" t="str">
        <f>IF(E108="","",IF(ISNA(VLOOKUP($E108,'A-1 On-Site Habitat Baseline'!$D$1:$O$258,2,FALSE)),"",(VLOOKUP($E108,'A-1 On-Site Habitat Baseline'!$D$1:$O$258,2,FALSE))))</f>
        <v/>
      </c>
      <c r="B108" s="20" t="str">
        <f>IF(E108="","",IF(ISNA(VLOOKUP($E108,'A-1 On-Site Habitat Baseline'!$D$1:$O$258,3,FALSE)),"",(VLOOKUP($E108,'A-1 On-Site Habitat Baseline'!$D$1:$O$258,3,FALSE))))</f>
        <v/>
      </c>
      <c r="C108" s="20" t="str">
        <f>IFERROR(INDEX('G-8 Condition Look up'!$I$4:$I$135,MATCH(S108,'G-8 Condition Look up'!$A$4:$A$135,0)),"")</f>
        <v/>
      </c>
      <c r="E108" s="319" t="str">
        <f>'A-1 On-Site Habitat Baseline'!AL107</f>
        <v/>
      </c>
      <c r="F108" s="310" t="str">
        <f>IF(E108="","",IF(ISNA(VLOOKUP($E108,'A-1 On-Site Habitat Baseline'!$D$1:$AV$258,45,FALSE)),"",(VLOOKUP($E108,'A-1 On-Site Habitat Baseline'!$D$1:$AV$258,45,FALSE))))</f>
        <v/>
      </c>
      <c r="G108" s="310" t="str">
        <f>IF(E108="","",IF(ISNA(VLOOKUP($E108,'A-1 On-Site Habitat Baseline'!$D$1:$O$258,5,FALSE)),"",(VLOOKUP($E108,'A-1 On-Site Habitat Baseline'!$D$1:$O$258,5,FALSE))))</f>
        <v/>
      </c>
      <c r="H108" s="310" t="str">
        <f>IF(E108="","",IF(ISNA(VLOOKUP($E108,'A-1 On-Site Habitat Baseline'!$D$1:$O$258,6,FALSE)),"",(VLOOKUP($E108,'A-1 On-Site Habitat Baseline'!$D$1:$O$258,6,FALSE))))</f>
        <v/>
      </c>
      <c r="I108" s="310" t="str">
        <f>IF(E108="","",IF(ISNA(VLOOKUP($E108,'A-1 On-Site Habitat Baseline'!$D$1:$O$258,7,FALSE)),"",(VLOOKUP($E108,'A-1 On-Site Habitat Baseline'!$D$1:$O$258,7,FALSE))))</f>
        <v/>
      </c>
      <c r="J108" s="310" t="str">
        <f>IF(E108="","",IF(ISNA(VLOOKUP($E108,'A-1 On-Site Habitat Baseline'!$D$1:$O$258,8,FALSE)),"",(VLOOKUP($E108,'A-1 On-Site Habitat Baseline'!$D$1:$O$258,8,FALSE))))</f>
        <v/>
      </c>
      <c r="K108" s="310" t="str">
        <f>IF(E108="","",IF(ISNA(VLOOKUP($E108,'A-1 On-Site Habitat Baseline'!$D$1:$O$258,9,FALSE)),"",(VLOOKUP($E108,'A-1 On-Site Habitat Baseline'!$D$1:$O$258,9,FALSE))))</f>
        <v/>
      </c>
      <c r="L108" s="310" t="str">
        <f>IF(E108="","",IF(ISNA(VLOOKUP($E108,'A-1 On-Site Habitat Baseline'!$D$1:$O$258,11,FALSE)),"",(VLOOKUP($E108,'A-1 On-Site Habitat Baseline'!$D$1:$O$258,11,FALSE))))</f>
        <v/>
      </c>
      <c r="M108" s="310" t="str">
        <f>IF(E108="","",IF(ISNA(VLOOKUP($E108,'A-1 On-Site Habitat Baseline'!$D$1:$O$258,12,FALSE)),"",(VLOOKUP($E108,'A-1 On-Site Habitat Baseline'!$D$1:$O$258,12,FALSE))))</f>
        <v/>
      </c>
      <c r="N108" s="320" t="str">
        <f>IF(E108="","",IF(ISNA(VLOOKUP($E108,'A-1 On-Site Habitat Baseline'!$D$1:$X$258,14,FALSE)),"",(VLOOKUP($E108,'A-1 On-Site Habitat Baseline'!$D$1:$X$258,14,FALSE))))</f>
        <v/>
      </c>
      <c r="O108" s="314" t="str">
        <f>IF(E108="","",IF(ISNA(VLOOKUP($E108,'A-1 On-Site Habitat Baseline'!$D$1:$X$258,16,FALSE)),"",(VLOOKUP($E108,'A-1 On-Site Habitat Baseline'!$D$1:$X$258,13,FALSE))))</f>
        <v/>
      </c>
      <c r="P108" s="161" t="str">
        <f>IFERROR(INDEX('G-1 All Habitats'!$AG$49:$AG$63,MATCH(Q108,'G-1 All Habitats'!$AF$27:$AF$41,0)),"")</f>
        <v/>
      </c>
      <c r="Q108" s="162" t="str">
        <f t="shared" si="13"/>
        <v/>
      </c>
      <c r="R108" s="162"/>
      <c r="S108" s="252" t="str">
        <f>IFERROR(INDEX('G-1 All Habitats'!$B$3:$B$135,MATCH(R108,'G-1 All Habitats'!$A$3:$A$135,0)),"")</f>
        <v/>
      </c>
      <c r="T108" s="290" t="str">
        <f t="shared" si="14"/>
        <v/>
      </c>
      <c r="U108" s="291" t="str">
        <f t="shared" si="15"/>
        <v/>
      </c>
      <c r="V108" s="325" t="str">
        <f t="shared" si="11"/>
        <v/>
      </c>
      <c r="W108" s="310" t="str">
        <f>IF(S108="","",VLOOKUP(S108,'G-1 All Habitats'!$B$2:$M$135,10,FALSE))</f>
        <v/>
      </c>
      <c r="X108" s="310" t="str">
        <f>IFERROR(VLOOKUP(W108,'G-1 All Habitats'!$V$3:$W$7,2,FALSE),"")</f>
        <v/>
      </c>
      <c r="Y108" s="45"/>
      <c r="Z108" s="314" t="str">
        <f>IFERROR(INDEX('G-8 Condition Look up'!$A$3:$H$135,MATCH(S108,'G-8 Condition Look up'!$A$3:$A$135,0),MATCH(Y108,'G-8 Condition Look up'!$A$3:$H$3,0)),"")</f>
        <v/>
      </c>
      <c r="AA108" s="38"/>
      <c r="AB108" s="310" t="str">
        <f>IF(AA108="","",IF(VLOOKUP(AA108,'G-3 Multipliers'!$L$3:$N$6,2,FALSE)=0,"Spatial Data Missing ⚠",VLOOKUP(AA108,'G-3 Multipliers'!$L$3:$N$6,2,FALSE)))</f>
        <v/>
      </c>
      <c r="AC108" s="314" t="str">
        <f>IF(AA108="","",IF(VLOOKUP(AA108,'G-3 Multipliers'!$L$3:$N$6,3,FALSE)=0,"Spatial Data Missing ⚠",VLOOKUP(AA108,'G-3 Multipliers'!$L$3:$N$6,3,FALSE)))</f>
        <v/>
      </c>
      <c r="AD108" s="327" t="str">
        <f t="shared" si="12"/>
        <v/>
      </c>
      <c r="AE108" s="47"/>
      <c r="AF108" s="47"/>
      <c r="AG108" s="298" t="str">
        <f t="shared" si="16"/>
        <v/>
      </c>
      <c r="AH108" s="311" t="str">
        <f t="shared" si="17"/>
        <v/>
      </c>
      <c r="AI108" s="312" t="str">
        <f>IF(AH108="Check Data","Check Data",IFERROR(VLOOKUP(AH108,'G-4 Temporal multipliers'!$A$4:$C$36,3,FALSE),""))</f>
        <v/>
      </c>
      <c r="AJ108" s="290" t="str">
        <f>IF(S108="","",VLOOKUP(S108,'G-3 Multipliers'!$A$2:$E$134,4,FALSE))</f>
        <v/>
      </c>
      <c r="AK108" s="298" t="str">
        <f t="shared" si="18"/>
        <v/>
      </c>
      <c r="AL108" s="298" t="str">
        <f t="shared" si="19"/>
        <v/>
      </c>
      <c r="AM108" s="328" t="str">
        <f>IFERROR(IF(F108="","",IF(AH108="Check Data ⚠","Check Data ⚠",VLOOKUP(AL108, 'G-3 Multipliers'!$P$2:$Q$6,2,FALSE))),"")</f>
        <v/>
      </c>
      <c r="AN108" s="304" t="str">
        <f t="shared" si="20"/>
        <v/>
      </c>
      <c r="AO108" s="163"/>
      <c r="AP108" s="164"/>
      <c r="AQ108" s="101"/>
      <c r="AT108" s="20" t="str">
        <f t="shared" si="21"/>
        <v>No</v>
      </c>
      <c r="AU108" s="20" t="str">
        <f>IF(E108="","",IF(ISNA(VLOOKUP($E108,'A-1 On-Site Habitat Baseline'!$D$1:$AV$258,4,FALSE)),"",(VLOOKUP($E108,'A-1 On-Site Habitat Baseline'!$D$1:$AV$258,4,FALSE))))</f>
        <v/>
      </c>
    </row>
    <row r="109" spans="1:47" x14ac:dyDescent="0.3">
      <c r="A109" s="20" t="str">
        <f>IF(E109="","",IF(ISNA(VLOOKUP($E109,'A-1 On-Site Habitat Baseline'!$D$1:$O$258,2,FALSE)),"",(VLOOKUP($E109,'A-1 On-Site Habitat Baseline'!$D$1:$O$258,2,FALSE))))</f>
        <v/>
      </c>
      <c r="B109" s="20" t="str">
        <f>IF(E109="","",IF(ISNA(VLOOKUP($E109,'A-1 On-Site Habitat Baseline'!$D$1:$O$258,3,FALSE)),"",(VLOOKUP($E109,'A-1 On-Site Habitat Baseline'!$D$1:$O$258,3,FALSE))))</f>
        <v/>
      </c>
      <c r="C109" s="20" t="str">
        <f>IFERROR(INDEX('G-8 Condition Look up'!$I$4:$I$135,MATCH(S109,'G-8 Condition Look up'!$A$4:$A$135,0)),"")</f>
        <v/>
      </c>
      <c r="E109" s="319" t="str">
        <f>'A-1 On-Site Habitat Baseline'!AL108</f>
        <v/>
      </c>
      <c r="F109" s="310" t="str">
        <f>IF(E109="","",IF(ISNA(VLOOKUP($E109,'A-1 On-Site Habitat Baseline'!$D$1:$AV$258,45,FALSE)),"",(VLOOKUP($E109,'A-1 On-Site Habitat Baseline'!$D$1:$AV$258,45,FALSE))))</f>
        <v/>
      </c>
      <c r="G109" s="310" t="str">
        <f>IF(E109="","",IF(ISNA(VLOOKUP($E109,'A-1 On-Site Habitat Baseline'!$D$1:$O$258,5,FALSE)),"",(VLOOKUP($E109,'A-1 On-Site Habitat Baseline'!$D$1:$O$258,5,FALSE))))</f>
        <v/>
      </c>
      <c r="H109" s="310" t="str">
        <f>IF(E109="","",IF(ISNA(VLOOKUP($E109,'A-1 On-Site Habitat Baseline'!$D$1:$O$258,6,FALSE)),"",(VLOOKUP($E109,'A-1 On-Site Habitat Baseline'!$D$1:$O$258,6,FALSE))))</f>
        <v/>
      </c>
      <c r="I109" s="310" t="str">
        <f>IF(E109="","",IF(ISNA(VLOOKUP($E109,'A-1 On-Site Habitat Baseline'!$D$1:$O$258,7,FALSE)),"",(VLOOKUP($E109,'A-1 On-Site Habitat Baseline'!$D$1:$O$258,7,FALSE))))</f>
        <v/>
      </c>
      <c r="J109" s="310" t="str">
        <f>IF(E109="","",IF(ISNA(VLOOKUP($E109,'A-1 On-Site Habitat Baseline'!$D$1:$O$258,8,FALSE)),"",(VLOOKUP($E109,'A-1 On-Site Habitat Baseline'!$D$1:$O$258,8,FALSE))))</f>
        <v/>
      </c>
      <c r="K109" s="310" t="str">
        <f>IF(E109="","",IF(ISNA(VLOOKUP($E109,'A-1 On-Site Habitat Baseline'!$D$1:$O$258,9,FALSE)),"",(VLOOKUP($E109,'A-1 On-Site Habitat Baseline'!$D$1:$O$258,9,FALSE))))</f>
        <v/>
      </c>
      <c r="L109" s="310" t="str">
        <f>IF(E109="","",IF(ISNA(VLOOKUP($E109,'A-1 On-Site Habitat Baseline'!$D$1:$O$258,11,FALSE)),"",(VLOOKUP($E109,'A-1 On-Site Habitat Baseline'!$D$1:$O$258,11,FALSE))))</f>
        <v/>
      </c>
      <c r="M109" s="310" t="str">
        <f>IF(E109="","",IF(ISNA(VLOOKUP($E109,'A-1 On-Site Habitat Baseline'!$D$1:$O$258,12,FALSE)),"",(VLOOKUP($E109,'A-1 On-Site Habitat Baseline'!$D$1:$O$258,12,FALSE))))</f>
        <v/>
      </c>
      <c r="N109" s="320" t="str">
        <f>IF(E109="","",IF(ISNA(VLOOKUP($E109,'A-1 On-Site Habitat Baseline'!$D$1:$X$258,14,FALSE)),"",(VLOOKUP($E109,'A-1 On-Site Habitat Baseline'!$D$1:$X$258,14,FALSE))))</f>
        <v/>
      </c>
      <c r="O109" s="314" t="str">
        <f>IF(E109="","",IF(ISNA(VLOOKUP($E109,'A-1 On-Site Habitat Baseline'!$D$1:$X$258,16,FALSE)),"",(VLOOKUP($E109,'A-1 On-Site Habitat Baseline'!$D$1:$X$258,13,FALSE))))</f>
        <v/>
      </c>
      <c r="P109" s="161" t="str">
        <f>IFERROR(INDEX('G-1 All Habitats'!$AG$49:$AG$63,MATCH(Q109,'G-1 All Habitats'!$AF$27:$AF$41,0)),"")</f>
        <v/>
      </c>
      <c r="Q109" s="162" t="str">
        <f t="shared" si="13"/>
        <v/>
      </c>
      <c r="R109" s="162"/>
      <c r="S109" s="252" t="str">
        <f>IFERROR(INDEX('G-1 All Habitats'!$B$3:$B$135,MATCH(R109,'G-1 All Habitats'!$A$3:$A$135,0)),"")</f>
        <v/>
      </c>
      <c r="T109" s="290" t="str">
        <f t="shared" si="14"/>
        <v/>
      </c>
      <c r="U109" s="291" t="str">
        <f t="shared" si="15"/>
        <v/>
      </c>
      <c r="V109" s="325" t="str">
        <f t="shared" si="11"/>
        <v/>
      </c>
      <c r="W109" s="310" t="str">
        <f>IF(S109="","",VLOOKUP(S109,'G-1 All Habitats'!$B$2:$M$135,10,FALSE))</f>
        <v/>
      </c>
      <c r="X109" s="310" t="str">
        <f>IFERROR(VLOOKUP(W109,'G-1 All Habitats'!$V$3:$W$7,2,FALSE),"")</f>
        <v/>
      </c>
      <c r="Y109" s="45"/>
      <c r="Z109" s="314" t="str">
        <f>IFERROR(INDEX('G-8 Condition Look up'!$A$3:$H$135,MATCH(S109,'G-8 Condition Look up'!$A$3:$A$135,0),MATCH(Y109,'G-8 Condition Look up'!$A$3:$H$3,0)),"")</f>
        <v/>
      </c>
      <c r="AA109" s="38"/>
      <c r="AB109" s="310" t="str">
        <f>IF(AA109="","",IF(VLOOKUP(AA109,'G-3 Multipliers'!$L$3:$N$6,2,FALSE)=0,"Spatial Data Missing ⚠",VLOOKUP(AA109,'G-3 Multipliers'!$L$3:$N$6,2,FALSE)))</f>
        <v/>
      </c>
      <c r="AC109" s="314" t="str">
        <f>IF(AA109="","",IF(VLOOKUP(AA109,'G-3 Multipliers'!$L$3:$N$6,3,FALSE)=0,"Spatial Data Missing ⚠",VLOOKUP(AA109,'G-3 Multipliers'!$L$3:$N$6,3,FALSE)))</f>
        <v/>
      </c>
      <c r="AD109" s="327" t="str">
        <f t="shared" si="12"/>
        <v/>
      </c>
      <c r="AE109" s="47"/>
      <c r="AF109" s="47"/>
      <c r="AG109" s="298" t="str">
        <f t="shared" si="16"/>
        <v/>
      </c>
      <c r="AH109" s="311" t="str">
        <f t="shared" si="17"/>
        <v/>
      </c>
      <c r="AI109" s="312" t="str">
        <f>IF(AH109="Check Data","Check Data",IFERROR(VLOOKUP(AH109,'G-4 Temporal multipliers'!$A$4:$C$36,3,FALSE),""))</f>
        <v/>
      </c>
      <c r="AJ109" s="290" t="str">
        <f>IF(S109="","",VLOOKUP(S109,'G-3 Multipliers'!$A$2:$E$134,4,FALSE))</f>
        <v/>
      </c>
      <c r="AK109" s="298" t="str">
        <f t="shared" si="18"/>
        <v/>
      </c>
      <c r="AL109" s="298" t="str">
        <f t="shared" si="19"/>
        <v/>
      </c>
      <c r="AM109" s="328" t="str">
        <f>IFERROR(IF(F109="","",IF(AH109="Check Data ⚠","Check Data ⚠",VLOOKUP(AL109, 'G-3 Multipliers'!$P$2:$Q$6,2,FALSE))),"")</f>
        <v/>
      </c>
      <c r="AN109" s="304" t="str">
        <f t="shared" si="20"/>
        <v/>
      </c>
      <c r="AO109" s="163"/>
      <c r="AP109" s="164"/>
      <c r="AQ109" s="101"/>
      <c r="AT109" s="20" t="str">
        <f t="shared" si="21"/>
        <v>No</v>
      </c>
      <c r="AU109" s="20" t="str">
        <f>IF(E109="","",IF(ISNA(VLOOKUP($E109,'A-1 On-Site Habitat Baseline'!$D$1:$AV$258,4,FALSE)),"",(VLOOKUP($E109,'A-1 On-Site Habitat Baseline'!$D$1:$AV$258,4,FALSE))))</f>
        <v/>
      </c>
    </row>
    <row r="110" spans="1:47" x14ac:dyDescent="0.3">
      <c r="A110" s="20" t="str">
        <f>IF(E110="","",IF(ISNA(VLOOKUP($E110,'A-1 On-Site Habitat Baseline'!$D$1:$O$258,2,FALSE)),"",(VLOOKUP($E110,'A-1 On-Site Habitat Baseline'!$D$1:$O$258,2,FALSE))))</f>
        <v/>
      </c>
      <c r="B110" s="20" t="str">
        <f>IF(E110="","",IF(ISNA(VLOOKUP($E110,'A-1 On-Site Habitat Baseline'!$D$1:$O$258,3,FALSE)),"",(VLOOKUP($E110,'A-1 On-Site Habitat Baseline'!$D$1:$O$258,3,FALSE))))</f>
        <v/>
      </c>
      <c r="C110" s="20" t="str">
        <f>IFERROR(INDEX('G-8 Condition Look up'!$I$4:$I$135,MATCH(S110,'G-8 Condition Look up'!$A$4:$A$135,0)),"")</f>
        <v/>
      </c>
      <c r="E110" s="319" t="str">
        <f>'A-1 On-Site Habitat Baseline'!AL109</f>
        <v/>
      </c>
      <c r="F110" s="310" t="str">
        <f>IF(E110="","",IF(ISNA(VLOOKUP($E110,'A-1 On-Site Habitat Baseline'!$D$1:$AV$258,45,FALSE)),"",(VLOOKUP($E110,'A-1 On-Site Habitat Baseline'!$D$1:$AV$258,45,FALSE))))</f>
        <v/>
      </c>
      <c r="G110" s="310" t="str">
        <f>IF(E110="","",IF(ISNA(VLOOKUP($E110,'A-1 On-Site Habitat Baseline'!$D$1:$O$258,5,FALSE)),"",(VLOOKUP($E110,'A-1 On-Site Habitat Baseline'!$D$1:$O$258,5,FALSE))))</f>
        <v/>
      </c>
      <c r="H110" s="310" t="str">
        <f>IF(E110="","",IF(ISNA(VLOOKUP($E110,'A-1 On-Site Habitat Baseline'!$D$1:$O$258,6,FALSE)),"",(VLOOKUP($E110,'A-1 On-Site Habitat Baseline'!$D$1:$O$258,6,FALSE))))</f>
        <v/>
      </c>
      <c r="I110" s="310" t="str">
        <f>IF(E110="","",IF(ISNA(VLOOKUP($E110,'A-1 On-Site Habitat Baseline'!$D$1:$O$258,7,FALSE)),"",(VLOOKUP($E110,'A-1 On-Site Habitat Baseline'!$D$1:$O$258,7,FALSE))))</f>
        <v/>
      </c>
      <c r="J110" s="310" t="str">
        <f>IF(E110="","",IF(ISNA(VLOOKUP($E110,'A-1 On-Site Habitat Baseline'!$D$1:$O$258,8,FALSE)),"",(VLOOKUP($E110,'A-1 On-Site Habitat Baseline'!$D$1:$O$258,8,FALSE))))</f>
        <v/>
      </c>
      <c r="K110" s="310" t="str">
        <f>IF(E110="","",IF(ISNA(VLOOKUP($E110,'A-1 On-Site Habitat Baseline'!$D$1:$O$258,9,FALSE)),"",(VLOOKUP($E110,'A-1 On-Site Habitat Baseline'!$D$1:$O$258,9,FALSE))))</f>
        <v/>
      </c>
      <c r="L110" s="310" t="str">
        <f>IF(E110="","",IF(ISNA(VLOOKUP($E110,'A-1 On-Site Habitat Baseline'!$D$1:$O$258,11,FALSE)),"",(VLOOKUP($E110,'A-1 On-Site Habitat Baseline'!$D$1:$O$258,11,FALSE))))</f>
        <v/>
      </c>
      <c r="M110" s="310" t="str">
        <f>IF(E110="","",IF(ISNA(VLOOKUP($E110,'A-1 On-Site Habitat Baseline'!$D$1:$O$258,12,FALSE)),"",(VLOOKUP($E110,'A-1 On-Site Habitat Baseline'!$D$1:$O$258,12,FALSE))))</f>
        <v/>
      </c>
      <c r="N110" s="320" t="str">
        <f>IF(E110="","",IF(ISNA(VLOOKUP($E110,'A-1 On-Site Habitat Baseline'!$D$1:$X$258,14,FALSE)),"",(VLOOKUP($E110,'A-1 On-Site Habitat Baseline'!$D$1:$X$258,14,FALSE))))</f>
        <v/>
      </c>
      <c r="O110" s="314" t="str">
        <f>IF(E110="","",IF(ISNA(VLOOKUP($E110,'A-1 On-Site Habitat Baseline'!$D$1:$X$258,16,FALSE)),"",(VLOOKUP($E110,'A-1 On-Site Habitat Baseline'!$D$1:$X$258,13,FALSE))))</f>
        <v/>
      </c>
      <c r="P110" s="161" t="str">
        <f>IFERROR(INDEX('G-1 All Habitats'!$AG$49:$AG$63,MATCH(Q110,'G-1 All Habitats'!$AF$27:$AF$41,0)),"")</f>
        <v/>
      </c>
      <c r="Q110" s="162" t="str">
        <f t="shared" si="13"/>
        <v/>
      </c>
      <c r="R110" s="162"/>
      <c r="S110" s="252" t="str">
        <f>IFERROR(INDEX('G-1 All Habitats'!$B$3:$B$135,MATCH(R110,'G-1 All Habitats'!$A$3:$A$135,0)),"")</f>
        <v/>
      </c>
      <c r="T110" s="290" t="str">
        <f t="shared" si="14"/>
        <v/>
      </c>
      <c r="U110" s="291" t="str">
        <f t="shared" si="15"/>
        <v/>
      </c>
      <c r="V110" s="325" t="str">
        <f t="shared" si="11"/>
        <v/>
      </c>
      <c r="W110" s="310" t="str">
        <f>IF(S110="","",VLOOKUP(S110,'G-1 All Habitats'!$B$2:$M$135,10,FALSE))</f>
        <v/>
      </c>
      <c r="X110" s="310" t="str">
        <f>IFERROR(VLOOKUP(W110,'G-1 All Habitats'!$V$3:$W$7,2,FALSE),"")</f>
        <v/>
      </c>
      <c r="Y110" s="45"/>
      <c r="Z110" s="314" t="str">
        <f>IFERROR(INDEX('G-8 Condition Look up'!$A$3:$H$135,MATCH(S110,'G-8 Condition Look up'!$A$3:$A$135,0),MATCH(Y110,'G-8 Condition Look up'!$A$3:$H$3,0)),"")</f>
        <v/>
      </c>
      <c r="AA110" s="38"/>
      <c r="AB110" s="310" t="str">
        <f>IF(AA110="","",IF(VLOOKUP(AA110,'G-3 Multipliers'!$L$3:$N$6,2,FALSE)=0,"Spatial Data Missing ⚠",VLOOKUP(AA110,'G-3 Multipliers'!$L$3:$N$6,2,FALSE)))</f>
        <v/>
      </c>
      <c r="AC110" s="314" t="str">
        <f>IF(AA110="","",IF(VLOOKUP(AA110,'G-3 Multipliers'!$L$3:$N$6,3,FALSE)=0,"Spatial Data Missing ⚠",VLOOKUP(AA110,'G-3 Multipliers'!$L$3:$N$6,3,FALSE)))</f>
        <v/>
      </c>
      <c r="AD110" s="327" t="str">
        <f t="shared" si="12"/>
        <v/>
      </c>
      <c r="AE110" s="47"/>
      <c r="AF110" s="47"/>
      <c r="AG110" s="298" t="str">
        <f t="shared" si="16"/>
        <v/>
      </c>
      <c r="AH110" s="311" t="str">
        <f t="shared" si="17"/>
        <v/>
      </c>
      <c r="AI110" s="312" t="str">
        <f>IF(AH110="Check Data","Check Data",IFERROR(VLOOKUP(AH110,'G-4 Temporal multipliers'!$A$4:$C$36,3,FALSE),""))</f>
        <v/>
      </c>
      <c r="AJ110" s="290" t="str">
        <f>IF(S110="","",VLOOKUP(S110,'G-3 Multipliers'!$A$2:$E$134,4,FALSE))</f>
        <v/>
      </c>
      <c r="AK110" s="298" t="str">
        <f t="shared" si="18"/>
        <v/>
      </c>
      <c r="AL110" s="298" t="str">
        <f t="shared" si="19"/>
        <v/>
      </c>
      <c r="AM110" s="328" t="str">
        <f>IFERROR(IF(F110="","",IF(AH110="Check Data ⚠","Check Data ⚠",VLOOKUP(AL110, 'G-3 Multipliers'!$P$2:$Q$6,2,FALSE))),"")</f>
        <v/>
      </c>
      <c r="AN110" s="304" t="str">
        <f t="shared" si="20"/>
        <v/>
      </c>
      <c r="AO110" s="163"/>
      <c r="AP110" s="164"/>
      <c r="AQ110" s="101"/>
      <c r="AT110" s="20" t="str">
        <f t="shared" si="21"/>
        <v>No</v>
      </c>
      <c r="AU110" s="20" t="str">
        <f>IF(E110="","",IF(ISNA(VLOOKUP($E110,'A-1 On-Site Habitat Baseline'!$D$1:$AV$258,4,FALSE)),"",(VLOOKUP($E110,'A-1 On-Site Habitat Baseline'!$D$1:$AV$258,4,FALSE))))</f>
        <v/>
      </c>
    </row>
    <row r="111" spans="1:47" x14ac:dyDescent="0.3">
      <c r="A111" s="20" t="str">
        <f>IF(E111="","",IF(ISNA(VLOOKUP($E111,'A-1 On-Site Habitat Baseline'!$D$1:$O$258,2,FALSE)),"",(VLOOKUP($E111,'A-1 On-Site Habitat Baseline'!$D$1:$O$258,2,FALSE))))</f>
        <v/>
      </c>
      <c r="B111" s="20" t="str">
        <f>IF(E111="","",IF(ISNA(VLOOKUP($E111,'A-1 On-Site Habitat Baseline'!$D$1:$O$258,3,FALSE)),"",(VLOOKUP($E111,'A-1 On-Site Habitat Baseline'!$D$1:$O$258,3,FALSE))))</f>
        <v/>
      </c>
      <c r="C111" s="20" t="str">
        <f>IFERROR(INDEX('G-8 Condition Look up'!$I$4:$I$135,MATCH(S111,'G-8 Condition Look up'!$A$4:$A$135,0)),"")</f>
        <v/>
      </c>
      <c r="E111" s="319" t="str">
        <f>'A-1 On-Site Habitat Baseline'!AL110</f>
        <v/>
      </c>
      <c r="F111" s="310" t="str">
        <f>IF(E111="","",IF(ISNA(VLOOKUP($E111,'A-1 On-Site Habitat Baseline'!$D$1:$AV$258,45,FALSE)),"",(VLOOKUP($E111,'A-1 On-Site Habitat Baseline'!$D$1:$AV$258,45,FALSE))))</f>
        <v/>
      </c>
      <c r="G111" s="310" t="str">
        <f>IF(E111="","",IF(ISNA(VLOOKUP($E111,'A-1 On-Site Habitat Baseline'!$D$1:$O$258,5,FALSE)),"",(VLOOKUP($E111,'A-1 On-Site Habitat Baseline'!$D$1:$O$258,5,FALSE))))</f>
        <v/>
      </c>
      <c r="H111" s="310" t="str">
        <f>IF(E111="","",IF(ISNA(VLOOKUP($E111,'A-1 On-Site Habitat Baseline'!$D$1:$O$258,6,FALSE)),"",(VLOOKUP($E111,'A-1 On-Site Habitat Baseline'!$D$1:$O$258,6,FALSE))))</f>
        <v/>
      </c>
      <c r="I111" s="310" t="str">
        <f>IF(E111="","",IF(ISNA(VLOOKUP($E111,'A-1 On-Site Habitat Baseline'!$D$1:$O$258,7,FALSE)),"",(VLOOKUP($E111,'A-1 On-Site Habitat Baseline'!$D$1:$O$258,7,FALSE))))</f>
        <v/>
      </c>
      <c r="J111" s="310" t="str">
        <f>IF(E111="","",IF(ISNA(VLOOKUP($E111,'A-1 On-Site Habitat Baseline'!$D$1:$O$258,8,FALSE)),"",(VLOOKUP($E111,'A-1 On-Site Habitat Baseline'!$D$1:$O$258,8,FALSE))))</f>
        <v/>
      </c>
      <c r="K111" s="310" t="str">
        <f>IF(E111="","",IF(ISNA(VLOOKUP($E111,'A-1 On-Site Habitat Baseline'!$D$1:$O$258,9,FALSE)),"",(VLOOKUP($E111,'A-1 On-Site Habitat Baseline'!$D$1:$O$258,9,FALSE))))</f>
        <v/>
      </c>
      <c r="L111" s="310" t="str">
        <f>IF(E111="","",IF(ISNA(VLOOKUP($E111,'A-1 On-Site Habitat Baseline'!$D$1:$O$258,11,FALSE)),"",(VLOOKUP($E111,'A-1 On-Site Habitat Baseline'!$D$1:$O$258,11,FALSE))))</f>
        <v/>
      </c>
      <c r="M111" s="310" t="str">
        <f>IF(E111="","",IF(ISNA(VLOOKUP($E111,'A-1 On-Site Habitat Baseline'!$D$1:$O$258,12,FALSE)),"",(VLOOKUP($E111,'A-1 On-Site Habitat Baseline'!$D$1:$O$258,12,FALSE))))</f>
        <v/>
      </c>
      <c r="N111" s="320" t="str">
        <f>IF(E111="","",IF(ISNA(VLOOKUP($E111,'A-1 On-Site Habitat Baseline'!$D$1:$X$258,14,FALSE)),"",(VLOOKUP($E111,'A-1 On-Site Habitat Baseline'!$D$1:$X$258,14,FALSE))))</f>
        <v/>
      </c>
      <c r="O111" s="314" t="str">
        <f>IF(E111="","",IF(ISNA(VLOOKUP($E111,'A-1 On-Site Habitat Baseline'!$D$1:$X$258,16,FALSE)),"",(VLOOKUP($E111,'A-1 On-Site Habitat Baseline'!$D$1:$X$258,13,FALSE))))</f>
        <v/>
      </c>
      <c r="P111" s="161" t="str">
        <f>IFERROR(INDEX('G-1 All Habitats'!$AG$49:$AG$63,MATCH(Q111,'G-1 All Habitats'!$AF$27:$AF$41,0)),"")</f>
        <v/>
      </c>
      <c r="Q111" s="162" t="str">
        <f t="shared" si="13"/>
        <v/>
      </c>
      <c r="R111" s="162"/>
      <c r="S111" s="252" t="str">
        <f>IFERROR(INDEX('G-1 All Habitats'!$B$3:$B$135,MATCH(R111,'G-1 All Habitats'!$A$3:$A$135,0)),"")</f>
        <v/>
      </c>
      <c r="T111" s="290" t="str">
        <f t="shared" si="14"/>
        <v/>
      </c>
      <c r="U111" s="291" t="str">
        <f t="shared" si="15"/>
        <v/>
      </c>
      <c r="V111" s="325" t="str">
        <f t="shared" si="11"/>
        <v/>
      </c>
      <c r="W111" s="310" t="str">
        <f>IF(S111="","",VLOOKUP(S111,'G-1 All Habitats'!$B$2:$M$135,10,FALSE))</f>
        <v/>
      </c>
      <c r="X111" s="310" t="str">
        <f>IFERROR(VLOOKUP(W111,'G-1 All Habitats'!$V$3:$W$7,2,FALSE),"")</f>
        <v/>
      </c>
      <c r="Y111" s="45"/>
      <c r="Z111" s="314" t="str">
        <f>IFERROR(INDEX('G-8 Condition Look up'!$A$3:$H$135,MATCH(S111,'G-8 Condition Look up'!$A$3:$A$135,0),MATCH(Y111,'G-8 Condition Look up'!$A$3:$H$3,0)),"")</f>
        <v/>
      </c>
      <c r="AA111" s="38"/>
      <c r="AB111" s="310" t="str">
        <f>IF(AA111="","",IF(VLOOKUP(AA111,'G-3 Multipliers'!$L$3:$N$6,2,FALSE)=0,"Spatial Data Missing ⚠",VLOOKUP(AA111,'G-3 Multipliers'!$L$3:$N$6,2,FALSE)))</f>
        <v/>
      </c>
      <c r="AC111" s="314" t="str">
        <f>IF(AA111="","",IF(VLOOKUP(AA111,'G-3 Multipliers'!$L$3:$N$6,3,FALSE)=0,"Spatial Data Missing ⚠",VLOOKUP(AA111,'G-3 Multipliers'!$L$3:$N$6,3,FALSE)))</f>
        <v/>
      </c>
      <c r="AD111" s="327" t="str">
        <f t="shared" si="12"/>
        <v/>
      </c>
      <c r="AE111" s="47"/>
      <c r="AF111" s="47"/>
      <c r="AG111" s="298" t="str">
        <f t="shared" si="16"/>
        <v/>
      </c>
      <c r="AH111" s="311" t="str">
        <f t="shared" si="17"/>
        <v/>
      </c>
      <c r="AI111" s="312" t="str">
        <f>IF(AH111="Check Data","Check Data",IFERROR(VLOOKUP(AH111,'G-4 Temporal multipliers'!$A$4:$C$36,3,FALSE),""))</f>
        <v/>
      </c>
      <c r="AJ111" s="290" t="str">
        <f>IF(S111="","",VLOOKUP(S111,'G-3 Multipliers'!$A$2:$E$134,4,FALSE))</f>
        <v/>
      </c>
      <c r="AK111" s="298" t="str">
        <f t="shared" si="18"/>
        <v/>
      </c>
      <c r="AL111" s="298" t="str">
        <f t="shared" si="19"/>
        <v/>
      </c>
      <c r="AM111" s="328" t="str">
        <f>IFERROR(IF(F111="","",IF(AH111="Check Data ⚠","Check Data ⚠",VLOOKUP(AL111, 'G-3 Multipliers'!$P$2:$Q$6,2,FALSE))),"")</f>
        <v/>
      </c>
      <c r="AN111" s="304" t="str">
        <f t="shared" si="20"/>
        <v/>
      </c>
      <c r="AO111" s="163"/>
      <c r="AP111" s="164"/>
      <c r="AQ111" s="101"/>
      <c r="AT111" s="20" t="str">
        <f t="shared" si="21"/>
        <v>No</v>
      </c>
      <c r="AU111" s="20" t="str">
        <f>IF(E111="","",IF(ISNA(VLOOKUP($E111,'A-1 On-Site Habitat Baseline'!$D$1:$AV$258,4,FALSE)),"",(VLOOKUP($E111,'A-1 On-Site Habitat Baseline'!$D$1:$AV$258,4,FALSE))))</f>
        <v/>
      </c>
    </row>
    <row r="112" spans="1:47" x14ac:dyDescent="0.3">
      <c r="A112" s="20" t="str">
        <f>IF(E112="","",IF(ISNA(VLOOKUP($E112,'A-1 On-Site Habitat Baseline'!$D$1:$O$258,2,FALSE)),"",(VLOOKUP($E112,'A-1 On-Site Habitat Baseline'!$D$1:$O$258,2,FALSE))))</f>
        <v/>
      </c>
      <c r="B112" s="20" t="str">
        <f>IF(E112="","",IF(ISNA(VLOOKUP($E112,'A-1 On-Site Habitat Baseline'!$D$1:$O$258,3,FALSE)),"",(VLOOKUP($E112,'A-1 On-Site Habitat Baseline'!$D$1:$O$258,3,FALSE))))</f>
        <v/>
      </c>
      <c r="C112" s="20" t="str">
        <f>IFERROR(INDEX('G-8 Condition Look up'!$I$4:$I$135,MATCH(S112,'G-8 Condition Look up'!$A$4:$A$135,0)),"")</f>
        <v/>
      </c>
      <c r="E112" s="319" t="str">
        <f>'A-1 On-Site Habitat Baseline'!AL111</f>
        <v/>
      </c>
      <c r="F112" s="310" t="str">
        <f>IF(E112="","",IF(ISNA(VLOOKUP($E112,'A-1 On-Site Habitat Baseline'!$D$1:$AV$258,45,FALSE)),"",(VLOOKUP($E112,'A-1 On-Site Habitat Baseline'!$D$1:$AV$258,45,FALSE))))</f>
        <v/>
      </c>
      <c r="G112" s="310" t="str">
        <f>IF(E112="","",IF(ISNA(VLOOKUP($E112,'A-1 On-Site Habitat Baseline'!$D$1:$O$258,5,FALSE)),"",(VLOOKUP($E112,'A-1 On-Site Habitat Baseline'!$D$1:$O$258,5,FALSE))))</f>
        <v/>
      </c>
      <c r="H112" s="310" t="str">
        <f>IF(E112="","",IF(ISNA(VLOOKUP($E112,'A-1 On-Site Habitat Baseline'!$D$1:$O$258,6,FALSE)),"",(VLOOKUP($E112,'A-1 On-Site Habitat Baseline'!$D$1:$O$258,6,FALSE))))</f>
        <v/>
      </c>
      <c r="I112" s="310" t="str">
        <f>IF(E112="","",IF(ISNA(VLOOKUP($E112,'A-1 On-Site Habitat Baseline'!$D$1:$O$258,7,FALSE)),"",(VLOOKUP($E112,'A-1 On-Site Habitat Baseline'!$D$1:$O$258,7,FALSE))))</f>
        <v/>
      </c>
      <c r="J112" s="310" t="str">
        <f>IF(E112="","",IF(ISNA(VLOOKUP($E112,'A-1 On-Site Habitat Baseline'!$D$1:$O$258,8,FALSE)),"",(VLOOKUP($E112,'A-1 On-Site Habitat Baseline'!$D$1:$O$258,8,FALSE))))</f>
        <v/>
      </c>
      <c r="K112" s="310" t="str">
        <f>IF(E112="","",IF(ISNA(VLOOKUP($E112,'A-1 On-Site Habitat Baseline'!$D$1:$O$258,9,FALSE)),"",(VLOOKUP($E112,'A-1 On-Site Habitat Baseline'!$D$1:$O$258,9,FALSE))))</f>
        <v/>
      </c>
      <c r="L112" s="310" t="str">
        <f>IF(E112="","",IF(ISNA(VLOOKUP($E112,'A-1 On-Site Habitat Baseline'!$D$1:$O$258,11,FALSE)),"",(VLOOKUP($E112,'A-1 On-Site Habitat Baseline'!$D$1:$O$258,11,FALSE))))</f>
        <v/>
      </c>
      <c r="M112" s="310" t="str">
        <f>IF(E112="","",IF(ISNA(VLOOKUP($E112,'A-1 On-Site Habitat Baseline'!$D$1:$O$258,12,FALSE)),"",(VLOOKUP($E112,'A-1 On-Site Habitat Baseline'!$D$1:$O$258,12,FALSE))))</f>
        <v/>
      </c>
      <c r="N112" s="320" t="str">
        <f>IF(E112="","",IF(ISNA(VLOOKUP($E112,'A-1 On-Site Habitat Baseline'!$D$1:$X$258,14,FALSE)),"",(VLOOKUP($E112,'A-1 On-Site Habitat Baseline'!$D$1:$X$258,14,FALSE))))</f>
        <v/>
      </c>
      <c r="O112" s="314" t="str">
        <f>IF(E112="","",IF(ISNA(VLOOKUP($E112,'A-1 On-Site Habitat Baseline'!$D$1:$X$258,16,FALSE)),"",(VLOOKUP($E112,'A-1 On-Site Habitat Baseline'!$D$1:$X$258,13,FALSE))))</f>
        <v/>
      </c>
      <c r="P112" s="161" t="str">
        <f>IFERROR(INDEX('G-1 All Habitats'!$AG$49:$AG$63,MATCH(Q112,'G-1 All Habitats'!$AF$27:$AF$41,0)),"")</f>
        <v/>
      </c>
      <c r="Q112" s="162" t="str">
        <f t="shared" si="13"/>
        <v/>
      </c>
      <c r="R112" s="162"/>
      <c r="S112" s="252" t="str">
        <f>IFERROR(INDEX('G-1 All Habitats'!$B$3:$B$135,MATCH(R112,'G-1 All Habitats'!$A$3:$A$135,0)),"")</f>
        <v/>
      </c>
      <c r="T112" s="290" t="str">
        <f t="shared" si="14"/>
        <v/>
      </c>
      <c r="U112" s="291" t="str">
        <f t="shared" si="15"/>
        <v/>
      </c>
      <c r="V112" s="325" t="str">
        <f t="shared" si="11"/>
        <v/>
      </c>
      <c r="W112" s="310" t="str">
        <f>IF(S112="","",VLOOKUP(S112,'G-1 All Habitats'!$B$2:$M$135,10,FALSE))</f>
        <v/>
      </c>
      <c r="X112" s="310" t="str">
        <f>IFERROR(VLOOKUP(W112,'G-1 All Habitats'!$V$3:$W$7,2,FALSE),"")</f>
        <v/>
      </c>
      <c r="Y112" s="45"/>
      <c r="Z112" s="314" t="str">
        <f>IFERROR(INDEX('G-8 Condition Look up'!$A$3:$H$135,MATCH(S112,'G-8 Condition Look up'!$A$3:$A$135,0),MATCH(Y112,'G-8 Condition Look up'!$A$3:$H$3,0)),"")</f>
        <v/>
      </c>
      <c r="AA112" s="38"/>
      <c r="AB112" s="310" t="str">
        <f>IF(AA112="","",IF(VLOOKUP(AA112,'G-3 Multipliers'!$L$3:$N$6,2,FALSE)=0,"Spatial Data Missing ⚠",VLOOKUP(AA112,'G-3 Multipliers'!$L$3:$N$6,2,FALSE)))</f>
        <v/>
      </c>
      <c r="AC112" s="314" t="str">
        <f>IF(AA112="","",IF(VLOOKUP(AA112,'G-3 Multipliers'!$L$3:$N$6,3,FALSE)=0,"Spatial Data Missing ⚠",VLOOKUP(AA112,'G-3 Multipliers'!$L$3:$N$6,3,FALSE)))</f>
        <v/>
      </c>
      <c r="AD112" s="327" t="str">
        <f t="shared" si="12"/>
        <v/>
      </c>
      <c r="AE112" s="47"/>
      <c r="AF112" s="47"/>
      <c r="AG112" s="298" t="str">
        <f t="shared" si="16"/>
        <v/>
      </c>
      <c r="AH112" s="311" t="str">
        <f t="shared" si="17"/>
        <v/>
      </c>
      <c r="AI112" s="312" t="str">
        <f>IF(AH112="Check Data","Check Data",IFERROR(VLOOKUP(AH112,'G-4 Temporal multipliers'!$A$4:$C$36,3,FALSE),""))</f>
        <v/>
      </c>
      <c r="AJ112" s="290" t="str">
        <f>IF(S112="","",VLOOKUP(S112,'G-3 Multipliers'!$A$2:$E$134,4,FALSE))</f>
        <v/>
      </c>
      <c r="AK112" s="298" t="str">
        <f t="shared" si="18"/>
        <v/>
      </c>
      <c r="AL112" s="298" t="str">
        <f t="shared" si="19"/>
        <v/>
      </c>
      <c r="AM112" s="328" t="str">
        <f>IFERROR(IF(F112="","",IF(AH112="Check Data ⚠","Check Data ⚠",VLOOKUP(AL112, 'G-3 Multipliers'!$P$2:$Q$6,2,FALSE))),"")</f>
        <v/>
      </c>
      <c r="AN112" s="304" t="str">
        <f t="shared" si="20"/>
        <v/>
      </c>
      <c r="AO112" s="163"/>
      <c r="AP112" s="164"/>
      <c r="AQ112" s="101"/>
      <c r="AT112" s="20" t="str">
        <f t="shared" si="21"/>
        <v>No</v>
      </c>
      <c r="AU112" s="20" t="str">
        <f>IF(E112="","",IF(ISNA(VLOOKUP($E112,'A-1 On-Site Habitat Baseline'!$D$1:$AV$258,4,FALSE)),"",(VLOOKUP($E112,'A-1 On-Site Habitat Baseline'!$D$1:$AV$258,4,FALSE))))</f>
        <v/>
      </c>
    </row>
    <row r="113" spans="1:47" x14ac:dyDescent="0.3">
      <c r="A113" s="20" t="str">
        <f>IF(E113="","",IF(ISNA(VLOOKUP($E113,'A-1 On-Site Habitat Baseline'!$D$1:$O$258,2,FALSE)),"",(VLOOKUP($E113,'A-1 On-Site Habitat Baseline'!$D$1:$O$258,2,FALSE))))</f>
        <v/>
      </c>
      <c r="B113" s="20" t="str">
        <f>IF(E113="","",IF(ISNA(VLOOKUP($E113,'A-1 On-Site Habitat Baseline'!$D$1:$O$258,3,FALSE)),"",(VLOOKUP($E113,'A-1 On-Site Habitat Baseline'!$D$1:$O$258,3,FALSE))))</f>
        <v/>
      </c>
      <c r="C113" s="20" t="str">
        <f>IFERROR(INDEX('G-8 Condition Look up'!$I$4:$I$135,MATCH(S113,'G-8 Condition Look up'!$A$4:$A$135,0)),"")</f>
        <v/>
      </c>
      <c r="E113" s="319" t="str">
        <f>'A-1 On-Site Habitat Baseline'!AL112</f>
        <v/>
      </c>
      <c r="F113" s="310" t="str">
        <f>IF(E113="","",IF(ISNA(VLOOKUP($E113,'A-1 On-Site Habitat Baseline'!$D$1:$AV$258,45,FALSE)),"",(VLOOKUP($E113,'A-1 On-Site Habitat Baseline'!$D$1:$AV$258,45,FALSE))))</f>
        <v/>
      </c>
      <c r="G113" s="310" t="str">
        <f>IF(E113="","",IF(ISNA(VLOOKUP($E113,'A-1 On-Site Habitat Baseline'!$D$1:$O$258,5,FALSE)),"",(VLOOKUP($E113,'A-1 On-Site Habitat Baseline'!$D$1:$O$258,5,FALSE))))</f>
        <v/>
      </c>
      <c r="H113" s="310" t="str">
        <f>IF(E113="","",IF(ISNA(VLOOKUP($E113,'A-1 On-Site Habitat Baseline'!$D$1:$O$258,6,FALSE)),"",(VLOOKUP($E113,'A-1 On-Site Habitat Baseline'!$D$1:$O$258,6,FALSE))))</f>
        <v/>
      </c>
      <c r="I113" s="310" t="str">
        <f>IF(E113="","",IF(ISNA(VLOOKUP($E113,'A-1 On-Site Habitat Baseline'!$D$1:$O$258,7,FALSE)),"",(VLOOKUP($E113,'A-1 On-Site Habitat Baseline'!$D$1:$O$258,7,FALSE))))</f>
        <v/>
      </c>
      <c r="J113" s="310" t="str">
        <f>IF(E113="","",IF(ISNA(VLOOKUP($E113,'A-1 On-Site Habitat Baseline'!$D$1:$O$258,8,FALSE)),"",(VLOOKUP($E113,'A-1 On-Site Habitat Baseline'!$D$1:$O$258,8,FALSE))))</f>
        <v/>
      </c>
      <c r="K113" s="310" t="str">
        <f>IF(E113="","",IF(ISNA(VLOOKUP($E113,'A-1 On-Site Habitat Baseline'!$D$1:$O$258,9,FALSE)),"",(VLOOKUP($E113,'A-1 On-Site Habitat Baseline'!$D$1:$O$258,9,FALSE))))</f>
        <v/>
      </c>
      <c r="L113" s="310" t="str">
        <f>IF(E113="","",IF(ISNA(VLOOKUP($E113,'A-1 On-Site Habitat Baseline'!$D$1:$O$258,11,FALSE)),"",(VLOOKUP($E113,'A-1 On-Site Habitat Baseline'!$D$1:$O$258,11,FALSE))))</f>
        <v/>
      </c>
      <c r="M113" s="310" t="str">
        <f>IF(E113="","",IF(ISNA(VLOOKUP($E113,'A-1 On-Site Habitat Baseline'!$D$1:$O$258,12,FALSE)),"",(VLOOKUP($E113,'A-1 On-Site Habitat Baseline'!$D$1:$O$258,12,FALSE))))</f>
        <v/>
      </c>
      <c r="N113" s="320" t="str">
        <f>IF(E113="","",IF(ISNA(VLOOKUP($E113,'A-1 On-Site Habitat Baseline'!$D$1:$X$258,14,FALSE)),"",(VLOOKUP($E113,'A-1 On-Site Habitat Baseline'!$D$1:$X$258,14,FALSE))))</f>
        <v/>
      </c>
      <c r="O113" s="314" t="str">
        <f>IF(E113="","",IF(ISNA(VLOOKUP($E113,'A-1 On-Site Habitat Baseline'!$D$1:$X$258,16,FALSE)),"",(VLOOKUP($E113,'A-1 On-Site Habitat Baseline'!$D$1:$X$258,13,FALSE))))</f>
        <v/>
      </c>
      <c r="P113" s="161" t="str">
        <f>IFERROR(INDEX('G-1 All Habitats'!$AG$49:$AG$63,MATCH(Q113,'G-1 All Habitats'!$AF$27:$AF$41,0)),"")</f>
        <v/>
      </c>
      <c r="Q113" s="162" t="str">
        <f t="shared" si="13"/>
        <v/>
      </c>
      <c r="R113" s="162"/>
      <c r="S113" s="252" t="str">
        <f>IFERROR(INDEX('G-1 All Habitats'!$B$3:$B$135,MATCH(R113,'G-1 All Habitats'!$A$3:$A$135,0)),"")</f>
        <v/>
      </c>
      <c r="T113" s="290" t="str">
        <f t="shared" si="14"/>
        <v/>
      </c>
      <c r="U113" s="291" t="str">
        <f t="shared" si="15"/>
        <v/>
      </c>
      <c r="V113" s="325" t="str">
        <f t="shared" si="11"/>
        <v/>
      </c>
      <c r="W113" s="310" t="str">
        <f>IF(S113="","",VLOOKUP(S113,'G-1 All Habitats'!$B$2:$M$135,10,FALSE))</f>
        <v/>
      </c>
      <c r="X113" s="310" t="str">
        <f>IFERROR(VLOOKUP(W113,'G-1 All Habitats'!$V$3:$W$7,2,FALSE),"")</f>
        <v/>
      </c>
      <c r="Y113" s="45"/>
      <c r="Z113" s="314" t="str">
        <f>IFERROR(INDEX('G-8 Condition Look up'!$A$3:$H$135,MATCH(S113,'G-8 Condition Look up'!$A$3:$A$135,0),MATCH(Y113,'G-8 Condition Look up'!$A$3:$H$3,0)),"")</f>
        <v/>
      </c>
      <c r="AA113" s="38"/>
      <c r="AB113" s="310" t="str">
        <f>IF(AA113="","",IF(VLOOKUP(AA113,'G-3 Multipliers'!$L$3:$N$6,2,FALSE)=0,"Spatial Data Missing ⚠",VLOOKUP(AA113,'G-3 Multipliers'!$L$3:$N$6,2,FALSE)))</f>
        <v/>
      </c>
      <c r="AC113" s="314" t="str">
        <f>IF(AA113="","",IF(VLOOKUP(AA113,'G-3 Multipliers'!$L$3:$N$6,3,FALSE)=0,"Spatial Data Missing ⚠",VLOOKUP(AA113,'G-3 Multipliers'!$L$3:$N$6,3,FALSE)))</f>
        <v/>
      </c>
      <c r="AD113" s="327" t="str">
        <f t="shared" si="12"/>
        <v/>
      </c>
      <c r="AE113" s="47"/>
      <c r="AF113" s="47"/>
      <c r="AG113" s="298" t="str">
        <f t="shared" si="16"/>
        <v/>
      </c>
      <c r="AH113" s="311" t="str">
        <f t="shared" si="17"/>
        <v/>
      </c>
      <c r="AI113" s="312" t="str">
        <f>IF(AH113="Check Data","Check Data",IFERROR(VLOOKUP(AH113,'G-4 Temporal multipliers'!$A$4:$C$36,3,FALSE),""))</f>
        <v/>
      </c>
      <c r="AJ113" s="290" t="str">
        <f>IF(S113="","",VLOOKUP(S113,'G-3 Multipliers'!$A$2:$E$134,4,FALSE))</f>
        <v/>
      </c>
      <c r="AK113" s="298" t="str">
        <f t="shared" si="18"/>
        <v/>
      </c>
      <c r="AL113" s="298" t="str">
        <f t="shared" si="19"/>
        <v/>
      </c>
      <c r="AM113" s="328" t="str">
        <f>IFERROR(IF(F113="","",IF(AH113="Check Data ⚠","Check Data ⚠",VLOOKUP(AL113, 'G-3 Multipliers'!$P$2:$Q$6,2,FALSE))),"")</f>
        <v/>
      </c>
      <c r="AN113" s="304" t="str">
        <f t="shared" si="20"/>
        <v/>
      </c>
      <c r="AO113" s="163"/>
      <c r="AP113" s="164"/>
      <c r="AQ113" s="101"/>
      <c r="AT113" s="20" t="str">
        <f t="shared" si="21"/>
        <v>No</v>
      </c>
      <c r="AU113" s="20" t="str">
        <f>IF(E113="","",IF(ISNA(VLOOKUP($E113,'A-1 On-Site Habitat Baseline'!$D$1:$AV$258,4,FALSE)),"",(VLOOKUP($E113,'A-1 On-Site Habitat Baseline'!$D$1:$AV$258,4,FALSE))))</f>
        <v/>
      </c>
    </row>
    <row r="114" spans="1:47" x14ac:dyDescent="0.3">
      <c r="A114" s="20" t="str">
        <f>IF(E114="","",IF(ISNA(VLOOKUP($E114,'A-1 On-Site Habitat Baseline'!$D$1:$O$258,2,FALSE)),"",(VLOOKUP($E114,'A-1 On-Site Habitat Baseline'!$D$1:$O$258,2,FALSE))))</f>
        <v/>
      </c>
      <c r="B114" s="20" t="str">
        <f>IF(E114="","",IF(ISNA(VLOOKUP($E114,'A-1 On-Site Habitat Baseline'!$D$1:$O$258,3,FALSE)),"",(VLOOKUP($E114,'A-1 On-Site Habitat Baseline'!$D$1:$O$258,3,FALSE))))</f>
        <v/>
      </c>
      <c r="C114" s="20" t="str">
        <f>IFERROR(INDEX('G-8 Condition Look up'!$I$4:$I$135,MATCH(S114,'G-8 Condition Look up'!$A$4:$A$135,0)),"")</f>
        <v/>
      </c>
      <c r="E114" s="319" t="str">
        <f>'A-1 On-Site Habitat Baseline'!AL113</f>
        <v/>
      </c>
      <c r="F114" s="310" t="str">
        <f>IF(E114="","",IF(ISNA(VLOOKUP($E114,'A-1 On-Site Habitat Baseline'!$D$1:$AV$258,45,FALSE)),"",(VLOOKUP($E114,'A-1 On-Site Habitat Baseline'!$D$1:$AV$258,45,FALSE))))</f>
        <v/>
      </c>
      <c r="G114" s="310" t="str">
        <f>IF(E114="","",IF(ISNA(VLOOKUP($E114,'A-1 On-Site Habitat Baseline'!$D$1:$O$258,5,FALSE)),"",(VLOOKUP($E114,'A-1 On-Site Habitat Baseline'!$D$1:$O$258,5,FALSE))))</f>
        <v/>
      </c>
      <c r="H114" s="310" t="str">
        <f>IF(E114="","",IF(ISNA(VLOOKUP($E114,'A-1 On-Site Habitat Baseline'!$D$1:$O$258,6,FALSE)),"",(VLOOKUP($E114,'A-1 On-Site Habitat Baseline'!$D$1:$O$258,6,FALSE))))</f>
        <v/>
      </c>
      <c r="I114" s="310" t="str">
        <f>IF(E114="","",IF(ISNA(VLOOKUP($E114,'A-1 On-Site Habitat Baseline'!$D$1:$O$258,7,FALSE)),"",(VLOOKUP($E114,'A-1 On-Site Habitat Baseline'!$D$1:$O$258,7,FALSE))))</f>
        <v/>
      </c>
      <c r="J114" s="310" t="str">
        <f>IF(E114="","",IF(ISNA(VLOOKUP($E114,'A-1 On-Site Habitat Baseline'!$D$1:$O$258,8,FALSE)),"",(VLOOKUP($E114,'A-1 On-Site Habitat Baseline'!$D$1:$O$258,8,FALSE))))</f>
        <v/>
      </c>
      <c r="K114" s="310" t="str">
        <f>IF(E114="","",IF(ISNA(VLOOKUP($E114,'A-1 On-Site Habitat Baseline'!$D$1:$O$258,9,FALSE)),"",(VLOOKUP($E114,'A-1 On-Site Habitat Baseline'!$D$1:$O$258,9,FALSE))))</f>
        <v/>
      </c>
      <c r="L114" s="310" t="str">
        <f>IF(E114="","",IF(ISNA(VLOOKUP($E114,'A-1 On-Site Habitat Baseline'!$D$1:$O$258,11,FALSE)),"",(VLOOKUP($E114,'A-1 On-Site Habitat Baseline'!$D$1:$O$258,11,FALSE))))</f>
        <v/>
      </c>
      <c r="M114" s="310" t="str">
        <f>IF(E114="","",IF(ISNA(VLOOKUP($E114,'A-1 On-Site Habitat Baseline'!$D$1:$O$258,12,FALSE)),"",(VLOOKUP($E114,'A-1 On-Site Habitat Baseline'!$D$1:$O$258,12,FALSE))))</f>
        <v/>
      </c>
      <c r="N114" s="320" t="str">
        <f>IF(E114="","",IF(ISNA(VLOOKUP($E114,'A-1 On-Site Habitat Baseline'!$D$1:$X$258,14,FALSE)),"",(VLOOKUP($E114,'A-1 On-Site Habitat Baseline'!$D$1:$X$258,14,FALSE))))</f>
        <v/>
      </c>
      <c r="O114" s="314" t="str">
        <f>IF(E114="","",IF(ISNA(VLOOKUP($E114,'A-1 On-Site Habitat Baseline'!$D$1:$X$258,16,FALSE)),"",(VLOOKUP($E114,'A-1 On-Site Habitat Baseline'!$D$1:$X$258,13,FALSE))))</f>
        <v/>
      </c>
      <c r="P114" s="161" t="str">
        <f>IFERROR(INDEX('G-1 All Habitats'!$AG$49:$AG$63,MATCH(Q114,'G-1 All Habitats'!$AF$27:$AF$41,0)),"")</f>
        <v/>
      </c>
      <c r="Q114" s="162" t="str">
        <f t="shared" si="13"/>
        <v/>
      </c>
      <c r="R114" s="162"/>
      <c r="S114" s="252" t="str">
        <f>IFERROR(INDEX('G-1 All Habitats'!$B$3:$B$135,MATCH(R114,'G-1 All Habitats'!$A$3:$A$135,0)),"")</f>
        <v/>
      </c>
      <c r="T114" s="290" t="str">
        <f t="shared" si="14"/>
        <v/>
      </c>
      <c r="U114" s="291" t="str">
        <f t="shared" si="15"/>
        <v/>
      </c>
      <c r="V114" s="325" t="str">
        <f t="shared" si="11"/>
        <v/>
      </c>
      <c r="W114" s="310" t="str">
        <f>IF(S114="","",VLOOKUP(S114,'G-1 All Habitats'!$B$2:$M$135,10,FALSE))</f>
        <v/>
      </c>
      <c r="X114" s="310" t="str">
        <f>IFERROR(VLOOKUP(W114,'G-1 All Habitats'!$V$3:$W$7,2,FALSE),"")</f>
        <v/>
      </c>
      <c r="Y114" s="45"/>
      <c r="Z114" s="314" t="str">
        <f>IFERROR(INDEX('G-8 Condition Look up'!$A$3:$H$135,MATCH(S114,'G-8 Condition Look up'!$A$3:$A$135,0),MATCH(Y114,'G-8 Condition Look up'!$A$3:$H$3,0)),"")</f>
        <v/>
      </c>
      <c r="AA114" s="38"/>
      <c r="AB114" s="310" t="str">
        <f>IF(AA114="","",IF(VLOOKUP(AA114,'G-3 Multipliers'!$L$3:$N$6,2,FALSE)=0,"Spatial Data Missing ⚠",VLOOKUP(AA114,'G-3 Multipliers'!$L$3:$N$6,2,FALSE)))</f>
        <v/>
      </c>
      <c r="AC114" s="314" t="str">
        <f>IF(AA114="","",IF(VLOOKUP(AA114,'G-3 Multipliers'!$L$3:$N$6,3,FALSE)=0,"Spatial Data Missing ⚠",VLOOKUP(AA114,'G-3 Multipliers'!$L$3:$N$6,3,FALSE)))</f>
        <v/>
      </c>
      <c r="AD114" s="327" t="str">
        <f t="shared" si="12"/>
        <v/>
      </c>
      <c r="AE114" s="47"/>
      <c r="AF114" s="47"/>
      <c r="AG114" s="298" t="str">
        <f t="shared" si="16"/>
        <v/>
      </c>
      <c r="AH114" s="311" t="str">
        <f t="shared" si="17"/>
        <v/>
      </c>
      <c r="AI114" s="312" t="str">
        <f>IF(AH114="Check Data","Check Data",IFERROR(VLOOKUP(AH114,'G-4 Temporal multipliers'!$A$4:$C$36,3,FALSE),""))</f>
        <v/>
      </c>
      <c r="AJ114" s="290" t="str">
        <f>IF(S114="","",VLOOKUP(S114,'G-3 Multipliers'!$A$2:$E$134,4,FALSE))</f>
        <v/>
      </c>
      <c r="AK114" s="298" t="str">
        <f t="shared" si="18"/>
        <v/>
      </c>
      <c r="AL114" s="298" t="str">
        <f t="shared" si="19"/>
        <v/>
      </c>
      <c r="AM114" s="328" t="str">
        <f>IFERROR(IF(F114="","",IF(AH114="Check Data ⚠","Check Data ⚠",VLOOKUP(AL114, 'G-3 Multipliers'!$P$2:$Q$6,2,FALSE))),"")</f>
        <v/>
      </c>
      <c r="AN114" s="304" t="str">
        <f t="shared" si="20"/>
        <v/>
      </c>
      <c r="AO114" s="163"/>
      <c r="AP114" s="164"/>
      <c r="AQ114" s="101"/>
      <c r="AT114" s="20" t="str">
        <f t="shared" si="21"/>
        <v>No</v>
      </c>
      <c r="AU114" s="20" t="str">
        <f>IF(E114="","",IF(ISNA(VLOOKUP($E114,'A-1 On-Site Habitat Baseline'!$D$1:$AV$258,4,FALSE)),"",(VLOOKUP($E114,'A-1 On-Site Habitat Baseline'!$D$1:$AV$258,4,FALSE))))</f>
        <v/>
      </c>
    </row>
    <row r="115" spans="1:47" x14ac:dyDescent="0.3">
      <c r="A115" s="20" t="str">
        <f>IF(E115="","",IF(ISNA(VLOOKUP($E115,'A-1 On-Site Habitat Baseline'!$D$1:$O$258,2,FALSE)),"",(VLOOKUP($E115,'A-1 On-Site Habitat Baseline'!$D$1:$O$258,2,FALSE))))</f>
        <v/>
      </c>
      <c r="B115" s="20" t="str">
        <f>IF(E115="","",IF(ISNA(VLOOKUP($E115,'A-1 On-Site Habitat Baseline'!$D$1:$O$258,3,FALSE)),"",(VLOOKUP($E115,'A-1 On-Site Habitat Baseline'!$D$1:$O$258,3,FALSE))))</f>
        <v/>
      </c>
      <c r="C115" s="20" t="str">
        <f>IFERROR(INDEX('G-8 Condition Look up'!$I$4:$I$135,MATCH(S115,'G-8 Condition Look up'!$A$4:$A$135,0)),"")</f>
        <v/>
      </c>
      <c r="E115" s="319" t="str">
        <f>'A-1 On-Site Habitat Baseline'!AL114</f>
        <v/>
      </c>
      <c r="F115" s="310" t="str">
        <f>IF(E115="","",IF(ISNA(VLOOKUP($E115,'A-1 On-Site Habitat Baseline'!$D$1:$AV$258,45,FALSE)),"",(VLOOKUP($E115,'A-1 On-Site Habitat Baseline'!$D$1:$AV$258,45,FALSE))))</f>
        <v/>
      </c>
      <c r="G115" s="310" t="str">
        <f>IF(E115="","",IF(ISNA(VLOOKUP($E115,'A-1 On-Site Habitat Baseline'!$D$1:$O$258,5,FALSE)),"",(VLOOKUP($E115,'A-1 On-Site Habitat Baseline'!$D$1:$O$258,5,FALSE))))</f>
        <v/>
      </c>
      <c r="H115" s="310" t="str">
        <f>IF(E115="","",IF(ISNA(VLOOKUP($E115,'A-1 On-Site Habitat Baseline'!$D$1:$O$258,6,FALSE)),"",(VLOOKUP($E115,'A-1 On-Site Habitat Baseline'!$D$1:$O$258,6,FALSE))))</f>
        <v/>
      </c>
      <c r="I115" s="310" t="str">
        <f>IF(E115="","",IF(ISNA(VLOOKUP($E115,'A-1 On-Site Habitat Baseline'!$D$1:$O$258,7,FALSE)),"",(VLOOKUP($E115,'A-1 On-Site Habitat Baseline'!$D$1:$O$258,7,FALSE))))</f>
        <v/>
      </c>
      <c r="J115" s="310" t="str">
        <f>IF(E115="","",IF(ISNA(VLOOKUP($E115,'A-1 On-Site Habitat Baseline'!$D$1:$O$258,8,FALSE)),"",(VLOOKUP($E115,'A-1 On-Site Habitat Baseline'!$D$1:$O$258,8,FALSE))))</f>
        <v/>
      </c>
      <c r="K115" s="310" t="str">
        <f>IF(E115="","",IF(ISNA(VLOOKUP($E115,'A-1 On-Site Habitat Baseline'!$D$1:$O$258,9,FALSE)),"",(VLOOKUP($E115,'A-1 On-Site Habitat Baseline'!$D$1:$O$258,9,FALSE))))</f>
        <v/>
      </c>
      <c r="L115" s="310" t="str">
        <f>IF(E115="","",IF(ISNA(VLOOKUP($E115,'A-1 On-Site Habitat Baseline'!$D$1:$O$258,11,FALSE)),"",(VLOOKUP($E115,'A-1 On-Site Habitat Baseline'!$D$1:$O$258,11,FALSE))))</f>
        <v/>
      </c>
      <c r="M115" s="310" t="str">
        <f>IF(E115="","",IF(ISNA(VLOOKUP($E115,'A-1 On-Site Habitat Baseline'!$D$1:$O$258,12,FALSE)),"",(VLOOKUP($E115,'A-1 On-Site Habitat Baseline'!$D$1:$O$258,12,FALSE))))</f>
        <v/>
      </c>
      <c r="N115" s="320" t="str">
        <f>IF(E115="","",IF(ISNA(VLOOKUP($E115,'A-1 On-Site Habitat Baseline'!$D$1:$X$258,14,FALSE)),"",(VLOOKUP($E115,'A-1 On-Site Habitat Baseline'!$D$1:$X$258,14,FALSE))))</f>
        <v/>
      </c>
      <c r="O115" s="314" t="str">
        <f>IF(E115="","",IF(ISNA(VLOOKUP($E115,'A-1 On-Site Habitat Baseline'!$D$1:$X$258,16,FALSE)),"",(VLOOKUP($E115,'A-1 On-Site Habitat Baseline'!$D$1:$X$258,13,FALSE))))</f>
        <v/>
      </c>
      <c r="P115" s="161" t="str">
        <f>IFERROR(INDEX('G-1 All Habitats'!$AG$49:$AG$63,MATCH(Q115,'G-1 All Habitats'!$AF$27:$AF$41,0)),"")</f>
        <v/>
      </c>
      <c r="Q115" s="162" t="str">
        <f t="shared" si="13"/>
        <v/>
      </c>
      <c r="R115" s="162"/>
      <c r="S115" s="252" t="str">
        <f>IFERROR(INDEX('G-1 All Habitats'!$B$3:$B$135,MATCH(R115,'G-1 All Habitats'!$A$3:$A$135,0)),"")</f>
        <v/>
      </c>
      <c r="T115" s="290" t="str">
        <f t="shared" si="14"/>
        <v/>
      </c>
      <c r="U115" s="291" t="str">
        <f t="shared" si="15"/>
        <v/>
      </c>
      <c r="V115" s="325" t="str">
        <f t="shared" si="11"/>
        <v/>
      </c>
      <c r="W115" s="310" t="str">
        <f>IF(S115="","",VLOOKUP(S115,'G-1 All Habitats'!$B$2:$M$135,10,FALSE))</f>
        <v/>
      </c>
      <c r="X115" s="310" t="str">
        <f>IFERROR(VLOOKUP(W115,'G-1 All Habitats'!$V$3:$W$7,2,FALSE),"")</f>
        <v/>
      </c>
      <c r="Y115" s="45"/>
      <c r="Z115" s="314" t="str">
        <f>IFERROR(INDEX('G-8 Condition Look up'!$A$3:$H$135,MATCH(S115,'G-8 Condition Look up'!$A$3:$A$135,0),MATCH(Y115,'G-8 Condition Look up'!$A$3:$H$3,0)),"")</f>
        <v/>
      </c>
      <c r="AA115" s="38"/>
      <c r="AB115" s="310" t="str">
        <f>IF(AA115="","",IF(VLOOKUP(AA115,'G-3 Multipliers'!$L$3:$N$6,2,FALSE)=0,"Spatial Data Missing ⚠",VLOOKUP(AA115,'G-3 Multipliers'!$L$3:$N$6,2,FALSE)))</f>
        <v/>
      </c>
      <c r="AC115" s="314" t="str">
        <f>IF(AA115="","",IF(VLOOKUP(AA115,'G-3 Multipliers'!$L$3:$N$6,3,FALSE)=0,"Spatial Data Missing ⚠",VLOOKUP(AA115,'G-3 Multipliers'!$L$3:$N$6,3,FALSE)))</f>
        <v/>
      </c>
      <c r="AD115" s="327" t="str">
        <f t="shared" si="12"/>
        <v/>
      </c>
      <c r="AE115" s="47"/>
      <c r="AF115" s="47"/>
      <c r="AG115" s="298" t="str">
        <f t="shared" si="16"/>
        <v/>
      </c>
      <c r="AH115" s="311" t="str">
        <f t="shared" si="17"/>
        <v/>
      </c>
      <c r="AI115" s="312" t="str">
        <f>IF(AH115="Check Data","Check Data",IFERROR(VLOOKUP(AH115,'G-4 Temporal multipliers'!$A$4:$C$36,3,FALSE),""))</f>
        <v/>
      </c>
      <c r="AJ115" s="290" t="str">
        <f>IF(S115="","",VLOOKUP(S115,'G-3 Multipliers'!$A$2:$E$134,4,FALSE))</f>
        <v/>
      </c>
      <c r="AK115" s="298" t="str">
        <f t="shared" si="18"/>
        <v/>
      </c>
      <c r="AL115" s="298" t="str">
        <f t="shared" si="19"/>
        <v/>
      </c>
      <c r="AM115" s="328" t="str">
        <f>IFERROR(IF(F115="","",IF(AH115="Check Data ⚠","Check Data ⚠",VLOOKUP(AL115, 'G-3 Multipliers'!$P$2:$Q$6,2,FALSE))),"")</f>
        <v/>
      </c>
      <c r="AN115" s="304" t="str">
        <f t="shared" si="20"/>
        <v/>
      </c>
      <c r="AO115" s="163"/>
      <c r="AP115" s="164"/>
      <c r="AQ115" s="101"/>
      <c r="AT115" s="20" t="str">
        <f t="shared" si="21"/>
        <v>No</v>
      </c>
      <c r="AU115" s="20" t="str">
        <f>IF(E115="","",IF(ISNA(VLOOKUP($E115,'A-1 On-Site Habitat Baseline'!$D$1:$AV$258,4,FALSE)),"",(VLOOKUP($E115,'A-1 On-Site Habitat Baseline'!$D$1:$AV$258,4,FALSE))))</f>
        <v/>
      </c>
    </row>
    <row r="116" spans="1:47" x14ac:dyDescent="0.3">
      <c r="A116" s="20" t="str">
        <f>IF(E116="","",IF(ISNA(VLOOKUP($E116,'A-1 On-Site Habitat Baseline'!$D$1:$O$258,2,FALSE)),"",(VLOOKUP($E116,'A-1 On-Site Habitat Baseline'!$D$1:$O$258,2,FALSE))))</f>
        <v/>
      </c>
      <c r="B116" s="20" t="str">
        <f>IF(E116="","",IF(ISNA(VLOOKUP($E116,'A-1 On-Site Habitat Baseline'!$D$1:$O$258,3,FALSE)),"",(VLOOKUP($E116,'A-1 On-Site Habitat Baseline'!$D$1:$O$258,3,FALSE))))</f>
        <v/>
      </c>
      <c r="C116" s="20" t="str">
        <f>IFERROR(INDEX('G-8 Condition Look up'!$I$4:$I$135,MATCH(S116,'G-8 Condition Look up'!$A$4:$A$135,0)),"")</f>
        <v/>
      </c>
      <c r="E116" s="319" t="str">
        <f>'A-1 On-Site Habitat Baseline'!AL115</f>
        <v/>
      </c>
      <c r="F116" s="310" t="str">
        <f>IF(E116="","",IF(ISNA(VLOOKUP($E116,'A-1 On-Site Habitat Baseline'!$D$1:$AV$258,45,FALSE)),"",(VLOOKUP($E116,'A-1 On-Site Habitat Baseline'!$D$1:$AV$258,45,FALSE))))</f>
        <v/>
      </c>
      <c r="G116" s="310" t="str">
        <f>IF(E116="","",IF(ISNA(VLOOKUP($E116,'A-1 On-Site Habitat Baseline'!$D$1:$O$258,5,FALSE)),"",(VLOOKUP($E116,'A-1 On-Site Habitat Baseline'!$D$1:$O$258,5,FALSE))))</f>
        <v/>
      </c>
      <c r="H116" s="310" t="str">
        <f>IF(E116="","",IF(ISNA(VLOOKUP($E116,'A-1 On-Site Habitat Baseline'!$D$1:$O$258,6,FALSE)),"",(VLOOKUP($E116,'A-1 On-Site Habitat Baseline'!$D$1:$O$258,6,FALSE))))</f>
        <v/>
      </c>
      <c r="I116" s="310" t="str">
        <f>IF(E116="","",IF(ISNA(VLOOKUP($E116,'A-1 On-Site Habitat Baseline'!$D$1:$O$258,7,FALSE)),"",(VLOOKUP($E116,'A-1 On-Site Habitat Baseline'!$D$1:$O$258,7,FALSE))))</f>
        <v/>
      </c>
      <c r="J116" s="310" t="str">
        <f>IF(E116="","",IF(ISNA(VLOOKUP($E116,'A-1 On-Site Habitat Baseline'!$D$1:$O$258,8,FALSE)),"",(VLOOKUP($E116,'A-1 On-Site Habitat Baseline'!$D$1:$O$258,8,FALSE))))</f>
        <v/>
      </c>
      <c r="K116" s="310" t="str">
        <f>IF(E116="","",IF(ISNA(VLOOKUP($E116,'A-1 On-Site Habitat Baseline'!$D$1:$O$258,9,FALSE)),"",(VLOOKUP($E116,'A-1 On-Site Habitat Baseline'!$D$1:$O$258,9,FALSE))))</f>
        <v/>
      </c>
      <c r="L116" s="310" t="str">
        <f>IF(E116="","",IF(ISNA(VLOOKUP($E116,'A-1 On-Site Habitat Baseline'!$D$1:$O$258,11,FALSE)),"",(VLOOKUP($E116,'A-1 On-Site Habitat Baseline'!$D$1:$O$258,11,FALSE))))</f>
        <v/>
      </c>
      <c r="M116" s="310" t="str">
        <f>IF(E116="","",IF(ISNA(VLOOKUP($E116,'A-1 On-Site Habitat Baseline'!$D$1:$O$258,12,FALSE)),"",(VLOOKUP($E116,'A-1 On-Site Habitat Baseline'!$D$1:$O$258,12,FALSE))))</f>
        <v/>
      </c>
      <c r="N116" s="320" t="str">
        <f>IF(E116="","",IF(ISNA(VLOOKUP($E116,'A-1 On-Site Habitat Baseline'!$D$1:$X$258,14,FALSE)),"",(VLOOKUP($E116,'A-1 On-Site Habitat Baseline'!$D$1:$X$258,14,FALSE))))</f>
        <v/>
      </c>
      <c r="O116" s="314" t="str">
        <f>IF(E116="","",IF(ISNA(VLOOKUP($E116,'A-1 On-Site Habitat Baseline'!$D$1:$X$258,16,FALSE)),"",(VLOOKUP($E116,'A-1 On-Site Habitat Baseline'!$D$1:$X$258,13,FALSE))))</f>
        <v/>
      </c>
      <c r="P116" s="161" t="str">
        <f>IFERROR(INDEX('G-1 All Habitats'!$AG$49:$AG$63,MATCH(Q116,'G-1 All Habitats'!$AF$27:$AF$41,0)),"")</f>
        <v/>
      </c>
      <c r="Q116" s="162" t="str">
        <f t="shared" si="13"/>
        <v/>
      </c>
      <c r="R116" s="162"/>
      <c r="S116" s="252" t="str">
        <f>IFERROR(INDEX('G-1 All Habitats'!$B$3:$B$135,MATCH(R116,'G-1 All Habitats'!$A$3:$A$135,0)),"")</f>
        <v/>
      </c>
      <c r="T116" s="290" t="str">
        <f t="shared" si="14"/>
        <v/>
      </c>
      <c r="U116" s="291" t="str">
        <f t="shared" si="15"/>
        <v/>
      </c>
      <c r="V116" s="325" t="str">
        <f t="shared" si="11"/>
        <v/>
      </c>
      <c r="W116" s="310" t="str">
        <f>IF(S116="","",VLOOKUP(S116,'G-1 All Habitats'!$B$2:$M$135,10,FALSE))</f>
        <v/>
      </c>
      <c r="X116" s="310" t="str">
        <f>IFERROR(VLOOKUP(W116,'G-1 All Habitats'!$V$3:$W$7,2,FALSE),"")</f>
        <v/>
      </c>
      <c r="Y116" s="45"/>
      <c r="Z116" s="314" t="str">
        <f>IFERROR(INDEX('G-8 Condition Look up'!$A$3:$H$135,MATCH(S116,'G-8 Condition Look up'!$A$3:$A$135,0),MATCH(Y116,'G-8 Condition Look up'!$A$3:$H$3,0)),"")</f>
        <v/>
      </c>
      <c r="AA116" s="38"/>
      <c r="AB116" s="310" t="str">
        <f>IF(AA116="","",IF(VLOOKUP(AA116,'G-3 Multipliers'!$L$3:$N$6,2,FALSE)=0,"Spatial Data Missing ⚠",VLOOKUP(AA116,'G-3 Multipliers'!$L$3:$N$6,2,FALSE)))</f>
        <v/>
      </c>
      <c r="AC116" s="314" t="str">
        <f>IF(AA116="","",IF(VLOOKUP(AA116,'G-3 Multipliers'!$L$3:$N$6,3,FALSE)=0,"Spatial Data Missing ⚠",VLOOKUP(AA116,'G-3 Multipliers'!$L$3:$N$6,3,FALSE)))</f>
        <v/>
      </c>
      <c r="AD116" s="327" t="str">
        <f t="shared" si="12"/>
        <v/>
      </c>
      <c r="AE116" s="47"/>
      <c r="AF116" s="47"/>
      <c r="AG116" s="298" t="str">
        <f t="shared" si="16"/>
        <v/>
      </c>
      <c r="AH116" s="311" t="str">
        <f t="shared" si="17"/>
        <v/>
      </c>
      <c r="AI116" s="312" t="str">
        <f>IF(AH116="Check Data","Check Data",IFERROR(VLOOKUP(AH116,'G-4 Temporal multipliers'!$A$4:$C$36,3,FALSE),""))</f>
        <v/>
      </c>
      <c r="AJ116" s="290" t="str">
        <f>IF(S116="","",VLOOKUP(S116,'G-3 Multipliers'!$A$2:$E$134,4,FALSE))</f>
        <v/>
      </c>
      <c r="AK116" s="298" t="str">
        <f t="shared" si="18"/>
        <v/>
      </c>
      <c r="AL116" s="298" t="str">
        <f t="shared" si="19"/>
        <v/>
      </c>
      <c r="AM116" s="328" t="str">
        <f>IFERROR(IF(F116="","",IF(AH116="Check Data ⚠","Check Data ⚠",VLOOKUP(AL116, 'G-3 Multipliers'!$P$2:$Q$6,2,FALSE))),"")</f>
        <v/>
      </c>
      <c r="AN116" s="304" t="str">
        <f t="shared" si="20"/>
        <v/>
      </c>
      <c r="AO116" s="163"/>
      <c r="AP116" s="164"/>
      <c r="AQ116" s="101"/>
      <c r="AT116" s="20" t="str">
        <f t="shared" si="21"/>
        <v>No</v>
      </c>
      <c r="AU116" s="20" t="str">
        <f>IF(E116="","",IF(ISNA(VLOOKUP($E116,'A-1 On-Site Habitat Baseline'!$D$1:$AV$258,4,FALSE)),"",(VLOOKUP($E116,'A-1 On-Site Habitat Baseline'!$D$1:$AV$258,4,FALSE))))</f>
        <v/>
      </c>
    </row>
    <row r="117" spans="1:47" x14ac:dyDescent="0.3">
      <c r="A117" s="20" t="str">
        <f>IF(E117="","",IF(ISNA(VLOOKUP($E117,'A-1 On-Site Habitat Baseline'!$D$1:$O$258,2,FALSE)),"",(VLOOKUP($E117,'A-1 On-Site Habitat Baseline'!$D$1:$O$258,2,FALSE))))</f>
        <v/>
      </c>
      <c r="B117" s="20" t="str">
        <f>IF(E117="","",IF(ISNA(VLOOKUP($E117,'A-1 On-Site Habitat Baseline'!$D$1:$O$258,3,FALSE)),"",(VLOOKUP($E117,'A-1 On-Site Habitat Baseline'!$D$1:$O$258,3,FALSE))))</f>
        <v/>
      </c>
      <c r="C117" s="20" t="str">
        <f>IFERROR(INDEX('G-8 Condition Look up'!$I$4:$I$135,MATCH(S117,'G-8 Condition Look up'!$A$4:$A$135,0)),"")</f>
        <v/>
      </c>
      <c r="E117" s="319" t="str">
        <f>'A-1 On-Site Habitat Baseline'!AL116</f>
        <v/>
      </c>
      <c r="F117" s="310" t="str">
        <f>IF(E117="","",IF(ISNA(VLOOKUP($E117,'A-1 On-Site Habitat Baseline'!$D$1:$AV$258,45,FALSE)),"",(VLOOKUP($E117,'A-1 On-Site Habitat Baseline'!$D$1:$AV$258,45,FALSE))))</f>
        <v/>
      </c>
      <c r="G117" s="310" t="str">
        <f>IF(E117="","",IF(ISNA(VLOOKUP($E117,'A-1 On-Site Habitat Baseline'!$D$1:$O$258,5,FALSE)),"",(VLOOKUP($E117,'A-1 On-Site Habitat Baseline'!$D$1:$O$258,5,FALSE))))</f>
        <v/>
      </c>
      <c r="H117" s="310" t="str">
        <f>IF(E117="","",IF(ISNA(VLOOKUP($E117,'A-1 On-Site Habitat Baseline'!$D$1:$O$258,6,FALSE)),"",(VLOOKUP($E117,'A-1 On-Site Habitat Baseline'!$D$1:$O$258,6,FALSE))))</f>
        <v/>
      </c>
      <c r="I117" s="310" t="str">
        <f>IF(E117="","",IF(ISNA(VLOOKUP($E117,'A-1 On-Site Habitat Baseline'!$D$1:$O$258,7,FALSE)),"",(VLOOKUP($E117,'A-1 On-Site Habitat Baseline'!$D$1:$O$258,7,FALSE))))</f>
        <v/>
      </c>
      <c r="J117" s="310" t="str">
        <f>IF(E117="","",IF(ISNA(VLOOKUP($E117,'A-1 On-Site Habitat Baseline'!$D$1:$O$258,8,FALSE)),"",(VLOOKUP($E117,'A-1 On-Site Habitat Baseline'!$D$1:$O$258,8,FALSE))))</f>
        <v/>
      </c>
      <c r="K117" s="310" t="str">
        <f>IF(E117="","",IF(ISNA(VLOOKUP($E117,'A-1 On-Site Habitat Baseline'!$D$1:$O$258,9,FALSE)),"",(VLOOKUP($E117,'A-1 On-Site Habitat Baseline'!$D$1:$O$258,9,FALSE))))</f>
        <v/>
      </c>
      <c r="L117" s="310" t="str">
        <f>IF(E117="","",IF(ISNA(VLOOKUP($E117,'A-1 On-Site Habitat Baseline'!$D$1:$O$258,11,FALSE)),"",(VLOOKUP($E117,'A-1 On-Site Habitat Baseline'!$D$1:$O$258,11,FALSE))))</f>
        <v/>
      </c>
      <c r="M117" s="310" t="str">
        <f>IF(E117="","",IF(ISNA(VLOOKUP($E117,'A-1 On-Site Habitat Baseline'!$D$1:$O$258,12,FALSE)),"",(VLOOKUP($E117,'A-1 On-Site Habitat Baseline'!$D$1:$O$258,12,FALSE))))</f>
        <v/>
      </c>
      <c r="N117" s="320" t="str">
        <f>IF(E117="","",IF(ISNA(VLOOKUP($E117,'A-1 On-Site Habitat Baseline'!$D$1:$X$258,14,FALSE)),"",(VLOOKUP($E117,'A-1 On-Site Habitat Baseline'!$D$1:$X$258,14,FALSE))))</f>
        <v/>
      </c>
      <c r="O117" s="314" t="str">
        <f>IF(E117="","",IF(ISNA(VLOOKUP($E117,'A-1 On-Site Habitat Baseline'!$D$1:$X$258,16,FALSE)),"",(VLOOKUP($E117,'A-1 On-Site Habitat Baseline'!$D$1:$X$258,13,FALSE))))</f>
        <v/>
      </c>
      <c r="P117" s="161" t="str">
        <f>IFERROR(INDEX('G-1 All Habitats'!$AG$49:$AG$63,MATCH(Q117,'G-1 All Habitats'!$AF$27:$AF$41,0)),"")</f>
        <v/>
      </c>
      <c r="Q117" s="162" t="str">
        <f t="shared" si="13"/>
        <v/>
      </c>
      <c r="R117" s="162"/>
      <c r="S117" s="252" t="str">
        <f>IFERROR(INDEX('G-1 All Habitats'!$B$3:$B$135,MATCH(R117,'G-1 All Habitats'!$A$3:$A$135,0)),"")</f>
        <v/>
      </c>
      <c r="T117" s="290" t="str">
        <f t="shared" si="14"/>
        <v/>
      </c>
      <c r="U117" s="291" t="str">
        <f t="shared" si="15"/>
        <v/>
      </c>
      <c r="V117" s="325" t="str">
        <f t="shared" si="11"/>
        <v/>
      </c>
      <c r="W117" s="310" t="str">
        <f>IF(S117="","",VLOOKUP(S117,'G-1 All Habitats'!$B$2:$M$135,10,FALSE))</f>
        <v/>
      </c>
      <c r="X117" s="310" t="str">
        <f>IFERROR(VLOOKUP(W117,'G-1 All Habitats'!$V$3:$W$7,2,FALSE),"")</f>
        <v/>
      </c>
      <c r="Y117" s="45"/>
      <c r="Z117" s="314" t="str">
        <f>IFERROR(INDEX('G-8 Condition Look up'!$A$3:$H$135,MATCH(S117,'G-8 Condition Look up'!$A$3:$A$135,0),MATCH(Y117,'G-8 Condition Look up'!$A$3:$H$3,0)),"")</f>
        <v/>
      </c>
      <c r="AA117" s="38"/>
      <c r="AB117" s="310" t="str">
        <f>IF(AA117="","",IF(VLOOKUP(AA117,'G-3 Multipliers'!$L$3:$N$6,2,FALSE)=0,"Spatial Data Missing ⚠",VLOOKUP(AA117,'G-3 Multipliers'!$L$3:$N$6,2,FALSE)))</f>
        <v/>
      </c>
      <c r="AC117" s="314" t="str">
        <f>IF(AA117="","",IF(VLOOKUP(AA117,'G-3 Multipliers'!$L$3:$N$6,3,FALSE)=0,"Spatial Data Missing ⚠",VLOOKUP(AA117,'G-3 Multipliers'!$L$3:$N$6,3,FALSE)))</f>
        <v/>
      </c>
      <c r="AD117" s="327" t="str">
        <f t="shared" si="12"/>
        <v/>
      </c>
      <c r="AE117" s="47"/>
      <c r="AF117" s="47"/>
      <c r="AG117" s="298" t="str">
        <f t="shared" si="16"/>
        <v/>
      </c>
      <c r="AH117" s="311" t="str">
        <f t="shared" si="17"/>
        <v/>
      </c>
      <c r="AI117" s="312" t="str">
        <f>IF(AH117="Check Data","Check Data",IFERROR(VLOOKUP(AH117,'G-4 Temporal multipliers'!$A$4:$C$36,3,FALSE),""))</f>
        <v/>
      </c>
      <c r="AJ117" s="290" t="str">
        <f>IF(S117="","",VLOOKUP(S117,'G-3 Multipliers'!$A$2:$E$134,4,FALSE))</f>
        <v/>
      </c>
      <c r="AK117" s="298" t="str">
        <f t="shared" si="18"/>
        <v/>
      </c>
      <c r="AL117" s="298" t="str">
        <f t="shared" si="19"/>
        <v/>
      </c>
      <c r="AM117" s="328" t="str">
        <f>IFERROR(IF(F117="","",IF(AH117="Check Data ⚠","Check Data ⚠",VLOOKUP(AL117, 'G-3 Multipliers'!$P$2:$Q$6,2,FALSE))),"")</f>
        <v/>
      </c>
      <c r="AN117" s="304" t="str">
        <f t="shared" si="20"/>
        <v/>
      </c>
      <c r="AO117" s="163"/>
      <c r="AP117" s="164"/>
      <c r="AQ117" s="101"/>
      <c r="AT117" s="20" t="str">
        <f t="shared" si="21"/>
        <v>No</v>
      </c>
      <c r="AU117" s="20" t="str">
        <f>IF(E117="","",IF(ISNA(VLOOKUP($E117,'A-1 On-Site Habitat Baseline'!$D$1:$AV$258,4,FALSE)),"",(VLOOKUP($E117,'A-1 On-Site Habitat Baseline'!$D$1:$AV$258,4,FALSE))))</f>
        <v/>
      </c>
    </row>
    <row r="118" spans="1:47" x14ac:dyDescent="0.3">
      <c r="A118" s="20" t="str">
        <f>IF(E118="","",IF(ISNA(VLOOKUP($E118,'A-1 On-Site Habitat Baseline'!$D$1:$O$258,2,FALSE)),"",(VLOOKUP($E118,'A-1 On-Site Habitat Baseline'!$D$1:$O$258,2,FALSE))))</f>
        <v/>
      </c>
      <c r="B118" s="20" t="str">
        <f>IF(E118="","",IF(ISNA(VLOOKUP($E118,'A-1 On-Site Habitat Baseline'!$D$1:$O$258,3,FALSE)),"",(VLOOKUP($E118,'A-1 On-Site Habitat Baseline'!$D$1:$O$258,3,FALSE))))</f>
        <v/>
      </c>
      <c r="C118" s="20" t="str">
        <f>IFERROR(INDEX('G-8 Condition Look up'!$I$4:$I$135,MATCH(S118,'G-8 Condition Look up'!$A$4:$A$135,0)),"")</f>
        <v/>
      </c>
      <c r="E118" s="319" t="str">
        <f>'A-1 On-Site Habitat Baseline'!AL117</f>
        <v/>
      </c>
      <c r="F118" s="310" t="str">
        <f>IF(E118="","",IF(ISNA(VLOOKUP($E118,'A-1 On-Site Habitat Baseline'!$D$1:$AV$258,45,FALSE)),"",(VLOOKUP($E118,'A-1 On-Site Habitat Baseline'!$D$1:$AV$258,45,FALSE))))</f>
        <v/>
      </c>
      <c r="G118" s="310" t="str">
        <f>IF(E118="","",IF(ISNA(VLOOKUP($E118,'A-1 On-Site Habitat Baseline'!$D$1:$O$258,5,FALSE)),"",(VLOOKUP($E118,'A-1 On-Site Habitat Baseline'!$D$1:$O$258,5,FALSE))))</f>
        <v/>
      </c>
      <c r="H118" s="310" t="str">
        <f>IF(E118="","",IF(ISNA(VLOOKUP($E118,'A-1 On-Site Habitat Baseline'!$D$1:$O$258,6,FALSE)),"",(VLOOKUP($E118,'A-1 On-Site Habitat Baseline'!$D$1:$O$258,6,FALSE))))</f>
        <v/>
      </c>
      <c r="I118" s="310" t="str">
        <f>IF(E118="","",IF(ISNA(VLOOKUP($E118,'A-1 On-Site Habitat Baseline'!$D$1:$O$258,7,FALSE)),"",(VLOOKUP($E118,'A-1 On-Site Habitat Baseline'!$D$1:$O$258,7,FALSE))))</f>
        <v/>
      </c>
      <c r="J118" s="310" t="str">
        <f>IF(E118="","",IF(ISNA(VLOOKUP($E118,'A-1 On-Site Habitat Baseline'!$D$1:$O$258,8,FALSE)),"",(VLOOKUP($E118,'A-1 On-Site Habitat Baseline'!$D$1:$O$258,8,FALSE))))</f>
        <v/>
      </c>
      <c r="K118" s="310" t="str">
        <f>IF(E118="","",IF(ISNA(VLOOKUP($E118,'A-1 On-Site Habitat Baseline'!$D$1:$O$258,9,FALSE)),"",(VLOOKUP($E118,'A-1 On-Site Habitat Baseline'!$D$1:$O$258,9,FALSE))))</f>
        <v/>
      </c>
      <c r="L118" s="310" t="str">
        <f>IF(E118="","",IF(ISNA(VLOOKUP($E118,'A-1 On-Site Habitat Baseline'!$D$1:$O$258,11,FALSE)),"",(VLOOKUP($E118,'A-1 On-Site Habitat Baseline'!$D$1:$O$258,11,FALSE))))</f>
        <v/>
      </c>
      <c r="M118" s="310" t="str">
        <f>IF(E118="","",IF(ISNA(VLOOKUP($E118,'A-1 On-Site Habitat Baseline'!$D$1:$O$258,12,FALSE)),"",(VLOOKUP($E118,'A-1 On-Site Habitat Baseline'!$D$1:$O$258,12,FALSE))))</f>
        <v/>
      </c>
      <c r="N118" s="320" t="str">
        <f>IF(E118="","",IF(ISNA(VLOOKUP($E118,'A-1 On-Site Habitat Baseline'!$D$1:$X$258,14,FALSE)),"",(VLOOKUP($E118,'A-1 On-Site Habitat Baseline'!$D$1:$X$258,14,FALSE))))</f>
        <v/>
      </c>
      <c r="O118" s="314" t="str">
        <f>IF(E118="","",IF(ISNA(VLOOKUP($E118,'A-1 On-Site Habitat Baseline'!$D$1:$X$258,16,FALSE)),"",(VLOOKUP($E118,'A-1 On-Site Habitat Baseline'!$D$1:$X$258,13,FALSE))))</f>
        <v/>
      </c>
      <c r="P118" s="161" t="str">
        <f>IFERROR(INDEX('G-1 All Habitats'!$AG$49:$AG$63,MATCH(Q118,'G-1 All Habitats'!$AF$27:$AF$41,0)),"")</f>
        <v/>
      </c>
      <c r="Q118" s="162" t="str">
        <f t="shared" si="13"/>
        <v/>
      </c>
      <c r="R118" s="162"/>
      <c r="S118" s="252" t="str">
        <f>IFERROR(INDEX('G-1 All Habitats'!$B$3:$B$135,MATCH(R118,'G-1 All Habitats'!$A$3:$A$135,0)),"")</f>
        <v/>
      </c>
      <c r="T118" s="290" t="str">
        <f t="shared" si="14"/>
        <v/>
      </c>
      <c r="U118" s="291" t="str">
        <f t="shared" si="15"/>
        <v/>
      </c>
      <c r="V118" s="325" t="str">
        <f t="shared" si="11"/>
        <v/>
      </c>
      <c r="W118" s="310" t="str">
        <f>IF(S118="","",VLOOKUP(S118,'G-1 All Habitats'!$B$2:$M$135,10,FALSE))</f>
        <v/>
      </c>
      <c r="X118" s="310" t="str">
        <f>IFERROR(VLOOKUP(W118,'G-1 All Habitats'!$V$3:$W$7,2,FALSE),"")</f>
        <v/>
      </c>
      <c r="Y118" s="45"/>
      <c r="Z118" s="314" t="str">
        <f>IFERROR(INDEX('G-8 Condition Look up'!$A$3:$H$135,MATCH(S118,'G-8 Condition Look up'!$A$3:$A$135,0),MATCH(Y118,'G-8 Condition Look up'!$A$3:$H$3,0)),"")</f>
        <v/>
      </c>
      <c r="AA118" s="38"/>
      <c r="AB118" s="310" t="str">
        <f>IF(AA118="","",IF(VLOOKUP(AA118,'G-3 Multipliers'!$L$3:$N$6,2,FALSE)=0,"Spatial Data Missing ⚠",VLOOKUP(AA118,'G-3 Multipliers'!$L$3:$N$6,2,FALSE)))</f>
        <v/>
      </c>
      <c r="AC118" s="314" t="str">
        <f>IF(AA118="","",IF(VLOOKUP(AA118,'G-3 Multipliers'!$L$3:$N$6,3,FALSE)=0,"Spatial Data Missing ⚠",VLOOKUP(AA118,'G-3 Multipliers'!$L$3:$N$6,3,FALSE)))</f>
        <v/>
      </c>
      <c r="AD118" s="327" t="str">
        <f t="shared" si="12"/>
        <v/>
      </c>
      <c r="AE118" s="47"/>
      <c r="AF118" s="47"/>
      <c r="AG118" s="298" t="str">
        <f t="shared" si="16"/>
        <v/>
      </c>
      <c r="AH118" s="311" t="str">
        <f t="shared" si="17"/>
        <v/>
      </c>
      <c r="AI118" s="312" t="str">
        <f>IF(AH118="Check Data","Check Data",IFERROR(VLOOKUP(AH118,'G-4 Temporal multipliers'!$A$4:$C$36,3,FALSE),""))</f>
        <v/>
      </c>
      <c r="AJ118" s="290" t="str">
        <f>IF(S118="","",VLOOKUP(S118,'G-3 Multipliers'!$A$2:$E$134,4,FALSE))</f>
        <v/>
      </c>
      <c r="AK118" s="298" t="str">
        <f t="shared" si="18"/>
        <v/>
      </c>
      <c r="AL118" s="298" t="str">
        <f t="shared" si="19"/>
        <v/>
      </c>
      <c r="AM118" s="328" t="str">
        <f>IFERROR(IF(F118="","",IF(AH118="Check Data ⚠","Check Data ⚠",VLOOKUP(AL118, 'G-3 Multipliers'!$P$2:$Q$6,2,FALSE))),"")</f>
        <v/>
      </c>
      <c r="AN118" s="304" t="str">
        <f t="shared" si="20"/>
        <v/>
      </c>
      <c r="AO118" s="163"/>
      <c r="AP118" s="164"/>
      <c r="AQ118" s="101"/>
      <c r="AT118" s="20" t="str">
        <f t="shared" si="21"/>
        <v>No</v>
      </c>
      <c r="AU118" s="20" t="str">
        <f>IF(E118="","",IF(ISNA(VLOOKUP($E118,'A-1 On-Site Habitat Baseline'!$D$1:$AV$258,4,FALSE)),"",(VLOOKUP($E118,'A-1 On-Site Habitat Baseline'!$D$1:$AV$258,4,FALSE))))</f>
        <v/>
      </c>
    </row>
    <row r="119" spans="1:47" x14ac:dyDescent="0.3">
      <c r="A119" s="20" t="str">
        <f>IF(E119="","",IF(ISNA(VLOOKUP($E119,'A-1 On-Site Habitat Baseline'!$D$1:$O$258,2,FALSE)),"",(VLOOKUP($E119,'A-1 On-Site Habitat Baseline'!$D$1:$O$258,2,FALSE))))</f>
        <v/>
      </c>
      <c r="B119" s="20" t="str">
        <f>IF(E119="","",IF(ISNA(VLOOKUP($E119,'A-1 On-Site Habitat Baseline'!$D$1:$O$258,3,FALSE)),"",(VLOOKUP($E119,'A-1 On-Site Habitat Baseline'!$D$1:$O$258,3,FALSE))))</f>
        <v/>
      </c>
      <c r="C119" s="20" t="str">
        <f>IFERROR(INDEX('G-8 Condition Look up'!$I$4:$I$135,MATCH(S119,'G-8 Condition Look up'!$A$4:$A$135,0)),"")</f>
        <v/>
      </c>
      <c r="E119" s="319" t="str">
        <f>'A-1 On-Site Habitat Baseline'!AL118</f>
        <v/>
      </c>
      <c r="F119" s="310" t="str">
        <f>IF(E119="","",IF(ISNA(VLOOKUP($E119,'A-1 On-Site Habitat Baseline'!$D$1:$AV$258,45,FALSE)),"",(VLOOKUP($E119,'A-1 On-Site Habitat Baseline'!$D$1:$AV$258,45,FALSE))))</f>
        <v/>
      </c>
      <c r="G119" s="310" t="str">
        <f>IF(E119="","",IF(ISNA(VLOOKUP($E119,'A-1 On-Site Habitat Baseline'!$D$1:$O$258,5,FALSE)),"",(VLOOKUP($E119,'A-1 On-Site Habitat Baseline'!$D$1:$O$258,5,FALSE))))</f>
        <v/>
      </c>
      <c r="H119" s="310" t="str">
        <f>IF(E119="","",IF(ISNA(VLOOKUP($E119,'A-1 On-Site Habitat Baseline'!$D$1:$O$258,6,FALSE)),"",(VLOOKUP($E119,'A-1 On-Site Habitat Baseline'!$D$1:$O$258,6,FALSE))))</f>
        <v/>
      </c>
      <c r="I119" s="310" t="str">
        <f>IF(E119="","",IF(ISNA(VLOOKUP($E119,'A-1 On-Site Habitat Baseline'!$D$1:$O$258,7,FALSE)),"",(VLOOKUP($E119,'A-1 On-Site Habitat Baseline'!$D$1:$O$258,7,FALSE))))</f>
        <v/>
      </c>
      <c r="J119" s="310" t="str">
        <f>IF(E119="","",IF(ISNA(VLOOKUP($E119,'A-1 On-Site Habitat Baseline'!$D$1:$O$258,8,FALSE)),"",(VLOOKUP($E119,'A-1 On-Site Habitat Baseline'!$D$1:$O$258,8,FALSE))))</f>
        <v/>
      </c>
      <c r="K119" s="310" t="str">
        <f>IF(E119="","",IF(ISNA(VLOOKUP($E119,'A-1 On-Site Habitat Baseline'!$D$1:$O$258,9,FALSE)),"",(VLOOKUP($E119,'A-1 On-Site Habitat Baseline'!$D$1:$O$258,9,FALSE))))</f>
        <v/>
      </c>
      <c r="L119" s="310" t="str">
        <f>IF(E119="","",IF(ISNA(VLOOKUP($E119,'A-1 On-Site Habitat Baseline'!$D$1:$O$258,11,FALSE)),"",(VLOOKUP($E119,'A-1 On-Site Habitat Baseline'!$D$1:$O$258,11,FALSE))))</f>
        <v/>
      </c>
      <c r="M119" s="310" t="str">
        <f>IF(E119="","",IF(ISNA(VLOOKUP($E119,'A-1 On-Site Habitat Baseline'!$D$1:$O$258,12,FALSE)),"",(VLOOKUP($E119,'A-1 On-Site Habitat Baseline'!$D$1:$O$258,12,FALSE))))</f>
        <v/>
      </c>
      <c r="N119" s="320" t="str">
        <f>IF(E119="","",IF(ISNA(VLOOKUP($E119,'A-1 On-Site Habitat Baseline'!$D$1:$X$258,14,FALSE)),"",(VLOOKUP($E119,'A-1 On-Site Habitat Baseline'!$D$1:$X$258,14,FALSE))))</f>
        <v/>
      </c>
      <c r="O119" s="314" t="str">
        <f>IF(E119="","",IF(ISNA(VLOOKUP($E119,'A-1 On-Site Habitat Baseline'!$D$1:$X$258,16,FALSE)),"",(VLOOKUP($E119,'A-1 On-Site Habitat Baseline'!$D$1:$X$258,13,FALSE))))</f>
        <v/>
      </c>
      <c r="P119" s="161" t="str">
        <f>IFERROR(INDEX('G-1 All Habitats'!$AG$49:$AG$63,MATCH(Q119,'G-1 All Habitats'!$AF$27:$AF$41,0)),"")</f>
        <v/>
      </c>
      <c r="Q119" s="162" t="str">
        <f t="shared" si="13"/>
        <v/>
      </c>
      <c r="R119" s="162"/>
      <c r="S119" s="252" t="str">
        <f>IFERROR(INDEX('G-1 All Habitats'!$B$3:$B$135,MATCH(R119,'G-1 All Habitats'!$A$3:$A$135,0)),"")</f>
        <v/>
      </c>
      <c r="T119" s="290" t="str">
        <f t="shared" si="14"/>
        <v/>
      </c>
      <c r="U119" s="291" t="str">
        <f t="shared" si="15"/>
        <v/>
      </c>
      <c r="V119" s="325" t="str">
        <f t="shared" si="11"/>
        <v/>
      </c>
      <c r="W119" s="310" t="str">
        <f>IF(S119="","",VLOOKUP(S119,'G-1 All Habitats'!$B$2:$M$135,10,FALSE))</f>
        <v/>
      </c>
      <c r="X119" s="310" t="str">
        <f>IFERROR(VLOOKUP(W119,'G-1 All Habitats'!$V$3:$W$7,2,FALSE),"")</f>
        <v/>
      </c>
      <c r="Y119" s="45"/>
      <c r="Z119" s="314" t="str">
        <f>IFERROR(INDEX('G-8 Condition Look up'!$A$3:$H$135,MATCH(S119,'G-8 Condition Look up'!$A$3:$A$135,0),MATCH(Y119,'G-8 Condition Look up'!$A$3:$H$3,0)),"")</f>
        <v/>
      </c>
      <c r="AA119" s="38"/>
      <c r="AB119" s="310" t="str">
        <f>IF(AA119="","",IF(VLOOKUP(AA119,'G-3 Multipliers'!$L$3:$N$6,2,FALSE)=0,"Spatial Data Missing ⚠",VLOOKUP(AA119,'G-3 Multipliers'!$L$3:$N$6,2,FALSE)))</f>
        <v/>
      </c>
      <c r="AC119" s="314" t="str">
        <f>IF(AA119="","",IF(VLOOKUP(AA119,'G-3 Multipliers'!$L$3:$N$6,3,FALSE)=0,"Spatial Data Missing ⚠",VLOOKUP(AA119,'G-3 Multipliers'!$L$3:$N$6,3,FALSE)))</f>
        <v/>
      </c>
      <c r="AD119" s="327" t="str">
        <f t="shared" si="12"/>
        <v/>
      </c>
      <c r="AE119" s="47"/>
      <c r="AF119" s="47"/>
      <c r="AG119" s="298" t="str">
        <f t="shared" si="16"/>
        <v/>
      </c>
      <c r="AH119" s="311" t="str">
        <f t="shared" si="17"/>
        <v/>
      </c>
      <c r="AI119" s="312" t="str">
        <f>IF(AH119="Check Data","Check Data",IFERROR(VLOOKUP(AH119,'G-4 Temporal multipliers'!$A$4:$C$36,3,FALSE),""))</f>
        <v/>
      </c>
      <c r="AJ119" s="290" t="str">
        <f>IF(S119="","",VLOOKUP(S119,'G-3 Multipliers'!$A$2:$E$134,4,FALSE))</f>
        <v/>
      </c>
      <c r="AK119" s="298" t="str">
        <f t="shared" si="18"/>
        <v/>
      </c>
      <c r="AL119" s="298" t="str">
        <f t="shared" si="19"/>
        <v/>
      </c>
      <c r="AM119" s="328" t="str">
        <f>IFERROR(IF(F119="","",IF(AH119="Check Data ⚠","Check Data ⚠",VLOOKUP(AL119, 'G-3 Multipliers'!$P$2:$Q$6,2,FALSE))),"")</f>
        <v/>
      </c>
      <c r="AN119" s="304" t="str">
        <f t="shared" si="20"/>
        <v/>
      </c>
      <c r="AO119" s="163"/>
      <c r="AP119" s="164"/>
      <c r="AQ119" s="101"/>
      <c r="AT119" s="20" t="str">
        <f t="shared" si="21"/>
        <v>No</v>
      </c>
      <c r="AU119" s="20" t="str">
        <f>IF(E119="","",IF(ISNA(VLOOKUP($E119,'A-1 On-Site Habitat Baseline'!$D$1:$AV$258,4,FALSE)),"",(VLOOKUP($E119,'A-1 On-Site Habitat Baseline'!$D$1:$AV$258,4,FALSE))))</f>
        <v/>
      </c>
    </row>
    <row r="120" spans="1:47" x14ac:dyDescent="0.3">
      <c r="A120" s="20" t="str">
        <f>IF(E120="","",IF(ISNA(VLOOKUP($E120,'A-1 On-Site Habitat Baseline'!$D$1:$O$258,2,FALSE)),"",(VLOOKUP($E120,'A-1 On-Site Habitat Baseline'!$D$1:$O$258,2,FALSE))))</f>
        <v/>
      </c>
      <c r="B120" s="20" t="str">
        <f>IF(E120="","",IF(ISNA(VLOOKUP($E120,'A-1 On-Site Habitat Baseline'!$D$1:$O$258,3,FALSE)),"",(VLOOKUP($E120,'A-1 On-Site Habitat Baseline'!$D$1:$O$258,3,FALSE))))</f>
        <v/>
      </c>
      <c r="C120" s="20" t="str">
        <f>IFERROR(INDEX('G-8 Condition Look up'!$I$4:$I$135,MATCH(S120,'G-8 Condition Look up'!$A$4:$A$135,0)),"")</f>
        <v/>
      </c>
      <c r="E120" s="319" t="str">
        <f>'A-1 On-Site Habitat Baseline'!AL119</f>
        <v/>
      </c>
      <c r="F120" s="310" t="str">
        <f>IF(E120="","",IF(ISNA(VLOOKUP($E120,'A-1 On-Site Habitat Baseline'!$D$1:$AV$258,45,FALSE)),"",(VLOOKUP($E120,'A-1 On-Site Habitat Baseline'!$D$1:$AV$258,45,FALSE))))</f>
        <v/>
      </c>
      <c r="G120" s="310" t="str">
        <f>IF(E120="","",IF(ISNA(VLOOKUP($E120,'A-1 On-Site Habitat Baseline'!$D$1:$O$258,5,FALSE)),"",(VLOOKUP($E120,'A-1 On-Site Habitat Baseline'!$D$1:$O$258,5,FALSE))))</f>
        <v/>
      </c>
      <c r="H120" s="310" t="str">
        <f>IF(E120="","",IF(ISNA(VLOOKUP($E120,'A-1 On-Site Habitat Baseline'!$D$1:$O$258,6,FALSE)),"",(VLOOKUP($E120,'A-1 On-Site Habitat Baseline'!$D$1:$O$258,6,FALSE))))</f>
        <v/>
      </c>
      <c r="I120" s="310" t="str">
        <f>IF(E120="","",IF(ISNA(VLOOKUP($E120,'A-1 On-Site Habitat Baseline'!$D$1:$O$258,7,FALSE)),"",(VLOOKUP($E120,'A-1 On-Site Habitat Baseline'!$D$1:$O$258,7,FALSE))))</f>
        <v/>
      </c>
      <c r="J120" s="310" t="str">
        <f>IF(E120="","",IF(ISNA(VLOOKUP($E120,'A-1 On-Site Habitat Baseline'!$D$1:$O$258,8,FALSE)),"",(VLOOKUP($E120,'A-1 On-Site Habitat Baseline'!$D$1:$O$258,8,FALSE))))</f>
        <v/>
      </c>
      <c r="K120" s="310" t="str">
        <f>IF(E120="","",IF(ISNA(VLOOKUP($E120,'A-1 On-Site Habitat Baseline'!$D$1:$O$258,9,FALSE)),"",(VLOOKUP($E120,'A-1 On-Site Habitat Baseline'!$D$1:$O$258,9,FALSE))))</f>
        <v/>
      </c>
      <c r="L120" s="310" t="str">
        <f>IF(E120="","",IF(ISNA(VLOOKUP($E120,'A-1 On-Site Habitat Baseline'!$D$1:$O$258,11,FALSE)),"",(VLOOKUP($E120,'A-1 On-Site Habitat Baseline'!$D$1:$O$258,11,FALSE))))</f>
        <v/>
      </c>
      <c r="M120" s="310" t="str">
        <f>IF(E120="","",IF(ISNA(VLOOKUP($E120,'A-1 On-Site Habitat Baseline'!$D$1:$O$258,12,FALSE)),"",(VLOOKUP($E120,'A-1 On-Site Habitat Baseline'!$D$1:$O$258,12,FALSE))))</f>
        <v/>
      </c>
      <c r="N120" s="320" t="str">
        <f>IF(E120="","",IF(ISNA(VLOOKUP($E120,'A-1 On-Site Habitat Baseline'!$D$1:$X$258,14,FALSE)),"",(VLOOKUP($E120,'A-1 On-Site Habitat Baseline'!$D$1:$X$258,14,FALSE))))</f>
        <v/>
      </c>
      <c r="O120" s="314" t="str">
        <f>IF(E120="","",IF(ISNA(VLOOKUP($E120,'A-1 On-Site Habitat Baseline'!$D$1:$X$258,16,FALSE)),"",(VLOOKUP($E120,'A-1 On-Site Habitat Baseline'!$D$1:$X$258,13,FALSE))))</f>
        <v/>
      </c>
      <c r="P120" s="161" t="str">
        <f>IFERROR(INDEX('G-1 All Habitats'!$AG$49:$AG$63,MATCH(Q120,'G-1 All Habitats'!$AF$27:$AF$41,0)),"")</f>
        <v/>
      </c>
      <c r="Q120" s="162" t="str">
        <f t="shared" si="13"/>
        <v/>
      </c>
      <c r="R120" s="162"/>
      <c r="S120" s="252" t="str">
        <f>IFERROR(INDEX('G-1 All Habitats'!$B$3:$B$135,MATCH(R120,'G-1 All Habitats'!$A$3:$A$135,0)),"")</f>
        <v/>
      </c>
      <c r="T120" s="290" t="str">
        <f t="shared" si="14"/>
        <v/>
      </c>
      <c r="U120" s="291" t="str">
        <f t="shared" si="15"/>
        <v/>
      </c>
      <c r="V120" s="325" t="str">
        <f t="shared" si="11"/>
        <v/>
      </c>
      <c r="W120" s="310" t="str">
        <f>IF(S120="","",VLOOKUP(S120,'G-1 All Habitats'!$B$2:$M$135,10,FALSE))</f>
        <v/>
      </c>
      <c r="X120" s="310" t="str">
        <f>IFERROR(VLOOKUP(W120,'G-1 All Habitats'!$V$3:$W$7,2,FALSE),"")</f>
        <v/>
      </c>
      <c r="Y120" s="45"/>
      <c r="Z120" s="314" t="str">
        <f>IFERROR(INDEX('G-8 Condition Look up'!$A$3:$H$135,MATCH(S120,'G-8 Condition Look up'!$A$3:$A$135,0),MATCH(Y120,'G-8 Condition Look up'!$A$3:$H$3,0)),"")</f>
        <v/>
      </c>
      <c r="AA120" s="38"/>
      <c r="AB120" s="310" t="str">
        <f>IF(AA120="","",IF(VLOOKUP(AA120,'G-3 Multipliers'!$L$3:$N$6,2,FALSE)=0,"Spatial Data Missing ⚠",VLOOKUP(AA120,'G-3 Multipliers'!$L$3:$N$6,2,FALSE)))</f>
        <v/>
      </c>
      <c r="AC120" s="314" t="str">
        <f>IF(AA120="","",IF(VLOOKUP(AA120,'G-3 Multipliers'!$L$3:$N$6,3,FALSE)=0,"Spatial Data Missing ⚠",VLOOKUP(AA120,'G-3 Multipliers'!$L$3:$N$6,3,FALSE)))</f>
        <v/>
      </c>
      <c r="AD120" s="327" t="str">
        <f t="shared" si="12"/>
        <v/>
      </c>
      <c r="AE120" s="47"/>
      <c r="AF120" s="47"/>
      <c r="AG120" s="298" t="str">
        <f t="shared" si="16"/>
        <v/>
      </c>
      <c r="AH120" s="311" t="str">
        <f t="shared" si="17"/>
        <v/>
      </c>
      <c r="AI120" s="312" t="str">
        <f>IF(AH120="Check Data","Check Data",IFERROR(VLOOKUP(AH120,'G-4 Temporal multipliers'!$A$4:$C$36,3,FALSE),""))</f>
        <v/>
      </c>
      <c r="AJ120" s="290" t="str">
        <f>IF(S120="","",VLOOKUP(S120,'G-3 Multipliers'!$A$2:$E$134,4,FALSE))</f>
        <v/>
      </c>
      <c r="AK120" s="298" t="str">
        <f t="shared" si="18"/>
        <v/>
      </c>
      <c r="AL120" s="298" t="str">
        <f t="shared" si="19"/>
        <v/>
      </c>
      <c r="AM120" s="328" t="str">
        <f>IFERROR(IF(F120="","",IF(AH120="Check Data ⚠","Check Data ⚠",VLOOKUP(AL120, 'G-3 Multipliers'!$P$2:$Q$6,2,FALSE))),"")</f>
        <v/>
      </c>
      <c r="AN120" s="304" t="str">
        <f t="shared" si="20"/>
        <v/>
      </c>
      <c r="AO120" s="163"/>
      <c r="AP120" s="164"/>
      <c r="AQ120" s="101"/>
      <c r="AT120" s="20" t="str">
        <f t="shared" si="21"/>
        <v>No</v>
      </c>
      <c r="AU120" s="20" t="str">
        <f>IF(E120="","",IF(ISNA(VLOOKUP($E120,'A-1 On-Site Habitat Baseline'!$D$1:$AV$258,4,FALSE)),"",(VLOOKUP($E120,'A-1 On-Site Habitat Baseline'!$D$1:$AV$258,4,FALSE))))</f>
        <v/>
      </c>
    </row>
    <row r="121" spans="1:47" x14ac:dyDescent="0.3">
      <c r="A121" s="20" t="str">
        <f>IF(E121="","",IF(ISNA(VLOOKUP($E121,'A-1 On-Site Habitat Baseline'!$D$1:$O$258,2,FALSE)),"",(VLOOKUP($E121,'A-1 On-Site Habitat Baseline'!$D$1:$O$258,2,FALSE))))</f>
        <v/>
      </c>
      <c r="B121" s="20" t="str">
        <f>IF(E121="","",IF(ISNA(VLOOKUP($E121,'A-1 On-Site Habitat Baseline'!$D$1:$O$258,3,FALSE)),"",(VLOOKUP($E121,'A-1 On-Site Habitat Baseline'!$D$1:$O$258,3,FALSE))))</f>
        <v/>
      </c>
      <c r="C121" s="20" t="str">
        <f>IFERROR(INDEX('G-8 Condition Look up'!$I$4:$I$135,MATCH(S121,'G-8 Condition Look up'!$A$4:$A$135,0)),"")</f>
        <v/>
      </c>
      <c r="E121" s="319" t="str">
        <f>'A-1 On-Site Habitat Baseline'!AL120</f>
        <v/>
      </c>
      <c r="F121" s="310" t="str">
        <f>IF(E121="","",IF(ISNA(VLOOKUP($E121,'A-1 On-Site Habitat Baseline'!$D$1:$AV$258,45,FALSE)),"",(VLOOKUP($E121,'A-1 On-Site Habitat Baseline'!$D$1:$AV$258,45,FALSE))))</f>
        <v/>
      </c>
      <c r="G121" s="310" t="str">
        <f>IF(E121="","",IF(ISNA(VLOOKUP($E121,'A-1 On-Site Habitat Baseline'!$D$1:$O$258,5,FALSE)),"",(VLOOKUP($E121,'A-1 On-Site Habitat Baseline'!$D$1:$O$258,5,FALSE))))</f>
        <v/>
      </c>
      <c r="H121" s="310" t="str">
        <f>IF(E121="","",IF(ISNA(VLOOKUP($E121,'A-1 On-Site Habitat Baseline'!$D$1:$O$258,6,FALSE)),"",(VLOOKUP($E121,'A-1 On-Site Habitat Baseline'!$D$1:$O$258,6,FALSE))))</f>
        <v/>
      </c>
      <c r="I121" s="310" t="str">
        <f>IF(E121="","",IF(ISNA(VLOOKUP($E121,'A-1 On-Site Habitat Baseline'!$D$1:$O$258,7,FALSE)),"",(VLOOKUP($E121,'A-1 On-Site Habitat Baseline'!$D$1:$O$258,7,FALSE))))</f>
        <v/>
      </c>
      <c r="J121" s="310" t="str">
        <f>IF(E121="","",IF(ISNA(VLOOKUP($E121,'A-1 On-Site Habitat Baseline'!$D$1:$O$258,8,FALSE)),"",(VLOOKUP($E121,'A-1 On-Site Habitat Baseline'!$D$1:$O$258,8,FALSE))))</f>
        <v/>
      </c>
      <c r="K121" s="310" t="str">
        <f>IF(E121="","",IF(ISNA(VLOOKUP($E121,'A-1 On-Site Habitat Baseline'!$D$1:$O$258,9,FALSE)),"",(VLOOKUP($E121,'A-1 On-Site Habitat Baseline'!$D$1:$O$258,9,FALSE))))</f>
        <v/>
      </c>
      <c r="L121" s="310" t="str">
        <f>IF(E121="","",IF(ISNA(VLOOKUP($E121,'A-1 On-Site Habitat Baseline'!$D$1:$O$258,11,FALSE)),"",(VLOOKUP($E121,'A-1 On-Site Habitat Baseline'!$D$1:$O$258,11,FALSE))))</f>
        <v/>
      </c>
      <c r="M121" s="310" t="str">
        <f>IF(E121="","",IF(ISNA(VLOOKUP($E121,'A-1 On-Site Habitat Baseline'!$D$1:$O$258,12,FALSE)),"",(VLOOKUP($E121,'A-1 On-Site Habitat Baseline'!$D$1:$O$258,12,FALSE))))</f>
        <v/>
      </c>
      <c r="N121" s="320" t="str">
        <f>IF(E121="","",IF(ISNA(VLOOKUP($E121,'A-1 On-Site Habitat Baseline'!$D$1:$X$258,14,FALSE)),"",(VLOOKUP($E121,'A-1 On-Site Habitat Baseline'!$D$1:$X$258,14,FALSE))))</f>
        <v/>
      </c>
      <c r="O121" s="314" t="str">
        <f>IF(E121="","",IF(ISNA(VLOOKUP($E121,'A-1 On-Site Habitat Baseline'!$D$1:$X$258,16,FALSE)),"",(VLOOKUP($E121,'A-1 On-Site Habitat Baseline'!$D$1:$X$258,13,FALSE))))</f>
        <v/>
      </c>
      <c r="P121" s="161" t="str">
        <f>IFERROR(INDEX('G-1 All Habitats'!$AG$49:$AG$63,MATCH(Q121,'G-1 All Habitats'!$AF$27:$AF$41,0)),"")</f>
        <v/>
      </c>
      <c r="Q121" s="162" t="str">
        <f t="shared" si="13"/>
        <v/>
      </c>
      <c r="R121" s="162"/>
      <c r="S121" s="252" t="str">
        <f>IFERROR(INDEX('G-1 All Habitats'!$B$3:$B$135,MATCH(R121,'G-1 All Habitats'!$A$3:$A$135,0)),"")</f>
        <v/>
      </c>
      <c r="T121" s="290" t="str">
        <f t="shared" si="14"/>
        <v/>
      </c>
      <c r="U121" s="291" t="str">
        <f t="shared" si="15"/>
        <v/>
      </c>
      <c r="V121" s="325" t="str">
        <f t="shared" si="11"/>
        <v/>
      </c>
      <c r="W121" s="310" t="str">
        <f>IF(S121="","",VLOOKUP(S121,'G-1 All Habitats'!$B$2:$M$135,10,FALSE))</f>
        <v/>
      </c>
      <c r="X121" s="310" t="str">
        <f>IFERROR(VLOOKUP(W121,'G-1 All Habitats'!$V$3:$W$7,2,FALSE),"")</f>
        <v/>
      </c>
      <c r="Y121" s="45"/>
      <c r="Z121" s="314" t="str">
        <f>IFERROR(INDEX('G-8 Condition Look up'!$A$3:$H$135,MATCH(S121,'G-8 Condition Look up'!$A$3:$A$135,0),MATCH(Y121,'G-8 Condition Look up'!$A$3:$H$3,0)),"")</f>
        <v/>
      </c>
      <c r="AA121" s="38"/>
      <c r="AB121" s="310" t="str">
        <f>IF(AA121="","",IF(VLOOKUP(AA121,'G-3 Multipliers'!$L$3:$N$6,2,FALSE)=0,"Spatial Data Missing ⚠",VLOOKUP(AA121,'G-3 Multipliers'!$L$3:$N$6,2,FALSE)))</f>
        <v/>
      </c>
      <c r="AC121" s="314" t="str">
        <f>IF(AA121="","",IF(VLOOKUP(AA121,'G-3 Multipliers'!$L$3:$N$6,3,FALSE)=0,"Spatial Data Missing ⚠",VLOOKUP(AA121,'G-3 Multipliers'!$L$3:$N$6,3,FALSE)))</f>
        <v/>
      </c>
      <c r="AD121" s="327" t="str">
        <f t="shared" si="12"/>
        <v/>
      </c>
      <c r="AE121" s="47"/>
      <c r="AF121" s="47"/>
      <c r="AG121" s="298" t="str">
        <f t="shared" si="16"/>
        <v/>
      </c>
      <c r="AH121" s="311" t="str">
        <f t="shared" si="17"/>
        <v/>
      </c>
      <c r="AI121" s="312" t="str">
        <f>IF(AH121="Check Data","Check Data",IFERROR(VLOOKUP(AH121,'G-4 Temporal multipliers'!$A$4:$C$36,3,FALSE),""))</f>
        <v/>
      </c>
      <c r="AJ121" s="290" t="str">
        <f>IF(S121="","",VLOOKUP(S121,'G-3 Multipliers'!$A$2:$E$134,4,FALSE))</f>
        <v/>
      </c>
      <c r="AK121" s="298" t="str">
        <f t="shared" si="18"/>
        <v/>
      </c>
      <c r="AL121" s="298" t="str">
        <f t="shared" si="19"/>
        <v/>
      </c>
      <c r="AM121" s="328" t="str">
        <f>IFERROR(IF(F121="","",IF(AH121="Check Data ⚠","Check Data ⚠",VLOOKUP(AL121, 'G-3 Multipliers'!$P$2:$Q$6,2,FALSE))),"")</f>
        <v/>
      </c>
      <c r="AN121" s="304" t="str">
        <f t="shared" si="20"/>
        <v/>
      </c>
      <c r="AO121" s="163"/>
      <c r="AP121" s="164"/>
      <c r="AQ121" s="101"/>
      <c r="AT121" s="20" t="str">
        <f t="shared" si="21"/>
        <v>No</v>
      </c>
      <c r="AU121" s="20" t="str">
        <f>IF(E121="","",IF(ISNA(VLOOKUP($E121,'A-1 On-Site Habitat Baseline'!$D$1:$AV$258,4,FALSE)),"",(VLOOKUP($E121,'A-1 On-Site Habitat Baseline'!$D$1:$AV$258,4,FALSE))))</f>
        <v/>
      </c>
    </row>
    <row r="122" spans="1:47" x14ac:dyDescent="0.3">
      <c r="A122" s="20" t="str">
        <f>IF(E122="","",IF(ISNA(VLOOKUP($E122,'A-1 On-Site Habitat Baseline'!$D$1:$O$258,2,FALSE)),"",(VLOOKUP($E122,'A-1 On-Site Habitat Baseline'!$D$1:$O$258,2,FALSE))))</f>
        <v/>
      </c>
      <c r="B122" s="20" t="str">
        <f>IF(E122="","",IF(ISNA(VLOOKUP($E122,'A-1 On-Site Habitat Baseline'!$D$1:$O$258,3,FALSE)),"",(VLOOKUP($E122,'A-1 On-Site Habitat Baseline'!$D$1:$O$258,3,FALSE))))</f>
        <v/>
      </c>
      <c r="C122" s="20" t="str">
        <f>IFERROR(INDEX('G-8 Condition Look up'!$I$4:$I$135,MATCH(S122,'G-8 Condition Look up'!$A$4:$A$135,0)),"")</f>
        <v/>
      </c>
      <c r="E122" s="319" t="str">
        <f>'A-1 On-Site Habitat Baseline'!AL121</f>
        <v/>
      </c>
      <c r="F122" s="310" t="str">
        <f>IF(E122="","",IF(ISNA(VLOOKUP($E122,'A-1 On-Site Habitat Baseline'!$D$1:$AV$258,45,FALSE)),"",(VLOOKUP($E122,'A-1 On-Site Habitat Baseline'!$D$1:$AV$258,45,FALSE))))</f>
        <v/>
      </c>
      <c r="G122" s="310" t="str">
        <f>IF(E122="","",IF(ISNA(VLOOKUP($E122,'A-1 On-Site Habitat Baseline'!$D$1:$O$258,5,FALSE)),"",(VLOOKUP($E122,'A-1 On-Site Habitat Baseline'!$D$1:$O$258,5,FALSE))))</f>
        <v/>
      </c>
      <c r="H122" s="310" t="str">
        <f>IF(E122="","",IF(ISNA(VLOOKUP($E122,'A-1 On-Site Habitat Baseline'!$D$1:$O$258,6,FALSE)),"",(VLOOKUP($E122,'A-1 On-Site Habitat Baseline'!$D$1:$O$258,6,FALSE))))</f>
        <v/>
      </c>
      <c r="I122" s="310" t="str">
        <f>IF(E122="","",IF(ISNA(VLOOKUP($E122,'A-1 On-Site Habitat Baseline'!$D$1:$O$258,7,FALSE)),"",(VLOOKUP($E122,'A-1 On-Site Habitat Baseline'!$D$1:$O$258,7,FALSE))))</f>
        <v/>
      </c>
      <c r="J122" s="310" t="str">
        <f>IF(E122="","",IF(ISNA(VLOOKUP($E122,'A-1 On-Site Habitat Baseline'!$D$1:$O$258,8,FALSE)),"",(VLOOKUP($E122,'A-1 On-Site Habitat Baseline'!$D$1:$O$258,8,FALSE))))</f>
        <v/>
      </c>
      <c r="K122" s="310" t="str">
        <f>IF(E122="","",IF(ISNA(VLOOKUP($E122,'A-1 On-Site Habitat Baseline'!$D$1:$O$258,9,FALSE)),"",(VLOOKUP($E122,'A-1 On-Site Habitat Baseline'!$D$1:$O$258,9,FALSE))))</f>
        <v/>
      </c>
      <c r="L122" s="310" t="str">
        <f>IF(E122="","",IF(ISNA(VLOOKUP($E122,'A-1 On-Site Habitat Baseline'!$D$1:$O$258,11,FALSE)),"",(VLOOKUP($E122,'A-1 On-Site Habitat Baseline'!$D$1:$O$258,11,FALSE))))</f>
        <v/>
      </c>
      <c r="M122" s="310" t="str">
        <f>IF(E122="","",IF(ISNA(VLOOKUP($E122,'A-1 On-Site Habitat Baseline'!$D$1:$O$258,12,FALSE)),"",(VLOOKUP($E122,'A-1 On-Site Habitat Baseline'!$D$1:$O$258,12,FALSE))))</f>
        <v/>
      </c>
      <c r="N122" s="320" t="str">
        <f>IF(E122="","",IF(ISNA(VLOOKUP($E122,'A-1 On-Site Habitat Baseline'!$D$1:$X$258,14,FALSE)),"",(VLOOKUP($E122,'A-1 On-Site Habitat Baseline'!$D$1:$X$258,14,FALSE))))</f>
        <v/>
      </c>
      <c r="O122" s="314" t="str">
        <f>IF(E122="","",IF(ISNA(VLOOKUP($E122,'A-1 On-Site Habitat Baseline'!$D$1:$X$258,16,FALSE)),"",(VLOOKUP($E122,'A-1 On-Site Habitat Baseline'!$D$1:$X$258,13,FALSE))))</f>
        <v/>
      </c>
      <c r="P122" s="161" t="str">
        <f>IFERROR(INDEX('G-1 All Habitats'!$AG$49:$AG$63,MATCH(Q122,'G-1 All Habitats'!$AF$27:$AF$41,0)),"")</f>
        <v/>
      </c>
      <c r="Q122" s="162" t="str">
        <f t="shared" si="13"/>
        <v/>
      </c>
      <c r="R122" s="162"/>
      <c r="S122" s="252" t="str">
        <f>IFERROR(INDEX('G-1 All Habitats'!$B$3:$B$135,MATCH(R122,'G-1 All Habitats'!$A$3:$A$135,0)),"")</f>
        <v/>
      </c>
      <c r="T122" s="290" t="str">
        <f t="shared" si="14"/>
        <v/>
      </c>
      <c r="U122" s="291" t="str">
        <f t="shared" si="15"/>
        <v/>
      </c>
      <c r="V122" s="325" t="str">
        <f t="shared" si="11"/>
        <v/>
      </c>
      <c r="W122" s="310" t="str">
        <f>IF(S122="","",VLOOKUP(S122,'G-1 All Habitats'!$B$2:$M$135,10,FALSE))</f>
        <v/>
      </c>
      <c r="X122" s="310" t="str">
        <f>IFERROR(VLOOKUP(W122,'G-1 All Habitats'!$V$3:$W$7,2,FALSE),"")</f>
        <v/>
      </c>
      <c r="Y122" s="45"/>
      <c r="Z122" s="314" t="str">
        <f>IFERROR(INDEX('G-8 Condition Look up'!$A$3:$H$135,MATCH(S122,'G-8 Condition Look up'!$A$3:$A$135,0),MATCH(Y122,'G-8 Condition Look up'!$A$3:$H$3,0)),"")</f>
        <v/>
      </c>
      <c r="AA122" s="38"/>
      <c r="AB122" s="310" t="str">
        <f>IF(AA122="","",IF(VLOOKUP(AA122,'G-3 Multipliers'!$L$3:$N$6,2,FALSE)=0,"Spatial Data Missing ⚠",VLOOKUP(AA122,'G-3 Multipliers'!$L$3:$N$6,2,FALSE)))</f>
        <v/>
      </c>
      <c r="AC122" s="314" t="str">
        <f>IF(AA122="","",IF(VLOOKUP(AA122,'G-3 Multipliers'!$L$3:$N$6,3,FALSE)=0,"Spatial Data Missing ⚠",VLOOKUP(AA122,'G-3 Multipliers'!$L$3:$N$6,3,FALSE)))</f>
        <v/>
      </c>
      <c r="AD122" s="327" t="str">
        <f t="shared" si="12"/>
        <v/>
      </c>
      <c r="AE122" s="47"/>
      <c r="AF122" s="47"/>
      <c r="AG122" s="298" t="str">
        <f t="shared" si="16"/>
        <v/>
      </c>
      <c r="AH122" s="311" t="str">
        <f t="shared" si="17"/>
        <v/>
      </c>
      <c r="AI122" s="312" t="str">
        <f>IF(AH122="Check Data","Check Data",IFERROR(VLOOKUP(AH122,'G-4 Temporal multipliers'!$A$4:$C$36,3,FALSE),""))</f>
        <v/>
      </c>
      <c r="AJ122" s="290" t="str">
        <f>IF(S122="","",VLOOKUP(S122,'G-3 Multipliers'!$A$2:$E$134,4,FALSE))</f>
        <v/>
      </c>
      <c r="AK122" s="298" t="str">
        <f t="shared" si="18"/>
        <v/>
      </c>
      <c r="AL122" s="298" t="str">
        <f t="shared" si="19"/>
        <v/>
      </c>
      <c r="AM122" s="328" t="str">
        <f>IFERROR(IF(F122="","",IF(AH122="Check Data ⚠","Check Data ⚠",VLOOKUP(AL122, 'G-3 Multipliers'!$P$2:$Q$6,2,FALSE))),"")</f>
        <v/>
      </c>
      <c r="AN122" s="304" t="str">
        <f t="shared" si="20"/>
        <v/>
      </c>
      <c r="AO122" s="163"/>
      <c r="AP122" s="164"/>
      <c r="AQ122" s="101"/>
      <c r="AT122" s="20" t="str">
        <f t="shared" si="21"/>
        <v>No</v>
      </c>
      <c r="AU122" s="20" t="str">
        <f>IF(E122="","",IF(ISNA(VLOOKUP($E122,'A-1 On-Site Habitat Baseline'!$D$1:$AV$258,4,FALSE)),"",(VLOOKUP($E122,'A-1 On-Site Habitat Baseline'!$D$1:$AV$258,4,FALSE))))</f>
        <v/>
      </c>
    </row>
    <row r="123" spans="1:47" x14ac:dyDescent="0.3">
      <c r="A123" s="20" t="str">
        <f>IF(E123="","",IF(ISNA(VLOOKUP($E123,'A-1 On-Site Habitat Baseline'!$D$1:$O$258,2,FALSE)),"",(VLOOKUP($E123,'A-1 On-Site Habitat Baseline'!$D$1:$O$258,2,FALSE))))</f>
        <v/>
      </c>
      <c r="B123" s="20" t="str">
        <f>IF(E123="","",IF(ISNA(VLOOKUP($E123,'A-1 On-Site Habitat Baseline'!$D$1:$O$258,3,FALSE)),"",(VLOOKUP($E123,'A-1 On-Site Habitat Baseline'!$D$1:$O$258,3,FALSE))))</f>
        <v/>
      </c>
      <c r="C123" s="20" t="str">
        <f>IFERROR(INDEX('G-8 Condition Look up'!$I$4:$I$135,MATCH(S123,'G-8 Condition Look up'!$A$4:$A$135,0)),"")</f>
        <v/>
      </c>
      <c r="E123" s="319" t="str">
        <f>'A-1 On-Site Habitat Baseline'!AL122</f>
        <v/>
      </c>
      <c r="F123" s="310" t="str">
        <f>IF(E123="","",IF(ISNA(VLOOKUP($E123,'A-1 On-Site Habitat Baseline'!$D$1:$AV$258,45,FALSE)),"",(VLOOKUP($E123,'A-1 On-Site Habitat Baseline'!$D$1:$AV$258,45,FALSE))))</f>
        <v/>
      </c>
      <c r="G123" s="310" t="str">
        <f>IF(E123="","",IF(ISNA(VLOOKUP($E123,'A-1 On-Site Habitat Baseline'!$D$1:$O$258,5,FALSE)),"",(VLOOKUP($E123,'A-1 On-Site Habitat Baseline'!$D$1:$O$258,5,FALSE))))</f>
        <v/>
      </c>
      <c r="H123" s="310" t="str">
        <f>IF(E123="","",IF(ISNA(VLOOKUP($E123,'A-1 On-Site Habitat Baseline'!$D$1:$O$258,6,FALSE)),"",(VLOOKUP($E123,'A-1 On-Site Habitat Baseline'!$D$1:$O$258,6,FALSE))))</f>
        <v/>
      </c>
      <c r="I123" s="310" t="str">
        <f>IF(E123="","",IF(ISNA(VLOOKUP($E123,'A-1 On-Site Habitat Baseline'!$D$1:$O$258,7,FALSE)),"",(VLOOKUP($E123,'A-1 On-Site Habitat Baseline'!$D$1:$O$258,7,FALSE))))</f>
        <v/>
      </c>
      <c r="J123" s="310" t="str">
        <f>IF(E123="","",IF(ISNA(VLOOKUP($E123,'A-1 On-Site Habitat Baseline'!$D$1:$O$258,8,FALSE)),"",(VLOOKUP($E123,'A-1 On-Site Habitat Baseline'!$D$1:$O$258,8,FALSE))))</f>
        <v/>
      </c>
      <c r="K123" s="310" t="str">
        <f>IF(E123="","",IF(ISNA(VLOOKUP($E123,'A-1 On-Site Habitat Baseline'!$D$1:$O$258,9,FALSE)),"",(VLOOKUP($E123,'A-1 On-Site Habitat Baseline'!$D$1:$O$258,9,FALSE))))</f>
        <v/>
      </c>
      <c r="L123" s="310" t="str">
        <f>IF(E123="","",IF(ISNA(VLOOKUP($E123,'A-1 On-Site Habitat Baseline'!$D$1:$O$258,11,FALSE)),"",(VLOOKUP($E123,'A-1 On-Site Habitat Baseline'!$D$1:$O$258,11,FALSE))))</f>
        <v/>
      </c>
      <c r="M123" s="310" t="str">
        <f>IF(E123="","",IF(ISNA(VLOOKUP($E123,'A-1 On-Site Habitat Baseline'!$D$1:$O$258,12,FALSE)),"",(VLOOKUP($E123,'A-1 On-Site Habitat Baseline'!$D$1:$O$258,12,FALSE))))</f>
        <v/>
      </c>
      <c r="N123" s="320" t="str">
        <f>IF(E123="","",IF(ISNA(VLOOKUP($E123,'A-1 On-Site Habitat Baseline'!$D$1:$X$258,14,FALSE)),"",(VLOOKUP($E123,'A-1 On-Site Habitat Baseline'!$D$1:$X$258,14,FALSE))))</f>
        <v/>
      </c>
      <c r="O123" s="314" t="str">
        <f>IF(E123="","",IF(ISNA(VLOOKUP($E123,'A-1 On-Site Habitat Baseline'!$D$1:$X$258,16,FALSE)),"",(VLOOKUP($E123,'A-1 On-Site Habitat Baseline'!$D$1:$X$258,13,FALSE))))</f>
        <v/>
      </c>
      <c r="P123" s="161" t="str">
        <f>IFERROR(INDEX('G-1 All Habitats'!$AG$49:$AG$63,MATCH(Q123,'G-1 All Habitats'!$AF$27:$AF$41,0)),"")</f>
        <v/>
      </c>
      <c r="Q123" s="162" t="str">
        <f t="shared" si="13"/>
        <v/>
      </c>
      <c r="R123" s="162"/>
      <c r="S123" s="252" t="str">
        <f>IFERROR(INDEX('G-1 All Habitats'!$B$3:$B$135,MATCH(R123,'G-1 All Habitats'!$A$3:$A$135,0)),"")</f>
        <v/>
      </c>
      <c r="T123" s="290" t="str">
        <f t="shared" si="14"/>
        <v/>
      </c>
      <c r="U123" s="291" t="str">
        <f t="shared" si="15"/>
        <v/>
      </c>
      <c r="V123" s="325" t="str">
        <f t="shared" si="11"/>
        <v/>
      </c>
      <c r="W123" s="310" t="str">
        <f>IF(S123="","",VLOOKUP(S123,'G-1 All Habitats'!$B$2:$M$135,10,FALSE))</f>
        <v/>
      </c>
      <c r="X123" s="310" t="str">
        <f>IFERROR(VLOOKUP(W123,'G-1 All Habitats'!$V$3:$W$7,2,FALSE),"")</f>
        <v/>
      </c>
      <c r="Y123" s="45"/>
      <c r="Z123" s="314" t="str">
        <f>IFERROR(INDEX('G-8 Condition Look up'!$A$3:$H$135,MATCH(S123,'G-8 Condition Look up'!$A$3:$A$135,0),MATCH(Y123,'G-8 Condition Look up'!$A$3:$H$3,0)),"")</f>
        <v/>
      </c>
      <c r="AA123" s="38"/>
      <c r="AB123" s="310" t="str">
        <f>IF(AA123="","",IF(VLOOKUP(AA123,'G-3 Multipliers'!$L$3:$N$6,2,FALSE)=0,"Spatial Data Missing ⚠",VLOOKUP(AA123,'G-3 Multipliers'!$L$3:$N$6,2,FALSE)))</f>
        <v/>
      </c>
      <c r="AC123" s="314" t="str">
        <f>IF(AA123="","",IF(VLOOKUP(AA123,'G-3 Multipliers'!$L$3:$N$6,3,FALSE)=0,"Spatial Data Missing ⚠",VLOOKUP(AA123,'G-3 Multipliers'!$L$3:$N$6,3,FALSE)))</f>
        <v/>
      </c>
      <c r="AD123" s="327" t="str">
        <f t="shared" si="12"/>
        <v/>
      </c>
      <c r="AE123" s="47"/>
      <c r="AF123" s="47"/>
      <c r="AG123" s="298" t="str">
        <f t="shared" si="16"/>
        <v/>
      </c>
      <c r="AH123" s="311" t="str">
        <f t="shared" si="17"/>
        <v/>
      </c>
      <c r="AI123" s="312" t="str">
        <f>IF(AH123="Check Data","Check Data",IFERROR(VLOOKUP(AH123,'G-4 Temporal multipliers'!$A$4:$C$36,3,FALSE),""))</f>
        <v/>
      </c>
      <c r="AJ123" s="290" t="str">
        <f>IF(S123="","",VLOOKUP(S123,'G-3 Multipliers'!$A$2:$E$134,4,FALSE))</f>
        <v/>
      </c>
      <c r="AK123" s="298" t="str">
        <f t="shared" si="18"/>
        <v/>
      </c>
      <c r="AL123" s="298" t="str">
        <f t="shared" si="19"/>
        <v/>
      </c>
      <c r="AM123" s="328" t="str">
        <f>IFERROR(IF(F123="","",IF(AH123="Check Data ⚠","Check Data ⚠",VLOOKUP(AL123, 'G-3 Multipliers'!$P$2:$Q$6,2,FALSE))),"")</f>
        <v/>
      </c>
      <c r="AN123" s="304" t="str">
        <f t="shared" si="20"/>
        <v/>
      </c>
      <c r="AO123" s="163"/>
      <c r="AP123" s="164"/>
      <c r="AQ123" s="101"/>
      <c r="AT123" s="20" t="str">
        <f t="shared" si="21"/>
        <v>No</v>
      </c>
      <c r="AU123" s="20" t="str">
        <f>IF(E123="","",IF(ISNA(VLOOKUP($E123,'A-1 On-Site Habitat Baseline'!$D$1:$AV$258,4,FALSE)),"",(VLOOKUP($E123,'A-1 On-Site Habitat Baseline'!$D$1:$AV$258,4,FALSE))))</f>
        <v/>
      </c>
    </row>
    <row r="124" spans="1:47" x14ac:dyDescent="0.3">
      <c r="A124" s="20" t="str">
        <f>IF(E124="","",IF(ISNA(VLOOKUP($E124,'A-1 On-Site Habitat Baseline'!$D$1:$O$258,2,FALSE)),"",(VLOOKUP($E124,'A-1 On-Site Habitat Baseline'!$D$1:$O$258,2,FALSE))))</f>
        <v/>
      </c>
      <c r="B124" s="20" t="str">
        <f>IF(E124="","",IF(ISNA(VLOOKUP($E124,'A-1 On-Site Habitat Baseline'!$D$1:$O$258,3,FALSE)),"",(VLOOKUP($E124,'A-1 On-Site Habitat Baseline'!$D$1:$O$258,3,FALSE))))</f>
        <v/>
      </c>
      <c r="C124" s="20" t="str">
        <f>IFERROR(INDEX('G-8 Condition Look up'!$I$4:$I$135,MATCH(S124,'G-8 Condition Look up'!$A$4:$A$135,0)),"")</f>
        <v/>
      </c>
      <c r="E124" s="319" t="str">
        <f>'A-1 On-Site Habitat Baseline'!AL123</f>
        <v/>
      </c>
      <c r="F124" s="310" t="str">
        <f>IF(E124="","",IF(ISNA(VLOOKUP($E124,'A-1 On-Site Habitat Baseline'!$D$1:$AV$258,45,FALSE)),"",(VLOOKUP($E124,'A-1 On-Site Habitat Baseline'!$D$1:$AV$258,45,FALSE))))</f>
        <v/>
      </c>
      <c r="G124" s="310" t="str">
        <f>IF(E124="","",IF(ISNA(VLOOKUP($E124,'A-1 On-Site Habitat Baseline'!$D$1:$O$258,5,FALSE)),"",(VLOOKUP($E124,'A-1 On-Site Habitat Baseline'!$D$1:$O$258,5,FALSE))))</f>
        <v/>
      </c>
      <c r="H124" s="310" t="str">
        <f>IF(E124="","",IF(ISNA(VLOOKUP($E124,'A-1 On-Site Habitat Baseline'!$D$1:$O$258,6,FALSE)),"",(VLOOKUP($E124,'A-1 On-Site Habitat Baseline'!$D$1:$O$258,6,FALSE))))</f>
        <v/>
      </c>
      <c r="I124" s="310" t="str">
        <f>IF(E124="","",IF(ISNA(VLOOKUP($E124,'A-1 On-Site Habitat Baseline'!$D$1:$O$258,7,FALSE)),"",(VLOOKUP($E124,'A-1 On-Site Habitat Baseline'!$D$1:$O$258,7,FALSE))))</f>
        <v/>
      </c>
      <c r="J124" s="310" t="str">
        <f>IF(E124="","",IF(ISNA(VLOOKUP($E124,'A-1 On-Site Habitat Baseline'!$D$1:$O$258,8,FALSE)),"",(VLOOKUP($E124,'A-1 On-Site Habitat Baseline'!$D$1:$O$258,8,FALSE))))</f>
        <v/>
      </c>
      <c r="K124" s="310" t="str">
        <f>IF(E124="","",IF(ISNA(VLOOKUP($E124,'A-1 On-Site Habitat Baseline'!$D$1:$O$258,9,FALSE)),"",(VLOOKUP($E124,'A-1 On-Site Habitat Baseline'!$D$1:$O$258,9,FALSE))))</f>
        <v/>
      </c>
      <c r="L124" s="310" t="str">
        <f>IF(E124="","",IF(ISNA(VLOOKUP($E124,'A-1 On-Site Habitat Baseline'!$D$1:$O$258,11,FALSE)),"",(VLOOKUP($E124,'A-1 On-Site Habitat Baseline'!$D$1:$O$258,11,FALSE))))</f>
        <v/>
      </c>
      <c r="M124" s="310" t="str">
        <f>IF(E124="","",IF(ISNA(VLOOKUP($E124,'A-1 On-Site Habitat Baseline'!$D$1:$O$258,12,FALSE)),"",(VLOOKUP($E124,'A-1 On-Site Habitat Baseline'!$D$1:$O$258,12,FALSE))))</f>
        <v/>
      </c>
      <c r="N124" s="320" t="str">
        <f>IF(E124="","",IF(ISNA(VLOOKUP($E124,'A-1 On-Site Habitat Baseline'!$D$1:$X$258,14,FALSE)),"",(VLOOKUP($E124,'A-1 On-Site Habitat Baseline'!$D$1:$X$258,14,FALSE))))</f>
        <v/>
      </c>
      <c r="O124" s="314" t="str">
        <f>IF(E124="","",IF(ISNA(VLOOKUP($E124,'A-1 On-Site Habitat Baseline'!$D$1:$X$258,16,FALSE)),"",(VLOOKUP($E124,'A-1 On-Site Habitat Baseline'!$D$1:$X$258,13,FALSE))))</f>
        <v/>
      </c>
      <c r="P124" s="161" t="str">
        <f>IFERROR(INDEX('G-1 All Habitats'!$AG$49:$AG$63,MATCH(Q124,'G-1 All Habitats'!$AF$27:$AF$41,0)),"")</f>
        <v/>
      </c>
      <c r="Q124" s="162" t="str">
        <f t="shared" si="13"/>
        <v/>
      </c>
      <c r="R124" s="162"/>
      <c r="S124" s="252" t="str">
        <f>IFERROR(INDEX('G-1 All Habitats'!$B$3:$B$135,MATCH(R124,'G-1 All Habitats'!$A$3:$A$135,0)),"")</f>
        <v/>
      </c>
      <c r="T124" s="290" t="str">
        <f t="shared" si="14"/>
        <v/>
      </c>
      <c r="U124" s="291" t="str">
        <f t="shared" si="15"/>
        <v/>
      </c>
      <c r="V124" s="325" t="str">
        <f t="shared" si="11"/>
        <v/>
      </c>
      <c r="W124" s="310" t="str">
        <f>IF(S124="","",VLOOKUP(S124,'G-1 All Habitats'!$B$2:$M$135,10,FALSE))</f>
        <v/>
      </c>
      <c r="X124" s="310" t="str">
        <f>IFERROR(VLOOKUP(W124,'G-1 All Habitats'!$V$3:$W$7,2,FALSE),"")</f>
        <v/>
      </c>
      <c r="Y124" s="45"/>
      <c r="Z124" s="314" t="str">
        <f>IFERROR(INDEX('G-8 Condition Look up'!$A$3:$H$135,MATCH(S124,'G-8 Condition Look up'!$A$3:$A$135,0),MATCH(Y124,'G-8 Condition Look up'!$A$3:$H$3,0)),"")</f>
        <v/>
      </c>
      <c r="AA124" s="38"/>
      <c r="AB124" s="310" t="str">
        <f>IF(AA124="","",IF(VLOOKUP(AA124,'G-3 Multipliers'!$L$3:$N$6,2,FALSE)=0,"Spatial Data Missing ⚠",VLOOKUP(AA124,'G-3 Multipliers'!$L$3:$N$6,2,FALSE)))</f>
        <v/>
      </c>
      <c r="AC124" s="314" t="str">
        <f>IF(AA124="","",IF(VLOOKUP(AA124,'G-3 Multipliers'!$L$3:$N$6,3,FALSE)=0,"Spatial Data Missing ⚠",VLOOKUP(AA124,'G-3 Multipliers'!$L$3:$N$6,3,FALSE)))</f>
        <v/>
      </c>
      <c r="AD124" s="327" t="str">
        <f t="shared" si="12"/>
        <v/>
      </c>
      <c r="AE124" s="47"/>
      <c r="AF124" s="47"/>
      <c r="AG124" s="298" t="str">
        <f t="shared" si="16"/>
        <v/>
      </c>
      <c r="AH124" s="311" t="str">
        <f t="shared" si="17"/>
        <v/>
      </c>
      <c r="AI124" s="312" t="str">
        <f>IF(AH124="Check Data","Check Data",IFERROR(VLOOKUP(AH124,'G-4 Temporal multipliers'!$A$4:$C$36,3,FALSE),""))</f>
        <v/>
      </c>
      <c r="AJ124" s="290" t="str">
        <f>IF(S124="","",VLOOKUP(S124,'G-3 Multipliers'!$A$2:$E$134,4,FALSE))</f>
        <v/>
      </c>
      <c r="AK124" s="298" t="str">
        <f t="shared" si="18"/>
        <v/>
      </c>
      <c r="AL124" s="298" t="str">
        <f t="shared" si="19"/>
        <v/>
      </c>
      <c r="AM124" s="328" t="str">
        <f>IFERROR(IF(F124="","",IF(AH124="Check Data ⚠","Check Data ⚠",VLOOKUP(AL124, 'G-3 Multipliers'!$P$2:$Q$6,2,FALSE))),"")</f>
        <v/>
      </c>
      <c r="AN124" s="304" t="str">
        <f t="shared" si="20"/>
        <v/>
      </c>
      <c r="AO124" s="163"/>
      <c r="AP124" s="164"/>
      <c r="AQ124" s="101"/>
      <c r="AT124" s="20" t="str">
        <f t="shared" si="21"/>
        <v>No</v>
      </c>
      <c r="AU124" s="20" t="str">
        <f>IF(E124="","",IF(ISNA(VLOOKUP($E124,'A-1 On-Site Habitat Baseline'!$D$1:$AV$258,4,FALSE)),"",(VLOOKUP($E124,'A-1 On-Site Habitat Baseline'!$D$1:$AV$258,4,FALSE))))</f>
        <v/>
      </c>
    </row>
    <row r="125" spans="1:47" x14ac:dyDescent="0.3">
      <c r="A125" s="20" t="str">
        <f>IF(E125="","",IF(ISNA(VLOOKUP($E125,'A-1 On-Site Habitat Baseline'!$D$1:$O$258,2,FALSE)),"",(VLOOKUP($E125,'A-1 On-Site Habitat Baseline'!$D$1:$O$258,2,FALSE))))</f>
        <v/>
      </c>
      <c r="B125" s="20" t="str">
        <f>IF(E125="","",IF(ISNA(VLOOKUP($E125,'A-1 On-Site Habitat Baseline'!$D$1:$O$258,3,FALSE)),"",(VLOOKUP($E125,'A-1 On-Site Habitat Baseline'!$D$1:$O$258,3,FALSE))))</f>
        <v/>
      </c>
      <c r="C125" s="20" t="str">
        <f>IFERROR(INDEX('G-8 Condition Look up'!$I$4:$I$135,MATCH(S125,'G-8 Condition Look up'!$A$4:$A$135,0)),"")</f>
        <v/>
      </c>
      <c r="E125" s="319" t="str">
        <f>'A-1 On-Site Habitat Baseline'!AL124</f>
        <v/>
      </c>
      <c r="F125" s="310" t="str">
        <f>IF(E125="","",IF(ISNA(VLOOKUP($E125,'A-1 On-Site Habitat Baseline'!$D$1:$AV$258,45,FALSE)),"",(VLOOKUP($E125,'A-1 On-Site Habitat Baseline'!$D$1:$AV$258,45,FALSE))))</f>
        <v/>
      </c>
      <c r="G125" s="310" t="str">
        <f>IF(E125="","",IF(ISNA(VLOOKUP($E125,'A-1 On-Site Habitat Baseline'!$D$1:$O$258,5,FALSE)),"",(VLOOKUP($E125,'A-1 On-Site Habitat Baseline'!$D$1:$O$258,5,FALSE))))</f>
        <v/>
      </c>
      <c r="H125" s="310" t="str">
        <f>IF(E125="","",IF(ISNA(VLOOKUP($E125,'A-1 On-Site Habitat Baseline'!$D$1:$O$258,6,FALSE)),"",(VLOOKUP($E125,'A-1 On-Site Habitat Baseline'!$D$1:$O$258,6,FALSE))))</f>
        <v/>
      </c>
      <c r="I125" s="310" t="str">
        <f>IF(E125="","",IF(ISNA(VLOOKUP($E125,'A-1 On-Site Habitat Baseline'!$D$1:$O$258,7,FALSE)),"",(VLOOKUP($E125,'A-1 On-Site Habitat Baseline'!$D$1:$O$258,7,FALSE))))</f>
        <v/>
      </c>
      <c r="J125" s="310" t="str">
        <f>IF(E125="","",IF(ISNA(VLOOKUP($E125,'A-1 On-Site Habitat Baseline'!$D$1:$O$258,8,FALSE)),"",(VLOOKUP($E125,'A-1 On-Site Habitat Baseline'!$D$1:$O$258,8,FALSE))))</f>
        <v/>
      </c>
      <c r="K125" s="310" t="str">
        <f>IF(E125="","",IF(ISNA(VLOOKUP($E125,'A-1 On-Site Habitat Baseline'!$D$1:$O$258,9,FALSE)),"",(VLOOKUP($E125,'A-1 On-Site Habitat Baseline'!$D$1:$O$258,9,FALSE))))</f>
        <v/>
      </c>
      <c r="L125" s="310" t="str">
        <f>IF(E125="","",IF(ISNA(VLOOKUP($E125,'A-1 On-Site Habitat Baseline'!$D$1:$O$258,11,FALSE)),"",(VLOOKUP($E125,'A-1 On-Site Habitat Baseline'!$D$1:$O$258,11,FALSE))))</f>
        <v/>
      </c>
      <c r="M125" s="310" t="str">
        <f>IF(E125="","",IF(ISNA(VLOOKUP($E125,'A-1 On-Site Habitat Baseline'!$D$1:$O$258,12,FALSE)),"",(VLOOKUP($E125,'A-1 On-Site Habitat Baseline'!$D$1:$O$258,12,FALSE))))</f>
        <v/>
      </c>
      <c r="N125" s="320" t="str">
        <f>IF(E125="","",IF(ISNA(VLOOKUP($E125,'A-1 On-Site Habitat Baseline'!$D$1:$X$258,14,FALSE)),"",(VLOOKUP($E125,'A-1 On-Site Habitat Baseline'!$D$1:$X$258,14,FALSE))))</f>
        <v/>
      </c>
      <c r="O125" s="314" t="str">
        <f>IF(E125="","",IF(ISNA(VLOOKUP($E125,'A-1 On-Site Habitat Baseline'!$D$1:$X$258,16,FALSE)),"",(VLOOKUP($E125,'A-1 On-Site Habitat Baseline'!$D$1:$X$258,13,FALSE))))</f>
        <v/>
      </c>
      <c r="P125" s="161" t="str">
        <f>IFERROR(INDEX('G-1 All Habitats'!$AG$49:$AG$63,MATCH(Q125,'G-1 All Habitats'!$AF$27:$AF$41,0)),"")</f>
        <v/>
      </c>
      <c r="Q125" s="162" t="str">
        <f t="shared" si="13"/>
        <v/>
      </c>
      <c r="R125" s="162"/>
      <c r="S125" s="252" t="str">
        <f>IFERROR(INDEX('G-1 All Habitats'!$B$3:$B$135,MATCH(R125,'G-1 All Habitats'!$A$3:$A$135,0)),"")</f>
        <v/>
      </c>
      <c r="T125" s="290" t="str">
        <f t="shared" si="14"/>
        <v/>
      </c>
      <c r="U125" s="291" t="str">
        <f t="shared" si="15"/>
        <v/>
      </c>
      <c r="V125" s="325" t="str">
        <f t="shared" si="11"/>
        <v/>
      </c>
      <c r="W125" s="310" t="str">
        <f>IF(S125="","",VLOOKUP(S125,'G-1 All Habitats'!$B$2:$M$135,10,FALSE))</f>
        <v/>
      </c>
      <c r="X125" s="310" t="str">
        <f>IFERROR(VLOOKUP(W125,'G-1 All Habitats'!$V$3:$W$7,2,FALSE),"")</f>
        <v/>
      </c>
      <c r="Y125" s="45"/>
      <c r="Z125" s="314" t="str">
        <f>IFERROR(INDEX('G-8 Condition Look up'!$A$3:$H$135,MATCH(S125,'G-8 Condition Look up'!$A$3:$A$135,0),MATCH(Y125,'G-8 Condition Look up'!$A$3:$H$3,0)),"")</f>
        <v/>
      </c>
      <c r="AA125" s="38"/>
      <c r="AB125" s="310" t="str">
        <f>IF(AA125="","",IF(VLOOKUP(AA125,'G-3 Multipliers'!$L$3:$N$6,2,FALSE)=0,"Spatial Data Missing ⚠",VLOOKUP(AA125,'G-3 Multipliers'!$L$3:$N$6,2,FALSE)))</f>
        <v/>
      </c>
      <c r="AC125" s="314" t="str">
        <f>IF(AA125="","",IF(VLOOKUP(AA125,'G-3 Multipliers'!$L$3:$N$6,3,FALSE)=0,"Spatial Data Missing ⚠",VLOOKUP(AA125,'G-3 Multipliers'!$L$3:$N$6,3,FALSE)))</f>
        <v/>
      </c>
      <c r="AD125" s="327" t="str">
        <f t="shared" si="12"/>
        <v/>
      </c>
      <c r="AE125" s="47"/>
      <c r="AF125" s="47"/>
      <c r="AG125" s="298" t="str">
        <f t="shared" si="16"/>
        <v/>
      </c>
      <c r="AH125" s="311" t="str">
        <f t="shared" si="17"/>
        <v/>
      </c>
      <c r="AI125" s="312" t="str">
        <f>IF(AH125="Check Data","Check Data",IFERROR(VLOOKUP(AH125,'G-4 Temporal multipliers'!$A$4:$C$36,3,FALSE),""))</f>
        <v/>
      </c>
      <c r="AJ125" s="290" t="str">
        <f>IF(S125="","",VLOOKUP(S125,'G-3 Multipliers'!$A$2:$E$134,4,FALSE))</f>
        <v/>
      </c>
      <c r="AK125" s="298" t="str">
        <f t="shared" si="18"/>
        <v/>
      </c>
      <c r="AL125" s="298" t="str">
        <f t="shared" si="19"/>
        <v/>
      </c>
      <c r="AM125" s="328" t="str">
        <f>IFERROR(IF(F125="","",IF(AH125="Check Data ⚠","Check Data ⚠",VLOOKUP(AL125, 'G-3 Multipliers'!$P$2:$Q$6,2,FALSE))),"")</f>
        <v/>
      </c>
      <c r="AN125" s="304" t="str">
        <f t="shared" si="20"/>
        <v/>
      </c>
      <c r="AO125" s="163"/>
      <c r="AP125" s="164"/>
      <c r="AQ125" s="101"/>
      <c r="AT125" s="20" t="str">
        <f t="shared" si="21"/>
        <v>No</v>
      </c>
      <c r="AU125" s="20" t="str">
        <f>IF(E125="","",IF(ISNA(VLOOKUP($E125,'A-1 On-Site Habitat Baseline'!$D$1:$AV$258,4,FALSE)),"",(VLOOKUP($E125,'A-1 On-Site Habitat Baseline'!$D$1:$AV$258,4,FALSE))))</f>
        <v/>
      </c>
    </row>
    <row r="126" spans="1:47" x14ac:dyDescent="0.3">
      <c r="A126" s="20" t="str">
        <f>IF(E126="","",IF(ISNA(VLOOKUP($E126,'A-1 On-Site Habitat Baseline'!$D$1:$O$258,2,FALSE)),"",(VLOOKUP($E126,'A-1 On-Site Habitat Baseline'!$D$1:$O$258,2,FALSE))))</f>
        <v/>
      </c>
      <c r="B126" s="20" t="str">
        <f>IF(E126="","",IF(ISNA(VLOOKUP($E126,'A-1 On-Site Habitat Baseline'!$D$1:$O$258,3,FALSE)),"",(VLOOKUP($E126,'A-1 On-Site Habitat Baseline'!$D$1:$O$258,3,FALSE))))</f>
        <v/>
      </c>
      <c r="C126" s="20" t="str">
        <f>IFERROR(INDEX('G-8 Condition Look up'!$I$4:$I$135,MATCH(S126,'G-8 Condition Look up'!$A$4:$A$135,0)),"")</f>
        <v/>
      </c>
      <c r="E126" s="319" t="str">
        <f>'A-1 On-Site Habitat Baseline'!AL125</f>
        <v/>
      </c>
      <c r="F126" s="310" t="str">
        <f>IF(E126="","",IF(ISNA(VLOOKUP($E126,'A-1 On-Site Habitat Baseline'!$D$1:$AV$258,45,FALSE)),"",(VLOOKUP($E126,'A-1 On-Site Habitat Baseline'!$D$1:$AV$258,45,FALSE))))</f>
        <v/>
      </c>
      <c r="G126" s="310" t="str">
        <f>IF(E126="","",IF(ISNA(VLOOKUP($E126,'A-1 On-Site Habitat Baseline'!$D$1:$O$258,5,FALSE)),"",(VLOOKUP($E126,'A-1 On-Site Habitat Baseline'!$D$1:$O$258,5,FALSE))))</f>
        <v/>
      </c>
      <c r="H126" s="310" t="str">
        <f>IF(E126="","",IF(ISNA(VLOOKUP($E126,'A-1 On-Site Habitat Baseline'!$D$1:$O$258,6,FALSE)),"",(VLOOKUP($E126,'A-1 On-Site Habitat Baseline'!$D$1:$O$258,6,FALSE))))</f>
        <v/>
      </c>
      <c r="I126" s="310" t="str">
        <f>IF(E126="","",IF(ISNA(VLOOKUP($E126,'A-1 On-Site Habitat Baseline'!$D$1:$O$258,7,FALSE)),"",(VLOOKUP($E126,'A-1 On-Site Habitat Baseline'!$D$1:$O$258,7,FALSE))))</f>
        <v/>
      </c>
      <c r="J126" s="310" t="str">
        <f>IF(E126="","",IF(ISNA(VLOOKUP($E126,'A-1 On-Site Habitat Baseline'!$D$1:$O$258,8,FALSE)),"",(VLOOKUP($E126,'A-1 On-Site Habitat Baseline'!$D$1:$O$258,8,FALSE))))</f>
        <v/>
      </c>
      <c r="K126" s="310" t="str">
        <f>IF(E126="","",IF(ISNA(VLOOKUP($E126,'A-1 On-Site Habitat Baseline'!$D$1:$O$258,9,FALSE)),"",(VLOOKUP($E126,'A-1 On-Site Habitat Baseline'!$D$1:$O$258,9,FALSE))))</f>
        <v/>
      </c>
      <c r="L126" s="310" t="str">
        <f>IF(E126="","",IF(ISNA(VLOOKUP($E126,'A-1 On-Site Habitat Baseline'!$D$1:$O$258,11,FALSE)),"",(VLOOKUP($E126,'A-1 On-Site Habitat Baseline'!$D$1:$O$258,11,FALSE))))</f>
        <v/>
      </c>
      <c r="M126" s="310" t="str">
        <f>IF(E126="","",IF(ISNA(VLOOKUP($E126,'A-1 On-Site Habitat Baseline'!$D$1:$O$258,12,FALSE)),"",(VLOOKUP($E126,'A-1 On-Site Habitat Baseline'!$D$1:$O$258,12,FALSE))))</f>
        <v/>
      </c>
      <c r="N126" s="320" t="str">
        <f>IF(E126="","",IF(ISNA(VLOOKUP($E126,'A-1 On-Site Habitat Baseline'!$D$1:$X$258,14,FALSE)),"",(VLOOKUP($E126,'A-1 On-Site Habitat Baseline'!$D$1:$X$258,14,FALSE))))</f>
        <v/>
      </c>
      <c r="O126" s="314" t="str">
        <f>IF(E126="","",IF(ISNA(VLOOKUP($E126,'A-1 On-Site Habitat Baseline'!$D$1:$X$258,16,FALSE)),"",(VLOOKUP($E126,'A-1 On-Site Habitat Baseline'!$D$1:$X$258,13,FALSE))))</f>
        <v/>
      </c>
      <c r="P126" s="161" t="str">
        <f>IFERROR(INDEX('G-1 All Habitats'!$AG$49:$AG$63,MATCH(Q126,'G-1 All Habitats'!$AF$27:$AF$41,0)),"")</f>
        <v/>
      </c>
      <c r="Q126" s="162" t="str">
        <f t="shared" si="13"/>
        <v/>
      </c>
      <c r="R126" s="162"/>
      <c r="S126" s="252" t="str">
        <f>IFERROR(INDEX('G-1 All Habitats'!$B$3:$B$135,MATCH(R126,'G-1 All Habitats'!$A$3:$A$135,0)),"")</f>
        <v/>
      </c>
      <c r="T126" s="290" t="str">
        <f t="shared" si="14"/>
        <v/>
      </c>
      <c r="U126" s="291" t="str">
        <f t="shared" si="15"/>
        <v/>
      </c>
      <c r="V126" s="325" t="str">
        <f t="shared" si="11"/>
        <v/>
      </c>
      <c r="W126" s="310" t="str">
        <f>IF(S126="","",VLOOKUP(S126,'G-1 All Habitats'!$B$2:$M$135,10,FALSE))</f>
        <v/>
      </c>
      <c r="X126" s="310" t="str">
        <f>IFERROR(VLOOKUP(W126,'G-1 All Habitats'!$V$3:$W$7,2,FALSE),"")</f>
        <v/>
      </c>
      <c r="Y126" s="45"/>
      <c r="Z126" s="314" t="str">
        <f>IFERROR(INDEX('G-8 Condition Look up'!$A$3:$H$135,MATCH(S126,'G-8 Condition Look up'!$A$3:$A$135,0),MATCH(Y126,'G-8 Condition Look up'!$A$3:$H$3,0)),"")</f>
        <v/>
      </c>
      <c r="AA126" s="38"/>
      <c r="AB126" s="310" t="str">
        <f>IF(AA126="","",IF(VLOOKUP(AA126,'G-3 Multipliers'!$L$3:$N$6,2,FALSE)=0,"Spatial Data Missing ⚠",VLOOKUP(AA126,'G-3 Multipliers'!$L$3:$N$6,2,FALSE)))</f>
        <v/>
      </c>
      <c r="AC126" s="314" t="str">
        <f>IF(AA126="","",IF(VLOOKUP(AA126,'G-3 Multipliers'!$L$3:$N$6,3,FALSE)=0,"Spatial Data Missing ⚠",VLOOKUP(AA126,'G-3 Multipliers'!$L$3:$N$6,3,FALSE)))</f>
        <v/>
      </c>
      <c r="AD126" s="327" t="str">
        <f t="shared" si="12"/>
        <v/>
      </c>
      <c r="AE126" s="47"/>
      <c r="AF126" s="47"/>
      <c r="AG126" s="298" t="str">
        <f t="shared" si="16"/>
        <v/>
      </c>
      <c r="AH126" s="311" t="str">
        <f t="shared" si="17"/>
        <v/>
      </c>
      <c r="AI126" s="312" t="str">
        <f>IF(AH126="Check Data","Check Data",IFERROR(VLOOKUP(AH126,'G-4 Temporal multipliers'!$A$4:$C$36,3,FALSE),""))</f>
        <v/>
      </c>
      <c r="AJ126" s="290" t="str">
        <f>IF(S126="","",VLOOKUP(S126,'G-3 Multipliers'!$A$2:$E$134,4,FALSE))</f>
        <v/>
      </c>
      <c r="AK126" s="298" t="str">
        <f t="shared" si="18"/>
        <v/>
      </c>
      <c r="AL126" s="298" t="str">
        <f t="shared" si="19"/>
        <v/>
      </c>
      <c r="AM126" s="328" t="str">
        <f>IFERROR(IF(F126="","",IF(AH126="Check Data ⚠","Check Data ⚠",VLOOKUP(AL126, 'G-3 Multipliers'!$P$2:$Q$6,2,FALSE))),"")</f>
        <v/>
      </c>
      <c r="AN126" s="304" t="str">
        <f t="shared" si="20"/>
        <v/>
      </c>
      <c r="AO126" s="163"/>
      <c r="AP126" s="164"/>
      <c r="AQ126" s="101"/>
      <c r="AT126" s="20" t="str">
        <f t="shared" si="21"/>
        <v>No</v>
      </c>
      <c r="AU126" s="20" t="str">
        <f>IF(E126="","",IF(ISNA(VLOOKUP($E126,'A-1 On-Site Habitat Baseline'!$D$1:$AV$258,4,FALSE)),"",(VLOOKUP($E126,'A-1 On-Site Habitat Baseline'!$D$1:$AV$258,4,FALSE))))</f>
        <v/>
      </c>
    </row>
    <row r="127" spans="1:47" x14ac:dyDescent="0.3">
      <c r="A127" s="20" t="str">
        <f>IF(E127="","",IF(ISNA(VLOOKUP($E127,'A-1 On-Site Habitat Baseline'!$D$1:$O$258,2,FALSE)),"",(VLOOKUP($E127,'A-1 On-Site Habitat Baseline'!$D$1:$O$258,2,FALSE))))</f>
        <v/>
      </c>
      <c r="B127" s="20" t="str">
        <f>IF(E127="","",IF(ISNA(VLOOKUP($E127,'A-1 On-Site Habitat Baseline'!$D$1:$O$258,3,FALSE)),"",(VLOOKUP($E127,'A-1 On-Site Habitat Baseline'!$D$1:$O$258,3,FALSE))))</f>
        <v/>
      </c>
      <c r="C127" s="20" t="str">
        <f>IFERROR(INDEX('G-8 Condition Look up'!$I$4:$I$135,MATCH(S127,'G-8 Condition Look up'!$A$4:$A$135,0)),"")</f>
        <v/>
      </c>
      <c r="E127" s="319" t="str">
        <f>'A-1 On-Site Habitat Baseline'!AL126</f>
        <v/>
      </c>
      <c r="F127" s="310" t="str">
        <f>IF(E127="","",IF(ISNA(VLOOKUP($E127,'A-1 On-Site Habitat Baseline'!$D$1:$AV$258,45,FALSE)),"",(VLOOKUP($E127,'A-1 On-Site Habitat Baseline'!$D$1:$AV$258,45,FALSE))))</f>
        <v/>
      </c>
      <c r="G127" s="310" t="str">
        <f>IF(E127="","",IF(ISNA(VLOOKUP($E127,'A-1 On-Site Habitat Baseline'!$D$1:$O$258,5,FALSE)),"",(VLOOKUP($E127,'A-1 On-Site Habitat Baseline'!$D$1:$O$258,5,FALSE))))</f>
        <v/>
      </c>
      <c r="H127" s="310" t="str">
        <f>IF(E127="","",IF(ISNA(VLOOKUP($E127,'A-1 On-Site Habitat Baseline'!$D$1:$O$258,6,FALSE)),"",(VLOOKUP($E127,'A-1 On-Site Habitat Baseline'!$D$1:$O$258,6,FALSE))))</f>
        <v/>
      </c>
      <c r="I127" s="310" t="str">
        <f>IF(E127="","",IF(ISNA(VLOOKUP($E127,'A-1 On-Site Habitat Baseline'!$D$1:$O$258,7,FALSE)),"",(VLOOKUP($E127,'A-1 On-Site Habitat Baseline'!$D$1:$O$258,7,FALSE))))</f>
        <v/>
      </c>
      <c r="J127" s="310" t="str">
        <f>IF(E127="","",IF(ISNA(VLOOKUP($E127,'A-1 On-Site Habitat Baseline'!$D$1:$O$258,8,FALSE)),"",(VLOOKUP($E127,'A-1 On-Site Habitat Baseline'!$D$1:$O$258,8,FALSE))))</f>
        <v/>
      </c>
      <c r="K127" s="310" t="str">
        <f>IF(E127="","",IF(ISNA(VLOOKUP($E127,'A-1 On-Site Habitat Baseline'!$D$1:$O$258,9,FALSE)),"",(VLOOKUP($E127,'A-1 On-Site Habitat Baseline'!$D$1:$O$258,9,FALSE))))</f>
        <v/>
      </c>
      <c r="L127" s="310" t="str">
        <f>IF(E127="","",IF(ISNA(VLOOKUP($E127,'A-1 On-Site Habitat Baseline'!$D$1:$O$258,11,FALSE)),"",(VLOOKUP($E127,'A-1 On-Site Habitat Baseline'!$D$1:$O$258,11,FALSE))))</f>
        <v/>
      </c>
      <c r="M127" s="310" t="str">
        <f>IF(E127="","",IF(ISNA(VLOOKUP($E127,'A-1 On-Site Habitat Baseline'!$D$1:$O$258,12,FALSE)),"",(VLOOKUP($E127,'A-1 On-Site Habitat Baseline'!$D$1:$O$258,12,FALSE))))</f>
        <v/>
      </c>
      <c r="N127" s="320" t="str">
        <f>IF(E127="","",IF(ISNA(VLOOKUP($E127,'A-1 On-Site Habitat Baseline'!$D$1:$X$258,14,FALSE)),"",(VLOOKUP($E127,'A-1 On-Site Habitat Baseline'!$D$1:$X$258,14,FALSE))))</f>
        <v/>
      </c>
      <c r="O127" s="314" t="str">
        <f>IF(E127="","",IF(ISNA(VLOOKUP($E127,'A-1 On-Site Habitat Baseline'!$D$1:$X$258,16,FALSE)),"",(VLOOKUP($E127,'A-1 On-Site Habitat Baseline'!$D$1:$X$258,13,FALSE))))</f>
        <v/>
      </c>
      <c r="P127" s="161" t="str">
        <f>IFERROR(INDEX('G-1 All Habitats'!$AG$49:$AG$63,MATCH(Q127,'G-1 All Habitats'!$AF$27:$AF$41,0)),"")</f>
        <v/>
      </c>
      <c r="Q127" s="162" t="str">
        <f t="shared" si="13"/>
        <v/>
      </c>
      <c r="R127" s="162"/>
      <c r="S127" s="252" t="str">
        <f>IFERROR(INDEX('G-1 All Habitats'!$B$3:$B$135,MATCH(R127,'G-1 All Habitats'!$A$3:$A$135,0)),"")</f>
        <v/>
      </c>
      <c r="T127" s="290" t="str">
        <f t="shared" si="14"/>
        <v/>
      </c>
      <c r="U127" s="291" t="str">
        <f t="shared" si="15"/>
        <v/>
      </c>
      <c r="V127" s="325" t="str">
        <f t="shared" si="11"/>
        <v/>
      </c>
      <c r="W127" s="310" t="str">
        <f>IF(S127="","",VLOOKUP(S127,'G-1 All Habitats'!$B$2:$M$135,10,FALSE))</f>
        <v/>
      </c>
      <c r="X127" s="310" t="str">
        <f>IFERROR(VLOOKUP(W127,'G-1 All Habitats'!$V$3:$W$7,2,FALSE),"")</f>
        <v/>
      </c>
      <c r="Y127" s="45"/>
      <c r="Z127" s="314" t="str">
        <f>IFERROR(INDEX('G-8 Condition Look up'!$A$3:$H$135,MATCH(S127,'G-8 Condition Look up'!$A$3:$A$135,0),MATCH(Y127,'G-8 Condition Look up'!$A$3:$H$3,0)),"")</f>
        <v/>
      </c>
      <c r="AA127" s="38"/>
      <c r="AB127" s="310" t="str">
        <f>IF(AA127="","",IF(VLOOKUP(AA127,'G-3 Multipliers'!$L$3:$N$6,2,FALSE)=0,"Spatial Data Missing ⚠",VLOOKUP(AA127,'G-3 Multipliers'!$L$3:$N$6,2,FALSE)))</f>
        <v/>
      </c>
      <c r="AC127" s="314" t="str">
        <f>IF(AA127="","",IF(VLOOKUP(AA127,'G-3 Multipliers'!$L$3:$N$6,3,FALSE)=0,"Spatial Data Missing ⚠",VLOOKUP(AA127,'G-3 Multipliers'!$L$3:$N$6,3,FALSE)))</f>
        <v/>
      </c>
      <c r="AD127" s="327" t="str">
        <f t="shared" si="12"/>
        <v/>
      </c>
      <c r="AE127" s="47"/>
      <c r="AF127" s="47"/>
      <c r="AG127" s="298" t="str">
        <f t="shared" si="16"/>
        <v/>
      </c>
      <c r="AH127" s="311" t="str">
        <f t="shared" si="17"/>
        <v/>
      </c>
      <c r="AI127" s="312" t="str">
        <f>IF(AH127="Check Data","Check Data",IFERROR(VLOOKUP(AH127,'G-4 Temporal multipliers'!$A$4:$C$36,3,FALSE),""))</f>
        <v/>
      </c>
      <c r="AJ127" s="290" t="str">
        <f>IF(S127="","",VLOOKUP(S127,'G-3 Multipliers'!$A$2:$E$134,4,FALSE))</f>
        <v/>
      </c>
      <c r="AK127" s="298" t="str">
        <f t="shared" si="18"/>
        <v/>
      </c>
      <c r="AL127" s="298" t="str">
        <f t="shared" si="19"/>
        <v/>
      </c>
      <c r="AM127" s="328" t="str">
        <f>IFERROR(IF(F127="","",IF(AH127="Check Data ⚠","Check Data ⚠",VLOOKUP(AL127, 'G-3 Multipliers'!$P$2:$Q$6,2,FALSE))),"")</f>
        <v/>
      </c>
      <c r="AN127" s="304" t="str">
        <f t="shared" si="20"/>
        <v/>
      </c>
      <c r="AO127" s="163"/>
      <c r="AP127" s="164"/>
      <c r="AQ127" s="101"/>
      <c r="AT127" s="20" t="str">
        <f t="shared" si="21"/>
        <v>No</v>
      </c>
      <c r="AU127" s="20" t="str">
        <f>IF(E127="","",IF(ISNA(VLOOKUP($E127,'A-1 On-Site Habitat Baseline'!$D$1:$AV$258,4,FALSE)),"",(VLOOKUP($E127,'A-1 On-Site Habitat Baseline'!$D$1:$AV$258,4,FALSE))))</f>
        <v/>
      </c>
    </row>
    <row r="128" spans="1:47" x14ac:dyDescent="0.3">
      <c r="A128" s="20" t="str">
        <f>IF(E128="","",IF(ISNA(VLOOKUP($E128,'A-1 On-Site Habitat Baseline'!$D$1:$O$258,2,FALSE)),"",(VLOOKUP($E128,'A-1 On-Site Habitat Baseline'!$D$1:$O$258,2,FALSE))))</f>
        <v/>
      </c>
      <c r="B128" s="20" t="str">
        <f>IF(E128="","",IF(ISNA(VLOOKUP($E128,'A-1 On-Site Habitat Baseline'!$D$1:$O$258,3,FALSE)),"",(VLOOKUP($E128,'A-1 On-Site Habitat Baseline'!$D$1:$O$258,3,FALSE))))</f>
        <v/>
      </c>
      <c r="C128" s="20" t="str">
        <f>IFERROR(INDEX('G-8 Condition Look up'!$I$4:$I$135,MATCH(S128,'G-8 Condition Look up'!$A$4:$A$135,0)),"")</f>
        <v/>
      </c>
      <c r="E128" s="319" t="str">
        <f>'A-1 On-Site Habitat Baseline'!AL127</f>
        <v/>
      </c>
      <c r="F128" s="310" t="str">
        <f>IF(E128="","",IF(ISNA(VLOOKUP($E128,'A-1 On-Site Habitat Baseline'!$D$1:$AV$258,45,FALSE)),"",(VLOOKUP($E128,'A-1 On-Site Habitat Baseline'!$D$1:$AV$258,45,FALSE))))</f>
        <v/>
      </c>
      <c r="G128" s="310" t="str">
        <f>IF(E128="","",IF(ISNA(VLOOKUP($E128,'A-1 On-Site Habitat Baseline'!$D$1:$O$258,5,FALSE)),"",(VLOOKUP($E128,'A-1 On-Site Habitat Baseline'!$D$1:$O$258,5,FALSE))))</f>
        <v/>
      </c>
      <c r="H128" s="310" t="str">
        <f>IF(E128="","",IF(ISNA(VLOOKUP($E128,'A-1 On-Site Habitat Baseline'!$D$1:$O$258,6,FALSE)),"",(VLOOKUP($E128,'A-1 On-Site Habitat Baseline'!$D$1:$O$258,6,FALSE))))</f>
        <v/>
      </c>
      <c r="I128" s="310" t="str">
        <f>IF(E128="","",IF(ISNA(VLOOKUP($E128,'A-1 On-Site Habitat Baseline'!$D$1:$O$258,7,FALSE)),"",(VLOOKUP($E128,'A-1 On-Site Habitat Baseline'!$D$1:$O$258,7,FALSE))))</f>
        <v/>
      </c>
      <c r="J128" s="310" t="str">
        <f>IF(E128="","",IF(ISNA(VLOOKUP($E128,'A-1 On-Site Habitat Baseline'!$D$1:$O$258,8,FALSE)),"",(VLOOKUP($E128,'A-1 On-Site Habitat Baseline'!$D$1:$O$258,8,FALSE))))</f>
        <v/>
      </c>
      <c r="K128" s="310" t="str">
        <f>IF(E128="","",IF(ISNA(VLOOKUP($E128,'A-1 On-Site Habitat Baseline'!$D$1:$O$258,9,FALSE)),"",(VLOOKUP($E128,'A-1 On-Site Habitat Baseline'!$D$1:$O$258,9,FALSE))))</f>
        <v/>
      </c>
      <c r="L128" s="310" t="str">
        <f>IF(E128="","",IF(ISNA(VLOOKUP($E128,'A-1 On-Site Habitat Baseline'!$D$1:$O$258,11,FALSE)),"",(VLOOKUP($E128,'A-1 On-Site Habitat Baseline'!$D$1:$O$258,11,FALSE))))</f>
        <v/>
      </c>
      <c r="M128" s="310" t="str">
        <f>IF(E128="","",IF(ISNA(VLOOKUP($E128,'A-1 On-Site Habitat Baseline'!$D$1:$O$258,12,FALSE)),"",(VLOOKUP($E128,'A-1 On-Site Habitat Baseline'!$D$1:$O$258,12,FALSE))))</f>
        <v/>
      </c>
      <c r="N128" s="320" t="str">
        <f>IF(E128="","",IF(ISNA(VLOOKUP($E128,'A-1 On-Site Habitat Baseline'!$D$1:$X$258,14,FALSE)),"",(VLOOKUP($E128,'A-1 On-Site Habitat Baseline'!$D$1:$X$258,14,FALSE))))</f>
        <v/>
      </c>
      <c r="O128" s="314" t="str">
        <f>IF(E128="","",IF(ISNA(VLOOKUP($E128,'A-1 On-Site Habitat Baseline'!$D$1:$X$258,16,FALSE)),"",(VLOOKUP($E128,'A-1 On-Site Habitat Baseline'!$D$1:$X$258,13,FALSE))))</f>
        <v/>
      </c>
      <c r="P128" s="161" t="str">
        <f>IFERROR(INDEX('G-1 All Habitats'!$AG$49:$AG$63,MATCH(Q128,'G-1 All Habitats'!$AF$27:$AF$41,0)),"")</f>
        <v/>
      </c>
      <c r="Q128" s="162" t="str">
        <f t="shared" si="13"/>
        <v/>
      </c>
      <c r="R128" s="162"/>
      <c r="S128" s="252" t="str">
        <f>IFERROR(INDEX('G-1 All Habitats'!$B$3:$B$135,MATCH(R128,'G-1 All Habitats'!$A$3:$A$135,0)),"")</f>
        <v/>
      </c>
      <c r="T128" s="290" t="str">
        <f t="shared" si="14"/>
        <v/>
      </c>
      <c r="U128" s="291" t="str">
        <f t="shared" si="15"/>
        <v/>
      </c>
      <c r="V128" s="325" t="str">
        <f t="shared" si="11"/>
        <v/>
      </c>
      <c r="W128" s="310" t="str">
        <f>IF(S128="","",VLOOKUP(S128,'G-1 All Habitats'!$B$2:$M$135,10,FALSE))</f>
        <v/>
      </c>
      <c r="X128" s="310" t="str">
        <f>IFERROR(VLOOKUP(W128,'G-1 All Habitats'!$V$3:$W$7,2,FALSE),"")</f>
        <v/>
      </c>
      <c r="Y128" s="45"/>
      <c r="Z128" s="314" t="str">
        <f>IFERROR(INDEX('G-8 Condition Look up'!$A$3:$H$135,MATCH(S128,'G-8 Condition Look up'!$A$3:$A$135,0),MATCH(Y128,'G-8 Condition Look up'!$A$3:$H$3,0)),"")</f>
        <v/>
      </c>
      <c r="AA128" s="38"/>
      <c r="AB128" s="310" t="str">
        <f>IF(AA128="","",IF(VLOOKUP(AA128,'G-3 Multipliers'!$L$3:$N$6,2,FALSE)=0,"Spatial Data Missing ⚠",VLOOKUP(AA128,'G-3 Multipliers'!$L$3:$N$6,2,FALSE)))</f>
        <v/>
      </c>
      <c r="AC128" s="314" t="str">
        <f>IF(AA128="","",IF(VLOOKUP(AA128,'G-3 Multipliers'!$L$3:$N$6,3,FALSE)=0,"Spatial Data Missing ⚠",VLOOKUP(AA128,'G-3 Multipliers'!$L$3:$N$6,3,FALSE)))</f>
        <v/>
      </c>
      <c r="AD128" s="327" t="str">
        <f t="shared" si="12"/>
        <v/>
      </c>
      <c r="AE128" s="47"/>
      <c r="AF128" s="47"/>
      <c r="AG128" s="298" t="str">
        <f t="shared" si="16"/>
        <v/>
      </c>
      <c r="AH128" s="311" t="str">
        <f t="shared" si="17"/>
        <v/>
      </c>
      <c r="AI128" s="312" t="str">
        <f>IF(AH128="Check Data","Check Data",IFERROR(VLOOKUP(AH128,'G-4 Temporal multipliers'!$A$4:$C$36,3,FALSE),""))</f>
        <v/>
      </c>
      <c r="AJ128" s="290" t="str">
        <f>IF(S128="","",VLOOKUP(S128,'G-3 Multipliers'!$A$2:$E$134,4,FALSE))</f>
        <v/>
      </c>
      <c r="AK128" s="298" t="str">
        <f t="shared" si="18"/>
        <v/>
      </c>
      <c r="AL128" s="298" t="str">
        <f t="shared" si="19"/>
        <v/>
      </c>
      <c r="AM128" s="328" t="str">
        <f>IFERROR(IF(F128="","",IF(AH128="Check Data ⚠","Check Data ⚠",VLOOKUP(AL128, 'G-3 Multipliers'!$P$2:$Q$6,2,FALSE))),"")</f>
        <v/>
      </c>
      <c r="AN128" s="304" t="str">
        <f t="shared" si="20"/>
        <v/>
      </c>
      <c r="AO128" s="163"/>
      <c r="AP128" s="164"/>
      <c r="AQ128" s="101"/>
      <c r="AT128" s="20" t="str">
        <f t="shared" si="21"/>
        <v>No</v>
      </c>
      <c r="AU128" s="20" t="str">
        <f>IF(E128="","",IF(ISNA(VLOOKUP($E128,'A-1 On-Site Habitat Baseline'!$D$1:$AV$258,4,FALSE)),"",(VLOOKUP($E128,'A-1 On-Site Habitat Baseline'!$D$1:$AV$258,4,FALSE))))</f>
        <v/>
      </c>
    </row>
    <row r="129" spans="1:47" x14ac:dyDescent="0.3">
      <c r="A129" s="20" t="str">
        <f>IF(E129="","",IF(ISNA(VLOOKUP($E129,'A-1 On-Site Habitat Baseline'!$D$1:$O$258,2,FALSE)),"",(VLOOKUP($E129,'A-1 On-Site Habitat Baseline'!$D$1:$O$258,2,FALSE))))</f>
        <v/>
      </c>
      <c r="B129" s="20" t="str">
        <f>IF(E129="","",IF(ISNA(VLOOKUP($E129,'A-1 On-Site Habitat Baseline'!$D$1:$O$258,3,FALSE)),"",(VLOOKUP($E129,'A-1 On-Site Habitat Baseline'!$D$1:$O$258,3,FALSE))))</f>
        <v/>
      </c>
      <c r="C129" s="20" t="str">
        <f>IFERROR(INDEX('G-8 Condition Look up'!$I$4:$I$135,MATCH(S129,'G-8 Condition Look up'!$A$4:$A$135,0)),"")</f>
        <v/>
      </c>
      <c r="E129" s="319" t="str">
        <f>'A-1 On-Site Habitat Baseline'!AL128</f>
        <v/>
      </c>
      <c r="F129" s="310" t="str">
        <f>IF(E129="","",IF(ISNA(VLOOKUP($E129,'A-1 On-Site Habitat Baseline'!$D$1:$AV$258,45,FALSE)),"",(VLOOKUP($E129,'A-1 On-Site Habitat Baseline'!$D$1:$AV$258,45,FALSE))))</f>
        <v/>
      </c>
      <c r="G129" s="310" t="str">
        <f>IF(E129="","",IF(ISNA(VLOOKUP($E129,'A-1 On-Site Habitat Baseline'!$D$1:$O$258,5,FALSE)),"",(VLOOKUP($E129,'A-1 On-Site Habitat Baseline'!$D$1:$O$258,5,FALSE))))</f>
        <v/>
      </c>
      <c r="H129" s="310" t="str">
        <f>IF(E129="","",IF(ISNA(VLOOKUP($E129,'A-1 On-Site Habitat Baseline'!$D$1:$O$258,6,FALSE)),"",(VLOOKUP($E129,'A-1 On-Site Habitat Baseline'!$D$1:$O$258,6,FALSE))))</f>
        <v/>
      </c>
      <c r="I129" s="310" t="str">
        <f>IF(E129="","",IF(ISNA(VLOOKUP($E129,'A-1 On-Site Habitat Baseline'!$D$1:$O$258,7,FALSE)),"",(VLOOKUP($E129,'A-1 On-Site Habitat Baseline'!$D$1:$O$258,7,FALSE))))</f>
        <v/>
      </c>
      <c r="J129" s="310" t="str">
        <f>IF(E129="","",IF(ISNA(VLOOKUP($E129,'A-1 On-Site Habitat Baseline'!$D$1:$O$258,8,FALSE)),"",(VLOOKUP($E129,'A-1 On-Site Habitat Baseline'!$D$1:$O$258,8,FALSE))))</f>
        <v/>
      </c>
      <c r="K129" s="310" t="str">
        <f>IF(E129="","",IF(ISNA(VLOOKUP($E129,'A-1 On-Site Habitat Baseline'!$D$1:$O$258,9,FALSE)),"",(VLOOKUP($E129,'A-1 On-Site Habitat Baseline'!$D$1:$O$258,9,FALSE))))</f>
        <v/>
      </c>
      <c r="L129" s="310" t="str">
        <f>IF(E129="","",IF(ISNA(VLOOKUP($E129,'A-1 On-Site Habitat Baseline'!$D$1:$O$258,11,FALSE)),"",(VLOOKUP($E129,'A-1 On-Site Habitat Baseline'!$D$1:$O$258,11,FALSE))))</f>
        <v/>
      </c>
      <c r="M129" s="310" t="str">
        <f>IF(E129="","",IF(ISNA(VLOOKUP($E129,'A-1 On-Site Habitat Baseline'!$D$1:$O$258,12,FALSE)),"",(VLOOKUP($E129,'A-1 On-Site Habitat Baseline'!$D$1:$O$258,12,FALSE))))</f>
        <v/>
      </c>
      <c r="N129" s="320" t="str">
        <f>IF(E129="","",IF(ISNA(VLOOKUP($E129,'A-1 On-Site Habitat Baseline'!$D$1:$X$258,14,FALSE)),"",(VLOOKUP($E129,'A-1 On-Site Habitat Baseline'!$D$1:$X$258,14,FALSE))))</f>
        <v/>
      </c>
      <c r="O129" s="314" t="str">
        <f>IF(E129="","",IF(ISNA(VLOOKUP($E129,'A-1 On-Site Habitat Baseline'!$D$1:$X$258,16,FALSE)),"",(VLOOKUP($E129,'A-1 On-Site Habitat Baseline'!$D$1:$X$258,13,FALSE))))</f>
        <v/>
      </c>
      <c r="P129" s="161" t="str">
        <f>IFERROR(INDEX('G-1 All Habitats'!$AG$49:$AG$63,MATCH(Q129,'G-1 All Habitats'!$AF$27:$AF$41,0)),"")</f>
        <v/>
      </c>
      <c r="Q129" s="162" t="str">
        <f t="shared" si="13"/>
        <v/>
      </c>
      <c r="R129" s="162"/>
      <c r="S129" s="252" t="str">
        <f>IFERROR(INDEX('G-1 All Habitats'!$B$3:$B$135,MATCH(R129,'G-1 All Habitats'!$A$3:$A$135,0)),"")</f>
        <v/>
      </c>
      <c r="T129" s="290" t="str">
        <f t="shared" si="14"/>
        <v/>
      </c>
      <c r="U129" s="291" t="str">
        <f t="shared" si="15"/>
        <v/>
      </c>
      <c r="V129" s="325" t="str">
        <f t="shared" si="11"/>
        <v/>
      </c>
      <c r="W129" s="310" t="str">
        <f>IF(S129="","",VLOOKUP(S129,'G-1 All Habitats'!$B$2:$M$135,10,FALSE))</f>
        <v/>
      </c>
      <c r="X129" s="310" t="str">
        <f>IFERROR(VLOOKUP(W129,'G-1 All Habitats'!$V$3:$W$7,2,FALSE),"")</f>
        <v/>
      </c>
      <c r="Y129" s="45"/>
      <c r="Z129" s="314" t="str">
        <f>IFERROR(INDEX('G-8 Condition Look up'!$A$3:$H$135,MATCH(S129,'G-8 Condition Look up'!$A$3:$A$135,0),MATCH(Y129,'G-8 Condition Look up'!$A$3:$H$3,0)),"")</f>
        <v/>
      </c>
      <c r="AA129" s="38"/>
      <c r="AB129" s="310" t="str">
        <f>IF(AA129="","",IF(VLOOKUP(AA129,'G-3 Multipliers'!$L$3:$N$6,2,FALSE)=0,"Spatial Data Missing ⚠",VLOOKUP(AA129,'G-3 Multipliers'!$L$3:$N$6,2,FALSE)))</f>
        <v/>
      </c>
      <c r="AC129" s="314" t="str">
        <f>IF(AA129="","",IF(VLOOKUP(AA129,'G-3 Multipliers'!$L$3:$N$6,3,FALSE)=0,"Spatial Data Missing ⚠",VLOOKUP(AA129,'G-3 Multipliers'!$L$3:$N$6,3,FALSE)))</f>
        <v/>
      </c>
      <c r="AD129" s="327" t="str">
        <f t="shared" si="12"/>
        <v/>
      </c>
      <c r="AE129" s="47"/>
      <c r="AF129" s="47"/>
      <c r="AG129" s="298" t="str">
        <f t="shared" si="16"/>
        <v/>
      </c>
      <c r="AH129" s="311" t="str">
        <f t="shared" si="17"/>
        <v/>
      </c>
      <c r="AI129" s="312" t="str">
        <f>IF(AH129="Check Data","Check Data",IFERROR(VLOOKUP(AH129,'G-4 Temporal multipliers'!$A$4:$C$36,3,FALSE),""))</f>
        <v/>
      </c>
      <c r="AJ129" s="290" t="str">
        <f>IF(S129="","",VLOOKUP(S129,'G-3 Multipliers'!$A$2:$E$134,4,FALSE))</f>
        <v/>
      </c>
      <c r="AK129" s="298" t="str">
        <f t="shared" si="18"/>
        <v/>
      </c>
      <c r="AL129" s="298" t="str">
        <f t="shared" si="19"/>
        <v/>
      </c>
      <c r="AM129" s="328" t="str">
        <f>IFERROR(IF(F129="","",IF(AH129="Check Data ⚠","Check Data ⚠",VLOOKUP(AL129, 'G-3 Multipliers'!$P$2:$Q$6,2,FALSE))),"")</f>
        <v/>
      </c>
      <c r="AN129" s="304" t="str">
        <f t="shared" si="20"/>
        <v/>
      </c>
      <c r="AO129" s="163"/>
      <c r="AP129" s="164"/>
      <c r="AQ129" s="101"/>
      <c r="AT129" s="20" t="str">
        <f t="shared" si="21"/>
        <v>No</v>
      </c>
      <c r="AU129" s="20" t="str">
        <f>IF(E129="","",IF(ISNA(VLOOKUP($E129,'A-1 On-Site Habitat Baseline'!$D$1:$AV$258,4,FALSE)),"",(VLOOKUP($E129,'A-1 On-Site Habitat Baseline'!$D$1:$AV$258,4,FALSE))))</f>
        <v/>
      </c>
    </row>
    <row r="130" spans="1:47" x14ac:dyDescent="0.3">
      <c r="A130" s="20" t="str">
        <f>IF(E130="","",IF(ISNA(VLOOKUP($E130,'A-1 On-Site Habitat Baseline'!$D$1:$O$258,2,FALSE)),"",(VLOOKUP($E130,'A-1 On-Site Habitat Baseline'!$D$1:$O$258,2,FALSE))))</f>
        <v/>
      </c>
      <c r="B130" s="20" t="str">
        <f>IF(E130="","",IF(ISNA(VLOOKUP($E130,'A-1 On-Site Habitat Baseline'!$D$1:$O$258,3,FALSE)),"",(VLOOKUP($E130,'A-1 On-Site Habitat Baseline'!$D$1:$O$258,3,FALSE))))</f>
        <v/>
      </c>
      <c r="C130" s="20" t="str">
        <f>IFERROR(INDEX('G-8 Condition Look up'!$I$4:$I$135,MATCH(S130,'G-8 Condition Look up'!$A$4:$A$135,0)),"")</f>
        <v/>
      </c>
      <c r="E130" s="319" t="str">
        <f>'A-1 On-Site Habitat Baseline'!AL129</f>
        <v/>
      </c>
      <c r="F130" s="310" t="str">
        <f>IF(E130="","",IF(ISNA(VLOOKUP($E130,'A-1 On-Site Habitat Baseline'!$D$1:$AV$258,45,FALSE)),"",(VLOOKUP($E130,'A-1 On-Site Habitat Baseline'!$D$1:$AV$258,45,FALSE))))</f>
        <v/>
      </c>
      <c r="G130" s="310" t="str">
        <f>IF(E130="","",IF(ISNA(VLOOKUP($E130,'A-1 On-Site Habitat Baseline'!$D$1:$O$258,5,FALSE)),"",(VLOOKUP($E130,'A-1 On-Site Habitat Baseline'!$D$1:$O$258,5,FALSE))))</f>
        <v/>
      </c>
      <c r="H130" s="310" t="str">
        <f>IF(E130="","",IF(ISNA(VLOOKUP($E130,'A-1 On-Site Habitat Baseline'!$D$1:$O$258,6,FALSE)),"",(VLOOKUP($E130,'A-1 On-Site Habitat Baseline'!$D$1:$O$258,6,FALSE))))</f>
        <v/>
      </c>
      <c r="I130" s="310" t="str">
        <f>IF(E130="","",IF(ISNA(VLOOKUP($E130,'A-1 On-Site Habitat Baseline'!$D$1:$O$258,7,FALSE)),"",(VLOOKUP($E130,'A-1 On-Site Habitat Baseline'!$D$1:$O$258,7,FALSE))))</f>
        <v/>
      </c>
      <c r="J130" s="310" t="str">
        <f>IF(E130="","",IF(ISNA(VLOOKUP($E130,'A-1 On-Site Habitat Baseline'!$D$1:$O$258,8,FALSE)),"",(VLOOKUP($E130,'A-1 On-Site Habitat Baseline'!$D$1:$O$258,8,FALSE))))</f>
        <v/>
      </c>
      <c r="K130" s="310" t="str">
        <f>IF(E130="","",IF(ISNA(VLOOKUP($E130,'A-1 On-Site Habitat Baseline'!$D$1:$O$258,9,FALSE)),"",(VLOOKUP($E130,'A-1 On-Site Habitat Baseline'!$D$1:$O$258,9,FALSE))))</f>
        <v/>
      </c>
      <c r="L130" s="310" t="str">
        <f>IF(E130="","",IF(ISNA(VLOOKUP($E130,'A-1 On-Site Habitat Baseline'!$D$1:$O$258,11,FALSE)),"",(VLOOKUP($E130,'A-1 On-Site Habitat Baseline'!$D$1:$O$258,11,FALSE))))</f>
        <v/>
      </c>
      <c r="M130" s="310" t="str">
        <f>IF(E130="","",IF(ISNA(VLOOKUP($E130,'A-1 On-Site Habitat Baseline'!$D$1:$O$258,12,FALSE)),"",(VLOOKUP($E130,'A-1 On-Site Habitat Baseline'!$D$1:$O$258,12,FALSE))))</f>
        <v/>
      </c>
      <c r="N130" s="320" t="str">
        <f>IF(E130="","",IF(ISNA(VLOOKUP($E130,'A-1 On-Site Habitat Baseline'!$D$1:$X$258,14,FALSE)),"",(VLOOKUP($E130,'A-1 On-Site Habitat Baseline'!$D$1:$X$258,14,FALSE))))</f>
        <v/>
      </c>
      <c r="O130" s="314" t="str">
        <f>IF(E130="","",IF(ISNA(VLOOKUP($E130,'A-1 On-Site Habitat Baseline'!$D$1:$X$258,16,FALSE)),"",(VLOOKUP($E130,'A-1 On-Site Habitat Baseline'!$D$1:$X$258,13,FALSE))))</f>
        <v/>
      </c>
      <c r="P130" s="161" t="str">
        <f>IFERROR(INDEX('G-1 All Habitats'!$AG$49:$AG$63,MATCH(Q130,'G-1 All Habitats'!$AF$27:$AF$41,0)),"")</f>
        <v/>
      </c>
      <c r="Q130" s="162" t="str">
        <f t="shared" si="13"/>
        <v/>
      </c>
      <c r="R130" s="162"/>
      <c r="S130" s="252" t="str">
        <f>IFERROR(INDEX('G-1 All Habitats'!$B$3:$B$135,MATCH(R130,'G-1 All Habitats'!$A$3:$A$135,0)),"")</f>
        <v/>
      </c>
      <c r="T130" s="290" t="str">
        <f t="shared" si="14"/>
        <v/>
      </c>
      <c r="U130" s="291" t="str">
        <f t="shared" si="15"/>
        <v/>
      </c>
      <c r="V130" s="325" t="str">
        <f t="shared" si="11"/>
        <v/>
      </c>
      <c r="W130" s="310" t="str">
        <f>IF(S130="","",VLOOKUP(S130,'G-1 All Habitats'!$B$2:$M$135,10,FALSE))</f>
        <v/>
      </c>
      <c r="X130" s="310" t="str">
        <f>IFERROR(VLOOKUP(W130,'G-1 All Habitats'!$V$3:$W$7,2,FALSE),"")</f>
        <v/>
      </c>
      <c r="Y130" s="45"/>
      <c r="Z130" s="314" t="str">
        <f>IFERROR(INDEX('G-8 Condition Look up'!$A$3:$H$135,MATCH(S130,'G-8 Condition Look up'!$A$3:$A$135,0),MATCH(Y130,'G-8 Condition Look up'!$A$3:$H$3,0)),"")</f>
        <v/>
      </c>
      <c r="AA130" s="38"/>
      <c r="AB130" s="310" t="str">
        <f>IF(AA130="","",IF(VLOOKUP(AA130,'G-3 Multipliers'!$L$3:$N$6,2,FALSE)=0,"Spatial Data Missing ⚠",VLOOKUP(AA130,'G-3 Multipliers'!$L$3:$N$6,2,FALSE)))</f>
        <v/>
      </c>
      <c r="AC130" s="314" t="str">
        <f>IF(AA130="","",IF(VLOOKUP(AA130,'G-3 Multipliers'!$L$3:$N$6,3,FALSE)=0,"Spatial Data Missing ⚠",VLOOKUP(AA130,'G-3 Multipliers'!$L$3:$N$6,3,FALSE)))</f>
        <v/>
      </c>
      <c r="AD130" s="327" t="str">
        <f t="shared" si="12"/>
        <v/>
      </c>
      <c r="AE130" s="47"/>
      <c r="AF130" s="47"/>
      <c r="AG130" s="298" t="str">
        <f t="shared" si="16"/>
        <v/>
      </c>
      <c r="AH130" s="311" t="str">
        <f t="shared" si="17"/>
        <v/>
      </c>
      <c r="AI130" s="312" t="str">
        <f>IF(AH130="Check Data","Check Data",IFERROR(VLOOKUP(AH130,'G-4 Temporal multipliers'!$A$4:$C$36,3,FALSE),""))</f>
        <v/>
      </c>
      <c r="AJ130" s="290" t="str">
        <f>IF(S130="","",VLOOKUP(S130,'G-3 Multipliers'!$A$2:$E$134,4,FALSE))</f>
        <v/>
      </c>
      <c r="AK130" s="298" t="str">
        <f t="shared" si="18"/>
        <v/>
      </c>
      <c r="AL130" s="298" t="str">
        <f t="shared" si="19"/>
        <v/>
      </c>
      <c r="AM130" s="328" t="str">
        <f>IFERROR(IF(F130="","",IF(AH130="Check Data ⚠","Check Data ⚠",VLOOKUP(AL130, 'G-3 Multipliers'!$P$2:$Q$6,2,FALSE))),"")</f>
        <v/>
      </c>
      <c r="AN130" s="304" t="str">
        <f t="shared" si="20"/>
        <v/>
      </c>
      <c r="AO130" s="163"/>
      <c r="AP130" s="164"/>
      <c r="AQ130" s="101"/>
      <c r="AT130" s="20" t="str">
        <f t="shared" si="21"/>
        <v>No</v>
      </c>
      <c r="AU130" s="20" t="str">
        <f>IF(E130="","",IF(ISNA(VLOOKUP($E130,'A-1 On-Site Habitat Baseline'!$D$1:$AV$258,4,FALSE)),"",(VLOOKUP($E130,'A-1 On-Site Habitat Baseline'!$D$1:$AV$258,4,FALSE))))</f>
        <v/>
      </c>
    </row>
    <row r="131" spans="1:47" x14ac:dyDescent="0.3">
      <c r="A131" s="20" t="str">
        <f>IF(E131="","",IF(ISNA(VLOOKUP($E131,'A-1 On-Site Habitat Baseline'!$D$1:$O$258,2,FALSE)),"",(VLOOKUP($E131,'A-1 On-Site Habitat Baseline'!$D$1:$O$258,2,FALSE))))</f>
        <v/>
      </c>
      <c r="B131" s="20" t="str">
        <f>IF(E131="","",IF(ISNA(VLOOKUP($E131,'A-1 On-Site Habitat Baseline'!$D$1:$O$258,3,FALSE)),"",(VLOOKUP($E131,'A-1 On-Site Habitat Baseline'!$D$1:$O$258,3,FALSE))))</f>
        <v/>
      </c>
      <c r="C131" s="20" t="str">
        <f>IFERROR(INDEX('G-8 Condition Look up'!$I$4:$I$135,MATCH(S131,'G-8 Condition Look up'!$A$4:$A$135,0)),"")</f>
        <v/>
      </c>
      <c r="E131" s="319" t="str">
        <f>'A-1 On-Site Habitat Baseline'!AL130</f>
        <v/>
      </c>
      <c r="F131" s="310" t="str">
        <f>IF(E131="","",IF(ISNA(VLOOKUP($E131,'A-1 On-Site Habitat Baseline'!$D$1:$AV$258,45,FALSE)),"",(VLOOKUP($E131,'A-1 On-Site Habitat Baseline'!$D$1:$AV$258,45,FALSE))))</f>
        <v/>
      </c>
      <c r="G131" s="310" t="str">
        <f>IF(E131="","",IF(ISNA(VLOOKUP($E131,'A-1 On-Site Habitat Baseline'!$D$1:$O$258,5,FALSE)),"",(VLOOKUP($E131,'A-1 On-Site Habitat Baseline'!$D$1:$O$258,5,FALSE))))</f>
        <v/>
      </c>
      <c r="H131" s="310" t="str">
        <f>IF(E131="","",IF(ISNA(VLOOKUP($E131,'A-1 On-Site Habitat Baseline'!$D$1:$O$258,6,FALSE)),"",(VLOOKUP($E131,'A-1 On-Site Habitat Baseline'!$D$1:$O$258,6,FALSE))))</f>
        <v/>
      </c>
      <c r="I131" s="310" t="str">
        <f>IF(E131="","",IF(ISNA(VLOOKUP($E131,'A-1 On-Site Habitat Baseline'!$D$1:$O$258,7,FALSE)),"",(VLOOKUP($E131,'A-1 On-Site Habitat Baseline'!$D$1:$O$258,7,FALSE))))</f>
        <v/>
      </c>
      <c r="J131" s="310" t="str">
        <f>IF(E131="","",IF(ISNA(VLOOKUP($E131,'A-1 On-Site Habitat Baseline'!$D$1:$O$258,8,FALSE)),"",(VLOOKUP($E131,'A-1 On-Site Habitat Baseline'!$D$1:$O$258,8,FALSE))))</f>
        <v/>
      </c>
      <c r="K131" s="310" t="str">
        <f>IF(E131="","",IF(ISNA(VLOOKUP($E131,'A-1 On-Site Habitat Baseline'!$D$1:$O$258,9,FALSE)),"",(VLOOKUP($E131,'A-1 On-Site Habitat Baseline'!$D$1:$O$258,9,FALSE))))</f>
        <v/>
      </c>
      <c r="L131" s="310" t="str">
        <f>IF(E131="","",IF(ISNA(VLOOKUP($E131,'A-1 On-Site Habitat Baseline'!$D$1:$O$258,11,FALSE)),"",(VLOOKUP($E131,'A-1 On-Site Habitat Baseline'!$D$1:$O$258,11,FALSE))))</f>
        <v/>
      </c>
      <c r="M131" s="310" t="str">
        <f>IF(E131="","",IF(ISNA(VLOOKUP($E131,'A-1 On-Site Habitat Baseline'!$D$1:$O$258,12,FALSE)),"",(VLOOKUP($E131,'A-1 On-Site Habitat Baseline'!$D$1:$O$258,12,FALSE))))</f>
        <v/>
      </c>
      <c r="N131" s="320" t="str">
        <f>IF(E131="","",IF(ISNA(VLOOKUP($E131,'A-1 On-Site Habitat Baseline'!$D$1:$X$258,14,FALSE)),"",(VLOOKUP($E131,'A-1 On-Site Habitat Baseline'!$D$1:$X$258,14,FALSE))))</f>
        <v/>
      </c>
      <c r="O131" s="314" t="str">
        <f>IF(E131="","",IF(ISNA(VLOOKUP($E131,'A-1 On-Site Habitat Baseline'!$D$1:$X$258,16,FALSE)),"",(VLOOKUP($E131,'A-1 On-Site Habitat Baseline'!$D$1:$X$258,13,FALSE))))</f>
        <v/>
      </c>
      <c r="P131" s="161" t="str">
        <f>IFERROR(INDEX('G-1 All Habitats'!$AG$49:$AG$63,MATCH(Q131,'G-1 All Habitats'!$AF$27:$AF$41,0)),"")</f>
        <v/>
      </c>
      <c r="Q131" s="162" t="str">
        <f t="shared" si="13"/>
        <v/>
      </c>
      <c r="R131" s="162"/>
      <c r="S131" s="252" t="str">
        <f>IFERROR(INDEX('G-1 All Habitats'!$B$3:$B$135,MATCH(R131,'G-1 All Habitats'!$A$3:$A$135,0)),"")</f>
        <v/>
      </c>
      <c r="T131" s="290" t="str">
        <f t="shared" si="14"/>
        <v/>
      </c>
      <c r="U131" s="291" t="str">
        <f t="shared" si="15"/>
        <v/>
      </c>
      <c r="V131" s="325" t="str">
        <f t="shared" si="11"/>
        <v/>
      </c>
      <c r="W131" s="310" t="str">
        <f>IF(S131="","",VLOOKUP(S131,'G-1 All Habitats'!$B$2:$M$135,10,FALSE))</f>
        <v/>
      </c>
      <c r="X131" s="310" t="str">
        <f>IFERROR(VLOOKUP(W131,'G-1 All Habitats'!$V$3:$W$7,2,FALSE),"")</f>
        <v/>
      </c>
      <c r="Y131" s="45"/>
      <c r="Z131" s="314" t="str">
        <f>IFERROR(INDEX('G-8 Condition Look up'!$A$3:$H$135,MATCH(S131,'G-8 Condition Look up'!$A$3:$A$135,0),MATCH(Y131,'G-8 Condition Look up'!$A$3:$H$3,0)),"")</f>
        <v/>
      </c>
      <c r="AA131" s="38"/>
      <c r="AB131" s="310" t="str">
        <f>IF(AA131="","",IF(VLOOKUP(AA131,'G-3 Multipliers'!$L$3:$N$6,2,FALSE)=0,"Spatial Data Missing ⚠",VLOOKUP(AA131,'G-3 Multipliers'!$L$3:$N$6,2,FALSE)))</f>
        <v/>
      </c>
      <c r="AC131" s="314" t="str">
        <f>IF(AA131="","",IF(VLOOKUP(AA131,'G-3 Multipliers'!$L$3:$N$6,3,FALSE)=0,"Spatial Data Missing ⚠",VLOOKUP(AA131,'G-3 Multipliers'!$L$3:$N$6,3,FALSE)))</f>
        <v/>
      </c>
      <c r="AD131" s="327" t="str">
        <f t="shared" si="12"/>
        <v/>
      </c>
      <c r="AE131" s="47"/>
      <c r="AF131" s="47"/>
      <c r="AG131" s="298" t="str">
        <f t="shared" si="16"/>
        <v/>
      </c>
      <c r="AH131" s="311" t="str">
        <f t="shared" si="17"/>
        <v/>
      </c>
      <c r="AI131" s="312" t="str">
        <f>IF(AH131="Check Data","Check Data",IFERROR(VLOOKUP(AH131,'G-4 Temporal multipliers'!$A$4:$C$36,3,FALSE),""))</f>
        <v/>
      </c>
      <c r="AJ131" s="290" t="str">
        <f>IF(S131="","",VLOOKUP(S131,'G-3 Multipliers'!$A$2:$E$134,4,FALSE))</f>
        <v/>
      </c>
      <c r="AK131" s="298" t="str">
        <f t="shared" si="18"/>
        <v/>
      </c>
      <c r="AL131" s="298" t="str">
        <f t="shared" si="19"/>
        <v/>
      </c>
      <c r="AM131" s="328" t="str">
        <f>IFERROR(IF(F131="","",IF(AH131="Check Data ⚠","Check Data ⚠",VLOOKUP(AL131, 'G-3 Multipliers'!$P$2:$Q$6,2,FALSE))),"")</f>
        <v/>
      </c>
      <c r="AN131" s="304" t="str">
        <f t="shared" si="20"/>
        <v/>
      </c>
      <c r="AO131" s="163"/>
      <c r="AP131" s="164"/>
      <c r="AQ131" s="101"/>
      <c r="AT131" s="20" t="str">
        <f t="shared" si="21"/>
        <v>No</v>
      </c>
      <c r="AU131" s="20" t="str">
        <f>IF(E131="","",IF(ISNA(VLOOKUP($E131,'A-1 On-Site Habitat Baseline'!$D$1:$AV$258,4,FALSE)),"",(VLOOKUP($E131,'A-1 On-Site Habitat Baseline'!$D$1:$AV$258,4,FALSE))))</f>
        <v/>
      </c>
    </row>
    <row r="132" spans="1:47" x14ac:dyDescent="0.3">
      <c r="A132" s="20" t="str">
        <f>IF(E132="","",IF(ISNA(VLOOKUP($E132,'A-1 On-Site Habitat Baseline'!$D$1:$O$258,2,FALSE)),"",(VLOOKUP($E132,'A-1 On-Site Habitat Baseline'!$D$1:$O$258,2,FALSE))))</f>
        <v/>
      </c>
      <c r="B132" s="20" t="str">
        <f>IF(E132="","",IF(ISNA(VLOOKUP($E132,'A-1 On-Site Habitat Baseline'!$D$1:$O$258,3,FALSE)),"",(VLOOKUP($E132,'A-1 On-Site Habitat Baseline'!$D$1:$O$258,3,FALSE))))</f>
        <v/>
      </c>
      <c r="C132" s="20" t="str">
        <f>IFERROR(INDEX('G-8 Condition Look up'!$I$4:$I$135,MATCH(S132,'G-8 Condition Look up'!$A$4:$A$135,0)),"")</f>
        <v/>
      </c>
      <c r="E132" s="319" t="str">
        <f>'A-1 On-Site Habitat Baseline'!AL131</f>
        <v/>
      </c>
      <c r="F132" s="310" t="str">
        <f>IF(E132="","",IF(ISNA(VLOOKUP($E132,'A-1 On-Site Habitat Baseline'!$D$1:$AV$258,45,FALSE)),"",(VLOOKUP($E132,'A-1 On-Site Habitat Baseline'!$D$1:$AV$258,45,FALSE))))</f>
        <v/>
      </c>
      <c r="G132" s="310" t="str">
        <f>IF(E132="","",IF(ISNA(VLOOKUP($E132,'A-1 On-Site Habitat Baseline'!$D$1:$O$258,5,FALSE)),"",(VLOOKUP($E132,'A-1 On-Site Habitat Baseline'!$D$1:$O$258,5,FALSE))))</f>
        <v/>
      </c>
      <c r="H132" s="310" t="str">
        <f>IF(E132="","",IF(ISNA(VLOOKUP($E132,'A-1 On-Site Habitat Baseline'!$D$1:$O$258,6,FALSE)),"",(VLOOKUP($E132,'A-1 On-Site Habitat Baseline'!$D$1:$O$258,6,FALSE))))</f>
        <v/>
      </c>
      <c r="I132" s="310" t="str">
        <f>IF(E132="","",IF(ISNA(VLOOKUP($E132,'A-1 On-Site Habitat Baseline'!$D$1:$O$258,7,FALSE)),"",(VLOOKUP($E132,'A-1 On-Site Habitat Baseline'!$D$1:$O$258,7,FALSE))))</f>
        <v/>
      </c>
      <c r="J132" s="310" t="str">
        <f>IF(E132="","",IF(ISNA(VLOOKUP($E132,'A-1 On-Site Habitat Baseline'!$D$1:$O$258,8,FALSE)),"",(VLOOKUP($E132,'A-1 On-Site Habitat Baseline'!$D$1:$O$258,8,FALSE))))</f>
        <v/>
      </c>
      <c r="K132" s="310" t="str">
        <f>IF(E132="","",IF(ISNA(VLOOKUP($E132,'A-1 On-Site Habitat Baseline'!$D$1:$O$258,9,FALSE)),"",(VLOOKUP($E132,'A-1 On-Site Habitat Baseline'!$D$1:$O$258,9,FALSE))))</f>
        <v/>
      </c>
      <c r="L132" s="310" t="str">
        <f>IF(E132="","",IF(ISNA(VLOOKUP($E132,'A-1 On-Site Habitat Baseline'!$D$1:$O$258,11,FALSE)),"",(VLOOKUP($E132,'A-1 On-Site Habitat Baseline'!$D$1:$O$258,11,FALSE))))</f>
        <v/>
      </c>
      <c r="M132" s="310" t="str">
        <f>IF(E132="","",IF(ISNA(VLOOKUP($E132,'A-1 On-Site Habitat Baseline'!$D$1:$O$258,12,FALSE)),"",(VLOOKUP($E132,'A-1 On-Site Habitat Baseline'!$D$1:$O$258,12,FALSE))))</f>
        <v/>
      </c>
      <c r="N132" s="320" t="str">
        <f>IF(E132="","",IF(ISNA(VLOOKUP($E132,'A-1 On-Site Habitat Baseline'!$D$1:$X$258,14,FALSE)),"",(VLOOKUP($E132,'A-1 On-Site Habitat Baseline'!$D$1:$X$258,14,FALSE))))</f>
        <v/>
      </c>
      <c r="O132" s="314" t="str">
        <f>IF(E132="","",IF(ISNA(VLOOKUP($E132,'A-1 On-Site Habitat Baseline'!$D$1:$X$258,16,FALSE)),"",(VLOOKUP($E132,'A-1 On-Site Habitat Baseline'!$D$1:$X$258,13,FALSE))))</f>
        <v/>
      </c>
      <c r="P132" s="161" t="str">
        <f>IFERROR(INDEX('G-1 All Habitats'!$AG$49:$AG$63,MATCH(Q132,'G-1 All Habitats'!$AF$27:$AF$41,0)),"")</f>
        <v/>
      </c>
      <c r="Q132" s="162" t="str">
        <f t="shared" si="13"/>
        <v/>
      </c>
      <c r="R132" s="162"/>
      <c r="S132" s="252" t="str">
        <f>IFERROR(INDEX('G-1 All Habitats'!$B$3:$B$135,MATCH(R132,'G-1 All Habitats'!$A$3:$A$135,0)),"")</f>
        <v/>
      </c>
      <c r="T132" s="290" t="str">
        <f t="shared" si="14"/>
        <v/>
      </c>
      <c r="U132" s="291" t="str">
        <f t="shared" si="15"/>
        <v/>
      </c>
      <c r="V132" s="325" t="str">
        <f t="shared" si="11"/>
        <v/>
      </c>
      <c r="W132" s="310" t="str">
        <f>IF(S132="","",VLOOKUP(S132,'G-1 All Habitats'!$B$2:$M$135,10,FALSE))</f>
        <v/>
      </c>
      <c r="X132" s="310" t="str">
        <f>IFERROR(VLOOKUP(W132,'G-1 All Habitats'!$V$3:$W$7,2,FALSE),"")</f>
        <v/>
      </c>
      <c r="Y132" s="45"/>
      <c r="Z132" s="314" t="str">
        <f>IFERROR(INDEX('G-8 Condition Look up'!$A$3:$H$135,MATCH(S132,'G-8 Condition Look up'!$A$3:$A$135,0),MATCH(Y132,'G-8 Condition Look up'!$A$3:$H$3,0)),"")</f>
        <v/>
      </c>
      <c r="AA132" s="38"/>
      <c r="AB132" s="310" t="str">
        <f>IF(AA132="","",IF(VLOOKUP(AA132,'G-3 Multipliers'!$L$3:$N$6,2,FALSE)=0,"Spatial Data Missing ⚠",VLOOKUP(AA132,'G-3 Multipliers'!$L$3:$N$6,2,FALSE)))</f>
        <v/>
      </c>
      <c r="AC132" s="314" t="str">
        <f>IF(AA132="","",IF(VLOOKUP(AA132,'G-3 Multipliers'!$L$3:$N$6,3,FALSE)=0,"Spatial Data Missing ⚠",VLOOKUP(AA132,'G-3 Multipliers'!$L$3:$N$6,3,FALSE)))</f>
        <v/>
      </c>
      <c r="AD132" s="327" t="str">
        <f t="shared" si="12"/>
        <v/>
      </c>
      <c r="AE132" s="47"/>
      <c r="AF132" s="47"/>
      <c r="AG132" s="298" t="str">
        <f t="shared" si="16"/>
        <v/>
      </c>
      <c r="AH132" s="311" t="str">
        <f t="shared" si="17"/>
        <v/>
      </c>
      <c r="AI132" s="312" t="str">
        <f>IF(AH132="Check Data","Check Data",IFERROR(VLOOKUP(AH132,'G-4 Temporal multipliers'!$A$4:$C$36,3,FALSE),""))</f>
        <v/>
      </c>
      <c r="AJ132" s="290" t="str">
        <f>IF(S132="","",VLOOKUP(S132,'G-3 Multipliers'!$A$2:$E$134,4,FALSE))</f>
        <v/>
      </c>
      <c r="AK132" s="298" t="str">
        <f t="shared" si="18"/>
        <v/>
      </c>
      <c r="AL132" s="298" t="str">
        <f t="shared" si="19"/>
        <v/>
      </c>
      <c r="AM132" s="328" t="str">
        <f>IFERROR(IF(F132="","",IF(AH132="Check Data ⚠","Check Data ⚠",VLOOKUP(AL132, 'G-3 Multipliers'!$P$2:$Q$6,2,FALSE))),"")</f>
        <v/>
      </c>
      <c r="AN132" s="304" t="str">
        <f t="shared" si="20"/>
        <v/>
      </c>
      <c r="AO132" s="163"/>
      <c r="AP132" s="164"/>
      <c r="AQ132" s="101"/>
      <c r="AT132" s="20" t="str">
        <f t="shared" si="21"/>
        <v>No</v>
      </c>
      <c r="AU132" s="20" t="str">
        <f>IF(E132="","",IF(ISNA(VLOOKUP($E132,'A-1 On-Site Habitat Baseline'!$D$1:$AV$258,4,FALSE)),"",(VLOOKUP($E132,'A-1 On-Site Habitat Baseline'!$D$1:$AV$258,4,FALSE))))</f>
        <v/>
      </c>
    </row>
    <row r="133" spans="1:47" x14ac:dyDescent="0.3">
      <c r="A133" s="20" t="str">
        <f>IF(E133="","",IF(ISNA(VLOOKUP($E133,'A-1 On-Site Habitat Baseline'!$D$1:$O$258,2,FALSE)),"",(VLOOKUP($E133,'A-1 On-Site Habitat Baseline'!$D$1:$O$258,2,FALSE))))</f>
        <v/>
      </c>
      <c r="B133" s="20" t="str">
        <f>IF(E133="","",IF(ISNA(VLOOKUP($E133,'A-1 On-Site Habitat Baseline'!$D$1:$O$258,3,FALSE)),"",(VLOOKUP($E133,'A-1 On-Site Habitat Baseline'!$D$1:$O$258,3,FALSE))))</f>
        <v/>
      </c>
      <c r="C133" s="20" t="str">
        <f>IFERROR(INDEX('G-8 Condition Look up'!$I$4:$I$135,MATCH(S133,'G-8 Condition Look up'!$A$4:$A$135,0)),"")</f>
        <v/>
      </c>
      <c r="E133" s="319" t="str">
        <f>'A-1 On-Site Habitat Baseline'!AL132</f>
        <v/>
      </c>
      <c r="F133" s="310" t="str">
        <f>IF(E133="","",IF(ISNA(VLOOKUP($E133,'A-1 On-Site Habitat Baseline'!$D$1:$AV$258,45,FALSE)),"",(VLOOKUP($E133,'A-1 On-Site Habitat Baseline'!$D$1:$AV$258,45,FALSE))))</f>
        <v/>
      </c>
      <c r="G133" s="310" t="str">
        <f>IF(E133="","",IF(ISNA(VLOOKUP($E133,'A-1 On-Site Habitat Baseline'!$D$1:$O$258,5,FALSE)),"",(VLOOKUP($E133,'A-1 On-Site Habitat Baseline'!$D$1:$O$258,5,FALSE))))</f>
        <v/>
      </c>
      <c r="H133" s="310" t="str">
        <f>IF(E133="","",IF(ISNA(VLOOKUP($E133,'A-1 On-Site Habitat Baseline'!$D$1:$O$258,6,FALSE)),"",(VLOOKUP($E133,'A-1 On-Site Habitat Baseline'!$D$1:$O$258,6,FALSE))))</f>
        <v/>
      </c>
      <c r="I133" s="310" t="str">
        <f>IF(E133="","",IF(ISNA(VLOOKUP($E133,'A-1 On-Site Habitat Baseline'!$D$1:$O$258,7,FALSE)),"",(VLOOKUP($E133,'A-1 On-Site Habitat Baseline'!$D$1:$O$258,7,FALSE))))</f>
        <v/>
      </c>
      <c r="J133" s="310" t="str">
        <f>IF(E133="","",IF(ISNA(VLOOKUP($E133,'A-1 On-Site Habitat Baseline'!$D$1:$O$258,8,FALSE)),"",(VLOOKUP($E133,'A-1 On-Site Habitat Baseline'!$D$1:$O$258,8,FALSE))))</f>
        <v/>
      </c>
      <c r="K133" s="310" t="str">
        <f>IF(E133="","",IF(ISNA(VLOOKUP($E133,'A-1 On-Site Habitat Baseline'!$D$1:$O$258,9,FALSE)),"",(VLOOKUP($E133,'A-1 On-Site Habitat Baseline'!$D$1:$O$258,9,FALSE))))</f>
        <v/>
      </c>
      <c r="L133" s="310" t="str">
        <f>IF(E133="","",IF(ISNA(VLOOKUP($E133,'A-1 On-Site Habitat Baseline'!$D$1:$O$258,11,FALSE)),"",(VLOOKUP($E133,'A-1 On-Site Habitat Baseline'!$D$1:$O$258,11,FALSE))))</f>
        <v/>
      </c>
      <c r="M133" s="310" t="str">
        <f>IF(E133="","",IF(ISNA(VLOOKUP($E133,'A-1 On-Site Habitat Baseline'!$D$1:$O$258,12,FALSE)),"",(VLOOKUP($E133,'A-1 On-Site Habitat Baseline'!$D$1:$O$258,12,FALSE))))</f>
        <v/>
      </c>
      <c r="N133" s="320" t="str">
        <f>IF(E133="","",IF(ISNA(VLOOKUP($E133,'A-1 On-Site Habitat Baseline'!$D$1:$X$258,14,FALSE)),"",(VLOOKUP($E133,'A-1 On-Site Habitat Baseline'!$D$1:$X$258,14,FALSE))))</f>
        <v/>
      </c>
      <c r="O133" s="314" t="str">
        <f>IF(E133="","",IF(ISNA(VLOOKUP($E133,'A-1 On-Site Habitat Baseline'!$D$1:$X$258,16,FALSE)),"",(VLOOKUP($E133,'A-1 On-Site Habitat Baseline'!$D$1:$X$258,13,FALSE))))</f>
        <v/>
      </c>
      <c r="P133" s="161" t="str">
        <f>IFERROR(INDEX('G-1 All Habitats'!$AG$49:$AG$63,MATCH(Q133,'G-1 All Habitats'!$AF$27:$AF$41,0)),"")</f>
        <v/>
      </c>
      <c r="Q133" s="162" t="str">
        <f t="shared" si="13"/>
        <v/>
      </c>
      <c r="R133" s="162"/>
      <c r="S133" s="252" t="str">
        <f>IFERROR(INDEX('G-1 All Habitats'!$B$3:$B$135,MATCH(R133,'G-1 All Habitats'!$A$3:$A$135,0)),"")</f>
        <v/>
      </c>
      <c r="T133" s="290" t="str">
        <f t="shared" si="14"/>
        <v/>
      </c>
      <c r="U133" s="291" t="str">
        <f t="shared" si="15"/>
        <v/>
      </c>
      <c r="V133" s="325" t="str">
        <f t="shared" si="11"/>
        <v/>
      </c>
      <c r="W133" s="310" t="str">
        <f>IF(S133="","",VLOOKUP(S133,'G-1 All Habitats'!$B$2:$M$135,10,FALSE))</f>
        <v/>
      </c>
      <c r="X133" s="310" t="str">
        <f>IFERROR(VLOOKUP(W133,'G-1 All Habitats'!$V$3:$W$7,2,FALSE),"")</f>
        <v/>
      </c>
      <c r="Y133" s="45"/>
      <c r="Z133" s="314" t="str">
        <f>IFERROR(INDEX('G-8 Condition Look up'!$A$3:$H$135,MATCH(S133,'G-8 Condition Look up'!$A$3:$A$135,0),MATCH(Y133,'G-8 Condition Look up'!$A$3:$H$3,0)),"")</f>
        <v/>
      </c>
      <c r="AA133" s="38"/>
      <c r="AB133" s="310" t="str">
        <f>IF(AA133="","",IF(VLOOKUP(AA133,'G-3 Multipliers'!$L$3:$N$6,2,FALSE)=0,"Spatial Data Missing ⚠",VLOOKUP(AA133,'G-3 Multipliers'!$L$3:$N$6,2,FALSE)))</f>
        <v/>
      </c>
      <c r="AC133" s="314" t="str">
        <f>IF(AA133="","",IF(VLOOKUP(AA133,'G-3 Multipliers'!$L$3:$N$6,3,FALSE)=0,"Spatial Data Missing ⚠",VLOOKUP(AA133,'G-3 Multipliers'!$L$3:$N$6,3,FALSE)))</f>
        <v/>
      </c>
      <c r="AD133" s="327" t="str">
        <f t="shared" si="12"/>
        <v/>
      </c>
      <c r="AE133" s="47"/>
      <c r="AF133" s="47"/>
      <c r="AG133" s="298" t="str">
        <f t="shared" si="16"/>
        <v/>
      </c>
      <c r="AH133" s="311" t="str">
        <f t="shared" si="17"/>
        <v/>
      </c>
      <c r="AI133" s="312" t="str">
        <f>IF(AH133="Check Data","Check Data",IFERROR(VLOOKUP(AH133,'G-4 Temporal multipliers'!$A$4:$C$36,3,FALSE),""))</f>
        <v/>
      </c>
      <c r="AJ133" s="290" t="str">
        <f>IF(S133="","",VLOOKUP(S133,'G-3 Multipliers'!$A$2:$E$134,4,FALSE))</f>
        <v/>
      </c>
      <c r="AK133" s="298" t="str">
        <f t="shared" si="18"/>
        <v/>
      </c>
      <c r="AL133" s="298" t="str">
        <f t="shared" si="19"/>
        <v/>
      </c>
      <c r="AM133" s="328" t="str">
        <f>IFERROR(IF(F133="","",IF(AH133="Check Data ⚠","Check Data ⚠",VLOOKUP(AL133, 'G-3 Multipliers'!$P$2:$Q$6,2,FALSE))),"")</f>
        <v/>
      </c>
      <c r="AN133" s="304" t="str">
        <f t="shared" si="20"/>
        <v/>
      </c>
      <c r="AO133" s="163"/>
      <c r="AP133" s="164"/>
      <c r="AQ133" s="101"/>
      <c r="AT133" s="20" t="str">
        <f t="shared" si="21"/>
        <v>No</v>
      </c>
      <c r="AU133" s="20" t="str">
        <f>IF(E133="","",IF(ISNA(VLOOKUP($E133,'A-1 On-Site Habitat Baseline'!$D$1:$AV$258,4,FALSE)),"",(VLOOKUP($E133,'A-1 On-Site Habitat Baseline'!$D$1:$AV$258,4,FALSE))))</f>
        <v/>
      </c>
    </row>
    <row r="134" spans="1:47" x14ac:dyDescent="0.3">
      <c r="A134" s="20" t="str">
        <f>IF(E134="","",IF(ISNA(VLOOKUP($E134,'A-1 On-Site Habitat Baseline'!$D$1:$O$258,2,FALSE)),"",(VLOOKUP($E134,'A-1 On-Site Habitat Baseline'!$D$1:$O$258,2,FALSE))))</f>
        <v/>
      </c>
      <c r="B134" s="20" t="str">
        <f>IF(E134="","",IF(ISNA(VLOOKUP($E134,'A-1 On-Site Habitat Baseline'!$D$1:$O$258,3,FALSE)),"",(VLOOKUP($E134,'A-1 On-Site Habitat Baseline'!$D$1:$O$258,3,FALSE))))</f>
        <v/>
      </c>
      <c r="C134" s="20" t="str">
        <f>IFERROR(INDEX('G-8 Condition Look up'!$I$4:$I$135,MATCH(S134,'G-8 Condition Look up'!$A$4:$A$135,0)),"")</f>
        <v/>
      </c>
      <c r="E134" s="319" t="str">
        <f>'A-1 On-Site Habitat Baseline'!AL133</f>
        <v/>
      </c>
      <c r="F134" s="310" t="str">
        <f>IF(E134="","",IF(ISNA(VLOOKUP($E134,'A-1 On-Site Habitat Baseline'!$D$1:$AV$258,45,FALSE)),"",(VLOOKUP($E134,'A-1 On-Site Habitat Baseline'!$D$1:$AV$258,45,FALSE))))</f>
        <v/>
      </c>
      <c r="G134" s="310" t="str">
        <f>IF(E134="","",IF(ISNA(VLOOKUP($E134,'A-1 On-Site Habitat Baseline'!$D$1:$O$258,5,FALSE)),"",(VLOOKUP($E134,'A-1 On-Site Habitat Baseline'!$D$1:$O$258,5,FALSE))))</f>
        <v/>
      </c>
      <c r="H134" s="310" t="str">
        <f>IF(E134="","",IF(ISNA(VLOOKUP($E134,'A-1 On-Site Habitat Baseline'!$D$1:$O$258,6,FALSE)),"",(VLOOKUP($E134,'A-1 On-Site Habitat Baseline'!$D$1:$O$258,6,FALSE))))</f>
        <v/>
      </c>
      <c r="I134" s="310" t="str">
        <f>IF(E134="","",IF(ISNA(VLOOKUP($E134,'A-1 On-Site Habitat Baseline'!$D$1:$O$258,7,FALSE)),"",(VLOOKUP($E134,'A-1 On-Site Habitat Baseline'!$D$1:$O$258,7,FALSE))))</f>
        <v/>
      </c>
      <c r="J134" s="310" t="str">
        <f>IF(E134="","",IF(ISNA(VLOOKUP($E134,'A-1 On-Site Habitat Baseline'!$D$1:$O$258,8,FALSE)),"",(VLOOKUP($E134,'A-1 On-Site Habitat Baseline'!$D$1:$O$258,8,FALSE))))</f>
        <v/>
      </c>
      <c r="K134" s="310" t="str">
        <f>IF(E134="","",IF(ISNA(VLOOKUP($E134,'A-1 On-Site Habitat Baseline'!$D$1:$O$258,9,FALSE)),"",(VLOOKUP($E134,'A-1 On-Site Habitat Baseline'!$D$1:$O$258,9,FALSE))))</f>
        <v/>
      </c>
      <c r="L134" s="310" t="str">
        <f>IF(E134="","",IF(ISNA(VLOOKUP($E134,'A-1 On-Site Habitat Baseline'!$D$1:$O$258,11,FALSE)),"",(VLOOKUP($E134,'A-1 On-Site Habitat Baseline'!$D$1:$O$258,11,FALSE))))</f>
        <v/>
      </c>
      <c r="M134" s="310" t="str">
        <f>IF(E134="","",IF(ISNA(VLOOKUP($E134,'A-1 On-Site Habitat Baseline'!$D$1:$O$258,12,FALSE)),"",(VLOOKUP($E134,'A-1 On-Site Habitat Baseline'!$D$1:$O$258,12,FALSE))))</f>
        <v/>
      </c>
      <c r="N134" s="320" t="str">
        <f>IF(E134="","",IF(ISNA(VLOOKUP($E134,'A-1 On-Site Habitat Baseline'!$D$1:$X$258,14,FALSE)),"",(VLOOKUP($E134,'A-1 On-Site Habitat Baseline'!$D$1:$X$258,14,FALSE))))</f>
        <v/>
      </c>
      <c r="O134" s="314" t="str">
        <f>IF(E134="","",IF(ISNA(VLOOKUP($E134,'A-1 On-Site Habitat Baseline'!$D$1:$X$258,16,FALSE)),"",(VLOOKUP($E134,'A-1 On-Site Habitat Baseline'!$D$1:$X$258,13,FALSE))))</f>
        <v/>
      </c>
      <c r="P134" s="161" t="str">
        <f>IFERROR(INDEX('G-1 All Habitats'!$AG$49:$AG$63,MATCH(Q134,'G-1 All Habitats'!$AF$27:$AF$41,0)),"")</f>
        <v/>
      </c>
      <c r="Q134" s="162" t="str">
        <f t="shared" si="13"/>
        <v/>
      </c>
      <c r="R134" s="162"/>
      <c r="S134" s="252" t="str">
        <f>IFERROR(INDEX('G-1 All Habitats'!$B$3:$B$135,MATCH(R134,'G-1 All Habitats'!$A$3:$A$135,0)),"")</f>
        <v/>
      </c>
      <c r="T134" s="290" t="str">
        <f t="shared" si="14"/>
        <v/>
      </c>
      <c r="U134" s="291" t="str">
        <f t="shared" si="15"/>
        <v/>
      </c>
      <c r="V134" s="325" t="str">
        <f t="shared" si="11"/>
        <v/>
      </c>
      <c r="W134" s="310" t="str">
        <f>IF(S134="","",VLOOKUP(S134,'G-1 All Habitats'!$B$2:$M$135,10,FALSE))</f>
        <v/>
      </c>
      <c r="X134" s="310" t="str">
        <f>IFERROR(VLOOKUP(W134,'G-1 All Habitats'!$V$3:$W$7,2,FALSE),"")</f>
        <v/>
      </c>
      <c r="Y134" s="45"/>
      <c r="Z134" s="314" t="str">
        <f>IFERROR(INDEX('G-8 Condition Look up'!$A$3:$H$135,MATCH(S134,'G-8 Condition Look up'!$A$3:$A$135,0),MATCH(Y134,'G-8 Condition Look up'!$A$3:$H$3,0)),"")</f>
        <v/>
      </c>
      <c r="AA134" s="38"/>
      <c r="AB134" s="310" t="str">
        <f>IF(AA134="","",IF(VLOOKUP(AA134,'G-3 Multipliers'!$L$3:$N$6,2,FALSE)=0,"Spatial Data Missing ⚠",VLOOKUP(AA134,'G-3 Multipliers'!$L$3:$N$6,2,FALSE)))</f>
        <v/>
      </c>
      <c r="AC134" s="314" t="str">
        <f>IF(AA134="","",IF(VLOOKUP(AA134,'G-3 Multipliers'!$L$3:$N$6,3,FALSE)=0,"Spatial Data Missing ⚠",VLOOKUP(AA134,'G-3 Multipliers'!$L$3:$N$6,3,FALSE)))</f>
        <v/>
      </c>
      <c r="AD134" s="327" t="str">
        <f t="shared" si="12"/>
        <v/>
      </c>
      <c r="AE134" s="47"/>
      <c r="AF134" s="47"/>
      <c r="AG134" s="298" t="str">
        <f t="shared" si="16"/>
        <v/>
      </c>
      <c r="AH134" s="311" t="str">
        <f t="shared" si="17"/>
        <v/>
      </c>
      <c r="AI134" s="312" t="str">
        <f>IF(AH134="Check Data","Check Data",IFERROR(VLOOKUP(AH134,'G-4 Temporal multipliers'!$A$4:$C$36,3,FALSE),""))</f>
        <v/>
      </c>
      <c r="AJ134" s="290" t="str">
        <f>IF(S134="","",VLOOKUP(S134,'G-3 Multipliers'!$A$2:$E$134,4,FALSE))</f>
        <v/>
      </c>
      <c r="AK134" s="298" t="str">
        <f t="shared" si="18"/>
        <v/>
      </c>
      <c r="AL134" s="298" t="str">
        <f t="shared" si="19"/>
        <v/>
      </c>
      <c r="AM134" s="328" t="str">
        <f>IFERROR(IF(F134="","",IF(AH134="Check Data ⚠","Check Data ⚠",VLOOKUP(AL134, 'G-3 Multipliers'!$P$2:$Q$6,2,FALSE))),"")</f>
        <v/>
      </c>
      <c r="AN134" s="304" t="str">
        <f t="shared" si="20"/>
        <v/>
      </c>
      <c r="AO134" s="163"/>
      <c r="AP134" s="164"/>
      <c r="AQ134" s="101"/>
      <c r="AT134" s="20" t="str">
        <f t="shared" si="21"/>
        <v>No</v>
      </c>
      <c r="AU134" s="20" t="str">
        <f>IF(E134="","",IF(ISNA(VLOOKUP($E134,'A-1 On-Site Habitat Baseline'!$D$1:$AV$258,4,FALSE)),"",(VLOOKUP($E134,'A-1 On-Site Habitat Baseline'!$D$1:$AV$258,4,FALSE))))</f>
        <v/>
      </c>
    </row>
    <row r="135" spans="1:47" x14ac:dyDescent="0.3">
      <c r="A135" s="20" t="str">
        <f>IF(E135="","",IF(ISNA(VLOOKUP($E135,'A-1 On-Site Habitat Baseline'!$D$1:$O$258,2,FALSE)),"",(VLOOKUP($E135,'A-1 On-Site Habitat Baseline'!$D$1:$O$258,2,FALSE))))</f>
        <v/>
      </c>
      <c r="B135" s="20" t="str">
        <f>IF(E135="","",IF(ISNA(VLOOKUP($E135,'A-1 On-Site Habitat Baseline'!$D$1:$O$258,3,FALSE)),"",(VLOOKUP($E135,'A-1 On-Site Habitat Baseline'!$D$1:$O$258,3,FALSE))))</f>
        <v/>
      </c>
      <c r="C135" s="20" t="str">
        <f>IFERROR(INDEX('G-8 Condition Look up'!$I$4:$I$135,MATCH(S135,'G-8 Condition Look up'!$A$4:$A$135,0)),"")</f>
        <v/>
      </c>
      <c r="E135" s="319" t="str">
        <f>'A-1 On-Site Habitat Baseline'!AL134</f>
        <v/>
      </c>
      <c r="F135" s="310" t="str">
        <f>IF(E135="","",IF(ISNA(VLOOKUP($E135,'A-1 On-Site Habitat Baseline'!$D$1:$AV$258,45,FALSE)),"",(VLOOKUP($E135,'A-1 On-Site Habitat Baseline'!$D$1:$AV$258,45,FALSE))))</f>
        <v/>
      </c>
      <c r="G135" s="310" t="str">
        <f>IF(E135="","",IF(ISNA(VLOOKUP($E135,'A-1 On-Site Habitat Baseline'!$D$1:$O$258,5,FALSE)),"",(VLOOKUP($E135,'A-1 On-Site Habitat Baseline'!$D$1:$O$258,5,FALSE))))</f>
        <v/>
      </c>
      <c r="H135" s="310" t="str">
        <f>IF(E135="","",IF(ISNA(VLOOKUP($E135,'A-1 On-Site Habitat Baseline'!$D$1:$O$258,6,FALSE)),"",(VLOOKUP($E135,'A-1 On-Site Habitat Baseline'!$D$1:$O$258,6,FALSE))))</f>
        <v/>
      </c>
      <c r="I135" s="310" t="str">
        <f>IF(E135="","",IF(ISNA(VLOOKUP($E135,'A-1 On-Site Habitat Baseline'!$D$1:$O$258,7,FALSE)),"",(VLOOKUP($E135,'A-1 On-Site Habitat Baseline'!$D$1:$O$258,7,FALSE))))</f>
        <v/>
      </c>
      <c r="J135" s="310" t="str">
        <f>IF(E135="","",IF(ISNA(VLOOKUP($E135,'A-1 On-Site Habitat Baseline'!$D$1:$O$258,8,FALSE)),"",(VLOOKUP($E135,'A-1 On-Site Habitat Baseline'!$D$1:$O$258,8,FALSE))))</f>
        <v/>
      </c>
      <c r="K135" s="310" t="str">
        <f>IF(E135="","",IF(ISNA(VLOOKUP($E135,'A-1 On-Site Habitat Baseline'!$D$1:$O$258,9,FALSE)),"",(VLOOKUP($E135,'A-1 On-Site Habitat Baseline'!$D$1:$O$258,9,FALSE))))</f>
        <v/>
      </c>
      <c r="L135" s="310" t="str">
        <f>IF(E135="","",IF(ISNA(VLOOKUP($E135,'A-1 On-Site Habitat Baseline'!$D$1:$O$258,11,FALSE)),"",(VLOOKUP($E135,'A-1 On-Site Habitat Baseline'!$D$1:$O$258,11,FALSE))))</f>
        <v/>
      </c>
      <c r="M135" s="310" t="str">
        <f>IF(E135="","",IF(ISNA(VLOOKUP($E135,'A-1 On-Site Habitat Baseline'!$D$1:$O$258,12,FALSE)),"",(VLOOKUP($E135,'A-1 On-Site Habitat Baseline'!$D$1:$O$258,12,FALSE))))</f>
        <v/>
      </c>
      <c r="N135" s="320" t="str">
        <f>IF(E135="","",IF(ISNA(VLOOKUP($E135,'A-1 On-Site Habitat Baseline'!$D$1:$X$258,14,FALSE)),"",(VLOOKUP($E135,'A-1 On-Site Habitat Baseline'!$D$1:$X$258,14,FALSE))))</f>
        <v/>
      </c>
      <c r="O135" s="314" t="str">
        <f>IF(E135="","",IF(ISNA(VLOOKUP($E135,'A-1 On-Site Habitat Baseline'!$D$1:$X$258,16,FALSE)),"",(VLOOKUP($E135,'A-1 On-Site Habitat Baseline'!$D$1:$X$258,13,FALSE))))</f>
        <v/>
      </c>
      <c r="P135" s="161" t="str">
        <f>IFERROR(INDEX('G-1 All Habitats'!$AG$49:$AG$63,MATCH(Q135,'G-1 All Habitats'!$AF$27:$AF$41,0)),"")</f>
        <v/>
      </c>
      <c r="Q135" s="162" t="str">
        <f t="shared" si="13"/>
        <v/>
      </c>
      <c r="R135" s="162"/>
      <c r="S135" s="252" t="str">
        <f>IFERROR(INDEX('G-1 All Habitats'!$B$3:$B$135,MATCH(R135,'G-1 All Habitats'!$A$3:$A$135,0)),"")</f>
        <v/>
      </c>
      <c r="T135" s="290" t="str">
        <f t="shared" si="14"/>
        <v/>
      </c>
      <c r="U135" s="291" t="str">
        <f t="shared" si="15"/>
        <v/>
      </c>
      <c r="V135" s="325" t="str">
        <f t="shared" si="11"/>
        <v/>
      </c>
      <c r="W135" s="310" t="str">
        <f>IF(S135="","",VLOOKUP(S135,'G-1 All Habitats'!$B$2:$M$135,10,FALSE))</f>
        <v/>
      </c>
      <c r="X135" s="310" t="str">
        <f>IFERROR(VLOOKUP(W135,'G-1 All Habitats'!$V$3:$W$7,2,FALSE),"")</f>
        <v/>
      </c>
      <c r="Y135" s="45"/>
      <c r="Z135" s="314" t="str">
        <f>IFERROR(INDEX('G-8 Condition Look up'!$A$3:$H$135,MATCH(S135,'G-8 Condition Look up'!$A$3:$A$135,0),MATCH(Y135,'G-8 Condition Look up'!$A$3:$H$3,0)),"")</f>
        <v/>
      </c>
      <c r="AA135" s="38"/>
      <c r="AB135" s="310" t="str">
        <f>IF(AA135="","",IF(VLOOKUP(AA135,'G-3 Multipliers'!$L$3:$N$6,2,FALSE)=0,"Spatial Data Missing ⚠",VLOOKUP(AA135,'G-3 Multipliers'!$L$3:$N$6,2,FALSE)))</f>
        <v/>
      </c>
      <c r="AC135" s="314" t="str">
        <f>IF(AA135="","",IF(VLOOKUP(AA135,'G-3 Multipliers'!$L$3:$N$6,3,FALSE)=0,"Spatial Data Missing ⚠",VLOOKUP(AA135,'G-3 Multipliers'!$L$3:$N$6,3,FALSE)))</f>
        <v/>
      </c>
      <c r="AD135" s="327" t="str">
        <f t="shared" si="12"/>
        <v/>
      </c>
      <c r="AE135" s="47"/>
      <c r="AF135" s="47"/>
      <c r="AG135" s="298" t="str">
        <f t="shared" si="16"/>
        <v/>
      </c>
      <c r="AH135" s="311" t="str">
        <f t="shared" si="17"/>
        <v/>
      </c>
      <c r="AI135" s="312" t="str">
        <f>IF(AH135="Check Data","Check Data",IFERROR(VLOOKUP(AH135,'G-4 Temporal multipliers'!$A$4:$C$36,3,FALSE),""))</f>
        <v/>
      </c>
      <c r="AJ135" s="290" t="str">
        <f>IF(S135="","",VLOOKUP(S135,'G-3 Multipliers'!$A$2:$E$134,4,FALSE))</f>
        <v/>
      </c>
      <c r="AK135" s="298" t="str">
        <f t="shared" si="18"/>
        <v/>
      </c>
      <c r="AL135" s="298" t="str">
        <f t="shared" si="19"/>
        <v/>
      </c>
      <c r="AM135" s="328" t="str">
        <f>IFERROR(IF(F135="","",IF(AH135="Check Data ⚠","Check Data ⚠",VLOOKUP(AL135, 'G-3 Multipliers'!$P$2:$Q$6,2,FALSE))),"")</f>
        <v/>
      </c>
      <c r="AN135" s="304" t="str">
        <f t="shared" si="20"/>
        <v/>
      </c>
      <c r="AO135" s="163"/>
      <c r="AP135" s="164"/>
      <c r="AQ135" s="101"/>
      <c r="AT135" s="20" t="str">
        <f t="shared" si="21"/>
        <v>No</v>
      </c>
      <c r="AU135" s="20" t="str">
        <f>IF(E135="","",IF(ISNA(VLOOKUP($E135,'A-1 On-Site Habitat Baseline'!$D$1:$AV$258,4,FALSE)),"",(VLOOKUP($E135,'A-1 On-Site Habitat Baseline'!$D$1:$AV$258,4,FALSE))))</f>
        <v/>
      </c>
    </row>
    <row r="136" spans="1:47" x14ac:dyDescent="0.3">
      <c r="A136" s="20" t="str">
        <f>IF(E136="","",IF(ISNA(VLOOKUP($E136,'A-1 On-Site Habitat Baseline'!$D$1:$O$258,2,FALSE)),"",(VLOOKUP($E136,'A-1 On-Site Habitat Baseline'!$D$1:$O$258,2,FALSE))))</f>
        <v/>
      </c>
      <c r="B136" s="20" t="str">
        <f>IF(E136="","",IF(ISNA(VLOOKUP($E136,'A-1 On-Site Habitat Baseline'!$D$1:$O$258,3,FALSE)),"",(VLOOKUP($E136,'A-1 On-Site Habitat Baseline'!$D$1:$O$258,3,FALSE))))</f>
        <v/>
      </c>
      <c r="C136" s="20" t="str">
        <f>IFERROR(INDEX('G-8 Condition Look up'!$I$4:$I$135,MATCH(S136,'G-8 Condition Look up'!$A$4:$A$135,0)),"")</f>
        <v/>
      </c>
      <c r="E136" s="319" t="str">
        <f>'A-1 On-Site Habitat Baseline'!AL135</f>
        <v/>
      </c>
      <c r="F136" s="310" t="str">
        <f>IF(E136="","",IF(ISNA(VLOOKUP($E136,'A-1 On-Site Habitat Baseline'!$D$1:$AV$258,45,FALSE)),"",(VLOOKUP($E136,'A-1 On-Site Habitat Baseline'!$D$1:$AV$258,45,FALSE))))</f>
        <v/>
      </c>
      <c r="G136" s="310" t="str">
        <f>IF(E136="","",IF(ISNA(VLOOKUP($E136,'A-1 On-Site Habitat Baseline'!$D$1:$O$258,5,FALSE)),"",(VLOOKUP($E136,'A-1 On-Site Habitat Baseline'!$D$1:$O$258,5,FALSE))))</f>
        <v/>
      </c>
      <c r="H136" s="310" t="str">
        <f>IF(E136="","",IF(ISNA(VLOOKUP($E136,'A-1 On-Site Habitat Baseline'!$D$1:$O$258,6,FALSE)),"",(VLOOKUP($E136,'A-1 On-Site Habitat Baseline'!$D$1:$O$258,6,FALSE))))</f>
        <v/>
      </c>
      <c r="I136" s="310" t="str">
        <f>IF(E136="","",IF(ISNA(VLOOKUP($E136,'A-1 On-Site Habitat Baseline'!$D$1:$O$258,7,FALSE)),"",(VLOOKUP($E136,'A-1 On-Site Habitat Baseline'!$D$1:$O$258,7,FALSE))))</f>
        <v/>
      </c>
      <c r="J136" s="310" t="str">
        <f>IF(E136="","",IF(ISNA(VLOOKUP($E136,'A-1 On-Site Habitat Baseline'!$D$1:$O$258,8,FALSE)),"",(VLOOKUP($E136,'A-1 On-Site Habitat Baseline'!$D$1:$O$258,8,FALSE))))</f>
        <v/>
      </c>
      <c r="K136" s="310" t="str">
        <f>IF(E136="","",IF(ISNA(VLOOKUP($E136,'A-1 On-Site Habitat Baseline'!$D$1:$O$258,9,FALSE)),"",(VLOOKUP($E136,'A-1 On-Site Habitat Baseline'!$D$1:$O$258,9,FALSE))))</f>
        <v/>
      </c>
      <c r="L136" s="310" t="str">
        <f>IF(E136="","",IF(ISNA(VLOOKUP($E136,'A-1 On-Site Habitat Baseline'!$D$1:$O$258,11,FALSE)),"",(VLOOKUP($E136,'A-1 On-Site Habitat Baseline'!$D$1:$O$258,11,FALSE))))</f>
        <v/>
      </c>
      <c r="M136" s="310" t="str">
        <f>IF(E136="","",IF(ISNA(VLOOKUP($E136,'A-1 On-Site Habitat Baseline'!$D$1:$O$258,12,FALSE)),"",(VLOOKUP($E136,'A-1 On-Site Habitat Baseline'!$D$1:$O$258,12,FALSE))))</f>
        <v/>
      </c>
      <c r="N136" s="320" t="str">
        <f>IF(E136="","",IF(ISNA(VLOOKUP($E136,'A-1 On-Site Habitat Baseline'!$D$1:$X$258,14,FALSE)),"",(VLOOKUP($E136,'A-1 On-Site Habitat Baseline'!$D$1:$X$258,14,FALSE))))</f>
        <v/>
      </c>
      <c r="O136" s="314" t="str">
        <f>IF(E136="","",IF(ISNA(VLOOKUP($E136,'A-1 On-Site Habitat Baseline'!$D$1:$X$258,16,FALSE)),"",(VLOOKUP($E136,'A-1 On-Site Habitat Baseline'!$D$1:$X$258,13,FALSE))))</f>
        <v/>
      </c>
      <c r="P136" s="161" t="str">
        <f>IFERROR(INDEX('G-1 All Habitats'!$AG$49:$AG$63,MATCH(Q136,'G-1 All Habitats'!$AF$27:$AF$41,0)),"")</f>
        <v/>
      </c>
      <c r="Q136" s="162" t="str">
        <f t="shared" si="13"/>
        <v/>
      </c>
      <c r="R136" s="162"/>
      <c r="S136" s="252" t="str">
        <f>IFERROR(INDEX('G-1 All Habitats'!$B$3:$B$135,MATCH(R136,'G-1 All Habitats'!$A$3:$A$135,0)),"")</f>
        <v/>
      </c>
      <c r="T136" s="290" t="str">
        <f t="shared" si="14"/>
        <v/>
      </c>
      <c r="U136" s="291" t="str">
        <f t="shared" si="15"/>
        <v/>
      </c>
      <c r="V136" s="325" t="str">
        <f t="shared" si="11"/>
        <v/>
      </c>
      <c r="W136" s="310" t="str">
        <f>IF(S136="","",VLOOKUP(S136,'G-1 All Habitats'!$B$2:$M$135,10,FALSE))</f>
        <v/>
      </c>
      <c r="X136" s="310" t="str">
        <f>IFERROR(VLOOKUP(W136,'G-1 All Habitats'!$V$3:$W$7,2,FALSE),"")</f>
        <v/>
      </c>
      <c r="Y136" s="45"/>
      <c r="Z136" s="314" t="str">
        <f>IFERROR(INDEX('G-8 Condition Look up'!$A$3:$H$135,MATCH(S136,'G-8 Condition Look up'!$A$3:$A$135,0),MATCH(Y136,'G-8 Condition Look up'!$A$3:$H$3,0)),"")</f>
        <v/>
      </c>
      <c r="AA136" s="38"/>
      <c r="AB136" s="310" t="str">
        <f>IF(AA136="","",IF(VLOOKUP(AA136,'G-3 Multipliers'!$L$3:$N$6,2,FALSE)=0,"Spatial Data Missing ⚠",VLOOKUP(AA136,'G-3 Multipliers'!$L$3:$N$6,2,FALSE)))</f>
        <v/>
      </c>
      <c r="AC136" s="314" t="str">
        <f>IF(AA136="","",IF(VLOOKUP(AA136,'G-3 Multipliers'!$L$3:$N$6,3,FALSE)=0,"Spatial Data Missing ⚠",VLOOKUP(AA136,'G-3 Multipliers'!$L$3:$N$6,3,FALSE)))</f>
        <v/>
      </c>
      <c r="AD136" s="327" t="str">
        <f t="shared" si="12"/>
        <v/>
      </c>
      <c r="AE136" s="47"/>
      <c r="AF136" s="47"/>
      <c r="AG136" s="298" t="str">
        <f t="shared" si="16"/>
        <v/>
      </c>
      <c r="AH136" s="311" t="str">
        <f t="shared" si="17"/>
        <v/>
      </c>
      <c r="AI136" s="312" t="str">
        <f>IF(AH136="Check Data","Check Data",IFERROR(VLOOKUP(AH136,'G-4 Temporal multipliers'!$A$4:$C$36,3,FALSE),""))</f>
        <v/>
      </c>
      <c r="AJ136" s="290" t="str">
        <f>IF(S136="","",VLOOKUP(S136,'G-3 Multipliers'!$A$2:$E$134,4,FALSE))</f>
        <v/>
      </c>
      <c r="AK136" s="298" t="str">
        <f t="shared" si="18"/>
        <v/>
      </c>
      <c r="AL136" s="298" t="str">
        <f t="shared" si="19"/>
        <v/>
      </c>
      <c r="AM136" s="328" t="str">
        <f>IFERROR(IF(F136="","",IF(AH136="Check Data ⚠","Check Data ⚠",VLOOKUP(AL136, 'G-3 Multipliers'!$P$2:$Q$6,2,FALSE))),"")</f>
        <v/>
      </c>
      <c r="AN136" s="304" t="str">
        <f t="shared" si="20"/>
        <v/>
      </c>
      <c r="AO136" s="163"/>
      <c r="AP136" s="164"/>
      <c r="AQ136" s="101"/>
      <c r="AT136" s="20" t="str">
        <f t="shared" si="21"/>
        <v>No</v>
      </c>
      <c r="AU136" s="20" t="str">
        <f>IF(E136="","",IF(ISNA(VLOOKUP($E136,'A-1 On-Site Habitat Baseline'!$D$1:$AV$258,4,FALSE)),"",(VLOOKUP($E136,'A-1 On-Site Habitat Baseline'!$D$1:$AV$258,4,FALSE))))</f>
        <v/>
      </c>
    </row>
    <row r="137" spans="1:47" x14ac:dyDescent="0.3">
      <c r="A137" s="20" t="str">
        <f>IF(E137="","",IF(ISNA(VLOOKUP($E137,'A-1 On-Site Habitat Baseline'!$D$1:$O$258,2,FALSE)),"",(VLOOKUP($E137,'A-1 On-Site Habitat Baseline'!$D$1:$O$258,2,FALSE))))</f>
        <v/>
      </c>
      <c r="B137" s="20" t="str">
        <f>IF(E137="","",IF(ISNA(VLOOKUP($E137,'A-1 On-Site Habitat Baseline'!$D$1:$O$258,3,FALSE)),"",(VLOOKUP($E137,'A-1 On-Site Habitat Baseline'!$D$1:$O$258,3,FALSE))))</f>
        <v/>
      </c>
      <c r="C137" s="20" t="str">
        <f>IFERROR(INDEX('G-8 Condition Look up'!$I$4:$I$135,MATCH(S137,'G-8 Condition Look up'!$A$4:$A$135,0)),"")</f>
        <v/>
      </c>
      <c r="E137" s="319" t="str">
        <f>'A-1 On-Site Habitat Baseline'!AL136</f>
        <v/>
      </c>
      <c r="F137" s="310" t="str">
        <f>IF(E137="","",IF(ISNA(VLOOKUP($E137,'A-1 On-Site Habitat Baseline'!$D$1:$AV$258,45,FALSE)),"",(VLOOKUP($E137,'A-1 On-Site Habitat Baseline'!$D$1:$AV$258,45,FALSE))))</f>
        <v/>
      </c>
      <c r="G137" s="310" t="str">
        <f>IF(E137="","",IF(ISNA(VLOOKUP($E137,'A-1 On-Site Habitat Baseline'!$D$1:$O$258,5,FALSE)),"",(VLOOKUP($E137,'A-1 On-Site Habitat Baseline'!$D$1:$O$258,5,FALSE))))</f>
        <v/>
      </c>
      <c r="H137" s="310" t="str">
        <f>IF(E137="","",IF(ISNA(VLOOKUP($E137,'A-1 On-Site Habitat Baseline'!$D$1:$O$258,6,FALSE)),"",(VLOOKUP($E137,'A-1 On-Site Habitat Baseline'!$D$1:$O$258,6,FALSE))))</f>
        <v/>
      </c>
      <c r="I137" s="310" t="str">
        <f>IF(E137="","",IF(ISNA(VLOOKUP($E137,'A-1 On-Site Habitat Baseline'!$D$1:$O$258,7,FALSE)),"",(VLOOKUP($E137,'A-1 On-Site Habitat Baseline'!$D$1:$O$258,7,FALSE))))</f>
        <v/>
      </c>
      <c r="J137" s="310" t="str">
        <f>IF(E137="","",IF(ISNA(VLOOKUP($E137,'A-1 On-Site Habitat Baseline'!$D$1:$O$258,8,FALSE)),"",(VLOOKUP($E137,'A-1 On-Site Habitat Baseline'!$D$1:$O$258,8,FALSE))))</f>
        <v/>
      </c>
      <c r="K137" s="310" t="str">
        <f>IF(E137="","",IF(ISNA(VLOOKUP($E137,'A-1 On-Site Habitat Baseline'!$D$1:$O$258,9,FALSE)),"",(VLOOKUP($E137,'A-1 On-Site Habitat Baseline'!$D$1:$O$258,9,FALSE))))</f>
        <v/>
      </c>
      <c r="L137" s="310" t="str">
        <f>IF(E137="","",IF(ISNA(VLOOKUP($E137,'A-1 On-Site Habitat Baseline'!$D$1:$O$258,11,FALSE)),"",(VLOOKUP($E137,'A-1 On-Site Habitat Baseline'!$D$1:$O$258,11,FALSE))))</f>
        <v/>
      </c>
      <c r="M137" s="310" t="str">
        <f>IF(E137="","",IF(ISNA(VLOOKUP($E137,'A-1 On-Site Habitat Baseline'!$D$1:$O$258,12,FALSE)),"",(VLOOKUP($E137,'A-1 On-Site Habitat Baseline'!$D$1:$O$258,12,FALSE))))</f>
        <v/>
      </c>
      <c r="N137" s="320" t="str">
        <f>IF(E137="","",IF(ISNA(VLOOKUP($E137,'A-1 On-Site Habitat Baseline'!$D$1:$X$258,14,FALSE)),"",(VLOOKUP($E137,'A-1 On-Site Habitat Baseline'!$D$1:$X$258,14,FALSE))))</f>
        <v/>
      </c>
      <c r="O137" s="314" t="str">
        <f>IF(E137="","",IF(ISNA(VLOOKUP($E137,'A-1 On-Site Habitat Baseline'!$D$1:$X$258,16,FALSE)),"",(VLOOKUP($E137,'A-1 On-Site Habitat Baseline'!$D$1:$X$258,13,FALSE))))</f>
        <v/>
      </c>
      <c r="P137" s="161" t="str">
        <f>IFERROR(INDEX('G-1 All Habitats'!$AG$49:$AG$63,MATCH(Q137,'G-1 All Habitats'!$AF$27:$AF$41,0)),"")</f>
        <v/>
      </c>
      <c r="Q137" s="162" t="str">
        <f t="shared" si="13"/>
        <v/>
      </c>
      <c r="R137" s="162"/>
      <c r="S137" s="252" t="str">
        <f>IFERROR(INDEX('G-1 All Habitats'!$B$3:$B$135,MATCH(R137,'G-1 All Habitats'!$A$3:$A$135,0)),"")</f>
        <v/>
      </c>
      <c r="T137" s="290" t="str">
        <f t="shared" si="14"/>
        <v/>
      </c>
      <c r="U137" s="291" t="str">
        <f t="shared" si="15"/>
        <v/>
      </c>
      <c r="V137" s="325" t="str">
        <f t="shared" si="11"/>
        <v/>
      </c>
      <c r="W137" s="310" t="str">
        <f>IF(S137="","",VLOOKUP(S137,'G-1 All Habitats'!$B$2:$M$135,10,FALSE))</f>
        <v/>
      </c>
      <c r="X137" s="310" t="str">
        <f>IFERROR(VLOOKUP(W137,'G-1 All Habitats'!$V$3:$W$7,2,FALSE),"")</f>
        <v/>
      </c>
      <c r="Y137" s="45"/>
      <c r="Z137" s="314" t="str">
        <f>IFERROR(INDEX('G-8 Condition Look up'!$A$3:$H$135,MATCH(S137,'G-8 Condition Look up'!$A$3:$A$135,0),MATCH(Y137,'G-8 Condition Look up'!$A$3:$H$3,0)),"")</f>
        <v/>
      </c>
      <c r="AA137" s="38"/>
      <c r="AB137" s="310" t="str">
        <f>IF(AA137="","",IF(VLOOKUP(AA137,'G-3 Multipliers'!$L$3:$N$6,2,FALSE)=0,"Spatial Data Missing ⚠",VLOOKUP(AA137,'G-3 Multipliers'!$L$3:$N$6,2,FALSE)))</f>
        <v/>
      </c>
      <c r="AC137" s="314" t="str">
        <f>IF(AA137="","",IF(VLOOKUP(AA137,'G-3 Multipliers'!$L$3:$N$6,3,FALSE)=0,"Spatial Data Missing ⚠",VLOOKUP(AA137,'G-3 Multipliers'!$L$3:$N$6,3,FALSE)))</f>
        <v/>
      </c>
      <c r="AD137" s="327" t="str">
        <f t="shared" si="12"/>
        <v/>
      </c>
      <c r="AE137" s="47"/>
      <c r="AF137" s="47"/>
      <c r="AG137" s="298" t="str">
        <f t="shared" si="16"/>
        <v/>
      </c>
      <c r="AH137" s="311" t="str">
        <f t="shared" si="17"/>
        <v/>
      </c>
      <c r="AI137" s="312" t="str">
        <f>IF(AH137="Check Data","Check Data",IFERROR(VLOOKUP(AH137,'G-4 Temporal multipliers'!$A$4:$C$36,3,FALSE),""))</f>
        <v/>
      </c>
      <c r="AJ137" s="290" t="str">
        <f>IF(S137="","",VLOOKUP(S137,'G-3 Multipliers'!$A$2:$E$134,4,FALSE))</f>
        <v/>
      </c>
      <c r="AK137" s="298" t="str">
        <f t="shared" si="18"/>
        <v/>
      </c>
      <c r="AL137" s="298" t="str">
        <f t="shared" si="19"/>
        <v/>
      </c>
      <c r="AM137" s="328" t="str">
        <f>IFERROR(IF(F137="","",IF(AH137="Check Data ⚠","Check Data ⚠",VLOOKUP(AL137, 'G-3 Multipliers'!$P$2:$Q$6,2,FALSE))),"")</f>
        <v/>
      </c>
      <c r="AN137" s="304" t="str">
        <f t="shared" si="20"/>
        <v/>
      </c>
      <c r="AO137" s="163"/>
      <c r="AP137" s="164"/>
      <c r="AQ137" s="101"/>
      <c r="AT137" s="20" t="str">
        <f t="shared" si="21"/>
        <v>No</v>
      </c>
      <c r="AU137" s="20" t="str">
        <f>IF(E137="","",IF(ISNA(VLOOKUP($E137,'A-1 On-Site Habitat Baseline'!$D$1:$AV$258,4,FALSE)),"",(VLOOKUP($E137,'A-1 On-Site Habitat Baseline'!$D$1:$AV$258,4,FALSE))))</f>
        <v/>
      </c>
    </row>
    <row r="138" spans="1:47" x14ac:dyDescent="0.3">
      <c r="A138" s="20" t="str">
        <f>IF(E138="","",IF(ISNA(VLOOKUP($E138,'A-1 On-Site Habitat Baseline'!$D$1:$O$258,2,FALSE)),"",(VLOOKUP($E138,'A-1 On-Site Habitat Baseline'!$D$1:$O$258,2,FALSE))))</f>
        <v/>
      </c>
      <c r="B138" s="20" t="str">
        <f>IF(E138="","",IF(ISNA(VLOOKUP($E138,'A-1 On-Site Habitat Baseline'!$D$1:$O$258,3,FALSE)),"",(VLOOKUP($E138,'A-1 On-Site Habitat Baseline'!$D$1:$O$258,3,FALSE))))</f>
        <v/>
      </c>
      <c r="C138" s="20" t="str">
        <f>IFERROR(INDEX('G-8 Condition Look up'!$I$4:$I$135,MATCH(S138,'G-8 Condition Look up'!$A$4:$A$135,0)),"")</f>
        <v/>
      </c>
      <c r="E138" s="319" t="str">
        <f>'A-1 On-Site Habitat Baseline'!AL137</f>
        <v/>
      </c>
      <c r="F138" s="310" t="str">
        <f>IF(E138="","",IF(ISNA(VLOOKUP($E138,'A-1 On-Site Habitat Baseline'!$D$1:$AV$258,45,FALSE)),"",(VLOOKUP($E138,'A-1 On-Site Habitat Baseline'!$D$1:$AV$258,45,FALSE))))</f>
        <v/>
      </c>
      <c r="G138" s="310" t="str">
        <f>IF(E138="","",IF(ISNA(VLOOKUP($E138,'A-1 On-Site Habitat Baseline'!$D$1:$O$258,5,FALSE)),"",(VLOOKUP($E138,'A-1 On-Site Habitat Baseline'!$D$1:$O$258,5,FALSE))))</f>
        <v/>
      </c>
      <c r="H138" s="310" t="str">
        <f>IF(E138="","",IF(ISNA(VLOOKUP($E138,'A-1 On-Site Habitat Baseline'!$D$1:$O$258,6,FALSE)),"",(VLOOKUP($E138,'A-1 On-Site Habitat Baseline'!$D$1:$O$258,6,FALSE))))</f>
        <v/>
      </c>
      <c r="I138" s="310" t="str">
        <f>IF(E138="","",IF(ISNA(VLOOKUP($E138,'A-1 On-Site Habitat Baseline'!$D$1:$O$258,7,FALSE)),"",(VLOOKUP($E138,'A-1 On-Site Habitat Baseline'!$D$1:$O$258,7,FALSE))))</f>
        <v/>
      </c>
      <c r="J138" s="310" t="str">
        <f>IF(E138="","",IF(ISNA(VLOOKUP($E138,'A-1 On-Site Habitat Baseline'!$D$1:$O$258,8,FALSE)),"",(VLOOKUP($E138,'A-1 On-Site Habitat Baseline'!$D$1:$O$258,8,FALSE))))</f>
        <v/>
      </c>
      <c r="K138" s="310" t="str">
        <f>IF(E138="","",IF(ISNA(VLOOKUP($E138,'A-1 On-Site Habitat Baseline'!$D$1:$O$258,9,FALSE)),"",(VLOOKUP($E138,'A-1 On-Site Habitat Baseline'!$D$1:$O$258,9,FALSE))))</f>
        <v/>
      </c>
      <c r="L138" s="310" t="str">
        <f>IF(E138="","",IF(ISNA(VLOOKUP($E138,'A-1 On-Site Habitat Baseline'!$D$1:$O$258,11,FALSE)),"",(VLOOKUP($E138,'A-1 On-Site Habitat Baseline'!$D$1:$O$258,11,FALSE))))</f>
        <v/>
      </c>
      <c r="M138" s="310" t="str">
        <f>IF(E138="","",IF(ISNA(VLOOKUP($E138,'A-1 On-Site Habitat Baseline'!$D$1:$O$258,12,FALSE)),"",(VLOOKUP($E138,'A-1 On-Site Habitat Baseline'!$D$1:$O$258,12,FALSE))))</f>
        <v/>
      </c>
      <c r="N138" s="320" t="str">
        <f>IF(E138="","",IF(ISNA(VLOOKUP($E138,'A-1 On-Site Habitat Baseline'!$D$1:$X$258,14,FALSE)),"",(VLOOKUP($E138,'A-1 On-Site Habitat Baseline'!$D$1:$X$258,14,FALSE))))</f>
        <v/>
      </c>
      <c r="O138" s="314" t="str">
        <f>IF(E138="","",IF(ISNA(VLOOKUP($E138,'A-1 On-Site Habitat Baseline'!$D$1:$X$258,16,FALSE)),"",(VLOOKUP($E138,'A-1 On-Site Habitat Baseline'!$D$1:$X$258,13,FALSE))))</f>
        <v/>
      </c>
      <c r="P138" s="161" t="str">
        <f>IFERROR(INDEX('G-1 All Habitats'!$AG$49:$AG$63,MATCH(Q138,'G-1 All Habitats'!$AF$27:$AF$41,0)),"")</f>
        <v/>
      </c>
      <c r="Q138" s="162" t="str">
        <f t="shared" si="13"/>
        <v/>
      </c>
      <c r="R138" s="162"/>
      <c r="S138" s="252" t="str">
        <f>IFERROR(INDEX('G-1 All Habitats'!$B$3:$B$135,MATCH(R138,'G-1 All Habitats'!$A$3:$A$135,0)),"")</f>
        <v/>
      </c>
      <c r="T138" s="290" t="str">
        <f t="shared" si="14"/>
        <v/>
      </c>
      <c r="U138" s="291" t="str">
        <f t="shared" si="15"/>
        <v/>
      </c>
      <c r="V138" s="325" t="str">
        <f t="shared" si="11"/>
        <v/>
      </c>
      <c r="W138" s="310" t="str">
        <f>IF(S138="","",VLOOKUP(S138,'G-1 All Habitats'!$B$2:$M$135,10,FALSE))</f>
        <v/>
      </c>
      <c r="X138" s="310" t="str">
        <f>IFERROR(VLOOKUP(W138,'G-1 All Habitats'!$V$3:$W$7,2,FALSE),"")</f>
        <v/>
      </c>
      <c r="Y138" s="45"/>
      <c r="Z138" s="314" t="str">
        <f>IFERROR(INDEX('G-8 Condition Look up'!$A$3:$H$135,MATCH(S138,'G-8 Condition Look up'!$A$3:$A$135,0),MATCH(Y138,'G-8 Condition Look up'!$A$3:$H$3,0)),"")</f>
        <v/>
      </c>
      <c r="AA138" s="38"/>
      <c r="AB138" s="310" t="str">
        <f>IF(AA138="","",IF(VLOOKUP(AA138,'G-3 Multipliers'!$L$3:$N$6,2,FALSE)=0,"Spatial Data Missing ⚠",VLOOKUP(AA138,'G-3 Multipliers'!$L$3:$N$6,2,FALSE)))</f>
        <v/>
      </c>
      <c r="AC138" s="314" t="str">
        <f>IF(AA138="","",IF(VLOOKUP(AA138,'G-3 Multipliers'!$L$3:$N$6,3,FALSE)=0,"Spatial Data Missing ⚠",VLOOKUP(AA138,'G-3 Multipliers'!$L$3:$N$6,3,FALSE)))</f>
        <v/>
      </c>
      <c r="AD138" s="327" t="str">
        <f t="shared" si="12"/>
        <v/>
      </c>
      <c r="AE138" s="47"/>
      <c r="AF138" s="47"/>
      <c r="AG138" s="298" t="str">
        <f t="shared" si="16"/>
        <v/>
      </c>
      <c r="AH138" s="311" t="str">
        <f t="shared" si="17"/>
        <v/>
      </c>
      <c r="AI138" s="312" t="str">
        <f>IF(AH138="Check Data","Check Data",IFERROR(VLOOKUP(AH138,'G-4 Temporal multipliers'!$A$4:$C$36,3,FALSE),""))</f>
        <v/>
      </c>
      <c r="AJ138" s="290" t="str">
        <f>IF(S138="","",VLOOKUP(S138,'G-3 Multipliers'!$A$2:$E$134,4,FALSE))</f>
        <v/>
      </c>
      <c r="AK138" s="298" t="str">
        <f t="shared" si="18"/>
        <v/>
      </c>
      <c r="AL138" s="298" t="str">
        <f t="shared" si="19"/>
        <v/>
      </c>
      <c r="AM138" s="328" t="str">
        <f>IFERROR(IF(F138="","",IF(AH138="Check Data ⚠","Check Data ⚠",VLOOKUP(AL138, 'G-3 Multipliers'!$P$2:$Q$6,2,FALSE))),"")</f>
        <v/>
      </c>
      <c r="AN138" s="304" t="str">
        <f t="shared" si="20"/>
        <v/>
      </c>
      <c r="AO138" s="163"/>
      <c r="AP138" s="164"/>
      <c r="AQ138" s="101"/>
      <c r="AT138" s="20" t="str">
        <f t="shared" si="21"/>
        <v>No</v>
      </c>
      <c r="AU138" s="20" t="str">
        <f>IF(E138="","",IF(ISNA(VLOOKUP($E138,'A-1 On-Site Habitat Baseline'!$D$1:$AV$258,4,FALSE)),"",(VLOOKUP($E138,'A-1 On-Site Habitat Baseline'!$D$1:$AV$258,4,FALSE))))</f>
        <v/>
      </c>
    </row>
    <row r="139" spans="1:47" x14ac:dyDescent="0.3">
      <c r="A139" s="20" t="str">
        <f>IF(E139="","",IF(ISNA(VLOOKUP($E139,'A-1 On-Site Habitat Baseline'!$D$1:$O$258,2,FALSE)),"",(VLOOKUP($E139,'A-1 On-Site Habitat Baseline'!$D$1:$O$258,2,FALSE))))</f>
        <v/>
      </c>
      <c r="B139" s="20" t="str">
        <f>IF(E139="","",IF(ISNA(VLOOKUP($E139,'A-1 On-Site Habitat Baseline'!$D$1:$O$258,3,FALSE)),"",(VLOOKUP($E139,'A-1 On-Site Habitat Baseline'!$D$1:$O$258,3,FALSE))))</f>
        <v/>
      </c>
      <c r="C139" s="20" t="str">
        <f>IFERROR(INDEX('G-8 Condition Look up'!$I$4:$I$135,MATCH(S139,'G-8 Condition Look up'!$A$4:$A$135,0)),"")</f>
        <v/>
      </c>
      <c r="E139" s="319" t="str">
        <f>'A-1 On-Site Habitat Baseline'!AL138</f>
        <v/>
      </c>
      <c r="F139" s="310" t="str">
        <f>IF(E139="","",IF(ISNA(VLOOKUP($E139,'A-1 On-Site Habitat Baseline'!$D$1:$AV$258,45,FALSE)),"",(VLOOKUP($E139,'A-1 On-Site Habitat Baseline'!$D$1:$AV$258,45,FALSE))))</f>
        <v/>
      </c>
      <c r="G139" s="310" t="str">
        <f>IF(E139="","",IF(ISNA(VLOOKUP($E139,'A-1 On-Site Habitat Baseline'!$D$1:$O$258,5,FALSE)),"",(VLOOKUP($E139,'A-1 On-Site Habitat Baseline'!$D$1:$O$258,5,FALSE))))</f>
        <v/>
      </c>
      <c r="H139" s="310" t="str">
        <f>IF(E139="","",IF(ISNA(VLOOKUP($E139,'A-1 On-Site Habitat Baseline'!$D$1:$O$258,6,FALSE)),"",(VLOOKUP($E139,'A-1 On-Site Habitat Baseline'!$D$1:$O$258,6,FALSE))))</f>
        <v/>
      </c>
      <c r="I139" s="310" t="str">
        <f>IF(E139="","",IF(ISNA(VLOOKUP($E139,'A-1 On-Site Habitat Baseline'!$D$1:$O$258,7,FALSE)),"",(VLOOKUP($E139,'A-1 On-Site Habitat Baseline'!$D$1:$O$258,7,FALSE))))</f>
        <v/>
      </c>
      <c r="J139" s="310" t="str">
        <f>IF(E139="","",IF(ISNA(VLOOKUP($E139,'A-1 On-Site Habitat Baseline'!$D$1:$O$258,8,FALSE)),"",(VLOOKUP($E139,'A-1 On-Site Habitat Baseline'!$D$1:$O$258,8,FALSE))))</f>
        <v/>
      </c>
      <c r="K139" s="310" t="str">
        <f>IF(E139="","",IF(ISNA(VLOOKUP($E139,'A-1 On-Site Habitat Baseline'!$D$1:$O$258,9,FALSE)),"",(VLOOKUP($E139,'A-1 On-Site Habitat Baseline'!$D$1:$O$258,9,FALSE))))</f>
        <v/>
      </c>
      <c r="L139" s="310" t="str">
        <f>IF(E139="","",IF(ISNA(VLOOKUP($E139,'A-1 On-Site Habitat Baseline'!$D$1:$O$258,11,FALSE)),"",(VLOOKUP($E139,'A-1 On-Site Habitat Baseline'!$D$1:$O$258,11,FALSE))))</f>
        <v/>
      </c>
      <c r="M139" s="310" t="str">
        <f>IF(E139="","",IF(ISNA(VLOOKUP($E139,'A-1 On-Site Habitat Baseline'!$D$1:$O$258,12,FALSE)),"",(VLOOKUP($E139,'A-1 On-Site Habitat Baseline'!$D$1:$O$258,12,FALSE))))</f>
        <v/>
      </c>
      <c r="N139" s="320" t="str">
        <f>IF(E139="","",IF(ISNA(VLOOKUP($E139,'A-1 On-Site Habitat Baseline'!$D$1:$X$258,14,FALSE)),"",(VLOOKUP($E139,'A-1 On-Site Habitat Baseline'!$D$1:$X$258,14,FALSE))))</f>
        <v/>
      </c>
      <c r="O139" s="314" t="str">
        <f>IF(E139="","",IF(ISNA(VLOOKUP($E139,'A-1 On-Site Habitat Baseline'!$D$1:$X$258,16,FALSE)),"",(VLOOKUP($E139,'A-1 On-Site Habitat Baseline'!$D$1:$X$258,13,FALSE))))</f>
        <v/>
      </c>
      <c r="P139" s="161" t="str">
        <f>IFERROR(INDEX('G-1 All Habitats'!$AG$49:$AG$63,MATCH(Q139,'G-1 All Habitats'!$AF$27:$AF$41,0)),"")</f>
        <v/>
      </c>
      <c r="Q139" s="162" t="str">
        <f t="shared" si="13"/>
        <v/>
      </c>
      <c r="R139" s="162"/>
      <c r="S139" s="252" t="str">
        <f>IFERROR(INDEX('G-1 All Habitats'!$B$3:$B$135,MATCH(R139,'G-1 All Habitats'!$A$3:$A$135,0)),"")</f>
        <v/>
      </c>
      <c r="T139" s="290" t="str">
        <f t="shared" si="14"/>
        <v/>
      </c>
      <c r="U139" s="291" t="str">
        <f t="shared" si="15"/>
        <v/>
      </c>
      <c r="V139" s="325" t="str">
        <f t="shared" si="11"/>
        <v/>
      </c>
      <c r="W139" s="310" t="str">
        <f>IF(S139="","",VLOOKUP(S139,'G-1 All Habitats'!$B$2:$M$135,10,FALSE))</f>
        <v/>
      </c>
      <c r="X139" s="310" t="str">
        <f>IFERROR(VLOOKUP(W139,'G-1 All Habitats'!$V$3:$W$7,2,FALSE),"")</f>
        <v/>
      </c>
      <c r="Y139" s="45"/>
      <c r="Z139" s="314" t="str">
        <f>IFERROR(INDEX('G-8 Condition Look up'!$A$3:$H$135,MATCH(S139,'G-8 Condition Look up'!$A$3:$A$135,0),MATCH(Y139,'G-8 Condition Look up'!$A$3:$H$3,0)),"")</f>
        <v/>
      </c>
      <c r="AA139" s="38"/>
      <c r="AB139" s="310" t="str">
        <f>IF(AA139="","",IF(VLOOKUP(AA139,'G-3 Multipliers'!$L$3:$N$6,2,FALSE)=0,"Spatial Data Missing ⚠",VLOOKUP(AA139,'G-3 Multipliers'!$L$3:$N$6,2,FALSE)))</f>
        <v/>
      </c>
      <c r="AC139" s="314" t="str">
        <f>IF(AA139="","",IF(VLOOKUP(AA139,'G-3 Multipliers'!$L$3:$N$6,3,FALSE)=0,"Spatial Data Missing ⚠",VLOOKUP(AA139,'G-3 Multipliers'!$L$3:$N$6,3,FALSE)))</f>
        <v/>
      </c>
      <c r="AD139" s="327" t="str">
        <f t="shared" si="12"/>
        <v/>
      </c>
      <c r="AE139" s="47"/>
      <c r="AF139" s="47"/>
      <c r="AG139" s="298" t="str">
        <f t="shared" si="16"/>
        <v/>
      </c>
      <c r="AH139" s="311" t="str">
        <f t="shared" si="17"/>
        <v/>
      </c>
      <c r="AI139" s="312" t="str">
        <f>IF(AH139="Check Data","Check Data",IFERROR(VLOOKUP(AH139,'G-4 Temporal multipliers'!$A$4:$C$36,3,FALSE),""))</f>
        <v/>
      </c>
      <c r="AJ139" s="290" t="str">
        <f>IF(S139="","",VLOOKUP(S139,'G-3 Multipliers'!$A$2:$E$134,4,FALSE))</f>
        <v/>
      </c>
      <c r="AK139" s="298" t="str">
        <f t="shared" si="18"/>
        <v/>
      </c>
      <c r="AL139" s="298" t="str">
        <f t="shared" si="19"/>
        <v/>
      </c>
      <c r="AM139" s="328" t="str">
        <f>IFERROR(IF(F139="","",IF(AH139="Check Data ⚠","Check Data ⚠",VLOOKUP(AL139, 'G-3 Multipliers'!$P$2:$Q$6,2,FALSE))),"")</f>
        <v/>
      </c>
      <c r="AN139" s="304" t="str">
        <f t="shared" si="20"/>
        <v/>
      </c>
      <c r="AO139" s="163"/>
      <c r="AP139" s="164"/>
      <c r="AQ139" s="101"/>
      <c r="AT139" s="20" t="str">
        <f t="shared" si="21"/>
        <v>No</v>
      </c>
      <c r="AU139" s="20" t="str">
        <f>IF(E139="","",IF(ISNA(VLOOKUP($E139,'A-1 On-Site Habitat Baseline'!$D$1:$AV$258,4,FALSE)),"",(VLOOKUP($E139,'A-1 On-Site Habitat Baseline'!$D$1:$AV$258,4,FALSE))))</f>
        <v/>
      </c>
    </row>
    <row r="140" spans="1:47" x14ac:dyDescent="0.3">
      <c r="A140" s="20" t="str">
        <f>IF(E140="","",IF(ISNA(VLOOKUP($E140,'A-1 On-Site Habitat Baseline'!$D$1:$O$258,2,FALSE)),"",(VLOOKUP($E140,'A-1 On-Site Habitat Baseline'!$D$1:$O$258,2,FALSE))))</f>
        <v/>
      </c>
      <c r="B140" s="20" t="str">
        <f>IF(E140="","",IF(ISNA(VLOOKUP($E140,'A-1 On-Site Habitat Baseline'!$D$1:$O$258,3,FALSE)),"",(VLOOKUP($E140,'A-1 On-Site Habitat Baseline'!$D$1:$O$258,3,FALSE))))</f>
        <v/>
      </c>
      <c r="C140" s="20" t="str">
        <f>IFERROR(INDEX('G-8 Condition Look up'!$I$4:$I$135,MATCH(S140,'G-8 Condition Look up'!$A$4:$A$135,0)),"")</f>
        <v/>
      </c>
      <c r="E140" s="319" t="str">
        <f>'A-1 On-Site Habitat Baseline'!AL139</f>
        <v/>
      </c>
      <c r="F140" s="310" t="str">
        <f>IF(E140="","",IF(ISNA(VLOOKUP($E140,'A-1 On-Site Habitat Baseline'!$D$1:$AV$258,45,FALSE)),"",(VLOOKUP($E140,'A-1 On-Site Habitat Baseline'!$D$1:$AV$258,45,FALSE))))</f>
        <v/>
      </c>
      <c r="G140" s="310" t="str">
        <f>IF(E140="","",IF(ISNA(VLOOKUP($E140,'A-1 On-Site Habitat Baseline'!$D$1:$O$258,5,FALSE)),"",(VLOOKUP($E140,'A-1 On-Site Habitat Baseline'!$D$1:$O$258,5,FALSE))))</f>
        <v/>
      </c>
      <c r="H140" s="310" t="str">
        <f>IF(E140="","",IF(ISNA(VLOOKUP($E140,'A-1 On-Site Habitat Baseline'!$D$1:$O$258,6,FALSE)),"",(VLOOKUP($E140,'A-1 On-Site Habitat Baseline'!$D$1:$O$258,6,FALSE))))</f>
        <v/>
      </c>
      <c r="I140" s="310" t="str">
        <f>IF(E140="","",IF(ISNA(VLOOKUP($E140,'A-1 On-Site Habitat Baseline'!$D$1:$O$258,7,FALSE)),"",(VLOOKUP($E140,'A-1 On-Site Habitat Baseline'!$D$1:$O$258,7,FALSE))))</f>
        <v/>
      </c>
      <c r="J140" s="310" t="str">
        <f>IF(E140="","",IF(ISNA(VLOOKUP($E140,'A-1 On-Site Habitat Baseline'!$D$1:$O$258,8,FALSE)),"",(VLOOKUP($E140,'A-1 On-Site Habitat Baseline'!$D$1:$O$258,8,FALSE))))</f>
        <v/>
      </c>
      <c r="K140" s="310" t="str">
        <f>IF(E140="","",IF(ISNA(VLOOKUP($E140,'A-1 On-Site Habitat Baseline'!$D$1:$O$258,9,FALSE)),"",(VLOOKUP($E140,'A-1 On-Site Habitat Baseline'!$D$1:$O$258,9,FALSE))))</f>
        <v/>
      </c>
      <c r="L140" s="310" t="str">
        <f>IF(E140="","",IF(ISNA(VLOOKUP($E140,'A-1 On-Site Habitat Baseline'!$D$1:$O$258,11,FALSE)),"",(VLOOKUP($E140,'A-1 On-Site Habitat Baseline'!$D$1:$O$258,11,FALSE))))</f>
        <v/>
      </c>
      <c r="M140" s="310" t="str">
        <f>IF(E140="","",IF(ISNA(VLOOKUP($E140,'A-1 On-Site Habitat Baseline'!$D$1:$O$258,12,FALSE)),"",(VLOOKUP($E140,'A-1 On-Site Habitat Baseline'!$D$1:$O$258,12,FALSE))))</f>
        <v/>
      </c>
      <c r="N140" s="320" t="str">
        <f>IF(E140="","",IF(ISNA(VLOOKUP($E140,'A-1 On-Site Habitat Baseline'!$D$1:$X$258,14,FALSE)),"",(VLOOKUP($E140,'A-1 On-Site Habitat Baseline'!$D$1:$X$258,14,FALSE))))</f>
        <v/>
      </c>
      <c r="O140" s="314" t="str">
        <f>IF(E140="","",IF(ISNA(VLOOKUP($E140,'A-1 On-Site Habitat Baseline'!$D$1:$X$258,16,FALSE)),"",(VLOOKUP($E140,'A-1 On-Site Habitat Baseline'!$D$1:$X$258,13,FALSE))))</f>
        <v/>
      </c>
      <c r="P140" s="161" t="str">
        <f>IFERROR(INDEX('G-1 All Habitats'!$AG$49:$AG$63,MATCH(Q140,'G-1 All Habitats'!$AF$27:$AF$41,0)),"")</f>
        <v/>
      </c>
      <c r="Q140" s="162" t="str">
        <f t="shared" si="13"/>
        <v/>
      </c>
      <c r="R140" s="162"/>
      <c r="S140" s="252" t="str">
        <f>IFERROR(INDEX('G-1 All Habitats'!$B$3:$B$135,MATCH(R140,'G-1 All Habitats'!$A$3:$A$135,0)),"")</f>
        <v/>
      </c>
      <c r="T140" s="290" t="str">
        <f t="shared" si="14"/>
        <v/>
      </c>
      <c r="U140" s="291" t="str">
        <f t="shared" si="15"/>
        <v/>
      </c>
      <c r="V140" s="325" t="str">
        <f t="shared" ref="V140:V203" si="22">IF(S140="","",VLOOKUP(E140,BaselineHabSite,17,FALSE))</f>
        <v/>
      </c>
      <c r="W140" s="310" t="str">
        <f>IF(S140="","",VLOOKUP(S140,'G-1 All Habitats'!$B$2:$M$135,10,FALSE))</f>
        <v/>
      </c>
      <c r="X140" s="310" t="str">
        <f>IFERROR(VLOOKUP(W140,'G-1 All Habitats'!$V$3:$W$7,2,FALSE),"")</f>
        <v/>
      </c>
      <c r="Y140" s="45"/>
      <c r="Z140" s="314" t="str">
        <f>IFERROR(INDEX('G-8 Condition Look up'!$A$3:$H$135,MATCH(S140,'G-8 Condition Look up'!$A$3:$A$135,0),MATCH(Y140,'G-8 Condition Look up'!$A$3:$H$3,0)),"")</f>
        <v/>
      </c>
      <c r="AA140" s="38"/>
      <c r="AB140" s="310" t="str">
        <f>IF(AA140="","",IF(VLOOKUP(AA140,'G-3 Multipliers'!$L$3:$N$6,2,FALSE)=0,"Spatial Data Missing ⚠",VLOOKUP(AA140,'G-3 Multipliers'!$L$3:$N$6,2,FALSE)))</f>
        <v/>
      </c>
      <c r="AC140" s="314" t="str">
        <f>IF(AA140="","",IF(VLOOKUP(AA140,'G-3 Multipliers'!$L$3:$N$6,3,FALSE)=0,"Spatial Data Missing ⚠",VLOOKUP(AA140,'G-3 Multipliers'!$L$3:$N$6,3,FALSE)))</f>
        <v/>
      </c>
      <c r="AD140" s="327" t="str">
        <f t="shared" ref="AD140:AD203" si="23">IFERROR(IF(OR(LEFT(U140,5)="Error",LEFT(T140,5)="Error"),"Check Data ⚠",INDEX(EnhanceTemporal,MATCH(S140,EnhanceHabitat,0),MATCH(U140,EnhanceCondition,0))),"")</f>
        <v/>
      </c>
      <c r="AE140" s="47"/>
      <c r="AF140" s="47"/>
      <c r="AG140" s="298" t="str">
        <f t="shared" si="16"/>
        <v/>
      </c>
      <c r="AH140" s="311" t="str">
        <f t="shared" si="17"/>
        <v/>
      </c>
      <c r="AI140" s="312" t="str">
        <f>IF(AH140="Check Data","Check Data",IFERROR(VLOOKUP(AH140,'G-4 Temporal multipliers'!$A$4:$C$36,3,FALSE),""))</f>
        <v/>
      </c>
      <c r="AJ140" s="290" t="str">
        <f>IF(S140="","",VLOOKUP(S140,'G-3 Multipliers'!$A$2:$E$134,4,FALSE))</f>
        <v/>
      </c>
      <c r="AK140" s="298" t="str">
        <f t="shared" si="18"/>
        <v/>
      </c>
      <c r="AL140" s="298" t="str">
        <f t="shared" si="19"/>
        <v/>
      </c>
      <c r="AM140" s="328" t="str">
        <f>IFERROR(IF(F140="","",IF(AH140="Check Data ⚠","Check Data ⚠",VLOOKUP(AL140, 'G-3 Multipliers'!$P$2:$Q$6,2,FALSE))),"")</f>
        <v/>
      </c>
      <c r="AN140" s="304" t="str">
        <f t="shared" si="20"/>
        <v/>
      </c>
      <c r="AO140" s="163"/>
      <c r="AP140" s="164"/>
      <c r="AQ140" s="101"/>
      <c r="AT140" s="20" t="str">
        <f t="shared" si="21"/>
        <v>No</v>
      </c>
      <c r="AU140" s="20" t="str">
        <f>IF(E140="","",IF(ISNA(VLOOKUP($E140,'A-1 On-Site Habitat Baseline'!$D$1:$AV$258,4,FALSE)),"",(VLOOKUP($E140,'A-1 On-Site Habitat Baseline'!$D$1:$AV$258,4,FALSE))))</f>
        <v/>
      </c>
    </row>
    <row r="141" spans="1:47" x14ac:dyDescent="0.3">
      <c r="A141" s="20" t="str">
        <f>IF(E141="","",IF(ISNA(VLOOKUP($E141,'A-1 On-Site Habitat Baseline'!$D$1:$O$258,2,FALSE)),"",(VLOOKUP($E141,'A-1 On-Site Habitat Baseline'!$D$1:$O$258,2,FALSE))))</f>
        <v/>
      </c>
      <c r="B141" s="20" t="str">
        <f>IF(E141="","",IF(ISNA(VLOOKUP($E141,'A-1 On-Site Habitat Baseline'!$D$1:$O$258,3,FALSE)),"",(VLOOKUP($E141,'A-1 On-Site Habitat Baseline'!$D$1:$O$258,3,FALSE))))</f>
        <v/>
      </c>
      <c r="C141" s="20" t="str">
        <f>IFERROR(INDEX('G-8 Condition Look up'!$I$4:$I$135,MATCH(S141,'G-8 Condition Look up'!$A$4:$A$135,0)),"")</f>
        <v/>
      </c>
      <c r="E141" s="319" t="str">
        <f>'A-1 On-Site Habitat Baseline'!AL140</f>
        <v/>
      </c>
      <c r="F141" s="310" t="str">
        <f>IF(E141="","",IF(ISNA(VLOOKUP($E141,'A-1 On-Site Habitat Baseline'!$D$1:$AV$258,45,FALSE)),"",(VLOOKUP($E141,'A-1 On-Site Habitat Baseline'!$D$1:$AV$258,45,FALSE))))</f>
        <v/>
      </c>
      <c r="G141" s="310" t="str">
        <f>IF(E141="","",IF(ISNA(VLOOKUP($E141,'A-1 On-Site Habitat Baseline'!$D$1:$O$258,5,FALSE)),"",(VLOOKUP($E141,'A-1 On-Site Habitat Baseline'!$D$1:$O$258,5,FALSE))))</f>
        <v/>
      </c>
      <c r="H141" s="310" t="str">
        <f>IF(E141="","",IF(ISNA(VLOOKUP($E141,'A-1 On-Site Habitat Baseline'!$D$1:$O$258,6,FALSE)),"",(VLOOKUP($E141,'A-1 On-Site Habitat Baseline'!$D$1:$O$258,6,FALSE))))</f>
        <v/>
      </c>
      <c r="I141" s="310" t="str">
        <f>IF(E141="","",IF(ISNA(VLOOKUP($E141,'A-1 On-Site Habitat Baseline'!$D$1:$O$258,7,FALSE)),"",(VLOOKUP($E141,'A-1 On-Site Habitat Baseline'!$D$1:$O$258,7,FALSE))))</f>
        <v/>
      </c>
      <c r="J141" s="310" t="str">
        <f>IF(E141="","",IF(ISNA(VLOOKUP($E141,'A-1 On-Site Habitat Baseline'!$D$1:$O$258,8,FALSE)),"",(VLOOKUP($E141,'A-1 On-Site Habitat Baseline'!$D$1:$O$258,8,FALSE))))</f>
        <v/>
      </c>
      <c r="K141" s="310" t="str">
        <f>IF(E141="","",IF(ISNA(VLOOKUP($E141,'A-1 On-Site Habitat Baseline'!$D$1:$O$258,9,FALSE)),"",(VLOOKUP($E141,'A-1 On-Site Habitat Baseline'!$D$1:$O$258,9,FALSE))))</f>
        <v/>
      </c>
      <c r="L141" s="310" t="str">
        <f>IF(E141="","",IF(ISNA(VLOOKUP($E141,'A-1 On-Site Habitat Baseline'!$D$1:$O$258,11,FALSE)),"",(VLOOKUP($E141,'A-1 On-Site Habitat Baseline'!$D$1:$O$258,11,FALSE))))</f>
        <v/>
      </c>
      <c r="M141" s="310" t="str">
        <f>IF(E141="","",IF(ISNA(VLOOKUP($E141,'A-1 On-Site Habitat Baseline'!$D$1:$O$258,12,FALSE)),"",(VLOOKUP($E141,'A-1 On-Site Habitat Baseline'!$D$1:$O$258,12,FALSE))))</f>
        <v/>
      </c>
      <c r="N141" s="320" t="str">
        <f>IF(E141="","",IF(ISNA(VLOOKUP($E141,'A-1 On-Site Habitat Baseline'!$D$1:$X$258,14,FALSE)),"",(VLOOKUP($E141,'A-1 On-Site Habitat Baseline'!$D$1:$X$258,14,FALSE))))</f>
        <v/>
      </c>
      <c r="O141" s="314" t="str">
        <f>IF(E141="","",IF(ISNA(VLOOKUP($E141,'A-1 On-Site Habitat Baseline'!$D$1:$X$258,16,FALSE)),"",(VLOOKUP($E141,'A-1 On-Site Habitat Baseline'!$D$1:$X$258,13,FALSE))))</f>
        <v/>
      </c>
      <c r="P141" s="161" t="str">
        <f>IFERROR(INDEX('G-1 All Habitats'!$AG$49:$AG$63,MATCH(Q141,'G-1 All Habitats'!$AF$27:$AF$41,0)),"")</f>
        <v/>
      </c>
      <c r="Q141" s="162" t="str">
        <f t="shared" ref="Q141:Q204" si="24">A141</f>
        <v/>
      </c>
      <c r="R141" s="162"/>
      <c r="S141" s="252" t="str">
        <f>IFERROR(INDEX('G-1 All Habitats'!$B$3:$B$135,MATCH(R141,'G-1 All Habitats'!$A$3:$A$135,0)),"")</f>
        <v/>
      </c>
      <c r="T141" s="290" t="str">
        <f t="shared" ref="T141:T204" si="25">IF(E141="","",IF(AND(LEFT(O141,6)="Same d",I141&gt;X141),"Error - Trading rules not satisfied ▲",IF(AND(LEFT(O141,6)="Same b",AND(LEFT(F141,5)&lt;&gt;LEFT(S141,5),I141&gt;X141)),"Error - Trading rules not satisfied ▲",IF(AND(LEFT(O141,6)="Same h",F141&lt;&gt;S141),"Error - Trading rules not satisfied ▲",IF(AND(LEFT(O141,6)="Bespok",F141&lt;&gt;S141),"Error - Trading rules not satisfied ▲",IF(X141&lt;I141,"Error Trading Down ▲",H141&amp;" - "&amp;W141))))))</f>
        <v/>
      </c>
      <c r="U141" s="291" t="str">
        <f t="shared" ref="U141:U204" si="26">IF(F141="","",IF(AND(S141&lt;&gt;F141,AU141="Yes"), "Error you cannot replace an irreplaceable habitat ▲",IF(AND(LEFT(F141,55)&lt;&gt;LEFT(S141,55),T141= "High - High"),"Error - Not like for like ▲",IF(AND(I141=X141,K141&gt;Z141),"Error - Can not reduce condition ▲",IF(AND(I141=X141,K141=Z141),"Error - No enhancement ▲", IF(K141&gt;Z141, "Error - condition cannot be reduced ▲", IF(X141&lt;I141,"Error Trading Down ▲",IF(AND(F141&lt;&gt;S141,I141&lt;X141),"Lower Distinctiveness Habitat"&amp;" - "&amp;Y141,J141&amp;" - "&amp;Y141))))))))</f>
        <v/>
      </c>
      <c r="V141" s="325" t="str">
        <f t="shared" si="22"/>
        <v/>
      </c>
      <c r="W141" s="310" t="str">
        <f>IF(S141="","",VLOOKUP(S141,'G-1 All Habitats'!$B$2:$M$135,10,FALSE))</f>
        <v/>
      </c>
      <c r="X141" s="310" t="str">
        <f>IFERROR(VLOOKUP(W141,'G-1 All Habitats'!$V$3:$W$7,2,FALSE),"")</f>
        <v/>
      </c>
      <c r="Y141" s="45"/>
      <c r="Z141" s="314" t="str">
        <f>IFERROR(INDEX('G-8 Condition Look up'!$A$3:$H$135,MATCH(S141,'G-8 Condition Look up'!$A$3:$A$135,0),MATCH(Y141,'G-8 Condition Look up'!$A$3:$H$3,0)),"")</f>
        <v/>
      </c>
      <c r="AA141" s="38"/>
      <c r="AB141" s="310" t="str">
        <f>IF(AA141="","",IF(VLOOKUP(AA141,'G-3 Multipliers'!$L$3:$N$6,2,FALSE)=0,"Spatial Data Missing ⚠",VLOOKUP(AA141,'G-3 Multipliers'!$L$3:$N$6,2,FALSE)))</f>
        <v/>
      </c>
      <c r="AC141" s="314" t="str">
        <f>IF(AA141="","",IF(VLOOKUP(AA141,'G-3 Multipliers'!$L$3:$N$6,3,FALSE)=0,"Spatial Data Missing ⚠",VLOOKUP(AA141,'G-3 Multipliers'!$L$3:$N$6,3,FALSE)))</f>
        <v/>
      </c>
      <c r="AD141" s="327" t="str">
        <f t="shared" si="23"/>
        <v/>
      </c>
      <c r="AE141" s="47"/>
      <c r="AF141" s="47"/>
      <c r="AG141" s="298" t="str">
        <f t="shared" ref="AG141:AG204" si="27">IF(AD141="","",IF(AD141="Check Data ⚠","Check Data ⚠",IF(R141="","",IF(AND(AE141&gt;0,AF141&gt;0),"Error -both advance and delayed habitat creation ▲",IF(AND(OR(AE141="Habitat already in target condition",AD141&lt;=AE141),AF141=0),"Check details - Is there evidence that habitat has reached target condition? ⚠",IF(O140="","",IF(AE141&gt;0,"Check details - Is there evidence habitat creation started/in place? ⚠",IF(AF141&gt;0,"Check details- Delay in starting habitat in required condition? ⚠","Standard time to target condition applied"))))))))</f>
        <v/>
      </c>
      <c r="AH141" s="311" t="str">
        <f t="shared" ref="AH141:AH204" si="28">IF(AG141="Error -both advance and delayed habitat creation ▲","Check Data ⚠",IF(AG141="Check Data ⚠","Check Data ⚠",IF(AD141="","",IF(AD141="Not Possible","Check Data ⚠",IF(AND(AD141="30+",AE141=0),"30+",IF(AND(AD141="30+",AE141="30+"),0,IF(AND(AD141="30+",AE141&lt;30),30-AE141,IF(AD141="30+",30-AE141,IF(AE141&gt;AD141,0,IF(AF141="30+","30+",IF(AD141+AF141&gt;30,"30+",IF(AD141+AF141&gt;30,"30+",IF(AD141-AE141&gt;30,"30+",IF(AD141+AF141-AE141&gt;0,AD141+AF141-AE141,IF(AD141-AE141&gt;0,AD141-AE141,AD141+AF141-AE141)))))))))))))))</f>
        <v/>
      </c>
      <c r="AI141" s="312" t="str">
        <f>IF(AH141="Check Data","Check Data",IFERROR(VLOOKUP(AH141,'G-4 Temporal multipliers'!$A$4:$C$36,3,FALSE),""))</f>
        <v/>
      </c>
      <c r="AJ141" s="290" t="str">
        <f>IF(S141="","",VLOOKUP(S141,'G-3 Multipliers'!$A$2:$E$134,4,FALSE))</f>
        <v/>
      </c>
      <c r="AK141" s="298" t="str">
        <f t="shared" ref="AK141:AK204" si="29">IF(E141="","",IF(AG141="Check details - Is there evidence that habitat has reached target condition? ⚠","Low Difficulty - only applicable if all habitat created before losses ⚠","Standard difficulty applied"))</f>
        <v/>
      </c>
      <c r="AL141" s="298" t="str">
        <f t="shared" ref="AL141:AL204" si="30">(IF(AND(AK141="Standard difficulty applied",AD141&gt;AE141),AJ141,IF(AND(AK141="Low Difficulty - only applicable if all habitat created before losses ⚠",AE141&gt;=AD141),"Low", AJ141)))</f>
        <v/>
      </c>
      <c r="AM141" s="328" t="str">
        <f>IFERROR(IF(F141="","",IF(AH141="Check Data ⚠","Check Data ⚠",VLOOKUP(AL141, 'G-3 Multipliers'!$P$2:$Q$6,2,FALSE))),"")</f>
        <v/>
      </c>
      <c r="AN141" s="304" t="str">
        <f t="shared" ref="AN141:AN204" si="31">IFERROR(IF(OR(F141="Individual trees - Rural tree",F141="Individual trees - Urban tree"), "Error - You cannot enhance individual trees ▲",((((V141*X141*Z141)-(V141*I141*K141))*(AM141*AI141))+(V141*I141*K141))*(AC141)),"")</f>
        <v/>
      </c>
      <c r="AO141" s="163"/>
      <c r="AP141" s="164"/>
      <c r="AQ141" s="101"/>
      <c r="AT141" s="20" t="str">
        <f t="shared" ref="AT141:AT204" si="32">IF(Q141&lt;&gt;A141,"Yes","No")</f>
        <v>No</v>
      </c>
      <c r="AU141" s="20" t="str">
        <f>IF(E141="","",IF(ISNA(VLOOKUP($E141,'A-1 On-Site Habitat Baseline'!$D$1:$AV$258,4,FALSE)),"",(VLOOKUP($E141,'A-1 On-Site Habitat Baseline'!$D$1:$AV$258,4,FALSE))))</f>
        <v/>
      </c>
    </row>
    <row r="142" spans="1:47" x14ac:dyDescent="0.3">
      <c r="A142" s="20" t="str">
        <f>IF(E142="","",IF(ISNA(VLOOKUP($E142,'A-1 On-Site Habitat Baseline'!$D$1:$O$258,2,FALSE)),"",(VLOOKUP($E142,'A-1 On-Site Habitat Baseline'!$D$1:$O$258,2,FALSE))))</f>
        <v/>
      </c>
      <c r="B142" s="20" t="str">
        <f>IF(E142="","",IF(ISNA(VLOOKUP($E142,'A-1 On-Site Habitat Baseline'!$D$1:$O$258,3,FALSE)),"",(VLOOKUP($E142,'A-1 On-Site Habitat Baseline'!$D$1:$O$258,3,FALSE))))</f>
        <v/>
      </c>
      <c r="C142" s="20" t="str">
        <f>IFERROR(INDEX('G-8 Condition Look up'!$I$4:$I$135,MATCH(S142,'G-8 Condition Look up'!$A$4:$A$135,0)),"")</f>
        <v/>
      </c>
      <c r="E142" s="319" t="str">
        <f>'A-1 On-Site Habitat Baseline'!AL141</f>
        <v/>
      </c>
      <c r="F142" s="310" t="str">
        <f>IF(E142="","",IF(ISNA(VLOOKUP($E142,'A-1 On-Site Habitat Baseline'!$D$1:$AV$258,45,FALSE)),"",(VLOOKUP($E142,'A-1 On-Site Habitat Baseline'!$D$1:$AV$258,45,FALSE))))</f>
        <v/>
      </c>
      <c r="G142" s="310" t="str">
        <f>IF(E142="","",IF(ISNA(VLOOKUP($E142,'A-1 On-Site Habitat Baseline'!$D$1:$O$258,5,FALSE)),"",(VLOOKUP($E142,'A-1 On-Site Habitat Baseline'!$D$1:$O$258,5,FALSE))))</f>
        <v/>
      </c>
      <c r="H142" s="310" t="str">
        <f>IF(E142="","",IF(ISNA(VLOOKUP($E142,'A-1 On-Site Habitat Baseline'!$D$1:$O$258,6,FALSE)),"",(VLOOKUP($E142,'A-1 On-Site Habitat Baseline'!$D$1:$O$258,6,FALSE))))</f>
        <v/>
      </c>
      <c r="I142" s="310" t="str">
        <f>IF(E142="","",IF(ISNA(VLOOKUP($E142,'A-1 On-Site Habitat Baseline'!$D$1:$O$258,7,FALSE)),"",(VLOOKUP($E142,'A-1 On-Site Habitat Baseline'!$D$1:$O$258,7,FALSE))))</f>
        <v/>
      </c>
      <c r="J142" s="310" t="str">
        <f>IF(E142="","",IF(ISNA(VLOOKUP($E142,'A-1 On-Site Habitat Baseline'!$D$1:$O$258,8,FALSE)),"",(VLOOKUP($E142,'A-1 On-Site Habitat Baseline'!$D$1:$O$258,8,FALSE))))</f>
        <v/>
      </c>
      <c r="K142" s="310" t="str">
        <f>IF(E142="","",IF(ISNA(VLOOKUP($E142,'A-1 On-Site Habitat Baseline'!$D$1:$O$258,9,FALSE)),"",(VLOOKUP($E142,'A-1 On-Site Habitat Baseline'!$D$1:$O$258,9,FALSE))))</f>
        <v/>
      </c>
      <c r="L142" s="310" t="str">
        <f>IF(E142="","",IF(ISNA(VLOOKUP($E142,'A-1 On-Site Habitat Baseline'!$D$1:$O$258,11,FALSE)),"",(VLOOKUP($E142,'A-1 On-Site Habitat Baseline'!$D$1:$O$258,11,FALSE))))</f>
        <v/>
      </c>
      <c r="M142" s="310" t="str">
        <f>IF(E142="","",IF(ISNA(VLOOKUP($E142,'A-1 On-Site Habitat Baseline'!$D$1:$O$258,12,FALSE)),"",(VLOOKUP($E142,'A-1 On-Site Habitat Baseline'!$D$1:$O$258,12,FALSE))))</f>
        <v/>
      </c>
      <c r="N142" s="320" t="str">
        <f>IF(E142="","",IF(ISNA(VLOOKUP($E142,'A-1 On-Site Habitat Baseline'!$D$1:$X$258,14,FALSE)),"",(VLOOKUP($E142,'A-1 On-Site Habitat Baseline'!$D$1:$X$258,14,FALSE))))</f>
        <v/>
      </c>
      <c r="O142" s="314" t="str">
        <f>IF(E142="","",IF(ISNA(VLOOKUP($E142,'A-1 On-Site Habitat Baseline'!$D$1:$X$258,16,FALSE)),"",(VLOOKUP($E142,'A-1 On-Site Habitat Baseline'!$D$1:$X$258,13,FALSE))))</f>
        <v/>
      </c>
      <c r="P142" s="161" t="str">
        <f>IFERROR(INDEX('G-1 All Habitats'!$AG$49:$AG$63,MATCH(Q142,'G-1 All Habitats'!$AF$27:$AF$41,0)),"")</f>
        <v/>
      </c>
      <c r="Q142" s="162" t="str">
        <f t="shared" si="24"/>
        <v/>
      </c>
      <c r="R142" s="162"/>
      <c r="S142" s="252" t="str">
        <f>IFERROR(INDEX('G-1 All Habitats'!$B$3:$B$135,MATCH(R142,'G-1 All Habitats'!$A$3:$A$135,0)),"")</f>
        <v/>
      </c>
      <c r="T142" s="290" t="str">
        <f t="shared" si="25"/>
        <v/>
      </c>
      <c r="U142" s="291" t="str">
        <f t="shared" si="26"/>
        <v/>
      </c>
      <c r="V142" s="325" t="str">
        <f t="shared" si="22"/>
        <v/>
      </c>
      <c r="W142" s="310" t="str">
        <f>IF(S142="","",VLOOKUP(S142,'G-1 All Habitats'!$B$2:$M$135,10,FALSE))</f>
        <v/>
      </c>
      <c r="X142" s="310" t="str">
        <f>IFERROR(VLOOKUP(W142,'G-1 All Habitats'!$V$3:$W$7,2,FALSE),"")</f>
        <v/>
      </c>
      <c r="Y142" s="45"/>
      <c r="Z142" s="314" t="str">
        <f>IFERROR(INDEX('G-8 Condition Look up'!$A$3:$H$135,MATCH(S142,'G-8 Condition Look up'!$A$3:$A$135,0),MATCH(Y142,'G-8 Condition Look up'!$A$3:$H$3,0)),"")</f>
        <v/>
      </c>
      <c r="AA142" s="38"/>
      <c r="AB142" s="310" t="str">
        <f>IF(AA142="","",IF(VLOOKUP(AA142,'G-3 Multipliers'!$L$3:$N$6,2,FALSE)=0,"Spatial Data Missing ⚠",VLOOKUP(AA142,'G-3 Multipliers'!$L$3:$N$6,2,FALSE)))</f>
        <v/>
      </c>
      <c r="AC142" s="314" t="str">
        <f>IF(AA142="","",IF(VLOOKUP(AA142,'G-3 Multipliers'!$L$3:$N$6,3,FALSE)=0,"Spatial Data Missing ⚠",VLOOKUP(AA142,'G-3 Multipliers'!$L$3:$N$6,3,FALSE)))</f>
        <v/>
      </c>
      <c r="AD142" s="327" t="str">
        <f t="shared" si="23"/>
        <v/>
      </c>
      <c r="AE142" s="47"/>
      <c r="AF142" s="47"/>
      <c r="AG142" s="298" t="str">
        <f t="shared" si="27"/>
        <v/>
      </c>
      <c r="AH142" s="311" t="str">
        <f t="shared" si="28"/>
        <v/>
      </c>
      <c r="AI142" s="312" t="str">
        <f>IF(AH142="Check Data","Check Data",IFERROR(VLOOKUP(AH142,'G-4 Temporal multipliers'!$A$4:$C$36,3,FALSE),""))</f>
        <v/>
      </c>
      <c r="AJ142" s="290" t="str">
        <f>IF(S142="","",VLOOKUP(S142,'G-3 Multipliers'!$A$2:$E$134,4,FALSE))</f>
        <v/>
      </c>
      <c r="AK142" s="298" t="str">
        <f t="shared" si="29"/>
        <v/>
      </c>
      <c r="AL142" s="298" t="str">
        <f t="shared" si="30"/>
        <v/>
      </c>
      <c r="AM142" s="328" t="str">
        <f>IFERROR(IF(F142="","",IF(AH142="Check Data ⚠","Check Data ⚠",VLOOKUP(AL142, 'G-3 Multipliers'!$P$2:$Q$6,2,FALSE))),"")</f>
        <v/>
      </c>
      <c r="AN142" s="304" t="str">
        <f t="shared" si="31"/>
        <v/>
      </c>
      <c r="AO142" s="163"/>
      <c r="AP142" s="164"/>
      <c r="AQ142" s="101"/>
      <c r="AT142" s="20" t="str">
        <f t="shared" si="32"/>
        <v>No</v>
      </c>
      <c r="AU142" s="20" t="str">
        <f>IF(E142="","",IF(ISNA(VLOOKUP($E142,'A-1 On-Site Habitat Baseline'!$D$1:$AV$258,4,FALSE)),"",(VLOOKUP($E142,'A-1 On-Site Habitat Baseline'!$D$1:$AV$258,4,FALSE))))</f>
        <v/>
      </c>
    </row>
    <row r="143" spans="1:47" x14ac:dyDescent="0.3">
      <c r="A143" s="20" t="str">
        <f>IF(E143="","",IF(ISNA(VLOOKUP($E143,'A-1 On-Site Habitat Baseline'!$D$1:$O$258,2,FALSE)),"",(VLOOKUP($E143,'A-1 On-Site Habitat Baseline'!$D$1:$O$258,2,FALSE))))</f>
        <v/>
      </c>
      <c r="B143" s="20" t="str">
        <f>IF(E143="","",IF(ISNA(VLOOKUP($E143,'A-1 On-Site Habitat Baseline'!$D$1:$O$258,3,FALSE)),"",(VLOOKUP($E143,'A-1 On-Site Habitat Baseline'!$D$1:$O$258,3,FALSE))))</f>
        <v/>
      </c>
      <c r="C143" s="20" t="str">
        <f>IFERROR(INDEX('G-8 Condition Look up'!$I$4:$I$135,MATCH(S143,'G-8 Condition Look up'!$A$4:$A$135,0)),"")</f>
        <v/>
      </c>
      <c r="E143" s="319" t="str">
        <f>'A-1 On-Site Habitat Baseline'!AL142</f>
        <v/>
      </c>
      <c r="F143" s="310" t="str">
        <f>IF(E143="","",IF(ISNA(VLOOKUP($E143,'A-1 On-Site Habitat Baseline'!$D$1:$AV$258,45,FALSE)),"",(VLOOKUP($E143,'A-1 On-Site Habitat Baseline'!$D$1:$AV$258,45,FALSE))))</f>
        <v/>
      </c>
      <c r="G143" s="310" t="str">
        <f>IF(E143="","",IF(ISNA(VLOOKUP($E143,'A-1 On-Site Habitat Baseline'!$D$1:$O$258,5,FALSE)),"",(VLOOKUP($E143,'A-1 On-Site Habitat Baseline'!$D$1:$O$258,5,FALSE))))</f>
        <v/>
      </c>
      <c r="H143" s="310" t="str">
        <f>IF(E143="","",IF(ISNA(VLOOKUP($E143,'A-1 On-Site Habitat Baseline'!$D$1:$O$258,6,FALSE)),"",(VLOOKUP($E143,'A-1 On-Site Habitat Baseline'!$D$1:$O$258,6,FALSE))))</f>
        <v/>
      </c>
      <c r="I143" s="310" t="str">
        <f>IF(E143="","",IF(ISNA(VLOOKUP($E143,'A-1 On-Site Habitat Baseline'!$D$1:$O$258,7,FALSE)),"",(VLOOKUP($E143,'A-1 On-Site Habitat Baseline'!$D$1:$O$258,7,FALSE))))</f>
        <v/>
      </c>
      <c r="J143" s="310" t="str">
        <f>IF(E143="","",IF(ISNA(VLOOKUP($E143,'A-1 On-Site Habitat Baseline'!$D$1:$O$258,8,FALSE)),"",(VLOOKUP($E143,'A-1 On-Site Habitat Baseline'!$D$1:$O$258,8,FALSE))))</f>
        <v/>
      </c>
      <c r="K143" s="310" t="str">
        <f>IF(E143="","",IF(ISNA(VLOOKUP($E143,'A-1 On-Site Habitat Baseline'!$D$1:$O$258,9,FALSE)),"",(VLOOKUP($E143,'A-1 On-Site Habitat Baseline'!$D$1:$O$258,9,FALSE))))</f>
        <v/>
      </c>
      <c r="L143" s="310" t="str">
        <f>IF(E143="","",IF(ISNA(VLOOKUP($E143,'A-1 On-Site Habitat Baseline'!$D$1:$O$258,11,FALSE)),"",(VLOOKUP($E143,'A-1 On-Site Habitat Baseline'!$D$1:$O$258,11,FALSE))))</f>
        <v/>
      </c>
      <c r="M143" s="310" t="str">
        <f>IF(E143="","",IF(ISNA(VLOOKUP($E143,'A-1 On-Site Habitat Baseline'!$D$1:$O$258,12,FALSE)),"",(VLOOKUP($E143,'A-1 On-Site Habitat Baseline'!$D$1:$O$258,12,FALSE))))</f>
        <v/>
      </c>
      <c r="N143" s="320" t="str">
        <f>IF(E143="","",IF(ISNA(VLOOKUP($E143,'A-1 On-Site Habitat Baseline'!$D$1:$X$258,14,FALSE)),"",(VLOOKUP($E143,'A-1 On-Site Habitat Baseline'!$D$1:$X$258,14,FALSE))))</f>
        <v/>
      </c>
      <c r="O143" s="314" t="str">
        <f>IF(E143="","",IF(ISNA(VLOOKUP($E143,'A-1 On-Site Habitat Baseline'!$D$1:$X$258,16,FALSE)),"",(VLOOKUP($E143,'A-1 On-Site Habitat Baseline'!$D$1:$X$258,13,FALSE))))</f>
        <v/>
      </c>
      <c r="P143" s="161" t="str">
        <f>IFERROR(INDEX('G-1 All Habitats'!$AG$49:$AG$63,MATCH(Q143,'G-1 All Habitats'!$AF$27:$AF$41,0)),"")</f>
        <v/>
      </c>
      <c r="Q143" s="162" t="str">
        <f t="shared" si="24"/>
        <v/>
      </c>
      <c r="R143" s="162"/>
      <c r="S143" s="252" t="str">
        <f>IFERROR(INDEX('G-1 All Habitats'!$B$3:$B$135,MATCH(R143,'G-1 All Habitats'!$A$3:$A$135,0)),"")</f>
        <v/>
      </c>
      <c r="T143" s="290" t="str">
        <f t="shared" si="25"/>
        <v/>
      </c>
      <c r="U143" s="291" t="str">
        <f t="shared" si="26"/>
        <v/>
      </c>
      <c r="V143" s="325" t="str">
        <f t="shared" si="22"/>
        <v/>
      </c>
      <c r="W143" s="310" t="str">
        <f>IF(S143="","",VLOOKUP(S143,'G-1 All Habitats'!$B$2:$M$135,10,FALSE))</f>
        <v/>
      </c>
      <c r="X143" s="310" t="str">
        <f>IFERROR(VLOOKUP(W143,'G-1 All Habitats'!$V$3:$W$7,2,FALSE),"")</f>
        <v/>
      </c>
      <c r="Y143" s="45"/>
      <c r="Z143" s="314" t="str">
        <f>IFERROR(INDEX('G-8 Condition Look up'!$A$3:$H$135,MATCH(S143,'G-8 Condition Look up'!$A$3:$A$135,0),MATCH(Y143,'G-8 Condition Look up'!$A$3:$H$3,0)),"")</f>
        <v/>
      </c>
      <c r="AA143" s="38"/>
      <c r="AB143" s="310" t="str">
        <f>IF(AA143="","",IF(VLOOKUP(AA143,'G-3 Multipliers'!$L$3:$N$6,2,FALSE)=0,"Spatial Data Missing ⚠",VLOOKUP(AA143,'G-3 Multipliers'!$L$3:$N$6,2,FALSE)))</f>
        <v/>
      </c>
      <c r="AC143" s="314" t="str">
        <f>IF(AA143="","",IF(VLOOKUP(AA143,'G-3 Multipliers'!$L$3:$N$6,3,FALSE)=0,"Spatial Data Missing ⚠",VLOOKUP(AA143,'G-3 Multipliers'!$L$3:$N$6,3,FALSE)))</f>
        <v/>
      </c>
      <c r="AD143" s="327" t="str">
        <f t="shared" si="23"/>
        <v/>
      </c>
      <c r="AE143" s="47"/>
      <c r="AF143" s="47"/>
      <c r="AG143" s="298" t="str">
        <f t="shared" si="27"/>
        <v/>
      </c>
      <c r="AH143" s="311" t="str">
        <f t="shared" si="28"/>
        <v/>
      </c>
      <c r="AI143" s="312" t="str">
        <f>IF(AH143="Check Data","Check Data",IFERROR(VLOOKUP(AH143,'G-4 Temporal multipliers'!$A$4:$C$36,3,FALSE),""))</f>
        <v/>
      </c>
      <c r="AJ143" s="290" t="str">
        <f>IF(S143="","",VLOOKUP(S143,'G-3 Multipliers'!$A$2:$E$134,4,FALSE))</f>
        <v/>
      </c>
      <c r="AK143" s="298" t="str">
        <f t="shared" si="29"/>
        <v/>
      </c>
      <c r="AL143" s="298" t="str">
        <f t="shared" si="30"/>
        <v/>
      </c>
      <c r="AM143" s="328" t="str">
        <f>IFERROR(IF(F143="","",IF(AH143="Check Data ⚠","Check Data ⚠",VLOOKUP(AL143, 'G-3 Multipliers'!$P$2:$Q$6,2,FALSE))),"")</f>
        <v/>
      </c>
      <c r="AN143" s="304" t="str">
        <f t="shared" si="31"/>
        <v/>
      </c>
      <c r="AO143" s="163"/>
      <c r="AP143" s="164"/>
      <c r="AQ143" s="101"/>
      <c r="AT143" s="20" t="str">
        <f t="shared" si="32"/>
        <v>No</v>
      </c>
      <c r="AU143" s="20" t="str">
        <f>IF(E143="","",IF(ISNA(VLOOKUP($E143,'A-1 On-Site Habitat Baseline'!$D$1:$AV$258,4,FALSE)),"",(VLOOKUP($E143,'A-1 On-Site Habitat Baseline'!$D$1:$AV$258,4,FALSE))))</f>
        <v/>
      </c>
    </row>
    <row r="144" spans="1:47" x14ac:dyDescent="0.3">
      <c r="A144" s="20" t="str">
        <f>IF(E144="","",IF(ISNA(VLOOKUP($E144,'A-1 On-Site Habitat Baseline'!$D$1:$O$258,2,FALSE)),"",(VLOOKUP($E144,'A-1 On-Site Habitat Baseline'!$D$1:$O$258,2,FALSE))))</f>
        <v/>
      </c>
      <c r="B144" s="20" t="str">
        <f>IF(E144="","",IF(ISNA(VLOOKUP($E144,'A-1 On-Site Habitat Baseline'!$D$1:$O$258,3,FALSE)),"",(VLOOKUP($E144,'A-1 On-Site Habitat Baseline'!$D$1:$O$258,3,FALSE))))</f>
        <v/>
      </c>
      <c r="C144" s="20" t="str">
        <f>IFERROR(INDEX('G-8 Condition Look up'!$I$4:$I$135,MATCH(S144,'G-8 Condition Look up'!$A$4:$A$135,0)),"")</f>
        <v/>
      </c>
      <c r="E144" s="319" t="str">
        <f>'A-1 On-Site Habitat Baseline'!AL143</f>
        <v/>
      </c>
      <c r="F144" s="310" t="str">
        <f>IF(E144="","",IF(ISNA(VLOOKUP($E144,'A-1 On-Site Habitat Baseline'!$D$1:$AV$258,45,FALSE)),"",(VLOOKUP($E144,'A-1 On-Site Habitat Baseline'!$D$1:$AV$258,45,FALSE))))</f>
        <v/>
      </c>
      <c r="G144" s="310" t="str">
        <f>IF(E144="","",IF(ISNA(VLOOKUP($E144,'A-1 On-Site Habitat Baseline'!$D$1:$O$258,5,FALSE)),"",(VLOOKUP($E144,'A-1 On-Site Habitat Baseline'!$D$1:$O$258,5,FALSE))))</f>
        <v/>
      </c>
      <c r="H144" s="310" t="str">
        <f>IF(E144="","",IF(ISNA(VLOOKUP($E144,'A-1 On-Site Habitat Baseline'!$D$1:$O$258,6,FALSE)),"",(VLOOKUP($E144,'A-1 On-Site Habitat Baseline'!$D$1:$O$258,6,FALSE))))</f>
        <v/>
      </c>
      <c r="I144" s="310" t="str">
        <f>IF(E144="","",IF(ISNA(VLOOKUP($E144,'A-1 On-Site Habitat Baseline'!$D$1:$O$258,7,FALSE)),"",(VLOOKUP($E144,'A-1 On-Site Habitat Baseline'!$D$1:$O$258,7,FALSE))))</f>
        <v/>
      </c>
      <c r="J144" s="310" t="str">
        <f>IF(E144="","",IF(ISNA(VLOOKUP($E144,'A-1 On-Site Habitat Baseline'!$D$1:$O$258,8,FALSE)),"",(VLOOKUP($E144,'A-1 On-Site Habitat Baseline'!$D$1:$O$258,8,FALSE))))</f>
        <v/>
      </c>
      <c r="K144" s="310" t="str">
        <f>IF(E144="","",IF(ISNA(VLOOKUP($E144,'A-1 On-Site Habitat Baseline'!$D$1:$O$258,9,FALSE)),"",(VLOOKUP($E144,'A-1 On-Site Habitat Baseline'!$D$1:$O$258,9,FALSE))))</f>
        <v/>
      </c>
      <c r="L144" s="310" t="str">
        <f>IF(E144="","",IF(ISNA(VLOOKUP($E144,'A-1 On-Site Habitat Baseline'!$D$1:$O$258,11,FALSE)),"",(VLOOKUP($E144,'A-1 On-Site Habitat Baseline'!$D$1:$O$258,11,FALSE))))</f>
        <v/>
      </c>
      <c r="M144" s="310" t="str">
        <f>IF(E144="","",IF(ISNA(VLOOKUP($E144,'A-1 On-Site Habitat Baseline'!$D$1:$O$258,12,FALSE)),"",(VLOOKUP($E144,'A-1 On-Site Habitat Baseline'!$D$1:$O$258,12,FALSE))))</f>
        <v/>
      </c>
      <c r="N144" s="320" t="str">
        <f>IF(E144="","",IF(ISNA(VLOOKUP($E144,'A-1 On-Site Habitat Baseline'!$D$1:$X$258,14,FALSE)),"",(VLOOKUP($E144,'A-1 On-Site Habitat Baseline'!$D$1:$X$258,14,FALSE))))</f>
        <v/>
      </c>
      <c r="O144" s="314" t="str">
        <f>IF(E144="","",IF(ISNA(VLOOKUP($E144,'A-1 On-Site Habitat Baseline'!$D$1:$X$258,16,FALSE)),"",(VLOOKUP($E144,'A-1 On-Site Habitat Baseline'!$D$1:$X$258,13,FALSE))))</f>
        <v/>
      </c>
      <c r="P144" s="161" t="str">
        <f>IFERROR(INDEX('G-1 All Habitats'!$AG$49:$AG$63,MATCH(Q144,'G-1 All Habitats'!$AF$27:$AF$41,0)),"")</f>
        <v/>
      </c>
      <c r="Q144" s="162" t="str">
        <f t="shared" si="24"/>
        <v/>
      </c>
      <c r="R144" s="162"/>
      <c r="S144" s="252" t="str">
        <f>IFERROR(INDEX('G-1 All Habitats'!$B$3:$B$135,MATCH(R144,'G-1 All Habitats'!$A$3:$A$135,0)),"")</f>
        <v/>
      </c>
      <c r="T144" s="290" t="str">
        <f t="shared" si="25"/>
        <v/>
      </c>
      <c r="U144" s="291" t="str">
        <f t="shared" si="26"/>
        <v/>
      </c>
      <c r="V144" s="325" t="str">
        <f t="shared" si="22"/>
        <v/>
      </c>
      <c r="W144" s="310" t="str">
        <f>IF(S144="","",VLOOKUP(S144,'G-1 All Habitats'!$B$2:$M$135,10,FALSE))</f>
        <v/>
      </c>
      <c r="X144" s="310" t="str">
        <f>IFERROR(VLOOKUP(W144,'G-1 All Habitats'!$V$3:$W$7,2,FALSE),"")</f>
        <v/>
      </c>
      <c r="Y144" s="45"/>
      <c r="Z144" s="314" t="str">
        <f>IFERROR(INDEX('G-8 Condition Look up'!$A$3:$H$135,MATCH(S144,'G-8 Condition Look up'!$A$3:$A$135,0),MATCH(Y144,'G-8 Condition Look up'!$A$3:$H$3,0)),"")</f>
        <v/>
      </c>
      <c r="AA144" s="38"/>
      <c r="AB144" s="310" t="str">
        <f>IF(AA144="","",IF(VLOOKUP(AA144,'G-3 Multipliers'!$L$3:$N$6,2,FALSE)=0,"Spatial Data Missing ⚠",VLOOKUP(AA144,'G-3 Multipliers'!$L$3:$N$6,2,FALSE)))</f>
        <v/>
      </c>
      <c r="AC144" s="314" t="str">
        <f>IF(AA144="","",IF(VLOOKUP(AA144,'G-3 Multipliers'!$L$3:$N$6,3,FALSE)=0,"Spatial Data Missing ⚠",VLOOKUP(AA144,'G-3 Multipliers'!$L$3:$N$6,3,FALSE)))</f>
        <v/>
      </c>
      <c r="AD144" s="327" t="str">
        <f t="shared" si="23"/>
        <v/>
      </c>
      <c r="AE144" s="47"/>
      <c r="AF144" s="47"/>
      <c r="AG144" s="298" t="str">
        <f t="shared" si="27"/>
        <v/>
      </c>
      <c r="AH144" s="311" t="str">
        <f t="shared" si="28"/>
        <v/>
      </c>
      <c r="AI144" s="312" t="str">
        <f>IF(AH144="Check Data","Check Data",IFERROR(VLOOKUP(AH144,'G-4 Temporal multipliers'!$A$4:$C$36,3,FALSE),""))</f>
        <v/>
      </c>
      <c r="AJ144" s="290" t="str">
        <f>IF(S144="","",VLOOKUP(S144,'G-3 Multipliers'!$A$2:$E$134,4,FALSE))</f>
        <v/>
      </c>
      <c r="AK144" s="298" t="str">
        <f t="shared" si="29"/>
        <v/>
      </c>
      <c r="AL144" s="298" t="str">
        <f t="shared" si="30"/>
        <v/>
      </c>
      <c r="AM144" s="328" t="str">
        <f>IFERROR(IF(F144="","",IF(AH144="Check Data ⚠","Check Data ⚠",VLOOKUP(AL144, 'G-3 Multipliers'!$P$2:$Q$6,2,FALSE))),"")</f>
        <v/>
      </c>
      <c r="AN144" s="304" t="str">
        <f t="shared" si="31"/>
        <v/>
      </c>
      <c r="AO144" s="163"/>
      <c r="AP144" s="164"/>
      <c r="AQ144" s="101"/>
      <c r="AT144" s="20" t="str">
        <f t="shared" si="32"/>
        <v>No</v>
      </c>
      <c r="AU144" s="20" t="str">
        <f>IF(E144="","",IF(ISNA(VLOOKUP($E144,'A-1 On-Site Habitat Baseline'!$D$1:$AV$258,4,FALSE)),"",(VLOOKUP($E144,'A-1 On-Site Habitat Baseline'!$D$1:$AV$258,4,FALSE))))</f>
        <v/>
      </c>
    </row>
    <row r="145" spans="1:47" x14ac:dyDescent="0.3">
      <c r="A145" s="20" t="str">
        <f>IF(E145="","",IF(ISNA(VLOOKUP($E145,'A-1 On-Site Habitat Baseline'!$D$1:$O$258,2,FALSE)),"",(VLOOKUP($E145,'A-1 On-Site Habitat Baseline'!$D$1:$O$258,2,FALSE))))</f>
        <v/>
      </c>
      <c r="B145" s="20" t="str">
        <f>IF(E145="","",IF(ISNA(VLOOKUP($E145,'A-1 On-Site Habitat Baseline'!$D$1:$O$258,3,FALSE)),"",(VLOOKUP($E145,'A-1 On-Site Habitat Baseline'!$D$1:$O$258,3,FALSE))))</f>
        <v/>
      </c>
      <c r="C145" s="20" t="str">
        <f>IFERROR(INDEX('G-8 Condition Look up'!$I$4:$I$135,MATCH(S145,'G-8 Condition Look up'!$A$4:$A$135,0)),"")</f>
        <v/>
      </c>
      <c r="E145" s="319" t="str">
        <f>'A-1 On-Site Habitat Baseline'!AL144</f>
        <v/>
      </c>
      <c r="F145" s="310" t="str">
        <f>IF(E145="","",IF(ISNA(VLOOKUP($E145,'A-1 On-Site Habitat Baseline'!$D$1:$AV$258,45,FALSE)),"",(VLOOKUP($E145,'A-1 On-Site Habitat Baseline'!$D$1:$AV$258,45,FALSE))))</f>
        <v/>
      </c>
      <c r="G145" s="310" t="str">
        <f>IF(E145="","",IF(ISNA(VLOOKUP($E145,'A-1 On-Site Habitat Baseline'!$D$1:$O$258,5,FALSE)),"",(VLOOKUP($E145,'A-1 On-Site Habitat Baseline'!$D$1:$O$258,5,FALSE))))</f>
        <v/>
      </c>
      <c r="H145" s="310" t="str">
        <f>IF(E145="","",IF(ISNA(VLOOKUP($E145,'A-1 On-Site Habitat Baseline'!$D$1:$O$258,6,FALSE)),"",(VLOOKUP($E145,'A-1 On-Site Habitat Baseline'!$D$1:$O$258,6,FALSE))))</f>
        <v/>
      </c>
      <c r="I145" s="310" t="str">
        <f>IF(E145="","",IF(ISNA(VLOOKUP($E145,'A-1 On-Site Habitat Baseline'!$D$1:$O$258,7,FALSE)),"",(VLOOKUP($E145,'A-1 On-Site Habitat Baseline'!$D$1:$O$258,7,FALSE))))</f>
        <v/>
      </c>
      <c r="J145" s="310" t="str">
        <f>IF(E145="","",IF(ISNA(VLOOKUP($E145,'A-1 On-Site Habitat Baseline'!$D$1:$O$258,8,FALSE)),"",(VLOOKUP($E145,'A-1 On-Site Habitat Baseline'!$D$1:$O$258,8,FALSE))))</f>
        <v/>
      </c>
      <c r="K145" s="310" t="str">
        <f>IF(E145="","",IF(ISNA(VLOOKUP($E145,'A-1 On-Site Habitat Baseline'!$D$1:$O$258,9,FALSE)),"",(VLOOKUP($E145,'A-1 On-Site Habitat Baseline'!$D$1:$O$258,9,FALSE))))</f>
        <v/>
      </c>
      <c r="L145" s="310" t="str">
        <f>IF(E145="","",IF(ISNA(VLOOKUP($E145,'A-1 On-Site Habitat Baseline'!$D$1:$O$258,11,FALSE)),"",(VLOOKUP($E145,'A-1 On-Site Habitat Baseline'!$D$1:$O$258,11,FALSE))))</f>
        <v/>
      </c>
      <c r="M145" s="310" t="str">
        <f>IF(E145="","",IF(ISNA(VLOOKUP($E145,'A-1 On-Site Habitat Baseline'!$D$1:$O$258,12,FALSE)),"",(VLOOKUP($E145,'A-1 On-Site Habitat Baseline'!$D$1:$O$258,12,FALSE))))</f>
        <v/>
      </c>
      <c r="N145" s="320" t="str">
        <f>IF(E145="","",IF(ISNA(VLOOKUP($E145,'A-1 On-Site Habitat Baseline'!$D$1:$X$258,14,FALSE)),"",(VLOOKUP($E145,'A-1 On-Site Habitat Baseline'!$D$1:$X$258,14,FALSE))))</f>
        <v/>
      </c>
      <c r="O145" s="314" t="str">
        <f>IF(E145="","",IF(ISNA(VLOOKUP($E145,'A-1 On-Site Habitat Baseline'!$D$1:$X$258,16,FALSE)),"",(VLOOKUP($E145,'A-1 On-Site Habitat Baseline'!$D$1:$X$258,13,FALSE))))</f>
        <v/>
      </c>
      <c r="P145" s="161" t="str">
        <f>IFERROR(INDEX('G-1 All Habitats'!$AG$49:$AG$63,MATCH(Q145,'G-1 All Habitats'!$AF$27:$AF$41,0)),"")</f>
        <v/>
      </c>
      <c r="Q145" s="162" t="str">
        <f t="shared" si="24"/>
        <v/>
      </c>
      <c r="R145" s="162"/>
      <c r="S145" s="252" t="str">
        <f>IFERROR(INDEX('G-1 All Habitats'!$B$3:$B$135,MATCH(R145,'G-1 All Habitats'!$A$3:$A$135,0)),"")</f>
        <v/>
      </c>
      <c r="T145" s="290" t="str">
        <f t="shared" si="25"/>
        <v/>
      </c>
      <c r="U145" s="291" t="str">
        <f t="shared" si="26"/>
        <v/>
      </c>
      <c r="V145" s="325" t="str">
        <f t="shared" si="22"/>
        <v/>
      </c>
      <c r="W145" s="310" t="str">
        <f>IF(S145="","",VLOOKUP(S145,'G-1 All Habitats'!$B$2:$M$135,10,FALSE))</f>
        <v/>
      </c>
      <c r="X145" s="310" t="str">
        <f>IFERROR(VLOOKUP(W145,'G-1 All Habitats'!$V$3:$W$7,2,FALSE),"")</f>
        <v/>
      </c>
      <c r="Y145" s="45"/>
      <c r="Z145" s="314" t="str">
        <f>IFERROR(INDEX('G-8 Condition Look up'!$A$3:$H$135,MATCH(S145,'G-8 Condition Look up'!$A$3:$A$135,0),MATCH(Y145,'G-8 Condition Look up'!$A$3:$H$3,0)),"")</f>
        <v/>
      </c>
      <c r="AA145" s="38"/>
      <c r="AB145" s="310" t="str">
        <f>IF(AA145="","",IF(VLOOKUP(AA145,'G-3 Multipliers'!$L$3:$N$6,2,FALSE)=0,"Spatial Data Missing ⚠",VLOOKUP(AA145,'G-3 Multipliers'!$L$3:$N$6,2,FALSE)))</f>
        <v/>
      </c>
      <c r="AC145" s="314" t="str">
        <f>IF(AA145="","",IF(VLOOKUP(AA145,'G-3 Multipliers'!$L$3:$N$6,3,FALSE)=0,"Spatial Data Missing ⚠",VLOOKUP(AA145,'G-3 Multipliers'!$L$3:$N$6,3,FALSE)))</f>
        <v/>
      </c>
      <c r="AD145" s="327" t="str">
        <f t="shared" si="23"/>
        <v/>
      </c>
      <c r="AE145" s="47"/>
      <c r="AF145" s="47"/>
      <c r="AG145" s="298" t="str">
        <f t="shared" si="27"/>
        <v/>
      </c>
      <c r="AH145" s="311" t="str">
        <f t="shared" si="28"/>
        <v/>
      </c>
      <c r="AI145" s="312" t="str">
        <f>IF(AH145="Check Data","Check Data",IFERROR(VLOOKUP(AH145,'G-4 Temporal multipliers'!$A$4:$C$36,3,FALSE),""))</f>
        <v/>
      </c>
      <c r="AJ145" s="290" t="str">
        <f>IF(S145="","",VLOOKUP(S145,'G-3 Multipliers'!$A$2:$E$134,4,FALSE))</f>
        <v/>
      </c>
      <c r="AK145" s="298" t="str">
        <f t="shared" si="29"/>
        <v/>
      </c>
      <c r="AL145" s="298" t="str">
        <f t="shared" si="30"/>
        <v/>
      </c>
      <c r="AM145" s="328" t="str">
        <f>IFERROR(IF(F145="","",IF(AH145="Check Data ⚠","Check Data ⚠",VLOOKUP(AL145, 'G-3 Multipliers'!$P$2:$Q$6,2,FALSE))),"")</f>
        <v/>
      </c>
      <c r="AN145" s="304" t="str">
        <f t="shared" si="31"/>
        <v/>
      </c>
      <c r="AO145" s="163"/>
      <c r="AP145" s="164"/>
      <c r="AQ145" s="101"/>
      <c r="AT145" s="20" t="str">
        <f t="shared" si="32"/>
        <v>No</v>
      </c>
      <c r="AU145" s="20" t="str">
        <f>IF(E145="","",IF(ISNA(VLOOKUP($E145,'A-1 On-Site Habitat Baseline'!$D$1:$AV$258,4,FALSE)),"",(VLOOKUP($E145,'A-1 On-Site Habitat Baseline'!$D$1:$AV$258,4,FALSE))))</f>
        <v/>
      </c>
    </row>
    <row r="146" spans="1:47" x14ac:dyDescent="0.3">
      <c r="A146" s="20" t="str">
        <f>IF(E146="","",IF(ISNA(VLOOKUP($E146,'A-1 On-Site Habitat Baseline'!$D$1:$O$258,2,FALSE)),"",(VLOOKUP($E146,'A-1 On-Site Habitat Baseline'!$D$1:$O$258,2,FALSE))))</f>
        <v/>
      </c>
      <c r="B146" s="20" t="str">
        <f>IF(E146="","",IF(ISNA(VLOOKUP($E146,'A-1 On-Site Habitat Baseline'!$D$1:$O$258,3,FALSE)),"",(VLOOKUP($E146,'A-1 On-Site Habitat Baseline'!$D$1:$O$258,3,FALSE))))</f>
        <v/>
      </c>
      <c r="C146" s="20" t="str">
        <f>IFERROR(INDEX('G-8 Condition Look up'!$I$4:$I$135,MATCH(S146,'G-8 Condition Look up'!$A$4:$A$135,0)),"")</f>
        <v/>
      </c>
      <c r="E146" s="319" t="str">
        <f>'A-1 On-Site Habitat Baseline'!AL145</f>
        <v/>
      </c>
      <c r="F146" s="310" t="str">
        <f>IF(E146="","",IF(ISNA(VLOOKUP($E146,'A-1 On-Site Habitat Baseline'!$D$1:$AV$258,45,FALSE)),"",(VLOOKUP($E146,'A-1 On-Site Habitat Baseline'!$D$1:$AV$258,45,FALSE))))</f>
        <v/>
      </c>
      <c r="G146" s="310" t="str">
        <f>IF(E146="","",IF(ISNA(VLOOKUP($E146,'A-1 On-Site Habitat Baseline'!$D$1:$O$258,5,FALSE)),"",(VLOOKUP($E146,'A-1 On-Site Habitat Baseline'!$D$1:$O$258,5,FALSE))))</f>
        <v/>
      </c>
      <c r="H146" s="310" t="str">
        <f>IF(E146="","",IF(ISNA(VLOOKUP($E146,'A-1 On-Site Habitat Baseline'!$D$1:$O$258,6,FALSE)),"",(VLOOKUP($E146,'A-1 On-Site Habitat Baseline'!$D$1:$O$258,6,FALSE))))</f>
        <v/>
      </c>
      <c r="I146" s="310" t="str">
        <f>IF(E146="","",IF(ISNA(VLOOKUP($E146,'A-1 On-Site Habitat Baseline'!$D$1:$O$258,7,FALSE)),"",(VLOOKUP($E146,'A-1 On-Site Habitat Baseline'!$D$1:$O$258,7,FALSE))))</f>
        <v/>
      </c>
      <c r="J146" s="310" t="str">
        <f>IF(E146="","",IF(ISNA(VLOOKUP($E146,'A-1 On-Site Habitat Baseline'!$D$1:$O$258,8,FALSE)),"",(VLOOKUP($E146,'A-1 On-Site Habitat Baseline'!$D$1:$O$258,8,FALSE))))</f>
        <v/>
      </c>
      <c r="K146" s="310" t="str">
        <f>IF(E146="","",IF(ISNA(VLOOKUP($E146,'A-1 On-Site Habitat Baseline'!$D$1:$O$258,9,FALSE)),"",(VLOOKUP($E146,'A-1 On-Site Habitat Baseline'!$D$1:$O$258,9,FALSE))))</f>
        <v/>
      </c>
      <c r="L146" s="310" t="str">
        <f>IF(E146="","",IF(ISNA(VLOOKUP($E146,'A-1 On-Site Habitat Baseline'!$D$1:$O$258,11,FALSE)),"",(VLOOKUP($E146,'A-1 On-Site Habitat Baseline'!$D$1:$O$258,11,FALSE))))</f>
        <v/>
      </c>
      <c r="M146" s="310" t="str">
        <f>IF(E146="","",IF(ISNA(VLOOKUP($E146,'A-1 On-Site Habitat Baseline'!$D$1:$O$258,12,FALSE)),"",(VLOOKUP($E146,'A-1 On-Site Habitat Baseline'!$D$1:$O$258,12,FALSE))))</f>
        <v/>
      </c>
      <c r="N146" s="320" t="str">
        <f>IF(E146="","",IF(ISNA(VLOOKUP($E146,'A-1 On-Site Habitat Baseline'!$D$1:$X$258,14,FALSE)),"",(VLOOKUP($E146,'A-1 On-Site Habitat Baseline'!$D$1:$X$258,14,FALSE))))</f>
        <v/>
      </c>
      <c r="O146" s="314" t="str">
        <f>IF(E146="","",IF(ISNA(VLOOKUP($E146,'A-1 On-Site Habitat Baseline'!$D$1:$X$258,16,FALSE)),"",(VLOOKUP($E146,'A-1 On-Site Habitat Baseline'!$D$1:$X$258,13,FALSE))))</f>
        <v/>
      </c>
      <c r="P146" s="161" t="str">
        <f>IFERROR(INDEX('G-1 All Habitats'!$AG$49:$AG$63,MATCH(Q146,'G-1 All Habitats'!$AF$27:$AF$41,0)),"")</f>
        <v/>
      </c>
      <c r="Q146" s="162" t="str">
        <f t="shared" si="24"/>
        <v/>
      </c>
      <c r="R146" s="162"/>
      <c r="S146" s="252" t="str">
        <f>IFERROR(INDEX('G-1 All Habitats'!$B$3:$B$135,MATCH(R146,'G-1 All Habitats'!$A$3:$A$135,0)),"")</f>
        <v/>
      </c>
      <c r="T146" s="290" t="str">
        <f t="shared" si="25"/>
        <v/>
      </c>
      <c r="U146" s="291" t="str">
        <f t="shared" si="26"/>
        <v/>
      </c>
      <c r="V146" s="325" t="str">
        <f t="shared" si="22"/>
        <v/>
      </c>
      <c r="W146" s="310" t="str">
        <f>IF(S146="","",VLOOKUP(S146,'G-1 All Habitats'!$B$2:$M$135,10,FALSE))</f>
        <v/>
      </c>
      <c r="X146" s="310" t="str">
        <f>IFERROR(VLOOKUP(W146,'G-1 All Habitats'!$V$3:$W$7,2,FALSE),"")</f>
        <v/>
      </c>
      <c r="Y146" s="45"/>
      <c r="Z146" s="314" t="str">
        <f>IFERROR(INDEX('G-8 Condition Look up'!$A$3:$H$135,MATCH(S146,'G-8 Condition Look up'!$A$3:$A$135,0),MATCH(Y146,'G-8 Condition Look up'!$A$3:$H$3,0)),"")</f>
        <v/>
      </c>
      <c r="AA146" s="38"/>
      <c r="AB146" s="310" t="str">
        <f>IF(AA146="","",IF(VLOOKUP(AA146,'G-3 Multipliers'!$L$3:$N$6,2,FALSE)=0,"Spatial Data Missing ⚠",VLOOKUP(AA146,'G-3 Multipliers'!$L$3:$N$6,2,FALSE)))</f>
        <v/>
      </c>
      <c r="AC146" s="314" t="str">
        <f>IF(AA146="","",IF(VLOOKUP(AA146,'G-3 Multipliers'!$L$3:$N$6,3,FALSE)=0,"Spatial Data Missing ⚠",VLOOKUP(AA146,'G-3 Multipliers'!$L$3:$N$6,3,FALSE)))</f>
        <v/>
      </c>
      <c r="AD146" s="327" t="str">
        <f t="shared" si="23"/>
        <v/>
      </c>
      <c r="AE146" s="47"/>
      <c r="AF146" s="47"/>
      <c r="AG146" s="298" t="str">
        <f t="shared" si="27"/>
        <v/>
      </c>
      <c r="AH146" s="311" t="str">
        <f t="shared" si="28"/>
        <v/>
      </c>
      <c r="AI146" s="312" t="str">
        <f>IF(AH146="Check Data","Check Data",IFERROR(VLOOKUP(AH146,'G-4 Temporal multipliers'!$A$4:$C$36,3,FALSE),""))</f>
        <v/>
      </c>
      <c r="AJ146" s="290" t="str">
        <f>IF(S146="","",VLOOKUP(S146,'G-3 Multipliers'!$A$2:$E$134,4,FALSE))</f>
        <v/>
      </c>
      <c r="AK146" s="298" t="str">
        <f t="shared" si="29"/>
        <v/>
      </c>
      <c r="AL146" s="298" t="str">
        <f t="shared" si="30"/>
        <v/>
      </c>
      <c r="AM146" s="328" t="str">
        <f>IFERROR(IF(F146="","",IF(AH146="Check Data ⚠","Check Data ⚠",VLOOKUP(AL146, 'G-3 Multipliers'!$P$2:$Q$6,2,FALSE))),"")</f>
        <v/>
      </c>
      <c r="AN146" s="304" t="str">
        <f t="shared" si="31"/>
        <v/>
      </c>
      <c r="AO146" s="163"/>
      <c r="AP146" s="164"/>
      <c r="AQ146" s="101"/>
      <c r="AT146" s="20" t="str">
        <f t="shared" si="32"/>
        <v>No</v>
      </c>
      <c r="AU146" s="20" t="str">
        <f>IF(E146="","",IF(ISNA(VLOOKUP($E146,'A-1 On-Site Habitat Baseline'!$D$1:$AV$258,4,FALSE)),"",(VLOOKUP($E146,'A-1 On-Site Habitat Baseline'!$D$1:$AV$258,4,FALSE))))</f>
        <v/>
      </c>
    </row>
    <row r="147" spans="1:47" x14ac:dyDescent="0.3">
      <c r="A147" s="20" t="str">
        <f>IF(E147="","",IF(ISNA(VLOOKUP($E147,'A-1 On-Site Habitat Baseline'!$D$1:$O$258,2,FALSE)),"",(VLOOKUP($E147,'A-1 On-Site Habitat Baseline'!$D$1:$O$258,2,FALSE))))</f>
        <v/>
      </c>
      <c r="B147" s="20" t="str">
        <f>IF(E147="","",IF(ISNA(VLOOKUP($E147,'A-1 On-Site Habitat Baseline'!$D$1:$O$258,3,FALSE)),"",(VLOOKUP($E147,'A-1 On-Site Habitat Baseline'!$D$1:$O$258,3,FALSE))))</f>
        <v/>
      </c>
      <c r="C147" s="20" t="str">
        <f>IFERROR(INDEX('G-8 Condition Look up'!$I$4:$I$135,MATCH(S147,'G-8 Condition Look up'!$A$4:$A$135,0)),"")</f>
        <v/>
      </c>
      <c r="E147" s="319" t="str">
        <f>'A-1 On-Site Habitat Baseline'!AL146</f>
        <v/>
      </c>
      <c r="F147" s="310" t="str">
        <f>IF(E147="","",IF(ISNA(VLOOKUP($E147,'A-1 On-Site Habitat Baseline'!$D$1:$AV$258,45,FALSE)),"",(VLOOKUP($E147,'A-1 On-Site Habitat Baseline'!$D$1:$AV$258,45,FALSE))))</f>
        <v/>
      </c>
      <c r="G147" s="310" t="str">
        <f>IF(E147="","",IF(ISNA(VLOOKUP($E147,'A-1 On-Site Habitat Baseline'!$D$1:$O$258,5,FALSE)),"",(VLOOKUP($E147,'A-1 On-Site Habitat Baseline'!$D$1:$O$258,5,FALSE))))</f>
        <v/>
      </c>
      <c r="H147" s="310" t="str">
        <f>IF(E147="","",IF(ISNA(VLOOKUP($E147,'A-1 On-Site Habitat Baseline'!$D$1:$O$258,6,FALSE)),"",(VLOOKUP($E147,'A-1 On-Site Habitat Baseline'!$D$1:$O$258,6,FALSE))))</f>
        <v/>
      </c>
      <c r="I147" s="310" t="str">
        <f>IF(E147="","",IF(ISNA(VLOOKUP($E147,'A-1 On-Site Habitat Baseline'!$D$1:$O$258,7,FALSE)),"",(VLOOKUP($E147,'A-1 On-Site Habitat Baseline'!$D$1:$O$258,7,FALSE))))</f>
        <v/>
      </c>
      <c r="J147" s="310" t="str">
        <f>IF(E147="","",IF(ISNA(VLOOKUP($E147,'A-1 On-Site Habitat Baseline'!$D$1:$O$258,8,FALSE)),"",(VLOOKUP($E147,'A-1 On-Site Habitat Baseline'!$D$1:$O$258,8,FALSE))))</f>
        <v/>
      </c>
      <c r="K147" s="310" t="str">
        <f>IF(E147="","",IF(ISNA(VLOOKUP($E147,'A-1 On-Site Habitat Baseline'!$D$1:$O$258,9,FALSE)),"",(VLOOKUP($E147,'A-1 On-Site Habitat Baseline'!$D$1:$O$258,9,FALSE))))</f>
        <v/>
      </c>
      <c r="L147" s="310" t="str">
        <f>IF(E147="","",IF(ISNA(VLOOKUP($E147,'A-1 On-Site Habitat Baseline'!$D$1:$O$258,11,FALSE)),"",(VLOOKUP($E147,'A-1 On-Site Habitat Baseline'!$D$1:$O$258,11,FALSE))))</f>
        <v/>
      </c>
      <c r="M147" s="310" t="str">
        <f>IF(E147="","",IF(ISNA(VLOOKUP($E147,'A-1 On-Site Habitat Baseline'!$D$1:$O$258,12,FALSE)),"",(VLOOKUP($E147,'A-1 On-Site Habitat Baseline'!$D$1:$O$258,12,FALSE))))</f>
        <v/>
      </c>
      <c r="N147" s="320" t="str">
        <f>IF(E147="","",IF(ISNA(VLOOKUP($E147,'A-1 On-Site Habitat Baseline'!$D$1:$X$258,14,FALSE)),"",(VLOOKUP($E147,'A-1 On-Site Habitat Baseline'!$D$1:$X$258,14,FALSE))))</f>
        <v/>
      </c>
      <c r="O147" s="314" t="str">
        <f>IF(E147="","",IF(ISNA(VLOOKUP($E147,'A-1 On-Site Habitat Baseline'!$D$1:$X$258,16,FALSE)),"",(VLOOKUP($E147,'A-1 On-Site Habitat Baseline'!$D$1:$X$258,13,FALSE))))</f>
        <v/>
      </c>
      <c r="P147" s="161" t="str">
        <f>IFERROR(INDEX('G-1 All Habitats'!$AG$49:$AG$63,MATCH(Q147,'G-1 All Habitats'!$AF$27:$AF$41,0)),"")</f>
        <v/>
      </c>
      <c r="Q147" s="162" t="str">
        <f t="shared" si="24"/>
        <v/>
      </c>
      <c r="R147" s="162"/>
      <c r="S147" s="252" t="str">
        <f>IFERROR(INDEX('G-1 All Habitats'!$B$3:$B$135,MATCH(R147,'G-1 All Habitats'!$A$3:$A$135,0)),"")</f>
        <v/>
      </c>
      <c r="T147" s="290" t="str">
        <f t="shared" si="25"/>
        <v/>
      </c>
      <c r="U147" s="291" t="str">
        <f t="shared" si="26"/>
        <v/>
      </c>
      <c r="V147" s="325" t="str">
        <f t="shared" si="22"/>
        <v/>
      </c>
      <c r="W147" s="310" t="str">
        <f>IF(S147="","",VLOOKUP(S147,'G-1 All Habitats'!$B$2:$M$135,10,FALSE))</f>
        <v/>
      </c>
      <c r="X147" s="310" t="str">
        <f>IFERROR(VLOOKUP(W147,'G-1 All Habitats'!$V$3:$W$7,2,FALSE),"")</f>
        <v/>
      </c>
      <c r="Y147" s="45"/>
      <c r="Z147" s="314" t="str">
        <f>IFERROR(INDEX('G-8 Condition Look up'!$A$3:$H$135,MATCH(S147,'G-8 Condition Look up'!$A$3:$A$135,0),MATCH(Y147,'G-8 Condition Look up'!$A$3:$H$3,0)),"")</f>
        <v/>
      </c>
      <c r="AA147" s="38"/>
      <c r="AB147" s="310" t="str">
        <f>IF(AA147="","",IF(VLOOKUP(AA147,'G-3 Multipliers'!$L$3:$N$6,2,FALSE)=0,"Spatial Data Missing ⚠",VLOOKUP(AA147,'G-3 Multipliers'!$L$3:$N$6,2,FALSE)))</f>
        <v/>
      </c>
      <c r="AC147" s="314" t="str">
        <f>IF(AA147="","",IF(VLOOKUP(AA147,'G-3 Multipliers'!$L$3:$N$6,3,FALSE)=0,"Spatial Data Missing ⚠",VLOOKUP(AA147,'G-3 Multipliers'!$L$3:$N$6,3,FALSE)))</f>
        <v/>
      </c>
      <c r="AD147" s="327" t="str">
        <f t="shared" si="23"/>
        <v/>
      </c>
      <c r="AE147" s="47"/>
      <c r="AF147" s="47"/>
      <c r="AG147" s="298" t="str">
        <f t="shared" si="27"/>
        <v/>
      </c>
      <c r="AH147" s="311" t="str">
        <f t="shared" si="28"/>
        <v/>
      </c>
      <c r="AI147" s="312" t="str">
        <f>IF(AH147="Check Data","Check Data",IFERROR(VLOOKUP(AH147,'G-4 Temporal multipliers'!$A$4:$C$36,3,FALSE),""))</f>
        <v/>
      </c>
      <c r="AJ147" s="290" t="str">
        <f>IF(S147="","",VLOOKUP(S147,'G-3 Multipliers'!$A$2:$E$134,4,FALSE))</f>
        <v/>
      </c>
      <c r="AK147" s="298" t="str">
        <f t="shared" si="29"/>
        <v/>
      </c>
      <c r="AL147" s="298" t="str">
        <f t="shared" si="30"/>
        <v/>
      </c>
      <c r="AM147" s="328" t="str">
        <f>IFERROR(IF(F147="","",IF(AH147="Check Data ⚠","Check Data ⚠",VLOOKUP(AL147, 'G-3 Multipliers'!$P$2:$Q$6,2,FALSE))),"")</f>
        <v/>
      </c>
      <c r="AN147" s="304" t="str">
        <f t="shared" si="31"/>
        <v/>
      </c>
      <c r="AO147" s="163"/>
      <c r="AP147" s="164"/>
      <c r="AQ147" s="101"/>
      <c r="AT147" s="20" t="str">
        <f t="shared" si="32"/>
        <v>No</v>
      </c>
      <c r="AU147" s="20" t="str">
        <f>IF(E147="","",IF(ISNA(VLOOKUP($E147,'A-1 On-Site Habitat Baseline'!$D$1:$AV$258,4,FALSE)),"",(VLOOKUP($E147,'A-1 On-Site Habitat Baseline'!$D$1:$AV$258,4,FALSE))))</f>
        <v/>
      </c>
    </row>
    <row r="148" spans="1:47" x14ac:dyDescent="0.3">
      <c r="A148" s="20" t="str">
        <f>IF(E148="","",IF(ISNA(VLOOKUP($E148,'A-1 On-Site Habitat Baseline'!$D$1:$O$258,2,FALSE)),"",(VLOOKUP($E148,'A-1 On-Site Habitat Baseline'!$D$1:$O$258,2,FALSE))))</f>
        <v/>
      </c>
      <c r="B148" s="20" t="str">
        <f>IF(E148="","",IF(ISNA(VLOOKUP($E148,'A-1 On-Site Habitat Baseline'!$D$1:$O$258,3,FALSE)),"",(VLOOKUP($E148,'A-1 On-Site Habitat Baseline'!$D$1:$O$258,3,FALSE))))</f>
        <v/>
      </c>
      <c r="C148" s="20" t="str">
        <f>IFERROR(INDEX('G-8 Condition Look up'!$I$4:$I$135,MATCH(S148,'G-8 Condition Look up'!$A$4:$A$135,0)),"")</f>
        <v/>
      </c>
      <c r="E148" s="319" t="str">
        <f>'A-1 On-Site Habitat Baseline'!AL147</f>
        <v/>
      </c>
      <c r="F148" s="310" t="str">
        <f>IF(E148="","",IF(ISNA(VLOOKUP($E148,'A-1 On-Site Habitat Baseline'!$D$1:$AV$258,45,FALSE)),"",(VLOOKUP($E148,'A-1 On-Site Habitat Baseline'!$D$1:$AV$258,45,FALSE))))</f>
        <v/>
      </c>
      <c r="G148" s="310" t="str">
        <f>IF(E148="","",IF(ISNA(VLOOKUP($E148,'A-1 On-Site Habitat Baseline'!$D$1:$O$258,5,FALSE)),"",(VLOOKUP($E148,'A-1 On-Site Habitat Baseline'!$D$1:$O$258,5,FALSE))))</f>
        <v/>
      </c>
      <c r="H148" s="310" t="str">
        <f>IF(E148="","",IF(ISNA(VLOOKUP($E148,'A-1 On-Site Habitat Baseline'!$D$1:$O$258,6,FALSE)),"",(VLOOKUP($E148,'A-1 On-Site Habitat Baseline'!$D$1:$O$258,6,FALSE))))</f>
        <v/>
      </c>
      <c r="I148" s="310" t="str">
        <f>IF(E148="","",IF(ISNA(VLOOKUP($E148,'A-1 On-Site Habitat Baseline'!$D$1:$O$258,7,FALSE)),"",(VLOOKUP($E148,'A-1 On-Site Habitat Baseline'!$D$1:$O$258,7,FALSE))))</f>
        <v/>
      </c>
      <c r="J148" s="310" t="str">
        <f>IF(E148="","",IF(ISNA(VLOOKUP($E148,'A-1 On-Site Habitat Baseline'!$D$1:$O$258,8,FALSE)),"",(VLOOKUP($E148,'A-1 On-Site Habitat Baseline'!$D$1:$O$258,8,FALSE))))</f>
        <v/>
      </c>
      <c r="K148" s="310" t="str">
        <f>IF(E148="","",IF(ISNA(VLOOKUP($E148,'A-1 On-Site Habitat Baseline'!$D$1:$O$258,9,FALSE)),"",(VLOOKUP($E148,'A-1 On-Site Habitat Baseline'!$D$1:$O$258,9,FALSE))))</f>
        <v/>
      </c>
      <c r="L148" s="310" t="str">
        <f>IF(E148="","",IF(ISNA(VLOOKUP($E148,'A-1 On-Site Habitat Baseline'!$D$1:$O$258,11,FALSE)),"",(VLOOKUP($E148,'A-1 On-Site Habitat Baseline'!$D$1:$O$258,11,FALSE))))</f>
        <v/>
      </c>
      <c r="M148" s="310" t="str">
        <f>IF(E148="","",IF(ISNA(VLOOKUP($E148,'A-1 On-Site Habitat Baseline'!$D$1:$O$258,12,FALSE)),"",(VLOOKUP($E148,'A-1 On-Site Habitat Baseline'!$D$1:$O$258,12,FALSE))))</f>
        <v/>
      </c>
      <c r="N148" s="320" t="str">
        <f>IF(E148="","",IF(ISNA(VLOOKUP($E148,'A-1 On-Site Habitat Baseline'!$D$1:$X$258,14,FALSE)),"",(VLOOKUP($E148,'A-1 On-Site Habitat Baseline'!$D$1:$X$258,14,FALSE))))</f>
        <v/>
      </c>
      <c r="O148" s="314" t="str">
        <f>IF(E148="","",IF(ISNA(VLOOKUP($E148,'A-1 On-Site Habitat Baseline'!$D$1:$X$258,16,FALSE)),"",(VLOOKUP($E148,'A-1 On-Site Habitat Baseline'!$D$1:$X$258,13,FALSE))))</f>
        <v/>
      </c>
      <c r="P148" s="161" t="str">
        <f>IFERROR(INDEX('G-1 All Habitats'!$AG$49:$AG$63,MATCH(Q148,'G-1 All Habitats'!$AF$27:$AF$41,0)),"")</f>
        <v/>
      </c>
      <c r="Q148" s="162" t="str">
        <f t="shared" si="24"/>
        <v/>
      </c>
      <c r="R148" s="162"/>
      <c r="S148" s="252" t="str">
        <f>IFERROR(INDEX('G-1 All Habitats'!$B$3:$B$135,MATCH(R148,'G-1 All Habitats'!$A$3:$A$135,0)),"")</f>
        <v/>
      </c>
      <c r="T148" s="290" t="str">
        <f t="shared" si="25"/>
        <v/>
      </c>
      <c r="U148" s="291" t="str">
        <f t="shared" si="26"/>
        <v/>
      </c>
      <c r="V148" s="325" t="str">
        <f t="shared" si="22"/>
        <v/>
      </c>
      <c r="W148" s="310" t="str">
        <f>IF(S148="","",VLOOKUP(S148,'G-1 All Habitats'!$B$2:$M$135,10,FALSE))</f>
        <v/>
      </c>
      <c r="X148" s="310" t="str">
        <f>IFERROR(VLOOKUP(W148,'G-1 All Habitats'!$V$3:$W$7,2,FALSE),"")</f>
        <v/>
      </c>
      <c r="Y148" s="45"/>
      <c r="Z148" s="314" t="str">
        <f>IFERROR(INDEX('G-8 Condition Look up'!$A$3:$H$135,MATCH(S148,'G-8 Condition Look up'!$A$3:$A$135,0),MATCH(Y148,'G-8 Condition Look up'!$A$3:$H$3,0)),"")</f>
        <v/>
      </c>
      <c r="AA148" s="38"/>
      <c r="AB148" s="310" t="str">
        <f>IF(AA148="","",IF(VLOOKUP(AA148,'G-3 Multipliers'!$L$3:$N$6,2,FALSE)=0,"Spatial Data Missing ⚠",VLOOKUP(AA148,'G-3 Multipliers'!$L$3:$N$6,2,FALSE)))</f>
        <v/>
      </c>
      <c r="AC148" s="314" t="str">
        <f>IF(AA148="","",IF(VLOOKUP(AA148,'G-3 Multipliers'!$L$3:$N$6,3,FALSE)=0,"Spatial Data Missing ⚠",VLOOKUP(AA148,'G-3 Multipliers'!$L$3:$N$6,3,FALSE)))</f>
        <v/>
      </c>
      <c r="AD148" s="327" t="str">
        <f t="shared" si="23"/>
        <v/>
      </c>
      <c r="AE148" s="47"/>
      <c r="AF148" s="47"/>
      <c r="AG148" s="298" t="str">
        <f t="shared" si="27"/>
        <v/>
      </c>
      <c r="AH148" s="311" t="str">
        <f t="shared" si="28"/>
        <v/>
      </c>
      <c r="AI148" s="312" t="str">
        <f>IF(AH148="Check Data","Check Data",IFERROR(VLOOKUP(AH148,'G-4 Temporal multipliers'!$A$4:$C$36,3,FALSE),""))</f>
        <v/>
      </c>
      <c r="AJ148" s="290" t="str">
        <f>IF(S148="","",VLOOKUP(S148,'G-3 Multipliers'!$A$2:$E$134,4,FALSE))</f>
        <v/>
      </c>
      <c r="AK148" s="298" t="str">
        <f t="shared" si="29"/>
        <v/>
      </c>
      <c r="AL148" s="298" t="str">
        <f t="shared" si="30"/>
        <v/>
      </c>
      <c r="AM148" s="328" t="str">
        <f>IFERROR(IF(F148="","",IF(AH148="Check Data ⚠","Check Data ⚠",VLOOKUP(AL148, 'G-3 Multipliers'!$P$2:$Q$6,2,FALSE))),"")</f>
        <v/>
      </c>
      <c r="AN148" s="304" t="str">
        <f t="shared" si="31"/>
        <v/>
      </c>
      <c r="AO148" s="163"/>
      <c r="AP148" s="164"/>
      <c r="AQ148" s="101"/>
      <c r="AT148" s="20" t="str">
        <f t="shared" si="32"/>
        <v>No</v>
      </c>
      <c r="AU148" s="20" t="str">
        <f>IF(E148="","",IF(ISNA(VLOOKUP($E148,'A-1 On-Site Habitat Baseline'!$D$1:$AV$258,4,FALSE)),"",(VLOOKUP($E148,'A-1 On-Site Habitat Baseline'!$D$1:$AV$258,4,FALSE))))</f>
        <v/>
      </c>
    </row>
    <row r="149" spans="1:47" x14ac:dyDescent="0.3">
      <c r="A149" s="20" t="str">
        <f>IF(E149="","",IF(ISNA(VLOOKUP($E149,'A-1 On-Site Habitat Baseline'!$D$1:$O$258,2,FALSE)),"",(VLOOKUP($E149,'A-1 On-Site Habitat Baseline'!$D$1:$O$258,2,FALSE))))</f>
        <v/>
      </c>
      <c r="B149" s="20" t="str">
        <f>IF(E149="","",IF(ISNA(VLOOKUP($E149,'A-1 On-Site Habitat Baseline'!$D$1:$O$258,3,FALSE)),"",(VLOOKUP($E149,'A-1 On-Site Habitat Baseline'!$D$1:$O$258,3,FALSE))))</f>
        <v/>
      </c>
      <c r="C149" s="20" t="str">
        <f>IFERROR(INDEX('G-8 Condition Look up'!$I$4:$I$135,MATCH(S149,'G-8 Condition Look up'!$A$4:$A$135,0)),"")</f>
        <v/>
      </c>
      <c r="E149" s="319" t="str">
        <f>'A-1 On-Site Habitat Baseline'!AL148</f>
        <v/>
      </c>
      <c r="F149" s="310" t="str">
        <f>IF(E149="","",IF(ISNA(VLOOKUP($E149,'A-1 On-Site Habitat Baseline'!$D$1:$AV$258,45,FALSE)),"",(VLOOKUP($E149,'A-1 On-Site Habitat Baseline'!$D$1:$AV$258,45,FALSE))))</f>
        <v/>
      </c>
      <c r="G149" s="310" t="str">
        <f>IF(E149="","",IF(ISNA(VLOOKUP($E149,'A-1 On-Site Habitat Baseline'!$D$1:$O$258,5,FALSE)),"",(VLOOKUP($E149,'A-1 On-Site Habitat Baseline'!$D$1:$O$258,5,FALSE))))</f>
        <v/>
      </c>
      <c r="H149" s="310" t="str">
        <f>IF(E149="","",IF(ISNA(VLOOKUP($E149,'A-1 On-Site Habitat Baseline'!$D$1:$O$258,6,FALSE)),"",(VLOOKUP($E149,'A-1 On-Site Habitat Baseline'!$D$1:$O$258,6,FALSE))))</f>
        <v/>
      </c>
      <c r="I149" s="310" t="str">
        <f>IF(E149="","",IF(ISNA(VLOOKUP($E149,'A-1 On-Site Habitat Baseline'!$D$1:$O$258,7,FALSE)),"",(VLOOKUP($E149,'A-1 On-Site Habitat Baseline'!$D$1:$O$258,7,FALSE))))</f>
        <v/>
      </c>
      <c r="J149" s="310" t="str">
        <f>IF(E149="","",IF(ISNA(VLOOKUP($E149,'A-1 On-Site Habitat Baseline'!$D$1:$O$258,8,FALSE)),"",(VLOOKUP($E149,'A-1 On-Site Habitat Baseline'!$D$1:$O$258,8,FALSE))))</f>
        <v/>
      </c>
      <c r="K149" s="310" t="str">
        <f>IF(E149="","",IF(ISNA(VLOOKUP($E149,'A-1 On-Site Habitat Baseline'!$D$1:$O$258,9,FALSE)),"",(VLOOKUP($E149,'A-1 On-Site Habitat Baseline'!$D$1:$O$258,9,FALSE))))</f>
        <v/>
      </c>
      <c r="L149" s="310" t="str">
        <f>IF(E149="","",IF(ISNA(VLOOKUP($E149,'A-1 On-Site Habitat Baseline'!$D$1:$O$258,11,FALSE)),"",(VLOOKUP($E149,'A-1 On-Site Habitat Baseline'!$D$1:$O$258,11,FALSE))))</f>
        <v/>
      </c>
      <c r="M149" s="310" t="str">
        <f>IF(E149="","",IF(ISNA(VLOOKUP($E149,'A-1 On-Site Habitat Baseline'!$D$1:$O$258,12,FALSE)),"",(VLOOKUP($E149,'A-1 On-Site Habitat Baseline'!$D$1:$O$258,12,FALSE))))</f>
        <v/>
      </c>
      <c r="N149" s="320" t="str">
        <f>IF(E149="","",IF(ISNA(VLOOKUP($E149,'A-1 On-Site Habitat Baseline'!$D$1:$X$258,14,FALSE)),"",(VLOOKUP($E149,'A-1 On-Site Habitat Baseline'!$D$1:$X$258,14,FALSE))))</f>
        <v/>
      </c>
      <c r="O149" s="314" t="str">
        <f>IF(E149="","",IF(ISNA(VLOOKUP($E149,'A-1 On-Site Habitat Baseline'!$D$1:$X$258,16,FALSE)),"",(VLOOKUP($E149,'A-1 On-Site Habitat Baseline'!$D$1:$X$258,13,FALSE))))</f>
        <v/>
      </c>
      <c r="P149" s="161" t="str">
        <f>IFERROR(INDEX('G-1 All Habitats'!$AG$49:$AG$63,MATCH(Q149,'G-1 All Habitats'!$AF$27:$AF$41,0)),"")</f>
        <v/>
      </c>
      <c r="Q149" s="162" t="str">
        <f t="shared" si="24"/>
        <v/>
      </c>
      <c r="R149" s="162"/>
      <c r="S149" s="252" t="str">
        <f>IFERROR(INDEX('G-1 All Habitats'!$B$3:$B$135,MATCH(R149,'G-1 All Habitats'!$A$3:$A$135,0)),"")</f>
        <v/>
      </c>
      <c r="T149" s="290" t="str">
        <f t="shared" si="25"/>
        <v/>
      </c>
      <c r="U149" s="291" t="str">
        <f t="shared" si="26"/>
        <v/>
      </c>
      <c r="V149" s="325" t="str">
        <f t="shared" si="22"/>
        <v/>
      </c>
      <c r="W149" s="310" t="str">
        <f>IF(S149="","",VLOOKUP(S149,'G-1 All Habitats'!$B$2:$M$135,10,FALSE))</f>
        <v/>
      </c>
      <c r="X149" s="310" t="str">
        <f>IFERROR(VLOOKUP(W149,'G-1 All Habitats'!$V$3:$W$7,2,FALSE),"")</f>
        <v/>
      </c>
      <c r="Y149" s="45"/>
      <c r="Z149" s="314" t="str">
        <f>IFERROR(INDEX('G-8 Condition Look up'!$A$3:$H$135,MATCH(S149,'G-8 Condition Look up'!$A$3:$A$135,0),MATCH(Y149,'G-8 Condition Look up'!$A$3:$H$3,0)),"")</f>
        <v/>
      </c>
      <c r="AA149" s="38"/>
      <c r="AB149" s="310" t="str">
        <f>IF(AA149="","",IF(VLOOKUP(AA149,'G-3 Multipliers'!$L$3:$N$6,2,FALSE)=0,"Spatial Data Missing ⚠",VLOOKUP(AA149,'G-3 Multipliers'!$L$3:$N$6,2,FALSE)))</f>
        <v/>
      </c>
      <c r="AC149" s="314" t="str">
        <f>IF(AA149="","",IF(VLOOKUP(AA149,'G-3 Multipliers'!$L$3:$N$6,3,FALSE)=0,"Spatial Data Missing ⚠",VLOOKUP(AA149,'G-3 Multipliers'!$L$3:$N$6,3,FALSE)))</f>
        <v/>
      </c>
      <c r="AD149" s="327" t="str">
        <f t="shared" si="23"/>
        <v/>
      </c>
      <c r="AE149" s="47"/>
      <c r="AF149" s="47"/>
      <c r="AG149" s="298" t="str">
        <f t="shared" si="27"/>
        <v/>
      </c>
      <c r="AH149" s="311" t="str">
        <f t="shared" si="28"/>
        <v/>
      </c>
      <c r="AI149" s="312" t="str">
        <f>IF(AH149="Check Data","Check Data",IFERROR(VLOOKUP(AH149,'G-4 Temporal multipliers'!$A$4:$C$36,3,FALSE),""))</f>
        <v/>
      </c>
      <c r="AJ149" s="290" t="str">
        <f>IF(S149="","",VLOOKUP(S149,'G-3 Multipliers'!$A$2:$E$134,4,FALSE))</f>
        <v/>
      </c>
      <c r="AK149" s="298" t="str">
        <f t="shared" si="29"/>
        <v/>
      </c>
      <c r="AL149" s="298" t="str">
        <f t="shared" si="30"/>
        <v/>
      </c>
      <c r="AM149" s="328" t="str">
        <f>IFERROR(IF(F149="","",IF(AH149="Check Data ⚠","Check Data ⚠",VLOOKUP(AL149, 'G-3 Multipliers'!$P$2:$Q$6,2,FALSE))),"")</f>
        <v/>
      </c>
      <c r="AN149" s="304" t="str">
        <f t="shared" si="31"/>
        <v/>
      </c>
      <c r="AO149" s="163"/>
      <c r="AP149" s="164"/>
      <c r="AQ149" s="101"/>
      <c r="AT149" s="20" t="str">
        <f t="shared" si="32"/>
        <v>No</v>
      </c>
      <c r="AU149" s="20" t="str">
        <f>IF(E149="","",IF(ISNA(VLOOKUP($E149,'A-1 On-Site Habitat Baseline'!$D$1:$AV$258,4,FALSE)),"",(VLOOKUP($E149,'A-1 On-Site Habitat Baseline'!$D$1:$AV$258,4,FALSE))))</f>
        <v/>
      </c>
    </row>
    <row r="150" spans="1:47" x14ac:dyDescent="0.3">
      <c r="A150" s="20" t="str">
        <f>IF(E150="","",IF(ISNA(VLOOKUP($E150,'A-1 On-Site Habitat Baseline'!$D$1:$O$258,2,FALSE)),"",(VLOOKUP($E150,'A-1 On-Site Habitat Baseline'!$D$1:$O$258,2,FALSE))))</f>
        <v/>
      </c>
      <c r="B150" s="20" t="str">
        <f>IF(E150="","",IF(ISNA(VLOOKUP($E150,'A-1 On-Site Habitat Baseline'!$D$1:$O$258,3,FALSE)),"",(VLOOKUP($E150,'A-1 On-Site Habitat Baseline'!$D$1:$O$258,3,FALSE))))</f>
        <v/>
      </c>
      <c r="C150" s="20" t="str">
        <f>IFERROR(INDEX('G-8 Condition Look up'!$I$4:$I$135,MATCH(S150,'G-8 Condition Look up'!$A$4:$A$135,0)),"")</f>
        <v/>
      </c>
      <c r="E150" s="319" t="str">
        <f>'A-1 On-Site Habitat Baseline'!AL149</f>
        <v/>
      </c>
      <c r="F150" s="310" t="str">
        <f>IF(E150="","",IF(ISNA(VLOOKUP($E150,'A-1 On-Site Habitat Baseline'!$D$1:$AV$258,45,FALSE)),"",(VLOOKUP($E150,'A-1 On-Site Habitat Baseline'!$D$1:$AV$258,45,FALSE))))</f>
        <v/>
      </c>
      <c r="G150" s="310" t="str">
        <f>IF(E150="","",IF(ISNA(VLOOKUP($E150,'A-1 On-Site Habitat Baseline'!$D$1:$O$258,5,FALSE)),"",(VLOOKUP($E150,'A-1 On-Site Habitat Baseline'!$D$1:$O$258,5,FALSE))))</f>
        <v/>
      </c>
      <c r="H150" s="310" t="str">
        <f>IF(E150="","",IF(ISNA(VLOOKUP($E150,'A-1 On-Site Habitat Baseline'!$D$1:$O$258,6,FALSE)),"",(VLOOKUP($E150,'A-1 On-Site Habitat Baseline'!$D$1:$O$258,6,FALSE))))</f>
        <v/>
      </c>
      <c r="I150" s="310" t="str">
        <f>IF(E150="","",IF(ISNA(VLOOKUP($E150,'A-1 On-Site Habitat Baseline'!$D$1:$O$258,7,FALSE)),"",(VLOOKUP($E150,'A-1 On-Site Habitat Baseline'!$D$1:$O$258,7,FALSE))))</f>
        <v/>
      </c>
      <c r="J150" s="310" t="str">
        <f>IF(E150="","",IF(ISNA(VLOOKUP($E150,'A-1 On-Site Habitat Baseline'!$D$1:$O$258,8,FALSE)),"",(VLOOKUP($E150,'A-1 On-Site Habitat Baseline'!$D$1:$O$258,8,FALSE))))</f>
        <v/>
      </c>
      <c r="K150" s="310" t="str">
        <f>IF(E150="","",IF(ISNA(VLOOKUP($E150,'A-1 On-Site Habitat Baseline'!$D$1:$O$258,9,FALSE)),"",(VLOOKUP($E150,'A-1 On-Site Habitat Baseline'!$D$1:$O$258,9,FALSE))))</f>
        <v/>
      </c>
      <c r="L150" s="310" t="str">
        <f>IF(E150="","",IF(ISNA(VLOOKUP($E150,'A-1 On-Site Habitat Baseline'!$D$1:$O$258,11,FALSE)),"",(VLOOKUP($E150,'A-1 On-Site Habitat Baseline'!$D$1:$O$258,11,FALSE))))</f>
        <v/>
      </c>
      <c r="M150" s="310" t="str">
        <f>IF(E150="","",IF(ISNA(VLOOKUP($E150,'A-1 On-Site Habitat Baseline'!$D$1:$O$258,12,FALSE)),"",(VLOOKUP($E150,'A-1 On-Site Habitat Baseline'!$D$1:$O$258,12,FALSE))))</f>
        <v/>
      </c>
      <c r="N150" s="320" t="str">
        <f>IF(E150="","",IF(ISNA(VLOOKUP($E150,'A-1 On-Site Habitat Baseline'!$D$1:$X$258,14,FALSE)),"",(VLOOKUP($E150,'A-1 On-Site Habitat Baseline'!$D$1:$X$258,14,FALSE))))</f>
        <v/>
      </c>
      <c r="O150" s="314" t="str">
        <f>IF(E150="","",IF(ISNA(VLOOKUP($E150,'A-1 On-Site Habitat Baseline'!$D$1:$X$258,16,FALSE)),"",(VLOOKUP($E150,'A-1 On-Site Habitat Baseline'!$D$1:$X$258,13,FALSE))))</f>
        <v/>
      </c>
      <c r="P150" s="161" t="str">
        <f>IFERROR(INDEX('G-1 All Habitats'!$AG$49:$AG$63,MATCH(Q150,'G-1 All Habitats'!$AF$27:$AF$41,0)),"")</f>
        <v/>
      </c>
      <c r="Q150" s="162" t="str">
        <f t="shared" si="24"/>
        <v/>
      </c>
      <c r="R150" s="162"/>
      <c r="S150" s="252" t="str">
        <f>IFERROR(INDEX('G-1 All Habitats'!$B$3:$B$135,MATCH(R150,'G-1 All Habitats'!$A$3:$A$135,0)),"")</f>
        <v/>
      </c>
      <c r="T150" s="290" t="str">
        <f t="shared" si="25"/>
        <v/>
      </c>
      <c r="U150" s="291" t="str">
        <f t="shared" si="26"/>
        <v/>
      </c>
      <c r="V150" s="325" t="str">
        <f t="shared" si="22"/>
        <v/>
      </c>
      <c r="W150" s="310" t="str">
        <f>IF(S150="","",VLOOKUP(S150,'G-1 All Habitats'!$B$2:$M$135,10,FALSE))</f>
        <v/>
      </c>
      <c r="X150" s="310" t="str">
        <f>IFERROR(VLOOKUP(W150,'G-1 All Habitats'!$V$3:$W$7,2,FALSE),"")</f>
        <v/>
      </c>
      <c r="Y150" s="45"/>
      <c r="Z150" s="314" t="str">
        <f>IFERROR(INDEX('G-8 Condition Look up'!$A$3:$H$135,MATCH(S150,'G-8 Condition Look up'!$A$3:$A$135,0),MATCH(Y150,'G-8 Condition Look up'!$A$3:$H$3,0)),"")</f>
        <v/>
      </c>
      <c r="AA150" s="38"/>
      <c r="AB150" s="310" t="str">
        <f>IF(AA150="","",IF(VLOOKUP(AA150,'G-3 Multipliers'!$L$3:$N$6,2,FALSE)=0,"Spatial Data Missing ⚠",VLOOKUP(AA150,'G-3 Multipliers'!$L$3:$N$6,2,FALSE)))</f>
        <v/>
      </c>
      <c r="AC150" s="314" t="str">
        <f>IF(AA150="","",IF(VLOOKUP(AA150,'G-3 Multipliers'!$L$3:$N$6,3,FALSE)=0,"Spatial Data Missing ⚠",VLOOKUP(AA150,'G-3 Multipliers'!$L$3:$N$6,3,FALSE)))</f>
        <v/>
      </c>
      <c r="AD150" s="327" t="str">
        <f t="shared" si="23"/>
        <v/>
      </c>
      <c r="AE150" s="47"/>
      <c r="AF150" s="47"/>
      <c r="AG150" s="298" t="str">
        <f t="shared" si="27"/>
        <v/>
      </c>
      <c r="AH150" s="311" t="str">
        <f t="shared" si="28"/>
        <v/>
      </c>
      <c r="AI150" s="312" t="str">
        <f>IF(AH150="Check Data","Check Data",IFERROR(VLOOKUP(AH150,'G-4 Temporal multipliers'!$A$4:$C$36,3,FALSE),""))</f>
        <v/>
      </c>
      <c r="AJ150" s="290" t="str">
        <f>IF(S150="","",VLOOKUP(S150,'G-3 Multipliers'!$A$2:$E$134,4,FALSE))</f>
        <v/>
      </c>
      <c r="AK150" s="298" t="str">
        <f t="shared" si="29"/>
        <v/>
      </c>
      <c r="AL150" s="298" t="str">
        <f t="shared" si="30"/>
        <v/>
      </c>
      <c r="AM150" s="328" t="str">
        <f>IFERROR(IF(F150="","",IF(AH150="Check Data ⚠","Check Data ⚠",VLOOKUP(AL150, 'G-3 Multipliers'!$P$2:$Q$6,2,FALSE))),"")</f>
        <v/>
      </c>
      <c r="AN150" s="304" t="str">
        <f t="shared" si="31"/>
        <v/>
      </c>
      <c r="AO150" s="163"/>
      <c r="AP150" s="164"/>
      <c r="AQ150" s="101"/>
      <c r="AT150" s="20" t="str">
        <f t="shared" si="32"/>
        <v>No</v>
      </c>
      <c r="AU150" s="20" t="str">
        <f>IF(E150="","",IF(ISNA(VLOOKUP($E150,'A-1 On-Site Habitat Baseline'!$D$1:$AV$258,4,FALSE)),"",(VLOOKUP($E150,'A-1 On-Site Habitat Baseline'!$D$1:$AV$258,4,FALSE))))</f>
        <v/>
      </c>
    </row>
    <row r="151" spans="1:47" x14ac:dyDescent="0.3">
      <c r="A151" s="20" t="str">
        <f>IF(E151="","",IF(ISNA(VLOOKUP($E151,'A-1 On-Site Habitat Baseline'!$D$1:$O$258,2,FALSE)),"",(VLOOKUP($E151,'A-1 On-Site Habitat Baseline'!$D$1:$O$258,2,FALSE))))</f>
        <v/>
      </c>
      <c r="B151" s="20" t="str">
        <f>IF(E151="","",IF(ISNA(VLOOKUP($E151,'A-1 On-Site Habitat Baseline'!$D$1:$O$258,3,FALSE)),"",(VLOOKUP($E151,'A-1 On-Site Habitat Baseline'!$D$1:$O$258,3,FALSE))))</f>
        <v/>
      </c>
      <c r="C151" s="20" t="str">
        <f>IFERROR(INDEX('G-8 Condition Look up'!$I$4:$I$135,MATCH(S151,'G-8 Condition Look up'!$A$4:$A$135,0)),"")</f>
        <v/>
      </c>
      <c r="E151" s="319" t="str">
        <f>'A-1 On-Site Habitat Baseline'!AL150</f>
        <v/>
      </c>
      <c r="F151" s="310" t="str">
        <f>IF(E151="","",IF(ISNA(VLOOKUP($E151,'A-1 On-Site Habitat Baseline'!$D$1:$AV$258,45,FALSE)),"",(VLOOKUP($E151,'A-1 On-Site Habitat Baseline'!$D$1:$AV$258,45,FALSE))))</f>
        <v/>
      </c>
      <c r="G151" s="310" t="str">
        <f>IF(E151="","",IF(ISNA(VLOOKUP($E151,'A-1 On-Site Habitat Baseline'!$D$1:$O$258,5,FALSE)),"",(VLOOKUP($E151,'A-1 On-Site Habitat Baseline'!$D$1:$O$258,5,FALSE))))</f>
        <v/>
      </c>
      <c r="H151" s="310" t="str">
        <f>IF(E151="","",IF(ISNA(VLOOKUP($E151,'A-1 On-Site Habitat Baseline'!$D$1:$O$258,6,FALSE)),"",(VLOOKUP($E151,'A-1 On-Site Habitat Baseline'!$D$1:$O$258,6,FALSE))))</f>
        <v/>
      </c>
      <c r="I151" s="310" t="str">
        <f>IF(E151="","",IF(ISNA(VLOOKUP($E151,'A-1 On-Site Habitat Baseline'!$D$1:$O$258,7,FALSE)),"",(VLOOKUP($E151,'A-1 On-Site Habitat Baseline'!$D$1:$O$258,7,FALSE))))</f>
        <v/>
      </c>
      <c r="J151" s="310" t="str">
        <f>IF(E151="","",IF(ISNA(VLOOKUP($E151,'A-1 On-Site Habitat Baseline'!$D$1:$O$258,8,FALSE)),"",(VLOOKUP($E151,'A-1 On-Site Habitat Baseline'!$D$1:$O$258,8,FALSE))))</f>
        <v/>
      </c>
      <c r="K151" s="310" t="str">
        <f>IF(E151="","",IF(ISNA(VLOOKUP($E151,'A-1 On-Site Habitat Baseline'!$D$1:$O$258,9,FALSE)),"",(VLOOKUP($E151,'A-1 On-Site Habitat Baseline'!$D$1:$O$258,9,FALSE))))</f>
        <v/>
      </c>
      <c r="L151" s="310" t="str">
        <f>IF(E151="","",IF(ISNA(VLOOKUP($E151,'A-1 On-Site Habitat Baseline'!$D$1:$O$258,11,FALSE)),"",(VLOOKUP($E151,'A-1 On-Site Habitat Baseline'!$D$1:$O$258,11,FALSE))))</f>
        <v/>
      </c>
      <c r="M151" s="310" t="str">
        <f>IF(E151="","",IF(ISNA(VLOOKUP($E151,'A-1 On-Site Habitat Baseline'!$D$1:$O$258,12,FALSE)),"",(VLOOKUP($E151,'A-1 On-Site Habitat Baseline'!$D$1:$O$258,12,FALSE))))</f>
        <v/>
      </c>
      <c r="N151" s="320" t="str">
        <f>IF(E151="","",IF(ISNA(VLOOKUP($E151,'A-1 On-Site Habitat Baseline'!$D$1:$X$258,14,FALSE)),"",(VLOOKUP($E151,'A-1 On-Site Habitat Baseline'!$D$1:$X$258,14,FALSE))))</f>
        <v/>
      </c>
      <c r="O151" s="314" t="str">
        <f>IF(E151="","",IF(ISNA(VLOOKUP($E151,'A-1 On-Site Habitat Baseline'!$D$1:$X$258,16,FALSE)),"",(VLOOKUP($E151,'A-1 On-Site Habitat Baseline'!$D$1:$X$258,13,FALSE))))</f>
        <v/>
      </c>
      <c r="P151" s="161" t="str">
        <f>IFERROR(INDEX('G-1 All Habitats'!$AG$49:$AG$63,MATCH(Q151,'G-1 All Habitats'!$AF$27:$AF$41,0)),"")</f>
        <v/>
      </c>
      <c r="Q151" s="162" t="str">
        <f t="shared" si="24"/>
        <v/>
      </c>
      <c r="R151" s="162"/>
      <c r="S151" s="252" t="str">
        <f>IFERROR(INDEX('G-1 All Habitats'!$B$3:$B$135,MATCH(R151,'G-1 All Habitats'!$A$3:$A$135,0)),"")</f>
        <v/>
      </c>
      <c r="T151" s="290" t="str">
        <f t="shared" si="25"/>
        <v/>
      </c>
      <c r="U151" s="291" t="str">
        <f t="shared" si="26"/>
        <v/>
      </c>
      <c r="V151" s="325" t="str">
        <f t="shared" si="22"/>
        <v/>
      </c>
      <c r="W151" s="310" t="str">
        <f>IF(S151="","",VLOOKUP(S151,'G-1 All Habitats'!$B$2:$M$135,10,FALSE))</f>
        <v/>
      </c>
      <c r="X151" s="310" t="str">
        <f>IFERROR(VLOOKUP(W151,'G-1 All Habitats'!$V$3:$W$7,2,FALSE),"")</f>
        <v/>
      </c>
      <c r="Y151" s="45"/>
      <c r="Z151" s="314" t="str">
        <f>IFERROR(INDEX('G-8 Condition Look up'!$A$3:$H$135,MATCH(S151,'G-8 Condition Look up'!$A$3:$A$135,0),MATCH(Y151,'G-8 Condition Look up'!$A$3:$H$3,0)),"")</f>
        <v/>
      </c>
      <c r="AA151" s="38"/>
      <c r="AB151" s="310" t="str">
        <f>IF(AA151="","",IF(VLOOKUP(AA151,'G-3 Multipliers'!$L$3:$N$6,2,FALSE)=0,"Spatial Data Missing ⚠",VLOOKUP(AA151,'G-3 Multipliers'!$L$3:$N$6,2,FALSE)))</f>
        <v/>
      </c>
      <c r="AC151" s="314" t="str">
        <f>IF(AA151="","",IF(VLOOKUP(AA151,'G-3 Multipliers'!$L$3:$N$6,3,FALSE)=0,"Spatial Data Missing ⚠",VLOOKUP(AA151,'G-3 Multipliers'!$L$3:$N$6,3,FALSE)))</f>
        <v/>
      </c>
      <c r="AD151" s="327" t="str">
        <f t="shared" si="23"/>
        <v/>
      </c>
      <c r="AE151" s="47"/>
      <c r="AF151" s="47"/>
      <c r="AG151" s="298" t="str">
        <f t="shared" si="27"/>
        <v/>
      </c>
      <c r="AH151" s="311" t="str">
        <f t="shared" si="28"/>
        <v/>
      </c>
      <c r="AI151" s="312" t="str">
        <f>IF(AH151="Check Data","Check Data",IFERROR(VLOOKUP(AH151,'G-4 Temporal multipliers'!$A$4:$C$36,3,FALSE),""))</f>
        <v/>
      </c>
      <c r="AJ151" s="290" t="str">
        <f>IF(S151="","",VLOOKUP(S151,'G-3 Multipliers'!$A$2:$E$134,4,FALSE))</f>
        <v/>
      </c>
      <c r="AK151" s="298" t="str">
        <f t="shared" si="29"/>
        <v/>
      </c>
      <c r="AL151" s="298" t="str">
        <f t="shared" si="30"/>
        <v/>
      </c>
      <c r="AM151" s="328" t="str">
        <f>IFERROR(IF(F151="","",IF(AH151="Check Data ⚠","Check Data ⚠",VLOOKUP(AL151, 'G-3 Multipliers'!$P$2:$Q$6,2,FALSE))),"")</f>
        <v/>
      </c>
      <c r="AN151" s="304" t="str">
        <f t="shared" si="31"/>
        <v/>
      </c>
      <c r="AO151" s="163"/>
      <c r="AP151" s="164"/>
      <c r="AQ151" s="101"/>
      <c r="AT151" s="20" t="str">
        <f t="shared" si="32"/>
        <v>No</v>
      </c>
      <c r="AU151" s="20" t="str">
        <f>IF(E151="","",IF(ISNA(VLOOKUP($E151,'A-1 On-Site Habitat Baseline'!$D$1:$AV$258,4,FALSE)),"",(VLOOKUP($E151,'A-1 On-Site Habitat Baseline'!$D$1:$AV$258,4,FALSE))))</f>
        <v/>
      </c>
    </row>
    <row r="152" spans="1:47" x14ac:dyDescent="0.3">
      <c r="A152" s="20" t="str">
        <f>IF(E152="","",IF(ISNA(VLOOKUP($E152,'A-1 On-Site Habitat Baseline'!$D$1:$O$258,2,FALSE)),"",(VLOOKUP($E152,'A-1 On-Site Habitat Baseline'!$D$1:$O$258,2,FALSE))))</f>
        <v/>
      </c>
      <c r="B152" s="20" t="str">
        <f>IF(E152="","",IF(ISNA(VLOOKUP($E152,'A-1 On-Site Habitat Baseline'!$D$1:$O$258,3,FALSE)),"",(VLOOKUP($E152,'A-1 On-Site Habitat Baseline'!$D$1:$O$258,3,FALSE))))</f>
        <v/>
      </c>
      <c r="C152" s="20" t="str">
        <f>IFERROR(INDEX('G-8 Condition Look up'!$I$4:$I$135,MATCH(S152,'G-8 Condition Look up'!$A$4:$A$135,0)),"")</f>
        <v/>
      </c>
      <c r="E152" s="319" t="str">
        <f>'A-1 On-Site Habitat Baseline'!AL151</f>
        <v/>
      </c>
      <c r="F152" s="310" t="str">
        <f>IF(E152="","",IF(ISNA(VLOOKUP($E152,'A-1 On-Site Habitat Baseline'!$D$1:$AV$258,45,FALSE)),"",(VLOOKUP($E152,'A-1 On-Site Habitat Baseline'!$D$1:$AV$258,45,FALSE))))</f>
        <v/>
      </c>
      <c r="G152" s="310" t="str">
        <f>IF(E152="","",IF(ISNA(VLOOKUP($E152,'A-1 On-Site Habitat Baseline'!$D$1:$O$258,5,FALSE)),"",(VLOOKUP($E152,'A-1 On-Site Habitat Baseline'!$D$1:$O$258,5,FALSE))))</f>
        <v/>
      </c>
      <c r="H152" s="310" t="str">
        <f>IF(E152="","",IF(ISNA(VLOOKUP($E152,'A-1 On-Site Habitat Baseline'!$D$1:$O$258,6,FALSE)),"",(VLOOKUP($E152,'A-1 On-Site Habitat Baseline'!$D$1:$O$258,6,FALSE))))</f>
        <v/>
      </c>
      <c r="I152" s="310" t="str">
        <f>IF(E152="","",IF(ISNA(VLOOKUP($E152,'A-1 On-Site Habitat Baseline'!$D$1:$O$258,7,FALSE)),"",(VLOOKUP($E152,'A-1 On-Site Habitat Baseline'!$D$1:$O$258,7,FALSE))))</f>
        <v/>
      </c>
      <c r="J152" s="310" t="str">
        <f>IF(E152="","",IF(ISNA(VLOOKUP($E152,'A-1 On-Site Habitat Baseline'!$D$1:$O$258,8,FALSE)),"",(VLOOKUP($E152,'A-1 On-Site Habitat Baseline'!$D$1:$O$258,8,FALSE))))</f>
        <v/>
      </c>
      <c r="K152" s="310" t="str">
        <f>IF(E152="","",IF(ISNA(VLOOKUP($E152,'A-1 On-Site Habitat Baseline'!$D$1:$O$258,9,FALSE)),"",(VLOOKUP($E152,'A-1 On-Site Habitat Baseline'!$D$1:$O$258,9,FALSE))))</f>
        <v/>
      </c>
      <c r="L152" s="310" t="str">
        <f>IF(E152="","",IF(ISNA(VLOOKUP($E152,'A-1 On-Site Habitat Baseline'!$D$1:$O$258,11,FALSE)),"",(VLOOKUP($E152,'A-1 On-Site Habitat Baseline'!$D$1:$O$258,11,FALSE))))</f>
        <v/>
      </c>
      <c r="M152" s="310" t="str">
        <f>IF(E152="","",IF(ISNA(VLOOKUP($E152,'A-1 On-Site Habitat Baseline'!$D$1:$O$258,12,FALSE)),"",(VLOOKUP($E152,'A-1 On-Site Habitat Baseline'!$D$1:$O$258,12,FALSE))))</f>
        <v/>
      </c>
      <c r="N152" s="320" t="str">
        <f>IF(E152="","",IF(ISNA(VLOOKUP($E152,'A-1 On-Site Habitat Baseline'!$D$1:$X$258,14,FALSE)),"",(VLOOKUP($E152,'A-1 On-Site Habitat Baseline'!$D$1:$X$258,14,FALSE))))</f>
        <v/>
      </c>
      <c r="O152" s="314" t="str">
        <f>IF(E152="","",IF(ISNA(VLOOKUP($E152,'A-1 On-Site Habitat Baseline'!$D$1:$X$258,16,FALSE)),"",(VLOOKUP($E152,'A-1 On-Site Habitat Baseline'!$D$1:$X$258,13,FALSE))))</f>
        <v/>
      </c>
      <c r="P152" s="161" t="str">
        <f>IFERROR(INDEX('G-1 All Habitats'!$AG$49:$AG$63,MATCH(Q152,'G-1 All Habitats'!$AF$27:$AF$41,0)),"")</f>
        <v/>
      </c>
      <c r="Q152" s="162" t="str">
        <f t="shared" si="24"/>
        <v/>
      </c>
      <c r="R152" s="162"/>
      <c r="S152" s="252" t="str">
        <f>IFERROR(INDEX('G-1 All Habitats'!$B$3:$B$135,MATCH(R152,'G-1 All Habitats'!$A$3:$A$135,0)),"")</f>
        <v/>
      </c>
      <c r="T152" s="290" t="str">
        <f t="shared" si="25"/>
        <v/>
      </c>
      <c r="U152" s="291" t="str">
        <f t="shared" si="26"/>
        <v/>
      </c>
      <c r="V152" s="325" t="str">
        <f t="shared" si="22"/>
        <v/>
      </c>
      <c r="W152" s="310" t="str">
        <f>IF(S152="","",VLOOKUP(S152,'G-1 All Habitats'!$B$2:$M$135,10,FALSE))</f>
        <v/>
      </c>
      <c r="X152" s="310" t="str">
        <f>IFERROR(VLOOKUP(W152,'G-1 All Habitats'!$V$3:$W$7,2,FALSE),"")</f>
        <v/>
      </c>
      <c r="Y152" s="45"/>
      <c r="Z152" s="314" t="str">
        <f>IFERROR(INDEX('G-8 Condition Look up'!$A$3:$H$135,MATCH(S152,'G-8 Condition Look up'!$A$3:$A$135,0),MATCH(Y152,'G-8 Condition Look up'!$A$3:$H$3,0)),"")</f>
        <v/>
      </c>
      <c r="AA152" s="38"/>
      <c r="AB152" s="310" t="str">
        <f>IF(AA152="","",IF(VLOOKUP(AA152,'G-3 Multipliers'!$L$3:$N$6,2,FALSE)=0,"Spatial Data Missing ⚠",VLOOKUP(AA152,'G-3 Multipliers'!$L$3:$N$6,2,FALSE)))</f>
        <v/>
      </c>
      <c r="AC152" s="314" t="str">
        <f>IF(AA152="","",IF(VLOOKUP(AA152,'G-3 Multipliers'!$L$3:$N$6,3,FALSE)=0,"Spatial Data Missing ⚠",VLOOKUP(AA152,'G-3 Multipliers'!$L$3:$N$6,3,FALSE)))</f>
        <v/>
      </c>
      <c r="AD152" s="327" t="str">
        <f t="shared" si="23"/>
        <v/>
      </c>
      <c r="AE152" s="47"/>
      <c r="AF152" s="47"/>
      <c r="AG152" s="298" t="str">
        <f t="shared" si="27"/>
        <v/>
      </c>
      <c r="AH152" s="311" t="str">
        <f t="shared" si="28"/>
        <v/>
      </c>
      <c r="AI152" s="312" t="str">
        <f>IF(AH152="Check Data","Check Data",IFERROR(VLOOKUP(AH152,'G-4 Temporal multipliers'!$A$4:$C$36,3,FALSE),""))</f>
        <v/>
      </c>
      <c r="AJ152" s="290" t="str">
        <f>IF(S152="","",VLOOKUP(S152,'G-3 Multipliers'!$A$2:$E$134,4,FALSE))</f>
        <v/>
      </c>
      <c r="AK152" s="298" t="str">
        <f t="shared" si="29"/>
        <v/>
      </c>
      <c r="AL152" s="298" t="str">
        <f t="shared" si="30"/>
        <v/>
      </c>
      <c r="AM152" s="328" t="str">
        <f>IFERROR(IF(F152="","",IF(AH152="Check Data ⚠","Check Data ⚠",VLOOKUP(AL152, 'G-3 Multipliers'!$P$2:$Q$6,2,FALSE))),"")</f>
        <v/>
      </c>
      <c r="AN152" s="304" t="str">
        <f t="shared" si="31"/>
        <v/>
      </c>
      <c r="AO152" s="163"/>
      <c r="AP152" s="164"/>
      <c r="AQ152" s="101"/>
      <c r="AT152" s="20" t="str">
        <f t="shared" si="32"/>
        <v>No</v>
      </c>
      <c r="AU152" s="20" t="str">
        <f>IF(E152="","",IF(ISNA(VLOOKUP($E152,'A-1 On-Site Habitat Baseline'!$D$1:$AV$258,4,FALSE)),"",(VLOOKUP($E152,'A-1 On-Site Habitat Baseline'!$D$1:$AV$258,4,FALSE))))</f>
        <v/>
      </c>
    </row>
    <row r="153" spans="1:47" x14ac:dyDescent="0.3">
      <c r="A153" s="20" t="str">
        <f>IF(E153="","",IF(ISNA(VLOOKUP($E153,'A-1 On-Site Habitat Baseline'!$D$1:$O$258,2,FALSE)),"",(VLOOKUP($E153,'A-1 On-Site Habitat Baseline'!$D$1:$O$258,2,FALSE))))</f>
        <v/>
      </c>
      <c r="B153" s="20" t="str">
        <f>IF(E153="","",IF(ISNA(VLOOKUP($E153,'A-1 On-Site Habitat Baseline'!$D$1:$O$258,3,FALSE)),"",(VLOOKUP($E153,'A-1 On-Site Habitat Baseline'!$D$1:$O$258,3,FALSE))))</f>
        <v/>
      </c>
      <c r="C153" s="20" t="str">
        <f>IFERROR(INDEX('G-8 Condition Look up'!$I$4:$I$135,MATCH(S153,'G-8 Condition Look up'!$A$4:$A$135,0)),"")</f>
        <v/>
      </c>
      <c r="E153" s="319" t="str">
        <f>'A-1 On-Site Habitat Baseline'!AL152</f>
        <v/>
      </c>
      <c r="F153" s="310" t="str">
        <f>IF(E153="","",IF(ISNA(VLOOKUP($E153,'A-1 On-Site Habitat Baseline'!$D$1:$AV$258,45,FALSE)),"",(VLOOKUP($E153,'A-1 On-Site Habitat Baseline'!$D$1:$AV$258,45,FALSE))))</f>
        <v/>
      </c>
      <c r="G153" s="310" t="str">
        <f>IF(E153="","",IF(ISNA(VLOOKUP($E153,'A-1 On-Site Habitat Baseline'!$D$1:$O$258,5,FALSE)),"",(VLOOKUP($E153,'A-1 On-Site Habitat Baseline'!$D$1:$O$258,5,FALSE))))</f>
        <v/>
      </c>
      <c r="H153" s="310" t="str">
        <f>IF(E153="","",IF(ISNA(VLOOKUP($E153,'A-1 On-Site Habitat Baseline'!$D$1:$O$258,6,FALSE)),"",(VLOOKUP($E153,'A-1 On-Site Habitat Baseline'!$D$1:$O$258,6,FALSE))))</f>
        <v/>
      </c>
      <c r="I153" s="310" t="str">
        <f>IF(E153="","",IF(ISNA(VLOOKUP($E153,'A-1 On-Site Habitat Baseline'!$D$1:$O$258,7,FALSE)),"",(VLOOKUP($E153,'A-1 On-Site Habitat Baseline'!$D$1:$O$258,7,FALSE))))</f>
        <v/>
      </c>
      <c r="J153" s="310" t="str">
        <f>IF(E153="","",IF(ISNA(VLOOKUP($E153,'A-1 On-Site Habitat Baseline'!$D$1:$O$258,8,FALSE)),"",(VLOOKUP($E153,'A-1 On-Site Habitat Baseline'!$D$1:$O$258,8,FALSE))))</f>
        <v/>
      </c>
      <c r="K153" s="310" t="str">
        <f>IF(E153="","",IF(ISNA(VLOOKUP($E153,'A-1 On-Site Habitat Baseline'!$D$1:$O$258,9,FALSE)),"",(VLOOKUP($E153,'A-1 On-Site Habitat Baseline'!$D$1:$O$258,9,FALSE))))</f>
        <v/>
      </c>
      <c r="L153" s="310" t="str">
        <f>IF(E153="","",IF(ISNA(VLOOKUP($E153,'A-1 On-Site Habitat Baseline'!$D$1:$O$258,11,FALSE)),"",(VLOOKUP($E153,'A-1 On-Site Habitat Baseline'!$D$1:$O$258,11,FALSE))))</f>
        <v/>
      </c>
      <c r="M153" s="310" t="str">
        <f>IF(E153="","",IF(ISNA(VLOOKUP($E153,'A-1 On-Site Habitat Baseline'!$D$1:$O$258,12,FALSE)),"",(VLOOKUP($E153,'A-1 On-Site Habitat Baseline'!$D$1:$O$258,12,FALSE))))</f>
        <v/>
      </c>
      <c r="N153" s="320" t="str">
        <f>IF(E153="","",IF(ISNA(VLOOKUP($E153,'A-1 On-Site Habitat Baseline'!$D$1:$X$258,14,FALSE)),"",(VLOOKUP($E153,'A-1 On-Site Habitat Baseline'!$D$1:$X$258,14,FALSE))))</f>
        <v/>
      </c>
      <c r="O153" s="314" t="str">
        <f>IF(E153="","",IF(ISNA(VLOOKUP($E153,'A-1 On-Site Habitat Baseline'!$D$1:$X$258,16,FALSE)),"",(VLOOKUP($E153,'A-1 On-Site Habitat Baseline'!$D$1:$X$258,13,FALSE))))</f>
        <v/>
      </c>
      <c r="P153" s="161" t="str">
        <f>IFERROR(INDEX('G-1 All Habitats'!$AG$49:$AG$63,MATCH(Q153,'G-1 All Habitats'!$AF$27:$AF$41,0)),"")</f>
        <v/>
      </c>
      <c r="Q153" s="162" t="str">
        <f t="shared" si="24"/>
        <v/>
      </c>
      <c r="R153" s="162"/>
      <c r="S153" s="252" t="str">
        <f>IFERROR(INDEX('G-1 All Habitats'!$B$3:$B$135,MATCH(R153,'G-1 All Habitats'!$A$3:$A$135,0)),"")</f>
        <v/>
      </c>
      <c r="T153" s="290" t="str">
        <f t="shared" si="25"/>
        <v/>
      </c>
      <c r="U153" s="291" t="str">
        <f t="shared" si="26"/>
        <v/>
      </c>
      <c r="V153" s="325" t="str">
        <f t="shared" si="22"/>
        <v/>
      </c>
      <c r="W153" s="310" t="str">
        <f>IF(S153="","",VLOOKUP(S153,'G-1 All Habitats'!$B$2:$M$135,10,FALSE))</f>
        <v/>
      </c>
      <c r="X153" s="310" t="str">
        <f>IFERROR(VLOOKUP(W153,'G-1 All Habitats'!$V$3:$W$7,2,FALSE),"")</f>
        <v/>
      </c>
      <c r="Y153" s="45"/>
      <c r="Z153" s="314" t="str">
        <f>IFERROR(INDEX('G-8 Condition Look up'!$A$3:$H$135,MATCH(S153,'G-8 Condition Look up'!$A$3:$A$135,0),MATCH(Y153,'G-8 Condition Look up'!$A$3:$H$3,0)),"")</f>
        <v/>
      </c>
      <c r="AA153" s="38"/>
      <c r="AB153" s="310" t="str">
        <f>IF(AA153="","",IF(VLOOKUP(AA153,'G-3 Multipliers'!$L$3:$N$6,2,FALSE)=0,"Spatial Data Missing ⚠",VLOOKUP(AA153,'G-3 Multipliers'!$L$3:$N$6,2,FALSE)))</f>
        <v/>
      </c>
      <c r="AC153" s="314" t="str">
        <f>IF(AA153="","",IF(VLOOKUP(AA153,'G-3 Multipliers'!$L$3:$N$6,3,FALSE)=0,"Spatial Data Missing ⚠",VLOOKUP(AA153,'G-3 Multipliers'!$L$3:$N$6,3,FALSE)))</f>
        <v/>
      </c>
      <c r="AD153" s="327" t="str">
        <f t="shared" si="23"/>
        <v/>
      </c>
      <c r="AE153" s="47"/>
      <c r="AF153" s="47"/>
      <c r="AG153" s="298" t="str">
        <f t="shared" si="27"/>
        <v/>
      </c>
      <c r="AH153" s="311" t="str">
        <f t="shared" si="28"/>
        <v/>
      </c>
      <c r="AI153" s="312" t="str">
        <f>IF(AH153="Check Data","Check Data",IFERROR(VLOOKUP(AH153,'G-4 Temporal multipliers'!$A$4:$C$36,3,FALSE),""))</f>
        <v/>
      </c>
      <c r="AJ153" s="290" t="str">
        <f>IF(S153="","",VLOOKUP(S153,'G-3 Multipliers'!$A$2:$E$134,4,FALSE))</f>
        <v/>
      </c>
      <c r="AK153" s="298" t="str">
        <f t="shared" si="29"/>
        <v/>
      </c>
      <c r="AL153" s="298" t="str">
        <f t="shared" si="30"/>
        <v/>
      </c>
      <c r="AM153" s="328" t="str">
        <f>IFERROR(IF(F153="","",IF(AH153="Check Data ⚠","Check Data ⚠",VLOOKUP(AL153, 'G-3 Multipliers'!$P$2:$Q$6,2,FALSE))),"")</f>
        <v/>
      </c>
      <c r="AN153" s="304" t="str">
        <f t="shared" si="31"/>
        <v/>
      </c>
      <c r="AO153" s="163"/>
      <c r="AP153" s="164"/>
      <c r="AQ153" s="101"/>
      <c r="AT153" s="20" t="str">
        <f t="shared" si="32"/>
        <v>No</v>
      </c>
      <c r="AU153" s="20" t="str">
        <f>IF(E153="","",IF(ISNA(VLOOKUP($E153,'A-1 On-Site Habitat Baseline'!$D$1:$AV$258,4,FALSE)),"",(VLOOKUP($E153,'A-1 On-Site Habitat Baseline'!$D$1:$AV$258,4,FALSE))))</f>
        <v/>
      </c>
    </row>
    <row r="154" spans="1:47" x14ac:dyDescent="0.3">
      <c r="A154" s="20" t="str">
        <f>IF(E154="","",IF(ISNA(VLOOKUP($E154,'A-1 On-Site Habitat Baseline'!$D$1:$O$258,2,FALSE)),"",(VLOOKUP($E154,'A-1 On-Site Habitat Baseline'!$D$1:$O$258,2,FALSE))))</f>
        <v/>
      </c>
      <c r="B154" s="20" t="str">
        <f>IF(E154="","",IF(ISNA(VLOOKUP($E154,'A-1 On-Site Habitat Baseline'!$D$1:$O$258,3,FALSE)),"",(VLOOKUP($E154,'A-1 On-Site Habitat Baseline'!$D$1:$O$258,3,FALSE))))</f>
        <v/>
      </c>
      <c r="C154" s="20" t="str">
        <f>IFERROR(INDEX('G-8 Condition Look up'!$I$4:$I$135,MATCH(S154,'G-8 Condition Look up'!$A$4:$A$135,0)),"")</f>
        <v/>
      </c>
      <c r="E154" s="319" t="str">
        <f>'A-1 On-Site Habitat Baseline'!AL153</f>
        <v/>
      </c>
      <c r="F154" s="310" t="str">
        <f>IF(E154="","",IF(ISNA(VLOOKUP($E154,'A-1 On-Site Habitat Baseline'!$D$1:$AV$258,45,FALSE)),"",(VLOOKUP($E154,'A-1 On-Site Habitat Baseline'!$D$1:$AV$258,45,FALSE))))</f>
        <v/>
      </c>
      <c r="G154" s="310" t="str">
        <f>IF(E154="","",IF(ISNA(VLOOKUP($E154,'A-1 On-Site Habitat Baseline'!$D$1:$O$258,5,FALSE)),"",(VLOOKUP($E154,'A-1 On-Site Habitat Baseline'!$D$1:$O$258,5,FALSE))))</f>
        <v/>
      </c>
      <c r="H154" s="310" t="str">
        <f>IF(E154="","",IF(ISNA(VLOOKUP($E154,'A-1 On-Site Habitat Baseline'!$D$1:$O$258,6,FALSE)),"",(VLOOKUP($E154,'A-1 On-Site Habitat Baseline'!$D$1:$O$258,6,FALSE))))</f>
        <v/>
      </c>
      <c r="I154" s="310" t="str">
        <f>IF(E154="","",IF(ISNA(VLOOKUP($E154,'A-1 On-Site Habitat Baseline'!$D$1:$O$258,7,FALSE)),"",(VLOOKUP($E154,'A-1 On-Site Habitat Baseline'!$D$1:$O$258,7,FALSE))))</f>
        <v/>
      </c>
      <c r="J154" s="310" t="str">
        <f>IF(E154="","",IF(ISNA(VLOOKUP($E154,'A-1 On-Site Habitat Baseline'!$D$1:$O$258,8,FALSE)),"",(VLOOKUP($E154,'A-1 On-Site Habitat Baseline'!$D$1:$O$258,8,FALSE))))</f>
        <v/>
      </c>
      <c r="K154" s="310" t="str">
        <f>IF(E154="","",IF(ISNA(VLOOKUP($E154,'A-1 On-Site Habitat Baseline'!$D$1:$O$258,9,FALSE)),"",(VLOOKUP($E154,'A-1 On-Site Habitat Baseline'!$D$1:$O$258,9,FALSE))))</f>
        <v/>
      </c>
      <c r="L154" s="310" t="str">
        <f>IF(E154="","",IF(ISNA(VLOOKUP($E154,'A-1 On-Site Habitat Baseline'!$D$1:$O$258,11,FALSE)),"",(VLOOKUP($E154,'A-1 On-Site Habitat Baseline'!$D$1:$O$258,11,FALSE))))</f>
        <v/>
      </c>
      <c r="M154" s="310" t="str">
        <f>IF(E154="","",IF(ISNA(VLOOKUP($E154,'A-1 On-Site Habitat Baseline'!$D$1:$O$258,12,FALSE)),"",(VLOOKUP($E154,'A-1 On-Site Habitat Baseline'!$D$1:$O$258,12,FALSE))))</f>
        <v/>
      </c>
      <c r="N154" s="320" t="str">
        <f>IF(E154="","",IF(ISNA(VLOOKUP($E154,'A-1 On-Site Habitat Baseline'!$D$1:$X$258,14,FALSE)),"",(VLOOKUP($E154,'A-1 On-Site Habitat Baseline'!$D$1:$X$258,14,FALSE))))</f>
        <v/>
      </c>
      <c r="O154" s="314" t="str">
        <f>IF(E154="","",IF(ISNA(VLOOKUP($E154,'A-1 On-Site Habitat Baseline'!$D$1:$X$258,16,FALSE)),"",(VLOOKUP($E154,'A-1 On-Site Habitat Baseline'!$D$1:$X$258,13,FALSE))))</f>
        <v/>
      </c>
      <c r="P154" s="161" t="str">
        <f>IFERROR(INDEX('G-1 All Habitats'!$AG$49:$AG$63,MATCH(Q154,'G-1 All Habitats'!$AF$27:$AF$41,0)),"")</f>
        <v/>
      </c>
      <c r="Q154" s="162" t="str">
        <f t="shared" si="24"/>
        <v/>
      </c>
      <c r="R154" s="162"/>
      <c r="S154" s="252" t="str">
        <f>IFERROR(INDEX('G-1 All Habitats'!$B$3:$B$135,MATCH(R154,'G-1 All Habitats'!$A$3:$A$135,0)),"")</f>
        <v/>
      </c>
      <c r="T154" s="290" t="str">
        <f t="shared" si="25"/>
        <v/>
      </c>
      <c r="U154" s="291" t="str">
        <f t="shared" si="26"/>
        <v/>
      </c>
      <c r="V154" s="325" t="str">
        <f t="shared" si="22"/>
        <v/>
      </c>
      <c r="W154" s="310" t="str">
        <f>IF(S154="","",VLOOKUP(S154,'G-1 All Habitats'!$B$2:$M$135,10,FALSE))</f>
        <v/>
      </c>
      <c r="X154" s="310" t="str">
        <f>IFERROR(VLOOKUP(W154,'G-1 All Habitats'!$V$3:$W$7,2,FALSE),"")</f>
        <v/>
      </c>
      <c r="Y154" s="45"/>
      <c r="Z154" s="314" t="str">
        <f>IFERROR(INDEX('G-8 Condition Look up'!$A$3:$H$135,MATCH(S154,'G-8 Condition Look up'!$A$3:$A$135,0),MATCH(Y154,'G-8 Condition Look up'!$A$3:$H$3,0)),"")</f>
        <v/>
      </c>
      <c r="AA154" s="38"/>
      <c r="AB154" s="310" t="str">
        <f>IF(AA154="","",IF(VLOOKUP(AA154,'G-3 Multipliers'!$L$3:$N$6,2,FALSE)=0,"Spatial Data Missing ⚠",VLOOKUP(AA154,'G-3 Multipliers'!$L$3:$N$6,2,FALSE)))</f>
        <v/>
      </c>
      <c r="AC154" s="314" t="str">
        <f>IF(AA154="","",IF(VLOOKUP(AA154,'G-3 Multipliers'!$L$3:$N$6,3,FALSE)=0,"Spatial Data Missing ⚠",VLOOKUP(AA154,'G-3 Multipliers'!$L$3:$N$6,3,FALSE)))</f>
        <v/>
      </c>
      <c r="AD154" s="327" t="str">
        <f t="shared" si="23"/>
        <v/>
      </c>
      <c r="AE154" s="47"/>
      <c r="AF154" s="47"/>
      <c r="AG154" s="298" t="str">
        <f t="shared" si="27"/>
        <v/>
      </c>
      <c r="AH154" s="311" t="str">
        <f t="shared" si="28"/>
        <v/>
      </c>
      <c r="AI154" s="312" t="str">
        <f>IF(AH154="Check Data","Check Data",IFERROR(VLOOKUP(AH154,'G-4 Temporal multipliers'!$A$4:$C$36,3,FALSE),""))</f>
        <v/>
      </c>
      <c r="AJ154" s="290" t="str">
        <f>IF(S154="","",VLOOKUP(S154,'G-3 Multipliers'!$A$2:$E$134,4,FALSE))</f>
        <v/>
      </c>
      <c r="AK154" s="298" t="str">
        <f t="shared" si="29"/>
        <v/>
      </c>
      <c r="AL154" s="298" t="str">
        <f t="shared" si="30"/>
        <v/>
      </c>
      <c r="AM154" s="328" t="str">
        <f>IFERROR(IF(F154="","",IF(AH154="Check Data ⚠","Check Data ⚠",VLOOKUP(AL154, 'G-3 Multipliers'!$P$2:$Q$6,2,FALSE))),"")</f>
        <v/>
      </c>
      <c r="AN154" s="304" t="str">
        <f t="shared" si="31"/>
        <v/>
      </c>
      <c r="AO154" s="163"/>
      <c r="AP154" s="164"/>
      <c r="AQ154" s="101"/>
      <c r="AT154" s="20" t="str">
        <f t="shared" si="32"/>
        <v>No</v>
      </c>
      <c r="AU154" s="20" t="str">
        <f>IF(E154="","",IF(ISNA(VLOOKUP($E154,'A-1 On-Site Habitat Baseline'!$D$1:$AV$258,4,FALSE)),"",(VLOOKUP($E154,'A-1 On-Site Habitat Baseline'!$D$1:$AV$258,4,FALSE))))</f>
        <v/>
      </c>
    </row>
    <row r="155" spans="1:47" x14ac:dyDescent="0.3">
      <c r="A155" s="20" t="str">
        <f>IF(E155="","",IF(ISNA(VLOOKUP($E155,'A-1 On-Site Habitat Baseline'!$D$1:$O$258,2,FALSE)),"",(VLOOKUP($E155,'A-1 On-Site Habitat Baseline'!$D$1:$O$258,2,FALSE))))</f>
        <v/>
      </c>
      <c r="B155" s="20" t="str">
        <f>IF(E155="","",IF(ISNA(VLOOKUP($E155,'A-1 On-Site Habitat Baseline'!$D$1:$O$258,3,FALSE)),"",(VLOOKUP($E155,'A-1 On-Site Habitat Baseline'!$D$1:$O$258,3,FALSE))))</f>
        <v/>
      </c>
      <c r="C155" s="20" t="str">
        <f>IFERROR(INDEX('G-8 Condition Look up'!$I$4:$I$135,MATCH(S155,'G-8 Condition Look up'!$A$4:$A$135,0)),"")</f>
        <v/>
      </c>
      <c r="E155" s="319" t="str">
        <f>'A-1 On-Site Habitat Baseline'!AL154</f>
        <v/>
      </c>
      <c r="F155" s="310" t="str">
        <f>IF(E155="","",IF(ISNA(VLOOKUP($E155,'A-1 On-Site Habitat Baseline'!$D$1:$AV$258,45,FALSE)),"",(VLOOKUP($E155,'A-1 On-Site Habitat Baseline'!$D$1:$AV$258,45,FALSE))))</f>
        <v/>
      </c>
      <c r="G155" s="310" t="str">
        <f>IF(E155="","",IF(ISNA(VLOOKUP($E155,'A-1 On-Site Habitat Baseline'!$D$1:$O$258,5,FALSE)),"",(VLOOKUP($E155,'A-1 On-Site Habitat Baseline'!$D$1:$O$258,5,FALSE))))</f>
        <v/>
      </c>
      <c r="H155" s="310" t="str">
        <f>IF(E155="","",IF(ISNA(VLOOKUP($E155,'A-1 On-Site Habitat Baseline'!$D$1:$O$258,6,FALSE)),"",(VLOOKUP($E155,'A-1 On-Site Habitat Baseline'!$D$1:$O$258,6,FALSE))))</f>
        <v/>
      </c>
      <c r="I155" s="310" t="str">
        <f>IF(E155="","",IF(ISNA(VLOOKUP($E155,'A-1 On-Site Habitat Baseline'!$D$1:$O$258,7,FALSE)),"",(VLOOKUP($E155,'A-1 On-Site Habitat Baseline'!$D$1:$O$258,7,FALSE))))</f>
        <v/>
      </c>
      <c r="J155" s="310" t="str">
        <f>IF(E155="","",IF(ISNA(VLOOKUP($E155,'A-1 On-Site Habitat Baseline'!$D$1:$O$258,8,FALSE)),"",(VLOOKUP($E155,'A-1 On-Site Habitat Baseline'!$D$1:$O$258,8,FALSE))))</f>
        <v/>
      </c>
      <c r="K155" s="310" t="str">
        <f>IF(E155="","",IF(ISNA(VLOOKUP($E155,'A-1 On-Site Habitat Baseline'!$D$1:$O$258,9,FALSE)),"",(VLOOKUP($E155,'A-1 On-Site Habitat Baseline'!$D$1:$O$258,9,FALSE))))</f>
        <v/>
      </c>
      <c r="L155" s="310" t="str">
        <f>IF(E155="","",IF(ISNA(VLOOKUP($E155,'A-1 On-Site Habitat Baseline'!$D$1:$O$258,11,FALSE)),"",(VLOOKUP($E155,'A-1 On-Site Habitat Baseline'!$D$1:$O$258,11,FALSE))))</f>
        <v/>
      </c>
      <c r="M155" s="310" t="str">
        <f>IF(E155="","",IF(ISNA(VLOOKUP($E155,'A-1 On-Site Habitat Baseline'!$D$1:$O$258,12,FALSE)),"",(VLOOKUP($E155,'A-1 On-Site Habitat Baseline'!$D$1:$O$258,12,FALSE))))</f>
        <v/>
      </c>
      <c r="N155" s="320" t="str">
        <f>IF(E155="","",IF(ISNA(VLOOKUP($E155,'A-1 On-Site Habitat Baseline'!$D$1:$X$258,14,FALSE)),"",(VLOOKUP($E155,'A-1 On-Site Habitat Baseline'!$D$1:$X$258,14,FALSE))))</f>
        <v/>
      </c>
      <c r="O155" s="314" t="str">
        <f>IF(E155="","",IF(ISNA(VLOOKUP($E155,'A-1 On-Site Habitat Baseline'!$D$1:$X$258,16,FALSE)),"",(VLOOKUP($E155,'A-1 On-Site Habitat Baseline'!$D$1:$X$258,13,FALSE))))</f>
        <v/>
      </c>
      <c r="P155" s="161" t="str">
        <f>IFERROR(INDEX('G-1 All Habitats'!$AG$49:$AG$63,MATCH(Q155,'G-1 All Habitats'!$AF$27:$AF$41,0)),"")</f>
        <v/>
      </c>
      <c r="Q155" s="162" t="str">
        <f t="shared" si="24"/>
        <v/>
      </c>
      <c r="R155" s="162"/>
      <c r="S155" s="252" t="str">
        <f>IFERROR(INDEX('G-1 All Habitats'!$B$3:$B$135,MATCH(R155,'G-1 All Habitats'!$A$3:$A$135,0)),"")</f>
        <v/>
      </c>
      <c r="T155" s="290" t="str">
        <f t="shared" si="25"/>
        <v/>
      </c>
      <c r="U155" s="291" t="str">
        <f t="shared" si="26"/>
        <v/>
      </c>
      <c r="V155" s="325" t="str">
        <f t="shared" si="22"/>
        <v/>
      </c>
      <c r="W155" s="310" t="str">
        <f>IF(S155="","",VLOOKUP(S155,'G-1 All Habitats'!$B$2:$M$135,10,FALSE))</f>
        <v/>
      </c>
      <c r="X155" s="310" t="str">
        <f>IFERROR(VLOOKUP(W155,'G-1 All Habitats'!$V$3:$W$7,2,FALSE),"")</f>
        <v/>
      </c>
      <c r="Y155" s="45"/>
      <c r="Z155" s="314" t="str">
        <f>IFERROR(INDEX('G-8 Condition Look up'!$A$3:$H$135,MATCH(S155,'G-8 Condition Look up'!$A$3:$A$135,0),MATCH(Y155,'G-8 Condition Look up'!$A$3:$H$3,0)),"")</f>
        <v/>
      </c>
      <c r="AA155" s="38"/>
      <c r="AB155" s="310" t="str">
        <f>IF(AA155="","",IF(VLOOKUP(AA155,'G-3 Multipliers'!$L$3:$N$6,2,FALSE)=0,"Spatial Data Missing ⚠",VLOOKUP(AA155,'G-3 Multipliers'!$L$3:$N$6,2,FALSE)))</f>
        <v/>
      </c>
      <c r="AC155" s="314" t="str">
        <f>IF(AA155="","",IF(VLOOKUP(AA155,'G-3 Multipliers'!$L$3:$N$6,3,FALSE)=0,"Spatial Data Missing ⚠",VLOOKUP(AA155,'G-3 Multipliers'!$L$3:$N$6,3,FALSE)))</f>
        <v/>
      </c>
      <c r="AD155" s="327" t="str">
        <f t="shared" si="23"/>
        <v/>
      </c>
      <c r="AE155" s="47"/>
      <c r="AF155" s="47"/>
      <c r="AG155" s="298" t="str">
        <f t="shared" si="27"/>
        <v/>
      </c>
      <c r="AH155" s="311" t="str">
        <f t="shared" si="28"/>
        <v/>
      </c>
      <c r="AI155" s="312" t="str">
        <f>IF(AH155="Check Data","Check Data",IFERROR(VLOOKUP(AH155,'G-4 Temporal multipliers'!$A$4:$C$36,3,FALSE),""))</f>
        <v/>
      </c>
      <c r="AJ155" s="290" t="str">
        <f>IF(S155="","",VLOOKUP(S155,'G-3 Multipliers'!$A$2:$E$134,4,FALSE))</f>
        <v/>
      </c>
      <c r="AK155" s="298" t="str">
        <f t="shared" si="29"/>
        <v/>
      </c>
      <c r="AL155" s="298" t="str">
        <f t="shared" si="30"/>
        <v/>
      </c>
      <c r="AM155" s="328" t="str">
        <f>IFERROR(IF(F155="","",IF(AH155="Check Data ⚠","Check Data ⚠",VLOOKUP(AL155, 'G-3 Multipliers'!$P$2:$Q$6,2,FALSE))),"")</f>
        <v/>
      </c>
      <c r="AN155" s="304" t="str">
        <f t="shared" si="31"/>
        <v/>
      </c>
      <c r="AO155" s="163"/>
      <c r="AP155" s="164"/>
      <c r="AQ155" s="101"/>
      <c r="AT155" s="20" t="str">
        <f t="shared" si="32"/>
        <v>No</v>
      </c>
      <c r="AU155" s="20" t="str">
        <f>IF(E155="","",IF(ISNA(VLOOKUP($E155,'A-1 On-Site Habitat Baseline'!$D$1:$AV$258,4,FALSE)),"",(VLOOKUP($E155,'A-1 On-Site Habitat Baseline'!$D$1:$AV$258,4,FALSE))))</f>
        <v/>
      </c>
    </row>
    <row r="156" spans="1:47" x14ac:dyDescent="0.3">
      <c r="A156" s="20" t="str">
        <f>IF(E156="","",IF(ISNA(VLOOKUP($E156,'A-1 On-Site Habitat Baseline'!$D$1:$O$258,2,FALSE)),"",(VLOOKUP($E156,'A-1 On-Site Habitat Baseline'!$D$1:$O$258,2,FALSE))))</f>
        <v/>
      </c>
      <c r="B156" s="20" t="str">
        <f>IF(E156="","",IF(ISNA(VLOOKUP($E156,'A-1 On-Site Habitat Baseline'!$D$1:$O$258,3,FALSE)),"",(VLOOKUP($E156,'A-1 On-Site Habitat Baseline'!$D$1:$O$258,3,FALSE))))</f>
        <v/>
      </c>
      <c r="C156" s="20" t="str">
        <f>IFERROR(INDEX('G-8 Condition Look up'!$I$4:$I$135,MATCH(S156,'G-8 Condition Look up'!$A$4:$A$135,0)),"")</f>
        <v/>
      </c>
      <c r="E156" s="319" t="str">
        <f>'A-1 On-Site Habitat Baseline'!AL155</f>
        <v/>
      </c>
      <c r="F156" s="310" t="str">
        <f>IF(E156="","",IF(ISNA(VLOOKUP($E156,'A-1 On-Site Habitat Baseline'!$D$1:$AV$258,45,FALSE)),"",(VLOOKUP($E156,'A-1 On-Site Habitat Baseline'!$D$1:$AV$258,45,FALSE))))</f>
        <v/>
      </c>
      <c r="G156" s="310" t="str">
        <f>IF(E156="","",IF(ISNA(VLOOKUP($E156,'A-1 On-Site Habitat Baseline'!$D$1:$O$258,5,FALSE)),"",(VLOOKUP($E156,'A-1 On-Site Habitat Baseline'!$D$1:$O$258,5,FALSE))))</f>
        <v/>
      </c>
      <c r="H156" s="310" t="str">
        <f>IF(E156="","",IF(ISNA(VLOOKUP($E156,'A-1 On-Site Habitat Baseline'!$D$1:$O$258,6,FALSE)),"",(VLOOKUP($E156,'A-1 On-Site Habitat Baseline'!$D$1:$O$258,6,FALSE))))</f>
        <v/>
      </c>
      <c r="I156" s="310" t="str">
        <f>IF(E156="","",IF(ISNA(VLOOKUP($E156,'A-1 On-Site Habitat Baseline'!$D$1:$O$258,7,FALSE)),"",(VLOOKUP($E156,'A-1 On-Site Habitat Baseline'!$D$1:$O$258,7,FALSE))))</f>
        <v/>
      </c>
      <c r="J156" s="310" t="str">
        <f>IF(E156="","",IF(ISNA(VLOOKUP($E156,'A-1 On-Site Habitat Baseline'!$D$1:$O$258,8,FALSE)),"",(VLOOKUP($E156,'A-1 On-Site Habitat Baseline'!$D$1:$O$258,8,FALSE))))</f>
        <v/>
      </c>
      <c r="K156" s="310" t="str">
        <f>IF(E156="","",IF(ISNA(VLOOKUP($E156,'A-1 On-Site Habitat Baseline'!$D$1:$O$258,9,FALSE)),"",(VLOOKUP($E156,'A-1 On-Site Habitat Baseline'!$D$1:$O$258,9,FALSE))))</f>
        <v/>
      </c>
      <c r="L156" s="310" t="str">
        <f>IF(E156="","",IF(ISNA(VLOOKUP($E156,'A-1 On-Site Habitat Baseline'!$D$1:$O$258,11,FALSE)),"",(VLOOKUP($E156,'A-1 On-Site Habitat Baseline'!$D$1:$O$258,11,FALSE))))</f>
        <v/>
      </c>
      <c r="M156" s="310" t="str">
        <f>IF(E156="","",IF(ISNA(VLOOKUP($E156,'A-1 On-Site Habitat Baseline'!$D$1:$O$258,12,FALSE)),"",(VLOOKUP($E156,'A-1 On-Site Habitat Baseline'!$D$1:$O$258,12,FALSE))))</f>
        <v/>
      </c>
      <c r="N156" s="320" t="str">
        <f>IF(E156="","",IF(ISNA(VLOOKUP($E156,'A-1 On-Site Habitat Baseline'!$D$1:$X$258,14,FALSE)),"",(VLOOKUP($E156,'A-1 On-Site Habitat Baseline'!$D$1:$X$258,14,FALSE))))</f>
        <v/>
      </c>
      <c r="O156" s="314" t="str">
        <f>IF(E156="","",IF(ISNA(VLOOKUP($E156,'A-1 On-Site Habitat Baseline'!$D$1:$X$258,16,FALSE)),"",(VLOOKUP($E156,'A-1 On-Site Habitat Baseline'!$D$1:$X$258,13,FALSE))))</f>
        <v/>
      </c>
      <c r="P156" s="161" t="str">
        <f>IFERROR(INDEX('G-1 All Habitats'!$AG$49:$AG$63,MATCH(Q156,'G-1 All Habitats'!$AF$27:$AF$41,0)),"")</f>
        <v/>
      </c>
      <c r="Q156" s="162" t="str">
        <f t="shared" si="24"/>
        <v/>
      </c>
      <c r="R156" s="162"/>
      <c r="S156" s="252" t="str">
        <f>IFERROR(INDEX('G-1 All Habitats'!$B$3:$B$135,MATCH(R156,'G-1 All Habitats'!$A$3:$A$135,0)),"")</f>
        <v/>
      </c>
      <c r="T156" s="290" t="str">
        <f t="shared" si="25"/>
        <v/>
      </c>
      <c r="U156" s="291" t="str">
        <f t="shared" si="26"/>
        <v/>
      </c>
      <c r="V156" s="325" t="str">
        <f t="shared" si="22"/>
        <v/>
      </c>
      <c r="W156" s="310" t="str">
        <f>IF(S156="","",VLOOKUP(S156,'G-1 All Habitats'!$B$2:$M$135,10,FALSE))</f>
        <v/>
      </c>
      <c r="X156" s="310" t="str">
        <f>IFERROR(VLOOKUP(W156,'G-1 All Habitats'!$V$3:$W$7,2,FALSE),"")</f>
        <v/>
      </c>
      <c r="Y156" s="45"/>
      <c r="Z156" s="314" t="str">
        <f>IFERROR(INDEX('G-8 Condition Look up'!$A$3:$H$135,MATCH(S156,'G-8 Condition Look up'!$A$3:$A$135,0),MATCH(Y156,'G-8 Condition Look up'!$A$3:$H$3,0)),"")</f>
        <v/>
      </c>
      <c r="AA156" s="38"/>
      <c r="AB156" s="310" t="str">
        <f>IF(AA156="","",IF(VLOOKUP(AA156,'G-3 Multipliers'!$L$3:$N$6,2,FALSE)=0,"Spatial Data Missing ⚠",VLOOKUP(AA156,'G-3 Multipliers'!$L$3:$N$6,2,FALSE)))</f>
        <v/>
      </c>
      <c r="AC156" s="314" t="str">
        <f>IF(AA156="","",IF(VLOOKUP(AA156,'G-3 Multipliers'!$L$3:$N$6,3,FALSE)=0,"Spatial Data Missing ⚠",VLOOKUP(AA156,'G-3 Multipliers'!$L$3:$N$6,3,FALSE)))</f>
        <v/>
      </c>
      <c r="AD156" s="327" t="str">
        <f t="shared" si="23"/>
        <v/>
      </c>
      <c r="AE156" s="47"/>
      <c r="AF156" s="47"/>
      <c r="AG156" s="298" t="str">
        <f t="shared" si="27"/>
        <v/>
      </c>
      <c r="AH156" s="311" t="str">
        <f t="shared" si="28"/>
        <v/>
      </c>
      <c r="AI156" s="312" t="str">
        <f>IF(AH156="Check Data","Check Data",IFERROR(VLOOKUP(AH156,'G-4 Temporal multipliers'!$A$4:$C$36,3,FALSE),""))</f>
        <v/>
      </c>
      <c r="AJ156" s="290" t="str">
        <f>IF(S156="","",VLOOKUP(S156,'G-3 Multipliers'!$A$2:$E$134,4,FALSE))</f>
        <v/>
      </c>
      <c r="AK156" s="298" t="str">
        <f t="shared" si="29"/>
        <v/>
      </c>
      <c r="AL156" s="298" t="str">
        <f t="shared" si="30"/>
        <v/>
      </c>
      <c r="AM156" s="328" t="str">
        <f>IFERROR(IF(F156="","",IF(AH156="Check Data ⚠","Check Data ⚠",VLOOKUP(AL156, 'G-3 Multipliers'!$P$2:$Q$6,2,FALSE))),"")</f>
        <v/>
      </c>
      <c r="AN156" s="304" t="str">
        <f t="shared" si="31"/>
        <v/>
      </c>
      <c r="AO156" s="163"/>
      <c r="AP156" s="164"/>
      <c r="AQ156" s="101"/>
      <c r="AT156" s="20" t="str">
        <f t="shared" si="32"/>
        <v>No</v>
      </c>
      <c r="AU156" s="20" t="str">
        <f>IF(E156="","",IF(ISNA(VLOOKUP($E156,'A-1 On-Site Habitat Baseline'!$D$1:$AV$258,4,FALSE)),"",(VLOOKUP($E156,'A-1 On-Site Habitat Baseline'!$D$1:$AV$258,4,FALSE))))</f>
        <v/>
      </c>
    </row>
    <row r="157" spans="1:47" x14ac:dyDescent="0.3">
      <c r="A157" s="20" t="str">
        <f>IF(E157="","",IF(ISNA(VLOOKUP($E157,'A-1 On-Site Habitat Baseline'!$D$1:$O$258,2,FALSE)),"",(VLOOKUP($E157,'A-1 On-Site Habitat Baseline'!$D$1:$O$258,2,FALSE))))</f>
        <v/>
      </c>
      <c r="B157" s="20" t="str">
        <f>IF(E157="","",IF(ISNA(VLOOKUP($E157,'A-1 On-Site Habitat Baseline'!$D$1:$O$258,3,FALSE)),"",(VLOOKUP($E157,'A-1 On-Site Habitat Baseline'!$D$1:$O$258,3,FALSE))))</f>
        <v/>
      </c>
      <c r="C157" s="20" t="str">
        <f>IFERROR(INDEX('G-8 Condition Look up'!$I$4:$I$135,MATCH(S157,'G-8 Condition Look up'!$A$4:$A$135,0)),"")</f>
        <v/>
      </c>
      <c r="E157" s="319" t="str">
        <f>'A-1 On-Site Habitat Baseline'!AL156</f>
        <v/>
      </c>
      <c r="F157" s="310" t="str">
        <f>IF(E157="","",IF(ISNA(VLOOKUP($E157,'A-1 On-Site Habitat Baseline'!$D$1:$AV$258,45,FALSE)),"",(VLOOKUP($E157,'A-1 On-Site Habitat Baseline'!$D$1:$AV$258,45,FALSE))))</f>
        <v/>
      </c>
      <c r="G157" s="310" t="str">
        <f>IF(E157="","",IF(ISNA(VLOOKUP($E157,'A-1 On-Site Habitat Baseline'!$D$1:$O$258,5,FALSE)),"",(VLOOKUP($E157,'A-1 On-Site Habitat Baseline'!$D$1:$O$258,5,FALSE))))</f>
        <v/>
      </c>
      <c r="H157" s="310" t="str">
        <f>IF(E157="","",IF(ISNA(VLOOKUP($E157,'A-1 On-Site Habitat Baseline'!$D$1:$O$258,6,FALSE)),"",(VLOOKUP($E157,'A-1 On-Site Habitat Baseline'!$D$1:$O$258,6,FALSE))))</f>
        <v/>
      </c>
      <c r="I157" s="310" t="str">
        <f>IF(E157="","",IF(ISNA(VLOOKUP($E157,'A-1 On-Site Habitat Baseline'!$D$1:$O$258,7,FALSE)),"",(VLOOKUP($E157,'A-1 On-Site Habitat Baseline'!$D$1:$O$258,7,FALSE))))</f>
        <v/>
      </c>
      <c r="J157" s="310" t="str">
        <f>IF(E157="","",IF(ISNA(VLOOKUP($E157,'A-1 On-Site Habitat Baseline'!$D$1:$O$258,8,FALSE)),"",(VLOOKUP($E157,'A-1 On-Site Habitat Baseline'!$D$1:$O$258,8,FALSE))))</f>
        <v/>
      </c>
      <c r="K157" s="310" t="str">
        <f>IF(E157="","",IF(ISNA(VLOOKUP($E157,'A-1 On-Site Habitat Baseline'!$D$1:$O$258,9,FALSE)),"",(VLOOKUP($E157,'A-1 On-Site Habitat Baseline'!$D$1:$O$258,9,FALSE))))</f>
        <v/>
      </c>
      <c r="L157" s="310" t="str">
        <f>IF(E157="","",IF(ISNA(VLOOKUP($E157,'A-1 On-Site Habitat Baseline'!$D$1:$O$258,11,FALSE)),"",(VLOOKUP($E157,'A-1 On-Site Habitat Baseline'!$D$1:$O$258,11,FALSE))))</f>
        <v/>
      </c>
      <c r="M157" s="310" t="str">
        <f>IF(E157="","",IF(ISNA(VLOOKUP($E157,'A-1 On-Site Habitat Baseline'!$D$1:$O$258,12,FALSE)),"",(VLOOKUP($E157,'A-1 On-Site Habitat Baseline'!$D$1:$O$258,12,FALSE))))</f>
        <v/>
      </c>
      <c r="N157" s="320" t="str">
        <f>IF(E157="","",IF(ISNA(VLOOKUP($E157,'A-1 On-Site Habitat Baseline'!$D$1:$X$258,14,FALSE)),"",(VLOOKUP($E157,'A-1 On-Site Habitat Baseline'!$D$1:$X$258,14,FALSE))))</f>
        <v/>
      </c>
      <c r="O157" s="314" t="str">
        <f>IF(E157="","",IF(ISNA(VLOOKUP($E157,'A-1 On-Site Habitat Baseline'!$D$1:$X$258,16,FALSE)),"",(VLOOKUP($E157,'A-1 On-Site Habitat Baseline'!$D$1:$X$258,13,FALSE))))</f>
        <v/>
      </c>
      <c r="P157" s="161" t="str">
        <f>IFERROR(INDEX('G-1 All Habitats'!$AG$49:$AG$63,MATCH(Q157,'G-1 All Habitats'!$AF$27:$AF$41,0)),"")</f>
        <v/>
      </c>
      <c r="Q157" s="162" t="str">
        <f t="shared" si="24"/>
        <v/>
      </c>
      <c r="R157" s="162"/>
      <c r="S157" s="252" t="str">
        <f>IFERROR(INDEX('G-1 All Habitats'!$B$3:$B$135,MATCH(R157,'G-1 All Habitats'!$A$3:$A$135,0)),"")</f>
        <v/>
      </c>
      <c r="T157" s="290" t="str">
        <f t="shared" si="25"/>
        <v/>
      </c>
      <c r="U157" s="291" t="str">
        <f t="shared" si="26"/>
        <v/>
      </c>
      <c r="V157" s="325" t="str">
        <f t="shared" si="22"/>
        <v/>
      </c>
      <c r="W157" s="310" t="str">
        <f>IF(S157="","",VLOOKUP(S157,'G-1 All Habitats'!$B$2:$M$135,10,FALSE))</f>
        <v/>
      </c>
      <c r="X157" s="310" t="str">
        <f>IFERROR(VLOOKUP(W157,'G-1 All Habitats'!$V$3:$W$7,2,FALSE),"")</f>
        <v/>
      </c>
      <c r="Y157" s="45"/>
      <c r="Z157" s="314" t="str">
        <f>IFERROR(INDEX('G-8 Condition Look up'!$A$3:$H$135,MATCH(S157,'G-8 Condition Look up'!$A$3:$A$135,0),MATCH(Y157,'G-8 Condition Look up'!$A$3:$H$3,0)),"")</f>
        <v/>
      </c>
      <c r="AA157" s="38"/>
      <c r="AB157" s="310" t="str">
        <f>IF(AA157="","",IF(VLOOKUP(AA157,'G-3 Multipliers'!$L$3:$N$6,2,FALSE)=0,"Spatial Data Missing ⚠",VLOOKUP(AA157,'G-3 Multipliers'!$L$3:$N$6,2,FALSE)))</f>
        <v/>
      </c>
      <c r="AC157" s="314" t="str">
        <f>IF(AA157="","",IF(VLOOKUP(AA157,'G-3 Multipliers'!$L$3:$N$6,3,FALSE)=0,"Spatial Data Missing ⚠",VLOOKUP(AA157,'G-3 Multipliers'!$L$3:$N$6,3,FALSE)))</f>
        <v/>
      </c>
      <c r="AD157" s="327" t="str">
        <f t="shared" si="23"/>
        <v/>
      </c>
      <c r="AE157" s="47"/>
      <c r="AF157" s="47"/>
      <c r="AG157" s="298" t="str">
        <f t="shared" si="27"/>
        <v/>
      </c>
      <c r="AH157" s="311" t="str">
        <f t="shared" si="28"/>
        <v/>
      </c>
      <c r="AI157" s="312" t="str">
        <f>IF(AH157="Check Data","Check Data",IFERROR(VLOOKUP(AH157,'G-4 Temporal multipliers'!$A$4:$C$36,3,FALSE),""))</f>
        <v/>
      </c>
      <c r="AJ157" s="290" t="str">
        <f>IF(S157="","",VLOOKUP(S157,'G-3 Multipliers'!$A$2:$E$134,4,FALSE))</f>
        <v/>
      </c>
      <c r="AK157" s="298" t="str">
        <f t="shared" si="29"/>
        <v/>
      </c>
      <c r="AL157" s="298" t="str">
        <f t="shared" si="30"/>
        <v/>
      </c>
      <c r="AM157" s="328" t="str">
        <f>IFERROR(IF(F157="","",IF(AH157="Check Data ⚠","Check Data ⚠",VLOOKUP(AL157, 'G-3 Multipliers'!$P$2:$Q$6,2,FALSE))),"")</f>
        <v/>
      </c>
      <c r="AN157" s="304" t="str">
        <f t="shared" si="31"/>
        <v/>
      </c>
      <c r="AO157" s="163"/>
      <c r="AP157" s="164"/>
      <c r="AQ157" s="101"/>
      <c r="AT157" s="20" t="str">
        <f t="shared" si="32"/>
        <v>No</v>
      </c>
      <c r="AU157" s="20" t="str">
        <f>IF(E157="","",IF(ISNA(VLOOKUP($E157,'A-1 On-Site Habitat Baseline'!$D$1:$AV$258,4,FALSE)),"",(VLOOKUP($E157,'A-1 On-Site Habitat Baseline'!$D$1:$AV$258,4,FALSE))))</f>
        <v/>
      </c>
    </row>
    <row r="158" spans="1:47" x14ac:dyDescent="0.3">
      <c r="A158" s="20" t="str">
        <f>IF(E158="","",IF(ISNA(VLOOKUP($E158,'A-1 On-Site Habitat Baseline'!$D$1:$O$258,2,FALSE)),"",(VLOOKUP($E158,'A-1 On-Site Habitat Baseline'!$D$1:$O$258,2,FALSE))))</f>
        <v/>
      </c>
      <c r="B158" s="20" t="str">
        <f>IF(E158="","",IF(ISNA(VLOOKUP($E158,'A-1 On-Site Habitat Baseline'!$D$1:$O$258,3,FALSE)),"",(VLOOKUP($E158,'A-1 On-Site Habitat Baseline'!$D$1:$O$258,3,FALSE))))</f>
        <v/>
      </c>
      <c r="C158" s="20" t="str">
        <f>IFERROR(INDEX('G-8 Condition Look up'!$I$4:$I$135,MATCH(S158,'G-8 Condition Look up'!$A$4:$A$135,0)),"")</f>
        <v/>
      </c>
      <c r="E158" s="319" t="str">
        <f>'A-1 On-Site Habitat Baseline'!AL157</f>
        <v/>
      </c>
      <c r="F158" s="310" t="str">
        <f>IF(E158="","",IF(ISNA(VLOOKUP($E158,'A-1 On-Site Habitat Baseline'!$D$1:$AV$258,45,FALSE)),"",(VLOOKUP($E158,'A-1 On-Site Habitat Baseline'!$D$1:$AV$258,45,FALSE))))</f>
        <v/>
      </c>
      <c r="G158" s="310" t="str">
        <f>IF(E158="","",IF(ISNA(VLOOKUP($E158,'A-1 On-Site Habitat Baseline'!$D$1:$O$258,5,FALSE)),"",(VLOOKUP($E158,'A-1 On-Site Habitat Baseline'!$D$1:$O$258,5,FALSE))))</f>
        <v/>
      </c>
      <c r="H158" s="310" t="str">
        <f>IF(E158="","",IF(ISNA(VLOOKUP($E158,'A-1 On-Site Habitat Baseline'!$D$1:$O$258,6,FALSE)),"",(VLOOKUP($E158,'A-1 On-Site Habitat Baseline'!$D$1:$O$258,6,FALSE))))</f>
        <v/>
      </c>
      <c r="I158" s="310" t="str">
        <f>IF(E158="","",IF(ISNA(VLOOKUP($E158,'A-1 On-Site Habitat Baseline'!$D$1:$O$258,7,FALSE)),"",(VLOOKUP($E158,'A-1 On-Site Habitat Baseline'!$D$1:$O$258,7,FALSE))))</f>
        <v/>
      </c>
      <c r="J158" s="310" t="str">
        <f>IF(E158="","",IF(ISNA(VLOOKUP($E158,'A-1 On-Site Habitat Baseline'!$D$1:$O$258,8,FALSE)),"",(VLOOKUP($E158,'A-1 On-Site Habitat Baseline'!$D$1:$O$258,8,FALSE))))</f>
        <v/>
      </c>
      <c r="K158" s="310" t="str">
        <f>IF(E158="","",IF(ISNA(VLOOKUP($E158,'A-1 On-Site Habitat Baseline'!$D$1:$O$258,9,FALSE)),"",(VLOOKUP($E158,'A-1 On-Site Habitat Baseline'!$D$1:$O$258,9,FALSE))))</f>
        <v/>
      </c>
      <c r="L158" s="310" t="str">
        <f>IF(E158="","",IF(ISNA(VLOOKUP($E158,'A-1 On-Site Habitat Baseline'!$D$1:$O$258,11,FALSE)),"",(VLOOKUP($E158,'A-1 On-Site Habitat Baseline'!$D$1:$O$258,11,FALSE))))</f>
        <v/>
      </c>
      <c r="M158" s="310" t="str">
        <f>IF(E158="","",IF(ISNA(VLOOKUP($E158,'A-1 On-Site Habitat Baseline'!$D$1:$O$258,12,FALSE)),"",(VLOOKUP($E158,'A-1 On-Site Habitat Baseline'!$D$1:$O$258,12,FALSE))))</f>
        <v/>
      </c>
      <c r="N158" s="320" t="str">
        <f>IF(E158="","",IF(ISNA(VLOOKUP($E158,'A-1 On-Site Habitat Baseline'!$D$1:$X$258,14,FALSE)),"",(VLOOKUP($E158,'A-1 On-Site Habitat Baseline'!$D$1:$X$258,14,FALSE))))</f>
        <v/>
      </c>
      <c r="O158" s="314" t="str">
        <f>IF(E158="","",IF(ISNA(VLOOKUP($E158,'A-1 On-Site Habitat Baseline'!$D$1:$X$258,16,FALSE)),"",(VLOOKUP($E158,'A-1 On-Site Habitat Baseline'!$D$1:$X$258,13,FALSE))))</f>
        <v/>
      </c>
      <c r="P158" s="161" t="str">
        <f>IFERROR(INDEX('G-1 All Habitats'!$AG$49:$AG$63,MATCH(Q158,'G-1 All Habitats'!$AF$27:$AF$41,0)),"")</f>
        <v/>
      </c>
      <c r="Q158" s="162" t="str">
        <f t="shared" si="24"/>
        <v/>
      </c>
      <c r="R158" s="162"/>
      <c r="S158" s="252" t="str">
        <f>IFERROR(INDEX('G-1 All Habitats'!$B$3:$B$135,MATCH(R158,'G-1 All Habitats'!$A$3:$A$135,0)),"")</f>
        <v/>
      </c>
      <c r="T158" s="290" t="str">
        <f t="shared" si="25"/>
        <v/>
      </c>
      <c r="U158" s="291" t="str">
        <f t="shared" si="26"/>
        <v/>
      </c>
      <c r="V158" s="325" t="str">
        <f t="shared" si="22"/>
        <v/>
      </c>
      <c r="W158" s="310" t="str">
        <f>IF(S158="","",VLOOKUP(S158,'G-1 All Habitats'!$B$2:$M$135,10,FALSE))</f>
        <v/>
      </c>
      <c r="X158" s="310" t="str">
        <f>IFERROR(VLOOKUP(W158,'G-1 All Habitats'!$V$3:$W$7,2,FALSE),"")</f>
        <v/>
      </c>
      <c r="Y158" s="45"/>
      <c r="Z158" s="314" t="str">
        <f>IFERROR(INDEX('G-8 Condition Look up'!$A$3:$H$135,MATCH(S158,'G-8 Condition Look up'!$A$3:$A$135,0),MATCH(Y158,'G-8 Condition Look up'!$A$3:$H$3,0)),"")</f>
        <v/>
      </c>
      <c r="AA158" s="38"/>
      <c r="AB158" s="310" t="str">
        <f>IF(AA158="","",IF(VLOOKUP(AA158,'G-3 Multipliers'!$L$3:$N$6,2,FALSE)=0,"Spatial Data Missing ⚠",VLOOKUP(AA158,'G-3 Multipliers'!$L$3:$N$6,2,FALSE)))</f>
        <v/>
      </c>
      <c r="AC158" s="314" t="str">
        <f>IF(AA158="","",IF(VLOOKUP(AA158,'G-3 Multipliers'!$L$3:$N$6,3,FALSE)=0,"Spatial Data Missing ⚠",VLOOKUP(AA158,'G-3 Multipliers'!$L$3:$N$6,3,FALSE)))</f>
        <v/>
      </c>
      <c r="AD158" s="327" t="str">
        <f t="shared" si="23"/>
        <v/>
      </c>
      <c r="AE158" s="47"/>
      <c r="AF158" s="47"/>
      <c r="AG158" s="298" t="str">
        <f t="shared" si="27"/>
        <v/>
      </c>
      <c r="AH158" s="311" t="str">
        <f t="shared" si="28"/>
        <v/>
      </c>
      <c r="AI158" s="312" t="str">
        <f>IF(AH158="Check Data","Check Data",IFERROR(VLOOKUP(AH158,'G-4 Temporal multipliers'!$A$4:$C$36,3,FALSE),""))</f>
        <v/>
      </c>
      <c r="AJ158" s="290" t="str">
        <f>IF(S158="","",VLOOKUP(S158,'G-3 Multipliers'!$A$2:$E$134,4,FALSE))</f>
        <v/>
      </c>
      <c r="AK158" s="298" t="str">
        <f t="shared" si="29"/>
        <v/>
      </c>
      <c r="AL158" s="298" t="str">
        <f t="shared" si="30"/>
        <v/>
      </c>
      <c r="AM158" s="328" t="str">
        <f>IFERROR(IF(F158="","",IF(AH158="Check Data ⚠","Check Data ⚠",VLOOKUP(AL158, 'G-3 Multipliers'!$P$2:$Q$6,2,FALSE))),"")</f>
        <v/>
      </c>
      <c r="AN158" s="304" t="str">
        <f t="shared" si="31"/>
        <v/>
      </c>
      <c r="AO158" s="163"/>
      <c r="AP158" s="164"/>
      <c r="AQ158" s="101"/>
      <c r="AT158" s="20" t="str">
        <f t="shared" si="32"/>
        <v>No</v>
      </c>
      <c r="AU158" s="20" t="str">
        <f>IF(E158="","",IF(ISNA(VLOOKUP($E158,'A-1 On-Site Habitat Baseline'!$D$1:$AV$258,4,FALSE)),"",(VLOOKUP($E158,'A-1 On-Site Habitat Baseline'!$D$1:$AV$258,4,FALSE))))</f>
        <v/>
      </c>
    </row>
    <row r="159" spans="1:47" x14ac:dyDescent="0.3">
      <c r="A159" s="20" t="str">
        <f>IF(E159="","",IF(ISNA(VLOOKUP($E159,'A-1 On-Site Habitat Baseline'!$D$1:$O$258,2,FALSE)),"",(VLOOKUP($E159,'A-1 On-Site Habitat Baseline'!$D$1:$O$258,2,FALSE))))</f>
        <v/>
      </c>
      <c r="B159" s="20" t="str">
        <f>IF(E159="","",IF(ISNA(VLOOKUP($E159,'A-1 On-Site Habitat Baseline'!$D$1:$O$258,3,FALSE)),"",(VLOOKUP($E159,'A-1 On-Site Habitat Baseline'!$D$1:$O$258,3,FALSE))))</f>
        <v/>
      </c>
      <c r="C159" s="20" t="str">
        <f>IFERROR(INDEX('G-8 Condition Look up'!$I$4:$I$135,MATCH(S159,'G-8 Condition Look up'!$A$4:$A$135,0)),"")</f>
        <v/>
      </c>
      <c r="E159" s="319" t="str">
        <f>'A-1 On-Site Habitat Baseline'!AL158</f>
        <v/>
      </c>
      <c r="F159" s="310" t="str">
        <f>IF(E159="","",IF(ISNA(VLOOKUP($E159,'A-1 On-Site Habitat Baseline'!$D$1:$AV$258,45,FALSE)),"",(VLOOKUP($E159,'A-1 On-Site Habitat Baseline'!$D$1:$AV$258,45,FALSE))))</f>
        <v/>
      </c>
      <c r="G159" s="310" t="str">
        <f>IF(E159="","",IF(ISNA(VLOOKUP($E159,'A-1 On-Site Habitat Baseline'!$D$1:$O$258,5,FALSE)),"",(VLOOKUP($E159,'A-1 On-Site Habitat Baseline'!$D$1:$O$258,5,FALSE))))</f>
        <v/>
      </c>
      <c r="H159" s="310" t="str">
        <f>IF(E159="","",IF(ISNA(VLOOKUP($E159,'A-1 On-Site Habitat Baseline'!$D$1:$O$258,6,FALSE)),"",(VLOOKUP($E159,'A-1 On-Site Habitat Baseline'!$D$1:$O$258,6,FALSE))))</f>
        <v/>
      </c>
      <c r="I159" s="310" t="str">
        <f>IF(E159="","",IF(ISNA(VLOOKUP($E159,'A-1 On-Site Habitat Baseline'!$D$1:$O$258,7,FALSE)),"",(VLOOKUP($E159,'A-1 On-Site Habitat Baseline'!$D$1:$O$258,7,FALSE))))</f>
        <v/>
      </c>
      <c r="J159" s="310" t="str">
        <f>IF(E159="","",IF(ISNA(VLOOKUP($E159,'A-1 On-Site Habitat Baseline'!$D$1:$O$258,8,FALSE)),"",(VLOOKUP($E159,'A-1 On-Site Habitat Baseline'!$D$1:$O$258,8,FALSE))))</f>
        <v/>
      </c>
      <c r="K159" s="310" t="str">
        <f>IF(E159="","",IF(ISNA(VLOOKUP($E159,'A-1 On-Site Habitat Baseline'!$D$1:$O$258,9,FALSE)),"",(VLOOKUP($E159,'A-1 On-Site Habitat Baseline'!$D$1:$O$258,9,FALSE))))</f>
        <v/>
      </c>
      <c r="L159" s="310" t="str">
        <f>IF(E159="","",IF(ISNA(VLOOKUP($E159,'A-1 On-Site Habitat Baseline'!$D$1:$O$258,11,FALSE)),"",(VLOOKUP($E159,'A-1 On-Site Habitat Baseline'!$D$1:$O$258,11,FALSE))))</f>
        <v/>
      </c>
      <c r="M159" s="310" t="str">
        <f>IF(E159="","",IF(ISNA(VLOOKUP($E159,'A-1 On-Site Habitat Baseline'!$D$1:$O$258,12,FALSE)),"",(VLOOKUP($E159,'A-1 On-Site Habitat Baseline'!$D$1:$O$258,12,FALSE))))</f>
        <v/>
      </c>
      <c r="N159" s="320" t="str">
        <f>IF(E159="","",IF(ISNA(VLOOKUP($E159,'A-1 On-Site Habitat Baseline'!$D$1:$X$258,14,FALSE)),"",(VLOOKUP($E159,'A-1 On-Site Habitat Baseline'!$D$1:$X$258,14,FALSE))))</f>
        <v/>
      </c>
      <c r="O159" s="314" t="str">
        <f>IF(E159="","",IF(ISNA(VLOOKUP($E159,'A-1 On-Site Habitat Baseline'!$D$1:$X$258,16,FALSE)),"",(VLOOKUP($E159,'A-1 On-Site Habitat Baseline'!$D$1:$X$258,13,FALSE))))</f>
        <v/>
      </c>
      <c r="P159" s="161" t="str">
        <f>IFERROR(INDEX('G-1 All Habitats'!$AG$49:$AG$63,MATCH(Q159,'G-1 All Habitats'!$AF$27:$AF$41,0)),"")</f>
        <v/>
      </c>
      <c r="Q159" s="162" t="str">
        <f t="shared" si="24"/>
        <v/>
      </c>
      <c r="R159" s="162"/>
      <c r="S159" s="252" t="str">
        <f>IFERROR(INDEX('G-1 All Habitats'!$B$3:$B$135,MATCH(R159,'G-1 All Habitats'!$A$3:$A$135,0)),"")</f>
        <v/>
      </c>
      <c r="T159" s="290" t="str">
        <f t="shared" si="25"/>
        <v/>
      </c>
      <c r="U159" s="291" t="str">
        <f t="shared" si="26"/>
        <v/>
      </c>
      <c r="V159" s="325" t="str">
        <f t="shared" si="22"/>
        <v/>
      </c>
      <c r="W159" s="310" t="str">
        <f>IF(S159="","",VLOOKUP(S159,'G-1 All Habitats'!$B$2:$M$135,10,FALSE))</f>
        <v/>
      </c>
      <c r="X159" s="310" t="str">
        <f>IFERROR(VLOOKUP(W159,'G-1 All Habitats'!$V$3:$W$7,2,FALSE),"")</f>
        <v/>
      </c>
      <c r="Y159" s="45"/>
      <c r="Z159" s="314" t="str">
        <f>IFERROR(INDEX('G-8 Condition Look up'!$A$3:$H$135,MATCH(S159,'G-8 Condition Look up'!$A$3:$A$135,0),MATCH(Y159,'G-8 Condition Look up'!$A$3:$H$3,0)),"")</f>
        <v/>
      </c>
      <c r="AA159" s="38"/>
      <c r="AB159" s="310" t="str">
        <f>IF(AA159="","",IF(VLOOKUP(AA159,'G-3 Multipliers'!$L$3:$N$6,2,FALSE)=0,"Spatial Data Missing ⚠",VLOOKUP(AA159,'G-3 Multipliers'!$L$3:$N$6,2,FALSE)))</f>
        <v/>
      </c>
      <c r="AC159" s="314" t="str">
        <f>IF(AA159="","",IF(VLOOKUP(AA159,'G-3 Multipliers'!$L$3:$N$6,3,FALSE)=0,"Spatial Data Missing ⚠",VLOOKUP(AA159,'G-3 Multipliers'!$L$3:$N$6,3,FALSE)))</f>
        <v/>
      </c>
      <c r="AD159" s="327" t="str">
        <f t="shared" si="23"/>
        <v/>
      </c>
      <c r="AE159" s="47"/>
      <c r="AF159" s="47"/>
      <c r="AG159" s="298" t="str">
        <f t="shared" si="27"/>
        <v/>
      </c>
      <c r="AH159" s="311" t="str">
        <f t="shared" si="28"/>
        <v/>
      </c>
      <c r="AI159" s="312" t="str">
        <f>IF(AH159="Check Data","Check Data",IFERROR(VLOOKUP(AH159,'G-4 Temporal multipliers'!$A$4:$C$36,3,FALSE),""))</f>
        <v/>
      </c>
      <c r="AJ159" s="290" t="str">
        <f>IF(S159="","",VLOOKUP(S159,'G-3 Multipliers'!$A$2:$E$134,4,FALSE))</f>
        <v/>
      </c>
      <c r="AK159" s="298" t="str">
        <f t="shared" si="29"/>
        <v/>
      </c>
      <c r="AL159" s="298" t="str">
        <f t="shared" si="30"/>
        <v/>
      </c>
      <c r="AM159" s="328" t="str">
        <f>IFERROR(IF(F159="","",IF(AH159="Check Data ⚠","Check Data ⚠",VLOOKUP(AL159, 'G-3 Multipliers'!$P$2:$Q$6,2,FALSE))),"")</f>
        <v/>
      </c>
      <c r="AN159" s="304" t="str">
        <f t="shared" si="31"/>
        <v/>
      </c>
      <c r="AO159" s="163"/>
      <c r="AP159" s="164"/>
      <c r="AQ159" s="101"/>
      <c r="AT159" s="20" t="str">
        <f t="shared" si="32"/>
        <v>No</v>
      </c>
      <c r="AU159" s="20" t="str">
        <f>IF(E159="","",IF(ISNA(VLOOKUP($E159,'A-1 On-Site Habitat Baseline'!$D$1:$AV$258,4,FALSE)),"",(VLOOKUP($E159,'A-1 On-Site Habitat Baseline'!$D$1:$AV$258,4,FALSE))))</f>
        <v/>
      </c>
    </row>
    <row r="160" spans="1:47" x14ac:dyDescent="0.3">
      <c r="A160" s="20" t="str">
        <f>IF(E160="","",IF(ISNA(VLOOKUP($E160,'A-1 On-Site Habitat Baseline'!$D$1:$O$258,2,FALSE)),"",(VLOOKUP($E160,'A-1 On-Site Habitat Baseline'!$D$1:$O$258,2,FALSE))))</f>
        <v/>
      </c>
      <c r="B160" s="20" t="str">
        <f>IF(E160="","",IF(ISNA(VLOOKUP($E160,'A-1 On-Site Habitat Baseline'!$D$1:$O$258,3,FALSE)),"",(VLOOKUP($E160,'A-1 On-Site Habitat Baseline'!$D$1:$O$258,3,FALSE))))</f>
        <v/>
      </c>
      <c r="C160" s="20" t="str">
        <f>IFERROR(INDEX('G-8 Condition Look up'!$I$4:$I$135,MATCH(S160,'G-8 Condition Look up'!$A$4:$A$135,0)),"")</f>
        <v/>
      </c>
      <c r="E160" s="319" t="str">
        <f>'A-1 On-Site Habitat Baseline'!AL159</f>
        <v/>
      </c>
      <c r="F160" s="310" t="str">
        <f>IF(E160="","",IF(ISNA(VLOOKUP($E160,'A-1 On-Site Habitat Baseline'!$D$1:$AV$258,45,FALSE)),"",(VLOOKUP($E160,'A-1 On-Site Habitat Baseline'!$D$1:$AV$258,45,FALSE))))</f>
        <v/>
      </c>
      <c r="G160" s="310" t="str">
        <f>IF(E160="","",IF(ISNA(VLOOKUP($E160,'A-1 On-Site Habitat Baseline'!$D$1:$O$258,5,FALSE)),"",(VLOOKUP($E160,'A-1 On-Site Habitat Baseline'!$D$1:$O$258,5,FALSE))))</f>
        <v/>
      </c>
      <c r="H160" s="310" t="str">
        <f>IF(E160="","",IF(ISNA(VLOOKUP($E160,'A-1 On-Site Habitat Baseline'!$D$1:$O$258,6,FALSE)),"",(VLOOKUP($E160,'A-1 On-Site Habitat Baseline'!$D$1:$O$258,6,FALSE))))</f>
        <v/>
      </c>
      <c r="I160" s="310" t="str">
        <f>IF(E160="","",IF(ISNA(VLOOKUP($E160,'A-1 On-Site Habitat Baseline'!$D$1:$O$258,7,FALSE)),"",(VLOOKUP($E160,'A-1 On-Site Habitat Baseline'!$D$1:$O$258,7,FALSE))))</f>
        <v/>
      </c>
      <c r="J160" s="310" t="str">
        <f>IF(E160="","",IF(ISNA(VLOOKUP($E160,'A-1 On-Site Habitat Baseline'!$D$1:$O$258,8,FALSE)),"",(VLOOKUP($E160,'A-1 On-Site Habitat Baseline'!$D$1:$O$258,8,FALSE))))</f>
        <v/>
      </c>
      <c r="K160" s="310" t="str">
        <f>IF(E160="","",IF(ISNA(VLOOKUP($E160,'A-1 On-Site Habitat Baseline'!$D$1:$O$258,9,FALSE)),"",(VLOOKUP($E160,'A-1 On-Site Habitat Baseline'!$D$1:$O$258,9,FALSE))))</f>
        <v/>
      </c>
      <c r="L160" s="310" t="str">
        <f>IF(E160="","",IF(ISNA(VLOOKUP($E160,'A-1 On-Site Habitat Baseline'!$D$1:$O$258,11,FALSE)),"",(VLOOKUP($E160,'A-1 On-Site Habitat Baseline'!$D$1:$O$258,11,FALSE))))</f>
        <v/>
      </c>
      <c r="M160" s="310" t="str">
        <f>IF(E160="","",IF(ISNA(VLOOKUP($E160,'A-1 On-Site Habitat Baseline'!$D$1:$O$258,12,FALSE)),"",(VLOOKUP($E160,'A-1 On-Site Habitat Baseline'!$D$1:$O$258,12,FALSE))))</f>
        <v/>
      </c>
      <c r="N160" s="320" t="str">
        <f>IF(E160="","",IF(ISNA(VLOOKUP($E160,'A-1 On-Site Habitat Baseline'!$D$1:$X$258,14,FALSE)),"",(VLOOKUP($E160,'A-1 On-Site Habitat Baseline'!$D$1:$X$258,14,FALSE))))</f>
        <v/>
      </c>
      <c r="O160" s="314" t="str">
        <f>IF(E160="","",IF(ISNA(VLOOKUP($E160,'A-1 On-Site Habitat Baseline'!$D$1:$X$258,16,FALSE)),"",(VLOOKUP($E160,'A-1 On-Site Habitat Baseline'!$D$1:$X$258,13,FALSE))))</f>
        <v/>
      </c>
      <c r="P160" s="161" t="str">
        <f>IFERROR(INDEX('G-1 All Habitats'!$AG$49:$AG$63,MATCH(Q160,'G-1 All Habitats'!$AF$27:$AF$41,0)),"")</f>
        <v/>
      </c>
      <c r="Q160" s="162" t="str">
        <f t="shared" si="24"/>
        <v/>
      </c>
      <c r="R160" s="162"/>
      <c r="S160" s="252" t="str">
        <f>IFERROR(INDEX('G-1 All Habitats'!$B$3:$B$135,MATCH(R160,'G-1 All Habitats'!$A$3:$A$135,0)),"")</f>
        <v/>
      </c>
      <c r="T160" s="290" t="str">
        <f t="shared" si="25"/>
        <v/>
      </c>
      <c r="U160" s="291" t="str">
        <f t="shared" si="26"/>
        <v/>
      </c>
      <c r="V160" s="325" t="str">
        <f t="shared" si="22"/>
        <v/>
      </c>
      <c r="W160" s="310" t="str">
        <f>IF(S160="","",VLOOKUP(S160,'G-1 All Habitats'!$B$2:$M$135,10,FALSE))</f>
        <v/>
      </c>
      <c r="X160" s="310" t="str">
        <f>IFERROR(VLOOKUP(W160,'G-1 All Habitats'!$V$3:$W$7,2,FALSE),"")</f>
        <v/>
      </c>
      <c r="Y160" s="45"/>
      <c r="Z160" s="314" t="str">
        <f>IFERROR(INDEX('G-8 Condition Look up'!$A$3:$H$135,MATCH(S160,'G-8 Condition Look up'!$A$3:$A$135,0),MATCH(Y160,'G-8 Condition Look up'!$A$3:$H$3,0)),"")</f>
        <v/>
      </c>
      <c r="AA160" s="38"/>
      <c r="AB160" s="310" t="str">
        <f>IF(AA160="","",IF(VLOOKUP(AA160,'G-3 Multipliers'!$L$3:$N$6,2,FALSE)=0,"Spatial Data Missing ⚠",VLOOKUP(AA160,'G-3 Multipliers'!$L$3:$N$6,2,FALSE)))</f>
        <v/>
      </c>
      <c r="AC160" s="314" t="str">
        <f>IF(AA160="","",IF(VLOOKUP(AA160,'G-3 Multipliers'!$L$3:$N$6,3,FALSE)=0,"Spatial Data Missing ⚠",VLOOKUP(AA160,'G-3 Multipliers'!$L$3:$N$6,3,FALSE)))</f>
        <v/>
      </c>
      <c r="AD160" s="327" t="str">
        <f t="shared" si="23"/>
        <v/>
      </c>
      <c r="AE160" s="47"/>
      <c r="AF160" s="47"/>
      <c r="AG160" s="298" t="str">
        <f t="shared" si="27"/>
        <v/>
      </c>
      <c r="AH160" s="311" t="str">
        <f t="shared" si="28"/>
        <v/>
      </c>
      <c r="AI160" s="312" t="str">
        <f>IF(AH160="Check Data","Check Data",IFERROR(VLOOKUP(AH160,'G-4 Temporal multipliers'!$A$4:$C$36,3,FALSE),""))</f>
        <v/>
      </c>
      <c r="AJ160" s="290" t="str">
        <f>IF(S160="","",VLOOKUP(S160,'G-3 Multipliers'!$A$2:$E$134,4,FALSE))</f>
        <v/>
      </c>
      <c r="AK160" s="298" t="str">
        <f t="shared" si="29"/>
        <v/>
      </c>
      <c r="AL160" s="298" t="str">
        <f t="shared" si="30"/>
        <v/>
      </c>
      <c r="AM160" s="328" t="str">
        <f>IFERROR(IF(F160="","",IF(AH160="Check Data ⚠","Check Data ⚠",VLOOKUP(AL160, 'G-3 Multipliers'!$P$2:$Q$6,2,FALSE))),"")</f>
        <v/>
      </c>
      <c r="AN160" s="304" t="str">
        <f t="shared" si="31"/>
        <v/>
      </c>
      <c r="AO160" s="163"/>
      <c r="AP160" s="164"/>
      <c r="AQ160" s="101"/>
      <c r="AT160" s="20" t="str">
        <f t="shared" si="32"/>
        <v>No</v>
      </c>
      <c r="AU160" s="20" t="str">
        <f>IF(E160="","",IF(ISNA(VLOOKUP($E160,'A-1 On-Site Habitat Baseline'!$D$1:$AV$258,4,FALSE)),"",(VLOOKUP($E160,'A-1 On-Site Habitat Baseline'!$D$1:$AV$258,4,FALSE))))</f>
        <v/>
      </c>
    </row>
    <row r="161" spans="1:47" x14ac:dyDescent="0.3">
      <c r="A161" s="20" t="str">
        <f>IF(E161="","",IF(ISNA(VLOOKUP($E161,'A-1 On-Site Habitat Baseline'!$D$1:$O$258,2,FALSE)),"",(VLOOKUP($E161,'A-1 On-Site Habitat Baseline'!$D$1:$O$258,2,FALSE))))</f>
        <v/>
      </c>
      <c r="B161" s="20" t="str">
        <f>IF(E161="","",IF(ISNA(VLOOKUP($E161,'A-1 On-Site Habitat Baseline'!$D$1:$O$258,3,FALSE)),"",(VLOOKUP($E161,'A-1 On-Site Habitat Baseline'!$D$1:$O$258,3,FALSE))))</f>
        <v/>
      </c>
      <c r="C161" s="20" t="str">
        <f>IFERROR(INDEX('G-8 Condition Look up'!$I$4:$I$135,MATCH(S161,'G-8 Condition Look up'!$A$4:$A$135,0)),"")</f>
        <v/>
      </c>
      <c r="E161" s="319" t="str">
        <f>'A-1 On-Site Habitat Baseline'!AL160</f>
        <v/>
      </c>
      <c r="F161" s="310" t="str">
        <f>IF(E161="","",IF(ISNA(VLOOKUP($E161,'A-1 On-Site Habitat Baseline'!$D$1:$AV$258,45,FALSE)),"",(VLOOKUP($E161,'A-1 On-Site Habitat Baseline'!$D$1:$AV$258,45,FALSE))))</f>
        <v/>
      </c>
      <c r="G161" s="310" t="str">
        <f>IF(E161="","",IF(ISNA(VLOOKUP($E161,'A-1 On-Site Habitat Baseline'!$D$1:$O$258,5,FALSE)),"",(VLOOKUP($E161,'A-1 On-Site Habitat Baseline'!$D$1:$O$258,5,FALSE))))</f>
        <v/>
      </c>
      <c r="H161" s="310" t="str">
        <f>IF(E161="","",IF(ISNA(VLOOKUP($E161,'A-1 On-Site Habitat Baseline'!$D$1:$O$258,6,FALSE)),"",(VLOOKUP($E161,'A-1 On-Site Habitat Baseline'!$D$1:$O$258,6,FALSE))))</f>
        <v/>
      </c>
      <c r="I161" s="310" t="str">
        <f>IF(E161="","",IF(ISNA(VLOOKUP($E161,'A-1 On-Site Habitat Baseline'!$D$1:$O$258,7,FALSE)),"",(VLOOKUP($E161,'A-1 On-Site Habitat Baseline'!$D$1:$O$258,7,FALSE))))</f>
        <v/>
      </c>
      <c r="J161" s="310" t="str">
        <f>IF(E161="","",IF(ISNA(VLOOKUP($E161,'A-1 On-Site Habitat Baseline'!$D$1:$O$258,8,FALSE)),"",(VLOOKUP($E161,'A-1 On-Site Habitat Baseline'!$D$1:$O$258,8,FALSE))))</f>
        <v/>
      </c>
      <c r="K161" s="310" t="str">
        <f>IF(E161="","",IF(ISNA(VLOOKUP($E161,'A-1 On-Site Habitat Baseline'!$D$1:$O$258,9,FALSE)),"",(VLOOKUP($E161,'A-1 On-Site Habitat Baseline'!$D$1:$O$258,9,FALSE))))</f>
        <v/>
      </c>
      <c r="L161" s="310" t="str">
        <f>IF(E161="","",IF(ISNA(VLOOKUP($E161,'A-1 On-Site Habitat Baseline'!$D$1:$O$258,11,FALSE)),"",(VLOOKUP($E161,'A-1 On-Site Habitat Baseline'!$D$1:$O$258,11,FALSE))))</f>
        <v/>
      </c>
      <c r="M161" s="310" t="str">
        <f>IF(E161="","",IF(ISNA(VLOOKUP($E161,'A-1 On-Site Habitat Baseline'!$D$1:$O$258,12,FALSE)),"",(VLOOKUP($E161,'A-1 On-Site Habitat Baseline'!$D$1:$O$258,12,FALSE))))</f>
        <v/>
      </c>
      <c r="N161" s="320" t="str">
        <f>IF(E161="","",IF(ISNA(VLOOKUP($E161,'A-1 On-Site Habitat Baseline'!$D$1:$X$258,14,FALSE)),"",(VLOOKUP($E161,'A-1 On-Site Habitat Baseline'!$D$1:$X$258,14,FALSE))))</f>
        <v/>
      </c>
      <c r="O161" s="314" t="str">
        <f>IF(E161="","",IF(ISNA(VLOOKUP($E161,'A-1 On-Site Habitat Baseline'!$D$1:$X$258,16,FALSE)),"",(VLOOKUP($E161,'A-1 On-Site Habitat Baseline'!$D$1:$X$258,13,FALSE))))</f>
        <v/>
      </c>
      <c r="P161" s="161" t="str">
        <f>IFERROR(INDEX('G-1 All Habitats'!$AG$49:$AG$63,MATCH(Q161,'G-1 All Habitats'!$AF$27:$AF$41,0)),"")</f>
        <v/>
      </c>
      <c r="Q161" s="162" t="str">
        <f t="shared" si="24"/>
        <v/>
      </c>
      <c r="R161" s="162"/>
      <c r="S161" s="252" t="str">
        <f>IFERROR(INDEX('G-1 All Habitats'!$B$3:$B$135,MATCH(R161,'G-1 All Habitats'!$A$3:$A$135,0)),"")</f>
        <v/>
      </c>
      <c r="T161" s="290" t="str">
        <f t="shared" si="25"/>
        <v/>
      </c>
      <c r="U161" s="291" t="str">
        <f t="shared" si="26"/>
        <v/>
      </c>
      <c r="V161" s="325" t="str">
        <f t="shared" si="22"/>
        <v/>
      </c>
      <c r="W161" s="310" t="str">
        <f>IF(S161="","",VLOOKUP(S161,'G-1 All Habitats'!$B$2:$M$135,10,FALSE))</f>
        <v/>
      </c>
      <c r="X161" s="310" t="str">
        <f>IFERROR(VLOOKUP(W161,'G-1 All Habitats'!$V$3:$W$7,2,FALSE),"")</f>
        <v/>
      </c>
      <c r="Y161" s="45"/>
      <c r="Z161" s="314" t="str">
        <f>IFERROR(INDEX('G-8 Condition Look up'!$A$3:$H$135,MATCH(S161,'G-8 Condition Look up'!$A$3:$A$135,0),MATCH(Y161,'G-8 Condition Look up'!$A$3:$H$3,0)),"")</f>
        <v/>
      </c>
      <c r="AA161" s="38"/>
      <c r="AB161" s="310" t="str">
        <f>IF(AA161="","",IF(VLOOKUP(AA161,'G-3 Multipliers'!$L$3:$N$6,2,FALSE)=0,"Spatial Data Missing ⚠",VLOOKUP(AA161,'G-3 Multipliers'!$L$3:$N$6,2,FALSE)))</f>
        <v/>
      </c>
      <c r="AC161" s="314" t="str">
        <f>IF(AA161="","",IF(VLOOKUP(AA161,'G-3 Multipliers'!$L$3:$N$6,3,FALSE)=0,"Spatial Data Missing ⚠",VLOOKUP(AA161,'G-3 Multipliers'!$L$3:$N$6,3,FALSE)))</f>
        <v/>
      </c>
      <c r="AD161" s="327" t="str">
        <f t="shared" si="23"/>
        <v/>
      </c>
      <c r="AE161" s="47"/>
      <c r="AF161" s="47"/>
      <c r="AG161" s="298" t="str">
        <f t="shared" si="27"/>
        <v/>
      </c>
      <c r="AH161" s="311" t="str">
        <f t="shared" si="28"/>
        <v/>
      </c>
      <c r="AI161" s="312" t="str">
        <f>IF(AH161="Check Data","Check Data",IFERROR(VLOOKUP(AH161,'G-4 Temporal multipliers'!$A$4:$C$36,3,FALSE),""))</f>
        <v/>
      </c>
      <c r="AJ161" s="290" t="str">
        <f>IF(S161="","",VLOOKUP(S161,'G-3 Multipliers'!$A$2:$E$134,4,FALSE))</f>
        <v/>
      </c>
      <c r="AK161" s="298" t="str">
        <f t="shared" si="29"/>
        <v/>
      </c>
      <c r="AL161" s="298" t="str">
        <f t="shared" si="30"/>
        <v/>
      </c>
      <c r="AM161" s="328" t="str">
        <f>IFERROR(IF(F161="","",IF(AH161="Check Data ⚠","Check Data ⚠",VLOOKUP(AL161, 'G-3 Multipliers'!$P$2:$Q$6,2,FALSE))),"")</f>
        <v/>
      </c>
      <c r="AN161" s="304" t="str">
        <f t="shared" si="31"/>
        <v/>
      </c>
      <c r="AO161" s="163"/>
      <c r="AP161" s="164"/>
      <c r="AQ161" s="101"/>
      <c r="AT161" s="20" t="str">
        <f t="shared" si="32"/>
        <v>No</v>
      </c>
      <c r="AU161" s="20" t="str">
        <f>IF(E161="","",IF(ISNA(VLOOKUP($E161,'A-1 On-Site Habitat Baseline'!$D$1:$AV$258,4,FALSE)),"",(VLOOKUP($E161,'A-1 On-Site Habitat Baseline'!$D$1:$AV$258,4,FALSE))))</f>
        <v/>
      </c>
    </row>
    <row r="162" spans="1:47" x14ac:dyDescent="0.3">
      <c r="A162" s="20" t="str">
        <f>IF(E162="","",IF(ISNA(VLOOKUP($E162,'A-1 On-Site Habitat Baseline'!$D$1:$O$258,2,FALSE)),"",(VLOOKUP($E162,'A-1 On-Site Habitat Baseline'!$D$1:$O$258,2,FALSE))))</f>
        <v/>
      </c>
      <c r="B162" s="20" t="str">
        <f>IF(E162="","",IF(ISNA(VLOOKUP($E162,'A-1 On-Site Habitat Baseline'!$D$1:$O$258,3,FALSE)),"",(VLOOKUP($E162,'A-1 On-Site Habitat Baseline'!$D$1:$O$258,3,FALSE))))</f>
        <v/>
      </c>
      <c r="C162" s="20" t="str">
        <f>IFERROR(INDEX('G-8 Condition Look up'!$I$4:$I$135,MATCH(S162,'G-8 Condition Look up'!$A$4:$A$135,0)),"")</f>
        <v/>
      </c>
      <c r="E162" s="319" t="str">
        <f>'A-1 On-Site Habitat Baseline'!AL161</f>
        <v/>
      </c>
      <c r="F162" s="310" t="str">
        <f>IF(E162="","",IF(ISNA(VLOOKUP($E162,'A-1 On-Site Habitat Baseline'!$D$1:$AV$258,45,FALSE)),"",(VLOOKUP($E162,'A-1 On-Site Habitat Baseline'!$D$1:$AV$258,45,FALSE))))</f>
        <v/>
      </c>
      <c r="G162" s="310" t="str">
        <f>IF(E162="","",IF(ISNA(VLOOKUP($E162,'A-1 On-Site Habitat Baseline'!$D$1:$O$258,5,FALSE)),"",(VLOOKUP($E162,'A-1 On-Site Habitat Baseline'!$D$1:$O$258,5,FALSE))))</f>
        <v/>
      </c>
      <c r="H162" s="310" t="str">
        <f>IF(E162="","",IF(ISNA(VLOOKUP($E162,'A-1 On-Site Habitat Baseline'!$D$1:$O$258,6,FALSE)),"",(VLOOKUP($E162,'A-1 On-Site Habitat Baseline'!$D$1:$O$258,6,FALSE))))</f>
        <v/>
      </c>
      <c r="I162" s="310" t="str">
        <f>IF(E162="","",IF(ISNA(VLOOKUP($E162,'A-1 On-Site Habitat Baseline'!$D$1:$O$258,7,FALSE)),"",(VLOOKUP($E162,'A-1 On-Site Habitat Baseline'!$D$1:$O$258,7,FALSE))))</f>
        <v/>
      </c>
      <c r="J162" s="310" t="str">
        <f>IF(E162="","",IF(ISNA(VLOOKUP($E162,'A-1 On-Site Habitat Baseline'!$D$1:$O$258,8,FALSE)),"",(VLOOKUP($E162,'A-1 On-Site Habitat Baseline'!$D$1:$O$258,8,FALSE))))</f>
        <v/>
      </c>
      <c r="K162" s="310" t="str">
        <f>IF(E162="","",IF(ISNA(VLOOKUP($E162,'A-1 On-Site Habitat Baseline'!$D$1:$O$258,9,FALSE)),"",(VLOOKUP($E162,'A-1 On-Site Habitat Baseline'!$D$1:$O$258,9,FALSE))))</f>
        <v/>
      </c>
      <c r="L162" s="310" t="str">
        <f>IF(E162="","",IF(ISNA(VLOOKUP($E162,'A-1 On-Site Habitat Baseline'!$D$1:$O$258,11,FALSE)),"",(VLOOKUP($E162,'A-1 On-Site Habitat Baseline'!$D$1:$O$258,11,FALSE))))</f>
        <v/>
      </c>
      <c r="M162" s="310" t="str">
        <f>IF(E162="","",IF(ISNA(VLOOKUP($E162,'A-1 On-Site Habitat Baseline'!$D$1:$O$258,12,FALSE)),"",(VLOOKUP($E162,'A-1 On-Site Habitat Baseline'!$D$1:$O$258,12,FALSE))))</f>
        <v/>
      </c>
      <c r="N162" s="320" t="str">
        <f>IF(E162="","",IF(ISNA(VLOOKUP($E162,'A-1 On-Site Habitat Baseline'!$D$1:$X$258,14,FALSE)),"",(VLOOKUP($E162,'A-1 On-Site Habitat Baseline'!$D$1:$X$258,14,FALSE))))</f>
        <v/>
      </c>
      <c r="O162" s="314" t="str">
        <f>IF(E162="","",IF(ISNA(VLOOKUP($E162,'A-1 On-Site Habitat Baseline'!$D$1:$X$258,16,FALSE)),"",(VLOOKUP($E162,'A-1 On-Site Habitat Baseline'!$D$1:$X$258,13,FALSE))))</f>
        <v/>
      </c>
      <c r="P162" s="161" t="str">
        <f>IFERROR(INDEX('G-1 All Habitats'!$AG$49:$AG$63,MATCH(Q162,'G-1 All Habitats'!$AF$27:$AF$41,0)),"")</f>
        <v/>
      </c>
      <c r="Q162" s="162" t="str">
        <f t="shared" si="24"/>
        <v/>
      </c>
      <c r="R162" s="162"/>
      <c r="S162" s="252" t="str">
        <f>IFERROR(INDEX('G-1 All Habitats'!$B$3:$B$135,MATCH(R162,'G-1 All Habitats'!$A$3:$A$135,0)),"")</f>
        <v/>
      </c>
      <c r="T162" s="290" t="str">
        <f t="shared" si="25"/>
        <v/>
      </c>
      <c r="U162" s="291" t="str">
        <f t="shared" si="26"/>
        <v/>
      </c>
      <c r="V162" s="325" t="str">
        <f t="shared" si="22"/>
        <v/>
      </c>
      <c r="W162" s="310" t="str">
        <f>IF(S162="","",VLOOKUP(S162,'G-1 All Habitats'!$B$2:$M$135,10,FALSE))</f>
        <v/>
      </c>
      <c r="X162" s="310" t="str">
        <f>IFERROR(VLOOKUP(W162,'G-1 All Habitats'!$V$3:$W$7,2,FALSE),"")</f>
        <v/>
      </c>
      <c r="Y162" s="45"/>
      <c r="Z162" s="314" t="str">
        <f>IFERROR(INDEX('G-8 Condition Look up'!$A$3:$H$135,MATCH(S162,'G-8 Condition Look up'!$A$3:$A$135,0),MATCH(Y162,'G-8 Condition Look up'!$A$3:$H$3,0)),"")</f>
        <v/>
      </c>
      <c r="AA162" s="38"/>
      <c r="AB162" s="310" t="str">
        <f>IF(AA162="","",IF(VLOOKUP(AA162,'G-3 Multipliers'!$L$3:$N$6,2,FALSE)=0,"Spatial Data Missing ⚠",VLOOKUP(AA162,'G-3 Multipliers'!$L$3:$N$6,2,FALSE)))</f>
        <v/>
      </c>
      <c r="AC162" s="314" t="str">
        <f>IF(AA162="","",IF(VLOOKUP(AA162,'G-3 Multipliers'!$L$3:$N$6,3,FALSE)=0,"Spatial Data Missing ⚠",VLOOKUP(AA162,'G-3 Multipliers'!$L$3:$N$6,3,FALSE)))</f>
        <v/>
      </c>
      <c r="AD162" s="327" t="str">
        <f t="shared" si="23"/>
        <v/>
      </c>
      <c r="AE162" s="47"/>
      <c r="AF162" s="47"/>
      <c r="AG162" s="298" t="str">
        <f t="shared" si="27"/>
        <v/>
      </c>
      <c r="AH162" s="311" t="str">
        <f t="shared" si="28"/>
        <v/>
      </c>
      <c r="AI162" s="312" t="str">
        <f>IF(AH162="Check Data","Check Data",IFERROR(VLOOKUP(AH162,'G-4 Temporal multipliers'!$A$4:$C$36,3,FALSE),""))</f>
        <v/>
      </c>
      <c r="AJ162" s="290" t="str">
        <f>IF(S162="","",VLOOKUP(S162,'G-3 Multipliers'!$A$2:$E$134,4,FALSE))</f>
        <v/>
      </c>
      <c r="AK162" s="298" t="str">
        <f t="shared" si="29"/>
        <v/>
      </c>
      <c r="AL162" s="298" t="str">
        <f t="shared" si="30"/>
        <v/>
      </c>
      <c r="AM162" s="328" t="str">
        <f>IFERROR(IF(F162="","",IF(AH162="Check Data ⚠","Check Data ⚠",VLOOKUP(AL162, 'G-3 Multipliers'!$P$2:$Q$6,2,FALSE))),"")</f>
        <v/>
      </c>
      <c r="AN162" s="304" t="str">
        <f t="shared" si="31"/>
        <v/>
      </c>
      <c r="AO162" s="163"/>
      <c r="AP162" s="164"/>
      <c r="AQ162" s="101"/>
      <c r="AT162" s="20" t="str">
        <f t="shared" si="32"/>
        <v>No</v>
      </c>
      <c r="AU162" s="20" t="str">
        <f>IF(E162="","",IF(ISNA(VLOOKUP($E162,'A-1 On-Site Habitat Baseline'!$D$1:$AV$258,4,FALSE)),"",(VLOOKUP($E162,'A-1 On-Site Habitat Baseline'!$D$1:$AV$258,4,FALSE))))</f>
        <v/>
      </c>
    </row>
    <row r="163" spans="1:47" x14ac:dyDescent="0.3">
      <c r="A163" s="20" t="str">
        <f>IF(E163="","",IF(ISNA(VLOOKUP($E163,'A-1 On-Site Habitat Baseline'!$D$1:$O$258,2,FALSE)),"",(VLOOKUP($E163,'A-1 On-Site Habitat Baseline'!$D$1:$O$258,2,FALSE))))</f>
        <v/>
      </c>
      <c r="B163" s="20" t="str">
        <f>IF(E163="","",IF(ISNA(VLOOKUP($E163,'A-1 On-Site Habitat Baseline'!$D$1:$O$258,3,FALSE)),"",(VLOOKUP($E163,'A-1 On-Site Habitat Baseline'!$D$1:$O$258,3,FALSE))))</f>
        <v/>
      </c>
      <c r="C163" s="20" t="str">
        <f>IFERROR(INDEX('G-8 Condition Look up'!$I$4:$I$135,MATCH(S163,'G-8 Condition Look up'!$A$4:$A$135,0)),"")</f>
        <v/>
      </c>
      <c r="E163" s="319" t="str">
        <f>'A-1 On-Site Habitat Baseline'!AL162</f>
        <v/>
      </c>
      <c r="F163" s="310" t="str">
        <f>IF(E163="","",IF(ISNA(VLOOKUP($E163,'A-1 On-Site Habitat Baseline'!$D$1:$AV$258,45,FALSE)),"",(VLOOKUP($E163,'A-1 On-Site Habitat Baseline'!$D$1:$AV$258,45,FALSE))))</f>
        <v/>
      </c>
      <c r="G163" s="310" t="str">
        <f>IF(E163="","",IF(ISNA(VLOOKUP($E163,'A-1 On-Site Habitat Baseline'!$D$1:$O$258,5,FALSE)),"",(VLOOKUP($E163,'A-1 On-Site Habitat Baseline'!$D$1:$O$258,5,FALSE))))</f>
        <v/>
      </c>
      <c r="H163" s="310" t="str">
        <f>IF(E163="","",IF(ISNA(VLOOKUP($E163,'A-1 On-Site Habitat Baseline'!$D$1:$O$258,6,FALSE)),"",(VLOOKUP($E163,'A-1 On-Site Habitat Baseline'!$D$1:$O$258,6,FALSE))))</f>
        <v/>
      </c>
      <c r="I163" s="310" t="str">
        <f>IF(E163="","",IF(ISNA(VLOOKUP($E163,'A-1 On-Site Habitat Baseline'!$D$1:$O$258,7,FALSE)),"",(VLOOKUP($E163,'A-1 On-Site Habitat Baseline'!$D$1:$O$258,7,FALSE))))</f>
        <v/>
      </c>
      <c r="J163" s="310" t="str">
        <f>IF(E163="","",IF(ISNA(VLOOKUP($E163,'A-1 On-Site Habitat Baseline'!$D$1:$O$258,8,FALSE)),"",(VLOOKUP($E163,'A-1 On-Site Habitat Baseline'!$D$1:$O$258,8,FALSE))))</f>
        <v/>
      </c>
      <c r="K163" s="310" t="str">
        <f>IF(E163="","",IF(ISNA(VLOOKUP($E163,'A-1 On-Site Habitat Baseline'!$D$1:$O$258,9,FALSE)),"",(VLOOKUP($E163,'A-1 On-Site Habitat Baseline'!$D$1:$O$258,9,FALSE))))</f>
        <v/>
      </c>
      <c r="L163" s="310" t="str">
        <f>IF(E163="","",IF(ISNA(VLOOKUP($E163,'A-1 On-Site Habitat Baseline'!$D$1:$O$258,11,FALSE)),"",(VLOOKUP($E163,'A-1 On-Site Habitat Baseline'!$D$1:$O$258,11,FALSE))))</f>
        <v/>
      </c>
      <c r="M163" s="310" t="str">
        <f>IF(E163="","",IF(ISNA(VLOOKUP($E163,'A-1 On-Site Habitat Baseline'!$D$1:$O$258,12,FALSE)),"",(VLOOKUP($E163,'A-1 On-Site Habitat Baseline'!$D$1:$O$258,12,FALSE))))</f>
        <v/>
      </c>
      <c r="N163" s="320" t="str">
        <f>IF(E163="","",IF(ISNA(VLOOKUP($E163,'A-1 On-Site Habitat Baseline'!$D$1:$X$258,14,FALSE)),"",(VLOOKUP($E163,'A-1 On-Site Habitat Baseline'!$D$1:$X$258,14,FALSE))))</f>
        <v/>
      </c>
      <c r="O163" s="314" t="str">
        <f>IF(E163="","",IF(ISNA(VLOOKUP($E163,'A-1 On-Site Habitat Baseline'!$D$1:$X$258,16,FALSE)),"",(VLOOKUP($E163,'A-1 On-Site Habitat Baseline'!$D$1:$X$258,13,FALSE))))</f>
        <v/>
      </c>
      <c r="P163" s="161" t="str">
        <f>IFERROR(INDEX('G-1 All Habitats'!$AG$49:$AG$63,MATCH(Q163,'G-1 All Habitats'!$AF$27:$AF$41,0)),"")</f>
        <v/>
      </c>
      <c r="Q163" s="162" t="str">
        <f t="shared" si="24"/>
        <v/>
      </c>
      <c r="R163" s="162"/>
      <c r="S163" s="252" t="str">
        <f>IFERROR(INDEX('G-1 All Habitats'!$B$3:$B$135,MATCH(R163,'G-1 All Habitats'!$A$3:$A$135,0)),"")</f>
        <v/>
      </c>
      <c r="T163" s="290" t="str">
        <f t="shared" si="25"/>
        <v/>
      </c>
      <c r="U163" s="291" t="str">
        <f t="shared" si="26"/>
        <v/>
      </c>
      <c r="V163" s="325" t="str">
        <f t="shared" si="22"/>
        <v/>
      </c>
      <c r="W163" s="310" t="str">
        <f>IF(S163="","",VLOOKUP(S163,'G-1 All Habitats'!$B$2:$M$135,10,FALSE))</f>
        <v/>
      </c>
      <c r="X163" s="310" t="str">
        <f>IFERROR(VLOOKUP(W163,'G-1 All Habitats'!$V$3:$W$7,2,FALSE),"")</f>
        <v/>
      </c>
      <c r="Y163" s="45"/>
      <c r="Z163" s="314" t="str">
        <f>IFERROR(INDEX('G-8 Condition Look up'!$A$3:$H$135,MATCH(S163,'G-8 Condition Look up'!$A$3:$A$135,0),MATCH(Y163,'G-8 Condition Look up'!$A$3:$H$3,0)),"")</f>
        <v/>
      </c>
      <c r="AA163" s="38"/>
      <c r="AB163" s="310" t="str">
        <f>IF(AA163="","",IF(VLOOKUP(AA163,'G-3 Multipliers'!$L$3:$N$6,2,FALSE)=0,"Spatial Data Missing ⚠",VLOOKUP(AA163,'G-3 Multipliers'!$L$3:$N$6,2,FALSE)))</f>
        <v/>
      </c>
      <c r="AC163" s="314" t="str">
        <f>IF(AA163="","",IF(VLOOKUP(AA163,'G-3 Multipliers'!$L$3:$N$6,3,FALSE)=0,"Spatial Data Missing ⚠",VLOOKUP(AA163,'G-3 Multipliers'!$L$3:$N$6,3,FALSE)))</f>
        <v/>
      </c>
      <c r="AD163" s="327" t="str">
        <f t="shared" si="23"/>
        <v/>
      </c>
      <c r="AE163" s="47"/>
      <c r="AF163" s="47"/>
      <c r="AG163" s="298" t="str">
        <f t="shared" si="27"/>
        <v/>
      </c>
      <c r="AH163" s="311" t="str">
        <f t="shared" si="28"/>
        <v/>
      </c>
      <c r="AI163" s="312" t="str">
        <f>IF(AH163="Check Data","Check Data",IFERROR(VLOOKUP(AH163,'G-4 Temporal multipliers'!$A$4:$C$36,3,FALSE),""))</f>
        <v/>
      </c>
      <c r="AJ163" s="290" t="str">
        <f>IF(S163="","",VLOOKUP(S163,'G-3 Multipliers'!$A$2:$E$134,4,FALSE))</f>
        <v/>
      </c>
      <c r="AK163" s="298" t="str">
        <f t="shared" si="29"/>
        <v/>
      </c>
      <c r="AL163" s="298" t="str">
        <f t="shared" si="30"/>
        <v/>
      </c>
      <c r="AM163" s="328" t="str">
        <f>IFERROR(IF(F163="","",IF(AH163="Check Data ⚠","Check Data ⚠",VLOOKUP(AL163, 'G-3 Multipliers'!$P$2:$Q$6,2,FALSE))),"")</f>
        <v/>
      </c>
      <c r="AN163" s="304" t="str">
        <f t="shared" si="31"/>
        <v/>
      </c>
      <c r="AO163" s="163"/>
      <c r="AP163" s="164"/>
      <c r="AQ163" s="101"/>
      <c r="AT163" s="20" t="str">
        <f t="shared" si="32"/>
        <v>No</v>
      </c>
      <c r="AU163" s="20" t="str">
        <f>IF(E163="","",IF(ISNA(VLOOKUP($E163,'A-1 On-Site Habitat Baseline'!$D$1:$AV$258,4,FALSE)),"",(VLOOKUP($E163,'A-1 On-Site Habitat Baseline'!$D$1:$AV$258,4,FALSE))))</f>
        <v/>
      </c>
    </row>
    <row r="164" spans="1:47" x14ac:dyDescent="0.3">
      <c r="A164" s="20" t="str">
        <f>IF(E164="","",IF(ISNA(VLOOKUP($E164,'A-1 On-Site Habitat Baseline'!$D$1:$O$258,2,FALSE)),"",(VLOOKUP($E164,'A-1 On-Site Habitat Baseline'!$D$1:$O$258,2,FALSE))))</f>
        <v/>
      </c>
      <c r="B164" s="20" t="str">
        <f>IF(E164="","",IF(ISNA(VLOOKUP($E164,'A-1 On-Site Habitat Baseline'!$D$1:$O$258,3,FALSE)),"",(VLOOKUP($E164,'A-1 On-Site Habitat Baseline'!$D$1:$O$258,3,FALSE))))</f>
        <v/>
      </c>
      <c r="C164" s="20" t="str">
        <f>IFERROR(INDEX('G-8 Condition Look up'!$I$4:$I$135,MATCH(S164,'G-8 Condition Look up'!$A$4:$A$135,0)),"")</f>
        <v/>
      </c>
      <c r="E164" s="319" t="str">
        <f>'A-1 On-Site Habitat Baseline'!AL163</f>
        <v/>
      </c>
      <c r="F164" s="310" t="str">
        <f>IF(E164="","",IF(ISNA(VLOOKUP($E164,'A-1 On-Site Habitat Baseline'!$D$1:$AV$258,45,FALSE)),"",(VLOOKUP($E164,'A-1 On-Site Habitat Baseline'!$D$1:$AV$258,45,FALSE))))</f>
        <v/>
      </c>
      <c r="G164" s="310" t="str">
        <f>IF(E164="","",IF(ISNA(VLOOKUP($E164,'A-1 On-Site Habitat Baseline'!$D$1:$O$258,5,FALSE)),"",(VLOOKUP($E164,'A-1 On-Site Habitat Baseline'!$D$1:$O$258,5,FALSE))))</f>
        <v/>
      </c>
      <c r="H164" s="310" t="str">
        <f>IF(E164="","",IF(ISNA(VLOOKUP($E164,'A-1 On-Site Habitat Baseline'!$D$1:$O$258,6,FALSE)),"",(VLOOKUP($E164,'A-1 On-Site Habitat Baseline'!$D$1:$O$258,6,FALSE))))</f>
        <v/>
      </c>
      <c r="I164" s="310" t="str">
        <f>IF(E164="","",IF(ISNA(VLOOKUP($E164,'A-1 On-Site Habitat Baseline'!$D$1:$O$258,7,FALSE)),"",(VLOOKUP($E164,'A-1 On-Site Habitat Baseline'!$D$1:$O$258,7,FALSE))))</f>
        <v/>
      </c>
      <c r="J164" s="310" t="str">
        <f>IF(E164="","",IF(ISNA(VLOOKUP($E164,'A-1 On-Site Habitat Baseline'!$D$1:$O$258,8,FALSE)),"",(VLOOKUP($E164,'A-1 On-Site Habitat Baseline'!$D$1:$O$258,8,FALSE))))</f>
        <v/>
      </c>
      <c r="K164" s="310" t="str">
        <f>IF(E164="","",IF(ISNA(VLOOKUP($E164,'A-1 On-Site Habitat Baseline'!$D$1:$O$258,9,FALSE)),"",(VLOOKUP($E164,'A-1 On-Site Habitat Baseline'!$D$1:$O$258,9,FALSE))))</f>
        <v/>
      </c>
      <c r="L164" s="310" t="str">
        <f>IF(E164="","",IF(ISNA(VLOOKUP($E164,'A-1 On-Site Habitat Baseline'!$D$1:$O$258,11,FALSE)),"",(VLOOKUP($E164,'A-1 On-Site Habitat Baseline'!$D$1:$O$258,11,FALSE))))</f>
        <v/>
      </c>
      <c r="M164" s="310" t="str">
        <f>IF(E164="","",IF(ISNA(VLOOKUP($E164,'A-1 On-Site Habitat Baseline'!$D$1:$O$258,12,FALSE)),"",(VLOOKUP($E164,'A-1 On-Site Habitat Baseline'!$D$1:$O$258,12,FALSE))))</f>
        <v/>
      </c>
      <c r="N164" s="320" t="str">
        <f>IF(E164="","",IF(ISNA(VLOOKUP($E164,'A-1 On-Site Habitat Baseline'!$D$1:$X$258,14,FALSE)),"",(VLOOKUP($E164,'A-1 On-Site Habitat Baseline'!$D$1:$X$258,14,FALSE))))</f>
        <v/>
      </c>
      <c r="O164" s="314" t="str">
        <f>IF(E164="","",IF(ISNA(VLOOKUP($E164,'A-1 On-Site Habitat Baseline'!$D$1:$X$258,16,FALSE)),"",(VLOOKUP($E164,'A-1 On-Site Habitat Baseline'!$D$1:$X$258,13,FALSE))))</f>
        <v/>
      </c>
      <c r="P164" s="161" t="str">
        <f>IFERROR(INDEX('G-1 All Habitats'!$AG$49:$AG$63,MATCH(Q164,'G-1 All Habitats'!$AF$27:$AF$41,0)),"")</f>
        <v/>
      </c>
      <c r="Q164" s="162" t="str">
        <f t="shared" si="24"/>
        <v/>
      </c>
      <c r="R164" s="162"/>
      <c r="S164" s="252" t="str">
        <f>IFERROR(INDEX('G-1 All Habitats'!$B$3:$B$135,MATCH(R164,'G-1 All Habitats'!$A$3:$A$135,0)),"")</f>
        <v/>
      </c>
      <c r="T164" s="290" t="str">
        <f t="shared" si="25"/>
        <v/>
      </c>
      <c r="U164" s="291" t="str">
        <f t="shared" si="26"/>
        <v/>
      </c>
      <c r="V164" s="325" t="str">
        <f t="shared" si="22"/>
        <v/>
      </c>
      <c r="W164" s="310" t="str">
        <f>IF(S164="","",VLOOKUP(S164,'G-1 All Habitats'!$B$2:$M$135,10,FALSE))</f>
        <v/>
      </c>
      <c r="X164" s="310" t="str">
        <f>IFERROR(VLOOKUP(W164,'G-1 All Habitats'!$V$3:$W$7,2,FALSE),"")</f>
        <v/>
      </c>
      <c r="Y164" s="45"/>
      <c r="Z164" s="314" t="str">
        <f>IFERROR(INDEX('G-8 Condition Look up'!$A$3:$H$135,MATCH(S164,'G-8 Condition Look up'!$A$3:$A$135,0),MATCH(Y164,'G-8 Condition Look up'!$A$3:$H$3,0)),"")</f>
        <v/>
      </c>
      <c r="AA164" s="38"/>
      <c r="AB164" s="310" t="str">
        <f>IF(AA164="","",IF(VLOOKUP(AA164,'G-3 Multipliers'!$L$3:$N$6,2,FALSE)=0,"Spatial Data Missing ⚠",VLOOKUP(AA164,'G-3 Multipliers'!$L$3:$N$6,2,FALSE)))</f>
        <v/>
      </c>
      <c r="AC164" s="314" t="str">
        <f>IF(AA164="","",IF(VLOOKUP(AA164,'G-3 Multipliers'!$L$3:$N$6,3,FALSE)=0,"Spatial Data Missing ⚠",VLOOKUP(AA164,'G-3 Multipliers'!$L$3:$N$6,3,FALSE)))</f>
        <v/>
      </c>
      <c r="AD164" s="327" t="str">
        <f t="shared" si="23"/>
        <v/>
      </c>
      <c r="AE164" s="47"/>
      <c r="AF164" s="47"/>
      <c r="AG164" s="298" t="str">
        <f t="shared" si="27"/>
        <v/>
      </c>
      <c r="AH164" s="311" t="str">
        <f t="shared" si="28"/>
        <v/>
      </c>
      <c r="AI164" s="312" t="str">
        <f>IF(AH164="Check Data","Check Data",IFERROR(VLOOKUP(AH164,'G-4 Temporal multipliers'!$A$4:$C$36,3,FALSE),""))</f>
        <v/>
      </c>
      <c r="AJ164" s="290" t="str">
        <f>IF(S164="","",VLOOKUP(S164,'G-3 Multipliers'!$A$2:$E$134,4,FALSE))</f>
        <v/>
      </c>
      <c r="AK164" s="298" t="str">
        <f t="shared" si="29"/>
        <v/>
      </c>
      <c r="AL164" s="298" t="str">
        <f t="shared" si="30"/>
        <v/>
      </c>
      <c r="AM164" s="328" t="str">
        <f>IFERROR(IF(F164="","",IF(AH164="Check Data ⚠","Check Data ⚠",VLOOKUP(AL164, 'G-3 Multipliers'!$P$2:$Q$6,2,FALSE))),"")</f>
        <v/>
      </c>
      <c r="AN164" s="304" t="str">
        <f t="shared" si="31"/>
        <v/>
      </c>
      <c r="AO164" s="163"/>
      <c r="AP164" s="164"/>
      <c r="AQ164" s="101"/>
      <c r="AT164" s="20" t="str">
        <f t="shared" si="32"/>
        <v>No</v>
      </c>
      <c r="AU164" s="20" t="str">
        <f>IF(E164="","",IF(ISNA(VLOOKUP($E164,'A-1 On-Site Habitat Baseline'!$D$1:$AV$258,4,FALSE)),"",(VLOOKUP($E164,'A-1 On-Site Habitat Baseline'!$D$1:$AV$258,4,FALSE))))</f>
        <v/>
      </c>
    </row>
    <row r="165" spans="1:47" x14ac:dyDescent="0.3">
      <c r="A165" s="20" t="str">
        <f>IF(E165="","",IF(ISNA(VLOOKUP($E165,'A-1 On-Site Habitat Baseline'!$D$1:$O$258,2,FALSE)),"",(VLOOKUP($E165,'A-1 On-Site Habitat Baseline'!$D$1:$O$258,2,FALSE))))</f>
        <v/>
      </c>
      <c r="B165" s="20" t="str">
        <f>IF(E165="","",IF(ISNA(VLOOKUP($E165,'A-1 On-Site Habitat Baseline'!$D$1:$O$258,3,FALSE)),"",(VLOOKUP($E165,'A-1 On-Site Habitat Baseline'!$D$1:$O$258,3,FALSE))))</f>
        <v/>
      </c>
      <c r="C165" s="20" t="str">
        <f>IFERROR(INDEX('G-8 Condition Look up'!$I$4:$I$135,MATCH(S165,'G-8 Condition Look up'!$A$4:$A$135,0)),"")</f>
        <v/>
      </c>
      <c r="E165" s="319" t="str">
        <f>'A-1 On-Site Habitat Baseline'!AL164</f>
        <v/>
      </c>
      <c r="F165" s="310" t="str">
        <f>IF(E165="","",IF(ISNA(VLOOKUP($E165,'A-1 On-Site Habitat Baseline'!$D$1:$AV$258,45,FALSE)),"",(VLOOKUP($E165,'A-1 On-Site Habitat Baseline'!$D$1:$AV$258,45,FALSE))))</f>
        <v/>
      </c>
      <c r="G165" s="310" t="str">
        <f>IF(E165="","",IF(ISNA(VLOOKUP($E165,'A-1 On-Site Habitat Baseline'!$D$1:$O$258,5,FALSE)),"",(VLOOKUP($E165,'A-1 On-Site Habitat Baseline'!$D$1:$O$258,5,FALSE))))</f>
        <v/>
      </c>
      <c r="H165" s="310" t="str">
        <f>IF(E165="","",IF(ISNA(VLOOKUP($E165,'A-1 On-Site Habitat Baseline'!$D$1:$O$258,6,FALSE)),"",(VLOOKUP($E165,'A-1 On-Site Habitat Baseline'!$D$1:$O$258,6,FALSE))))</f>
        <v/>
      </c>
      <c r="I165" s="310" t="str">
        <f>IF(E165="","",IF(ISNA(VLOOKUP($E165,'A-1 On-Site Habitat Baseline'!$D$1:$O$258,7,FALSE)),"",(VLOOKUP($E165,'A-1 On-Site Habitat Baseline'!$D$1:$O$258,7,FALSE))))</f>
        <v/>
      </c>
      <c r="J165" s="310" t="str">
        <f>IF(E165="","",IF(ISNA(VLOOKUP($E165,'A-1 On-Site Habitat Baseline'!$D$1:$O$258,8,FALSE)),"",(VLOOKUP($E165,'A-1 On-Site Habitat Baseline'!$D$1:$O$258,8,FALSE))))</f>
        <v/>
      </c>
      <c r="K165" s="310" t="str">
        <f>IF(E165="","",IF(ISNA(VLOOKUP($E165,'A-1 On-Site Habitat Baseline'!$D$1:$O$258,9,FALSE)),"",(VLOOKUP($E165,'A-1 On-Site Habitat Baseline'!$D$1:$O$258,9,FALSE))))</f>
        <v/>
      </c>
      <c r="L165" s="310" t="str">
        <f>IF(E165="","",IF(ISNA(VLOOKUP($E165,'A-1 On-Site Habitat Baseline'!$D$1:$O$258,11,FALSE)),"",(VLOOKUP($E165,'A-1 On-Site Habitat Baseline'!$D$1:$O$258,11,FALSE))))</f>
        <v/>
      </c>
      <c r="M165" s="310" t="str">
        <f>IF(E165="","",IF(ISNA(VLOOKUP($E165,'A-1 On-Site Habitat Baseline'!$D$1:$O$258,12,FALSE)),"",(VLOOKUP($E165,'A-1 On-Site Habitat Baseline'!$D$1:$O$258,12,FALSE))))</f>
        <v/>
      </c>
      <c r="N165" s="320" t="str">
        <f>IF(E165="","",IF(ISNA(VLOOKUP($E165,'A-1 On-Site Habitat Baseline'!$D$1:$X$258,14,FALSE)),"",(VLOOKUP($E165,'A-1 On-Site Habitat Baseline'!$D$1:$X$258,14,FALSE))))</f>
        <v/>
      </c>
      <c r="O165" s="314" t="str">
        <f>IF(E165="","",IF(ISNA(VLOOKUP($E165,'A-1 On-Site Habitat Baseline'!$D$1:$X$258,16,FALSE)),"",(VLOOKUP($E165,'A-1 On-Site Habitat Baseline'!$D$1:$X$258,13,FALSE))))</f>
        <v/>
      </c>
      <c r="P165" s="161" t="str">
        <f>IFERROR(INDEX('G-1 All Habitats'!$AG$49:$AG$63,MATCH(Q165,'G-1 All Habitats'!$AF$27:$AF$41,0)),"")</f>
        <v/>
      </c>
      <c r="Q165" s="162" t="str">
        <f t="shared" si="24"/>
        <v/>
      </c>
      <c r="R165" s="162"/>
      <c r="S165" s="252" t="str">
        <f>IFERROR(INDEX('G-1 All Habitats'!$B$3:$B$135,MATCH(R165,'G-1 All Habitats'!$A$3:$A$135,0)),"")</f>
        <v/>
      </c>
      <c r="T165" s="290" t="str">
        <f t="shared" si="25"/>
        <v/>
      </c>
      <c r="U165" s="291" t="str">
        <f t="shared" si="26"/>
        <v/>
      </c>
      <c r="V165" s="325" t="str">
        <f t="shared" si="22"/>
        <v/>
      </c>
      <c r="W165" s="310" t="str">
        <f>IF(S165="","",VLOOKUP(S165,'G-1 All Habitats'!$B$2:$M$135,10,FALSE))</f>
        <v/>
      </c>
      <c r="X165" s="310" t="str">
        <f>IFERROR(VLOOKUP(W165,'G-1 All Habitats'!$V$3:$W$7,2,FALSE),"")</f>
        <v/>
      </c>
      <c r="Y165" s="45"/>
      <c r="Z165" s="314" t="str">
        <f>IFERROR(INDEX('G-8 Condition Look up'!$A$3:$H$135,MATCH(S165,'G-8 Condition Look up'!$A$3:$A$135,0),MATCH(Y165,'G-8 Condition Look up'!$A$3:$H$3,0)),"")</f>
        <v/>
      </c>
      <c r="AA165" s="38"/>
      <c r="AB165" s="310" t="str">
        <f>IF(AA165="","",IF(VLOOKUP(AA165,'G-3 Multipliers'!$L$3:$N$6,2,FALSE)=0,"Spatial Data Missing ⚠",VLOOKUP(AA165,'G-3 Multipliers'!$L$3:$N$6,2,FALSE)))</f>
        <v/>
      </c>
      <c r="AC165" s="314" t="str">
        <f>IF(AA165="","",IF(VLOOKUP(AA165,'G-3 Multipliers'!$L$3:$N$6,3,FALSE)=0,"Spatial Data Missing ⚠",VLOOKUP(AA165,'G-3 Multipliers'!$L$3:$N$6,3,FALSE)))</f>
        <v/>
      </c>
      <c r="AD165" s="327" t="str">
        <f t="shared" si="23"/>
        <v/>
      </c>
      <c r="AE165" s="47"/>
      <c r="AF165" s="47"/>
      <c r="AG165" s="298" t="str">
        <f t="shared" si="27"/>
        <v/>
      </c>
      <c r="AH165" s="311" t="str">
        <f t="shared" si="28"/>
        <v/>
      </c>
      <c r="AI165" s="312" t="str">
        <f>IF(AH165="Check Data","Check Data",IFERROR(VLOOKUP(AH165,'G-4 Temporal multipliers'!$A$4:$C$36,3,FALSE),""))</f>
        <v/>
      </c>
      <c r="AJ165" s="290" t="str">
        <f>IF(S165="","",VLOOKUP(S165,'G-3 Multipliers'!$A$2:$E$134,4,FALSE))</f>
        <v/>
      </c>
      <c r="AK165" s="298" t="str">
        <f t="shared" si="29"/>
        <v/>
      </c>
      <c r="AL165" s="298" t="str">
        <f t="shared" si="30"/>
        <v/>
      </c>
      <c r="AM165" s="328" t="str">
        <f>IFERROR(IF(F165="","",IF(AH165="Check Data ⚠","Check Data ⚠",VLOOKUP(AL165, 'G-3 Multipliers'!$P$2:$Q$6,2,FALSE))),"")</f>
        <v/>
      </c>
      <c r="AN165" s="304" t="str">
        <f t="shared" si="31"/>
        <v/>
      </c>
      <c r="AO165" s="163"/>
      <c r="AP165" s="164"/>
      <c r="AQ165" s="101"/>
      <c r="AT165" s="20" t="str">
        <f t="shared" si="32"/>
        <v>No</v>
      </c>
      <c r="AU165" s="20" t="str">
        <f>IF(E165="","",IF(ISNA(VLOOKUP($E165,'A-1 On-Site Habitat Baseline'!$D$1:$AV$258,4,FALSE)),"",(VLOOKUP($E165,'A-1 On-Site Habitat Baseline'!$D$1:$AV$258,4,FALSE))))</f>
        <v/>
      </c>
    </row>
    <row r="166" spans="1:47" x14ac:dyDescent="0.3">
      <c r="A166" s="20" t="str">
        <f>IF(E166="","",IF(ISNA(VLOOKUP($E166,'A-1 On-Site Habitat Baseline'!$D$1:$O$258,2,FALSE)),"",(VLOOKUP($E166,'A-1 On-Site Habitat Baseline'!$D$1:$O$258,2,FALSE))))</f>
        <v/>
      </c>
      <c r="B166" s="20" t="str">
        <f>IF(E166="","",IF(ISNA(VLOOKUP($E166,'A-1 On-Site Habitat Baseline'!$D$1:$O$258,3,FALSE)),"",(VLOOKUP($E166,'A-1 On-Site Habitat Baseline'!$D$1:$O$258,3,FALSE))))</f>
        <v/>
      </c>
      <c r="C166" s="20" t="str">
        <f>IFERROR(INDEX('G-8 Condition Look up'!$I$4:$I$135,MATCH(S166,'G-8 Condition Look up'!$A$4:$A$135,0)),"")</f>
        <v/>
      </c>
      <c r="E166" s="319" t="str">
        <f>'A-1 On-Site Habitat Baseline'!AL165</f>
        <v/>
      </c>
      <c r="F166" s="310" t="str">
        <f>IF(E166="","",IF(ISNA(VLOOKUP($E166,'A-1 On-Site Habitat Baseline'!$D$1:$AV$258,45,FALSE)),"",(VLOOKUP($E166,'A-1 On-Site Habitat Baseline'!$D$1:$AV$258,45,FALSE))))</f>
        <v/>
      </c>
      <c r="G166" s="310" t="str">
        <f>IF(E166="","",IF(ISNA(VLOOKUP($E166,'A-1 On-Site Habitat Baseline'!$D$1:$O$258,5,FALSE)),"",(VLOOKUP($E166,'A-1 On-Site Habitat Baseline'!$D$1:$O$258,5,FALSE))))</f>
        <v/>
      </c>
      <c r="H166" s="310" t="str">
        <f>IF(E166="","",IF(ISNA(VLOOKUP($E166,'A-1 On-Site Habitat Baseline'!$D$1:$O$258,6,FALSE)),"",(VLOOKUP($E166,'A-1 On-Site Habitat Baseline'!$D$1:$O$258,6,FALSE))))</f>
        <v/>
      </c>
      <c r="I166" s="310" t="str">
        <f>IF(E166="","",IF(ISNA(VLOOKUP($E166,'A-1 On-Site Habitat Baseline'!$D$1:$O$258,7,FALSE)),"",(VLOOKUP($E166,'A-1 On-Site Habitat Baseline'!$D$1:$O$258,7,FALSE))))</f>
        <v/>
      </c>
      <c r="J166" s="310" t="str">
        <f>IF(E166="","",IF(ISNA(VLOOKUP($E166,'A-1 On-Site Habitat Baseline'!$D$1:$O$258,8,FALSE)),"",(VLOOKUP($E166,'A-1 On-Site Habitat Baseline'!$D$1:$O$258,8,FALSE))))</f>
        <v/>
      </c>
      <c r="K166" s="310" t="str">
        <f>IF(E166="","",IF(ISNA(VLOOKUP($E166,'A-1 On-Site Habitat Baseline'!$D$1:$O$258,9,FALSE)),"",(VLOOKUP($E166,'A-1 On-Site Habitat Baseline'!$D$1:$O$258,9,FALSE))))</f>
        <v/>
      </c>
      <c r="L166" s="310" t="str">
        <f>IF(E166="","",IF(ISNA(VLOOKUP($E166,'A-1 On-Site Habitat Baseline'!$D$1:$O$258,11,FALSE)),"",(VLOOKUP($E166,'A-1 On-Site Habitat Baseline'!$D$1:$O$258,11,FALSE))))</f>
        <v/>
      </c>
      <c r="M166" s="310" t="str">
        <f>IF(E166="","",IF(ISNA(VLOOKUP($E166,'A-1 On-Site Habitat Baseline'!$D$1:$O$258,12,FALSE)),"",(VLOOKUP($E166,'A-1 On-Site Habitat Baseline'!$D$1:$O$258,12,FALSE))))</f>
        <v/>
      </c>
      <c r="N166" s="320" t="str">
        <f>IF(E166="","",IF(ISNA(VLOOKUP($E166,'A-1 On-Site Habitat Baseline'!$D$1:$X$258,14,FALSE)),"",(VLOOKUP($E166,'A-1 On-Site Habitat Baseline'!$D$1:$X$258,14,FALSE))))</f>
        <v/>
      </c>
      <c r="O166" s="314" t="str">
        <f>IF(E166="","",IF(ISNA(VLOOKUP($E166,'A-1 On-Site Habitat Baseline'!$D$1:$X$258,16,FALSE)),"",(VLOOKUP($E166,'A-1 On-Site Habitat Baseline'!$D$1:$X$258,13,FALSE))))</f>
        <v/>
      </c>
      <c r="P166" s="161" t="str">
        <f>IFERROR(INDEX('G-1 All Habitats'!$AG$49:$AG$63,MATCH(Q166,'G-1 All Habitats'!$AF$27:$AF$41,0)),"")</f>
        <v/>
      </c>
      <c r="Q166" s="162" t="str">
        <f t="shared" si="24"/>
        <v/>
      </c>
      <c r="R166" s="162"/>
      <c r="S166" s="252" t="str">
        <f>IFERROR(INDEX('G-1 All Habitats'!$B$3:$B$135,MATCH(R166,'G-1 All Habitats'!$A$3:$A$135,0)),"")</f>
        <v/>
      </c>
      <c r="T166" s="290" t="str">
        <f t="shared" si="25"/>
        <v/>
      </c>
      <c r="U166" s="291" t="str">
        <f t="shared" si="26"/>
        <v/>
      </c>
      <c r="V166" s="325" t="str">
        <f t="shared" si="22"/>
        <v/>
      </c>
      <c r="W166" s="310" t="str">
        <f>IF(S166="","",VLOOKUP(S166,'G-1 All Habitats'!$B$2:$M$135,10,FALSE))</f>
        <v/>
      </c>
      <c r="X166" s="310" t="str">
        <f>IFERROR(VLOOKUP(W166,'G-1 All Habitats'!$V$3:$W$7,2,FALSE),"")</f>
        <v/>
      </c>
      <c r="Y166" s="45"/>
      <c r="Z166" s="314" t="str">
        <f>IFERROR(INDEX('G-8 Condition Look up'!$A$3:$H$135,MATCH(S166,'G-8 Condition Look up'!$A$3:$A$135,0),MATCH(Y166,'G-8 Condition Look up'!$A$3:$H$3,0)),"")</f>
        <v/>
      </c>
      <c r="AA166" s="38"/>
      <c r="AB166" s="310" t="str">
        <f>IF(AA166="","",IF(VLOOKUP(AA166,'G-3 Multipliers'!$L$3:$N$6,2,FALSE)=0,"Spatial Data Missing ⚠",VLOOKUP(AA166,'G-3 Multipliers'!$L$3:$N$6,2,FALSE)))</f>
        <v/>
      </c>
      <c r="AC166" s="314" t="str">
        <f>IF(AA166="","",IF(VLOOKUP(AA166,'G-3 Multipliers'!$L$3:$N$6,3,FALSE)=0,"Spatial Data Missing ⚠",VLOOKUP(AA166,'G-3 Multipliers'!$L$3:$N$6,3,FALSE)))</f>
        <v/>
      </c>
      <c r="AD166" s="327" t="str">
        <f t="shared" si="23"/>
        <v/>
      </c>
      <c r="AE166" s="47"/>
      <c r="AF166" s="47"/>
      <c r="AG166" s="298" t="str">
        <f t="shared" si="27"/>
        <v/>
      </c>
      <c r="AH166" s="311" t="str">
        <f t="shared" si="28"/>
        <v/>
      </c>
      <c r="AI166" s="312" t="str">
        <f>IF(AH166="Check Data","Check Data",IFERROR(VLOOKUP(AH166,'G-4 Temporal multipliers'!$A$4:$C$36,3,FALSE),""))</f>
        <v/>
      </c>
      <c r="AJ166" s="290" t="str">
        <f>IF(S166="","",VLOOKUP(S166,'G-3 Multipliers'!$A$2:$E$134,4,FALSE))</f>
        <v/>
      </c>
      <c r="AK166" s="298" t="str">
        <f t="shared" si="29"/>
        <v/>
      </c>
      <c r="AL166" s="298" t="str">
        <f t="shared" si="30"/>
        <v/>
      </c>
      <c r="AM166" s="328" t="str">
        <f>IFERROR(IF(F166="","",IF(AH166="Check Data ⚠","Check Data ⚠",VLOOKUP(AL166, 'G-3 Multipliers'!$P$2:$Q$6,2,FALSE))),"")</f>
        <v/>
      </c>
      <c r="AN166" s="304" t="str">
        <f t="shared" si="31"/>
        <v/>
      </c>
      <c r="AO166" s="163"/>
      <c r="AP166" s="164"/>
      <c r="AQ166" s="101"/>
      <c r="AT166" s="20" t="str">
        <f t="shared" si="32"/>
        <v>No</v>
      </c>
      <c r="AU166" s="20" t="str">
        <f>IF(E166="","",IF(ISNA(VLOOKUP($E166,'A-1 On-Site Habitat Baseline'!$D$1:$AV$258,4,FALSE)),"",(VLOOKUP($E166,'A-1 On-Site Habitat Baseline'!$D$1:$AV$258,4,FALSE))))</f>
        <v/>
      </c>
    </row>
    <row r="167" spans="1:47" x14ac:dyDescent="0.3">
      <c r="A167" s="20" t="str">
        <f>IF(E167="","",IF(ISNA(VLOOKUP($E167,'A-1 On-Site Habitat Baseline'!$D$1:$O$258,2,FALSE)),"",(VLOOKUP($E167,'A-1 On-Site Habitat Baseline'!$D$1:$O$258,2,FALSE))))</f>
        <v/>
      </c>
      <c r="B167" s="20" t="str">
        <f>IF(E167="","",IF(ISNA(VLOOKUP($E167,'A-1 On-Site Habitat Baseline'!$D$1:$O$258,3,FALSE)),"",(VLOOKUP($E167,'A-1 On-Site Habitat Baseline'!$D$1:$O$258,3,FALSE))))</f>
        <v/>
      </c>
      <c r="C167" s="20" t="str">
        <f>IFERROR(INDEX('G-8 Condition Look up'!$I$4:$I$135,MATCH(S167,'G-8 Condition Look up'!$A$4:$A$135,0)),"")</f>
        <v/>
      </c>
      <c r="E167" s="319" t="str">
        <f>'A-1 On-Site Habitat Baseline'!AL166</f>
        <v/>
      </c>
      <c r="F167" s="310" t="str">
        <f>IF(E167="","",IF(ISNA(VLOOKUP($E167,'A-1 On-Site Habitat Baseline'!$D$1:$AV$258,45,FALSE)),"",(VLOOKUP($E167,'A-1 On-Site Habitat Baseline'!$D$1:$AV$258,45,FALSE))))</f>
        <v/>
      </c>
      <c r="G167" s="310" t="str">
        <f>IF(E167="","",IF(ISNA(VLOOKUP($E167,'A-1 On-Site Habitat Baseline'!$D$1:$O$258,5,FALSE)),"",(VLOOKUP($E167,'A-1 On-Site Habitat Baseline'!$D$1:$O$258,5,FALSE))))</f>
        <v/>
      </c>
      <c r="H167" s="310" t="str">
        <f>IF(E167="","",IF(ISNA(VLOOKUP($E167,'A-1 On-Site Habitat Baseline'!$D$1:$O$258,6,FALSE)),"",(VLOOKUP($E167,'A-1 On-Site Habitat Baseline'!$D$1:$O$258,6,FALSE))))</f>
        <v/>
      </c>
      <c r="I167" s="310" t="str">
        <f>IF(E167="","",IF(ISNA(VLOOKUP($E167,'A-1 On-Site Habitat Baseline'!$D$1:$O$258,7,FALSE)),"",(VLOOKUP($E167,'A-1 On-Site Habitat Baseline'!$D$1:$O$258,7,FALSE))))</f>
        <v/>
      </c>
      <c r="J167" s="310" t="str">
        <f>IF(E167="","",IF(ISNA(VLOOKUP($E167,'A-1 On-Site Habitat Baseline'!$D$1:$O$258,8,FALSE)),"",(VLOOKUP($E167,'A-1 On-Site Habitat Baseline'!$D$1:$O$258,8,FALSE))))</f>
        <v/>
      </c>
      <c r="K167" s="310" t="str">
        <f>IF(E167="","",IF(ISNA(VLOOKUP($E167,'A-1 On-Site Habitat Baseline'!$D$1:$O$258,9,FALSE)),"",(VLOOKUP($E167,'A-1 On-Site Habitat Baseline'!$D$1:$O$258,9,FALSE))))</f>
        <v/>
      </c>
      <c r="L167" s="310" t="str">
        <f>IF(E167="","",IF(ISNA(VLOOKUP($E167,'A-1 On-Site Habitat Baseline'!$D$1:$O$258,11,FALSE)),"",(VLOOKUP($E167,'A-1 On-Site Habitat Baseline'!$D$1:$O$258,11,FALSE))))</f>
        <v/>
      </c>
      <c r="M167" s="310" t="str">
        <f>IF(E167="","",IF(ISNA(VLOOKUP($E167,'A-1 On-Site Habitat Baseline'!$D$1:$O$258,12,FALSE)),"",(VLOOKUP($E167,'A-1 On-Site Habitat Baseline'!$D$1:$O$258,12,FALSE))))</f>
        <v/>
      </c>
      <c r="N167" s="320" t="str">
        <f>IF(E167="","",IF(ISNA(VLOOKUP($E167,'A-1 On-Site Habitat Baseline'!$D$1:$X$258,14,FALSE)),"",(VLOOKUP($E167,'A-1 On-Site Habitat Baseline'!$D$1:$X$258,14,FALSE))))</f>
        <v/>
      </c>
      <c r="O167" s="314" t="str">
        <f>IF(E167="","",IF(ISNA(VLOOKUP($E167,'A-1 On-Site Habitat Baseline'!$D$1:$X$258,16,FALSE)),"",(VLOOKUP($E167,'A-1 On-Site Habitat Baseline'!$D$1:$X$258,13,FALSE))))</f>
        <v/>
      </c>
      <c r="P167" s="161" t="str">
        <f>IFERROR(INDEX('G-1 All Habitats'!$AG$49:$AG$63,MATCH(Q167,'G-1 All Habitats'!$AF$27:$AF$41,0)),"")</f>
        <v/>
      </c>
      <c r="Q167" s="162" t="str">
        <f t="shared" si="24"/>
        <v/>
      </c>
      <c r="R167" s="162"/>
      <c r="S167" s="252" t="str">
        <f>IFERROR(INDEX('G-1 All Habitats'!$B$3:$B$135,MATCH(R167,'G-1 All Habitats'!$A$3:$A$135,0)),"")</f>
        <v/>
      </c>
      <c r="T167" s="290" t="str">
        <f t="shared" si="25"/>
        <v/>
      </c>
      <c r="U167" s="291" t="str">
        <f t="shared" si="26"/>
        <v/>
      </c>
      <c r="V167" s="325" t="str">
        <f t="shared" si="22"/>
        <v/>
      </c>
      <c r="W167" s="310" t="str">
        <f>IF(S167="","",VLOOKUP(S167,'G-1 All Habitats'!$B$2:$M$135,10,FALSE))</f>
        <v/>
      </c>
      <c r="X167" s="310" t="str">
        <f>IFERROR(VLOOKUP(W167,'G-1 All Habitats'!$V$3:$W$7,2,FALSE),"")</f>
        <v/>
      </c>
      <c r="Y167" s="45"/>
      <c r="Z167" s="314" t="str">
        <f>IFERROR(INDEX('G-8 Condition Look up'!$A$3:$H$135,MATCH(S167,'G-8 Condition Look up'!$A$3:$A$135,0),MATCH(Y167,'G-8 Condition Look up'!$A$3:$H$3,0)),"")</f>
        <v/>
      </c>
      <c r="AA167" s="38"/>
      <c r="AB167" s="310" t="str">
        <f>IF(AA167="","",IF(VLOOKUP(AA167,'G-3 Multipliers'!$L$3:$N$6,2,FALSE)=0,"Spatial Data Missing ⚠",VLOOKUP(AA167,'G-3 Multipliers'!$L$3:$N$6,2,FALSE)))</f>
        <v/>
      </c>
      <c r="AC167" s="314" t="str">
        <f>IF(AA167="","",IF(VLOOKUP(AA167,'G-3 Multipliers'!$L$3:$N$6,3,FALSE)=0,"Spatial Data Missing ⚠",VLOOKUP(AA167,'G-3 Multipliers'!$L$3:$N$6,3,FALSE)))</f>
        <v/>
      </c>
      <c r="AD167" s="327" t="str">
        <f t="shared" si="23"/>
        <v/>
      </c>
      <c r="AE167" s="47"/>
      <c r="AF167" s="47"/>
      <c r="AG167" s="298" t="str">
        <f t="shared" si="27"/>
        <v/>
      </c>
      <c r="AH167" s="311" t="str">
        <f t="shared" si="28"/>
        <v/>
      </c>
      <c r="AI167" s="312" t="str">
        <f>IF(AH167="Check Data","Check Data",IFERROR(VLOOKUP(AH167,'G-4 Temporal multipliers'!$A$4:$C$36,3,FALSE),""))</f>
        <v/>
      </c>
      <c r="AJ167" s="290" t="str">
        <f>IF(S167="","",VLOOKUP(S167,'G-3 Multipliers'!$A$2:$E$134,4,FALSE))</f>
        <v/>
      </c>
      <c r="AK167" s="298" t="str">
        <f t="shared" si="29"/>
        <v/>
      </c>
      <c r="AL167" s="298" t="str">
        <f t="shared" si="30"/>
        <v/>
      </c>
      <c r="AM167" s="328" t="str">
        <f>IFERROR(IF(F167="","",IF(AH167="Check Data ⚠","Check Data ⚠",VLOOKUP(AL167, 'G-3 Multipliers'!$P$2:$Q$6,2,FALSE))),"")</f>
        <v/>
      </c>
      <c r="AN167" s="304" t="str">
        <f t="shared" si="31"/>
        <v/>
      </c>
      <c r="AO167" s="163"/>
      <c r="AP167" s="164"/>
      <c r="AQ167" s="101"/>
      <c r="AT167" s="20" t="str">
        <f t="shared" si="32"/>
        <v>No</v>
      </c>
      <c r="AU167" s="20" t="str">
        <f>IF(E167="","",IF(ISNA(VLOOKUP($E167,'A-1 On-Site Habitat Baseline'!$D$1:$AV$258,4,FALSE)),"",(VLOOKUP($E167,'A-1 On-Site Habitat Baseline'!$D$1:$AV$258,4,FALSE))))</f>
        <v/>
      </c>
    </row>
    <row r="168" spans="1:47" x14ac:dyDescent="0.3">
      <c r="A168" s="20" t="str">
        <f>IF(E168="","",IF(ISNA(VLOOKUP($E168,'A-1 On-Site Habitat Baseline'!$D$1:$O$258,2,FALSE)),"",(VLOOKUP($E168,'A-1 On-Site Habitat Baseline'!$D$1:$O$258,2,FALSE))))</f>
        <v/>
      </c>
      <c r="B168" s="20" t="str">
        <f>IF(E168="","",IF(ISNA(VLOOKUP($E168,'A-1 On-Site Habitat Baseline'!$D$1:$O$258,3,FALSE)),"",(VLOOKUP($E168,'A-1 On-Site Habitat Baseline'!$D$1:$O$258,3,FALSE))))</f>
        <v/>
      </c>
      <c r="C168" s="20" t="str">
        <f>IFERROR(INDEX('G-8 Condition Look up'!$I$4:$I$135,MATCH(S168,'G-8 Condition Look up'!$A$4:$A$135,0)),"")</f>
        <v/>
      </c>
      <c r="E168" s="319" t="str">
        <f>'A-1 On-Site Habitat Baseline'!AL167</f>
        <v/>
      </c>
      <c r="F168" s="310" t="str">
        <f>IF(E168="","",IF(ISNA(VLOOKUP($E168,'A-1 On-Site Habitat Baseline'!$D$1:$AV$258,45,FALSE)),"",(VLOOKUP($E168,'A-1 On-Site Habitat Baseline'!$D$1:$AV$258,45,FALSE))))</f>
        <v/>
      </c>
      <c r="G168" s="310" t="str">
        <f>IF(E168="","",IF(ISNA(VLOOKUP($E168,'A-1 On-Site Habitat Baseline'!$D$1:$O$258,5,FALSE)),"",(VLOOKUP($E168,'A-1 On-Site Habitat Baseline'!$D$1:$O$258,5,FALSE))))</f>
        <v/>
      </c>
      <c r="H168" s="310" t="str">
        <f>IF(E168="","",IF(ISNA(VLOOKUP($E168,'A-1 On-Site Habitat Baseline'!$D$1:$O$258,6,FALSE)),"",(VLOOKUP($E168,'A-1 On-Site Habitat Baseline'!$D$1:$O$258,6,FALSE))))</f>
        <v/>
      </c>
      <c r="I168" s="310" t="str">
        <f>IF(E168="","",IF(ISNA(VLOOKUP($E168,'A-1 On-Site Habitat Baseline'!$D$1:$O$258,7,FALSE)),"",(VLOOKUP($E168,'A-1 On-Site Habitat Baseline'!$D$1:$O$258,7,FALSE))))</f>
        <v/>
      </c>
      <c r="J168" s="310" t="str">
        <f>IF(E168="","",IF(ISNA(VLOOKUP($E168,'A-1 On-Site Habitat Baseline'!$D$1:$O$258,8,FALSE)),"",(VLOOKUP($E168,'A-1 On-Site Habitat Baseline'!$D$1:$O$258,8,FALSE))))</f>
        <v/>
      </c>
      <c r="K168" s="310" t="str">
        <f>IF(E168="","",IF(ISNA(VLOOKUP($E168,'A-1 On-Site Habitat Baseline'!$D$1:$O$258,9,FALSE)),"",(VLOOKUP($E168,'A-1 On-Site Habitat Baseline'!$D$1:$O$258,9,FALSE))))</f>
        <v/>
      </c>
      <c r="L168" s="310" t="str">
        <f>IF(E168="","",IF(ISNA(VLOOKUP($E168,'A-1 On-Site Habitat Baseline'!$D$1:$O$258,11,FALSE)),"",(VLOOKUP($E168,'A-1 On-Site Habitat Baseline'!$D$1:$O$258,11,FALSE))))</f>
        <v/>
      </c>
      <c r="M168" s="310" t="str">
        <f>IF(E168="","",IF(ISNA(VLOOKUP($E168,'A-1 On-Site Habitat Baseline'!$D$1:$O$258,12,FALSE)),"",(VLOOKUP($E168,'A-1 On-Site Habitat Baseline'!$D$1:$O$258,12,FALSE))))</f>
        <v/>
      </c>
      <c r="N168" s="320" t="str">
        <f>IF(E168="","",IF(ISNA(VLOOKUP($E168,'A-1 On-Site Habitat Baseline'!$D$1:$X$258,14,FALSE)),"",(VLOOKUP($E168,'A-1 On-Site Habitat Baseline'!$D$1:$X$258,14,FALSE))))</f>
        <v/>
      </c>
      <c r="O168" s="314" t="str">
        <f>IF(E168="","",IF(ISNA(VLOOKUP($E168,'A-1 On-Site Habitat Baseline'!$D$1:$X$258,16,FALSE)),"",(VLOOKUP($E168,'A-1 On-Site Habitat Baseline'!$D$1:$X$258,13,FALSE))))</f>
        <v/>
      </c>
      <c r="P168" s="161" t="str">
        <f>IFERROR(INDEX('G-1 All Habitats'!$AG$49:$AG$63,MATCH(Q168,'G-1 All Habitats'!$AF$27:$AF$41,0)),"")</f>
        <v/>
      </c>
      <c r="Q168" s="162" t="str">
        <f t="shared" si="24"/>
        <v/>
      </c>
      <c r="R168" s="162"/>
      <c r="S168" s="252" t="str">
        <f>IFERROR(INDEX('G-1 All Habitats'!$B$3:$B$135,MATCH(R168,'G-1 All Habitats'!$A$3:$A$135,0)),"")</f>
        <v/>
      </c>
      <c r="T168" s="290" t="str">
        <f t="shared" si="25"/>
        <v/>
      </c>
      <c r="U168" s="291" t="str">
        <f t="shared" si="26"/>
        <v/>
      </c>
      <c r="V168" s="325" t="str">
        <f t="shared" si="22"/>
        <v/>
      </c>
      <c r="W168" s="310" t="str">
        <f>IF(S168="","",VLOOKUP(S168,'G-1 All Habitats'!$B$2:$M$135,10,FALSE))</f>
        <v/>
      </c>
      <c r="X168" s="310" t="str">
        <f>IFERROR(VLOOKUP(W168,'G-1 All Habitats'!$V$3:$W$7,2,FALSE),"")</f>
        <v/>
      </c>
      <c r="Y168" s="45"/>
      <c r="Z168" s="314" t="str">
        <f>IFERROR(INDEX('G-8 Condition Look up'!$A$3:$H$135,MATCH(S168,'G-8 Condition Look up'!$A$3:$A$135,0),MATCH(Y168,'G-8 Condition Look up'!$A$3:$H$3,0)),"")</f>
        <v/>
      </c>
      <c r="AA168" s="38"/>
      <c r="AB168" s="310" t="str">
        <f>IF(AA168="","",IF(VLOOKUP(AA168,'G-3 Multipliers'!$L$3:$N$6,2,FALSE)=0,"Spatial Data Missing ⚠",VLOOKUP(AA168,'G-3 Multipliers'!$L$3:$N$6,2,FALSE)))</f>
        <v/>
      </c>
      <c r="AC168" s="314" t="str">
        <f>IF(AA168="","",IF(VLOOKUP(AA168,'G-3 Multipliers'!$L$3:$N$6,3,FALSE)=0,"Spatial Data Missing ⚠",VLOOKUP(AA168,'G-3 Multipliers'!$L$3:$N$6,3,FALSE)))</f>
        <v/>
      </c>
      <c r="AD168" s="327" t="str">
        <f t="shared" si="23"/>
        <v/>
      </c>
      <c r="AE168" s="47"/>
      <c r="AF168" s="47"/>
      <c r="AG168" s="298" t="str">
        <f t="shared" si="27"/>
        <v/>
      </c>
      <c r="AH168" s="311" t="str">
        <f t="shared" si="28"/>
        <v/>
      </c>
      <c r="AI168" s="312" t="str">
        <f>IF(AH168="Check Data","Check Data",IFERROR(VLOOKUP(AH168,'G-4 Temporal multipliers'!$A$4:$C$36,3,FALSE),""))</f>
        <v/>
      </c>
      <c r="AJ168" s="290" t="str">
        <f>IF(S168="","",VLOOKUP(S168,'G-3 Multipliers'!$A$2:$E$134,4,FALSE))</f>
        <v/>
      </c>
      <c r="AK168" s="298" t="str">
        <f t="shared" si="29"/>
        <v/>
      </c>
      <c r="AL168" s="298" t="str">
        <f t="shared" si="30"/>
        <v/>
      </c>
      <c r="AM168" s="328" t="str">
        <f>IFERROR(IF(F168="","",IF(AH168="Check Data ⚠","Check Data ⚠",VLOOKUP(AL168, 'G-3 Multipliers'!$P$2:$Q$6,2,FALSE))),"")</f>
        <v/>
      </c>
      <c r="AN168" s="304" t="str">
        <f t="shared" si="31"/>
        <v/>
      </c>
      <c r="AO168" s="163"/>
      <c r="AP168" s="164"/>
      <c r="AQ168" s="101"/>
      <c r="AT168" s="20" t="str">
        <f t="shared" si="32"/>
        <v>No</v>
      </c>
      <c r="AU168" s="20" t="str">
        <f>IF(E168="","",IF(ISNA(VLOOKUP($E168,'A-1 On-Site Habitat Baseline'!$D$1:$AV$258,4,FALSE)),"",(VLOOKUP($E168,'A-1 On-Site Habitat Baseline'!$D$1:$AV$258,4,FALSE))))</f>
        <v/>
      </c>
    </row>
    <row r="169" spans="1:47" x14ac:dyDescent="0.3">
      <c r="A169" s="20" t="str">
        <f>IF(E169="","",IF(ISNA(VLOOKUP($E169,'A-1 On-Site Habitat Baseline'!$D$1:$O$258,2,FALSE)),"",(VLOOKUP($E169,'A-1 On-Site Habitat Baseline'!$D$1:$O$258,2,FALSE))))</f>
        <v/>
      </c>
      <c r="B169" s="20" t="str">
        <f>IF(E169="","",IF(ISNA(VLOOKUP($E169,'A-1 On-Site Habitat Baseline'!$D$1:$O$258,3,FALSE)),"",(VLOOKUP($E169,'A-1 On-Site Habitat Baseline'!$D$1:$O$258,3,FALSE))))</f>
        <v/>
      </c>
      <c r="C169" s="20" t="str">
        <f>IFERROR(INDEX('G-8 Condition Look up'!$I$4:$I$135,MATCH(S169,'G-8 Condition Look up'!$A$4:$A$135,0)),"")</f>
        <v/>
      </c>
      <c r="E169" s="319" t="str">
        <f>'A-1 On-Site Habitat Baseline'!AL168</f>
        <v/>
      </c>
      <c r="F169" s="310" t="str">
        <f>IF(E169="","",IF(ISNA(VLOOKUP($E169,'A-1 On-Site Habitat Baseline'!$D$1:$AV$258,45,FALSE)),"",(VLOOKUP($E169,'A-1 On-Site Habitat Baseline'!$D$1:$AV$258,45,FALSE))))</f>
        <v/>
      </c>
      <c r="G169" s="310" t="str">
        <f>IF(E169="","",IF(ISNA(VLOOKUP($E169,'A-1 On-Site Habitat Baseline'!$D$1:$O$258,5,FALSE)),"",(VLOOKUP($E169,'A-1 On-Site Habitat Baseline'!$D$1:$O$258,5,FALSE))))</f>
        <v/>
      </c>
      <c r="H169" s="310" t="str">
        <f>IF(E169="","",IF(ISNA(VLOOKUP($E169,'A-1 On-Site Habitat Baseline'!$D$1:$O$258,6,FALSE)),"",(VLOOKUP($E169,'A-1 On-Site Habitat Baseline'!$D$1:$O$258,6,FALSE))))</f>
        <v/>
      </c>
      <c r="I169" s="310" t="str">
        <f>IF(E169="","",IF(ISNA(VLOOKUP($E169,'A-1 On-Site Habitat Baseline'!$D$1:$O$258,7,FALSE)),"",(VLOOKUP($E169,'A-1 On-Site Habitat Baseline'!$D$1:$O$258,7,FALSE))))</f>
        <v/>
      </c>
      <c r="J169" s="310" t="str">
        <f>IF(E169="","",IF(ISNA(VLOOKUP($E169,'A-1 On-Site Habitat Baseline'!$D$1:$O$258,8,FALSE)),"",(VLOOKUP($E169,'A-1 On-Site Habitat Baseline'!$D$1:$O$258,8,FALSE))))</f>
        <v/>
      </c>
      <c r="K169" s="310" t="str">
        <f>IF(E169="","",IF(ISNA(VLOOKUP($E169,'A-1 On-Site Habitat Baseline'!$D$1:$O$258,9,FALSE)),"",(VLOOKUP($E169,'A-1 On-Site Habitat Baseline'!$D$1:$O$258,9,FALSE))))</f>
        <v/>
      </c>
      <c r="L169" s="310" t="str">
        <f>IF(E169="","",IF(ISNA(VLOOKUP($E169,'A-1 On-Site Habitat Baseline'!$D$1:$O$258,11,FALSE)),"",(VLOOKUP($E169,'A-1 On-Site Habitat Baseline'!$D$1:$O$258,11,FALSE))))</f>
        <v/>
      </c>
      <c r="M169" s="310" t="str">
        <f>IF(E169="","",IF(ISNA(VLOOKUP($E169,'A-1 On-Site Habitat Baseline'!$D$1:$O$258,12,FALSE)),"",(VLOOKUP($E169,'A-1 On-Site Habitat Baseline'!$D$1:$O$258,12,FALSE))))</f>
        <v/>
      </c>
      <c r="N169" s="320" t="str">
        <f>IF(E169="","",IF(ISNA(VLOOKUP($E169,'A-1 On-Site Habitat Baseline'!$D$1:$X$258,14,FALSE)),"",(VLOOKUP($E169,'A-1 On-Site Habitat Baseline'!$D$1:$X$258,14,FALSE))))</f>
        <v/>
      </c>
      <c r="O169" s="314" t="str">
        <f>IF(E169="","",IF(ISNA(VLOOKUP($E169,'A-1 On-Site Habitat Baseline'!$D$1:$X$258,16,FALSE)),"",(VLOOKUP($E169,'A-1 On-Site Habitat Baseline'!$D$1:$X$258,13,FALSE))))</f>
        <v/>
      </c>
      <c r="P169" s="161" t="str">
        <f>IFERROR(INDEX('G-1 All Habitats'!$AG$49:$AG$63,MATCH(Q169,'G-1 All Habitats'!$AF$27:$AF$41,0)),"")</f>
        <v/>
      </c>
      <c r="Q169" s="162" t="str">
        <f t="shared" si="24"/>
        <v/>
      </c>
      <c r="R169" s="162"/>
      <c r="S169" s="252" t="str">
        <f>IFERROR(INDEX('G-1 All Habitats'!$B$3:$B$135,MATCH(R169,'G-1 All Habitats'!$A$3:$A$135,0)),"")</f>
        <v/>
      </c>
      <c r="T169" s="290" t="str">
        <f t="shared" si="25"/>
        <v/>
      </c>
      <c r="U169" s="291" t="str">
        <f t="shared" si="26"/>
        <v/>
      </c>
      <c r="V169" s="325" t="str">
        <f t="shared" si="22"/>
        <v/>
      </c>
      <c r="W169" s="310" t="str">
        <f>IF(S169="","",VLOOKUP(S169,'G-1 All Habitats'!$B$2:$M$135,10,FALSE))</f>
        <v/>
      </c>
      <c r="X169" s="310" t="str">
        <f>IFERROR(VLOOKUP(W169,'G-1 All Habitats'!$V$3:$W$7,2,FALSE),"")</f>
        <v/>
      </c>
      <c r="Y169" s="45"/>
      <c r="Z169" s="314" t="str">
        <f>IFERROR(INDEX('G-8 Condition Look up'!$A$3:$H$135,MATCH(S169,'G-8 Condition Look up'!$A$3:$A$135,0),MATCH(Y169,'G-8 Condition Look up'!$A$3:$H$3,0)),"")</f>
        <v/>
      </c>
      <c r="AA169" s="38"/>
      <c r="AB169" s="310" t="str">
        <f>IF(AA169="","",IF(VLOOKUP(AA169,'G-3 Multipliers'!$L$3:$N$6,2,FALSE)=0,"Spatial Data Missing ⚠",VLOOKUP(AA169,'G-3 Multipliers'!$L$3:$N$6,2,FALSE)))</f>
        <v/>
      </c>
      <c r="AC169" s="314" t="str">
        <f>IF(AA169="","",IF(VLOOKUP(AA169,'G-3 Multipliers'!$L$3:$N$6,3,FALSE)=0,"Spatial Data Missing ⚠",VLOOKUP(AA169,'G-3 Multipliers'!$L$3:$N$6,3,FALSE)))</f>
        <v/>
      </c>
      <c r="AD169" s="327" t="str">
        <f t="shared" si="23"/>
        <v/>
      </c>
      <c r="AE169" s="47"/>
      <c r="AF169" s="47"/>
      <c r="AG169" s="298" t="str">
        <f t="shared" si="27"/>
        <v/>
      </c>
      <c r="AH169" s="311" t="str">
        <f t="shared" si="28"/>
        <v/>
      </c>
      <c r="AI169" s="312" t="str">
        <f>IF(AH169="Check Data","Check Data",IFERROR(VLOOKUP(AH169,'G-4 Temporal multipliers'!$A$4:$C$36,3,FALSE),""))</f>
        <v/>
      </c>
      <c r="AJ169" s="290" t="str">
        <f>IF(S169="","",VLOOKUP(S169,'G-3 Multipliers'!$A$2:$E$134,4,FALSE))</f>
        <v/>
      </c>
      <c r="AK169" s="298" t="str">
        <f t="shared" si="29"/>
        <v/>
      </c>
      <c r="AL169" s="298" t="str">
        <f t="shared" si="30"/>
        <v/>
      </c>
      <c r="AM169" s="328" t="str">
        <f>IFERROR(IF(F169="","",IF(AH169="Check Data ⚠","Check Data ⚠",VLOOKUP(AL169, 'G-3 Multipliers'!$P$2:$Q$6,2,FALSE))),"")</f>
        <v/>
      </c>
      <c r="AN169" s="304" t="str">
        <f t="shared" si="31"/>
        <v/>
      </c>
      <c r="AO169" s="163"/>
      <c r="AP169" s="164"/>
      <c r="AQ169" s="101"/>
      <c r="AT169" s="20" t="str">
        <f t="shared" si="32"/>
        <v>No</v>
      </c>
      <c r="AU169" s="20" t="str">
        <f>IF(E169="","",IF(ISNA(VLOOKUP($E169,'A-1 On-Site Habitat Baseline'!$D$1:$AV$258,4,FALSE)),"",(VLOOKUP($E169,'A-1 On-Site Habitat Baseline'!$D$1:$AV$258,4,FALSE))))</f>
        <v/>
      </c>
    </row>
    <row r="170" spans="1:47" x14ac:dyDescent="0.3">
      <c r="A170" s="20" t="str">
        <f>IF(E170="","",IF(ISNA(VLOOKUP($E170,'A-1 On-Site Habitat Baseline'!$D$1:$O$258,2,FALSE)),"",(VLOOKUP($E170,'A-1 On-Site Habitat Baseline'!$D$1:$O$258,2,FALSE))))</f>
        <v/>
      </c>
      <c r="B170" s="20" t="str">
        <f>IF(E170="","",IF(ISNA(VLOOKUP($E170,'A-1 On-Site Habitat Baseline'!$D$1:$O$258,3,FALSE)),"",(VLOOKUP($E170,'A-1 On-Site Habitat Baseline'!$D$1:$O$258,3,FALSE))))</f>
        <v/>
      </c>
      <c r="C170" s="20" t="str">
        <f>IFERROR(INDEX('G-8 Condition Look up'!$I$4:$I$135,MATCH(S170,'G-8 Condition Look up'!$A$4:$A$135,0)),"")</f>
        <v/>
      </c>
      <c r="E170" s="319" t="str">
        <f>'A-1 On-Site Habitat Baseline'!AL169</f>
        <v/>
      </c>
      <c r="F170" s="310" t="str">
        <f>IF(E170="","",IF(ISNA(VLOOKUP($E170,'A-1 On-Site Habitat Baseline'!$D$1:$AV$258,45,FALSE)),"",(VLOOKUP($E170,'A-1 On-Site Habitat Baseline'!$D$1:$AV$258,45,FALSE))))</f>
        <v/>
      </c>
      <c r="G170" s="310" t="str">
        <f>IF(E170="","",IF(ISNA(VLOOKUP($E170,'A-1 On-Site Habitat Baseline'!$D$1:$O$258,5,FALSE)),"",(VLOOKUP($E170,'A-1 On-Site Habitat Baseline'!$D$1:$O$258,5,FALSE))))</f>
        <v/>
      </c>
      <c r="H170" s="310" t="str">
        <f>IF(E170="","",IF(ISNA(VLOOKUP($E170,'A-1 On-Site Habitat Baseline'!$D$1:$O$258,6,FALSE)),"",(VLOOKUP($E170,'A-1 On-Site Habitat Baseline'!$D$1:$O$258,6,FALSE))))</f>
        <v/>
      </c>
      <c r="I170" s="310" t="str">
        <f>IF(E170="","",IF(ISNA(VLOOKUP($E170,'A-1 On-Site Habitat Baseline'!$D$1:$O$258,7,FALSE)),"",(VLOOKUP($E170,'A-1 On-Site Habitat Baseline'!$D$1:$O$258,7,FALSE))))</f>
        <v/>
      </c>
      <c r="J170" s="310" t="str">
        <f>IF(E170="","",IF(ISNA(VLOOKUP($E170,'A-1 On-Site Habitat Baseline'!$D$1:$O$258,8,FALSE)),"",(VLOOKUP($E170,'A-1 On-Site Habitat Baseline'!$D$1:$O$258,8,FALSE))))</f>
        <v/>
      </c>
      <c r="K170" s="310" t="str">
        <f>IF(E170="","",IF(ISNA(VLOOKUP($E170,'A-1 On-Site Habitat Baseline'!$D$1:$O$258,9,FALSE)),"",(VLOOKUP($E170,'A-1 On-Site Habitat Baseline'!$D$1:$O$258,9,FALSE))))</f>
        <v/>
      </c>
      <c r="L170" s="310" t="str">
        <f>IF(E170="","",IF(ISNA(VLOOKUP($E170,'A-1 On-Site Habitat Baseline'!$D$1:$O$258,11,FALSE)),"",(VLOOKUP($E170,'A-1 On-Site Habitat Baseline'!$D$1:$O$258,11,FALSE))))</f>
        <v/>
      </c>
      <c r="M170" s="310" t="str">
        <f>IF(E170="","",IF(ISNA(VLOOKUP($E170,'A-1 On-Site Habitat Baseline'!$D$1:$O$258,12,FALSE)),"",(VLOOKUP($E170,'A-1 On-Site Habitat Baseline'!$D$1:$O$258,12,FALSE))))</f>
        <v/>
      </c>
      <c r="N170" s="320" t="str">
        <f>IF(E170="","",IF(ISNA(VLOOKUP($E170,'A-1 On-Site Habitat Baseline'!$D$1:$X$258,14,FALSE)),"",(VLOOKUP($E170,'A-1 On-Site Habitat Baseline'!$D$1:$X$258,14,FALSE))))</f>
        <v/>
      </c>
      <c r="O170" s="314" t="str">
        <f>IF(E170="","",IF(ISNA(VLOOKUP($E170,'A-1 On-Site Habitat Baseline'!$D$1:$X$258,16,FALSE)),"",(VLOOKUP($E170,'A-1 On-Site Habitat Baseline'!$D$1:$X$258,13,FALSE))))</f>
        <v/>
      </c>
      <c r="P170" s="161" t="str">
        <f>IFERROR(INDEX('G-1 All Habitats'!$AG$49:$AG$63,MATCH(Q170,'G-1 All Habitats'!$AF$27:$AF$41,0)),"")</f>
        <v/>
      </c>
      <c r="Q170" s="162" t="str">
        <f t="shared" si="24"/>
        <v/>
      </c>
      <c r="R170" s="162"/>
      <c r="S170" s="252" t="str">
        <f>IFERROR(INDEX('G-1 All Habitats'!$B$3:$B$135,MATCH(R170,'G-1 All Habitats'!$A$3:$A$135,0)),"")</f>
        <v/>
      </c>
      <c r="T170" s="290" t="str">
        <f t="shared" si="25"/>
        <v/>
      </c>
      <c r="U170" s="291" t="str">
        <f t="shared" si="26"/>
        <v/>
      </c>
      <c r="V170" s="325" t="str">
        <f t="shared" si="22"/>
        <v/>
      </c>
      <c r="W170" s="310" t="str">
        <f>IF(S170="","",VLOOKUP(S170,'G-1 All Habitats'!$B$2:$M$135,10,FALSE))</f>
        <v/>
      </c>
      <c r="X170" s="310" t="str">
        <f>IFERROR(VLOOKUP(W170,'G-1 All Habitats'!$V$3:$W$7,2,FALSE),"")</f>
        <v/>
      </c>
      <c r="Y170" s="45"/>
      <c r="Z170" s="314" t="str">
        <f>IFERROR(INDEX('G-8 Condition Look up'!$A$3:$H$135,MATCH(S170,'G-8 Condition Look up'!$A$3:$A$135,0),MATCH(Y170,'G-8 Condition Look up'!$A$3:$H$3,0)),"")</f>
        <v/>
      </c>
      <c r="AA170" s="38"/>
      <c r="AB170" s="310" t="str">
        <f>IF(AA170="","",IF(VLOOKUP(AA170,'G-3 Multipliers'!$L$3:$N$6,2,FALSE)=0,"Spatial Data Missing ⚠",VLOOKUP(AA170,'G-3 Multipliers'!$L$3:$N$6,2,FALSE)))</f>
        <v/>
      </c>
      <c r="AC170" s="314" t="str">
        <f>IF(AA170="","",IF(VLOOKUP(AA170,'G-3 Multipliers'!$L$3:$N$6,3,FALSE)=0,"Spatial Data Missing ⚠",VLOOKUP(AA170,'G-3 Multipliers'!$L$3:$N$6,3,FALSE)))</f>
        <v/>
      </c>
      <c r="AD170" s="327" t="str">
        <f t="shared" si="23"/>
        <v/>
      </c>
      <c r="AE170" s="47"/>
      <c r="AF170" s="47"/>
      <c r="AG170" s="298" t="str">
        <f t="shared" si="27"/>
        <v/>
      </c>
      <c r="AH170" s="311" t="str">
        <f t="shared" si="28"/>
        <v/>
      </c>
      <c r="AI170" s="312" t="str">
        <f>IF(AH170="Check Data","Check Data",IFERROR(VLOOKUP(AH170,'G-4 Temporal multipliers'!$A$4:$C$36,3,FALSE),""))</f>
        <v/>
      </c>
      <c r="AJ170" s="290" t="str">
        <f>IF(S170="","",VLOOKUP(S170,'G-3 Multipliers'!$A$2:$E$134,4,FALSE))</f>
        <v/>
      </c>
      <c r="AK170" s="298" t="str">
        <f t="shared" si="29"/>
        <v/>
      </c>
      <c r="AL170" s="298" t="str">
        <f t="shared" si="30"/>
        <v/>
      </c>
      <c r="AM170" s="328" t="str">
        <f>IFERROR(IF(F170="","",IF(AH170="Check Data ⚠","Check Data ⚠",VLOOKUP(AL170, 'G-3 Multipliers'!$P$2:$Q$6,2,FALSE))),"")</f>
        <v/>
      </c>
      <c r="AN170" s="304" t="str">
        <f t="shared" si="31"/>
        <v/>
      </c>
      <c r="AO170" s="163"/>
      <c r="AP170" s="164"/>
      <c r="AQ170" s="101"/>
      <c r="AT170" s="20" t="str">
        <f t="shared" si="32"/>
        <v>No</v>
      </c>
      <c r="AU170" s="20" t="str">
        <f>IF(E170="","",IF(ISNA(VLOOKUP($E170,'A-1 On-Site Habitat Baseline'!$D$1:$AV$258,4,FALSE)),"",(VLOOKUP($E170,'A-1 On-Site Habitat Baseline'!$D$1:$AV$258,4,FALSE))))</f>
        <v/>
      </c>
    </row>
    <row r="171" spans="1:47" x14ac:dyDescent="0.3">
      <c r="A171" s="20" t="str">
        <f>IF(E171="","",IF(ISNA(VLOOKUP($E171,'A-1 On-Site Habitat Baseline'!$D$1:$O$258,2,FALSE)),"",(VLOOKUP($E171,'A-1 On-Site Habitat Baseline'!$D$1:$O$258,2,FALSE))))</f>
        <v/>
      </c>
      <c r="B171" s="20" t="str">
        <f>IF(E171="","",IF(ISNA(VLOOKUP($E171,'A-1 On-Site Habitat Baseline'!$D$1:$O$258,3,FALSE)),"",(VLOOKUP($E171,'A-1 On-Site Habitat Baseline'!$D$1:$O$258,3,FALSE))))</f>
        <v/>
      </c>
      <c r="C171" s="20" t="str">
        <f>IFERROR(INDEX('G-8 Condition Look up'!$I$4:$I$135,MATCH(S171,'G-8 Condition Look up'!$A$4:$A$135,0)),"")</f>
        <v/>
      </c>
      <c r="E171" s="319" t="str">
        <f>'A-1 On-Site Habitat Baseline'!AL170</f>
        <v/>
      </c>
      <c r="F171" s="310" t="str">
        <f>IF(E171="","",IF(ISNA(VLOOKUP($E171,'A-1 On-Site Habitat Baseline'!$D$1:$AV$258,45,FALSE)),"",(VLOOKUP($E171,'A-1 On-Site Habitat Baseline'!$D$1:$AV$258,45,FALSE))))</f>
        <v/>
      </c>
      <c r="G171" s="310" t="str">
        <f>IF(E171="","",IF(ISNA(VLOOKUP($E171,'A-1 On-Site Habitat Baseline'!$D$1:$O$258,5,FALSE)),"",(VLOOKUP($E171,'A-1 On-Site Habitat Baseline'!$D$1:$O$258,5,FALSE))))</f>
        <v/>
      </c>
      <c r="H171" s="310" t="str">
        <f>IF(E171="","",IF(ISNA(VLOOKUP($E171,'A-1 On-Site Habitat Baseline'!$D$1:$O$258,6,FALSE)),"",(VLOOKUP($E171,'A-1 On-Site Habitat Baseline'!$D$1:$O$258,6,FALSE))))</f>
        <v/>
      </c>
      <c r="I171" s="310" t="str">
        <f>IF(E171="","",IF(ISNA(VLOOKUP($E171,'A-1 On-Site Habitat Baseline'!$D$1:$O$258,7,FALSE)),"",(VLOOKUP($E171,'A-1 On-Site Habitat Baseline'!$D$1:$O$258,7,FALSE))))</f>
        <v/>
      </c>
      <c r="J171" s="310" t="str">
        <f>IF(E171="","",IF(ISNA(VLOOKUP($E171,'A-1 On-Site Habitat Baseline'!$D$1:$O$258,8,FALSE)),"",(VLOOKUP($E171,'A-1 On-Site Habitat Baseline'!$D$1:$O$258,8,FALSE))))</f>
        <v/>
      </c>
      <c r="K171" s="310" t="str">
        <f>IF(E171="","",IF(ISNA(VLOOKUP($E171,'A-1 On-Site Habitat Baseline'!$D$1:$O$258,9,FALSE)),"",(VLOOKUP($E171,'A-1 On-Site Habitat Baseline'!$D$1:$O$258,9,FALSE))))</f>
        <v/>
      </c>
      <c r="L171" s="310" t="str">
        <f>IF(E171="","",IF(ISNA(VLOOKUP($E171,'A-1 On-Site Habitat Baseline'!$D$1:$O$258,11,FALSE)),"",(VLOOKUP($E171,'A-1 On-Site Habitat Baseline'!$D$1:$O$258,11,FALSE))))</f>
        <v/>
      </c>
      <c r="M171" s="310" t="str">
        <f>IF(E171="","",IF(ISNA(VLOOKUP($E171,'A-1 On-Site Habitat Baseline'!$D$1:$O$258,12,FALSE)),"",(VLOOKUP($E171,'A-1 On-Site Habitat Baseline'!$D$1:$O$258,12,FALSE))))</f>
        <v/>
      </c>
      <c r="N171" s="320" t="str">
        <f>IF(E171="","",IF(ISNA(VLOOKUP($E171,'A-1 On-Site Habitat Baseline'!$D$1:$X$258,14,FALSE)),"",(VLOOKUP($E171,'A-1 On-Site Habitat Baseline'!$D$1:$X$258,14,FALSE))))</f>
        <v/>
      </c>
      <c r="O171" s="314" t="str">
        <f>IF(E171="","",IF(ISNA(VLOOKUP($E171,'A-1 On-Site Habitat Baseline'!$D$1:$X$258,16,FALSE)),"",(VLOOKUP($E171,'A-1 On-Site Habitat Baseline'!$D$1:$X$258,13,FALSE))))</f>
        <v/>
      </c>
      <c r="P171" s="161" t="str">
        <f>IFERROR(INDEX('G-1 All Habitats'!$AG$49:$AG$63,MATCH(Q171,'G-1 All Habitats'!$AF$27:$AF$41,0)),"")</f>
        <v/>
      </c>
      <c r="Q171" s="162" t="str">
        <f t="shared" si="24"/>
        <v/>
      </c>
      <c r="R171" s="162"/>
      <c r="S171" s="252" t="str">
        <f>IFERROR(INDEX('G-1 All Habitats'!$B$3:$B$135,MATCH(R171,'G-1 All Habitats'!$A$3:$A$135,0)),"")</f>
        <v/>
      </c>
      <c r="T171" s="290" t="str">
        <f t="shared" si="25"/>
        <v/>
      </c>
      <c r="U171" s="291" t="str">
        <f t="shared" si="26"/>
        <v/>
      </c>
      <c r="V171" s="325" t="str">
        <f t="shared" si="22"/>
        <v/>
      </c>
      <c r="W171" s="310" t="str">
        <f>IF(S171="","",VLOOKUP(S171,'G-1 All Habitats'!$B$2:$M$135,10,FALSE))</f>
        <v/>
      </c>
      <c r="X171" s="310" t="str">
        <f>IFERROR(VLOOKUP(W171,'G-1 All Habitats'!$V$3:$W$7,2,FALSE),"")</f>
        <v/>
      </c>
      <c r="Y171" s="45"/>
      <c r="Z171" s="314" t="str">
        <f>IFERROR(INDEX('G-8 Condition Look up'!$A$3:$H$135,MATCH(S171,'G-8 Condition Look up'!$A$3:$A$135,0),MATCH(Y171,'G-8 Condition Look up'!$A$3:$H$3,0)),"")</f>
        <v/>
      </c>
      <c r="AA171" s="38"/>
      <c r="AB171" s="310" t="str">
        <f>IF(AA171="","",IF(VLOOKUP(AA171,'G-3 Multipliers'!$L$3:$N$6,2,FALSE)=0,"Spatial Data Missing ⚠",VLOOKUP(AA171,'G-3 Multipliers'!$L$3:$N$6,2,FALSE)))</f>
        <v/>
      </c>
      <c r="AC171" s="314" t="str">
        <f>IF(AA171="","",IF(VLOOKUP(AA171,'G-3 Multipliers'!$L$3:$N$6,3,FALSE)=0,"Spatial Data Missing ⚠",VLOOKUP(AA171,'G-3 Multipliers'!$L$3:$N$6,3,FALSE)))</f>
        <v/>
      </c>
      <c r="AD171" s="327" t="str">
        <f t="shared" si="23"/>
        <v/>
      </c>
      <c r="AE171" s="47"/>
      <c r="AF171" s="47"/>
      <c r="AG171" s="298" t="str">
        <f t="shared" si="27"/>
        <v/>
      </c>
      <c r="AH171" s="311" t="str">
        <f t="shared" si="28"/>
        <v/>
      </c>
      <c r="AI171" s="312" t="str">
        <f>IF(AH171="Check Data","Check Data",IFERROR(VLOOKUP(AH171,'G-4 Temporal multipliers'!$A$4:$C$36,3,FALSE),""))</f>
        <v/>
      </c>
      <c r="AJ171" s="290" t="str">
        <f>IF(S171="","",VLOOKUP(S171,'G-3 Multipliers'!$A$2:$E$134,4,FALSE))</f>
        <v/>
      </c>
      <c r="AK171" s="298" t="str">
        <f t="shared" si="29"/>
        <v/>
      </c>
      <c r="AL171" s="298" t="str">
        <f t="shared" si="30"/>
        <v/>
      </c>
      <c r="AM171" s="328" t="str">
        <f>IFERROR(IF(F171="","",IF(AH171="Check Data ⚠","Check Data ⚠",VLOOKUP(AL171, 'G-3 Multipliers'!$P$2:$Q$6,2,FALSE))),"")</f>
        <v/>
      </c>
      <c r="AN171" s="304" t="str">
        <f t="shared" si="31"/>
        <v/>
      </c>
      <c r="AO171" s="163"/>
      <c r="AP171" s="164"/>
      <c r="AQ171" s="101"/>
      <c r="AT171" s="20" t="str">
        <f t="shared" si="32"/>
        <v>No</v>
      </c>
      <c r="AU171" s="20" t="str">
        <f>IF(E171="","",IF(ISNA(VLOOKUP($E171,'A-1 On-Site Habitat Baseline'!$D$1:$AV$258,4,FALSE)),"",(VLOOKUP($E171,'A-1 On-Site Habitat Baseline'!$D$1:$AV$258,4,FALSE))))</f>
        <v/>
      </c>
    </row>
    <row r="172" spans="1:47" x14ac:dyDescent="0.3">
      <c r="A172" s="20" t="str">
        <f>IF(E172="","",IF(ISNA(VLOOKUP($E172,'A-1 On-Site Habitat Baseline'!$D$1:$O$258,2,FALSE)),"",(VLOOKUP($E172,'A-1 On-Site Habitat Baseline'!$D$1:$O$258,2,FALSE))))</f>
        <v/>
      </c>
      <c r="B172" s="20" t="str">
        <f>IF(E172="","",IF(ISNA(VLOOKUP($E172,'A-1 On-Site Habitat Baseline'!$D$1:$O$258,3,FALSE)),"",(VLOOKUP($E172,'A-1 On-Site Habitat Baseline'!$D$1:$O$258,3,FALSE))))</f>
        <v/>
      </c>
      <c r="C172" s="20" t="str">
        <f>IFERROR(INDEX('G-8 Condition Look up'!$I$4:$I$135,MATCH(S172,'G-8 Condition Look up'!$A$4:$A$135,0)),"")</f>
        <v/>
      </c>
      <c r="E172" s="319" t="str">
        <f>'A-1 On-Site Habitat Baseline'!AL171</f>
        <v/>
      </c>
      <c r="F172" s="310" t="str">
        <f>IF(E172="","",IF(ISNA(VLOOKUP($E172,'A-1 On-Site Habitat Baseline'!$D$1:$AV$258,45,FALSE)),"",(VLOOKUP($E172,'A-1 On-Site Habitat Baseline'!$D$1:$AV$258,45,FALSE))))</f>
        <v/>
      </c>
      <c r="G172" s="310" t="str">
        <f>IF(E172="","",IF(ISNA(VLOOKUP($E172,'A-1 On-Site Habitat Baseline'!$D$1:$O$258,5,FALSE)),"",(VLOOKUP($E172,'A-1 On-Site Habitat Baseline'!$D$1:$O$258,5,FALSE))))</f>
        <v/>
      </c>
      <c r="H172" s="310" t="str">
        <f>IF(E172="","",IF(ISNA(VLOOKUP($E172,'A-1 On-Site Habitat Baseline'!$D$1:$O$258,6,FALSE)),"",(VLOOKUP($E172,'A-1 On-Site Habitat Baseline'!$D$1:$O$258,6,FALSE))))</f>
        <v/>
      </c>
      <c r="I172" s="310" t="str">
        <f>IF(E172="","",IF(ISNA(VLOOKUP($E172,'A-1 On-Site Habitat Baseline'!$D$1:$O$258,7,FALSE)),"",(VLOOKUP($E172,'A-1 On-Site Habitat Baseline'!$D$1:$O$258,7,FALSE))))</f>
        <v/>
      </c>
      <c r="J172" s="310" t="str">
        <f>IF(E172="","",IF(ISNA(VLOOKUP($E172,'A-1 On-Site Habitat Baseline'!$D$1:$O$258,8,FALSE)),"",(VLOOKUP($E172,'A-1 On-Site Habitat Baseline'!$D$1:$O$258,8,FALSE))))</f>
        <v/>
      </c>
      <c r="K172" s="310" t="str">
        <f>IF(E172="","",IF(ISNA(VLOOKUP($E172,'A-1 On-Site Habitat Baseline'!$D$1:$O$258,9,FALSE)),"",(VLOOKUP($E172,'A-1 On-Site Habitat Baseline'!$D$1:$O$258,9,FALSE))))</f>
        <v/>
      </c>
      <c r="L172" s="310" t="str">
        <f>IF(E172="","",IF(ISNA(VLOOKUP($E172,'A-1 On-Site Habitat Baseline'!$D$1:$O$258,11,FALSE)),"",(VLOOKUP($E172,'A-1 On-Site Habitat Baseline'!$D$1:$O$258,11,FALSE))))</f>
        <v/>
      </c>
      <c r="M172" s="310" t="str">
        <f>IF(E172="","",IF(ISNA(VLOOKUP($E172,'A-1 On-Site Habitat Baseline'!$D$1:$O$258,12,FALSE)),"",(VLOOKUP($E172,'A-1 On-Site Habitat Baseline'!$D$1:$O$258,12,FALSE))))</f>
        <v/>
      </c>
      <c r="N172" s="320" t="str">
        <f>IF(E172="","",IF(ISNA(VLOOKUP($E172,'A-1 On-Site Habitat Baseline'!$D$1:$X$258,14,FALSE)),"",(VLOOKUP($E172,'A-1 On-Site Habitat Baseline'!$D$1:$X$258,14,FALSE))))</f>
        <v/>
      </c>
      <c r="O172" s="314" t="str">
        <f>IF(E172="","",IF(ISNA(VLOOKUP($E172,'A-1 On-Site Habitat Baseline'!$D$1:$X$258,16,FALSE)),"",(VLOOKUP($E172,'A-1 On-Site Habitat Baseline'!$D$1:$X$258,13,FALSE))))</f>
        <v/>
      </c>
      <c r="P172" s="161" t="str">
        <f>IFERROR(INDEX('G-1 All Habitats'!$AG$49:$AG$63,MATCH(Q172,'G-1 All Habitats'!$AF$27:$AF$41,0)),"")</f>
        <v/>
      </c>
      <c r="Q172" s="162" t="str">
        <f t="shared" si="24"/>
        <v/>
      </c>
      <c r="R172" s="162"/>
      <c r="S172" s="252" t="str">
        <f>IFERROR(INDEX('G-1 All Habitats'!$B$3:$B$135,MATCH(R172,'G-1 All Habitats'!$A$3:$A$135,0)),"")</f>
        <v/>
      </c>
      <c r="T172" s="290" t="str">
        <f t="shared" si="25"/>
        <v/>
      </c>
      <c r="U172" s="291" t="str">
        <f t="shared" si="26"/>
        <v/>
      </c>
      <c r="V172" s="325" t="str">
        <f t="shared" si="22"/>
        <v/>
      </c>
      <c r="W172" s="310" t="str">
        <f>IF(S172="","",VLOOKUP(S172,'G-1 All Habitats'!$B$2:$M$135,10,FALSE))</f>
        <v/>
      </c>
      <c r="X172" s="310" t="str">
        <f>IFERROR(VLOOKUP(W172,'G-1 All Habitats'!$V$3:$W$7,2,FALSE),"")</f>
        <v/>
      </c>
      <c r="Y172" s="45"/>
      <c r="Z172" s="314" t="str">
        <f>IFERROR(INDEX('G-8 Condition Look up'!$A$3:$H$135,MATCH(S172,'G-8 Condition Look up'!$A$3:$A$135,0),MATCH(Y172,'G-8 Condition Look up'!$A$3:$H$3,0)),"")</f>
        <v/>
      </c>
      <c r="AA172" s="38"/>
      <c r="AB172" s="310" t="str">
        <f>IF(AA172="","",IF(VLOOKUP(AA172,'G-3 Multipliers'!$L$3:$N$6,2,FALSE)=0,"Spatial Data Missing ⚠",VLOOKUP(AA172,'G-3 Multipliers'!$L$3:$N$6,2,FALSE)))</f>
        <v/>
      </c>
      <c r="AC172" s="314" t="str">
        <f>IF(AA172="","",IF(VLOOKUP(AA172,'G-3 Multipliers'!$L$3:$N$6,3,FALSE)=0,"Spatial Data Missing ⚠",VLOOKUP(AA172,'G-3 Multipliers'!$L$3:$N$6,3,FALSE)))</f>
        <v/>
      </c>
      <c r="AD172" s="327" t="str">
        <f t="shared" si="23"/>
        <v/>
      </c>
      <c r="AE172" s="47"/>
      <c r="AF172" s="47"/>
      <c r="AG172" s="298" t="str">
        <f t="shared" si="27"/>
        <v/>
      </c>
      <c r="AH172" s="311" t="str">
        <f t="shared" si="28"/>
        <v/>
      </c>
      <c r="AI172" s="312" t="str">
        <f>IF(AH172="Check Data","Check Data",IFERROR(VLOOKUP(AH172,'G-4 Temporal multipliers'!$A$4:$C$36,3,FALSE),""))</f>
        <v/>
      </c>
      <c r="AJ172" s="290" t="str">
        <f>IF(S172="","",VLOOKUP(S172,'G-3 Multipliers'!$A$2:$E$134,4,FALSE))</f>
        <v/>
      </c>
      <c r="AK172" s="298" t="str">
        <f t="shared" si="29"/>
        <v/>
      </c>
      <c r="AL172" s="298" t="str">
        <f t="shared" si="30"/>
        <v/>
      </c>
      <c r="AM172" s="328" t="str">
        <f>IFERROR(IF(F172="","",IF(AH172="Check Data ⚠","Check Data ⚠",VLOOKUP(AL172, 'G-3 Multipliers'!$P$2:$Q$6,2,FALSE))),"")</f>
        <v/>
      </c>
      <c r="AN172" s="304" t="str">
        <f t="shared" si="31"/>
        <v/>
      </c>
      <c r="AO172" s="163"/>
      <c r="AP172" s="164"/>
      <c r="AQ172" s="101"/>
      <c r="AT172" s="20" t="str">
        <f t="shared" si="32"/>
        <v>No</v>
      </c>
      <c r="AU172" s="20" t="str">
        <f>IF(E172="","",IF(ISNA(VLOOKUP($E172,'A-1 On-Site Habitat Baseline'!$D$1:$AV$258,4,FALSE)),"",(VLOOKUP($E172,'A-1 On-Site Habitat Baseline'!$D$1:$AV$258,4,FALSE))))</f>
        <v/>
      </c>
    </row>
    <row r="173" spans="1:47" x14ac:dyDescent="0.3">
      <c r="A173" s="20" t="str">
        <f>IF(E173="","",IF(ISNA(VLOOKUP($E173,'A-1 On-Site Habitat Baseline'!$D$1:$O$258,2,FALSE)),"",(VLOOKUP($E173,'A-1 On-Site Habitat Baseline'!$D$1:$O$258,2,FALSE))))</f>
        <v/>
      </c>
      <c r="B173" s="20" t="str">
        <f>IF(E173="","",IF(ISNA(VLOOKUP($E173,'A-1 On-Site Habitat Baseline'!$D$1:$O$258,3,FALSE)),"",(VLOOKUP($E173,'A-1 On-Site Habitat Baseline'!$D$1:$O$258,3,FALSE))))</f>
        <v/>
      </c>
      <c r="C173" s="20" t="str">
        <f>IFERROR(INDEX('G-8 Condition Look up'!$I$4:$I$135,MATCH(S173,'G-8 Condition Look up'!$A$4:$A$135,0)),"")</f>
        <v/>
      </c>
      <c r="E173" s="319" t="str">
        <f>'A-1 On-Site Habitat Baseline'!AL172</f>
        <v/>
      </c>
      <c r="F173" s="310" t="str">
        <f>IF(E173="","",IF(ISNA(VLOOKUP($E173,'A-1 On-Site Habitat Baseline'!$D$1:$AV$258,45,FALSE)),"",(VLOOKUP($E173,'A-1 On-Site Habitat Baseline'!$D$1:$AV$258,45,FALSE))))</f>
        <v/>
      </c>
      <c r="G173" s="310" t="str">
        <f>IF(E173="","",IF(ISNA(VLOOKUP($E173,'A-1 On-Site Habitat Baseline'!$D$1:$O$258,5,FALSE)),"",(VLOOKUP($E173,'A-1 On-Site Habitat Baseline'!$D$1:$O$258,5,FALSE))))</f>
        <v/>
      </c>
      <c r="H173" s="310" t="str">
        <f>IF(E173="","",IF(ISNA(VLOOKUP($E173,'A-1 On-Site Habitat Baseline'!$D$1:$O$258,6,FALSE)),"",(VLOOKUP($E173,'A-1 On-Site Habitat Baseline'!$D$1:$O$258,6,FALSE))))</f>
        <v/>
      </c>
      <c r="I173" s="310" t="str">
        <f>IF(E173="","",IF(ISNA(VLOOKUP($E173,'A-1 On-Site Habitat Baseline'!$D$1:$O$258,7,FALSE)),"",(VLOOKUP($E173,'A-1 On-Site Habitat Baseline'!$D$1:$O$258,7,FALSE))))</f>
        <v/>
      </c>
      <c r="J173" s="310" t="str">
        <f>IF(E173="","",IF(ISNA(VLOOKUP($E173,'A-1 On-Site Habitat Baseline'!$D$1:$O$258,8,FALSE)),"",(VLOOKUP($E173,'A-1 On-Site Habitat Baseline'!$D$1:$O$258,8,FALSE))))</f>
        <v/>
      </c>
      <c r="K173" s="310" t="str">
        <f>IF(E173="","",IF(ISNA(VLOOKUP($E173,'A-1 On-Site Habitat Baseline'!$D$1:$O$258,9,FALSE)),"",(VLOOKUP($E173,'A-1 On-Site Habitat Baseline'!$D$1:$O$258,9,FALSE))))</f>
        <v/>
      </c>
      <c r="L173" s="310" t="str">
        <f>IF(E173="","",IF(ISNA(VLOOKUP($E173,'A-1 On-Site Habitat Baseline'!$D$1:$O$258,11,FALSE)),"",(VLOOKUP($E173,'A-1 On-Site Habitat Baseline'!$D$1:$O$258,11,FALSE))))</f>
        <v/>
      </c>
      <c r="M173" s="310" t="str">
        <f>IF(E173="","",IF(ISNA(VLOOKUP($E173,'A-1 On-Site Habitat Baseline'!$D$1:$O$258,12,FALSE)),"",(VLOOKUP($E173,'A-1 On-Site Habitat Baseline'!$D$1:$O$258,12,FALSE))))</f>
        <v/>
      </c>
      <c r="N173" s="320" t="str">
        <f>IF(E173="","",IF(ISNA(VLOOKUP($E173,'A-1 On-Site Habitat Baseline'!$D$1:$X$258,14,FALSE)),"",(VLOOKUP($E173,'A-1 On-Site Habitat Baseline'!$D$1:$X$258,14,FALSE))))</f>
        <v/>
      </c>
      <c r="O173" s="314" t="str">
        <f>IF(E173="","",IF(ISNA(VLOOKUP($E173,'A-1 On-Site Habitat Baseline'!$D$1:$X$258,16,FALSE)),"",(VLOOKUP($E173,'A-1 On-Site Habitat Baseline'!$D$1:$X$258,13,FALSE))))</f>
        <v/>
      </c>
      <c r="P173" s="161" t="str">
        <f>IFERROR(INDEX('G-1 All Habitats'!$AG$49:$AG$63,MATCH(Q173,'G-1 All Habitats'!$AF$27:$AF$41,0)),"")</f>
        <v/>
      </c>
      <c r="Q173" s="162" t="str">
        <f t="shared" si="24"/>
        <v/>
      </c>
      <c r="R173" s="162"/>
      <c r="S173" s="252" t="str">
        <f>IFERROR(INDEX('G-1 All Habitats'!$B$3:$B$135,MATCH(R173,'G-1 All Habitats'!$A$3:$A$135,0)),"")</f>
        <v/>
      </c>
      <c r="T173" s="290" t="str">
        <f t="shared" si="25"/>
        <v/>
      </c>
      <c r="U173" s="291" t="str">
        <f t="shared" si="26"/>
        <v/>
      </c>
      <c r="V173" s="325" t="str">
        <f t="shared" si="22"/>
        <v/>
      </c>
      <c r="W173" s="310" t="str">
        <f>IF(S173="","",VLOOKUP(S173,'G-1 All Habitats'!$B$2:$M$135,10,FALSE))</f>
        <v/>
      </c>
      <c r="X173" s="310" t="str">
        <f>IFERROR(VLOOKUP(W173,'G-1 All Habitats'!$V$3:$W$7,2,FALSE),"")</f>
        <v/>
      </c>
      <c r="Y173" s="45"/>
      <c r="Z173" s="314" t="str">
        <f>IFERROR(INDEX('G-8 Condition Look up'!$A$3:$H$135,MATCH(S173,'G-8 Condition Look up'!$A$3:$A$135,0),MATCH(Y173,'G-8 Condition Look up'!$A$3:$H$3,0)),"")</f>
        <v/>
      </c>
      <c r="AA173" s="38"/>
      <c r="AB173" s="310" t="str">
        <f>IF(AA173="","",IF(VLOOKUP(AA173,'G-3 Multipliers'!$L$3:$N$6,2,FALSE)=0,"Spatial Data Missing ⚠",VLOOKUP(AA173,'G-3 Multipliers'!$L$3:$N$6,2,FALSE)))</f>
        <v/>
      </c>
      <c r="AC173" s="314" t="str">
        <f>IF(AA173="","",IF(VLOOKUP(AA173,'G-3 Multipliers'!$L$3:$N$6,3,FALSE)=0,"Spatial Data Missing ⚠",VLOOKUP(AA173,'G-3 Multipliers'!$L$3:$N$6,3,FALSE)))</f>
        <v/>
      </c>
      <c r="AD173" s="327" t="str">
        <f t="shared" si="23"/>
        <v/>
      </c>
      <c r="AE173" s="47"/>
      <c r="AF173" s="47"/>
      <c r="AG173" s="298" t="str">
        <f t="shared" si="27"/>
        <v/>
      </c>
      <c r="AH173" s="311" t="str">
        <f t="shared" si="28"/>
        <v/>
      </c>
      <c r="AI173" s="312" t="str">
        <f>IF(AH173="Check Data","Check Data",IFERROR(VLOOKUP(AH173,'G-4 Temporal multipliers'!$A$4:$C$36,3,FALSE),""))</f>
        <v/>
      </c>
      <c r="AJ173" s="290" t="str">
        <f>IF(S173="","",VLOOKUP(S173,'G-3 Multipliers'!$A$2:$E$134,4,FALSE))</f>
        <v/>
      </c>
      <c r="AK173" s="298" t="str">
        <f t="shared" si="29"/>
        <v/>
      </c>
      <c r="AL173" s="298" t="str">
        <f t="shared" si="30"/>
        <v/>
      </c>
      <c r="AM173" s="328" t="str">
        <f>IFERROR(IF(F173="","",IF(AH173="Check Data ⚠","Check Data ⚠",VLOOKUP(AL173, 'G-3 Multipliers'!$P$2:$Q$6,2,FALSE))),"")</f>
        <v/>
      </c>
      <c r="AN173" s="304" t="str">
        <f t="shared" si="31"/>
        <v/>
      </c>
      <c r="AO173" s="163"/>
      <c r="AP173" s="164"/>
      <c r="AQ173" s="101"/>
      <c r="AT173" s="20" t="str">
        <f t="shared" si="32"/>
        <v>No</v>
      </c>
      <c r="AU173" s="20" t="str">
        <f>IF(E173="","",IF(ISNA(VLOOKUP($E173,'A-1 On-Site Habitat Baseline'!$D$1:$AV$258,4,FALSE)),"",(VLOOKUP($E173,'A-1 On-Site Habitat Baseline'!$D$1:$AV$258,4,FALSE))))</f>
        <v/>
      </c>
    </row>
    <row r="174" spans="1:47" x14ac:dyDescent="0.3">
      <c r="A174" s="20" t="str">
        <f>IF(E174="","",IF(ISNA(VLOOKUP($E174,'A-1 On-Site Habitat Baseline'!$D$1:$O$258,2,FALSE)),"",(VLOOKUP($E174,'A-1 On-Site Habitat Baseline'!$D$1:$O$258,2,FALSE))))</f>
        <v/>
      </c>
      <c r="B174" s="20" t="str">
        <f>IF(E174="","",IF(ISNA(VLOOKUP($E174,'A-1 On-Site Habitat Baseline'!$D$1:$O$258,3,FALSE)),"",(VLOOKUP($E174,'A-1 On-Site Habitat Baseline'!$D$1:$O$258,3,FALSE))))</f>
        <v/>
      </c>
      <c r="C174" s="20" t="str">
        <f>IFERROR(INDEX('G-8 Condition Look up'!$I$4:$I$135,MATCH(S174,'G-8 Condition Look up'!$A$4:$A$135,0)),"")</f>
        <v/>
      </c>
      <c r="E174" s="319" t="str">
        <f>'A-1 On-Site Habitat Baseline'!AL173</f>
        <v/>
      </c>
      <c r="F174" s="310" t="str">
        <f>IF(E174="","",IF(ISNA(VLOOKUP($E174,'A-1 On-Site Habitat Baseline'!$D$1:$AV$258,45,FALSE)),"",(VLOOKUP($E174,'A-1 On-Site Habitat Baseline'!$D$1:$AV$258,45,FALSE))))</f>
        <v/>
      </c>
      <c r="G174" s="310" t="str">
        <f>IF(E174="","",IF(ISNA(VLOOKUP($E174,'A-1 On-Site Habitat Baseline'!$D$1:$O$258,5,FALSE)),"",(VLOOKUP($E174,'A-1 On-Site Habitat Baseline'!$D$1:$O$258,5,FALSE))))</f>
        <v/>
      </c>
      <c r="H174" s="310" t="str">
        <f>IF(E174="","",IF(ISNA(VLOOKUP($E174,'A-1 On-Site Habitat Baseline'!$D$1:$O$258,6,FALSE)),"",(VLOOKUP($E174,'A-1 On-Site Habitat Baseline'!$D$1:$O$258,6,FALSE))))</f>
        <v/>
      </c>
      <c r="I174" s="310" t="str">
        <f>IF(E174="","",IF(ISNA(VLOOKUP($E174,'A-1 On-Site Habitat Baseline'!$D$1:$O$258,7,FALSE)),"",(VLOOKUP($E174,'A-1 On-Site Habitat Baseline'!$D$1:$O$258,7,FALSE))))</f>
        <v/>
      </c>
      <c r="J174" s="310" t="str">
        <f>IF(E174="","",IF(ISNA(VLOOKUP($E174,'A-1 On-Site Habitat Baseline'!$D$1:$O$258,8,FALSE)),"",(VLOOKUP($E174,'A-1 On-Site Habitat Baseline'!$D$1:$O$258,8,FALSE))))</f>
        <v/>
      </c>
      <c r="K174" s="310" t="str">
        <f>IF(E174="","",IF(ISNA(VLOOKUP($E174,'A-1 On-Site Habitat Baseline'!$D$1:$O$258,9,FALSE)),"",(VLOOKUP($E174,'A-1 On-Site Habitat Baseline'!$D$1:$O$258,9,FALSE))))</f>
        <v/>
      </c>
      <c r="L174" s="310" t="str">
        <f>IF(E174="","",IF(ISNA(VLOOKUP($E174,'A-1 On-Site Habitat Baseline'!$D$1:$O$258,11,FALSE)),"",(VLOOKUP($E174,'A-1 On-Site Habitat Baseline'!$D$1:$O$258,11,FALSE))))</f>
        <v/>
      </c>
      <c r="M174" s="310" t="str">
        <f>IF(E174="","",IF(ISNA(VLOOKUP($E174,'A-1 On-Site Habitat Baseline'!$D$1:$O$258,12,FALSE)),"",(VLOOKUP($E174,'A-1 On-Site Habitat Baseline'!$D$1:$O$258,12,FALSE))))</f>
        <v/>
      </c>
      <c r="N174" s="320" t="str">
        <f>IF(E174="","",IF(ISNA(VLOOKUP($E174,'A-1 On-Site Habitat Baseline'!$D$1:$X$258,14,FALSE)),"",(VLOOKUP($E174,'A-1 On-Site Habitat Baseline'!$D$1:$X$258,14,FALSE))))</f>
        <v/>
      </c>
      <c r="O174" s="314" t="str">
        <f>IF(E174="","",IF(ISNA(VLOOKUP($E174,'A-1 On-Site Habitat Baseline'!$D$1:$X$258,16,FALSE)),"",(VLOOKUP($E174,'A-1 On-Site Habitat Baseline'!$D$1:$X$258,13,FALSE))))</f>
        <v/>
      </c>
      <c r="P174" s="161" t="str">
        <f>IFERROR(INDEX('G-1 All Habitats'!$AG$49:$AG$63,MATCH(Q174,'G-1 All Habitats'!$AF$27:$AF$41,0)),"")</f>
        <v/>
      </c>
      <c r="Q174" s="162" t="str">
        <f t="shared" si="24"/>
        <v/>
      </c>
      <c r="R174" s="162"/>
      <c r="S174" s="252" t="str">
        <f>IFERROR(INDEX('G-1 All Habitats'!$B$3:$B$135,MATCH(R174,'G-1 All Habitats'!$A$3:$A$135,0)),"")</f>
        <v/>
      </c>
      <c r="T174" s="290" t="str">
        <f t="shared" si="25"/>
        <v/>
      </c>
      <c r="U174" s="291" t="str">
        <f t="shared" si="26"/>
        <v/>
      </c>
      <c r="V174" s="325" t="str">
        <f t="shared" si="22"/>
        <v/>
      </c>
      <c r="W174" s="310" t="str">
        <f>IF(S174="","",VLOOKUP(S174,'G-1 All Habitats'!$B$2:$M$135,10,FALSE))</f>
        <v/>
      </c>
      <c r="X174" s="310" t="str">
        <f>IFERROR(VLOOKUP(W174,'G-1 All Habitats'!$V$3:$W$7,2,FALSE),"")</f>
        <v/>
      </c>
      <c r="Y174" s="45"/>
      <c r="Z174" s="314" t="str">
        <f>IFERROR(INDEX('G-8 Condition Look up'!$A$3:$H$135,MATCH(S174,'G-8 Condition Look up'!$A$3:$A$135,0),MATCH(Y174,'G-8 Condition Look up'!$A$3:$H$3,0)),"")</f>
        <v/>
      </c>
      <c r="AA174" s="38"/>
      <c r="AB174" s="310" t="str">
        <f>IF(AA174="","",IF(VLOOKUP(AA174,'G-3 Multipliers'!$L$3:$N$6,2,FALSE)=0,"Spatial Data Missing ⚠",VLOOKUP(AA174,'G-3 Multipliers'!$L$3:$N$6,2,FALSE)))</f>
        <v/>
      </c>
      <c r="AC174" s="314" t="str">
        <f>IF(AA174="","",IF(VLOOKUP(AA174,'G-3 Multipliers'!$L$3:$N$6,3,FALSE)=0,"Spatial Data Missing ⚠",VLOOKUP(AA174,'G-3 Multipliers'!$L$3:$N$6,3,FALSE)))</f>
        <v/>
      </c>
      <c r="AD174" s="327" t="str">
        <f t="shared" si="23"/>
        <v/>
      </c>
      <c r="AE174" s="47"/>
      <c r="AF174" s="47"/>
      <c r="AG174" s="298" t="str">
        <f t="shared" si="27"/>
        <v/>
      </c>
      <c r="AH174" s="311" t="str">
        <f t="shared" si="28"/>
        <v/>
      </c>
      <c r="AI174" s="312" t="str">
        <f>IF(AH174="Check Data","Check Data",IFERROR(VLOOKUP(AH174,'G-4 Temporal multipliers'!$A$4:$C$36,3,FALSE),""))</f>
        <v/>
      </c>
      <c r="AJ174" s="290" t="str">
        <f>IF(S174="","",VLOOKUP(S174,'G-3 Multipliers'!$A$2:$E$134,4,FALSE))</f>
        <v/>
      </c>
      <c r="AK174" s="298" t="str">
        <f t="shared" si="29"/>
        <v/>
      </c>
      <c r="AL174" s="298" t="str">
        <f t="shared" si="30"/>
        <v/>
      </c>
      <c r="AM174" s="328" t="str">
        <f>IFERROR(IF(F174="","",IF(AH174="Check Data ⚠","Check Data ⚠",VLOOKUP(AL174, 'G-3 Multipliers'!$P$2:$Q$6,2,FALSE))),"")</f>
        <v/>
      </c>
      <c r="AN174" s="304" t="str">
        <f t="shared" si="31"/>
        <v/>
      </c>
      <c r="AO174" s="163"/>
      <c r="AP174" s="164"/>
      <c r="AQ174" s="101"/>
      <c r="AT174" s="20" t="str">
        <f t="shared" si="32"/>
        <v>No</v>
      </c>
      <c r="AU174" s="20" t="str">
        <f>IF(E174="","",IF(ISNA(VLOOKUP($E174,'A-1 On-Site Habitat Baseline'!$D$1:$AV$258,4,FALSE)),"",(VLOOKUP($E174,'A-1 On-Site Habitat Baseline'!$D$1:$AV$258,4,FALSE))))</f>
        <v/>
      </c>
    </row>
    <row r="175" spans="1:47" x14ac:dyDescent="0.3">
      <c r="A175" s="20" t="str">
        <f>IF(E175="","",IF(ISNA(VLOOKUP($E175,'A-1 On-Site Habitat Baseline'!$D$1:$O$258,2,FALSE)),"",(VLOOKUP($E175,'A-1 On-Site Habitat Baseline'!$D$1:$O$258,2,FALSE))))</f>
        <v/>
      </c>
      <c r="B175" s="20" t="str">
        <f>IF(E175="","",IF(ISNA(VLOOKUP($E175,'A-1 On-Site Habitat Baseline'!$D$1:$O$258,3,FALSE)),"",(VLOOKUP($E175,'A-1 On-Site Habitat Baseline'!$D$1:$O$258,3,FALSE))))</f>
        <v/>
      </c>
      <c r="C175" s="20" t="str">
        <f>IFERROR(INDEX('G-8 Condition Look up'!$I$4:$I$135,MATCH(S175,'G-8 Condition Look up'!$A$4:$A$135,0)),"")</f>
        <v/>
      </c>
      <c r="E175" s="319" t="str">
        <f>'A-1 On-Site Habitat Baseline'!AL174</f>
        <v/>
      </c>
      <c r="F175" s="310" t="str">
        <f>IF(E175="","",IF(ISNA(VLOOKUP($E175,'A-1 On-Site Habitat Baseline'!$D$1:$AV$258,45,FALSE)),"",(VLOOKUP($E175,'A-1 On-Site Habitat Baseline'!$D$1:$AV$258,45,FALSE))))</f>
        <v/>
      </c>
      <c r="G175" s="310" t="str">
        <f>IF(E175="","",IF(ISNA(VLOOKUP($E175,'A-1 On-Site Habitat Baseline'!$D$1:$O$258,5,FALSE)),"",(VLOOKUP($E175,'A-1 On-Site Habitat Baseline'!$D$1:$O$258,5,FALSE))))</f>
        <v/>
      </c>
      <c r="H175" s="310" t="str">
        <f>IF(E175="","",IF(ISNA(VLOOKUP($E175,'A-1 On-Site Habitat Baseline'!$D$1:$O$258,6,FALSE)),"",(VLOOKUP($E175,'A-1 On-Site Habitat Baseline'!$D$1:$O$258,6,FALSE))))</f>
        <v/>
      </c>
      <c r="I175" s="310" t="str">
        <f>IF(E175="","",IF(ISNA(VLOOKUP($E175,'A-1 On-Site Habitat Baseline'!$D$1:$O$258,7,FALSE)),"",(VLOOKUP($E175,'A-1 On-Site Habitat Baseline'!$D$1:$O$258,7,FALSE))))</f>
        <v/>
      </c>
      <c r="J175" s="310" t="str">
        <f>IF(E175="","",IF(ISNA(VLOOKUP($E175,'A-1 On-Site Habitat Baseline'!$D$1:$O$258,8,FALSE)),"",(VLOOKUP($E175,'A-1 On-Site Habitat Baseline'!$D$1:$O$258,8,FALSE))))</f>
        <v/>
      </c>
      <c r="K175" s="310" t="str">
        <f>IF(E175="","",IF(ISNA(VLOOKUP($E175,'A-1 On-Site Habitat Baseline'!$D$1:$O$258,9,FALSE)),"",(VLOOKUP($E175,'A-1 On-Site Habitat Baseline'!$D$1:$O$258,9,FALSE))))</f>
        <v/>
      </c>
      <c r="L175" s="310" t="str">
        <f>IF(E175="","",IF(ISNA(VLOOKUP($E175,'A-1 On-Site Habitat Baseline'!$D$1:$O$258,11,FALSE)),"",(VLOOKUP($E175,'A-1 On-Site Habitat Baseline'!$D$1:$O$258,11,FALSE))))</f>
        <v/>
      </c>
      <c r="M175" s="310" t="str">
        <f>IF(E175="","",IF(ISNA(VLOOKUP($E175,'A-1 On-Site Habitat Baseline'!$D$1:$O$258,12,FALSE)),"",(VLOOKUP($E175,'A-1 On-Site Habitat Baseline'!$D$1:$O$258,12,FALSE))))</f>
        <v/>
      </c>
      <c r="N175" s="320" t="str">
        <f>IF(E175="","",IF(ISNA(VLOOKUP($E175,'A-1 On-Site Habitat Baseline'!$D$1:$X$258,14,FALSE)),"",(VLOOKUP($E175,'A-1 On-Site Habitat Baseline'!$D$1:$X$258,14,FALSE))))</f>
        <v/>
      </c>
      <c r="O175" s="314" t="str">
        <f>IF(E175="","",IF(ISNA(VLOOKUP($E175,'A-1 On-Site Habitat Baseline'!$D$1:$X$258,16,FALSE)),"",(VLOOKUP($E175,'A-1 On-Site Habitat Baseline'!$D$1:$X$258,13,FALSE))))</f>
        <v/>
      </c>
      <c r="P175" s="161" t="str">
        <f>IFERROR(INDEX('G-1 All Habitats'!$AG$49:$AG$63,MATCH(Q175,'G-1 All Habitats'!$AF$27:$AF$41,0)),"")</f>
        <v/>
      </c>
      <c r="Q175" s="162" t="str">
        <f t="shared" si="24"/>
        <v/>
      </c>
      <c r="R175" s="162"/>
      <c r="S175" s="252" t="str">
        <f>IFERROR(INDEX('G-1 All Habitats'!$B$3:$B$135,MATCH(R175,'G-1 All Habitats'!$A$3:$A$135,0)),"")</f>
        <v/>
      </c>
      <c r="T175" s="290" t="str">
        <f t="shared" si="25"/>
        <v/>
      </c>
      <c r="U175" s="291" t="str">
        <f t="shared" si="26"/>
        <v/>
      </c>
      <c r="V175" s="325" t="str">
        <f t="shared" si="22"/>
        <v/>
      </c>
      <c r="W175" s="310" t="str">
        <f>IF(S175="","",VLOOKUP(S175,'G-1 All Habitats'!$B$2:$M$135,10,FALSE))</f>
        <v/>
      </c>
      <c r="X175" s="310" t="str">
        <f>IFERROR(VLOOKUP(W175,'G-1 All Habitats'!$V$3:$W$7,2,FALSE),"")</f>
        <v/>
      </c>
      <c r="Y175" s="45"/>
      <c r="Z175" s="314" t="str">
        <f>IFERROR(INDEX('G-8 Condition Look up'!$A$3:$H$135,MATCH(S175,'G-8 Condition Look up'!$A$3:$A$135,0),MATCH(Y175,'G-8 Condition Look up'!$A$3:$H$3,0)),"")</f>
        <v/>
      </c>
      <c r="AA175" s="38"/>
      <c r="AB175" s="310" t="str">
        <f>IF(AA175="","",IF(VLOOKUP(AA175,'G-3 Multipliers'!$L$3:$N$6,2,FALSE)=0,"Spatial Data Missing ⚠",VLOOKUP(AA175,'G-3 Multipliers'!$L$3:$N$6,2,FALSE)))</f>
        <v/>
      </c>
      <c r="AC175" s="314" t="str">
        <f>IF(AA175="","",IF(VLOOKUP(AA175,'G-3 Multipliers'!$L$3:$N$6,3,FALSE)=0,"Spatial Data Missing ⚠",VLOOKUP(AA175,'G-3 Multipliers'!$L$3:$N$6,3,FALSE)))</f>
        <v/>
      </c>
      <c r="AD175" s="327" t="str">
        <f t="shared" si="23"/>
        <v/>
      </c>
      <c r="AE175" s="47"/>
      <c r="AF175" s="47"/>
      <c r="AG175" s="298" t="str">
        <f t="shared" si="27"/>
        <v/>
      </c>
      <c r="AH175" s="311" t="str">
        <f t="shared" si="28"/>
        <v/>
      </c>
      <c r="AI175" s="312" t="str">
        <f>IF(AH175="Check Data","Check Data",IFERROR(VLOOKUP(AH175,'G-4 Temporal multipliers'!$A$4:$C$36,3,FALSE),""))</f>
        <v/>
      </c>
      <c r="AJ175" s="290" t="str">
        <f>IF(S175="","",VLOOKUP(S175,'G-3 Multipliers'!$A$2:$E$134,4,FALSE))</f>
        <v/>
      </c>
      <c r="AK175" s="298" t="str">
        <f t="shared" si="29"/>
        <v/>
      </c>
      <c r="AL175" s="298" t="str">
        <f t="shared" si="30"/>
        <v/>
      </c>
      <c r="AM175" s="328" t="str">
        <f>IFERROR(IF(F175="","",IF(AH175="Check Data ⚠","Check Data ⚠",VLOOKUP(AL175, 'G-3 Multipliers'!$P$2:$Q$6,2,FALSE))),"")</f>
        <v/>
      </c>
      <c r="AN175" s="304" t="str">
        <f t="shared" si="31"/>
        <v/>
      </c>
      <c r="AO175" s="163"/>
      <c r="AP175" s="164"/>
      <c r="AQ175" s="101"/>
      <c r="AT175" s="20" t="str">
        <f t="shared" si="32"/>
        <v>No</v>
      </c>
      <c r="AU175" s="20" t="str">
        <f>IF(E175="","",IF(ISNA(VLOOKUP($E175,'A-1 On-Site Habitat Baseline'!$D$1:$AV$258,4,FALSE)),"",(VLOOKUP($E175,'A-1 On-Site Habitat Baseline'!$D$1:$AV$258,4,FALSE))))</f>
        <v/>
      </c>
    </row>
    <row r="176" spans="1:47" x14ac:dyDescent="0.3">
      <c r="A176" s="20" t="str">
        <f>IF(E176="","",IF(ISNA(VLOOKUP($E176,'A-1 On-Site Habitat Baseline'!$D$1:$O$258,2,FALSE)),"",(VLOOKUP($E176,'A-1 On-Site Habitat Baseline'!$D$1:$O$258,2,FALSE))))</f>
        <v/>
      </c>
      <c r="B176" s="20" t="str">
        <f>IF(E176="","",IF(ISNA(VLOOKUP($E176,'A-1 On-Site Habitat Baseline'!$D$1:$O$258,3,FALSE)),"",(VLOOKUP($E176,'A-1 On-Site Habitat Baseline'!$D$1:$O$258,3,FALSE))))</f>
        <v/>
      </c>
      <c r="C176" s="20" t="str">
        <f>IFERROR(INDEX('G-8 Condition Look up'!$I$4:$I$135,MATCH(S176,'G-8 Condition Look up'!$A$4:$A$135,0)),"")</f>
        <v/>
      </c>
      <c r="E176" s="319" t="str">
        <f>'A-1 On-Site Habitat Baseline'!AL175</f>
        <v/>
      </c>
      <c r="F176" s="310" t="str">
        <f>IF(E176="","",IF(ISNA(VLOOKUP($E176,'A-1 On-Site Habitat Baseline'!$D$1:$AV$258,45,FALSE)),"",(VLOOKUP($E176,'A-1 On-Site Habitat Baseline'!$D$1:$AV$258,45,FALSE))))</f>
        <v/>
      </c>
      <c r="G176" s="310" t="str">
        <f>IF(E176="","",IF(ISNA(VLOOKUP($E176,'A-1 On-Site Habitat Baseline'!$D$1:$O$258,5,FALSE)),"",(VLOOKUP($E176,'A-1 On-Site Habitat Baseline'!$D$1:$O$258,5,FALSE))))</f>
        <v/>
      </c>
      <c r="H176" s="310" t="str">
        <f>IF(E176="","",IF(ISNA(VLOOKUP($E176,'A-1 On-Site Habitat Baseline'!$D$1:$O$258,6,FALSE)),"",(VLOOKUP($E176,'A-1 On-Site Habitat Baseline'!$D$1:$O$258,6,FALSE))))</f>
        <v/>
      </c>
      <c r="I176" s="310" t="str">
        <f>IF(E176="","",IF(ISNA(VLOOKUP($E176,'A-1 On-Site Habitat Baseline'!$D$1:$O$258,7,FALSE)),"",(VLOOKUP($E176,'A-1 On-Site Habitat Baseline'!$D$1:$O$258,7,FALSE))))</f>
        <v/>
      </c>
      <c r="J176" s="310" t="str">
        <f>IF(E176="","",IF(ISNA(VLOOKUP($E176,'A-1 On-Site Habitat Baseline'!$D$1:$O$258,8,FALSE)),"",(VLOOKUP($E176,'A-1 On-Site Habitat Baseline'!$D$1:$O$258,8,FALSE))))</f>
        <v/>
      </c>
      <c r="K176" s="310" t="str">
        <f>IF(E176="","",IF(ISNA(VLOOKUP($E176,'A-1 On-Site Habitat Baseline'!$D$1:$O$258,9,FALSE)),"",(VLOOKUP($E176,'A-1 On-Site Habitat Baseline'!$D$1:$O$258,9,FALSE))))</f>
        <v/>
      </c>
      <c r="L176" s="310" t="str">
        <f>IF(E176="","",IF(ISNA(VLOOKUP($E176,'A-1 On-Site Habitat Baseline'!$D$1:$O$258,11,FALSE)),"",(VLOOKUP($E176,'A-1 On-Site Habitat Baseline'!$D$1:$O$258,11,FALSE))))</f>
        <v/>
      </c>
      <c r="M176" s="310" t="str">
        <f>IF(E176="","",IF(ISNA(VLOOKUP($E176,'A-1 On-Site Habitat Baseline'!$D$1:$O$258,12,FALSE)),"",(VLOOKUP($E176,'A-1 On-Site Habitat Baseline'!$D$1:$O$258,12,FALSE))))</f>
        <v/>
      </c>
      <c r="N176" s="320" t="str">
        <f>IF(E176="","",IF(ISNA(VLOOKUP($E176,'A-1 On-Site Habitat Baseline'!$D$1:$X$258,14,FALSE)),"",(VLOOKUP($E176,'A-1 On-Site Habitat Baseline'!$D$1:$X$258,14,FALSE))))</f>
        <v/>
      </c>
      <c r="O176" s="314" t="str">
        <f>IF(E176="","",IF(ISNA(VLOOKUP($E176,'A-1 On-Site Habitat Baseline'!$D$1:$X$258,16,FALSE)),"",(VLOOKUP($E176,'A-1 On-Site Habitat Baseline'!$D$1:$X$258,13,FALSE))))</f>
        <v/>
      </c>
      <c r="P176" s="161" t="str">
        <f>IFERROR(INDEX('G-1 All Habitats'!$AG$49:$AG$63,MATCH(Q176,'G-1 All Habitats'!$AF$27:$AF$41,0)),"")</f>
        <v/>
      </c>
      <c r="Q176" s="162" t="str">
        <f t="shared" si="24"/>
        <v/>
      </c>
      <c r="R176" s="162"/>
      <c r="S176" s="252" t="str">
        <f>IFERROR(INDEX('G-1 All Habitats'!$B$3:$B$135,MATCH(R176,'G-1 All Habitats'!$A$3:$A$135,0)),"")</f>
        <v/>
      </c>
      <c r="T176" s="290" t="str">
        <f t="shared" si="25"/>
        <v/>
      </c>
      <c r="U176" s="291" t="str">
        <f t="shared" si="26"/>
        <v/>
      </c>
      <c r="V176" s="325" t="str">
        <f t="shared" si="22"/>
        <v/>
      </c>
      <c r="W176" s="310" t="str">
        <f>IF(S176="","",VLOOKUP(S176,'G-1 All Habitats'!$B$2:$M$135,10,FALSE))</f>
        <v/>
      </c>
      <c r="X176" s="310" t="str">
        <f>IFERROR(VLOOKUP(W176,'G-1 All Habitats'!$V$3:$W$7,2,FALSE),"")</f>
        <v/>
      </c>
      <c r="Y176" s="45"/>
      <c r="Z176" s="314" t="str">
        <f>IFERROR(INDEX('G-8 Condition Look up'!$A$3:$H$135,MATCH(S176,'G-8 Condition Look up'!$A$3:$A$135,0),MATCH(Y176,'G-8 Condition Look up'!$A$3:$H$3,0)),"")</f>
        <v/>
      </c>
      <c r="AA176" s="38"/>
      <c r="AB176" s="310" t="str">
        <f>IF(AA176="","",IF(VLOOKUP(AA176,'G-3 Multipliers'!$L$3:$N$6,2,FALSE)=0,"Spatial Data Missing ⚠",VLOOKUP(AA176,'G-3 Multipliers'!$L$3:$N$6,2,FALSE)))</f>
        <v/>
      </c>
      <c r="AC176" s="314" t="str">
        <f>IF(AA176="","",IF(VLOOKUP(AA176,'G-3 Multipliers'!$L$3:$N$6,3,FALSE)=0,"Spatial Data Missing ⚠",VLOOKUP(AA176,'G-3 Multipliers'!$L$3:$N$6,3,FALSE)))</f>
        <v/>
      </c>
      <c r="AD176" s="327" t="str">
        <f t="shared" si="23"/>
        <v/>
      </c>
      <c r="AE176" s="47"/>
      <c r="AF176" s="47"/>
      <c r="AG176" s="298" t="str">
        <f t="shared" si="27"/>
        <v/>
      </c>
      <c r="AH176" s="311" t="str">
        <f t="shared" si="28"/>
        <v/>
      </c>
      <c r="AI176" s="312" t="str">
        <f>IF(AH176="Check Data","Check Data",IFERROR(VLOOKUP(AH176,'G-4 Temporal multipliers'!$A$4:$C$36,3,FALSE),""))</f>
        <v/>
      </c>
      <c r="AJ176" s="290" t="str">
        <f>IF(S176="","",VLOOKUP(S176,'G-3 Multipliers'!$A$2:$E$134,4,FALSE))</f>
        <v/>
      </c>
      <c r="AK176" s="298" t="str">
        <f t="shared" si="29"/>
        <v/>
      </c>
      <c r="AL176" s="298" t="str">
        <f t="shared" si="30"/>
        <v/>
      </c>
      <c r="AM176" s="328" t="str">
        <f>IFERROR(IF(F176="","",IF(AH176="Check Data ⚠","Check Data ⚠",VLOOKUP(AL176, 'G-3 Multipliers'!$P$2:$Q$6,2,FALSE))),"")</f>
        <v/>
      </c>
      <c r="AN176" s="304" t="str">
        <f t="shared" si="31"/>
        <v/>
      </c>
      <c r="AO176" s="163"/>
      <c r="AP176" s="164"/>
      <c r="AQ176" s="101"/>
      <c r="AT176" s="20" t="str">
        <f t="shared" si="32"/>
        <v>No</v>
      </c>
      <c r="AU176" s="20" t="str">
        <f>IF(E176="","",IF(ISNA(VLOOKUP($E176,'A-1 On-Site Habitat Baseline'!$D$1:$AV$258,4,FALSE)),"",(VLOOKUP($E176,'A-1 On-Site Habitat Baseline'!$D$1:$AV$258,4,FALSE))))</f>
        <v/>
      </c>
    </row>
    <row r="177" spans="1:47" x14ac:dyDescent="0.3">
      <c r="A177" s="20" t="str">
        <f>IF(E177="","",IF(ISNA(VLOOKUP($E177,'A-1 On-Site Habitat Baseline'!$D$1:$O$258,2,FALSE)),"",(VLOOKUP($E177,'A-1 On-Site Habitat Baseline'!$D$1:$O$258,2,FALSE))))</f>
        <v/>
      </c>
      <c r="B177" s="20" t="str">
        <f>IF(E177="","",IF(ISNA(VLOOKUP($E177,'A-1 On-Site Habitat Baseline'!$D$1:$O$258,3,FALSE)),"",(VLOOKUP($E177,'A-1 On-Site Habitat Baseline'!$D$1:$O$258,3,FALSE))))</f>
        <v/>
      </c>
      <c r="C177" s="20" t="str">
        <f>IFERROR(INDEX('G-8 Condition Look up'!$I$4:$I$135,MATCH(S177,'G-8 Condition Look up'!$A$4:$A$135,0)),"")</f>
        <v/>
      </c>
      <c r="E177" s="319" t="str">
        <f>'A-1 On-Site Habitat Baseline'!AL176</f>
        <v/>
      </c>
      <c r="F177" s="310" t="str">
        <f>IF(E177="","",IF(ISNA(VLOOKUP($E177,'A-1 On-Site Habitat Baseline'!$D$1:$AV$258,45,FALSE)),"",(VLOOKUP($E177,'A-1 On-Site Habitat Baseline'!$D$1:$AV$258,45,FALSE))))</f>
        <v/>
      </c>
      <c r="G177" s="310" t="str">
        <f>IF(E177="","",IF(ISNA(VLOOKUP($E177,'A-1 On-Site Habitat Baseline'!$D$1:$O$258,5,FALSE)),"",(VLOOKUP($E177,'A-1 On-Site Habitat Baseline'!$D$1:$O$258,5,FALSE))))</f>
        <v/>
      </c>
      <c r="H177" s="310" t="str">
        <f>IF(E177="","",IF(ISNA(VLOOKUP($E177,'A-1 On-Site Habitat Baseline'!$D$1:$O$258,6,FALSE)),"",(VLOOKUP($E177,'A-1 On-Site Habitat Baseline'!$D$1:$O$258,6,FALSE))))</f>
        <v/>
      </c>
      <c r="I177" s="310" t="str">
        <f>IF(E177="","",IF(ISNA(VLOOKUP($E177,'A-1 On-Site Habitat Baseline'!$D$1:$O$258,7,FALSE)),"",(VLOOKUP($E177,'A-1 On-Site Habitat Baseline'!$D$1:$O$258,7,FALSE))))</f>
        <v/>
      </c>
      <c r="J177" s="310" t="str">
        <f>IF(E177="","",IF(ISNA(VLOOKUP($E177,'A-1 On-Site Habitat Baseline'!$D$1:$O$258,8,FALSE)),"",(VLOOKUP($E177,'A-1 On-Site Habitat Baseline'!$D$1:$O$258,8,FALSE))))</f>
        <v/>
      </c>
      <c r="K177" s="310" t="str">
        <f>IF(E177="","",IF(ISNA(VLOOKUP($E177,'A-1 On-Site Habitat Baseline'!$D$1:$O$258,9,FALSE)),"",(VLOOKUP($E177,'A-1 On-Site Habitat Baseline'!$D$1:$O$258,9,FALSE))))</f>
        <v/>
      </c>
      <c r="L177" s="310" t="str">
        <f>IF(E177="","",IF(ISNA(VLOOKUP($E177,'A-1 On-Site Habitat Baseline'!$D$1:$O$258,11,FALSE)),"",(VLOOKUP($E177,'A-1 On-Site Habitat Baseline'!$D$1:$O$258,11,FALSE))))</f>
        <v/>
      </c>
      <c r="M177" s="310" t="str">
        <f>IF(E177="","",IF(ISNA(VLOOKUP($E177,'A-1 On-Site Habitat Baseline'!$D$1:$O$258,12,FALSE)),"",(VLOOKUP($E177,'A-1 On-Site Habitat Baseline'!$D$1:$O$258,12,FALSE))))</f>
        <v/>
      </c>
      <c r="N177" s="320" t="str">
        <f>IF(E177="","",IF(ISNA(VLOOKUP($E177,'A-1 On-Site Habitat Baseline'!$D$1:$X$258,14,FALSE)),"",(VLOOKUP($E177,'A-1 On-Site Habitat Baseline'!$D$1:$X$258,14,FALSE))))</f>
        <v/>
      </c>
      <c r="O177" s="314" t="str">
        <f>IF(E177="","",IF(ISNA(VLOOKUP($E177,'A-1 On-Site Habitat Baseline'!$D$1:$X$258,16,FALSE)),"",(VLOOKUP($E177,'A-1 On-Site Habitat Baseline'!$D$1:$X$258,13,FALSE))))</f>
        <v/>
      </c>
      <c r="P177" s="161" t="str">
        <f>IFERROR(INDEX('G-1 All Habitats'!$AG$49:$AG$63,MATCH(Q177,'G-1 All Habitats'!$AF$27:$AF$41,0)),"")</f>
        <v/>
      </c>
      <c r="Q177" s="162" t="str">
        <f t="shared" si="24"/>
        <v/>
      </c>
      <c r="R177" s="162"/>
      <c r="S177" s="252" t="str">
        <f>IFERROR(INDEX('G-1 All Habitats'!$B$3:$B$135,MATCH(R177,'G-1 All Habitats'!$A$3:$A$135,0)),"")</f>
        <v/>
      </c>
      <c r="T177" s="290" t="str">
        <f t="shared" si="25"/>
        <v/>
      </c>
      <c r="U177" s="291" t="str">
        <f t="shared" si="26"/>
        <v/>
      </c>
      <c r="V177" s="325" t="str">
        <f t="shared" si="22"/>
        <v/>
      </c>
      <c r="W177" s="310" t="str">
        <f>IF(S177="","",VLOOKUP(S177,'G-1 All Habitats'!$B$2:$M$135,10,FALSE))</f>
        <v/>
      </c>
      <c r="X177" s="310" t="str">
        <f>IFERROR(VLOOKUP(W177,'G-1 All Habitats'!$V$3:$W$7,2,FALSE),"")</f>
        <v/>
      </c>
      <c r="Y177" s="45"/>
      <c r="Z177" s="314" t="str">
        <f>IFERROR(INDEX('G-8 Condition Look up'!$A$3:$H$135,MATCH(S177,'G-8 Condition Look up'!$A$3:$A$135,0),MATCH(Y177,'G-8 Condition Look up'!$A$3:$H$3,0)),"")</f>
        <v/>
      </c>
      <c r="AA177" s="38"/>
      <c r="AB177" s="310" t="str">
        <f>IF(AA177="","",IF(VLOOKUP(AA177,'G-3 Multipliers'!$L$3:$N$6,2,FALSE)=0,"Spatial Data Missing ⚠",VLOOKUP(AA177,'G-3 Multipliers'!$L$3:$N$6,2,FALSE)))</f>
        <v/>
      </c>
      <c r="AC177" s="314" t="str">
        <f>IF(AA177="","",IF(VLOOKUP(AA177,'G-3 Multipliers'!$L$3:$N$6,3,FALSE)=0,"Spatial Data Missing ⚠",VLOOKUP(AA177,'G-3 Multipliers'!$L$3:$N$6,3,FALSE)))</f>
        <v/>
      </c>
      <c r="AD177" s="327" t="str">
        <f t="shared" si="23"/>
        <v/>
      </c>
      <c r="AE177" s="47"/>
      <c r="AF177" s="47"/>
      <c r="AG177" s="298" t="str">
        <f t="shared" si="27"/>
        <v/>
      </c>
      <c r="AH177" s="311" t="str">
        <f t="shared" si="28"/>
        <v/>
      </c>
      <c r="AI177" s="312" t="str">
        <f>IF(AH177="Check Data","Check Data",IFERROR(VLOOKUP(AH177,'G-4 Temporal multipliers'!$A$4:$C$36,3,FALSE),""))</f>
        <v/>
      </c>
      <c r="AJ177" s="290" t="str">
        <f>IF(S177="","",VLOOKUP(S177,'G-3 Multipliers'!$A$2:$E$134,4,FALSE))</f>
        <v/>
      </c>
      <c r="AK177" s="298" t="str">
        <f t="shared" si="29"/>
        <v/>
      </c>
      <c r="AL177" s="298" t="str">
        <f t="shared" si="30"/>
        <v/>
      </c>
      <c r="AM177" s="328" t="str">
        <f>IFERROR(IF(F177="","",IF(AH177="Check Data ⚠","Check Data ⚠",VLOOKUP(AL177, 'G-3 Multipliers'!$P$2:$Q$6,2,FALSE))),"")</f>
        <v/>
      </c>
      <c r="AN177" s="304" t="str">
        <f t="shared" si="31"/>
        <v/>
      </c>
      <c r="AO177" s="163"/>
      <c r="AP177" s="164"/>
      <c r="AQ177" s="101"/>
      <c r="AT177" s="20" t="str">
        <f t="shared" si="32"/>
        <v>No</v>
      </c>
      <c r="AU177" s="20" t="str">
        <f>IF(E177="","",IF(ISNA(VLOOKUP($E177,'A-1 On-Site Habitat Baseline'!$D$1:$AV$258,4,FALSE)),"",(VLOOKUP($E177,'A-1 On-Site Habitat Baseline'!$D$1:$AV$258,4,FALSE))))</f>
        <v/>
      </c>
    </row>
    <row r="178" spans="1:47" x14ac:dyDescent="0.3">
      <c r="A178" s="20" t="str">
        <f>IF(E178="","",IF(ISNA(VLOOKUP($E178,'A-1 On-Site Habitat Baseline'!$D$1:$O$258,2,FALSE)),"",(VLOOKUP($E178,'A-1 On-Site Habitat Baseline'!$D$1:$O$258,2,FALSE))))</f>
        <v/>
      </c>
      <c r="B178" s="20" t="str">
        <f>IF(E178="","",IF(ISNA(VLOOKUP($E178,'A-1 On-Site Habitat Baseline'!$D$1:$O$258,3,FALSE)),"",(VLOOKUP($E178,'A-1 On-Site Habitat Baseline'!$D$1:$O$258,3,FALSE))))</f>
        <v/>
      </c>
      <c r="C178" s="20" t="str">
        <f>IFERROR(INDEX('G-8 Condition Look up'!$I$4:$I$135,MATCH(S178,'G-8 Condition Look up'!$A$4:$A$135,0)),"")</f>
        <v/>
      </c>
      <c r="E178" s="319" t="str">
        <f>'A-1 On-Site Habitat Baseline'!AL177</f>
        <v/>
      </c>
      <c r="F178" s="310" t="str">
        <f>IF(E178="","",IF(ISNA(VLOOKUP($E178,'A-1 On-Site Habitat Baseline'!$D$1:$AV$258,45,FALSE)),"",(VLOOKUP($E178,'A-1 On-Site Habitat Baseline'!$D$1:$AV$258,45,FALSE))))</f>
        <v/>
      </c>
      <c r="G178" s="310" t="str">
        <f>IF(E178="","",IF(ISNA(VLOOKUP($E178,'A-1 On-Site Habitat Baseline'!$D$1:$O$258,5,FALSE)),"",(VLOOKUP($E178,'A-1 On-Site Habitat Baseline'!$D$1:$O$258,5,FALSE))))</f>
        <v/>
      </c>
      <c r="H178" s="310" t="str">
        <f>IF(E178="","",IF(ISNA(VLOOKUP($E178,'A-1 On-Site Habitat Baseline'!$D$1:$O$258,6,FALSE)),"",(VLOOKUP($E178,'A-1 On-Site Habitat Baseline'!$D$1:$O$258,6,FALSE))))</f>
        <v/>
      </c>
      <c r="I178" s="310" t="str">
        <f>IF(E178="","",IF(ISNA(VLOOKUP($E178,'A-1 On-Site Habitat Baseline'!$D$1:$O$258,7,FALSE)),"",(VLOOKUP($E178,'A-1 On-Site Habitat Baseline'!$D$1:$O$258,7,FALSE))))</f>
        <v/>
      </c>
      <c r="J178" s="310" t="str">
        <f>IF(E178="","",IF(ISNA(VLOOKUP($E178,'A-1 On-Site Habitat Baseline'!$D$1:$O$258,8,FALSE)),"",(VLOOKUP($E178,'A-1 On-Site Habitat Baseline'!$D$1:$O$258,8,FALSE))))</f>
        <v/>
      </c>
      <c r="K178" s="310" t="str">
        <f>IF(E178="","",IF(ISNA(VLOOKUP($E178,'A-1 On-Site Habitat Baseline'!$D$1:$O$258,9,FALSE)),"",(VLOOKUP($E178,'A-1 On-Site Habitat Baseline'!$D$1:$O$258,9,FALSE))))</f>
        <v/>
      </c>
      <c r="L178" s="310" t="str">
        <f>IF(E178="","",IF(ISNA(VLOOKUP($E178,'A-1 On-Site Habitat Baseline'!$D$1:$O$258,11,FALSE)),"",(VLOOKUP($E178,'A-1 On-Site Habitat Baseline'!$D$1:$O$258,11,FALSE))))</f>
        <v/>
      </c>
      <c r="M178" s="310" t="str">
        <f>IF(E178="","",IF(ISNA(VLOOKUP($E178,'A-1 On-Site Habitat Baseline'!$D$1:$O$258,12,FALSE)),"",(VLOOKUP($E178,'A-1 On-Site Habitat Baseline'!$D$1:$O$258,12,FALSE))))</f>
        <v/>
      </c>
      <c r="N178" s="320" t="str">
        <f>IF(E178="","",IF(ISNA(VLOOKUP($E178,'A-1 On-Site Habitat Baseline'!$D$1:$X$258,14,FALSE)),"",(VLOOKUP($E178,'A-1 On-Site Habitat Baseline'!$D$1:$X$258,14,FALSE))))</f>
        <v/>
      </c>
      <c r="O178" s="314" t="str">
        <f>IF(E178="","",IF(ISNA(VLOOKUP($E178,'A-1 On-Site Habitat Baseline'!$D$1:$X$258,16,FALSE)),"",(VLOOKUP($E178,'A-1 On-Site Habitat Baseline'!$D$1:$X$258,13,FALSE))))</f>
        <v/>
      </c>
      <c r="P178" s="161" t="str">
        <f>IFERROR(INDEX('G-1 All Habitats'!$AG$49:$AG$63,MATCH(Q178,'G-1 All Habitats'!$AF$27:$AF$41,0)),"")</f>
        <v/>
      </c>
      <c r="Q178" s="162" t="str">
        <f t="shared" si="24"/>
        <v/>
      </c>
      <c r="R178" s="162"/>
      <c r="S178" s="252" t="str">
        <f>IFERROR(INDEX('G-1 All Habitats'!$B$3:$B$135,MATCH(R178,'G-1 All Habitats'!$A$3:$A$135,0)),"")</f>
        <v/>
      </c>
      <c r="T178" s="290" t="str">
        <f t="shared" si="25"/>
        <v/>
      </c>
      <c r="U178" s="291" t="str">
        <f t="shared" si="26"/>
        <v/>
      </c>
      <c r="V178" s="325" t="str">
        <f t="shared" si="22"/>
        <v/>
      </c>
      <c r="W178" s="310" t="str">
        <f>IF(S178="","",VLOOKUP(S178,'G-1 All Habitats'!$B$2:$M$135,10,FALSE))</f>
        <v/>
      </c>
      <c r="X178" s="310" t="str">
        <f>IFERROR(VLOOKUP(W178,'G-1 All Habitats'!$V$3:$W$7,2,FALSE),"")</f>
        <v/>
      </c>
      <c r="Y178" s="45"/>
      <c r="Z178" s="314" t="str">
        <f>IFERROR(INDEX('G-8 Condition Look up'!$A$3:$H$135,MATCH(S178,'G-8 Condition Look up'!$A$3:$A$135,0),MATCH(Y178,'G-8 Condition Look up'!$A$3:$H$3,0)),"")</f>
        <v/>
      </c>
      <c r="AA178" s="38"/>
      <c r="AB178" s="310" t="str">
        <f>IF(AA178="","",IF(VLOOKUP(AA178,'G-3 Multipliers'!$L$3:$N$6,2,FALSE)=0,"Spatial Data Missing ⚠",VLOOKUP(AA178,'G-3 Multipliers'!$L$3:$N$6,2,FALSE)))</f>
        <v/>
      </c>
      <c r="AC178" s="314" t="str">
        <f>IF(AA178="","",IF(VLOOKUP(AA178,'G-3 Multipliers'!$L$3:$N$6,3,FALSE)=0,"Spatial Data Missing ⚠",VLOOKUP(AA178,'G-3 Multipliers'!$L$3:$N$6,3,FALSE)))</f>
        <v/>
      </c>
      <c r="AD178" s="327" t="str">
        <f t="shared" si="23"/>
        <v/>
      </c>
      <c r="AE178" s="47"/>
      <c r="AF178" s="47"/>
      <c r="AG178" s="298" t="str">
        <f t="shared" si="27"/>
        <v/>
      </c>
      <c r="AH178" s="311" t="str">
        <f t="shared" si="28"/>
        <v/>
      </c>
      <c r="AI178" s="312" t="str">
        <f>IF(AH178="Check Data","Check Data",IFERROR(VLOOKUP(AH178,'G-4 Temporal multipliers'!$A$4:$C$36,3,FALSE),""))</f>
        <v/>
      </c>
      <c r="AJ178" s="290" t="str">
        <f>IF(S178="","",VLOOKUP(S178,'G-3 Multipliers'!$A$2:$E$134,4,FALSE))</f>
        <v/>
      </c>
      <c r="AK178" s="298" t="str">
        <f t="shared" si="29"/>
        <v/>
      </c>
      <c r="AL178" s="298" t="str">
        <f t="shared" si="30"/>
        <v/>
      </c>
      <c r="AM178" s="328" t="str">
        <f>IFERROR(IF(F178="","",IF(AH178="Check Data ⚠","Check Data ⚠",VLOOKUP(AL178, 'G-3 Multipliers'!$P$2:$Q$6,2,FALSE))),"")</f>
        <v/>
      </c>
      <c r="AN178" s="304" t="str">
        <f t="shared" si="31"/>
        <v/>
      </c>
      <c r="AO178" s="163"/>
      <c r="AP178" s="164"/>
      <c r="AQ178" s="101"/>
      <c r="AT178" s="20" t="str">
        <f t="shared" si="32"/>
        <v>No</v>
      </c>
      <c r="AU178" s="20" t="str">
        <f>IF(E178="","",IF(ISNA(VLOOKUP($E178,'A-1 On-Site Habitat Baseline'!$D$1:$AV$258,4,FALSE)),"",(VLOOKUP($E178,'A-1 On-Site Habitat Baseline'!$D$1:$AV$258,4,FALSE))))</f>
        <v/>
      </c>
    </row>
    <row r="179" spans="1:47" x14ac:dyDescent="0.3">
      <c r="A179" s="20" t="str">
        <f>IF(E179="","",IF(ISNA(VLOOKUP($E179,'A-1 On-Site Habitat Baseline'!$D$1:$O$258,2,FALSE)),"",(VLOOKUP($E179,'A-1 On-Site Habitat Baseline'!$D$1:$O$258,2,FALSE))))</f>
        <v/>
      </c>
      <c r="B179" s="20" t="str">
        <f>IF(E179="","",IF(ISNA(VLOOKUP($E179,'A-1 On-Site Habitat Baseline'!$D$1:$O$258,3,FALSE)),"",(VLOOKUP($E179,'A-1 On-Site Habitat Baseline'!$D$1:$O$258,3,FALSE))))</f>
        <v/>
      </c>
      <c r="C179" s="20" t="str">
        <f>IFERROR(INDEX('G-8 Condition Look up'!$I$4:$I$135,MATCH(S179,'G-8 Condition Look up'!$A$4:$A$135,0)),"")</f>
        <v/>
      </c>
      <c r="E179" s="319" t="str">
        <f>'A-1 On-Site Habitat Baseline'!AL178</f>
        <v/>
      </c>
      <c r="F179" s="310" t="str">
        <f>IF(E179="","",IF(ISNA(VLOOKUP($E179,'A-1 On-Site Habitat Baseline'!$D$1:$AV$258,45,FALSE)),"",(VLOOKUP($E179,'A-1 On-Site Habitat Baseline'!$D$1:$AV$258,45,FALSE))))</f>
        <v/>
      </c>
      <c r="G179" s="310" t="str">
        <f>IF(E179="","",IF(ISNA(VLOOKUP($E179,'A-1 On-Site Habitat Baseline'!$D$1:$O$258,5,FALSE)),"",(VLOOKUP($E179,'A-1 On-Site Habitat Baseline'!$D$1:$O$258,5,FALSE))))</f>
        <v/>
      </c>
      <c r="H179" s="310" t="str">
        <f>IF(E179="","",IF(ISNA(VLOOKUP($E179,'A-1 On-Site Habitat Baseline'!$D$1:$O$258,6,FALSE)),"",(VLOOKUP($E179,'A-1 On-Site Habitat Baseline'!$D$1:$O$258,6,FALSE))))</f>
        <v/>
      </c>
      <c r="I179" s="310" t="str">
        <f>IF(E179="","",IF(ISNA(VLOOKUP($E179,'A-1 On-Site Habitat Baseline'!$D$1:$O$258,7,FALSE)),"",(VLOOKUP($E179,'A-1 On-Site Habitat Baseline'!$D$1:$O$258,7,FALSE))))</f>
        <v/>
      </c>
      <c r="J179" s="310" t="str">
        <f>IF(E179="","",IF(ISNA(VLOOKUP($E179,'A-1 On-Site Habitat Baseline'!$D$1:$O$258,8,FALSE)),"",(VLOOKUP($E179,'A-1 On-Site Habitat Baseline'!$D$1:$O$258,8,FALSE))))</f>
        <v/>
      </c>
      <c r="K179" s="310" t="str">
        <f>IF(E179="","",IF(ISNA(VLOOKUP($E179,'A-1 On-Site Habitat Baseline'!$D$1:$O$258,9,FALSE)),"",(VLOOKUP($E179,'A-1 On-Site Habitat Baseline'!$D$1:$O$258,9,FALSE))))</f>
        <v/>
      </c>
      <c r="L179" s="310" t="str">
        <f>IF(E179="","",IF(ISNA(VLOOKUP($E179,'A-1 On-Site Habitat Baseline'!$D$1:$O$258,11,FALSE)),"",(VLOOKUP($E179,'A-1 On-Site Habitat Baseline'!$D$1:$O$258,11,FALSE))))</f>
        <v/>
      </c>
      <c r="M179" s="310" t="str">
        <f>IF(E179="","",IF(ISNA(VLOOKUP($E179,'A-1 On-Site Habitat Baseline'!$D$1:$O$258,12,FALSE)),"",(VLOOKUP($E179,'A-1 On-Site Habitat Baseline'!$D$1:$O$258,12,FALSE))))</f>
        <v/>
      </c>
      <c r="N179" s="320" t="str">
        <f>IF(E179="","",IF(ISNA(VLOOKUP($E179,'A-1 On-Site Habitat Baseline'!$D$1:$X$258,14,FALSE)),"",(VLOOKUP($E179,'A-1 On-Site Habitat Baseline'!$D$1:$X$258,14,FALSE))))</f>
        <v/>
      </c>
      <c r="O179" s="314" t="str">
        <f>IF(E179="","",IF(ISNA(VLOOKUP($E179,'A-1 On-Site Habitat Baseline'!$D$1:$X$258,16,FALSE)),"",(VLOOKUP($E179,'A-1 On-Site Habitat Baseline'!$D$1:$X$258,13,FALSE))))</f>
        <v/>
      </c>
      <c r="P179" s="161" t="str">
        <f>IFERROR(INDEX('G-1 All Habitats'!$AG$49:$AG$63,MATCH(Q179,'G-1 All Habitats'!$AF$27:$AF$41,0)),"")</f>
        <v/>
      </c>
      <c r="Q179" s="162" t="str">
        <f t="shared" si="24"/>
        <v/>
      </c>
      <c r="R179" s="162"/>
      <c r="S179" s="252" t="str">
        <f>IFERROR(INDEX('G-1 All Habitats'!$B$3:$B$135,MATCH(R179,'G-1 All Habitats'!$A$3:$A$135,0)),"")</f>
        <v/>
      </c>
      <c r="T179" s="290" t="str">
        <f t="shared" si="25"/>
        <v/>
      </c>
      <c r="U179" s="291" t="str">
        <f t="shared" si="26"/>
        <v/>
      </c>
      <c r="V179" s="325" t="str">
        <f t="shared" si="22"/>
        <v/>
      </c>
      <c r="W179" s="310" t="str">
        <f>IF(S179="","",VLOOKUP(S179,'G-1 All Habitats'!$B$2:$M$135,10,FALSE))</f>
        <v/>
      </c>
      <c r="X179" s="310" t="str">
        <f>IFERROR(VLOOKUP(W179,'G-1 All Habitats'!$V$3:$W$7,2,FALSE),"")</f>
        <v/>
      </c>
      <c r="Y179" s="45"/>
      <c r="Z179" s="314" t="str">
        <f>IFERROR(INDEX('G-8 Condition Look up'!$A$3:$H$135,MATCH(S179,'G-8 Condition Look up'!$A$3:$A$135,0),MATCH(Y179,'G-8 Condition Look up'!$A$3:$H$3,0)),"")</f>
        <v/>
      </c>
      <c r="AA179" s="38"/>
      <c r="AB179" s="310" t="str">
        <f>IF(AA179="","",IF(VLOOKUP(AA179,'G-3 Multipliers'!$L$3:$N$6,2,FALSE)=0,"Spatial Data Missing ⚠",VLOOKUP(AA179,'G-3 Multipliers'!$L$3:$N$6,2,FALSE)))</f>
        <v/>
      </c>
      <c r="AC179" s="314" t="str">
        <f>IF(AA179="","",IF(VLOOKUP(AA179,'G-3 Multipliers'!$L$3:$N$6,3,FALSE)=0,"Spatial Data Missing ⚠",VLOOKUP(AA179,'G-3 Multipliers'!$L$3:$N$6,3,FALSE)))</f>
        <v/>
      </c>
      <c r="AD179" s="327" t="str">
        <f t="shared" si="23"/>
        <v/>
      </c>
      <c r="AE179" s="47"/>
      <c r="AF179" s="47"/>
      <c r="AG179" s="298" t="str">
        <f t="shared" si="27"/>
        <v/>
      </c>
      <c r="AH179" s="311" t="str">
        <f t="shared" si="28"/>
        <v/>
      </c>
      <c r="AI179" s="312" t="str">
        <f>IF(AH179="Check Data","Check Data",IFERROR(VLOOKUP(AH179,'G-4 Temporal multipliers'!$A$4:$C$36,3,FALSE),""))</f>
        <v/>
      </c>
      <c r="AJ179" s="290" t="str">
        <f>IF(S179="","",VLOOKUP(S179,'G-3 Multipliers'!$A$2:$E$134,4,FALSE))</f>
        <v/>
      </c>
      <c r="AK179" s="298" t="str">
        <f t="shared" si="29"/>
        <v/>
      </c>
      <c r="AL179" s="298" t="str">
        <f t="shared" si="30"/>
        <v/>
      </c>
      <c r="AM179" s="328" t="str">
        <f>IFERROR(IF(F179="","",IF(AH179="Check Data ⚠","Check Data ⚠",VLOOKUP(AL179, 'G-3 Multipliers'!$P$2:$Q$6,2,FALSE))),"")</f>
        <v/>
      </c>
      <c r="AN179" s="304" t="str">
        <f t="shared" si="31"/>
        <v/>
      </c>
      <c r="AO179" s="163"/>
      <c r="AP179" s="164"/>
      <c r="AQ179" s="101"/>
      <c r="AT179" s="20" t="str">
        <f t="shared" si="32"/>
        <v>No</v>
      </c>
      <c r="AU179" s="20" t="str">
        <f>IF(E179="","",IF(ISNA(VLOOKUP($E179,'A-1 On-Site Habitat Baseline'!$D$1:$AV$258,4,FALSE)),"",(VLOOKUP($E179,'A-1 On-Site Habitat Baseline'!$D$1:$AV$258,4,FALSE))))</f>
        <v/>
      </c>
    </row>
    <row r="180" spans="1:47" x14ac:dyDescent="0.3">
      <c r="A180" s="20" t="str">
        <f>IF(E180="","",IF(ISNA(VLOOKUP($E180,'A-1 On-Site Habitat Baseline'!$D$1:$O$258,2,FALSE)),"",(VLOOKUP($E180,'A-1 On-Site Habitat Baseline'!$D$1:$O$258,2,FALSE))))</f>
        <v/>
      </c>
      <c r="B180" s="20" t="str">
        <f>IF(E180="","",IF(ISNA(VLOOKUP($E180,'A-1 On-Site Habitat Baseline'!$D$1:$O$258,3,FALSE)),"",(VLOOKUP($E180,'A-1 On-Site Habitat Baseline'!$D$1:$O$258,3,FALSE))))</f>
        <v/>
      </c>
      <c r="C180" s="20" t="str">
        <f>IFERROR(INDEX('G-8 Condition Look up'!$I$4:$I$135,MATCH(S180,'G-8 Condition Look up'!$A$4:$A$135,0)),"")</f>
        <v/>
      </c>
      <c r="E180" s="319" t="str">
        <f>'A-1 On-Site Habitat Baseline'!AL179</f>
        <v/>
      </c>
      <c r="F180" s="310" t="str">
        <f>IF(E180="","",IF(ISNA(VLOOKUP($E180,'A-1 On-Site Habitat Baseline'!$D$1:$AV$258,45,FALSE)),"",(VLOOKUP($E180,'A-1 On-Site Habitat Baseline'!$D$1:$AV$258,45,FALSE))))</f>
        <v/>
      </c>
      <c r="G180" s="310" t="str">
        <f>IF(E180="","",IF(ISNA(VLOOKUP($E180,'A-1 On-Site Habitat Baseline'!$D$1:$O$258,5,FALSE)),"",(VLOOKUP($E180,'A-1 On-Site Habitat Baseline'!$D$1:$O$258,5,FALSE))))</f>
        <v/>
      </c>
      <c r="H180" s="310" t="str">
        <f>IF(E180="","",IF(ISNA(VLOOKUP($E180,'A-1 On-Site Habitat Baseline'!$D$1:$O$258,6,FALSE)),"",(VLOOKUP($E180,'A-1 On-Site Habitat Baseline'!$D$1:$O$258,6,FALSE))))</f>
        <v/>
      </c>
      <c r="I180" s="310" t="str">
        <f>IF(E180="","",IF(ISNA(VLOOKUP($E180,'A-1 On-Site Habitat Baseline'!$D$1:$O$258,7,FALSE)),"",(VLOOKUP($E180,'A-1 On-Site Habitat Baseline'!$D$1:$O$258,7,FALSE))))</f>
        <v/>
      </c>
      <c r="J180" s="310" t="str">
        <f>IF(E180="","",IF(ISNA(VLOOKUP($E180,'A-1 On-Site Habitat Baseline'!$D$1:$O$258,8,FALSE)),"",(VLOOKUP($E180,'A-1 On-Site Habitat Baseline'!$D$1:$O$258,8,FALSE))))</f>
        <v/>
      </c>
      <c r="K180" s="310" t="str">
        <f>IF(E180="","",IF(ISNA(VLOOKUP($E180,'A-1 On-Site Habitat Baseline'!$D$1:$O$258,9,FALSE)),"",(VLOOKUP($E180,'A-1 On-Site Habitat Baseline'!$D$1:$O$258,9,FALSE))))</f>
        <v/>
      </c>
      <c r="L180" s="310" t="str">
        <f>IF(E180="","",IF(ISNA(VLOOKUP($E180,'A-1 On-Site Habitat Baseline'!$D$1:$O$258,11,FALSE)),"",(VLOOKUP($E180,'A-1 On-Site Habitat Baseline'!$D$1:$O$258,11,FALSE))))</f>
        <v/>
      </c>
      <c r="M180" s="310" t="str">
        <f>IF(E180="","",IF(ISNA(VLOOKUP($E180,'A-1 On-Site Habitat Baseline'!$D$1:$O$258,12,FALSE)),"",(VLOOKUP($E180,'A-1 On-Site Habitat Baseline'!$D$1:$O$258,12,FALSE))))</f>
        <v/>
      </c>
      <c r="N180" s="320" t="str">
        <f>IF(E180="","",IF(ISNA(VLOOKUP($E180,'A-1 On-Site Habitat Baseline'!$D$1:$X$258,14,FALSE)),"",(VLOOKUP($E180,'A-1 On-Site Habitat Baseline'!$D$1:$X$258,14,FALSE))))</f>
        <v/>
      </c>
      <c r="O180" s="314" t="str">
        <f>IF(E180="","",IF(ISNA(VLOOKUP($E180,'A-1 On-Site Habitat Baseline'!$D$1:$X$258,16,FALSE)),"",(VLOOKUP($E180,'A-1 On-Site Habitat Baseline'!$D$1:$X$258,13,FALSE))))</f>
        <v/>
      </c>
      <c r="P180" s="161" t="str">
        <f>IFERROR(INDEX('G-1 All Habitats'!$AG$49:$AG$63,MATCH(Q180,'G-1 All Habitats'!$AF$27:$AF$41,0)),"")</f>
        <v/>
      </c>
      <c r="Q180" s="162" t="str">
        <f t="shared" si="24"/>
        <v/>
      </c>
      <c r="R180" s="162"/>
      <c r="S180" s="252" t="str">
        <f>IFERROR(INDEX('G-1 All Habitats'!$B$3:$B$135,MATCH(R180,'G-1 All Habitats'!$A$3:$A$135,0)),"")</f>
        <v/>
      </c>
      <c r="T180" s="290" t="str">
        <f t="shared" si="25"/>
        <v/>
      </c>
      <c r="U180" s="291" t="str">
        <f t="shared" si="26"/>
        <v/>
      </c>
      <c r="V180" s="325" t="str">
        <f t="shared" si="22"/>
        <v/>
      </c>
      <c r="W180" s="310" t="str">
        <f>IF(S180="","",VLOOKUP(S180,'G-1 All Habitats'!$B$2:$M$135,10,FALSE))</f>
        <v/>
      </c>
      <c r="X180" s="310" t="str">
        <f>IFERROR(VLOOKUP(W180,'G-1 All Habitats'!$V$3:$W$7,2,FALSE),"")</f>
        <v/>
      </c>
      <c r="Y180" s="45"/>
      <c r="Z180" s="314" t="str">
        <f>IFERROR(INDEX('G-8 Condition Look up'!$A$3:$H$135,MATCH(S180,'G-8 Condition Look up'!$A$3:$A$135,0),MATCH(Y180,'G-8 Condition Look up'!$A$3:$H$3,0)),"")</f>
        <v/>
      </c>
      <c r="AA180" s="38"/>
      <c r="AB180" s="310" t="str">
        <f>IF(AA180="","",IF(VLOOKUP(AA180,'G-3 Multipliers'!$L$3:$N$6,2,FALSE)=0,"Spatial Data Missing ⚠",VLOOKUP(AA180,'G-3 Multipliers'!$L$3:$N$6,2,FALSE)))</f>
        <v/>
      </c>
      <c r="AC180" s="314" t="str">
        <f>IF(AA180="","",IF(VLOOKUP(AA180,'G-3 Multipliers'!$L$3:$N$6,3,FALSE)=0,"Spatial Data Missing ⚠",VLOOKUP(AA180,'G-3 Multipliers'!$L$3:$N$6,3,FALSE)))</f>
        <v/>
      </c>
      <c r="AD180" s="327" t="str">
        <f t="shared" si="23"/>
        <v/>
      </c>
      <c r="AE180" s="47"/>
      <c r="AF180" s="47"/>
      <c r="AG180" s="298" t="str">
        <f t="shared" si="27"/>
        <v/>
      </c>
      <c r="AH180" s="311" t="str">
        <f t="shared" si="28"/>
        <v/>
      </c>
      <c r="AI180" s="312" t="str">
        <f>IF(AH180="Check Data","Check Data",IFERROR(VLOOKUP(AH180,'G-4 Temporal multipliers'!$A$4:$C$36,3,FALSE),""))</f>
        <v/>
      </c>
      <c r="AJ180" s="290" t="str">
        <f>IF(S180="","",VLOOKUP(S180,'G-3 Multipliers'!$A$2:$E$134,4,FALSE))</f>
        <v/>
      </c>
      <c r="AK180" s="298" t="str">
        <f t="shared" si="29"/>
        <v/>
      </c>
      <c r="AL180" s="298" t="str">
        <f t="shared" si="30"/>
        <v/>
      </c>
      <c r="AM180" s="328" t="str">
        <f>IFERROR(IF(F180="","",IF(AH180="Check Data ⚠","Check Data ⚠",VLOOKUP(AL180, 'G-3 Multipliers'!$P$2:$Q$6,2,FALSE))),"")</f>
        <v/>
      </c>
      <c r="AN180" s="304" t="str">
        <f t="shared" si="31"/>
        <v/>
      </c>
      <c r="AO180" s="163"/>
      <c r="AP180" s="164"/>
      <c r="AQ180" s="101"/>
      <c r="AT180" s="20" t="str">
        <f t="shared" si="32"/>
        <v>No</v>
      </c>
      <c r="AU180" s="20" t="str">
        <f>IF(E180="","",IF(ISNA(VLOOKUP($E180,'A-1 On-Site Habitat Baseline'!$D$1:$AV$258,4,FALSE)),"",(VLOOKUP($E180,'A-1 On-Site Habitat Baseline'!$D$1:$AV$258,4,FALSE))))</f>
        <v/>
      </c>
    </row>
    <row r="181" spans="1:47" x14ac:dyDescent="0.3">
      <c r="A181" s="20" t="str">
        <f>IF(E181="","",IF(ISNA(VLOOKUP($E181,'A-1 On-Site Habitat Baseline'!$D$1:$O$258,2,FALSE)),"",(VLOOKUP($E181,'A-1 On-Site Habitat Baseline'!$D$1:$O$258,2,FALSE))))</f>
        <v/>
      </c>
      <c r="B181" s="20" t="str">
        <f>IF(E181="","",IF(ISNA(VLOOKUP($E181,'A-1 On-Site Habitat Baseline'!$D$1:$O$258,3,FALSE)),"",(VLOOKUP($E181,'A-1 On-Site Habitat Baseline'!$D$1:$O$258,3,FALSE))))</f>
        <v/>
      </c>
      <c r="C181" s="20" t="str">
        <f>IFERROR(INDEX('G-8 Condition Look up'!$I$4:$I$135,MATCH(S181,'G-8 Condition Look up'!$A$4:$A$135,0)),"")</f>
        <v/>
      </c>
      <c r="E181" s="319" t="str">
        <f>'A-1 On-Site Habitat Baseline'!AL180</f>
        <v/>
      </c>
      <c r="F181" s="310" t="str">
        <f>IF(E181="","",IF(ISNA(VLOOKUP($E181,'A-1 On-Site Habitat Baseline'!$D$1:$AV$258,45,FALSE)),"",(VLOOKUP($E181,'A-1 On-Site Habitat Baseline'!$D$1:$AV$258,45,FALSE))))</f>
        <v/>
      </c>
      <c r="G181" s="310" t="str">
        <f>IF(E181="","",IF(ISNA(VLOOKUP($E181,'A-1 On-Site Habitat Baseline'!$D$1:$O$258,5,FALSE)),"",(VLOOKUP($E181,'A-1 On-Site Habitat Baseline'!$D$1:$O$258,5,FALSE))))</f>
        <v/>
      </c>
      <c r="H181" s="310" t="str">
        <f>IF(E181="","",IF(ISNA(VLOOKUP($E181,'A-1 On-Site Habitat Baseline'!$D$1:$O$258,6,FALSE)),"",(VLOOKUP($E181,'A-1 On-Site Habitat Baseline'!$D$1:$O$258,6,FALSE))))</f>
        <v/>
      </c>
      <c r="I181" s="310" t="str">
        <f>IF(E181="","",IF(ISNA(VLOOKUP($E181,'A-1 On-Site Habitat Baseline'!$D$1:$O$258,7,FALSE)),"",(VLOOKUP($E181,'A-1 On-Site Habitat Baseline'!$D$1:$O$258,7,FALSE))))</f>
        <v/>
      </c>
      <c r="J181" s="310" t="str">
        <f>IF(E181="","",IF(ISNA(VLOOKUP($E181,'A-1 On-Site Habitat Baseline'!$D$1:$O$258,8,FALSE)),"",(VLOOKUP($E181,'A-1 On-Site Habitat Baseline'!$D$1:$O$258,8,FALSE))))</f>
        <v/>
      </c>
      <c r="K181" s="310" t="str">
        <f>IF(E181="","",IF(ISNA(VLOOKUP($E181,'A-1 On-Site Habitat Baseline'!$D$1:$O$258,9,FALSE)),"",(VLOOKUP($E181,'A-1 On-Site Habitat Baseline'!$D$1:$O$258,9,FALSE))))</f>
        <v/>
      </c>
      <c r="L181" s="310" t="str">
        <f>IF(E181="","",IF(ISNA(VLOOKUP($E181,'A-1 On-Site Habitat Baseline'!$D$1:$O$258,11,FALSE)),"",(VLOOKUP($E181,'A-1 On-Site Habitat Baseline'!$D$1:$O$258,11,FALSE))))</f>
        <v/>
      </c>
      <c r="M181" s="310" t="str">
        <f>IF(E181="","",IF(ISNA(VLOOKUP($E181,'A-1 On-Site Habitat Baseline'!$D$1:$O$258,12,FALSE)),"",(VLOOKUP($E181,'A-1 On-Site Habitat Baseline'!$D$1:$O$258,12,FALSE))))</f>
        <v/>
      </c>
      <c r="N181" s="320" t="str">
        <f>IF(E181="","",IF(ISNA(VLOOKUP($E181,'A-1 On-Site Habitat Baseline'!$D$1:$X$258,14,FALSE)),"",(VLOOKUP($E181,'A-1 On-Site Habitat Baseline'!$D$1:$X$258,14,FALSE))))</f>
        <v/>
      </c>
      <c r="O181" s="314" t="str">
        <f>IF(E181="","",IF(ISNA(VLOOKUP($E181,'A-1 On-Site Habitat Baseline'!$D$1:$X$258,16,FALSE)),"",(VLOOKUP($E181,'A-1 On-Site Habitat Baseline'!$D$1:$X$258,13,FALSE))))</f>
        <v/>
      </c>
      <c r="P181" s="161" t="str">
        <f>IFERROR(INDEX('G-1 All Habitats'!$AG$49:$AG$63,MATCH(Q181,'G-1 All Habitats'!$AF$27:$AF$41,0)),"")</f>
        <v/>
      </c>
      <c r="Q181" s="162" t="str">
        <f t="shared" si="24"/>
        <v/>
      </c>
      <c r="R181" s="162"/>
      <c r="S181" s="252" t="str">
        <f>IFERROR(INDEX('G-1 All Habitats'!$B$3:$B$135,MATCH(R181,'G-1 All Habitats'!$A$3:$A$135,0)),"")</f>
        <v/>
      </c>
      <c r="T181" s="290" t="str">
        <f t="shared" si="25"/>
        <v/>
      </c>
      <c r="U181" s="291" t="str">
        <f t="shared" si="26"/>
        <v/>
      </c>
      <c r="V181" s="325" t="str">
        <f t="shared" si="22"/>
        <v/>
      </c>
      <c r="W181" s="310" t="str">
        <f>IF(S181="","",VLOOKUP(S181,'G-1 All Habitats'!$B$2:$M$135,10,FALSE))</f>
        <v/>
      </c>
      <c r="X181" s="310" t="str">
        <f>IFERROR(VLOOKUP(W181,'G-1 All Habitats'!$V$3:$W$7,2,FALSE),"")</f>
        <v/>
      </c>
      <c r="Y181" s="45"/>
      <c r="Z181" s="314" t="str">
        <f>IFERROR(INDEX('G-8 Condition Look up'!$A$3:$H$135,MATCH(S181,'G-8 Condition Look up'!$A$3:$A$135,0),MATCH(Y181,'G-8 Condition Look up'!$A$3:$H$3,0)),"")</f>
        <v/>
      </c>
      <c r="AA181" s="38"/>
      <c r="AB181" s="310" t="str">
        <f>IF(AA181="","",IF(VLOOKUP(AA181,'G-3 Multipliers'!$L$3:$N$6,2,FALSE)=0,"Spatial Data Missing ⚠",VLOOKUP(AA181,'G-3 Multipliers'!$L$3:$N$6,2,FALSE)))</f>
        <v/>
      </c>
      <c r="AC181" s="314" t="str">
        <f>IF(AA181="","",IF(VLOOKUP(AA181,'G-3 Multipliers'!$L$3:$N$6,3,FALSE)=0,"Spatial Data Missing ⚠",VLOOKUP(AA181,'G-3 Multipliers'!$L$3:$N$6,3,FALSE)))</f>
        <v/>
      </c>
      <c r="AD181" s="327" t="str">
        <f t="shared" si="23"/>
        <v/>
      </c>
      <c r="AE181" s="47"/>
      <c r="AF181" s="47"/>
      <c r="AG181" s="298" t="str">
        <f t="shared" si="27"/>
        <v/>
      </c>
      <c r="AH181" s="311" t="str">
        <f t="shared" si="28"/>
        <v/>
      </c>
      <c r="AI181" s="312" t="str">
        <f>IF(AH181="Check Data","Check Data",IFERROR(VLOOKUP(AH181,'G-4 Temporal multipliers'!$A$4:$C$36,3,FALSE),""))</f>
        <v/>
      </c>
      <c r="AJ181" s="290" t="str">
        <f>IF(S181="","",VLOOKUP(S181,'G-3 Multipliers'!$A$2:$E$134,4,FALSE))</f>
        <v/>
      </c>
      <c r="AK181" s="298" t="str">
        <f t="shared" si="29"/>
        <v/>
      </c>
      <c r="AL181" s="298" t="str">
        <f t="shared" si="30"/>
        <v/>
      </c>
      <c r="AM181" s="328" t="str">
        <f>IFERROR(IF(F181="","",IF(AH181="Check Data ⚠","Check Data ⚠",VLOOKUP(AL181, 'G-3 Multipliers'!$P$2:$Q$6,2,FALSE))),"")</f>
        <v/>
      </c>
      <c r="AN181" s="304" t="str">
        <f t="shared" si="31"/>
        <v/>
      </c>
      <c r="AO181" s="163"/>
      <c r="AP181" s="164"/>
      <c r="AQ181" s="101"/>
      <c r="AT181" s="20" t="str">
        <f t="shared" si="32"/>
        <v>No</v>
      </c>
      <c r="AU181" s="20" t="str">
        <f>IF(E181="","",IF(ISNA(VLOOKUP($E181,'A-1 On-Site Habitat Baseline'!$D$1:$AV$258,4,FALSE)),"",(VLOOKUP($E181,'A-1 On-Site Habitat Baseline'!$D$1:$AV$258,4,FALSE))))</f>
        <v/>
      </c>
    </row>
    <row r="182" spans="1:47" x14ac:dyDescent="0.3">
      <c r="A182" s="20" t="str">
        <f>IF(E182="","",IF(ISNA(VLOOKUP($E182,'A-1 On-Site Habitat Baseline'!$D$1:$O$258,2,FALSE)),"",(VLOOKUP($E182,'A-1 On-Site Habitat Baseline'!$D$1:$O$258,2,FALSE))))</f>
        <v/>
      </c>
      <c r="B182" s="20" t="str">
        <f>IF(E182="","",IF(ISNA(VLOOKUP($E182,'A-1 On-Site Habitat Baseline'!$D$1:$O$258,3,FALSE)),"",(VLOOKUP($E182,'A-1 On-Site Habitat Baseline'!$D$1:$O$258,3,FALSE))))</f>
        <v/>
      </c>
      <c r="C182" s="20" t="str">
        <f>IFERROR(INDEX('G-8 Condition Look up'!$I$4:$I$135,MATCH(S182,'G-8 Condition Look up'!$A$4:$A$135,0)),"")</f>
        <v/>
      </c>
      <c r="E182" s="319" t="str">
        <f>'A-1 On-Site Habitat Baseline'!AL181</f>
        <v/>
      </c>
      <c r="F182" s="310" t="str">
        <f>IF(E182="","",IF(ISNA(VLOOKUP($E182,'A-1 On-Site Habitat Baseline'!$D$1:$AV$258,45,FALSE)),"",(VLOOKUP($E182,'A-1 On-Site Habitat Baseline'!$D$1:$AV$258,45,FALSE))))</f>
        <v/>
      </c>
      <c r="G182" s="310" t="str">
        <f>IF(E182="","",IF(ISNA(VLOOKUP($E182,'A-1 On-Site Habitat Baseline'!$D$1:$O$258,5,FALSE)),"",(VLOOKUP($E182,'A-1 On-Site Habitat Baseline'!$D$1:$O$258,5,FALSE))))</f>
        <v/>
      </c>
      <c r="H182" s="310" t="str">
        <f>IF(E182="","",IF(ISNA(VLOOKUP($E182,'A-1 On-Site Habitat Baseline'!$D$1:$O$258,6,FALSE)),"",(VLOOKUP($E182,'A-1 On-Site Habitat Baseline'!$D$1:$O$258,6,FALSE))))</f>
        <v/>
      </c>
      <c r="I182" s="310" t="str">
        <f>IF(E182="","",IF(ISNA(VLOOKUP($E182,'A-1 On-Site Habitat Baseline'!$D$1:$O$258,7,FALSE)),"",(VLOOKUP($E182,'A-1 On-Site Habitat Baseline'!$D$1:$O$258,7,FALSE))))</f>
        <v/>
      </c>
      <c r="J182" s="310" t="str">
        <f>IF(E182="","",IF(ISNA(VLOOKUP($E182,'A-1 On-Site Habitat Baseline'!$D$1:$O$258,8,FALSE)),"",(VLOOKUP($E182,'A-1 On-Site Habitat Baseline'!$D$1:$O$258,8,FALSE))))</f>
        <v/>
      </c>
      <c r="K182" s="310" t="str">
        <f>IF(E182="","",IF(ISNA(VLOOKUP($E182,'A-1 On-Site Habitat Baseline'!$D$1:$O$258,9,FALSE)),"",(VLOOKUP($E182,'A-1 On-Site Habitat Baseline'!$D$1:$O$258,9,FALSE))))</f>
        <v/>
      </c>
      <c r="L182" s="310" t="str">
        <f>IF(E182="","",IF(ISNA(VLOOKUP($E182,'A-1 On-Site Habitat Baseline'!$D$1:$O$258,11,FALSE)),"",(VLOOKUP($E182,'A-1 On-Site Habitat Baseline'!$D$1:$O$258,11,FALSE))))</f>
        <v/>
      </c>
      <c r="M182" s="310" t="str">
        <f>IF(E182="","",IF(ISNA(VLOOKUP($E182,'A-1 On-Site Habitat Baseline'!$D$1:$O$258,12,FALSE)),"",(VLOOKUP($E182,'A-1 On-Site Habitat Baseline'!$D$1:$O$258,12,FALSE))))</f>
        <v/>
      </c>
      <c r="N182" s="320" t="str">
        <f>IF(E182="","",IF(ISNA(VLOOKUP($E182,'A-1 On-Site Habitat Baseline'!$D$1:$X$258,14,FALSE)),"",(VLOOKUP($E182,'A-1 On-Site Habitat Baseline'!$D$1:$X$258,14,FALSE))))</f>
        <v/>
      </c>
      <c r="O182" s="314" t="str">
        <f>IF(E182="","",IF(ISNA(VLOOKUP($E182,'A-1 On-Site Habitat Baseline'!$D$1:$X$258,16,FALSE)),"",(VLOOKUP($E182,'A-1 On-Site Habitat Baseline'!$D$1:$X$258,13,FALSE))))</f>
        <v/>
      </c>
      <c r="P182" s="161" t="str">
        <f>IFERROR(INDEX('G-1 All Habitats'!$AG$49:$AG$63,MATCH(Q182,'G-1 All Habitats'!$AF$27:$AF$41,0)),"")</f>
        <v/>
      </c>
      <c r="Q182" s="162" t="str">
        <f t="shared" si="24"/>
        <v/>
      </c>
      <c r="R182" s="162"/>
      <c r="S182" s="252" t="str">
        <f>IFERROR(INDEX('G-1 All Habitats'!$B$3:$B$135,MATCH(R182,'G-1 All Habitats'!$A$3:$A$135,0)),"")</f>
        <v/>
      </c>
      <c r="T182" s="290" t="str">
        <f t="shared" si="25"/>
        <v/>
      </c>
      <c r="U182" s="291" t="str">
        <f t="shared" si="26"/>
        <v/>
      </c>
      <c r="V182" s="325" t="str">
        <f t="shared" si="22"/>
        <v/>
      </c>
      <c r="W182" s="310" t="str">
        <f>IF(S182="","",VLOOKUP(S182,'G-1 All Habitats'!$B$2:$M$135,10,FALSE))</f>
        <v/>
      </c>
      <c r="X182" s="310" t="str">
        <f>IFERROR(VLOOKUP(W182,'G-1 All Habitats'!$V$3:$W$7,2,FALSE),"")</f>
        <v/>
      </c>
      <c r="Y182" s="45"/>
      <c r="Z182" s="314" t="str">
        <f>IFERROR(INDEX('G-8 Condition Look up'!$A$3:$H$135,MATCH(S182,'G-8 Condition Look up'!$A$3:$A$135,0),MATCH(Y182,'G-8 Condition Look up'!$A$3:$H$3,0)),"")</f>
        <v/>
      </c>
      <c r="AA182" s="38"/>
      <c r="AB182" s="310" t="str">
        <f>IF(AA182="","",IF(VLOOKUP(AA182,'G-3 Multipliers'!$L$3:$N$6,2,FALSE)=0,"Spatial Data Missing ⚠",VLOOKUP(AA182,'G-3 Multipliers'!$L$3:$N$6,2,FALSE)))</f>
        <v/>
      </c>
      <c r="AC182" s="314" t="str">
        <f>IF(AA182="","",IF(VLOOKUP(AA182,'G-3 Multipliers'!$L$3:$N$6,3,FALSE)=0,"Spatial Data Missing ⚠",VLOOKUP(AA182,'G-3 Multipliers'!$L$3:$N$6,3,FALSE)))</f>
        <v/>
      </c>
      <c r="AD182" s="327" t="str">
        <f t="shared" si="23"/>
        <v/>
      </c>
      <c r="AE182" s="47"/>
      <c r="AF182" s="47"/>
      <c r="AG182" s="298" t="str">
        <f t="shared" si="27"/>
        <v/>
      </c>
      <c r="AH182" s="311" t="str">
        <f t="shared" si="28"/>
        <v/>
      </c>
      <c r="AI182" s="312" t="str">
        <f>IF(AH182="Check Data","Check Data",IFERROR(VLOOKUP(AH182,'G-4 Temporal multipliers'!$A$4:$C$36,3,FALSE),""))</f>
        <v/>
      </c>
      <c r="AJ182" s="290" t="str">
        <f>IF(S182="","",VLOOKUP(S182,'G-3 Multipliers'!$A$2:$E$134,4,FALSE))</f>
        <v/>
      </c>
      <c r="AK182" s="298" t="str">
        <f t="shared" si="29"/>
        <v/>
      </c>
      <c r="AL182" s="298" t="str">
        <f t="shared" si="30"/>
        <v/>
      </c>
      <c r="AM182" s="328" t="str">
        <f>IFERROR(IF(F182="","",IF(AH182="Check Data ⚠","Check Data ⚠",VLOOKUP(AL182, 'G-3 Multipliers'!$P$2:$Q$6,2,FALSE))),"")</f>
        <v/>
      </c>
      <c r="AN182" s="304" t="str">
        <f t="shared" si="31"/>
        <v/>
      </c>
      <c r="AO182" s="163"/>
      <c r="AP182" s="164"/>
      <c r="AQ182" s="101"/>
      <c r="AT182" s="20" t="str">
        <f t="shared" si="32"/>
        <v>No</v>
      </c>
      <c r="AU182" s="20" t="str">
        <f>IF(E182="","",IF(ISNA(VLOOKUP($E182,'A-1 On-Site Habitat Baseline'!$D$1:$AV$258,4,FALSE)),"",(VLOOKUP($E182,'A-1 On-Site Habitat Baseline'!$D$1:$AV$258,4,FALSE))))</f>
        <v/>
      </c>
    </row>
    <row r="183" spans="1:47" x14ac:dyDescent="0.3">
      <c r="A183" s="20" t="str">
        <f>IF(E183="","",IF(ISNA(VLOOKUP($E183,'A-1 On-Site Habitat Baseline'!$D$1:$O$258,2,FALSE)),"",(VLOOKUP($E183,'A-1 On-Site Habitat Baseline'!$D$1:$O$258,2,FALSE))))</f>
        <v/>
      </c>
      <c r="B183" s="20" t="str">
        <f>IF(E183="","",IF(ISNA(VLOOKUP($E183,'A-1 On-Site Habitat Baseline'!$D$1:$O$258,3,FALSE)),"",(VLOOKUP($E183,'A-1 On-Site Habitat Baseline'!$D$1:$O$258,3,FALSE))))</f>
        <v/>
      </c>
      <c r="C183" s="20" t="str">
        <f>IFERROR(INDEX('G-8 Condition Look up'!$I$4:$I$135,MATCH(S183,'G-8 Condition Look up'!$A$4:$A$135,0)),"")</f>
        <v/>
      </c>
      <c r="E183" s="319" t="str">
        <f>'A-1 On-Site Habitat Baseline'!AL182</f>
        <v/>
      </c>
      <c r="F183" s="310" t="str">
        <f>IF(E183="","",IF(ISNA(VLOOKUP($E183,'A-1 On-Site Habitat Baseline'!$D$1:$AV$258,45,FALSE)),"",(VLOOKUP($E183,'A-1 On-Site Habitat Baseline'!$D$1:$AV$258,45,FALSE))))</f>
        <v/>
      </c>
      <c r="G183" s="310" t="str">
        <f>IF(E183="","",IF(ISNA(VLOOKUP($E183,'A-1 On-Site Habitat Baseline'!$D$1:$O$258,5,FALSE)),"",(VLOOKUP($E183,'A-1 On-Site Habitat Baseline'!$D$1:$O$258,5,FALSE))))</f>
        <v/>
      </c>
      <c r="H183" s="310" t="str">
        <f>IF(E183="","",IF(ISNA(VLOOKUP($E183,'A-1 On-Site Habitat Baseline'!$D$1:$O$258,6,FALSE)),"",(VLOOKUP($E183,'A-1 On-Site Habitat Baseline'!$D$1:$O$258,6,FALSE))))</f>
        <v/>
      </c>
      <c r="I183" s="310" t="str">
        <f>IF(E183="","",IF(ISNA(VLOOKUP($E183,'A-1 On-Site Habitat Baseline'!$D$1:$O$258,7,FALSE)),"",(VLOOKUP($E183,'A-1 On-Site Habitat Baseline'!$D$1:$O$258,7,FALSE))))</f>
        <v/>
      </c>
      <c r="J183" s="310" t="str">
        <f>IF(E183="","",IF(ISNA(VLOOKUP($E183,'A-1 On-Site Habitat Baseline'!$D$1:$O$258,8,FALSE)),"",(VLOOKUP($E183,'A-1 On-Site Habitat Baseline'!$D$1:$O$258,8,FALSE))))</f>
        <v/>
      </c>
      <c r="K183" s="310" t="str">
        <f>IF(E183="","",IF(ISNA(VLOOKUP($E183,'A-1 On-Site Habitat Baseline'!$D$1:$O$258,9,FALSE)),"",(VLOOKUP($E183,'A-1 On-Site Habitat Baseline'!$D$1:$O$258,9,FALSE))))</f>
        <v/>
      </c>
      <c r="L183" s="310" t="str">
        <f>IF(E183="","",IF(ISNA(VLOOKUP($E183,'A-1 On-Site Habitat Baseline'!$D$1:$O$258,11,FALSE)),"",(VLOOKUP($E183,'A-1 On-Site Habitat Baseline'!$D$1:$O$258,11,FALSE))))</f>
        <v/>
      </c>
      <c r="M183" s="310" t="str">
        <f>IF(E183="","",IF(ISNA(VLOOKUP($E183,'A-1 On-Site Habitat Baseline'!$D$1:$O$258,12,FALSE)),"",(VLOOKUP($E183,'A-1 On-Site Habitat Baseline'!$D$1:$O$258,12,FALSE))))</f>
        <v/>
      </c>
      <c r="N183" s="320" t="str">
        <f>IF(E183="","",IF(ISNA(VLOOKUP($E183,'A-1 On-Site Habitat Baseline'!$D$1:$X$258,14,FALSE)),"",(VLOOKUP($E183,'A-1 On-Site Habitat Baseline'!$D$1:$X$258,14,FALSE))))</f>
        <v/>
      </c>
      <c r="O183" s="314" t="str">
        <f>IF(E183="","",IF(ISNA(VLOOKUP($E183,'A-1 On-Site Habitat Baseline'!$D$1:$X$258,16,FALSE)),"",(VLOOKUP($E183,'A-1 On-Site Habitat Baseline'!$D$1:$X$258,13,FALSE))))</f>
        <v/>
      </c>
      <c r="P183" s="161" t="str">
        <f>IFERROR(INDEX('G-1 All Habitats'!$AG$49:$AG$63,MATCH(Q183,'G-1 All Habitats'!$AF$27:$AF$41,0)),"")</f>
        <v/>
      </c>
      <c r="Q183" s="162" t="str">
        <f t="shared" si="24"/>
        <v/>
      </c>
      <c r="R183" s="162"/>
      <c r="S183" s="252" t="str">
        <f>IFERROR(INDEX('G-1 All Habitats'!$B$3:$B$135,MATCH(R183,'G-1 All Habitats'!$A$3:$A$135,0)),"")</f>
        <v/>
      </c>
      <c r="T183" s="290" t="str">
        <f t="shared" si="25"/>
        <v/>
      </c>
      <c r="U183" s="291" t="str">
        <f t="shared" si="26"/>
        <v/>
      </c>
      <c r="V183" s="325" t="str">
        <f t="shared" si="22"/>
        <v/>
      </c>
      <c r="W183" s="310" t="str">
        <f>IF(S183="","",VLOOKUP(S183,'G-1 All Habitats'!$B$2:$M$135,10,FALSE))</f>
        <v/>
      </c>
      <c r="X183" s="310" t="str">
        <f>IFERROR(VLOOKUP(W183,'G-1 All Habitats'!$V$3:$W$7,2,FALSE),"")</f>
        <v/>
      </c>
      <c r="Y183" s="45"/>
      <c r="Z183" s="314" t="str">
        <f>IFERROR(INDEX('G-8 Condition Look up'!$A$3:$H$135,MATCH(S183,'G-8 Condition Look up'!$A$3:$A$135,0),MATCH(Y183,'G-8 Condition Look up'!$A$3:$H$3,0)),"")</f>
        <v/>
      </c>
      <c r="AA183" s="38"/>
      <c r="AB183" s="310" t="str">
        <f>IF(AA183="","",IF(VLOOKUP(AA183,'G-3 Multipliers'!$L$3:$N$6,2,FALSE)=0,"Spatial Data Missing ⚠",VLOOKUP(AA183,'G-3 Multipliers'!$L$3:$N$6,2,FALSE)))</f>
        <v/>
      </c>
      <c r="AC183" s="314" t="str">
        <f>IF(AA183="","",IF(VLOOKUP(AA183,'G-3 Multipliers'!$L$3:$N$6,3,FALSE)=0,"Spatial Data Missing ⚠",VLOOKUP(AA183,'G-3 Multipliers'!$L$3:$N$6,3,FALSE)))</f>
        <v/>
      </c>
      <c r="AD183" s="327" t="str">
        <f t="shared" si="23"/>
        <v/>
      </c>
      <c r="AE183" s="47"/>
      <c r="AF183" s="47"/>
      <c r="AG183" s="298" t="str">
        <f t="shared" si="27"/>
        <v/>
      </c>
      <c r="AH183" s="311" t="str">
        <f t="shared" si="28"/>
        <v/>
      </c>
      <c r="AI183" s="312" t="str">
        <f>IF(AH183="Check Data","Check Data",IFERROR(VLOOKUP(AH183,'G-4 Temporal multipliers'!$A$4:$C$36,3,FALSE),""))</f>
        <v/>
      </c>
      <c r="AJ183" s="290" t="str">
        <f>IF(S183="","",VLOOKUP(S183,'G-3 Multipliers'!$A$2:$E$134,4,FALSE))</f>
        <v/>
      </c>
      <c r="AK183" s="298" t="str">
        <f t="shared" si="29"/>
        <v/>
      </c>
      <c r="AL183" s="298" t="str">
        <f t="shared" si="30"/>
        <v/>
      </c>
      <c r="AM183" s="328" t="str">
        <f>IFERROR(IF(F183="","",IF(AH183="Check Data ⚠","Check Data ⚠",VLOOKUP(AL183, 'G-3 Multipliers'!$P$2:$Q$6,2,FALSE))),"")</f>
        <v/>
      </c>
      <c r="AN183" s="304" t="str">
        <f t="shared" si="31"/>
        <v/>
      </c>
      <c r="AO183" s="163"/>
      <c r="AP183" s="164"/>
      <c r="AQ183" s="101"/>
      <c r="AT183" s="20" t="str">
        <f t="shared" si="32"/>
        <v>No</v>
      </c>
      <c r="AU183" s="20" t="str">
        <f>IF(E183="","",IF(ISNA(VLOOKUP($E183,'A-1 On-Site Habitat Baseline'!$D$1:$AV$258,4,FALSE)),"",(VLOOKUP($E183,'A-1 On-Site Habitat Baseline'!$D$1:$AV$258,4,FALSE))))</f>
        <v/>
      </c>
    </row>
    <row r="184" spans="1:47" x14ac:dyDescent="0.3">
      <c r="A184" s="20" t="str">
        <f>IF(E184="","",IF(ISNA(VLOOKUP($E184,'A-1 On-Site Habitat Baseline'!$D$1:$O$258,2,FALSE)),"",(VLOOKUP($E184,'A-1 On-Site Habitat Baseline'!$D$1:$O$258,2,FALSE))))</f>
        <v/>
      </c>
      <c r="B184" s="20" t="str">
        <f>IF(E184="","",IF(ISNA(VLOOKUP($E184,'A-1 On-Site Habitat Baseline'!$D$1:$O$258,3,FALSE)),"",(VLOOKUP($E184,'A-1 On-Site Habitat Baseline'!$D$1:$O$258,3,FALSE))))</f>
        <v/>
      </c>
      <c r="C184" s="20" t="str">
        <f>IFERROR(INDEX('G-8 Condition Look up'!$I$4:$I$135,MATCH(S184,'G-8 Condition Look up'!$A$4:$A$135,0)),"")</f>
        <v/>
      </c>
      <c r="E184" s="319" t="str">
        <f>'A-1 On-Site Habitat Baseline'!AL183</f>
        <v/>
      </c>
      <c r="F184" s="310" t="str">
        <f>IF(E184="","",IF(ISNA(VLOOKUP($E184,'A-1 On-Site Habitat Baseline'!$D$1:$AV$258,45,FALSE)),"",(VLOOKUP($E184,'A-1 On-Site Habitat Baseline'!$D$1:$AV$258,45,FALSE))))</f>
        <v/>
      </c>
      <c r="G184" s="310" t="str">
        <f>IF(E184="","",IF(ISNA(VLOOKUP($E184,'A-1 On-Site Habitat Baseline'!$D$1:$O$258,5,FALSE)),"",(VLOOKUP($E184,'A-1 On-Site Habitat Baseline'!$D$1:$O$258,5,FALSE))))</f>
        <v/>
      </c>
      <c r="H184" s="310" t="str">
        <f>IF(E184="","",IF(ISNA(VLOOKUP($E184,'A-1 On-Site Habitat Baseline'!$D$1:$O$258,6,FALSE)),"",(VLOOKUP($E184,'A-1 On-Site Habitat Baseline'!$D$1:$O$258,6,FALSE))))</f>
        <v/>
      </c>
      <c r="I184" s="310" t="str">
        <f>IF(E184="","",IF(ISNA(VLOOKUP($E184,'A-1 On-Site Habitat Baseline'!$D$1:$O$258,7,FALSE)),"",(VLOOKUP($E184,'A-1 On-Site Habitat Baseline'!$D$1:$O$258,7,FALSE))))</f>
        <v/>
      </c>
      <c r="J184" s="310" t="str">
        <f>IF(E184="","",IF(ISNA(VLOOKUP($E184,'A-1 On-Site Habitat Baseline'!$D$1:$O$258,8,FALSE)),"",(VLOOKUP($E184,'A-1 On-Site Habitat Baseline'!$D$1:$O$258,8,FALSE))))</f>
        <v/>
      </c>
      <c r="K184" s="310" t="str">
        <f>IF(E184="","",IF(ISNA(VLOOKUP($E184,'A-1 On-Site Habitat Baseline'!$D$1:$O$258,9,FALSE)),"",(VLOOKUP($E184,'A-1 On-Site Habitat Baseline'!$D$1:$O$258,9,FALSE))))</f>
        <v/>
      </c>
      <c r="L184" s="310" t="str">
        <f>IF(E184="","",IF(ISNA(VLOOKUP($E184,'A-1 On-Site Habitat Baseline'!$D$1:$O$258,11,FALSE)),"",(VLOOKUP($E184,'A-1 On-Site Habitat Baseline'!$D$1:$O$258,11,FALSE))))</f>
        <v/>
      </c>
      <c r="M184" s="310" t="str">
        <f>IF(E184="","",IF(ISNA(VLOOKUP($E184,'A-1 On-Site Habitat Baseline'!$D$1:$O$258,12,FALSE)),"",(VLOOKUP($E184,'A-1 On-Site Habitat Baseline'!$D$1:$O$258,12,FALSE))))</f>
        <v/>
      </c>
      <c r="N184" s="320" t="str">
        <f>IF(E184="","",IF(ISNA(VLOOKUP($E184,'A-1 On-Site Habitat Baseline'!$D$1:$X$258,14,FALSE)),"",(VLOOKUP($E184,'A-1 On-Site Habitat Baseline'!$D$1:$X$258,14,FALSE))))</f>
        <v/>
      </c>
      <c r="O184" s="314" t="str">
        <f>IF(E184="","",IF(ISNA(VLOOKUP($E184,'A-1 On-Site Habitat Baseline'!$D$1:$X$258,16,FALSE)),"",(VLOOKUP($E184,'A-1 On-Site Habitat Baseline'!$D$1:$X$258,13,FALSE))))</f>
        <v/>
      </c>
      <c r="P184" s="161" t="str">
        <f>IFERROR(INDEX('G-1 All Habitats'!$AG$49:$AG$63,MATCH(Q184,'G-1 All Habitats'!$AF$27:$AF$41,0)),"")</f>
        <v/>
      </c>
      <c r="Q184" s="162" t="str">
        <f t="shared" si="24"/>
        <v/>
      </c>
      <c r="R184" s="162"/>
      <c r="S184" s="252" t="str">
        <f>IFERROR(INDEX('G-1 All Habitats'!$B$3:$B$135,MATCH(R184,'G-1 All Habitats'!$A$3:$A$135,0)),"")</f>
        <v/>
      </c>
      <c r="T184" s="290" t="str">
        <f t="shared" si="25"/>
        <v/>
      </c>
      <c r="U184" s="291" t="str">
        <f t="shared" si="26"/>
        <v/>
      </c>
      <c r="V184" s="325" t="str">
        <f t="shared" si="22"/>
        <v/>
      </c>
      <c r="W184" s="310" t="str">
        <f>IF(S184="","",VLOOKUP(S184,'G-1 All Habitats'!$B$2:$M$135,10,FALSE))</f>
        <v/>
      </c>
      <c r="X184" s="310" t="str">
        <f>IFERROR(VLOOKUP(W184,'G-1 All Habitats'!$V$3:$W$7,2,FALSE),"")</f>
        <v/>
      </c>
      <c r="Y184" s="45"/>
      <c r="Z184" s="314" t="str">
        <f>IFERROR(INDEX('G-8 Condition Look up'!$A$3:$H$135,MATCH(S184,'G-8 Condition Look up'!$A$3:$A$135,0),MATCH(Y184,'G-8 Condition Look up'!$A$3:$H$3,0)),"")</f>
        <v/>
      </c>
      <c r="AA184" s="38"/>
      <c r="AB184" s="310" t="str">
        <f>IF(AA184="","",IF(VLOOKUP(AA184,'G-3 Multipliers'!$L$3:$N$6,2,FALSE)=0,"Spatial Data Missing ⚠",VLOOKUP(AA184,'G-3 Multipliers'!$L$3:$N$6,2,FALSE)))</f>
        <v/>
      </c>
      <c r="AC184" s="314" t="str">
        <f>IF(AA184="","",IF(VLOOKUP(AA184,'G-3 Multipliers'!$L$3:$N$6,3,FALSE)=0,"Spatial Data Missing ⚠",VLOOKUP(AA184,'G-3 Multipliers'!$L$3:$N$6,3,FALSE)))</f>
        <v/>
      </c>
      <c r="AD184" s="327" t="str">
        <f t="shared" si="23"/>
        <v/>
      </c>
      <c r="AE184" s="47"/>
      <c r="AF184" s="47"/>
      <c r="AG184" s="298" t="str">
        <f t="shared" si="27"/>
        <v/>
      </c>
      <c r="AH184" s="311" t="str">
        <f t="shared" si="28"/>
        <v/>
      </c>
      <c r="AI184" s="312" t="str">
        <f>IF(AH184="Check Data","Check Data",IFERROR(VLOOKUP(AH184,'G-4 Temporal multipliers'!$A$4:$C$36,3,FALSE),""))</f>
        <v/>
      </c>
      <c r="AJ184" s="290" t="str">
        <f>IF(S184="","",VLOOKUP(S184,'G-3 Multipliers'!$A$2:$E$134,4,FALSE))</f>
        <v/>
      </c>
      <c r="AK184" s="298" t="str">
        <f t="shared" si="29"/>
        <v/>
      </c>
      <c r="AL184" s="298" t="str">
        <f t="shared" si="30"/>
        <v/>
      </c>
      <c r="AM184" s="328" t="str">
        <f>IFERROR(IF(F184="","",IF(AH184="Check Data ⚠","Check Data ⚠",VLOOKUP(AL184, 'G-3 Multipliers'!$P$2:$Q$6,2,FALSE))),"")</f>
        <v/>
      </c>
      <c r="AN184" s="304" t="str">
        <f t="shared" si="31"/>
        <v/>
      </c>
      <c r="AO184" s="163"/>
      <c r="AP184" s="164"/>
      <c r="AQ184" s="101"/>
      <c r="AT184" s="20" t="str">
        <f t="shared" si="32"/>
        <v>No</v>
      </c>
      <c r="AU184" s="20" t="str">
        <f>IF(E184="","",IF(ISNA(VLOOKUP($E184,'A-1 On-Site Habitat Baseline'!$D$1:$AV$258,4,FALSE)),"",(VLOOKUP($E184,'A-1 On-Site Habitat Baseline'!$D$1:$AV$258,4,FALSE))))</f>
        <v/>
      </c>
    </row>
    <row r="185" spans="1:47" x14ac:dyDescent="0.3">
      <c r="A185" s="20" t="str">
        <f>IF(E185="","",IF(ISNA(VLOOKUP($E185,'A-1 On-Site Habitat Baseline'!$D$1:$O$258,2,FALSE)),"",(VLOOKUP($E185,'A-1 On-Site Habitat Baseline'!$D$1:$O$258,2,FALSE))))</f>
        <v/>
      </c>
      <c r="B185" s="20" t="str">
        <f>IF(E185="","",IF(ISNA(VLOOKUP($E185,'A-1 On-Site Habitat Baseline'!$D$1:$O$258,3,FALSE)),"",(VLOOKUP($E185,'A-1 On-Site Habitat Baseline'!$D$1:$O$258,3,FALSE))))</f>
        <v/>
      </c>
      <c r="C185" s="20" t="str">
        <f>IFERROR(INDEX('G-8 Condition Look up'!$I$4:$I$135,MATCH(S185,'G-8 Condition Look up'!$A$4:$A$135,0)),"")</f>
        <v/>
      </c>
      <c r="E185" s="319" t="str">
        <f>'A-1 On-Site Habitat Baseline'!AL184</f>
        <v/>
      </c>
      <c r="F185" s="310" t="str">
        <f>IF(E185="","",IF(ISNA(VLOOKUP($E185,'A-1 On-Site Habitat Baseline'!$D$1:$AV$258,45,FALSE)),"",(VLOOKUP($E185,'A-1 On-Site Habitat Baseline'!$D$1:$AV$258,45,FALSE))))</f>
        <v/>
      </c>
      <c r="G185" s="310" t="str">
        <f>IF(E185="","",IF(ISNA(VLOOKUP($E185,'A-1 On-Site Habitat Baseline'!$D$1:$O$258,5,FALSE)),"",(VLOOKUP($E185,'A-1 On-Site Habitat Baseline'!$D$1:$O$258,5,FALSE))))</f>
        <v/>
      </c>
      <c r="H185" s="310" t="str">
        <f>IF(E185="","",IF(ISNA(VLOOKUP($E185,'A-1 On-Site Habitat Baseline'!$D$1:$O$258,6,FALSE)),"",(VLOOKUP($E185,'A-1 On-Site Habitat Baseline'!$D$1:$O$258,6,FALSE))))</f>
        <v/>
      </c>
      <c r="I185" s="310" t="str">
        <f>IF(E185="","",IF(ISNA(VLOOKUP($E185,'A-1 On-Site Habitat Baseline'!$D$1:$O$258,7,FALSE)),"",(VLOOKUP($E185,'A-1 On-Site Habitat Baseline'!$D$1:$O$258,7,FALSE))))</f>
        <v/>
      </c>
      <c r="J185" s="310" t="str">
        <f>IF(E185="","",IF(ISNA(VLOOKUP($E185,'A-1 On-Site Habitat Baseline'!$D$1:$O$258,8,FALSE)),"",(VLOOKUP($E185,'A-1 On-Site Habitat Baseline'!$D$1:$O$258,8,FALSE))))</f>
        <v/>
      </c>
      <c r="K185" s="310" t="str">
        <f>IF(E185="","",IF(ISNA(VLOOKUP($E185,'A-1 On-Site Habitat Baseline'!$D$1:$O$258,9,FALSE)),"",(VLOOKUP($E185,'A-1 On-Site Habitat Baseline'!$D$1:$O$258,9,FALSE))))</f>
        <v/>
      </c>
      <c r="L185" s="310" t="str">
        <f>IF(E185="","",IF(ISNA(VLOOKUP($E185,'A-1 On-Site Habitat Baseline'!$D$1:$O$258,11,FALSE)),"",(VLOOKUP($E185,'A-1 On-Site Habitat Baseline'!$D$1:$O$258,11,FALSE))))</f>
        <v/>
      </c>
      <c r="M185" s="310" t="str">
        <f>IF(E185="","",IF(ISNA(VLOOKUP($E185,'A-1 On-Site Habitat Baseline'!$D$1:$O$258,12,FALSE)),"",(VLOOKUP($E185,'A-1 On-Site Habitat Baseline'!$D$1:$O$258,12,FALSE))))</f>
        <v/>
      </c>
      <c r="N185" s="320" t="str">
        <f>IF(E185="","",IF(ISNA(VLOOKUP($E185,'A-1 On-Site Habitat Baseline'!$D$1:$X$258,14,FALSE)),"",(VLOOKUP($E185,'A-1 On-Site Habitat Baseline'!$D$1:$X$258,14,FALSE))))</f>
        <v/>
      </c>
      <c r="O185" s="314" t="str">
        <f>IF(E185="","",IF(ISNA(VLOOKUP($E185,'A-1 On-Site Habitat Baseline'!$D$1:$X$258,16,FALSE)),"",(VLOOKUP($E185,'A-1 On-Site Habitat Baseline'!$D$1:$X$258,13,FALSE))))</f>
        <v/>
      </c>
      <c r="P185" s="161" t="str">
        <f>IFERROR(INDEX('G-1 All Habitats'!$AG$49:$AG$63,MATCH(Q185,'G-1 All Habitats'!$AF$27:$AF$41,0)),"")</f>
        <v/>
      </c>
      <c r="Q185" s="162" t="str">
        <f t="shared" si="24"/>
        <v/>
      </c>
      <c r="R185" s="162"/>
      <c r="S185" s="252" t="str">
        <f>IFERROR(INDEX('G-1 All Habitats'!$B$3:$B$135,MATCH(R185,'G-1 All Habitats'!$A$3:$A$135,0)),"")</f>
        <v/>
      </c>
      <c r="T185" s="290" t="str">
        <f t="shared" si="25"/>
        <v/>
      </c>
      <c r="U185" s="291" t="str">
        <f t="shared" si="26"/>
        <v/>
      </c>
      <c r="V185" s="325" t="str">
        <f t="shared" si="22"/>
        <v/>
      </c>
      <c r="W185" s="310" t="str">
        <f>IF(S185="","",VLOOKUP(S185,'G-1 All Habitats'!$B$2:$M$135,10,FALSE))</f>
        <v/>
      </c>
      <c r="X185" s="310" t="str">
        <f>IFERROR(VLOOKUP(W185,'G-1 All Habitats'!$V$3:$W$7,2,FALSE),"")</f>
        <v/>
      </c>
      <c r="Y185" s="45"/>
      <c r="Z185" s="314" t="str">
        <f>IFERROR(INDEX('G-8 Condition Look up'!$A$3:$H$135,MATCH(S185,'G-8 Condition Look up'!$A$3:$A$135,0),MATCH(Y185,'G-8 Condition Look up'!$A$3:$H$3,0)),"")</f>
        <v/>
      </c>
      <c r="AA185" s="38"/>
      <c r="AB185" s="310" t="str">
        <f>IF(AA185="","",IF(VLOOKUP(AA185,'G-3 Multipliers'!$L$3:$N$6,2,FALSE)=0,"Spatial Data Missing ⚠",VLOOKUP(AA185,'G-3 Multipliers'!$L$3:$N$6,2,FALSE)))</f>
        <v/>
      </c>
      <c r="AC185" s="314" t="str">
        <f>IF(AA185="","",IF(VLOOKUP(AA185,'G-3 Multipliers'!$L$3:$N$6,3,FALSE)=0,"Spatial Data Missing ⚠",VLOOKUP(AA185,'G-3 Multipliers'!$L$3:$N$6,3,FALSE)))</f>
        <v/>
      </c>
      <c r="AD185" s="327" t="str">
        <f t="shared" si="23"/>
        <v/>
      </c>
      <c r="AE185" s="47"/>
      <c r="AF185" s="47"/>
      <c r="AG185" s="298" t="str">
        <f t="shared" si="27"/>
        <v/>
      </c>
      <c r="AH185" s="311" t="str">
        <f t="shared" si="28"/>
        <v/>
      </c>
      <c r="AI185" s="312" t="str">
        <f>IF(AH185="Check Data","Check Data",IFERROR(VLOOKUP(AH185,'G-4 Temporal multipliers'!$A$4:$C$36,3,FALSE),""))</f>
        <v/>
      </c>
      <c r="AJ185" s="290" t="str">
        <f>IF(S185="","",VLOOKUP(S185,'G-3 Multipliers'!$A$2:$E$134,4,FALSE))</f>
        <v/>
      </c>
      <c r="AK185" s="298" t="str">
        <f t="shared" si="29"/>
        <v/>
      </c>
      <c r="AL185" s="298" t="str">
        <f t="shared" si="30"/>
        <v/>
      </c>
      <c r="AM185" s="328" t="str">
        <f>IFERROR(IF(F185="","",IF(AH185="Check Data ⚠","Check Data ⚠",VLOOKUP(AL185, 'G-3 Multipliers'!$P$2:$Q$6,2,FALSE))),"")</f>
        <v/>
      </c>
      <c r="AN185" s="304" t="str">
        <f t="shared" si="31"/>
        <v/>
      </c>
      <c r="AO185" s="163"/>
      <c r="AP185" s="164"/>
      <c r="AQ185" s="101"/>
      <c r="AT185" s="20" t="str">
        <f t="shared" si="32"/>
        <v>No</v>
      </c>
      <c r="AU185" s="20" t="str">
        <f>IF(E185="","",IF(ISNA(VLOOKUP($E185,'A-1 On-Site Habitat Baseline'!$D$1:$AV$258,4,FALSE)),"",(VLOOKUP($E185,'A-1 On-Site Habitat Baseline'!$D$1:$AV$258,4,FALSE))))</f>
        <v/>
      </c>
    </row>
    <row r="186" spans="1:47" x14ac:dyDescent="0.3">
      <c r="A186" s="20" t="str">
        <f>IF(E186="","",IF(ISNA(VLOOKUP($E186,'A-1 On-Site Habitat Baseline'!$D$1:$O$258,2,FALSE)),"",(VLOOKUP($E186,'A-1 On-Site Habitat Baseline'!$D$1:$O$258,2,FALSE))))</f>
        <v/>
      </c>
      <c r="B186" s="20" t="str">
        <f>IF(E186="","",IF(ISNA(VLOOKUP($E186,'A-1 On-Site Habitat Baseline'!$D$1:$O$258,3,FALSE)),"",(VLOOKUP($E186,'A-1 On-Site Habitat Baseline'!$D$1:$O$258,3,FALSE))))</f>
        <v/>
      </c>
      <c r="C186" s="20" t="str">
        <f>IFERROR(INDEX('G-8 Condition Look up'!$I$4:$I$135,MATCH(S186,'G-8 Condition Look up'!$A$4:$A$135,0)),"")</f>
        <v/>
      </c>
      <c r="E186" s="319" t="str">
        <f>'A-1 On-Site Habitat Baseline'!AL185</f>
        <v/>
      </c>
      <c r="F186" s="310" t="str">
        <f>IF(E186="","",IF(ISNA(VLOOKUP($E186,'A-1 On-Site Habitat Baseline'!$D$1:$AV$258,45,FALSE)),"",(VLOOKUP($E186,'A-1 On-Site Habitat Baseline'!$D$1:$AV$258,45,FALSE))))</f>
        <v/>
      </c>
      <c r="G186" s="310" t="str">
        <f>IF(E186="","",IF(ISNA(VLOOKUP($E186,'A-1 On-Site Habitat Baseline'!$D$1:$O$258,5,FALSE)),"",(VLOOKUP($E186,'A-1 On-Site Habitat Baseline'!$D$1:$O$258,5,FALSE))))</f>
        <v/>
      </c>
      <c r="H186" s="310" t="str">
        <f>IF(E186="","",IF(ISNA(VLOOKUP($E186,'A-1 On-Site Habitat Baseline'!$D$1:$O$258,6,FALSE)),"",(VLOOKUP($E186,'A-1 On-Site Habitat Baseline'!$D$1:$O$258,6,FALSE))))</f>
        <v/>
      </c>
      <c r="I186" s="310" t="str">
        <f>IF(E186="","",IF(ISNA(VLOOKUP($E186,'A-1 On-Site Habitat Baseline'!$D$1:$O$258,7,FALSE)),"",(VLOOKUP($E186,'A-1 On-Site Habitat Baseline'!$D$1:$O$258,7,FALSE))))</f>
        <v/>
      </c>
      <c r="J186" s="310" t="str">
        <f>IF(E186="","",IF(ISNA(VLOOKUP($E186,'A-1 On-Site Habitat Baseline'!$D$1:$O$258,8,FALSE)),"",(VLOOKUP($E186,'A-1 On-Site Habitat Baseline'!$D$1:$O$258,8,FALSE))))</f>
        <v/>
      </c>
      <c r="K186" s="310" t="str">
        <f>IF(E186="","",IF(ISNA(VLOOKUP($E186,'A-1 On-Site Habitat Baseline'!$D$1:$O$258,9,FALSE)),"",(VLOOKUP($E186,'A-1 On-Site Habitat Baseline'!$D$1:$O$258,9,FALSE))))</f>
        <v/>
      </c>
      <c r="L186" s="310" t="str">
        <f>IF(E186="","",IF(ISNA(VLOOKUP($E186,'A-1 On-Site Habitat Baseline'!$D$1:$O$258,11,FALSE)),"",(VLOOKUP($E186,'A-1 On-Site Habitat Baseline'!$D$1:$O$258,11,FALSE))))</f>
        <v/>
      </c>
      <c r="M186" s="310" t="str">
        <f>IF(E186="","",IF(ISNA(VLOOKUP($E186,'A-1 On-Site Habitat Baseline'!$D$1:$O$258,12,FALSE)),"",(VLOOKUP($E186,'A-1 On-Site Habitat Baseline'!$D$1:$O$258,12,FALSE))))</f>
        <v/>
      </c>
      <c r="N186" s="320" t="str">
        <f>IF(E186="","",IF(ISNA(VLOOKUP($E186,'A-1 On-Site Habitat Baseline'!$D$1:$X$258,14,FALSE)),"",(VLOOKUP($E186,'A-1 On-Site Habitat Baseline'!$D$1:$X$258,14,FALSE))))</f>
        <v/>
      </c>
      <c r="O186" s="314" t="str">
        <f>IF(E186="","",IF(ISNA(VLOOKUP($E186,'A-1 On-Site Habitat Baseline'!$D$1:$X$258,16,FALSE)),"",(VLOOKUP($E186,'A-1 On-Site Habitat Baseline'!$D$1:$X$258,13,FALSE))))</f>
        <v/>
      </c>
      <c r="P186" s="161" t="str">
        <f>IFERROR(INDEX('G-1 All Habitats'!$AG$49:$AG$63,MATCH(Q186,'G-1 All Habitats'!$AF$27:$AF$41,0)),"")</f>
        <v/>
      </c>
      <c r="Q186" s="162" t="str">
        <f t="shared" si="24"/>
        <v/>
      </c>
      <c r="R186" s="162"/>
      <c r="S186" s="252" t="str">
        <f>IFERROR(INDEX('G-1 All Habitats'!$B$3:$B$135,MATCH(R186,'G-1 All Habitats'!$A$3:$A$135,0)),"")</f>
        <v/>
      </c>
      <c r="T186" s="290" t="str">
        <f t="shared" si="25"/>
        <v/>
      </c>
      <c r="U186" s="291" t="str">
        <f t="shared" si="26"/>
        <v/>
      </c>
      <c r="V186" s="325" t="str">
        <f t="shared" si="22"/>
        <v/>
      </c>
      <c r="W186" s="310" t="str">
        <f>IF(S186="","",VLOOKUP(S186,'G-1 All Habitats'!$B$2:$M$135,10,FALSE))</f>
        <v/>
      </c>
      <c r="X186" s="310" t="str">
        <f>IFERROR(VLOOKUP(W186,'G-1 All Habitats'!$V$3:$W$7,2,FALSE),"")</f>
        <v/>
      </c>
      <c r="Y186" s="45"/>
      <c r="Z186" s="314" t="str">
        <f>IFERROR(INDEX('G-8 Condition Look up'!$A$3:$H$135,MATCH(S186,'G-8 Condition Look up'!$A$3:$A$135,0),MATCH(Y186,'G-8 Condition Look up'!$A$3:$H$3,0)),"")</f>
        <v/>
      </c>
      <c r="AA186" s="38"/>
      <c r="AB186" s="310" t="str">
        <f>IF(AA186="","",IF(VLOOKUP(AA186,'G-3 Multipliers'!$L$3:$N$6,2,FALSE)=0,"Spatial Data Missing ⚠",VLOOKUP(AA186,'G-3 Multipliers'!$L$3:$N$6,2,FALSE)))</f>
        <v/>
      </c>
      <c r="AC186" s="314" t="str">
        <f>IF(AA186="","",IF(VLOOKUP(AA186,'G-3 Multipliers'!$L$3:$N$6,3,FALSE)=0,"Spatial Data Missing ⚠",VLOOKUP(AA186,'G-3 Multipliers'!$L$3:$N$6,3,FALSE)))</f>
        <v/>
      </c>
      <c r="AD186" s="327" t="str">
        <f t="shared" si="23"/>
        <v/>
      </c>
      <c r="AE186" s="47"/>
      <c r="AF186" s="47"/>
      <c r="AG186" s="298" t="str">
        <f t="shared" si="27"/>
        <v/>
      </c>
      <c r="AH186" s="311" t="str">
        <f t="shared" si="28"/>
        <v/>
      </c>
      <c r="AI186" s="312" t="str">
        <f>IF(AH186="Check Data","Check Data",IFERROR(VLOOKUP(AH186,'G-4 Temporal multipliers'!$A$4:$C$36,3,FALSE),""))</f>
        <v/>
      </c>
      <c r="AJ186" s="290" t="str">
        <f>IF(S186="","",VLOOKUP(S186,'G-3 Multipliers'!$A$2:$E$134,4,FALSE))</f>
        <v/>
      </c>
      <c r="AK186" s="298" t="str">
        <f t="shared" si="29"/>
        <v/>
      </c>
      <c r="AL186" s="298" t="str">
        <f t="shared" si="30"/>
        <v/>
      </c>
      <c r="AM186" s="328" t="str">
        <f>IFERROR(IF(F186="","",IF(AH186="Check Data ⚠","Check Data ⚠",VLOOKUP(AL186, 'G-3 Multipliers'!$P$2:$Q$6,2,FALSE))),"")</f>
        <v/>
      </c>
      <c r="AN186" s="304" t="str">
        <f t="shared" si="31"/>
        <v/>
      </c>
      <c r="AO186" s="163"/>
      <c r="AP186" s="164"/>
      <c r="AQ186" s="101"/>
      <c r="AT186" s="20" t="str">
        <f t="shared" si="32"/>
        <v>No</v>
      </c>
      <c r="AU186" s="20" t="str">
        <f>IF(E186="","",IF(ISNA(VLOOKUP($E186,'A-1 On-Site Habitat Baseline'!$D$1:$AV$258,4,FALSE)),"",(VLOOKUP($E186,'A-1 On-Site Habitat Baseline'!$D$1:$AV$258,4,FALSE))))</f>
        <v/>
      </c>
    </row>
    <row r="187" spans="1:47" x14ac:dyDescent="0.3">
      <c r="A187" s="20" t="str">
        <f>IF(E187="","",IF(ISNA(VLOOKUP($E187,'A-1 On-Site Habitat Baseline'!$D$1:$O$258,2,FALSE)),"",(VLOOKUP($E187,'A-1 On-Site Habitat Baseline'!$D$1:$O$258,2,FALSE))))</f>
        <v/>
      </c>
      <c r="B187" s="20" t="str">
        <f>IF(E187="","",IF(ISNA(VLOOKUP($E187,'A-1 On-Site Habitat Baseline'!$D$1:$O$258,3,FALSE)),"",(VLOOKUP($E187,'A-1 On-Site Habitat Baseline'!$D$1:$O$258,3,FALSE))))</f>
        <v/>
      </c>
      <c r="C187" s="20" t="str">
        <f>IFERROR(INDEX('G-8 Condition Look up'!$I$4:$I$135,MATCH(S187,'G-8 Condition Look up'!$A$4:$A$135,0)),"")</f>
        <v/>
      </c>
      <c r="E187" s="319" t="str">
        <f>'A-1 On-Site Habitat Baseline'!AL186</f>
        <v/>
      </c>
      <c r="F187" s="310" t="str">
        <f>IF(E187="","",IF(ISNA(VLOOKUP($E187,'A-1 On-Site Habitat Baseline'!$D$1:$AV$258,45,FALSE)),"",(VLOOKUP($E187,'A-1 On-Site Habitat Baseline'!$D$1:$AV$258,45,FALSE))))</f>
        <v/>
      </c>
      <c r="G187" s="310" t="str">
        <f>IF(E187="","",IF(ISNA(VLOOKUP($E187,'A-1 On-Site Habitat Baseline'!$D$1:$O$258,5,FALSE)),"",(VLOOKUP($E187,'A-1 On-Site Habitat Baseline'!$D$1:$O$258,5,FALSE))))</f>
        <v/>
      </c>
      <c r="H187" s="310" t="str">
        <f>IF(E187="","",IF(ISNA(VLOOKUP($E187,'A-1 On-Site Habitat Baseline'!$D$1:$O$258,6,FALSE)),"",(VLOOKUP($E187,'A-1 On-Site Habitat Baseline'!$D$1:$O$258,6,FALSE))))</f>
        <v/>
      </c>
      <c r="I187" s="310" t="str">
        <f>IF(E187="","",IF(ISNA(VLOOKUP($E187,'A-1 On-Site Habitat Baseline'!$D$1:$O$258,7,FALSE)),"",(VLOOKUP($E187,'A-1 On-Site Habitat Baseline'!$D$1:$O$258,7,FALSE))))</f>
        <v/>
      </c>
      <c r="J187" s="310" t="str">
        <f>IF(E187="","",IF(ISNA(VLOOKUP($E187,'A-1 On-Site Habitat Baseline'!$D$1:$O$258,8,FALSE)),"",(VLOOKUP($E187,'A-1 On-Site Habitat Baseline'!$D$1:$O$258,8,FALSE))))</f>
        <v/>
      </c>
      <c r="K187" s="310" t="str">
        <f>IF(E187="","",IF(ISNA(VLOOKUP($E187,'A-1 On-Site Habitat Baseline'!$D$1:$O$258,9,FALSE)),"",(VLOOKUP($E187,'A-1 On-Site Habitat Baseline'!$D$1:$O$258,9,FALSE))))</f>
        <v/>
      </c>
      <c r="L187" s="310" t="str">
        <f>IF(E187="","",IF(ISNA(VLOOKUP($E187,'A-1 On-Site Habitat Baseline'!$D$1:$O$258,11,FALSE)),"",(VLOOKUP($E187,'A-1 On-Site Habitat Baseline'!$D$1:$O$258,11,FALSE))))</f>
        <v/>
      </c>
      <c r="M187" s="310" t="str">
        <f>IF(E187="","",IF(ISNA(VLOOKUP($E187,'A-1 On-Site Habitat Baseline'!$D$1:$O$258,12,FALSE)),"",(VLOOKUP($E187,'A-1 On-Site Habitat Baseline'!$D$1:$O$258,12,FALSE))))</f>
        <v/>
      </c>
      <c r="N187" s="320" t="str">
        <f>IF(E187="","",IF(ISNA(VLOOKUP($E187,'A-1 On-Site Habitat Baseline'!$D$1:$X$258,14,FALSE)),"",(VLOOKUP($E187,'A-1 On-Site Habitat Baseline'!$D$1:$X$258,14,FALSE))))</f>
        <v/>
      </c>
      <c r="O187" s="314" t="str">
        <f>IF(E187="","",IF(ISNA(VLOOKUP($E187,'A-1 On-Site Habitat Baseline'!$D$1:$X$258,16,FALSE)),"",(VLOOKUP($E187,'A-1 On-Site Habitat Baseline'!$D$1:$X$258,13,FALSE))))</f>
        <v/>
      </c>
      <c r="P187" s="161" t="str">
        <f>IFERROR(INDEX('G-1 All Habitats'!$AG$49:$AG$63,MATCH(Q187,'G-1 All Habitats'!$AF$27:$AF$41,0)),"")</f>
        <v/>
      </c>
      <c r="Q187" s="162" t="str">
        <f t="shared" si="24"/>
        <v/>
      </c>
      <c r="R187" s="162"/>
      <c r="S187" s="252" t="str">
        <f>IFERROR(INDEX('G-1 All Habitats'!$B$3:$B$135,MATCH(R187,'G-1 All Habitats'!$A$3:$A$135,0)),"")</f>
        <v/>
      </c>
      <c r="T187" s="290" t="str">
        <f t="shared" si="25"/>
        <v/>
      </c>
      <c r="U187" s="291" t="str">
        <f t="shared" si="26"/>
        <v/>
      </c>
      <c r="V187" s="325" t="str">
        <f t="shared" si="22"/>
        <v/>
      </c>
      <c r="W187" s="310" t="str">
        <f>IF(S187="","",VLOOKUP(S187,'G-1 All Habitats'!$B$2:$M$135,10,FALSE))</f>
        <v/>
      </c>
      <c r="X187" s="310" t="str">
        <f>IFERROR(VLOOKUP(W187,'G-1 All Habitats'!$V$3:$W$7,2,FALSE),"")</f>
        <v/>
      </c>
      <c r="Y187" s="45"/>
      <c r="Z187" s="314" t="str">
        <f>IFERROR(INDEX('G-8 Condition Look up'!$A$3:$H$135,MATCH(S187,'G-8 Condition Look up'!$A$3:$A$135,0),MATCH(Y187,'G-8 Condition Look up'!$A$3:$H$3,0)),"")</f>
        <v/>
      </c>
      <c r="AA187" s="38"/>
      <c r="AB187" s="310" t="str">
        <f>IF(AA187="","",IF(VLOOKUP(AA187,'G-3 Multipliers'!$L$3:$N$6,2,FALSE)=0,"Spatial Data Missing ⚠",VLOOKUP(AA187,'G-3 Multipliers'!$L$3:$N$6,2,FALSE)))</f>
        <v/>
      </c>
      <c r="AC187" s="314" t="str">
        <f>IF(AA187="","",IF(VLOOKUP(AA187,'G-3 Multipliers'!$L$3:$N$6,3,FALSE)=0,"Spatial Data Missing ⚠",VLOOKUP(AA187,'G-3 Multipliers'!$L$3:$N$6,3,FALSE)))</f>
        <v/>
      </c>
      <c r="AD187" s="327" t="str">
        <f t="shared" si="23"/>
        <v/>
      </c>
      <c r="AE187" s="47"/>
      <c r="AF187" s="47"/>
      <c r="AG187" s="298" t="str">
        <f t="shared" si="27"/>
        <v/>
      </c>
      <c r="AH187" s="311" t="str">
        <f t="shared" si="28"/>
        <v/>
      </c>
      <c r="AI187" s="312" t="str">
        <f>IF(AH187="Check Data","Check Data",IFERROR(VLOOKUP(AH187,'G-4 Temporal multipliers'!$A$4:$C$36,3,FALSE),""))</f>
        <v/>
      </c>
      <c r="AJ187" s="290" t="str">
        <f>IF(S187="","",VLOOKUP(S187,'G-3 Multipliers'!$A$2:$E$134,4,FALSE))</f>
        <v/>
      </c>
      <c r="AK187" s="298" t="str">
        <f t="shared" si="29"/>
        <v/>
      </c>
      <c r="AL187" s="298" t="str">
        <f t="shared" si="30"/>
        <v/>
      </c>
      <c r="AM187" s="328" t="str">
        <f>IFERROR(IF(F187="","",IF(AH187="Check Data ⚠","Check Data ⚠",VLOOKUP(AL187, 'G-3 Multipliers'!$P$2:$Q$6,2,FALSE))),"")</f>
        <v/>
      </c>
      <c r="AN187" s="304" t="str">
        <f t="shared" si="31"/>
        <v/>
      </c>
      <c r="AO187" s="163"/>
      <c r="AP187" s="164"/>
      <c r="AQ187" s="101"/>
      <c r="AT187" s="20" t="str">
        <f t="shared" si="32"/>
        <v>No</v>
      </c>
      <c r="AU187" s="20" t="str">
        <f>IF(E187="","",IF(ISNA(VLOOKUP($E187,'A-1 On-Site Habitat Baseline'!$D$1:$AV$258,4,FALSE)),"",(VLOOKUP($E187,'A-1 On-Site Habitat Baseline'!$D$1:$AV$258,4,FALSE))))</f>
        <v/>
      </c>
    </row>
    <row r="188" spans="1:47" x14ac:dyDescent="0.3">
      <c r="A188" s="20" t="str">
        <f>IF(E188="","",IF(ISNA(VLOOKUP($E188,'A-1 On-Site Habitat Baseline'!$D$1:$O$258,2,FALSE)),"",(VLOOKUP($E188,'A-1 On-Site Habitat Baseline'!$D$1:$O$258,2,FALSE))))</f>
        <v/>
      </c>
      <c r="B188" s="20" t="str">
        <f>IF(E188="","",IF(ISNA(VLOOKUP($E188,'A-1 On-Site Habitat Baseline'!$D$1:$O$258,3,FALSE)),"",(VLOOKUP($E188,'A-1 On-Site Habitat Baseline'!$D$1:$O$258,3,FALSE))))</f>
        <v/>
      </c>
      <c r="C188" s="20" t="str">
        <f>IFERROR(INDEX('G-8 Condition Look up'!$I$4:$I$135,MATCH(S188,'G-8 Condition Look up'!$A$4:$A$135,0)),"")</f>
        <v/>
      </c>
      <c r="E188" s="319" t="str">
        <f>'A-1 On-Site Habitat Baseline'!AL187</f>
        <v/>
      </c>
      <c r="F188" s="310" t="str">
        <f>IF(E188="","",IF(ISNA(VLOOKUP($E188,'A-1 On-Site Habitat Baseline'!$D$1:$AV$258,45,FALSE)),"",(VLOOKUP($E188,'A-1 On-Site Habitat Baseline'!$D$1:$AV$258,45,FALSE))))</f>
        <v/>
      </c>
      <c r="G188" s="310" t="str">
        <f>IF(E188="","",IF(ISNA(VLOOKUP($E188,'A-1 On-Site Habitat Baseline'!$D$1:$O$258,5,FALSE)),"",(VLOOKUP($E188,'A-1 On-Site Habitat Baseline'!$D$1:$O$258,5,FALSE))))</f>
        <v/>
      </c>
      <c r="H188" s="310" t="str">
        <f>IF(E188="","",IF(ISNA(VLOOKUP($E188,'A-1 On-Site Habitat Baseline'!$D$1:$O$258,6,FALSE)),"",(VLOOKUP($E188,'A-1 On-Site Habitat Baseline'!$D$1:$O$258,6,FALSE))))</f>
        <v/>
      </c>
      <c r="I188" s="310" t="str">
        <f>IF(E188="","",IF(ISNA(VLOOKUP($E188,'A-1 On-Site Habitat Baseline'!$D$1:$O$258,7,FALSE)),"",(VLOOKUP($E188,'A-1 On-Site Habitat Baseline'!$D$1:$O$258,7,FALSE))))</f>
        <v/>
      </c>
      <c r="J188" s="310" t="str">
        <f>IF(E188="","",IF(ISNA(VLOOKUP($E188,'A-1 On-Site Habitat Baseline'!$D$1:$O$258,8,FALSE)),"",(VLOOKUP($E188,'A-1 On-Site Habitat Baseline'!$D$1:$O$258,8,FALSE))))</f>
        <v/>
      </c>
      <c r="K188" s="310" t="str">
        <f>IF(E188="","",IF(ISNA(VLOOKUP($E188,'A-1 On-Site Habitat Baseline'!$D$1:$O$258,9,FALSE)),"",(VLOOKUP($E188,'A-1 On-Site Habitat Baseline'!$D$1:$O$258,9,FALSE))))</f>
        <v/>
      </c>
      <c r="L188" s="310" t="str">
        <f>IF(E188="","",IF(ISNA(VLOOKUP($E188,'A-1 On-Site Habitat Baseline'!$D$1:$O$258,11,FALSE)),"",(VLOOKUP($E188,'A-1 On-Site Habitat Baseline'!$D$1:$O$258,11,FALSE))))</f>
        <v/>
      </c>
      <c r="M188" s="310" t="str">
        <f>IF(E188="","",IF(ISNA(VLOOKUP($E188,'A-1 On-Site Habitat Baseline'!$D$1:$O$258,12,FALSE)),"",(VLOOKUP($E188,'A-1 On-Site Habitat Baseline'!$D$1:$O$258,12,FALSE))))</f>
        <v/>
      </c>
      <c r="N188" s="320" t="str">
        <f>IF(E188="","",IF(ISNA(VLOOKUP($E188,'A-1 On-Site Habitat Baseline'!$D$1:$X$258,14,FALSE)),"",(VLOOKUP($E188,'A-1 On-Site Habitat Baseline'!$D$1:$X$258,14,FALSE))))</f>
        <v/>
      </c>
      <c r="O188" s="314" t="str">
        <f>IF(E188="","",IF(ISNA(VLOOKUP($E188,'A-1 On-Site Habitat Baseline'!$D$1:$X$258,16,FALSE)),"",(VLOOKUP($E188,'A-1 On-Site Habitat Baseline'!$D$1:$X$258,13,FALSE))))</f>
        <v/>
      </c>
      <c r="P188" s="161" t="str">
        <f>IFERROR(INDEX('G-1 All Habitats'!$AG$49:$AG$63,MATCH(Q188,'G-1 All Habitats'!$AF$27:$AF$41,0)),"")</f>
        <v/>
      </c>
      <c r="Q188" s="162" t="str">
        <f t="shared" si="24"/>
        <v/>
      </c>
      <c r="R188" s="162"/>
      <c r="S188" s="252" t="str">
        <f>IFERROR(INDEX('G-1 All Habitats'!$B$3:$B$135,MATCH(R188,'G-1 All Habitats'!$A$3:$A$135,0)),"")</f>
        <v/>
      </c>
      <c r="T188" s="290" t="str">
        <f t="shared" si="25"/>
        <v/>
      </c>
      <c r="U188" s="291" t="str">
        <f t="shared" si="26"/>
        <v/>
      </c>
      <c r="V188" s="325" t="str">
        <f t="shared" si="22"/>
        <v/>
      </c>
      <c r="W188" s="310" t="str">
        <f>IF(S188="","",VLOOKUP(S188,'G-1 All Habitats'!$B$2:$M$135,10,FALSE))</f>
        <v/>
      </c>
      <c r="X188" s="310" t="str">
        <f>IFERROR(VLOOKUP(W188,'G-1 All Habitats'!$V$3:$W$7,2,FALSE),"")</f>
        <v/>
      </c>
      <c r="Y188" s="45"/>
      <c r="Z188" s="314" t="str">
        <f>IFERROR(INDEX('G-8 Condition Look up'!$A$3:$H$135,MATCH(S188,'G-8 Condition Look up'!$A$3:$A$135,0),MATCH(Y188,'G-8 Condition Look up'!$A$3:$H$3,0)),"")</f>
        <v/>
      </c>
      <c r="AA188" s="38"/>
      <c r="AB188" s="310" t="str">
        <f>IF(AA188="","",IF(VLOOKUP(AA188,'G-3 Multipliers'!$L$3:$N$6,2,FALSE)=0,"Spatial Data Missing ⚠",VLOOKUP(AA188,'G-3 Multipliers'!$L$3:$N$6,2,FALSE)))</f>
        <v/>
      </c>
      <c r="AC188" s="314" t="str">
        <f>IF(AA188="","",IF(VLOOKUP(AA188,'G-3 Multipliers'!$L$3:$N$6,3,FALSE)=0,"Spatial Data Missing ⚠",VLOOKUP(AA188,'G-3 Multipliers'!$L$3:$N$6,3,FALSE)))</f>
        <v/>
      </c>
      <c r="AD188" s="327" t="str">
        <f t="shared" si="23"/>
        <v/>
      </c>
      <c r="AE188" s="47"/>
      <c r="AF188" s="47"/>
      <c r="AG188" s="298" t="str">
        <f t="shared" si="27"/>
        <v/>
      </c>
      <c r="AH188" s="311" t="str">
        <f t="shared" si="28"/>
        <v/>
      </c>
      <c r="AI188" s="312" t="str">
        <f>IF(AH188="Check Data","Check Data",IFERROR(VLOOKUP(AH188,'G-4 Temporal multipliers'!$A$4:$C$36,3,FALSE),""))</f>
        <v/>
      </c>
      <c r="AJ188" s="290" t="str">
        <f>IF(S188="","",VLOOKUP(S188,'G-3 Multipliers'!$A$2:$E$134,4,FALSE))</f>
        <v/>
      </c>
      <c r="AK188" s="298" t="str">
        <f t="shared" si="29"/>
        <v/>
      </c>
      <c r="AL188" s="298" t="str">
        <f t="shared" si="30"/>
        <v/>
      </c>
      <c r="AM188" s="328" t="str">
        <f>IFERROR(IF(F188="","",IF(AH188="Check Data ⚠","Check Data ⚠",VLOOKUP(AL188, 'G-3 Multipliers'!$P$2:$Q$6,2,FALSE))),"")</f>
        <v/>
      </c>
      <c r="AN188" s="304" t="str">
        <f t="shared" si="31"/>
        <v/>
      </c>
      <c r="AO188" s="163"/>
      <c r="AP188" s="164"/>
      <c r="AQ188" s="101"/>
      <c r="AT188" s="20" t="str">
        <f t="shared" si="32"/>
        <v>No</v>
      </c>
      <c r="AU188" s="20" t="str">
        <f>IF(E188="","",IF(ISNA(VLOOKUP($E188,'A-1 On-Site Habitat Baseline'!$D$1:$AV$258,4,FALSE)),"",(VLOOKUP($E188,'A-1 On-Site Habitat Baseline'!$D$1:$AV$258,4,FALSE))))</f>
        <v/>
      </c>
    </row>
    <row r="189" spans="1:47" x14ac:dyDescent="0.3">
      <c r="A189" s="20" t="str">
        <f>IF(E189="","",IF(ISNA(VLOOKUP($E189,'A-1 On-Site Habitat Baseline'!$D$1:$O$258,2,FALSE)),"",(VLOOKUP($E189,'A-1 On-Site Habitat Baseline'!$D$1:$O$258,2,FALSE))))</f>
        <v/>
      </c>
      <c r="B189" s="20" t="str">
        <f>IF(E189="","",IF(ISNA(VLOOKUP($E189,'A-1 On-Site Habitat Baseline'!$D$1:$O$258,3,FALSE)),"",(VLOOKUP($E189,'A-1 On-Site Habitat Baseline'!$D$1:$O$258,3,FALSE))))</f>
        <v/>
      </c>
      <c r="C189" s="20" t="str">
        <f>IFERROR(INDEX('G-8 Condition Look up'!$I$4:$I$135,MATCH(S189,'G-8 Condition Look up'!$A$4:$A$135,0)),"")</f>
        <v/>
      </c>
      <c r="E189" s="319" t="str">
        <f>'A-1 On-Site Habitat Baseline'!AL188</f>
        <v/>
      </c>
      <c r="F189" s="310" t="str">
        <f>IF(E189="","",IF(ISNA(VLOOKUP($E189,'A-1 On-Site Habitat Baseline'!$D$1:$AV$258,45,FALSE)),"",(VLOOKUP($E189,'A-1 On-Site Habitat Baseline'!$D$1:$AV$258,45,FALSE))))</f>
        <v/>
      </c>
      <c r="G189" s="310" t="str">
        <f>IF(E189="","",IF(ISNA(VLOOKUP($E189,'A-1 On-Site Habitat Baseline'!$D$1:$O$258,5,FALSE)),"",(VLOOKUP($E189,'A-1 On-Site Habitat Baseline'!$D$1:$O$258,5,FALSE))))</f>
        <v/>
      </c>
      <c r="H189" s="310" t="str">
        <f>IF(E189="","",IF(ISNA(VLOOKUP($E189,'A-1 On-Site Habitat Baseline'!$D$1:$O$258,6,FALSE)),"",(VLOOKUP($E189,'A-1 On-Site Habitat Baseline'!$D$1:$O$258,6,FALSE))))</f>
        <v/>
      </c>
      <c r="I189" s="310" t="str">
        <f>IF(E189="","",IF(ISNA(VLOOKUP($E189,'A-1 On-Site Habitat Baseline'!$D$1:$O$258,7,FALSE)),"",(VLOOKUP($E189,'A-1 On-Site Habitat Baseline'!$D$1:$O$258,7,FALSE))))</f>
        <v/>
      </c>
      <c r="J189" s="310" t="str">
        <f>IF(E189="","",IF(ISNA(VLOOKUP($E189,'A-1 On-Site Habitat Baseline'!$D$1:$O$258,8,FALSE)),"",(VLOOKUP($E189,'A-1 On-Site Habitat Baseline'!$D$1:$O$258,8,FALSE))))</f>
        <v/>
      </c>
      <c r="K189" s="310" t="str">
        <f>IF(E189="","",IF(ISNA(VLOOKUP($E189,'A-1 On-Site Habitat Baseline'!$D$1:$O$258,9,FALSE)),"",(VLOOKUP($E189,'A-1 On-Site Habitat Baseline'!$D$1:$O$258,9,FALSE))))</f>
        <v/>
      </c>
      <c r="L189" s="310" t="str">
        <f>IF(E189="","",IF(ISNA(VLOOKUP($E189,'A-1 On-Site Habitat Baseline'!$D$1:$O$258,11,FALSE)),"",(VLOOKUP($E189,'A-1 On-Site Habitat Baseline'!$D$1:$O$258,11,FALSE))))</f>
        <v/>
      </c>
      <c r="M189" s="310" t="str">
        <f>IF(E189="","",IF(ISNA(VLOOKUP($E189,'A-1 On-Site Habitat Baseline'!$D$1:$O$258,12,FALSE)),"",(VLOOKUP($E189,'A-1 On-Site Habitat Baseline'!$D$1:$O$258,12,FALSE))))</f>
        <v/>
      </c>
      <c r="N189" s="320" t="str">
        <f>IF(E189="","",IF(ISNA(VLOOKUP($E189,'A-1 On-Site Habitat Baseline'!$D$1:$X$258,14,FALSE)),"",(VLOOKUP($E189,'A-1 On-Site Habitat Baseline'!$D$1:$X$258,14,FALSE))))</f>
        <v/>
      </c>
      <c r="O189" s="314" t="str">
        <f>IF(E189="","",IF(ISNA(VLOOKUP($E189,'A-1 On-Site Habitat Baseline'!$D$1:$X$258,16,FALSE)),"",(VLOOKUP($E189,'A-1 On-Site Habitat Baseline'!$D$1:$X$258,13,FALSE))))</f>
        <v/>
      </c>
      <c r="P189" s="161" t="str">
        <f>IFERROR(INDEX('G-1 All Habitats'!$AG$49:$AG$63,MATCH(Q189,'G-1 All Habitats'!$AF$27:$AF$41,0)),"")</f>
        <v/>
      </c>
      <c r="Q189" s="162" t="str">
        <f t="shared" si="24"/>
        <v/>
      </c>
      <c r="R189" s="162"/>
      <c r="S189" s="252" t="str">
        <f>IFERROR(INDEX('G-1 All Habitats'!$B$3:$B$135,MATCH(R189,'G-1 All Habitats'!$A$3:$A$135,0)),"")</f>
        <v/>
      </c>
      <c r="T189" s="290" t="str">
        <f t="shared" si="25"/>
        <v/>
      </c>
      <c r="U189" s="291" t="str">
        <f t="shared" si="26"/>
        <v/>
      </c>
      <c r="V189" s="325" t="str">
        <f t="shared" si="22"/>
        <v/>
      </c>
      <c r="W189" s="310" t="str">
        <f>IF(S189="","",VLOOKUP(S189,'G-1 All Habitats'!$B$2:$M$135,10,FALSE))</f>
        <v/>
      </c>
      <c r="X189" s="310" t="str">
        <f>IFERROR(VLOOKUP(W189,'G-1 All Habitats'!$V$3:$W$7,2,FALSE),"")</f>
        <v/>
      </c>
      <c r="Y189" s="45"/>
      <c r="Z189" s="314" t="str">
        <f>IFERROR(INDEX('G-8 Condition Look up'!$A$3:$H$135,MATCH(S189,'G-8 Condition Look up'!$A$3:$A$135,0),MATCH(Y189,'G-8 Condition Look up'!$A$3:$H$3,0)),"")</f>
        <v/>
      </c>
      <c r="AA189" s="38"/>
      <c r="AB189" s="310" t="str">
        <f>IF(AA189="","",IF(VLOOKUP(AA189,'G-3 Multipliers'!$L$3:$N$6,2,FALSE)=0,"Spatial Data Missing ⚠",VLOOKUP(AA189,'G-3 Multipliers'!$L$3:$N$6,2,FALSE)))</f>
        <v/>
      </c>
      <c r="AC189" s="314" t="str">
        <f>IF(AA189="","",IF(VLOOKUP(AA189,'G-3 Multipliers'!$L$3:$N$6,3,FALSE)=0,"Spatial Data Missing ⚠",VLOOKUP(AA189,'G-3 Multipliers'!$L$3:$N$6,3,FALSE)))</f>
        <v/>
      </c>
      <c r="AD189" s="327" t="str">
        <f t="shared" si="23"/>
        <v/>
      </c>
      <c r="AE189" s="47"/>
      <c r="AF189" s="47"/>
      <c r="AG189" s="298" t="str">
        <f t="shared" si="27"/>
        <v/>
      </c>
      <c r="AH189" s="311" t="str">
        <f t="shared" si="28"/>
        <v/>
      </c>
      <c r="AI189" s="312" t="str">
        <f>IF(AH189="Check Data","Check Data",IFERROR(VLOOKUP(AH189,'G-4 Temporal multipliers'!$A$4:$C$36,3,FALSE),""))</f>
        <v/>
      </c>
      <c r="AJ189" s="290" t="str">
        <f>IF(S189="","",VLOOKUP(S189,'G-3 Multipliers'!$A$2:$E$134,4,FALSE))</f>
        <v/>
      </c>
      <c r="AK189" s="298" t="str">
        <f t="shared" si="29"/>
        <v/>
      </c>
      <c r="AL189" s="298" t="str">
        <f t="shared" si="30"/>
        <v/>
      </c>
      <c r="AM189" s="328" t="str">
        <f>IFERROR(IF(F189="","",IF(AH189="Check Data ⚠","Check Data ⚠",VLOOKUP(AL189, 'G-3 Multipliers'!$P$2:$Q$6,2,FALSE))),"")</f>
        <v/>
      </c>
      <c r="AN189" s="304" t="str">
        <f t="shared" si="31"/>
        <v/>
      </c>
      <c r="AO189" s="163"/>
      <c r="AP189" s="164"/>
      <c r="AQ189" s="101"/>
      <c r="AT189" s="20" t="str">
        <f t="shared" si="32"/>
        <v>No</v>
      </c>
      <c r="AU189" s="20" t="str">
        <f>IF(E189="","",IF(ISNA(VLOOKUP($E189,'A-1 On-Site Habitat Baseline'!$D$1:$AV$258,4,FALSE)),"",(VLOOKUP($E189,'A-1 On-Site Habitat Baseline'!$D$1:$AV$258,4,FALSE))))</f>
        <v/>
      </c>
    </row>
    <row r="190" spans="1:47" x14ac:dyDescent="0.3">
      <c r="A190" s="20" t="str">
        <f>IF(E190="","",IF(ISNA(VLOOKUP($E190,'A-1 On-Site Habitat Baseline'!$D$1:$O$258,2,FALSE)),"",(VLOOKUP($E190,'A-1 On-Site Habitat Baseline'!$D$1:$O$258,2,FALSE))))</f>
        <v/>
      </c>
      <c r="B190" s="20" t="str">
        <f>IF(E190="","",IF(ISNA(VLOOKUP($E190,'A-1 On-Site Habitat Baseline'!$D$1:$O$258,3,FALSE)),"",(VLOOKUP($E190,'A-1 On-Site Habitat Baseline'!$D$1:$O$258,3,FALSE))))</f>
        <v/>
      </c>
      <c r="C190" s="20" t="str">
        <f>IFERROR(INDEX('G-8 Condition Look up'!$I$4:$I$135,MATCH(S190,'G-8 Condition Look up'!$A$4:$A$135,0)),"")</f>
        <v/>
      </c>
      <c r="E190" s="319" t="str">
        <f>'A-1 On-Site Habitat Baseline'!AL189</f>
        <v/>
      </c>
      <c r="F190" s="310" t="str">
        <f>IF(E190="","",IF(ISNA(VLOOKUP($E190,'A-1 On-Site Habitat Baseline'!$D$1:$AV$258,45,FALSE)),"",(VLOOKUP($E190,'A-1 On-Site Habitat Baseline'!$D$1:$AV$258,45,FALSE))))</f>
        <v/>
      </c>
      <c r="G190" s="310" t="str">
        <f>IF(E190="","",IF(ISNA(VLOOKUP($E190,'A-1 On-Site Habitat Baseline'!$D$1:$O$258,5,FALSE)),"",(VLOOKUP($E190,'A-1 On-Site Habitat Baseline'!$D$1:$O$258,5,FALSE))))</f>
        <v/>
      </c>
      <c r="H190" s="310" t="str">
        <f>IF(E190="","",IF(ISNA(VLOOKUP($E190,'A-1 On-Site Habitat Baseline'!$D$1:$O$258,6,FALSE)),"",(VLOOKUP($E190,'A-1 On-Site Habitat Baseline'!$D$1:$O$258,6,FALSE))))</f>
        <v/>
      </c>
      <c r="I190" s="310" t="str">
        <f>IF(E190="","",IF(ISNA(VLOOKUP($E190,'A-1 On-Site Habitat Baseline'!$D$1:$O$258,7,FALSE)),"",(VLOOKUP($E190,'A-1 On-Site Habitat Baseline'!$D$1:$O$258,7,FALSE))))</f>
        <v/>
      </c>
      <c r="J190" s="310" t="str">
        <f>IF(E190="","",IF(ISNA(VLOOKUP($E190,'A-1 On-Site Habitat Baseline'!$D$1:$O$258,8,FALSE)),"",(VLOOKUP($E190,'A-1 On-Site Habitat Baseline'!$D$1:$O$258,8,FALSE))))</f>
        <v/>
      </c>
      <c r="K190" s="310" t="str">
        <f>IF(E190="","",IF(ISNA(VLOOKUP($E190,'A-1 On-Site Habitat Baseline'!$D$1:$O$258,9,FALSE)),"",(VLOOKUP($E190,'A-1 On-Site Habitat Baseline'!$D$1:$O$258,9,FALSE))))</f>
        <v/>
      </c>
      <c r="L190" s="310" t="str">
        <f>IF(E190="","",IF(ISNA(VLOOKUP($E190,'A-1 On-Site Habitat Baseline'!$D$1:$O$258,11,FALSE)),"",(VLOOKUP($E190,'A-1 On-Site Habitat Baseline'!$D$1:$O$258,11,FALSE))))</f>
        <v/>
      </c>
      <c r="M190" s="310" t="str">
        <f>IF(E190="","",IF(ISNA(VLOOKUP($E190,'A-1 On-Site Habitat Baseline'!$D$1:$O$258,12,FALSE)),"",(VLOOKUP($E190,'A-1 On-Site Habitat Baseline'!$D$1:$O$258,12,FALSE))))</f>
        <v/>
      </c>
      <c r="N190" s="320" t="str">
        <f>IF(E190="","",IF(ISNA(VLOOKUP($E190,'A-1 On-Site Habitat Baseline'!$D$1:$X$258,14,FALSE)),"",(VLOOKUP($E190,'A-1 On-Site Habitat Baseline'!$D$1:$X$258,14,FALSE))))</f>
        <v/>
      </c>
      <c r="O190" s="314" t="str">
        <f>IF(E190="","",IF(ISNA(VLOOKUP($E190,'A-1 On-Site Habitat Baseline'!$D$1:$X$258,16,FALSE)),"",(VLOOKUP($E190,'A-1 On-Site Habitat Baseline'!$D$1:$X$258,13,FALSE))))</f>
        <v/>
      </c>
      <c r="P190" s="161" t="str">
        <f>IFERROR(INDEX('G-1 All Habitats'!$AG$49:$AG$63,MATCH(Q190,'G-1 All Habitats'!$AF$27:$AF$41,0)),"")</f>
        <v/>
      </c>
      <c r="Q190" s="162" t="str">
        <f t="shared" si="24"/>
        <v/>
      </c>
      <c r="R190" s="162"/>
      <c r="S190" s="252" t="str">
        <f>IFERROR(INDEX('G-1 All Habitats'!$B$3:$B$135,MATCH(R190,'G-1 All Habitats'!$A$3:$A$135,0)),"")</f>
        <v/>
      </c>
      <c r="T190" s="290" t="str">
        <f t="shared" si="25"/>
        <v/>
      </c>
      <c r="U190" s="291" t="str">
        <f t="shared" si="26"/>
        <v/>
      </c>
      <c r="V190" s="325" t="str">
        <f t="shared" si="22"/>
        <v/>
      </c>
      <c r="W190" s="310" t="str">
        <f>IF(S190="","",VLOOKUP(S190,'G-1 All Habitats'!$B$2:$M$135,10,FALSE))</f>
        <v/>
      </c>
      <c r="X190" s="310" t="str">
        <f>IFERROR(VLOOKUP(W190,'G-1 All Habitats'!$V$3:$W$7,2,FALSE),"")</f>
        <v/>
      </c>
      <c r="Y190" s="45"/>
      <c r="Z190" s="314" t="str">
        <f>IFERROR(INDEX('G-8 Condition Look up'!$A$3:$H$135,MATCH(S190,'G-8 Condition Look up'!$A$3:$A$135,0),MATCH(Y190,'G-8 Condition Look up'!$A$3:$H$3,0)),"")</f>
        <v/>
      </c>
      <c r="AA190" s="38"/>
      <c r="AB190" s="310" t="str">
        <f>IF(AA190="","",IF(VLOOKUP(AA190,'G-3 Multipliers'!$L$3:$N$6,2,FALSE)=0,"Spatial Data Missing ⚠",VLOOKUP(AA190,'G-3 Multipliers'!$L$3:$N$6,2,FALSE)))</f>
        <v/>
      </c>
      <c r="AC190" s="314" t="str">
        <f>IF(AA190="","",IF(VLOOKUP(AA190,'G-3 Multipliers'!$L$3:$N$6,3,FALSE)=0,"Spatial Data Missing ⚠",VLOOKUP(AA190,'G-3 Multipliers'!$L$3:$N$6,3,FALSE)))</f>
        <v/>
      </c>
      <c r="AD190" s="327" t="str">
        <f t="shared" si="23"/>
        <v/>
      </c>
      <c r="AE190" s="47"/>
      <c r="AF190" s="47"/>
      <c r="AG190" s="298" t="str">
        <f t="shared" si="27"/>
        <v/>
      </c>
      <c r="AH190" s="311" t="str">
        <f t="shared" si="28"/>
        <v/>
      </c>
      <c r="AI190" s="312" t="str">
        <f>IF(AH190="Check Data","Check Data",IFERROR(VLOOKUP(AH190,'G-4 Temporal multipliers'!$A$4:$C$36,3,FALSE),""))</f>
        <v/>
      </c>
      <c r="AJ190" s="290" t="str">
        <f>IF(S190="","",VLOOKUP(S190,'G-3 Multipliers'!$A$2:$E$134,4,FALSE))</f>
        <v/>
      </c>
      <c r="AK190" s="298" t="str">
        <f t="shared" si="29"/>
        <v/>
      </c>
      <c r="AL190" s="298" t="str">
        <f t="shared" si="30"/>
        <v/>
      </c>
      <c r="AM190" s="328" t="str">
        <f>IFERROR(IF(F190="","",IF(AH190="Check Data ⚠","Check Data ⚠",VLOOKUP(AL190, 'G-3 Multipliers'!$P$2:$Q$6,2,FALSE))),"")</f>
        <v/>
      </c>
      <c r="AN190" s="304" t="str">
        <f t="shared" si="31"/>
        <v/>
      </c>
      <c r="AO190" s="163"/>
      <c r="AP190" s="164"/>
      <c r="AQ190" s="101"/>
      <c r="AT190" s="20" t="str">
        <f t="shared" si="32"/>
        <v>No</v>
      </c>
      <c r="AU190" s="20" t="str">
        <f>IF(E190="","",IF(ISNA(VLOOKUP($E190,'A-1 On-Site Habitat Baseline'!$D$1:$AV$258,4,FALSE)),"",(VLOOKUP($E190,'A-1 On-Site Habitat Baseline'!$D$1:$AV$258,4,FALSE))))</f>
        <v/>
      </c>
    </row>
    <row r="191" spans="1:47" x14ac:dyDescent="0.3">
      <c r="A191" s="20" t="str">
        <f>IF(E191="","",IF(ISNA(VLOOKUP($E191,'A-1 On-Site Habitat Baseline'!$D$1:$O$258,2,FALSE)),"",(VLOOKUP($E191,'A-1 On-Site Habitat Baseline'!$D$1:$O$258,2,FALSE))))</f>
        <v/>
      </c>
      <c r="B191" s="20" t="str">
        <f>IF(E191="","",IF(ISNA(VLOOKUP($E191,'A-1 On-Site Habitat Baseline'!$D$1:$O$258,3,FALSE)),"",(VLOOKUP($E191,'A-1 On-Site Habitat Baseline'!$D$1:$O$258,3,FALSE))))</f>
        <v/>
      </c>
      <c r="C191" s="20" t="str">
        <f>IFERROR(INDEX('G-8 Condition Look up'!$I$4:$I$135,MATCH(S191,'G-8 Condition Look up'!$A$4:$A$135,0)),"")</f>
        <v/>
      </c>
      <c r="E191" s="319" t="str">
        <f>'A-1 On-Site Habitat Baseline'!AL190</f>
        <v/>
      </c>
      <c r="F191" s="310" t="str">
        <f>IF(E191="","",IF(ISNA(VLOOKUP($E191,'A-1 On-Site Habitat Baseline'!$D$1:$AV$258,45,FALSE)),"",(VLOOKUP($E191,'A-1 On-Site Habitat Baseline'!$D$1:$AV$258,45,FALSE))))</f>
        <v/>
      </c>
      <c r="G191" s="310" t="str">
        <f>IF(E191="","",IF(ISNA(VLOOKUP($E191,'A-1 On-Site Habitat Baseline'!$D$1:$O$258,5,FALSE)),"",(VLOOKUP($E191,'A-1 On-Site Habitat Baseline'!$D$1:$O$258,5,FALSE))))</f>
        <v/>
      </c>
      <c r="H191" s="310" t="str">
        <f>IF(E191="","",IF(ISNA(VLOOKUP($E191,'A-1 On-Site Habitat Baseline'!$D$1:$O$258,6,FALSE)),"",(VLOOKUP($E191,'A-1 On-Site Habitat Baseline'!$D$1:$O$258,6,FALSE))))</f>
        <v/>
      </c>
      <c r="I191" s="310" t="str">
        <f>IF(E191="","",IF(ISNA(VLOOKUP($E191,'A-1 On-Site Habitat Baseline'!$D$1:$O$258,7,FALSE)),"",(VLOOKUP($E191,'A-1 On-Site Habitat Baseline'!$D$1:$O$258,7,FALSE))))</f>
        <v/>
      </c>
      <c r="J191" s="310" t="str">
        <f>IF(E191="","",IF(ISNA(VLOOKUP($E191,'A-1 On-Site Habitat Baseline'!$D$1:$O$258,8,FALSE)),"",(VLOOKUP($E191,'A-1 On-Site Habitat Baseline'!$D$1:$O$258,8,FALSE))))</f>
        <v/>
      </c>
      <c r="K191" s="310" t="str">
        <f>IF(E191="","",IF(ISNA(VLOOKUP($E191,'A-1 On-Site Habitat Baseline'!$D$1:$O$258,9,FALSE)),"",(VLOOKUP($E191,'A-1 On-Site Habitat Baseline'!$D$1:$O$258,9,FALSE))))</f>
        <v/>
      </c>
      <c r="L191" s="310" t="str">
        <f>IF(E191="","",IF(ISNA(VLOOKUP($E191,'A-1 On-Site Habitat Baseline'!$D$1:$O$258,11,FALSE)),"",(VLOOKUP($E191,'A-1 On-Site Habitat Baseline'!$D$1:$O$258,11,FALSE))))</f>
        <v/>
      </c>
      <c r="M191" s="310" t="str">
        <f>IF(E191="","",IF(ISNA(VLOOKUP($E191,'A-1 On-Site Habitat Baseline'!$D$1:$O$258,12,FALSE)),"",(VLOOKUP($E191,'A-1 On-Site Habitat Baseline'!$D$1:$O$258,12,FALSE))))</f>
        <v/>
      </c>
      <c r="N191" s="320" t="str">
        <f>IF(E191="","",IF(ISNA(VLOOKUP($E191,'A-1 On-Site Habitat Baseline'!$D$1:$X$258,14,FALSE)),"",(VLOOKUP($E191,'A-1 On-Site Habitat Baseline'!$D$1:$X$258,14,FALSE))))</f>
        <v/>
      </c>
      <c r="O191" s="314" t="str">
        <f>IF(E191="","",IF(ISNA(VLOOKUP($E191,'A-1 On-Site Habitat Baseline'!$D$1:$X$258,16,FALSE)),"",(VLOOKUP($E191,'A-1 On-Site Habitat Baseline'!$D$1:$X$258,13,FALSE))))</f>
        <v/>
      </c>
      <c r="P191" s="161" t="str">
        <f>IFERROR(INDEX('G-1 All Habitats'!$AG$49:$AG$63,MATCH(Q191,'G-1 All Habitats'!$AF$27:$AF$41,0)),"")</f>
        <v/>
      </c>
      <c r="Q191" s="162" t="str">
        <f t="shared" si="24"/>
        <v/>
      </c>
      <c r="R191" s="162"/>
      <c r="S191" s="252" t="str">
        <f>IFERROR(INDEX('G-1 All Habitats'!$B$3:$B$135,MATCH(R191,'G-1 All Habitats'!$A$3:$A$135,0)),"")</f>
        <v/>
      </c>
      <c r="T191" s="290" t="str">
        <f t="shared" si="25"/>
        <v/>
      </c>
      <c r="U191" s="291" t="str">
        <f t="shared" si="26"/>
        <v/>
      </c>
      <c r="V191" s="325" t="str">
        <f t="shared" si="22"/>
        <v/>
      </c>
      <c r="W191" s="310" t="str">
        <f>IF(S191="","",VLOOKUP(S191,'G-1 All Habitats'!$B$2:$M$135,10,FALSE))</f>
        <v/>
      </c>
      <c r="X191" s="310" t="str">
        <f>IFERROR(VLOOKUP(W191,'G-1 All Habitats'!$V$3:$W$7,2,FALSE),"")</f>
        <v/>
      </c>
      <c r="Y191" s="45"/>
      <c r="Z191" s="314" t="str">
        <f>IFERROR(INDEX('G-8 Condition Look up'!$A$3:$H$135,MATCH(S191,'G-8 Condition Look up'!$A$3:$A$135,0),MATCH(Y191,'G-8 Condition Look up'!$A$3:$H$3,0)),"")</f>
        <v/>
      </c>
      <c r="AA191" s="38"/>
      <c r="AB191" s="310" t="str">
        <f>IF(AA191="","",IF(VLOOKUP(AA191,'G-3 Multipliers'!$L$3:$N$6,2,FALSE)=0,"Spatial Data Missing ⚠",VLOOKUP(AA191,'G-3 Multipliers'!$L$3:$N$6,2,FALSE)))</f>
        <v/>
      </c>
      <c r="AC191" s="314" t="str">
        <f>IF(AA191="","",IF(VLOOKUP(AA191,'G-3 Multipliers'!$L$3:$N$6,3,FALSE)=0,"Spatial Data Missing ⚠",VLOOKUP(AA191,'G-3 Multipliers'!$L$3:$N$6,3,FALSE)))</f>
        <v/>
      </c>
      <c r="AD191" s="327" t="str">
        <f t="shared" si="23"/>
        <v/>
      </c>
      <c r="AE191" s="47"/>
      <c r="AF191" s="47"/>
      <c r="AG191" s="298" t="str">
        <f t="shared" si="27"/>
        <v/>
      </c>
      <c r="AH191" s="311" t="str">
        <f t="shared" si="28"/>
        <v/>
      </c>
      <c r="AI191" s="312" t="str">
        <f>IF(AH191="Check Data","Check Data",IFERROR(VLOOKUP(AH191,'G-4 Temporal multipliers'!$A$4:$C$36,3,FALSE),""))</f>
        <v/>
      </c>
      <c r="AJ191" s="290" t="str">
        <f>IF(S191="","",VLOOKUP(S191,'G-3 Multipliers'!$A$2:$E$134,4,FALSE))</f>
        <v/>
      </c>
      <c r="AK191" s="298" t="str">
        <f t="shared" si="29"/>
        <v/>
      </c>
      <c r="AL191" s="298" t="str">
        <f t="shared" si="30"/>
        <v/>
      </c>
      <c r="AM191" s="328" t="str">
        <f>IFERROR(IF(F191="","",IF(AH191="Check Data ⚠","Check Data ⚠",VLOOKUP(AL191, 'G-3 Multipliers'!$P$2:$Q$6,2,FALSE))),"")</f>
        <v/>
      </c>
      <c r="AN191" s="304" t="str">
        <f t="shared" si="31"/>
        <v/>
      </c>
      <c r="AO191" s="163"/>
      <c r="AP191" s="164"/>
      <c r="AQ191" s="101"/>
      <c r="AT191" s="20" t="str">
        <f t="shared" si="32"/>
        <v>No</v>
      </c>
      <c r="AU191" s="20" t="str">
        <f>IF(E191="","",IF(ISNA(VLOOKUP($E191,'A-1 On-Site Habitat Baseline'!$D$1:$AV$258,4,FALSE)),"",(VLOOKUP($E191,'A-1 On-Site Habitat Baseline'!$D$1:$AV$258,4,FALSE))))</f>
        <v/>
      </c>
    </row>
    <row r="192" spans="1:47" x14ac:dyDescent="0.3">
      <c r="A192" s="20" t="str">
        <f>IF(E192="","",IF(ISNA(VLOOKUP($E192,'A-1 On-Site Habitat Baseline'!$D$1:$O$258,2,FALSE)),"",(VLOOKUP($E192,'A-1 On-Site Habitat Baseline'!$D$1:$O$258,2,FALSE))))</f>
        <v/>
      </c>
      <c r="B192" s="20" t="str">
        <f>IF(E192="","",IF(ISNA(VLOOKUP($E192,'A-1 On-Site Habitat Baseline'!$D$1:$O$258,3,FALSE)),"",(VLOOKUP($E192,'A-1 On-Site Habitat Baseline'!$D$1:$O$258,3,FALSE))))</f>
        <v/>
      </c>
      <c r="C192" s="20" t="str">
        <f>IFERROR(INDEX('G-8 Condition Look up'!$I$4:$I$135,MATCH(S192,'G-8 Condition Look up'!$A$4:$A$135,0)),"")</f>
        <v/>
      </c>
      <c r="E192" s="319" t="str">
        <f>'A-1 On-Site Habitat Baseline'!AL191</f>
        <v/>
      </c>
      <c r="F192" s="310" t="str">
        <f>IF(E192="","",IF(ISNA(VLOOKUP($E192,'A-1 On-Site Habitat Baseline'!$D$1:$AV$258,45,FALSE)),"",(VLOOKUP($E192,'A-1 On-Site Habitat Baseline'!$D$1:$AV$258,45,FALSE))))</f>
        <v/>
      </c>
      <c r="G192" s="310" t="str">
        <f>IF(E192="","",IF(ISNA(VLOOKUP($E192,'A-1 On-Site Habitat Baseline'!$D$1:$O$258,5,FALSE)),"",(VLOOKUP($E192,'A-1 On-Site Habitat Baseline'!$D$1:$O$258,5,FALSE))))</f>
        <v/>
      </c>
      <c r="H192" s="310" t="str">
        <f>IF(E192="","",IF(ISNA(VLOOKUP($E192,'A-1 On-Site Habitat Baseline'!$D$1:$O$258,6,FALSE)),"",(VLOOKUP($E192,'A-1 On-Site Habitat Baseline'!$D$1:$O$258,6,FALSE))))</f>
        <v/>
      </c>
      <c r="I192" s="310" t="str">
        <f>IF(E192="","",IF(ISNA(VLOOKUP($E192,'A-1 On-Site Habitat Baseline'!$D$1:$O$258,7,FALSE)),"",(VLOOKUP($E192,'A-1 On-Site Habitat Baseline'!$D$1:$O$258,7,FALSE))))</f>
        <v/>
      </c>
      <c r="J192" s="310" t="str">
        <f>IF(E192="","",IF(ISNA(VLOOKUP($E192,'A-1 On-Site Habitat Baseline'!$D$1:$O$258,8,FALSE)),"",(VLOOKUP($E192,'A-1 On-Site Habitat Baseline'!$D$1:$O$258,8,FALSE))))</f>
        <v/>
      </c>
      <c r="K192" s="310" t="str">
        <f>IF(E192="","",IF(ISNA(VLOOKUP($E192,'A-1 On-Site Habitat Baseline'!$D$1:$O$258,9,FALSE)),"",(VLOOKUP($E192,'A-1 On-Site Habitat Baseline'!$D$1:$O$258,9,FALSE))))</f>
        <v/>
      </c>
      <c r="L192" s="310" t="str">
        <f>IF(E192="","",IF(ISNA(VLOOKUP($E192,'A-1 On-Site Habitat Baseline'!$D$1:$O$258,11,FALSE)),"",(VLOOKUP($E192,'A-1 On-Site Habitat Baseline'!$D$1:$O$258,11,FALSE))))</f>
        <v/>
      </c>
      <c r="M192" s="310" t="str">
        <f>IF(E192="","",IF(ISNA(VLOOKUP($E192,'A-1 On-Site Habitat Baseline'!$D$1:$O$258,12,FALSE)),"",(VLOOKUP($E192,'A-1 On-Site Habitat Baseline'!$D$1:$O$258,12,FALSE))))</f>
        <v/>
      </c>
      <c r="N192" s="320" t="str">
        <f>IF(E192="","",IF(ISNA(VLOOKUP($E192,'A-1 On-Site Habitat Baseline'!$D$1:$X$258,14,FALSE)),"",(VLOOKUP($E192,'A-1 On-Site Habitat Baseline'!$D$1:$X$258,14,FALSE))))</f>
        <v/>
      </c>
      <c r="O192" s="314" t="str">
        <f>IF(E192="","",IF(ISNA(VLOOKUP($E192,'A-1 On-Site Habitat Baseline'!$D$1:$X$258,16,FALSE)),"",(VLOOKUP($E192,'A-1 On-Site Habitat Baseline'!$D$1:$X$258,13,FALSE))))</f>
        <v/>
      </c>
      <c r="P192" s="161" t="str">
        <f>IFERROR(INDEX('G-1 All Habitats'!$AG$49:$AG$63,MATCH(Q192,'G-1 All Habitats'!$AF$27:$AF$41,0)),"")</f>
        <v/>
      </c>
      <c r="Q192" s="162" t="str">
        <f t="shared" si="24"/>
        <v/>
      </c>
      <c r="R192" s="162"/>
      <c r="S192" s="252" t="str">
        <f>IFERROR(INDEX('G-1 All Habitats'!$B$3:$B$135,MATCH(R192,'G-1 All Habitats'!$A$3:$A$135,0)),"")</f>
        <v/>
      </c>
      <c r="T192" s="290" t="str">
        <f t="shared" si="25"/>
        <v/>
      </c>
      <c r="U192" s="291" t="str">
        <f t="shared" si="26"/>
        <v/>
      </c>
      <c r="V192" s="325" t="str">
        <f t="shared" si="22"/>
        <v/>
      </c>
      <c r="W192" s="310" t="str">
        <f>IF(S192="","",VLOOKUP(S192,'G-1 All Habitats'!$B$2:$M$135,10,FALSE))</f>
        <v/>
      </c>
      <c r="X192" s="310" t="str">
        <f>IFERROR(VLOOKUP(W192,'G-1 All Habitats'!$V$3:$W$7,2,FALSE),"")</f>
        <v/>
      </c>
      <c r="Y192" s="45"/>
      <c r="Z192" s="314" t="str">
        <f>IFERROR(INDEX('G-8 Condition Look up'!$A$3:$H$135,MATCH(S192,'G-8 Condition Look up'!$A$3:$A$135,0),MATCH(Y192,'G-8 Condition Look up'!$A$3:$H$3,0)),"")</f>
        <v/>
      </c>
      <c r="AA192" s="38"/>
      <c r="AB192" s="310" t="str">
        <f>IF(AA192="","",IF(VLOOKUP(AA192,'G-3 Multipliers'!$L$3:$N$6,2,FALSE)=0,"Spatial Data Missing ⚠",VLOOKUP(AA192,'G-3 Multipliers'!$L$3:$N$6,2,FALSE)))</f>
        <v/>
      </c>
      <c r="AC192" s="314" t="str">
        <f>IF(AA192="","",IF(VLOOKUP(AA192,'G-3 Multipliers'!$L$3:$N$6,3,FALSE)=0,"Spatial Data Missing ⚠",VLOOKUP(AA192,'G-3 Multipliers'!$L$3:$N$6,3,FALSE)))</f>
        <v/>
      </c>
      <c r="AD192" s="327" t="str">
        <f t="shared" si="23"/>
        <v/>
      </c>
      <c r="AE192" s="47"/>
      <c r="AF192" s="47"/>
      <c r="AG192" s="298" t="str">
        <f t="shared" si="27"/>
        <v/>
      </c>
      <c r="AH192" s="311" t="str">
        <f t="shared" si="28"/>
        <v/>
      </c>
      <c r="AI192" s="312" t="str">
        <f>IF(AH192="Check Data","Check Data",IFERROR(VLOOKUP(AH192,'G-4 Temporal multipliers'!$A$4:$C$36,3,FALSE),""))</f>
        <v/>
      </c>
      <c r="AJ192" s="290" t="str">
        <f>IF(S192="","",VLOOKUP(S192,'G-3 Multipliers'!$A$2:$E$134,4,FALSE))</f>
        <v/>
      </c>
      <c r="AK192" s="298" t="str">
        <f t="shared" si="29"/>
        <v/>
      </c>
      <c r="AL192" s="298" t="str">
        <f t="shared" si="30"/>
        <v/>
      </c>
      <c r="AM192" s="328" t="str">
        <f>IFERROR(IF(F192="","",IF(AH192="Check Data ⚠","Check Data ⚠",VLOOKUP(AL192, 'G-3 Multipliers'!$P$2:$Q$6,2,FALSE))),"")</f>
        <v/>
      </c>
      <c r="AN192" s="304" t="str">
        <f t="shared" si="31"/>
        <v/>
      </c>
      <c r="AO192" s="163"/>
      <c r="AP192" s="164"/>
      <c r="AQ192" s="101"/>
      <c r="AT192" s="20" t="str">
        <f t="shared" si="32"/>
        <v>No</v>
      </c>
      <c r="AU192" s="20" t="str">
        <f>IF(E192="","",IF(ISNA(VLOOKUP($E192,'A-1 On-Site Habitat Baseline'!$D$1:$AV$258,4,FALSE)),"",(VLOOKUP($E192,'A-1 On-Site Habitat Baseline'!$D$1:$AV$258,4,FALSE))))</f>
        <v/>
      </c>
    </row>
    <row r="193" spans="1:47" x14ac:dyDescent="0.3">
      <c r="A193" s="20" t="str">
        <f>IF(E193="","",IF(ISNA(VLOOKUP($E193,'A-1 On-Site Habitat Baseline'!$D$1:$O$258,2,FALSE)),"",(VLOOKUP($E193,'A-1 On-Site Habitat Baseline'!$D$1:$O$258,2,FALSE))))</f>
        <v/>
      </c>
      <c r="B193" s="20" t="str">
        <f>IF(E193="","",IF(ISNA(VLOOKUP($E193,'A-1 On-Site Habitat Baseline'!$D$1:$O$258,3,FALSE)),"",(VLOOKUP($E193,'A-1 On-Site Habitat Baseline'!$D$1:$O$258,3,FALSE))))</f>
        <v/>
      </c>
      <c r="C193" s="20" t="str">
        <f>IFERROR(INDEX('G-8 Condition Look up'!$I$4:$I$135,MATCH(S193,'G-8 Condition Look up'!$A$4:$A$135,0)),"")</f>
        <v/>
      </c>
      <c r="E193" s="319" t="str">
        <f>'A-1 On-Site Habitat Baseline'!AL192</f>
        <v/>
      </c>
      <c r="F193" s="310" t="str">
        <f>IF(E193="","",IF(ISNA(VLOOKUP($E193,'A-1 On-Site Habitat Baseline'!$D$1:$AV$258,45,FALSE)),"",(VLOOKUP($E193,'A-1 On-Site Habitat Baseline'!$D$1:$AV$258,45,FALSE))))</f>
        <v/>
      </c>
      <c r="G193" s="310" t="str">
        <f>IF(E193="","",IF(ISNA(VLOOKUP($E193,'A-1 On-Site Habitat Baseline'!$D$1:$O$258,5,FALSE)),"",(VLOOKUP($E193,'A-1 On-Site Habitat Baseline'!$D$1:$O$258,5,FALSE))))</f>
        <v/>
      </c>
      <c r="H193" s="310" t="str">
        <f>IF(E193="","",IF(ISNA(VLOOKUP($E193,'A-1 On-Site Habitat Baseline'!$D$1:$O$258,6,FALSE)),"",(VLOOKUP($E193,'A-1 On-Site Habitat Baseline'!$D$1:$O$258,6,FALSE))))</f>
        <v/>
      </c>
      <c r="I193" s="310" t="str">
        <f>IF(E193="","",IF(ISNA(VLOOKUP($E193,'A-1 On-Site Habitat Baseline'!$D$1:$O$258,7,FALSE)),"",(VLOOKUP($E193,'A-1 On-Site Habitat Baseline'!$D$1:$O$258,7,FALSE))))</f>
        <v/>
      </c>
      <c r="J193" s="310" t="str">
        <f>IF(E193="","",IF(ISNA(VLOOKUP($E193,'A-1 On-Site Habitat Baseline'!$D$1:$O$258,8,FALSE)),"",(VLOOKUP($E193,'A-1 On-Site Habitat Baseline'!$D$1:$O$258,8,FALSE))))</f>
        <v/>
      </c>
      <c r="K193" s="310" t="str">
        <f>IF(E193="","",IF(ISNA(VLOOKUP($E193,'A-1 On-Site Habitat Baseline'!$D$1:$O$258,9,FALSE)),"",(VLOOKUP($E193,'A-1 On-Site Habitat Baseline'!$D$1:$O$258,9,FALSE))))</f>
        <v/>
      </c>
      <c r="L193" s="310" t="str">
        <f>IF(E193="","",IF(ISNA(VLOOKUP($E193,'A-1 On-Site Habitat Baseline'!$D$1:$O$258,11,FALSE)),"",(VLOOKUP($E193,'A-1 On-Site Habitat Baseline'!$D$1:$O$258,11,FALSE))))</f>
        <v/>
      </c>
      <c r="M193" s="310" t="str">
        <f>IF(E193="","",IF(ISNA(VLOOKUP($E193,'A-1 On-Site Habitat Baseline'!$D$1:$O$258,12,FALSE)),"",(VLOOKUP($E193,'A-1 On-Site Habitat Baseline'!$D$1:$O$258,12,FALSE))))</f>
        <v/>
      </c>
      <c r="N193" s="320" t="str">
        <f>IF(E193="","",IF(ISNA(VLOOKUP($E193,'A-1 On-Site Habitat Baseline'!$D$1:$X$258,14,FALSE)),"",(VLOOKUP($E193,'A-1 On-Site Habitat Baseline'!$D$1:$X$258,14,FALSE))))</f>
        <v/>
      </c>
      <c r="O193" s="314" t="str">
        <f>IF(E193="","",IF(ISNA(VLOOKUP($E193,'A-1 On-Site Habitat Baseline'!$D$1:$X$258,16,FALSE)),"",(VLOOKUP($E193,'A-1 On-Site Habitat Baseline'!$D$1:$X$258,13,FALSE))))</f>
        <v/>
      </c>
      <c r="P193" s="161" t="str">
        <f>IFERROR(INDEX('G-1 All Habitats'!$AG$49:$AG$63,MATCH(Q193,'G-1 All Habitats'!$AF$27:$AF$41,0)),"")</f>
        <v/>
      </c>
      <c r="Q193" s="162" t="str">
        <f t="shared" si="24"/>
        <v/>
      </c>
      <c r="R193" s="162"/>
      <c r="S193" s="252" t="str">
        <f>IFERROR(INDEX('G-1 All Habitats'!$B$3:$B$135,MATCH(R193,'G-1 All Habitats'!$A$3:$A$135,0)),"")</f>
        <v/>
      </c>
      <c r="T193" s="290" t="str">
        <f t="shared" si="25"/>
        <v/>
      </c>
      <c r="U193" s="291" t="str">
        <f t="shared" si="26"/>
        <v/>
      </c>
      <c r="V193" s="325" t="str">
        <f t="shared" si="22"/>
        <v/>
      </c>
      <c r="W193" s="310" t="str">
        <f>IF(S193="","",VLOOKUP(S193,'G-1 All Habitats'!$B$2:$M$135,10,FALSE))</f>
        <v/>
      </c>
      <c r="X193" s="310" t="str">
        <f>IFERROR(VLOOKUP(W193,'G-1 All Habitats'!$V$3:$W$7,2,FALSE),"")</f>
        <v/>
      </c>
      <c r="Y193" s="45"/>
      <c r="Z193" s="314" t="str">
        <f>IFERROR(INDEX('G-8 Condition Look up'!$A$3:$H$135,MATCH(S193,'G-8 Condition Look up'!$A$3:$A$135,0),MATCH(Y193,'G-8 Condition Look up'!$A$3:$H$3,0)),"")</f>
        <v/>
      </c>
      <c r="AA193" s="38"/>
      <c r="AB193" s="310" t="str">
        <f>IF(AA193="","",IF(VLOOKUP(AA193,'G-3 Multipliers'!$L$3:$N$6,2,FALSE)=0,"Spatial Data Missing ⚠",VLOOKUP(AA193,'G-3 Multipliers'!$L$3:$N$6,2,FALSE)))</f>
        <v/>
      </c>
      <c r="AC193" s="314" t="str">
        <f>IF(AA193="","",IF(VLOOKUP(AA193,'G-3 Multipliers'!$L$3:$N$6,3,FALSE)=0,"Spatial Data Missing ⚠",VLOOKUP(AA193,'G-3 Multipliers'!$L$3:$N$6,3,FALSE)))</f>
        <v/>
      </c>
      <c r="AD193" s="327" t="str">
        <f t="shared" si="23"/>
        <v/>
      </c>
      <c r="AE193" s="47"/>
      <c r="AF193" s="47"/>
      <c r="AG193" s="298" t="str">
        <f t="shared" si="27"/>
        <v/>
      </c>
      <c r="AH193" s="311" t="str">
        <f t="shared" si="28"/>
        <v/>
      </c>
      <c r="AI193" s="312" t="str">
        <f>IF(AH193="Check Data","Check Data",IFERROR(VLOOKUP(AH193,'G-4 Temporal multipliers'!$A$4:$C$36,3,FALSE),""))</f>
        <v/>
      </c>
      <c r="AJ193" s="290" t="str">
        <f>IF(S193="","",VLOOKUP(S193,'G-3 Multipliers'!$A$2:$E$134,4,FALSE))</f>
        <v/>
      </c>
      <c r="AK193" s="298" t="str">
        <f t="shared" si="29"/>
        <v/>
      </c>
      <c r="AL193" s="298" t="str">
        <f t="shared" si="30"/>
        <v/>
      </c>
      <c r="AM193" s="328" t="str">
        <f>IFERROR(IF(F193="","",IF(AH193="Check Data ⚠","Check Data ⚠",VLOOKUP(AL193, 'G-3 Multipliers'!$P$2:$Q$6,2,FALSE))),"")</f>
        <v/>
      </c>
      <c r="AN193" s="304" t="str">
        <f t="shared" si="31"/>
        <v/>
      </c>
      <c r="AO193" s="163"/>
      <c r="AP193" s="164"/>
      <c r="AQ193" s="101"/>
      <c r="AT193" s="20" t="str">
        <f t="shared" si="32"/>
        <v>No</v>
      </c>
      <c r="AU193" s="20" t="str">
        <f>IF(E193="","",IF(ISNA(VLOOKUP($E193,'A-1 On-Site Habitat Baseline'!$D$1:$AV$258,4,FALSE)),"",(VLOOKUP($E193,'A-1 On-Site Habitat Baseline'!$D$1:$AV$258,4,FALSE))))</f>
        <v/>
      </c>
    </row>
    <row r="194" spans="1:47" x14ac:dyDescent="0.3">
      <c r="A194" s="20" t="str">
        <f>IF(E194="","",IF(ISNA(VLOOKUP($E194,'A-1 On-Site Habitat Baseline'!$D$1:$O$258,2,FALSE)),"",(VLOOKUP($E194,'A-1 On-Site Habitat Baseline'!$D$1:$O$258,2,FALSE))))</f>
        <v/>
      </c>
      <c r="B194" s="20" t="str">
        <f>IF(E194="","",IF(ISNA(VLOOKUP($E194,'A-1 On-Site Habitat Baseline'!$D$1:$O$258,3,FALSE)),"",(VLOOKUP($E194,'A-1 On-Site Habitat Baseline'!$D$1:$O$258,3,FALSE))))</f>
        <v/>
      </c>
      <c r="C194" s="20" t="str">
        <f>IFERROR(INDEX('G-8 Condition Look up'!$I$4:$I$135,MATCH(S194,'G-8 Condition Look up'!$A$4:$A$135,0)),"")</f>
        <v/>
      </c>
      <c r="E194" s="319" t="str">
        <f>'A-1 On-Site Habitat Baseline'!AL193</f>
        <v/>
      </c>
      <c r="F194" s="310" t="str">
        <f>IF(E194="","",IF(ISNA(VLOOKUP($E194,'A-1 On-Site Habitat Baseline'!$D$1:$AV$258,45,FALSE)),"",(VLOOKUP($E194,'A-1 On-Site Habitat Baseline'!$D$1:$AV$258,45,FALSE))))</f>
        <v/>
      </c>
      <c r="G194" s="310" t="str">
        <f>IF(E194="","",IF(ISNA(VLOOKUP($E194,'A-1 On-Site Habitat Baseline'!$D$1:$O$258,5,FALSE)),"",(VLOOKUP($E194,'A-1 On-Site Habitat Baseline'!$D$1:$O$258,5,FALSE))))</f>
        <v/>
      </c>
      <c r="H194" s="310" t="str">
        <f>IF(E194="","",IF(ISNA(VLOOKUP($E194,'A-1 On-Site Habitat Baseline'!$D$1:$O$258,6,FALSE)),"",(VLOOKUP($E194,'A-1 On-Site Habitat Baseline'!$D$1:$O$258,6,FALSE))))</f>
        <v/>
      </c>
      <c r="I194" s="310" t="str">
        <f>IF(E194="","",IF(ISNA(VLOOKUP($E194,'A-1 On-Site Habitat Baseline'!$D$1:$O$258,7,FALSE)),"",(VLOOKUP($E194,'A-1 On-Site Habitat Baseline'!$D$1:$O$258,7,FALSE))))</f>
        <v/>
      </c>
      <c r="J194" s="310" t="str">
        <f>IF(E194="","",IF(ISNA(VLOOKUP($E194,'A-1 On-Site Habitat Baseline'!$D$1:$O$258,8,FALSE)),"",(VLOOKUP($E194,'A-1 On-Site Habitat Baseline'!$D$1:$O$258,8,FALSE))))</f>
        <v/>
      </c>
      <c r="K194" s="310" t="str">
        <f>IF(E194="","",IF(ISNA(VLOOKUP($E194,'A-1 On-Site Habitat Baseline'!$D$1:$O$258,9,FALSE)),"",(VLOOKUP($E194,'A-1 On-Site Habitat Baseline'!$D$1:$O$258,9,FALSE))))</f>
        <v/>
      </c>
      <c r="L194" s="310" t="str">
        <f>IF(E194="","",IF(ISNA(VLOOKUP($E194,'A-1 On-Site Habitat Baseline'!$D$1:$O$258,11,FALSE)),"",(VLOOKUP($E194,'A-1 On-Site Habitat Baseline'!$D$1:$O$258,11,FALSE))))</f>
        <v/>
      </c>
      <c r="M194" s="310" t="str">
        <f>IF(E194="","",IF(ISNA(VLOOKUP($E194,'A-1 On-Site Habitat Baseline'!$D$1:$O$258,12,FALSE)),"",(VLOOKUP($E194,'A-1 On-Site Habitat Baseline'!$D$1:$O$258,12,FALSE))))</f>
        <v/>
      </c>
      <c r="N194" s="320" t="str">
        <f>IF(E194="","",IF(ISNA(VLOOKUP($E194,'A-1 On-Site Habitat Baseline'!$D$1:$X$258,14,FALSE)),"",(VLOOKUP($E194,'A-1 On-Site Habitat Baseline'!$D$1:$X$258,14,FALSE))))</f>
        <v/>
      </c>
      <c r="O194" s="314" t="str">
        <f>IF(E194="","",IF(ISNA(VLOOKUP($E194,'A-1 On-Site Habitat Baseline'!$D$1:$X$258,16,FALSE)),"",(VLOOKUP($E194,'A-1 On-Site Habitat Baseline'!$D$1:$X$258,13,FALSE))))</f>
        <v/>
      </c>
      <c r="P194" s="161" t="str">
        <f>IFERROR(INDEX('G-1 All Habitats'!$AG$49:$AG$63,MATCH(Q194,'G-1 All Habitats'!$AF$27:$AF$41,0)),"")</f>
        <v/>
      </c>
      <c r="Q194" s="162" t="str">
        <f t="shared" si="24"/>
        <v/>
      </c>
      <c r="R194" s="162"/>
      <c r="S194" s="252" t="str">
        <f>IFERROR(INDEX('G-1 All Habitats'!$B$3:$B$135,MATCH(R194,'G-1 All Habitats'!$A$3:$A$135,0)),"")</f>
        <v/>
      </c>
      <c r="T194" s="290" t="str">
        <f t="shared" si="25"/>
        <v/>
      </c>
      <c r="U194" s="291" t="str">
        <f t="shared" si="26"/>
        <v/>
      </c>
      <c r="V194" s="325" t="str">
        <f t="shared" si="22"/>
        <v/>
      </c>
      <c r="W194" s="310" t="str">
        <f>IF(S194="","",VLOOKUP(S194,'G-1 All Habitats'!$B$2:$M$135,10,FALSE))</f>
        <v/>
      </c>
      <c r="X194" s="310" t="str">
        <f>IFERROR(VLOOKUP(W194,'G-1 All Habitats'!$V$3:$W$7,2,FALSE),"")</f>
        <v/>
      </c>
      <c r="Y194" s="45"/>
      <c r="Z194" s="314" t="str">
        <f>IFERROR(INDEX('G-8 Condition Look up'!$A$3:$H$135,MATCH(S194,'G-8 Condition Look up'!$A$3:$A$135,0),MATCH(Y194,'G-8 Condition Look up'!$A$3:$H$3,0)),"")</f>
        <v/>
      </c>
      <c r="AA194" s="38"/>
      <c r="AB194" s="310" t="str">
        <f>IF(AA194="","",IF(VLOOKUP(AA194,'G-3 Multipliers'!$L$3:$N$6,2,FALSE)=0,"Spatial Data Missing ⚠",VLOOKUP(AA194,'G-3 Multipliers'!$L$3:$N$6,2,FALSE)))</f>
        <v/>
      </c>
      <c r="AC194" s="314" t="str">
        <f>IF(AA194="","",IF(VLOOKUP(AA194,'G-3 Multipliers'!$L$3:$N$6,3,FALSE)=0,"Spatial Data Missing ⚠",VLOOKUP(AA194,'G-3 Multipliers'!$L$3:$N$6,3,FALSE)))</f>
        <v/>
      </c>
      <c r="AD194" s="327" t="str">
        <f t="shared" si="23"/>
        <v/>
      </c>
      <c r="AE194" s="47"/>
      <c r="AF194" s="47"/>
      <c r="AG194" s="298" t="str">
        <f t="shared" si="27"/>
        <v/>
      </c>
      <c r="AH194" s="311" t="str">
        <f t="shared" si="28"/>
        <v/>
      </c>
      <c r="AI194" s="312" t="str">
        <f>IF(AH194="Check Data","Check Data",IFERROR(VLOOKUP(AH194,'G-4 Temporal multipliers'!$A$4:$C$36,3,FALSE),""))</f>
        <v/>
      </c>
      <c r="AJ194" s="290" t="str">
        <f>IF(S194="","",VLOOKUP(S194,'G-3 Multipliers'!$A$2:$E$134,4,FALSE))</f>
        <v/>
      </c>
      <c r="AK194" s="298" t="str">
        <f t="shared" si="29"/>
        <v/>
      </c>
      <c r="AL194" s="298" t="str">
        <f t="shared" si="30"/>
        <v/>
      </c>
      <c r="AM194" s="328" t="str">
        <f>IFERROR(IF(F194="","",IF(AH194="Check Data ⚠","Check Data ⚠",VLOOKUP(AL194, 'G-3 Multipliers'!$P$2:$Q$6,2,FALSE))),"")</f>
        <v/>
      </c>
      <c r="AN194" s="304" t="str">
        <f t="shared" si="31"/>
        <v/>
      </c>
      <c r="AO194" s="163"/>
      <c r="AP194" s="164"/>
      <c r="AQ194" s="101"/>
      <c r="AT194" s="20" t="str">
        <f t="shared" si="32"/>
        <v>No</v>
      </c>
      <c r="AU194" s="20" t="str">
        <f>IF(E194="","",IF(ISNA(VLOOKUP($E194,'A-1 On-Site Habitat Baseline'!$D$1:$AV$258,4,FALSE)),"",(VLOOKUP($E194,'A-1 On-Site Habitat Baseline'!$D$1:$AV$258,4,FALSE))))</f>
        <v/>
      </c>
    </row>
    <row r="195" spans="1:47" x14ac:dyDescent="0.3">
      <c r="A195" s="20" t="str">
        <f>IF(E195="","",IF(ISNA(VLOOKUP($E195,'A-1 On-Site Habitat Baseline'!$D$1:$O$258,2,FALSE)),"",(VLOOKUP($E195,'A-1 On-Site Habitat Baseline'!$D$1:$O$258,2,FALSE))))</f>
        <v/>
      </c>
      <c r="B195" s="20" t="str">
        <f>IF(E195="","",IF(ISNA(VLOOKUP($E195,'A-1 On-Site Habitat Baseline'!$D$1:$O$258,3,FALSE)),"",(VLOOKUP($E195,'A-1 On-Site Habitat Baseline'!$D$1:$O$258,3,FALSE))))</f>
        <v/>
      </c>
      <c r="C195" s="20" t="str">
        <f>IFERROR(INDEX('G-8 Condition Look up'!$I$4:$I$135,MATCH(S195,'G-8 Condition Look up'!$A$4:$A$135,0)),"")</f>
        <v/>
      </c>
      <c r="E195" s="319" t="str">
        <f>'A-1 On-Site Habitat Baseline'!AL194</f>
        <v/>
      </c>
      <c r="F195" s="310" t="str">
        <f>IF(E195="","",IF(ISNA(VLOOKUP($E195,'A-1 On-Site Habitat Baseline'!$D$1:$AV$258,45,FALSE)),"",(VLOOKUP($E195,'A-1 On-Site Habitat Baseline'!$D$1:$AV$258,45,FALSE))))</f>
        <v/>
      </c>
      <c r="G195" s="310" t="str">
        <f>IF(E195="","",IF(ISNA(VLOOKUP($E195,'A-1 On-Site Habitat Baseline'!$D$1:$O$258,5,FALSE)),"",(VLOOKUP($E195,'A-1 On-Site Habitat Baseline'!$D$1:$O$258,5,FALSE))))</f>
        <v/>
      </c>
      <c r="H195" s="310" t="str">
        <f>IF(E195="","",IF(ISNA(VLOOKUP($E195,'A-1 On-Site Habitat Baseline'!$D$1:$O$258,6,FALSE)),"",(VLOOKUP($E195,'A-1 On-Site Habitat Baseline'!$D$1:$O$258,6,FALSE))))</f>
        <v/>
      </c>
      <c r="I195" s="310" t="str">
        <f>IF(E195="","",IF(ISNA(VLOOKUP($E195,'A-1 On-Site Habitat Baseline'!$D$1:$O$258,7,FALSE)),"",(VLOOKUP($E195,'A-1 On-Site Habitat Baseline'!$D$1:$O$258,7,FALSE))))</f>
        <v/>
      </c>
      <c r="J195" s="310" t="str">
        <f>IF(E195="","",IF(ISNA(VLOOKUP($E195,'A-1 On-Site Habitat Baseline'!$D$1:$O$258,8,FALSE)),"",(VLOOKUP($E195,'A-1 On-Site Habitat Baseline'!$D$1:$O$258,8,FALSE))))</f>
        <v/>
      </c>
      <c r="K195" s="310" t="str">
        <f>IF(E195="","",IF(ISNA(VLOOKUP($E195,'A-1 On-Site Habitat Baseline'!$D$1:$O$258,9,FALSE)),"",(VLOOKUP($E195,'A-1 On-Site Habitat Baseline'!$D$1:$O$258,9,FALSE))))</f>
        <v/>
      </c>
      <c r="L195" s="310" t="str">
        <f>IF(E195="","",IF(ISNA(VLOOKUP($E195,'A-1 On-Site Habitat Baseline'!$D$1:$O$258,11,FALSE)),"",(VLOOKUP($E195,'A-1 On-Site Habitat Baseline'!$D$1:$O$258,11,FALSE))))</f>
        <v/>
      </c>
      <c r="M195" s="310" t="str">
        <f>IF(E195="","",IF(ISNA(VLOOKUP($E195,'A-1 On-Site Habitat Baseline'!$D$1:$O$258,12,FALSE)),"",(VLOOKUP($E195,'A-1 On-Site Habitat Baseline'!$D$1:$O$258,12,FALSE))))</f>
        <v/>
      </c>
      <c r="N195" s="320" t="str">
        <f>IF(E195="","",IF(ISNA(VLOOKUP($E195,'A-1 On-Site Habitat Baseline'!$D$1:$X$258,14,FALSE)),"",(VLOOKUP($E195,'A-1 On-Site Habitat Baseline'!$D$1:$X$258,14,FALSE))))</f>
        <v/>
      </c>
      <c r="O195" s="314" t="str">
        <f>IF(E195="","",IF(ISNA(VLOOKUP($E195,'A-1 On-Site Habitat Baseline'!$D$1:$X$258,16,FALSE)),"",(VLOOKUP($E195,'A-1 On-Site Habitat Baseline'!$D$1:$X$258,13,FALSE))))</f>
        <v/>
      </c>
      <c r="P195" s="161" t="str">
        <f>IFERROR(INDEX('G-1 All Habitats'!$AG$49:$AG$63,MATCH(Q195,'G-1 All Habitats'!$AF$27:$AF$41,0)),"")</f>
        <v/>
      </c>
      <c r="Q195" s="162" t="str">
        <f t="shared" si="24"/>
        <v/>
      </c>
      <c r="R195" s="162"/>
      <c r="S195" s="252" t="str">
        <f>IFERROR(INDEX('G-1 All Habitats'!$B$3:$B$135,MATCH(R195,'G-1 All Habitats'!$A$3:$A$135,0)),"")</f>
        <v/>
      </c>
      <c r="T195" s="290" t="str">
        <f t="shared" si="25"/>
        <v/>
      </c>
      <c r="U195" s="291" t="str">
        <f t="shared" si="26"/>
        <v/>
      </c>
      <c r="V195" s="325" t="str">
        <f t="shared" si="22"/>
        <v/>
      </c>
      <c r="W195" s="310" t="str">
        <f>IF(S195="","",VLOOKUP(S195,'G-1 All Habitats'!$B$2:$M$135,10,FALSE))</f>
        <v/>
      </c>
      <c r="X195" s="310" t="str">
        <f>IFERROR(VLOOKUP(W195,'G-1 All Habitats'!$V$3:$W$7,2,FALSE),"")</f>
        <v/>
      </c>
      <c r="Y195" s="45"/>
      <c r="Z195" s="314" t="str">
        <f>IFERROR(INDEX('G-8 Condition Look up'!$A$3:$H$135,MATCH(S195,'G-8 Condition Look up'!$A$3:$A$135,0),MATCH(Y195,'G-8 Condition Look up'!$A$3:$H$3,0)),"")</f>
        <v/>
      </c>
      <c r="AA195" s="38"/>
      <c r="AB195" s="310" t="str">
        <f>IF(AA195="","",IF(VLOOKUP(AA195,'G-3 Multipliers'!$L$3:$N$6,2,FALSE)=0,"Spatial Data Missing ⚠",VLOOKUP(AA195,'G-3 Multipliers'!$L$3:$N$6,2,FALSE)))</f>
        <v/>
      </c>
      <c r="AC195" s="314" t="str">
        <f>IF(AA195="","",IF(VLOOKUP(AA195,'G-3 Multipliers'!$L$3:$N$6,3,FALSE)=0,"Spatial Data Missing ⚠",VLOOKUP(AA195,'G-3 Multipliers'!$L$3:$N$6,3,FALSE)))</f>
        <v/>
      </c>
      <c r="AD195" s="327" t="str">
        <f t="shared" si="23"/>
        <v/>
      </c>
      <c r="AE195" s="47"/>
      <c r="AF195" s="47"/>
      <c r="AG195" s="298" t="str">
        <f t="shared" si="27"/>
        <v/>
      </c>
      <c r="AH195" s="311" t="str">
        <f t="shared" si="28"/>
        <v/>
      </c>
      <c r="AI195" s="312" t="str">
        <f>IF(AH195="Check Data","Check Data",IFERROR(VLOOKUP(AH195,'G-4 Temporal multipliers'!$A$4:$C$36,3,FALSE),""))</f>
        <v/>
      </c>
      <c r="AJ195" s="290" t="str">
        <f>IF(S195="","",VLOOKUP(S195,'G-3 Multipliers'!$A$2:$E$134,4,FALSE))</f>
        <v/>
      </c>
      <c r="AK195" s="298" t="str">
        <f t="shared" si="29"/>
        <v/>
      </c>
      <c r="AL195" s="298" t="str">
        <f t="shared" si="30"/>
        <v/>
      </c>
      <c r="AM195" s="328" t="str">
        <f>IFERROR(IF(F195="","",IF(AH195="Check Data ⚠","Check Data ⚠",VLOOKUP(AL195, 'G-3 Multipliers'!$P$2:$Q$6,2,FALSE))),"")</f>
        <v/>
      </c>
      <c r="AN195" s="304" t="str">
        <f t="shared" si="31"/>
        <v/>
      </c>
      <c r="AO195" s="163"/>
      <c r="AP195" s="164"/>
      <c r="AQ195" s="101"/>
      <c r="AT195" s="20" t="str">
        <f t="shared" si="32"/>
        <v>No</v>
      </c>
      <c r="AU195" s="20" t="str">
        <f>IF(E195="","",IF(ISNA(VLOOKUP($E195,'A-1 On-Site Habitat Baseline'!$D$1:$AV$258,4,FALSE)),"",(VLOOKUP($E195,'A-1 On-Site Habitat Baseline'!$D$1:$AV$258,4,FALSE))))</f>
        <v/>
      </c>
    </row>
    <row r="196" spans="1:47" x14ac:dyDescent="0.3">
      <c r="A196" s="20" t="str">
        <f>IF(E196="","",IF(ISNA(VLOOKUP($E196,'A-1 On-Site Habitat Baseline'!$D$1:$O$258,2,FALSE)),"",(VLOOKUP($E196,'A-1 On-Site Habitat Baseline'!$D$1:$O$258,2,FALSE))))</f>
        <v/>
      </c>
      <c r="B196" s="20" t="str">
        <f>IF(E196="","",IF(ISNA(VLOOKUP($E196,'A-1 On-Site Habitat Baseline'!$D$1:$O$258,3,FALSE)),"",(VLOOKUP($E196,'A-1 On-Site Habitat Baseline'!$D$1:$O$258,3,FALSE))))</f>
        <v/>
      </c>
      <c r="C196" s="20" t="str">
        <f>IFERROR(INDEX('G-8 Condition Look up'!$I$4:$I$135,MATCH(S196,'G-8 Condition Look up'!$A$4:$A$135,0)),"")</f>
        <v/>
      </c>
      <c r="E196" s="319" t="str">
        <f>'A-1 On-Site Habitat Baseline'!AL195</f>
        <v/>
      </c>
      <c r="F196" s="310" t="str">
        <f>IF(E196="","",IF(ISNA(VLOOKUP($E196,'A-1 On-Site Habitat Baseline'!$D$1:$AV$258,45,FALSE)),"",(VLOOKUP($E196,'A-1 On-Site Habitat Baseline'!$D$1:$AV$258,45,FALSE))))</f>
        <v/>
      </c>
      <c r="G196" s="310" t="str">
        <f>IF(E196="","",IF(ISNA(VLOOKUP($E196,'A-1 On-Site Habitat Baseline'!$D$1:$O$258,5,FALSE)),"",(VLOOKUP($E196,'A-1 On-Site Habitat Baseline'!$D$1:$O$258,5,FALSE))))</f>
        <v/>
      </c>
      <c r="H196" s="310" t="str">
        <f>IF(E196="","",IF(ISNA(VLOOKUP($E196,'A-1 On-Site Habitat Baseline'!$D$1:$O$258,6,FALSE)),"",(VLOOKUP($E196,'A-1 On-Site Habitat Baseline'!$D$1:$O$258,6,FALSE))))</f>
        <v/>
      </c>
      <c r="I196" s="310" t="str">
        <f>IF(E196="","",IF(ISNA(VLOOKUP($E196,'A-1 On-Site Habitat Baseline'!$D$1:$O$258,7,FALSE)),"",(VLOOKUP($E196,'A-1 On-Site Habitat Baseline'!$D$1:$O$258,7,FALSE))))</f>
        <v/>
      </c>
      <c r="J196" s="310" t="str">
        <f>IF(E196="","",IF(ISNA(VLOOKUP($E196,'A-1 On-Site Habitat Baseline'!$D$1:$O$258,8,FALSE)),"",(VLOOKUP($E196,'A-1 On-Site Habitat Baseline'!$D$1:$O$258,8,FALSE))))</f>
        <v/>
      </c>
      <c r="K196" s="310" t="str">
        <f>IF(E196="","",IF(ISNA(VLOOKUP($E196,'A-1 On-Site Habitat Baseline'!$D$1:$O$258,9,FALSE)),"",(VLOOKUP($E196,'A-1 On-Site Habitat Baseline'!$D$1:$O$258,9,FALSE))))</f>
        <v/>
      </c>
      <c r="L196" s="310" t="str">
        <f>IF(E196="","",IF(ISNA(VLOOKUP($E196,'A-1 On-Site Habitat Baseline'!$D$1:$O$258,11,FALSE)),"",(VLOOKUP($E196,'A-1 On-Site Habitat Baseline'!$D$1:$O$258,11,FALSE))))</f>
        <v/>
      </c>
      <c r="M196" s="310" t="str">
        <f>IF(E196="","",IF(ISNA(VLOOKUP($E196,'A-1 On-Site Habitat Baseline'!$D$1:$O$258,12,FALSE)),"",(VLOOKUP($E196,'A-1 On-Site Habitat Baseline'!$D$1:$O$258,12,FALSE))))</f>
        <v/>
      </c>
      <c r="N196" s="320" t="str">
        <f>IF(E196="","",IF(ISNA(VLOOKUP($E196,'A-1 On-Site Habitat Baseline'!$D$1:$X$258,14,FALSE)),"",(VLOOKUP($E196,'A-1 On-Site Habitat Baseline'!$D$1:$X$258,14,FALSE))))</f>
        <v/>
      </c>
      <c r="O196" s="314" t="str">
        <f>IF(E196="","",IF(ISNA(VLOOKUP($E196,'A-1 On-Site Habitat Baseline'!$D$1:$X$258,16,FALSE)),"",(VLOOKUP($E196,'A-1 On-Site Habitat Baseline'!$D$1:$X$258,13,FALSE))))</f>
        <v/>
      </c>
      <c r="P196" s="161" t="str">
        <f>IFERROR(INDEX('G-1 All Habitats'!$AG$49:$AG$63,MATCH(Q196,'G-1 All Habitats'!$AF$27:$AF$41,0)),"")</f>
        <v/>
      </c>
      <c r="Q196" s="162" t="str">
        <f t="shared" si="24"/>
        <v/>
      </c>
      <c r="R196" s="162"/>
      <c r="S196" s="252" t="str">
        <f>IFERROR(INDEX('G-1 All Habitats'!$B$3:$B$135,MATCH(R196,'G-1 All Habitats'!$A$3:$A$135,0)),"")</f>
        <v/>
      </c>
      <c r="T196" s="290" t="str">
        <f t="shared" si="25"/>
        <v/>
      </c>
      <c r="U196" s="291" t="str">
        <f t="shared" si="26"/>
        <v/>
      </c>
      <c r="V196" s="325" t="str">
        <f t="shared" si="22"/>
        <v/>
      </c>
      <c r="W196" s="310" t="str">
        <f>IF(S196="","",VLOOKUP(S196,'G-1 All Habitats'!$B$2:$M$135,10,FALSE))</f>
        <v/>
      </c>
      <c r="X196" s="310" t="str">
        <f>IFERROR(VLOOKUP(W196,'G-1 All Habitats'!$V$3:$W$7,2,FALSE),"")</f>
        <v/>
      </c>
      <c r="Y196" s="45"/>
      <c r="Z196" s="314" t="str">
        <f>IFERROR(INDEX('G-8 Condition Look up'!$A$3:$H$135,MATCH(S196,'G-8 Condition Look up'!$A$3:$A$135,0),MATCH(Y196,'G-8 Condition Look up'!$A$3:$H$3,0)),"")</f>
        <v/>
      </c>
      <c r="AA196" s="38"/>
      <c r="AB196" s="310" t="str">
        <f>IF(AA196="","",IF(VLOOKUP(AA196,'G-3 Multipliers'!$L$3:$N$6,2,FALSE)=0,"Spatial Data Missing ⚠",VLOOKUP(AA196,'G-3 Multipliers'!$L$3:$N$6,2,FALSE)))</f>
        <v/>
      </c>
      <c r="AC196" s="314" t="str">
        <f>IF(AA196="","",IF(VLOOKUP(AA196,'G-3 Multipliers'!$L$3:$N$6,3,FALSE)=0,"Spatial Data Missing ⚠",VLOOKUP(AA196,'G-3 Multipliers'!$L$3:$N$6,3,FALSE)))</f>
        <v/>
      </c>
      <c r="AD196" s="327" t="str">
        <f t="shared" si="23"/>
        <v/>
      </c>
      <c r="AE196" s="47"/>
      <c r="AF196" s="47"/>
      <c r="AG196" s="298" t="str">
        <f t="shared" si="27"/>
        <v/>
      </c>
      <c r="AH196" s="311" t="str">
        <f t="shared" si="28"/>
        <v/>
      </c>
      <c r="AI196" s="312" t="str">
        <f>IF(AH196="Check Data","Check Data",IFERROR(VLOOKUP(AH196,'G-4 Temporal multipliers'!$A$4:$C$36,3,FALSE),""))</f>
        <v/>
      </c>
      <c r="AJ196" s="290" t="str">
        <f>IF(S196="","",VLOOKUP(S196,'G-3 Multipliers'!$A$2:$E$134,4,FALSE))</f>
        <v/>
      </c>
      <c r="AK196" s="298" t="str">
        <f t="shared" si="29"/>
        <v/>
      </c>
      <c r="AL196" s="298" t="str">
        <f t="shared" si="30"/>
        <v/>
      </c>
      <c r="AM196" s="328" t="str">
        <f>IFERROR(IF(F196="","",IF(AH196="Check Data ⚠","Check Data ⚠",VLOOKUP(AL196, 'G-3 Multipliers'!$P$2:$Q$6,2,FALSE))),"")</f>
        <v/>
      </c>
      <c r="AN196" s="304" t="str">
        <f t="shared" si="31"/>
        <v/>
      </c>
      <c r="AO196" s="163"/>
      <c r="AP196" s="164"/>
      <c r="AQ196" s="101"/>
      <c r="AT196" s="20" t="str">
        <f t="shared" si="32"/>
        <v>No</v>
      </c>
      <c r="AU196" s="20" t="str">
        <f>IF(E196="","",IF(ISNA(VLOOKUP($E196,'A-1 On-Site Habitat Baseline'!$D$1:$AV$258,4,FALSE)),"",(VLOOKUP($E196,'A-1 On-Site Habitat Baseline'!$D$1:$AV$258,4,FALSE))))</f>
        <v/>
      </c>
    </row>
    <row r="197" spans="1:47" x14ac:dyDescent="0.3">
      <c r="A197" s="20" t="str">
        <f>IF(E197="","",IF(ISNA(VLOOKUP($E197,'A-1 On-Site Habitat Baseline'!$D$1:$O$258,2,FALSE)),"",(VLOOKUP($E197,'A-1 On-Site Habitat Baseline'!$D$1:$O$258,2,FALSE))))</f>
        <v/>
      </c>
      <c r="B197" s="20" t="str">
        <f>IF(E197="","",IF(ISNA(VLOOKUP($E197,'A-1 On-Site Habitat Baseline'!$D$1:$O$258,3,FALSE)),"",(VLOOKUP($E197,'A-1 On-Site Habitat Baseline'!$D$1:$O$258,3,FALSE))))</f>
        <v/>
      </c>
      <c r="C197" s="20" t="str">
        <f>IFERROR(INDEX('G-8 Condition Look up'!$I$4:$I$135,MATCH(S197,'G-8 Condition Look up'!$A$4:$A$135,0)),"")</f>
        <v/>
      </c>
      <c r="E197" s="319" t="str">
        <f>'A-1 On-Site Habitat Baseline'!AL196</f>
        <v/>
      </c>
      <c r="F197" s="310" t="str">
        <f>IF(E197="","",IF(ISNA(VLOOKUP($E197,'A-1 On-Site Habitat Baseline'!$D$1:$AV$258,45,FALSE)),"",(VLOOKUP($E197,'A-1 On-Site Habitat Baseline'!$D$1:$AV$258,45,FALSE))))</f>
        <v/>
      </c>
      <c r="G197" s="310" t="str">
        <f>IF(E197="","",IF(ISNA(VLOOKUP($E197,'A-1 On-Site Habitat Baseline'!$D$1:$O$258,5,FALSE)),"",(VLOOKUP($E197,'A-1 On-Site Habitat Baseline'!$D$1:$O$258,5,FALSE))))</f>
        <v/>
      </c>
      <c r="H197" s="310" t="str">
        <f>IF(E197="","",IF(ISNA(VLOOKUP($E197,'A-1 On-Site Habitat Baseline'!$D$1:$O$258,6,FALSE)),"",(VLOOKUP($E197,'A-1 On-Site Habitat Baseline'!$D$1:$O$258,6,FALSE))))</f>
        <v/>
      </c>
      <c r="I197" s="310" t="str">
        <f>IF(E197="","",IF(ISNA(VLOOKUP($E197,'A-1 On-Site Habitat Baseline'!$D$1:$O$258,7,FALSE)),"",(VLOOKUP($E197,'A-1 On-Site Habitat Baseline'!$D$1:$O$258,7,FALSE))))</f>
        <v/>
      </c>
      <c r="J197" s="310" t="str">
        <f>IF(E197="","",IF(ISNA(VLOOKUP($E197,'A-1 On-Site Habitat Baseline'!$D$1:$O$258,8,FALSE)),"",(VLOOKUP($E197,'A-1 On-Site Habitat Baseline'!$D$1:$O$258,8,FALSE))))</f>
        <v/>
      </c>
      <c r="K197" s="310" t="str">
        <f>IF(E197="","",IF(ISNA(VLOOKUP($E197,'A-1 On-Site Habitat Baseline'!$D$1:$O$258,9,FALSE)),"",(VLOOKUP($E197,'A-1 On-Site Habitat Baseline'!$D$1:$O$258,9,FALSE))))</f>
        <v/>
      </c>
      <c r="L197" s="310" t="str">
        <f>IF(E197="","",IF(ISNA(VLOOKUP($E197,'A-1 On-Site Habitat Baseline'!$D$1:$O$258,11,FALSE)),"",(VLOOKUP($E197,'A-1 On-Site Habitat Baseline'!$D$1:$O$258,11,FALSE))))</f>
        <v/>
      </c>
      <c r="M197" s="310" t="str">
        <f>IF(E197="","",IF(ISNA(VLOOKUP($E197,'A-1 On-Site Habitat Baseline'!$D$1:$O$258,12,FALSE)),"",(VLOOKUP($E197,'A-1 On-Site Habitat Baseline'!$D$1:$O$258,12,FALSE))))</f>
        <v/>
      </c>
      <c r="N197" s="320" t="str">
        <f>IF(E197="","",IF(ISNA(VLOOKUP($E197,'A-1 On-Site Habitat Baseline'!$D$1:$X$258,14,FALSE)),"",(VLOOKUP($E197,'A-1 On-Site Habitat Baseline'!$D$1:$X$258,14,FALSE))))</f>
        <v/>
      </c>
      <c r="O197" s="314" t="str">
        <f>IF(E197="","",IF(ISNA(VLOOKUP($E197,'A-1 On-Site Habitat Baseline'!$D$1:$X$258,16,FALSE)),"",(VLOOKUP($E197,'A-1 On-Site Habitat Baseline'!$D$1:$X$258,13,FALSE))))</f>
        <v/>
      </c>
      <c r="P197" s="161" t="str">
        <f>IFERROR(INDEX('G-1 All Habitats'!$AG$49:$AG$63,MATCH(Q197,'G-1 All Habitats'!$AF$27:$AF$41,0)),"")</f>
        <v/>
      </c>
      <c r="Q197" s="162" t="str">
        <f t="shared" si="24"/>
        <v/>
      </c>
      <c r="R197" s="162"/>
      <c r="S197" s="252" t="str">
        <f>IFERROR(INDEX('G-1 All Habitats'!$B$3:$B$135,MATCH(R197,'G-1 All Habitats'!$A$3:$A$135,0)),"")</f>
        <v/>
      </c>
      <c r="T197" s="290" t="str">
        <f t="shared" si="25"/>
        <v/>
      </c>
      <c r="U197" s="291" t="str">
        <f t="shared" si="26"/>
        <v/>
      </c>
      <c r="V197" s="325" t="str">
        <f t="shared" si="22"/>
        <v/>
      </c>
      <c r="W197" s="310" t="str">
        <f>IF(S197="","",VLOOKUP(S197,'G-1 All Habitats'!$B$2:$M$135,10,FALSE))</f>
        <v/>
      </c>
      <c r="X197" s="310" t="str">
        <f>IFERROR(VLOOKUP(W197,'G-1 All Habitats'!$V$3:$W$7,2,FALSE),"")</f>
        <v/>
      </c>
      <c r="Y197" s="45"/>
      <c r="Z197" s="314" t="str">
        <f>IFERROR(INDEX('G-8 Condition Look up'!$A$3:$H$135,MATCH(S197,'G-8 Condition Look up'!$A$3:$A$135,0),MATCH(Y197,'G-8 Condition Look up'!$A$3:$H$3,0)),"")</f>
        <v/>
      </c>
      <c r="AA197" s="38"/>
      <c r="AB197" s="310" t="str">
        <f>IF(AA197="","",IF(VLOOKUP(AA197,'G-3 Multipliers'!$L$3:$N$6,2,FALSE)=0,"Spatial Data Missing ⚠",VLOOKUP(AA197,'G-3 Multipliers'!$L$3:$N$6,2,FALSE)))</f>
        <v/>
      </c>
      <c r="AC197" s="314" t="str">
        <f>IF(AA197="","",IF(VLOOKUP(AA197,'G-3 Multipliers'!$L$3:$N$6,3,FALSE)=0,"Spatial Data Missing ⚠",VLOOKUP(AA197,'G-3 Multipliers'!$L$3:$N$6,3,FALSE)))</f>
        <v/>
      </c>
      <c r="AD197" s="327" t="str">
        <f t="shared" si="23"/>
        <v/>
      </c>
      <c r="AE197" s="47"/>
      <c r="AF197" s="47"/>
      <c r="AG197" s="298" t="str">
        <f t="shared" si="27"/>
        <v/>
      </c>
      <c r="AH197" s="311" t="str">
        <f t="shared" si="28"/>
        <v/>
      </c>
      <c r="AI197" s="312" t="str">
        <f>IF(AH197="Check Data","Check Data",IFERROR(VLOOKUP(AH197,'G-4 Temporal multipliers'!$A$4:$C$36,3,FALSE),""))</f>
        <v/>
      </c>
      <c r="AJ197" s="290" t="str">
        <f>IF(S197="","",VLOOKUP(S197,'G-3 Multipliers'!$A$2:$E$134,4,FALSE))</f>
        <v/>
      </c>
      <c r="AK197" s="298" t="str">
        <f t="shared" si="29"/>
        <v/>
      </c>
      <c r="AL197" s="298" t="str">
        <f t="shared" si="30"/>
        <v/>
      </c>
      <c r="AM197" s="328" t="str">
        <f>IFERROR(IF(F197="","",IF(AH197="Check Data ⚠","Check Data ⚠",VLOOKUP(AL197, 'G-3 Multipliers'!$P$2:$Q$6,2,FALSE))),"")</f>
        <v/>
      </c>
      <c r="AN197" s="304" t="str">
        <f t="shared" si="31"/>
        <v/>
      </c>
      <c r="AO197" s="163"/>
      <c r="AP197" s="164"/>
      <c r="AQ197" s="101"/>
      <c r="AT197" s="20" t="str">
        <f t="shared" si="32"/>
        <v>No</v>
      </c>
      <c r="AU197" s="20" t="str">
        <f>IF(E197="","",IF(ISNA(VLOOKUP($E197,'A-1 On-Site Habitat Baseline'!$D$1:$AV$258,4,FALSE)),"",(VLOOKUP($E197,'A-1 On-Site Habitat Baseline'!$D$1:$AV$258,4,FALSE))))</f>
        <v/>
      </c>
    </row>
    <row r="198" spans="1:47" x14ac:dyDescent="0.3">
      <c r="A198" s="20" t="str">
        <f>IF(E198="","",IF(ISNA(VLOOKUP($E198,'A-1 On-Site Habitat Baseline'!$D$1:$O$258,2,FALSE)),"",(VLOOKUP($E198,'A-1 On-Site Habitat Baseline'!$D$1:$O$258,2,FALSE))))</f>
        <v/>
      </c>
      <c r="B198" s="20" t="str">
        <f>IF(E198="","",IF(ISNA(VLOOKUP($E198,'A-1 On-Site Habitat Baseline'!$D$1:$O$258,3,FALSE)),"",(VLOOKUP($E198,'A-1 On-Site Habitat Baseline'!$D$1:$O$258,3,FALSE))))</f>
        <v/>
      </c>
      <c r="C198" s="20" t="str">
        <f>IFERROR(INDEX('G-8 Condition Look up'!$I$4:$I$135,MATCH(S198,'G-8 Condition Look up'!$A$4:$A$135,0)),"")</f>
        <v/>
      </c>
      <c r="E198" s="319" t="str">
        <f>'A-1 On-Site Habitat Baseline'!AL197</f>
        <v/>
      </c>
      <c r="F198" s="310" t="str">
        <f>IF(E198="","",IF(ISNA(VLOOKUP($E198,'A-1 On-Site Habitat Baseline'!$D$1:$AV$258,45,FALSE)),"",(VLOOKUP($E198,'A-1 On-Site Habitat Baseline'!$D$1:$AV$258,45,FALSE))))</f>
        <v/>
      </c>
      <c r="G198" s="310" t="str">
        <f>IF(E198="","",IF(ISNA(VLOOKUP($E198,'A-1 On-Site Habitat Baseline'!$D$1:$O$258,5,FALSE)),"",(VLOOKUP($E198,'A-1 On-Site Habitat Baseline'!$D$1:$O$258,5,FALSE))))</f>
        <v/>
      </c>
      <c r="H198" s="310" t="str">
        <f>IF(E198="","",IF(ISNA(VLOOKUP($E198,'A-1 On-Site Habitat Baseline'!$D$1:$O$258,6,FALSE)),"",(VLOOKUP($E198,'A-1 On-Site Habitat Baseline'!$D$1:$O$258,6,FALSE))))</f>
        <v/>
      </c>
      <c r="I198" s="310" t="str">
        <f>IF(E198="","",IF(ISNA(VLOOKUP($E198,'A-1 On-Site Habitat Baseline'!$D$1:$O$258,7,FALSE)),"",(VLOOKUP($E198,'A-1 On-Site Habitat Baseline'!$D$1:$O$258,7,FALSE))))</f>
        <v/>
      </c>
      <c r="J198" s="310" t="str">
        <f>IF(E198="","",IF(ISNA(VLOOKUP($E198,'A-1 On-Site Habitat Baseline'!$D$1:$O$258,8,FALSE)),"",(VLOOKUP($E198,'A-1 On-Site Habitat Baseline'!$D$1:$O$258,8,FALSE))))</f>
        <v/>
      </c>
      <c r="K198" s="310" t="str">
        <f>IF(E198="","",IF(ISNA(VLOOKUP($E198,'A-1 On-Site Habitat Baseline'!$D$1:$O$258,9,FALSE)),"",(VLOOKUP($E198,'A-1 On-Site Habitat Baseline'!$D$1:$O$258,9,FALSE))))</f>
        <v/>
      </c>
      <c r="L198" s="310" t="str">
        <f>IF(E198="","",IF(ISNA(VLOOKUP($E198,'A-1 On-Site Habitat Baseline'!$D$1:$O$258,11,FALSE)),"",(VLOOKUP($E198,'A-1 On-Site Habitat Baseline'!$D$1:$O$258,11,FALSE))))</f>
        <v/>
      </c>
      <c r="M198" s="310" t="str">
        <f>IF(E198="","",IF(ISNA(VLOOKUP($E198,'A-1 On-Site Habitat Baseline'!$D$1:$O$258,12,FALSE)),"",(VLOOKUP($E198,'A-1 On-Site Habitat Baseline'!$D$1:$O$258,12,FALSE))))</f>
        <v/>
      </c>
      <c r="N198" s="320" t="str">
        <f>IF(E198="","",IF(ISNA(VLOOKUP($E198,'A-1 On-Site Habitat Baseline'!$D$1:$X$258,14,FALSE)),"",(VLOOKUP($E198,'A-1 On-Site Habitat Baseline'!$D$1:$X$258,14,FALSE))))</f>
        <v/>
      </c>
      <c r="O198" s="314" t="str">
        <f>IF(E198="","",IF(ISNA(VLOOKUP($E198,'A-1 On-Site Habitat Baseline'!$D$1:$X$258,16,FALSE)),"",(VLOOKUP($E198,'A-1 On-Site Habitat Baseline'!$D$1:$X$258,13,FALSE))))</f>
        <v/>
      </c>
      <c r="P198" s="161" t="str">
        <f>IFERROR(INDEX('G-1 All Habitats'!$AG$49:$AG$63,MATCH(Q198,'G-1 All Habitats'!$AF$27:$AF$41,0)),"")</f>
        <v/>
      </c>
      <c r="Q198" s="162" t="str">
        <f t="shared" si="24"/>
        <v/>
      </c>
      <c r="R198" s="162"/>
      <c r="S198" s="252" t="str">
        <f>IFERROR(INDEX('G-1 All Habitats'!$B$3:$B$135,MATCH(R198,'G-1 All Habitats'!$A$3:$A$135,0)),"")</f>
        <v/>
      </c>
      <c r="T198" s="290" t="str">
        <f t="shared" si="25"/>
        <v/>
      </c>
      <c r="U198" s="291" t="str">
        <f t="shared" si="26"/>
        <v/>
      </c>
      <c r="V198" s="325" t="str">
        <f t="shared" si="22"/>
        <v/>
      </c>
      <c r="W198" s="310" t="str">
        <f>IF(S198="","",VLOOKUP(S198,'G-1 All Habitats'!$B$2:$M$135,10,FALSE))</f>
        <v/>
      </c>
      <c r="X198" s="310" t="str">
        <f>IFERROR(VLOOKUP(W198,'G-1 All Habitats'!$V$3:$W$7,2,FALSE),"")</f>
        <v/>
      </c>
      <c r="Y198" s="45"/>
      <c r="Z198" s="314" t="str">
        <f>IFERROR(INDEX('G-8 Condition Look up'!$A$3:$H$135,MATCH(S198,'G-8 Condition Look up'!$A$3:$A$135,0),MATCH(Y198,'G-8 Condition Look up'!$A$3:$H$3,0)),"")</f>
        <v/>
      </c>
      <c r="AA198" s="38"/>
      <c r="AB198" s="310" t="str">
        <f>IF(AA198="","",IF(VLOOKUP(AA198,'G-3 Multipliers'!$L$3:$N$6,2,FALSE)=0,"Spatial Data Missing ⚠",VLOOKUP(AA198,'G-3 Multipliers'!$L$3:$N$6,2,FALSE)))</f>
        <v/>
      </c>
      <c r="AC198" s="314" t="str">
        <f>IF(AA198="","",IF(VLOOKUP(AA198,'G-3 Multipliers'!$L$3:$N$6,3,FALSE)=0,"Spatial Data Missing ⚠",VLOOKUP(AA198,'G-3 Multipliers'!$L$3:$N$6,3,FALSE)))</f>
        <v/>
      </c>
      <c r="AD198" s="327" t="str">
        <f t="shared" si="23"/>
        <v/>
      </c>
      <c r="AE198" s="47"/>
      <c r="AF198" s="47"/>
      <c r="AG198" s="298" t="str">
        <f t="shared" si="27"/>
        <v/>
      </c>
      <c r="AH198" s="311" t="str">
        <f t="shared" si="28"/>
        <v/>
      </c>
      <c r="AI198" s="312" t="str">
        <f>IF(AH198="Check Data","Check Data",IFERROR(VLOOKUP(AH198,'G-4 Temporal multipliers'!$A$4:$C$36,3,FALSE),""))</f>
        <v/>
      </c>
      <c r="AJ198" s="290" t="str">
        <f>IF(S198="","",VLOOKUP(S198,'G-3 Multipliers'!$A$2:$E$134,4,FALSE))</f>
        <v/>
      </c>
      <c r="AK198" s="298" t="str">
        <f t="shared" si="29"/>
        <v/>
      </c>
      <c r="AL198" s="298" t="str">
        <f t="shared" si="30"/>
        <v/>
      </c>
      <c r="AM198" s="328" t="str">
        <f>IFERROR(IF(F198="","",IF(AH198="Check Data ⚠","Check Data ⚠",VLOOKUP(AL198, 'G-3 Multipliers'!$P$2:$Q$6,2,FALSE))),"")</f>
        <v/>
      </c>
      <c r="AN198" s="304" t="str">
        <f t="shared" si="31"/>
        <v/>
      </c>
      <c r="AO198" s="163"/>
      <c r="AP198" s="164"/>
      <c r="AQ198" s="101"/>
      <c r="AT198" s="20" t="str">
        <f t="shared" si="32"/>
        <v>No</v>
      </c>
      <c r="AU198" s="20" t="str">
        <f>IF(E198="","",IF(ISNA(VLOOKUP($E198,'A-1 On-Site Habitat Baseline'!$D$1:$AV$258,4,FALSE)),"",(VLOOKUP($E198,'A-1 On-Site Habitat Baseline'!$D$1:$AV$258,4,FALSE))))</f>
        <v/>
      </c>
    </row>
    <row r="199" spans="1:47" x14ac:dyDescent="0.3">
      <c r="A199" s="20" t="str">
        <f>IF(E199="","",IF(ISNA(VLOOKUP($E199,'A-1 On-Site Habitat Baseline'!$D$1:$O$258,2,FALSE)),"",(VLOOKUP($E199,'A-1 On-Site Habitat Baseline'!$D$1:$O$258,2,FALSE))))</f>
        <v/>
      </c>
      <c r="B199" s="20" t="str">
        <f>IF(E199="","",IF(ISNA(VLOOKUP($E199,'A-1 On-Site Habitat Baseline'!$D$1:$O$258,3,FALSE)),"",(VLOOKUP($E199,'A-1 On-Site Habitat Baseline'!$D$1:$O$258,3,FALSE))))</f>
        <v/>
      </c>
      <c r="C199" s="20" t="str">
        <f>IFERROR(INDEX('G-8 Condition Look up'!$I$4:$I$135,MATCH(S199,'G-8 Condition Look up'!$A$4:$A$135,0)),"")</f>
        <v/>
      </c>
      <c r="E199" s="319" t="str">
        <f>'A-1 On-Site Habitat Baseline'!AL198</f>
        <v/>
      </c>
      <c r="F199" s="310" t="str">
        <f>IF(E199="","",IF(ISNA(VLOOKUP($E199,'A-1 On-Site Habitat Baseline'!$D$1:$AV$258,45,FALSE)),"",(VLOOKUP($E199,'A-1 On-Site Habitat Baseline'!$D$1:$AV$258,45,FALSE))))</f>
        <v/>
      </c>
      <c r="G199" s="310" t="str">
        <f>IF(E199="","",IF(ISNA(VLOOKUP($E199,'A-1 On-Site Habitat Baseline'!$D$1:$O$258,5,FALSE)),"",(VLOOKUP($E199,'A-1 On-Site Habitat Baseline'!$D$1:$O$258,5,FALSE))))</f>
        <v/>
      </c>
      <c r="H199" s="310" t="str">
        <f>IF(E199="","",IF(ISNA(VLOOKUP($E199,'A-1 On-Site Habitat Baseline'!$D$1:$O$258,6,FALSE)),"",(VLOOKUP($E199,'A-1 On-Site Habitat Baseline'!$D$1:$O$258,6,FALSE))))</f>
        <v/>
      </c>
      <c r="I199" s="310" t="str">
        <f>IF(E199="","",IF(ISNA(VLOOKUP($E199,'A-1 On-Site Habitat Baseline'!$D$1:$O$258,7,FALSE)),"",(VLOOKUP($E199,'A-1 On-Site Habitat Baseline'!$D$1:$O$258,7,FALSE))))</f>
        <v/>
      </c>
      <c r="J199" s="310" t="str">
        <f>IF(E199="","",IF(ISNA(VLOOKUP($E199,'A-1 On-Site Habitat Baseline'!$D$1:$O$258,8,FALSE)),"",(VLOOKUP($E199,'A-1 On-Site Habitat Baseline'!$D$1:$O$258,8,FALSE))))</f>
        <v/>
      </c>
      <c r="K199" s="310" t="str">
        <f>IF(E199="","",IF(ISNA(VLOOKUP($E199,'A-1 On-Site Habitat Baseline'!$D$1:$O$258,9,FALSE)),"",(VLOOKUP($E199,'A-1 On-Site Habitat Baseline'!$D$1:$O$258,9,FALSE))))</f>
        <v/>
      </c>
      <c r="L199" s="310" t="str">
        <f>IF(E199="","",IF(ISNA(VLOOKUP($E199,'A-1 On-Site Habitat Baseline'!$D$1:$O$258,11,FALSE)),"",(VLOOKUP($E199,'A-1 On-Site Habitat Baseline'!$D$1:$O$258,11,FALSE))))</f>
        <v/>
      </c>
      <c r="M199" s="310" t="str">
        <f>IF(E199="","",IF(ISNA(VLOOKUP($E199,'A-1 On-Site Habitat Baseline'!$D$1:$O$258,12,FALSE)),"",(VLOOKUP($E199,'A-1 On-Site Habitat Baseline'!$D$1:$O$258,12,FALSE))))</f>
        <v/>
      </c>
      <c r="N199" s="320" t="str">
        <f>IF(E199="","",IF(ISNA(VLOOKUP($E199,'A-1 On-Site Habitat Baseline'!$D$1:$X$258,14,FALSE)),"",(VLOOKUP($E199,'A-1 On-Site Habitat Baseline'!$D$1:$X$258,14,FALSE))))</f>
        <v/>
      </c>
      <c r="O199" s="314" t="str">
        <f>IF(E199="","",IF(ISNA(VLOOKUP($E199,'A-1 On-Site Habitat Baseline'!$D$1:$X$258,16,FALSE)),"",(VLOOKUP($E199,'A-1 On-Site Habitat Baseline'!$D$1:$X$258,13,FALSE))))</f>
        <v/>
      </c>
      <c r="P199" s="161" t="str">
        <f>IFERROR(INDEX('G-1 All Habitats'!$AG$49:$AG$63,MATCH(Q199,'G-1 All Habitats'!$AF$27:$AF$41,0)),"")</f>
        <v/>
      </c>
      <c r="Q199" s="162" t="str">
        <f t="shared" si="24"/>
        <v/>
      </c>
      <c r="R199" s="162"/>
      <c r="S199" s="252" t="str">
        <f>IFERROR(INDEX('G-1 All Habitats'!$B$3:$B$135,MATCH(R199,'G-1 All Habitats'!$A$3:$A$135,0)),"")</f>
        <v/>
      </c>
      <c r="T199" s="290" t="str">
        <f t="shared" si="25"/>
        <v/>
      </c>
      <c r="U199" s="291" t="str">
        <f t="shared" si="26"/>
        <v/>
      </c>
      <c r="V199" s="325" t="str">
        <f t="shared" si="22"/>
        <v/>
      </c>
      <c r="W199" s="310" t="str">
        <f>IF(S199="","",VLOOKUP(S199,'G-1 All Habitats'!$B$2:$M$135,10,FALSE))</f>
        <v/>
      </c>
      <c r="X199" s="310" t="str">
        <f>IFERROR(VLOOKUP(W199,'G-1 All Habitats'!$V$3:$W$7,2,FALSE),"")</f>
        <v/>
      </c>
      <c r="Y199" s="45"/>
      <c r="Z199" s="314" t="str">
        <f>IFERROR(INDEX('G-8 Condition Look up'!$A$3:$H$135,MATCH(S199,'G-8 Condition Look up'!$A$3:$A$135,0),MATCH(Y199,'G-8 Condition Look up'!$A$3:$H$3,0)),"")</f>
        <v/>
      </c>
      <c r="AA199" s="38"/>
      <c r="AB199" s="310" t="str">
        <f>IF(AA199="","",IF(VLOOKUP(AA199,'G-3 Multipliers'!$L$3:$N$6,2,FALSE)=0,"Spatial Data Missing ⚠",VLOOKUP(AA199,'G-3 Multipliers'!$L$3:$N$6,2,FALSE)))</f>
        <v/>
      </c>
      <c r="AC199" s="314" t="str">
        <f>IF(AA199="","",IF(VLOOKUP(AA199,'G-3 Multipliers'!$L$3:$N$6,3,FALSE)=0,"Spatial Data Missing ⚠",VLOOKUP(AA199,'G-3 Multipliers'!$L$3:$N$6,3,FALSE)))</f>
        <v/>
      </c>
      <c r="AD199" s="327" t="str">
        <f t="shared" si="23"/>
        <v/>
      </c>
      <c r="AE199" s="47"/>
      <c r="AF199" s="47"/>
      <c r="AG199" s="298" t="str">
        <f t="shared" si="27"/>
        <v/>
      </c>
      <c r="AH199" s="311" t="str">
        <f t="shared" si="28"/>
        <v/>
      </c>
      <c r="AI199" s="312" t="str">
        <f>IF(AH199="Check Data","Check Data",IFERROR(VLOOKUP(AH199,'G-4 Temporal multipliers'!$A$4:$C$36,3,FALSE),""))</f>
        <v/>
      </c>
      <c r="AJ199" s="290" t="str">
        <f>IF(S199="","",VLOOKUP(S199,'G-3 Multipliers'!$A$2:$E$134,4,FALSE))</f>
        <v/>
      </c>
      <c r="AK199" s="298" t="str">
        <f t="shared" si="29"/>
        <v/>
      </c>
      <c r="AL199" s="298" t="str">
        <f t="shared" si="30"/>
        <v/>
      </c>
      <c r="AM199" s="328" t="str">
        <f>IFERROR(IF(F199="","",IF(AH199="Check Data ⚠","Check Data ⚠",VLOOKUP(AL199, 'G-3 Multipliers'!$P$2:$Q$6,2,FALSE))),"")</f>
        <v/>
      </c>
      <c r="AN199" s="304" t="str">
        <f t="shared" si="31"/>
        <v/>
      </c>
      <c r="AO199" s="163"/>
      <c r="AP199" s="164"/>
      <c r="AQ199" s="101"/>
      <c r="AT199" s="20" t="str">
        <f t="shared" si="32"/>
        <v>No</v>
      </c>
      <c r="AU199" s="20" t="str">
        <f>IF(E199="","",IF(ISNA(VLOOKUP($E199,'A-1 On-Site Habitat Baseline'!$D$1:$AV$258,4,FALSE)),"",(VLOOKUP($E199,'A-1 On-Site Habitat Baseline'!$D$1:$AV$258,4,FALSE))))</f>
        <v/>
      </c>
    </row>
    <row r="200" spans="1:47" x14ac:dyDescent="0.3">
      <c r="A200" s="20" t="str">
        <f>IF(E200="","",IF(ISNA(VLOOKUP($E200,'A-1 On-Site Habitat Baseline'!$D$1:$O$258,2,FALSE)),"",(VLOOKUP($E200,'A-1 On-Site Habitat Baseline'!$D$1:$O$258,2,FALSE))))</f>
        <v/>
      </c>
      <c r="B200" s="20" t="str">
        <f>IF(E200="","",IF(ISNA(VLOOKUP($E200,'A-1 On-Site Habitat Baseline'!$D$1:$O$258,3,FALSE)),"",(VLOOKUP($E200,'A-1 On-Site Habitat Baseline'!$D$1:$O$258,3,FALSE))))</f>
        <v/>
      </c>
      <c r="C200" s="20" t="str">
        <f>IFERROR(INDEX('G-8 Condition Look up'!$I$4:$I$135,MATCH(S200,'G-8 Condition Look up'!$A$4:$A$135,0)),"")</f>
        <v/>
      </c>
      <c r="E200" s="319" t="str">
        <f>'A-1 On-Site Habitat Baseline'!AL199</f>
        <v/>
      </c>
      <c r="F200" s="310" t="str">
        <f>IF(E200="","",IF(ISNA(VLOOKUP($E200,'A-1 On-Site Habitat Baseline'!$D$1:$AV$258,45,FALSE)),"",(VLOOKUP($E200,'A-1 On-Site Habitat Baseline'!$D$1:$AV$258,45,FALSE))))</f>
        <v/>
      </c>
      <c r="G200" s="310" t="str">
        <f>IF(E200="","",IF(ISNA(VLOOKUP($E200,'A-1 On-Site Habitat Baseline'!$D$1:$O$258,5,FALSE)),"",(VLOOKUP($E200,'A-1 On-Site Habitat Baseline'!$D$1:$O$258,5,FALSE))))</f>
        <v/>
      </c>
      <c r="H200" s="310" t="str">
        <f>IF(E200="","",IF(ISNA(VLOOKUP($E200,'A-1 On-Site Habitat Baseline'!$D$1:$O$258,6,FALSE)),"",(VLOOKUP($E200,'A-1 On-Site Habitat Baseline'!$D$1:$O$258,6,FALSE))))</f>
        <v/>
      </c>
      <c r="I200" s="310" t="str">
        <f>IF(E200="","",IF(ISNA(VLOOKUP($E200,'A-1 On-Site Habitat Baseline'!$D$1:$O$258,7,FALSE)),"",(VLOOKUP($E200,'A-1 On-Site Habitat Baseline'!$D$1:$O$258,7,FALSE))))</f>
        <v/>
      </c>
      <c r="J200" s="310" t="str">
        <f>IF(E200="","",IF(ISNA(VLOOKUP($E200,'A-1 On-Site Habitat Baseline'!$D$1:$O$258,8,FALSE)),"",(VLOOKUP($E200,'A-1 On-Site Habitat Baseline'!$D$1:$O$258,8,FALSE))))</f>
        <v/>
      </c>
      <c r="K200" s="310" t="str">
        <f>IF(E200="","",IF(ISNA(VLOOKUP($E200,'A-1 On-Site Habitat Baseline'!$D$1:$O$258,9,FALSE)),"",(VLOOKUP($E200,'A-1 On-Site Habitat Baseline'!$D$1:$O$258,9,FALSE))))</f>
        <v/>
      </c>
      <c r="L200" s="310" t="str">
        <f>IF(E200="","",IF(ISNA(VLOOKUP($E200,'A-1 On-Site Habitat Baseline'!$D$1:$O$258,11,FALSE)),"",(VLOOKUP($E200,'A-1 On-Site Habitat Baseline'!$D$1:$O$258,11,FALSE))))</f>
        <v/>
      </c>
      <c r="M200" s="310" t="str">
        <f>IF(E200="","",IF(ISNA(VLOOKUP($E200,'A-1 On-Site Habitat Baseline'!$D$1:$O$258,12,FALSE)),"",(VLOOKUP($E200,'A-1 On-Site Habitat Baseline'!$D$1:$O$258,12,FALSE))))</f>
        <v/>
      </c>
      <c r="N200" s="320" t="str">
        <f>IF(E200="","",IF(ISNA(VLOOKUP($E200,'A-1 On-Site Habitat Baseline'!$D$1:$X$258,14,FALSE)),"",(VLOOKUP($E200,'A-1 On-Site Habitat Baseline'!$D$1:$X$258,14,FALSE))))</f>
        <v/>
      </c>
      <c r="O200" s="314" t="str">
        <f>IF(E200="","",IF(ISNA(VLOOKUP($E200,'A-1 On-Site Habitat Baseline'!$D$1:$X$258,16,FALSE)),"",(VLOOKUP($E200,'A-1 On-Site Habitat Baseline'!$D$1:$X$258,13,FALSE))))</f>
        <v/>
      </c>
      <c r="P200" s="161" t="str">
        <f>IFERROR(INDEX('G-1 All Habitats'!$AG$49:$AG$63,MATCH(Q200,'G-1 All Habitats'!$AF$27:$AF$41,0)),"")</f>
        <v/>
      </c>
      <c r="Q200" s="162" t="str">
        <f t="shared" si="24"/>
        <v/>
      </c>
      <c r="R200" s="162"/>
      <c r="S200" s="252" t="str">
        <f>IFERROR(INDEX('G-1 All Habitats'!$B$3:$B$135,MATCH(R200,'G-1 All Habitats'!$A$3:$A$135,0)),"")</f>
        <v/>
      </c>
      <c r="T200" s="290" t="str">
        <f t="shared" si="25"/>
        <v/>
      </c>
      <c r="U200" s="291" t="str">
        <f t="shared" si="26"/>
        <v/>
      </c>
      <c r="V200" s="325" t="str">
        <f t="shared" si="22"/>
        <v/>
      </c>
      <c r="W200" s="310" t="str">
        <f>IF(S200="","",VLOOKUP(S200,'G-1 All Habitats'!$B$2:$M$135,10,FALSE))</f>
        <v/>
      </c>
      <c r="X200" s="310" t="str">
        <f>IFERROR(VLOOKUP(W200,'G-1 All Habitats'!$V$3:$W$7,2,FALSE),"")</f>
        <v/>
      </c>
      <c r="Y200" s="45"/>
      <c r="Z200" s="314" t="str">
        <f>IFERROR(INDEX('G-8 Condition Look up'!$A$3:$H$135,MATCH(S200,'G-8 Condition Look up'!$A$3:$A$135,0),MATCH(Y200,'G-8 Condition Look up'!$A$3:$H$3,0)),"")</f>
        <v/>
      </c>
      <c r="AA200" s="38"/>
      <c r="AB200" s="310" t="str">
        <f>IF(AA200="","",IF(VLOOKUP(AA200,'G-3 Multipliers'!$L$3:$N$6,2,FALSE)=0,"Spatial Data Missing ⚠",VLOOKUP(AA200,'G-3 Multipliers'!$L$3:$N$6,2,FALSE)))</f>
        <v/>
      </c>
      <c r="AC200" s="314" t="str">
        <f>IF(AA200="","",IF(VLOOKUP(AA200,'G-3 Multipliers'!$L$3:$N$6,3,FALSE)=0,"Spatial Data Missing ⚠",VLOOKUP(AA200,'G-3 Multipliers'!$L$3:$N$6,3,FALSE)))</f>
        <v/>
      </c>
      <c r="AD200" s="327" t="str">
        <f t="shared" si="23"/>
        <v/>
      </c>
      <c r="AE200" s="47"/>
      <c r="AF200" s="47"/>
      <c r="AG200" s="298" t="str">
        <f t="shared" si="27"/>
        <v/>
      </c>
      <c r="AH200" s="311" t="str">
        <f t="shared" si="28"/>
        <v/>
      </c>
      <c r="AI200" s="312" t="str">
        <f>IF(AH200="Check Data","Check Data",IFERROR(VLOOKUP(AH200,'G-4 Temporal multipliers'!$A$4:$C$36,3,FALSE),""))</f>
        <v/>
      </c>
      <c r="AJ200" s="290" t="str">
        <f>IF(S200="","",VLOOKUP(S200,'G-3 Multipliers'!$A$2:$E$134,4,FALSE))</f>
        <v/>
      </c>
      <c r="AK200" s="298" t="str">
        <f t="shared" si="29"/>
        <v/>
      </c>
      <c r="AL200" s="298" t="str">
        <f t="shared" si="30"/>
        <v/>
      </c>
      <c r="AM200" s="328" t="str">
        <f>IFERROR(IF(F200="","",IF(AH200="Check Data ⚠","Check Data ⚠",VLOOKUP(AL200, 'G-3 Multipliers'!$P$2:$Q$6,2,FALSE))),"")</f>
        <v/>
      </c>
      <c r="AN200" s="304" t="str">
        <f t="shared" si="31"/>
        <v/>
      </c>
      <c r="AO200" s="163"/>
      <c r="AP200" s="164"/>
      <c r="AQ200" s="101"/>
      <c r="AT200" s="20" t="str">
        <f t="shared" si="32"/>
        <v>No</v>
      </c>
      <c r="AU200" s="20" t="str">
        <f>IF(E200="","",IF(ISNA(VLOOKUP($E200,'A-1 On-Site Habitat Baseline'!$D$1:$AV$258,4,FALSE)),"",(VLOOKUP($E200,'A-1 On-Site Habitat Baseline'!$D$1:$AV$258,4,FALSE))))</f>
        <v/>
      </c>
    </row>
    <row r="201" spans="1:47" x14ac:dyDescent="0.3">
      <c r="A201" s="20" t="str">
        <f>IF(E201="","",IF(ISNA(VLOOKUP($E201,'A-1 On-Site Habitat Baseline'!$D$1:$O$258,2,FALSE)),"",(VLOOKUP($E201,'A-1 On-Site Habitat Baseline'!$D$1:$O$258,2,FALSE))))</f>
        <v/>
      </c>
      <c r="B201" s="20" t="str">
        <f>IF(E201="","",IF(ISNA(VLOOKUP($E201,'A-1 On-Site Habitat Baseline'!$D$1:$O$258,3,FALSE)),"",(VLOOKUP($E201,'A-1 On-Site Habitat Baseline'!$D$1:$O$258,3,FALSE))))</f>
        <v/>
      </c>
      <c r="C201" s="20" t="str">
        <f>IFERROR(INDEX('G-8 Condition Look up'!$I$4:$I$135,MATCH(S201,'G-8 Condition Look up'!$A$4:$A$135,0)),"")</f>
        <v/>
      </c>
      <c r="E201" s="319" t="str">
        <f>'A-1 On-Site Habitat Baseline'!AL200</f>
        <v/>
      </c>
      <c r="F201" s="310" t="str">
        <f>IF(E201="","",IF(ISNA(VLOOKUP($E201,'A-1 On-Site Habitat Baseline'!$D$1:$AV$258,45,FALSE)),"",(VLOOKUP($E201,'A-1 On-Site Habitat Baseline'!$D$1:$AV$258,45,FALSE))))</f>
        <v/>
      </c>
      <c r="G201" s="310" t="str">
        <f>IF(E201="","",IF(ISNA(VLOOKUP($E201,'A-1 On-Site Habitat Baseline'!$D$1:$O$258,5,FALSE)),"",(VLOOKUP($E201,'A-1 On-Site Habitat Baseline'!$D$1:$O$258,5,FALSE))))</f>
        <v/>
      </c>
      <c r="H201" s="310" t="str">
        <f>IF(E201="","",IF(ISNA(VLOOKUP($E201,'A-1 On-Site Habitat Baseline'!$D$1:$O$258,6,FALSE)),"",(VLOOKUP($E201,'A-1 On-Site Habitat Baseline'!$D$1:$O$258,6,FALSE))))</f>
        <v/>
      </c>
      <c r="I201" s="310" t="str">
        <f>IF(E201="","",IF(ISNA(VLOOKUP($E201,'A-1 On-Site Habitat Baseline'!$D$1:$O$258,7,FALSE)),"",(VLOOKUP($E201,'A-1 On-Site Habitat Baseline'!$D$1:$O$258,7,FALSE))))</f>
        <v/>
      </c>
      <c r="J201" s="310" t="str">
        <f>IF(E201="","",IF(ISNA(VLOOKUP($E201,'A-1 On-Site Habitat Baseline'!$D$1:$O$258,8,FALSE)),"",(VLOOKUP($E201,'A-1 On-Site Habitat Baseline'!$D$1:$O$258,8,FALSE))))</f>
        <v/>
      </c>
      <c r="K201" s="310" t="str">
        <f>IF(E201="","",IF(ISNA(VLOOKUP($E201,'A-1 On-Site Habitat Baseline'!$D$1:$O$258,9,FALSE)),"",(VLOOKUP($E201,'A-1 On-Site Habitat Baseline'!$D$1:$O$258,9,FALSE))))</f>
        <v/>
      </c>
      <c r="L201" s="310" t="str">
        <f>IF(E201="","",IF(ISNA(VLOOKUP($E201,'A-1 On-Site Habitat Baseline'!$D$1:$O$258,11,FALSE)),"",(VLOOKUP($E201,'A-1 On-Site Habitat Baseline'!$D$1:$O$258,11,FALSE))))</f>
        <v/>
      </c>
      <c r="M201" s="310" t="str">
        <f>IF(E201="","",IF(ISNA(VLOOKUP($E201,'A-1 On-Site Habitat Baseline'!$D$1:$O$258,12,FALSE)),"",(VLOOKUP($E201,'A-1 On-Site Habitat Baseline'!$D$1:$O$258,12,FALSE))))</f>
        <v/>
      </c>
      <c r="N201" s="320" t="str">
        <f>IF(E201="","",IF(ISNA(VLOOKUP($E201,'A-1 On-Site Habitat Baseline'!$D$1:$X$258,14,FALSE)),"",(VLOOKUP($E201,'A-1 On-Site Habitat Baseline'!$D$1:$X$258,14,FALSE))))</f>
        <v/>
      </c>
      <c r="O201" s="314" t="str">
        <f>IF(E201="","",IF(ISNA(VLOOKUP($E201,'A-1 On-Site Habitat Baseline'!$D$1:$X$258,16,FALSE)),"",(VLOOKUP($E201,'A-1 On-Site Habitat Baseline'!$D$1:$X$258,13,FALSE))))</f>
        <v/>
      </c>
      <c r="P201" s="161" t="str">
        <f>IFERROR(INDEX('G-1 All Habitats'!$AG$49:$AG$63,MATCH(Q201,'G-1 All Habitats'!$AF$27:$AF$41,0)),"")</f>
        <v/>
      </c>
      <c r="Q201" s="162" t="str">
        <f t="shared" si="24"/>
        <v/>
      </c>
      <c r="R201" s="162"/>
      <c r="S201" s="252" t="str">
        <f>IFERROR(INDEX('G-1 All Habitats'!$B$3:$B$135,MATCH(R201,'G-1 All Habitats'!$A$3:$A$135,0)),"")</f>
        <v/>
      </c>
      <c r="T201" s="290" t="str">
        <f t="shared" si="25"/>
        <v/>
      </c>
      <c r="U201" s="291" t="str">
        <f t="shared" si="26"/>
        <v/>
      </c>
      <c r="V201" s="325" t="str">
        <f t="shared" si="22"/>
        <v/>
      </c>
      <c r="W201" s="310" t="str">
        <f>IF(S201="","",VLOOKUP(S201,'G-1 All Habitats'!$B$2:$M$135,10,FALSE))</f>
        <v/>
      </c>
      <c r="X201" s="310" t="str">
        <f>IFERROR(VLOOKUP(W201,'G-1 All Habitats'!$V$3:$W$7,2,FALSE),"")</f>
        <v/>
      </c>
      <c r="Y201" s="45"/>
      <c r="Z201" s="314" t="str">
        <f>IFERROR(INDEX('G-8 Condition Look up'!$A$3:$H$135,MATCH(S201,'G-8 Condition Look up'!$A$3:$A$135,0),MATCH(Y201,'G-8 Condition Look up'!$A$3:$H$3,0)),"")</f>
        <v/>
      </c>
      <c r="AA201" s="38"/>
      <c r="AB201" s="310" t="str">
        <f>IF(AA201="","",IF(VLOOKUP(AA201,'G-3 Multipliers'!$L$3:$N$6,2,FALSE)=0,"Spatial Data Missing ⚠",VLOOKUP(AA201,'G-3 Multipliers'!$L$3:$N$6,2,FALSE)))</f>
        <v/>
      </c>
      <c r="AC201" s="314" t="str">
        <f>IF(AA201="","",IF(VLOOKUP(AA201,'G-3 Multipliers'!$L$3:$N$6,3,FALSE)=0,"Spatial Data Missing ⚠",VLOOKUP(AA201,'G-3 Multipliers'!$L$3:$N$6,3,FALSE)))</f>
        <v/>
      </c>
      <c r="AD201" s="327" t="str">
        <f t="shared" si="23"/>
        <v/>
      </c>
      <c r="AE201" s="47"/>
      <c r="AF201" s="47"/>
      <c r="AG201" s="298" t="str">
        <f t="shared" si="27"/>
        <v/>
      </c>
      <c r="AH201" s="311" t="str">
        <f t="shared" si="28"/>
        <v/>
      </c>
      <c r="AI201" s="312" t="str">
        <f>IF(AH201="Check Data","Check Data",IFERROR(VLOOKUP(AH201,'G-4 Temporal multipliers'!$A$4:$C$36,3,FALSE),""))</f>
        <v/>
      </c>
      <c r="AJ201" s="290" t="str">
        <f>IF(S201="","",VLOOKUP(S201,'G-3 Multipliers'!$A$2:$E$134,4,FALSE))</f>
        <v/>
      </c>
      <c r="AK201" s="298" t="str">
        <f t="shared" si="29"/>
        <v/>
      </c>
      <c r="AL201" s="298" t="str">
        <f t="shared" si="30"/>
        <v/>
      </c>
      <c r="AM201" s="328" t="str">
        <f>IFERROR(IF(F201="","",IF(AH201="Check Data ⚠","Check Data ⚠",VLOOKUP(AL201, 'G-3 Multipliers'!$P$2:$Q$6,2,FALSE))),"")</f>
        <v/>
      </c>
      <c r="AN201" s="304" t="str">
        <f t="shared" si="31"/>
        <v/>
      </c>
      <c r="AO201" s="163"/>
      <c r="AP201" s="164"/>
      <c r="AQ201" s="101"/>
      <c r="AT201" s="20" t="str">
        <f t="shared" si="32"/>
        <v>No</v>
      </c>
      <c r="AU201" s="20" t="str">
        <f>IF(E201="","",IF(ISNA(VLOOKUP($E201,'A-1 On-Site Habitat Baseline'!$D$1:$AV$258,4,FALSE)),"",(VLOOKUP($E201,'A-1 On-Site Habitat Baseline'!$D$1:$AV$258,4,FALSE))))</f>
        <v/>
      </c>
    </row>
    <row r="202" spans="1:47" x14ac:dyDescent="0.3">
      <c r="A202" s="20" t="str">
        <f>IF(E202="","",IF(ISNA(VLOOKUP($E202,'A-1 On-Site Habitat Baseline'!$D$1:$O$258,2,FALSE)),"",(VLOOKUP($E202,'A-1 On-Site Habitat Baseline'!$D$1:$O$258,2,FALSE))))</f>
        <v/>
      </c>
      <c r="B202" s="20" t="str">
        <f>IF(E202="","",IF(ISNA(VLOOKUP($E202,'A-1 On-Site Habitat Baseline'!$D$1:$O$258,3,FALSE)),"",(VLOOKUP($E202,'A-1 On-Site Habitat Baseline'!$D$1:$O$258,3,FALSE))))</f>
        <v/>
      </c>
      <c r="C202" s="20" t="str">
        <f>IFERROR(INDEX('G-8 Condition Look up'!$I$4:$I$135,MATCH(S202,'G-8 Condition Look up'!$A$4:$A$135,0)),"")</f>
        <v/>
      </c>
      <c r="E202" s="319" t="str">
        <f>'A-1 On-Site Habitat Baseline'!AL201</f>
        <v/>
      </c>
      <c r="F202" s="310" t="str">
        <f>IF(E202="","",IF(ISNA(VLOOKUP($E202,'A-1 On-Site Habitat Baseline'!$D$1:$AV$258,45,FALSE)),"",(VLOOKUP($E202,'A-1 On-Site Habitat Baseline'!$D$1:$AV$258,45,FALSE))))</f>
        <v/>
      </c>
      <c r="G202" s="310" t="str">
        <f>IF(E202="","",IF(ISNA(VLOOKUP($E202,'A-1 On-Site Habitat Baseline'!$D$1:$O$258,5,FALSE)),"",(VLOOKUP($E202,'A-1 On-Site Habitat Baseline'!$D$1:$O$258,5,FALSE))))</f>
        <v/>
      </c>
      <c r="H202" s="310" t="str">
        <f>IF(E202="","",IF(ISNA(VLOOKUP($E202,'A-1 On-Site Habitat Baseline'!$D$1:$O$258,6,FALSE)),"",(VLOOKUP($E202,'A-1 On-Site Habitat Baseline'!$D$1:$O$258,6,FALSE))))</f>
        <v/>
      </c>
      <c r="I202" s="310" t="str">
        <f>IF(E202="","",IF(ISNA(VLOOKUP($E202,'A-1 On-Site Habitat Baseline'!$D$1:$O$258,7,FALSE)),"",(VLOOKUP($E202,'A-1 On-Site Habitat Baseline'!$D$1:$O$258,7,FALSE))))</f>
        <v/>
      </c>
      <c r="J202" s="310" t="str">
        <f>IF(E202="","",IF(ISNA(VLOOKUP($E202,'A-1 On-Site Habitat Baseline'!$D$1:$O$258,8,FALSE)),"",(VLOOKUP($E202,'A-1 On-Site Habitat Baseline'!$D$1:$O$258,8,FALSE))))</f>
        <v/>
      </c>
      <c r="K202" s="310" t="str">
        <f>IF(E202="","",IF(ISNA(VLOOKUP($E202,'A-1 On-Site Habitat Baseline'!$D$1:$O$258,9,FALSE)),"",(VLOOKUP($E202,'A-1 On-Site Habitat Baseline'!$D$1:$O$258,9,FALSE))))</f>
        <v/>
      </c>
      <c r="L202" s="310" t="str">
        <f>IF(E202="","",IF(ISNA(VLOOKUP($E202,'A-1 On-Site Habitat Baseline'!$D$1:$O$258,11,FALSE)),"",(VLOOKUP($E202,'A-1 On-Site Habitat Baseline'!$D$1:$O$258,11,FALSE))))</f>
        <v/>
      </c>
      <c r="M202" s="310" t="str">
        <f>IF(E202="","",IF(ISNA(VLOOKUP($E202,'A-1 On-Site Habitat Baseline'!$D$1:$O$258,12,FALSE)),"",(VLOOKUP($E202,'A-1 On-Site Habitat Baseline'!$D$1:$O$258,12,FALSE))))</f>
        <v/>
      </c>
      <c r="N202" s="320" t="str">
        <f>IF(E202="","",IF(ISNA(VLOOKUP($E202,'A-1 On-Site Habitat Baseline'!$D$1:$X$258,14,FALSE)),"",(VLOOKUP($E202,'A-1 On-Site Habitat Baseline'!$D$1:$X$258,14,FALSE))))</f>
        <v/>
      </c>
      <c r="O202" s="314" t="str">
        <f>IF(E202="","",IF(ISNA(VLOOKUP($E202,'A-1 On-Site Habitat Baseline'!$D$1:$X$258,16,FALSE)),"",(VLOOKUP($E202,'A-1 On-Site Habitat Baseline'!$D$1:$X$258,13,FALSE))))</f>
        <v/>
      </c>
      <c r="P202" s="161" t="str">
        <f>IFERROR(INDEX('G-1 All Habitats'!$AG$49:$AG$63,MATCH(Q202,'G-1 All Habitats'!$AF$27:$AF$41,0)),"")</f>
        <v/>
      </c>
      <c r="Q202" s="162" t="str">
        <f t="shared" si="24"/>
        <v/>
      </c>
      <c r="R202" s="162"/>
      <c r="S202" s="252" t="str">
        <f>IFERROR(INDEX('G-1 All Habitats'!$B$3:$B$135,MATCH(R202,'G-1 All Habitats'!$A$3:$A$135,0)),"")</f>
        <v/>
      </c>
      <c r="T202" s="290" t="str">
        <f t="shared" si="25"/>
        <v/>
      </c>
      <c r="U202" s="291" t="str">
        <f t="shared" si="26"/>
        <v/>
      </c>
      <c r="V202" s="325" t="str">
        <f t="shared" si="22"/>
        <v/>
      </c>
      <c r="W202" s="310" t="str">
        <f>IF(S202="","",VLOOKUP(S202,'G-1 All Habitats'!$B$2:$M$135,10,FALSE))</f>
        <v/>
      </c>
      <c r="X202" s="310" t="str">
        <f>IFERROR(VLOOKUP(W202,'G-1 All Habitats'!$V$3:$W$7,2,FALSE),"")</f>
        <v/>
      </c>
      <c r="Y202" s="45"/>
      <c r="Z202" s="314" t="str">
        <f>IFERROR(INDEX('G-8 Condition Look up'!$A$3:$H$135,MATCH(S202,'G-8 Condition Look up'!$A$3:$A$135,0),MATCH(Y202,'G-8 Condition Look up'!$A$3:$H$3,0)),"")</f>
        <v/>
      </c>
      <c r="AA202" s="38"/>
      <c r="AB202" s="310" t="str">
        <f>IF(AA202="","",IF(VLOOKUP(AA202,'G-3 Multipliers'!$L$3:$N$6,2,FALSE)=0,"Spatial Data Missing ⚠",VLOOKUP(AA202,'G-3 Multipliers'!$L$3:$N$6,2,FALSE)))</f>
        <v/>
      </c>
      <c r="AC202" s="314" t="str">
        <f>IF(AA202="","",IF(VLOOKUP(AA202,'G-3 Multipliers'!$L$3:$N$6,3,FALSE)=0,"Spatial Data Missing ⚠",VLOOKUP(AA202,'G-3 Multipliers'!$L$3:$N$6,3,FALSE)))</f>
        <v/>
      </c>
      <c r="AD202" s="327" t="str">
        <f t="shared" si="23"/>
        <v/>
      </c>
      <c r="AE202" s="47"/>
      <c r="AF202" s="47"/>
      <c r="AG202" s="298" t="str">
        <f t="shared" si="27"/>
        <v/>
      </c>
      <c r="AH202" s="311" t="str">
        <f t="shared" si="28"/>
        <v/>
      </c>
      <c r="AI202" s="312" t="str">
        <f>IF(AH202="Check Data","Check Data",IFERROR(VLOOKUP(AH202,'G-4 Temporal multipliers'!$A$4:$C$36,3,FALSE),""))</f>
        <v/>
      </c>
      <c r="AJ202" s="290" t="str">
        <f>IF(S202="","",VLOOKUP(S202,'G-3 Multipliers'!$A$2:$E$134,4,FALSE))</f>
        <v/>
      </c>
      <c r="AK202" s="298" t="str">
        <f t="shared" si="29"/>
        <v/>
      </c>
      <c r="AL202" s="298" t="str">
        <f t="shared" si="30"/>
        <v/>
      </c>
      <c r="AM202" s="328" t="str">
        <f>IFERROR(IF(F202="","",IF(AH202="Check Data ⚠","Check Data ⚠",VLOOKUP(AL202, 'G-3 Multipliers'!$P$2:$Q$6,2,FALSE))),"")</f>
        <v/>
      </c>
      <c r="AN202" s="304" t="str">
        <f t="shared" si="31"/>
        <v/>
      </c>
      <c r="AO202" s="163"/>
      <c r="AP202" s="164"/>
      <c r="AQ202" s="101"/>
      <c r="AT202" s="20" t="str">
        <f t="shared" si="32"/>
        <v>No</v>
      </c>
      <c r="AU202" s="20" t="str">
        <f>IF(E202="","",IF(ISNA(VLOOKUP($E202,'A-1 On-Site Habitat Baseline'!$D$1:$AV$258,4,FALSE)),"",(VLOOKUP($E202,'A-1 On-Site Habitat Baseline'!$D$1:$AV$258,4,FALSE))))</f>
        <v/>
      </c>
    </row>
    <row r="203" spans="1:47" x14ac:dyDescent="0.3">
      <c r="A203" s="20" t="str">
        <f>IF(E203="","",IF(ISNA(VLOOKUP($E203,'A-1 On-Site Habitat Baseline'!$D$1:$O$258,2,FALSE)),"",(VLOOKUP($E203,'A-1 On-Site Habitat Baseline'!$D$1:$O$258,2,FALSE))))</f>
        <v/>
      </c>
      <c r="B203" s="20" t="str">
        <f>IF(E203="","",IF(ISNA(VLOOKUP($E203,'A-1 On-Site Habitat Baseline'!$D$1:$O$258,3,FALSE)),"",(VLOOKUP($E203,'A-1 On-Site Habitat Baseline'!$D$1:$O$258,3,FALSE))))</f>
        <v/>
      </c>
      <c r="C203" s="20" t="str">
        <f>IFERROR(INDEX('G-8 Condition Look up'!$I$4:$I$135,MATCH(S203,'G-8 Condition Look up'!$A$4:$A$135,0)),"")</f>
        <v/>
      </c>
      <c r="E203" s="319" t="str">
        <f>'A-1 On-Site Habitat Baseline'!AL202</f>
        <v/>
      </c>
      <c r="F203" s="310" t="str">
        <f>IF(E203="","",IF(ISNA(VLOOKUP($E203,'A-1 On-Site Habitat Baseline'!$D$1:$AV$258,45,FALSE)),"",(VLOOKUP($E203,'A-1 On-Site Habitat Baseline'!$D$1:$AV$258,45,FALSE))))</f>
        <v/>
      </c>
      <c r="G203" s="310" t="str">
        <f>IF(E203="","",IF(ISNA(VLOOKUP($E203,'A-1 On-Site Habitat Baseline'!$D$1:$O$258,5,FALSE)),"",(VLOOKUP($E203,'A-1 On-Site Habitat Baseline'!$D$1:$O$258,5,FALSE))))</f>
        <v/>
      </c>
      <c r="H203" s="310" t="str">
        <f>IF(E203="","",IF(ISNA(VLOOKUP($E203,'A-1 On-Site Habitat Baseline'!$D$1:$O$258,6,FALSE)),"",(VLOOKUP($E203,'A-1 On-Site Habitat Baseline'!$D$1:$O$258,6,FALSE))))</f>
        <v/>
      </c>
      <c r="I203" s="310" t="str">
        <f>IF(E203="","",IF(ISNA(VLOOKUP($E203,'A-1 On-Site Habitat Baseline'!$D$1:$O$258,7,FALSE)),"",(VLOOKUP($E203,'A-1 On-Site Habitat Baseline'!$D$1:$O$258,7,FALSE))))</f>
        <v/>
      </c>
      <c r="J203" s="310" t="str">
        <f>IF(E203="","",IF(ISNA(VLOOKUP($E203,'A-1 On-Site Habitat Baseline'!$D$1:$O$258,8,FALSE)),"",(VLOOKUP($E203,'A-1 On-Site Habitat Baseline'!$D$1:$O$258,8,FALSE))))</f>
        <v/>
      </c>
      <c r="K203" s="310" t="str">
        <f>IF(E203="","",IF(ISNA(VLOOKUP($E203,'A-1 On-Site Habitat Baseline'!$D$1:$O$258,9,FALSE)),"",(VLOOKUP($E203,'A-1 On-Site Habitat Baseline'!$D$1:$O$258,9,FALSE))))</f>
        <v/>
      </c>
      <c r="L203" s="310" t="str">
        <f>IF(E203="","",IF(ISNA(VLOOKUP($E203,'A-1 On-Site Habitat Baseline'!$D$1:$O$258,11,FALSE)),"",(VLOOKUP($E203,'A-1 On-Site Habitat Baseline'!$D$1:$O$258,11,FALSE))))</f>
        <v/>
      </c>
      <c r="M203" s="310" t="str">
        <f>IF(E203="","",IF(ISNA(VLOOKUP($E203,'A-1 On-Site Habitat Baseline'!$D$1:$O$258,12,FALSE)),"",(VLOOKUP($E203,'A-1 On-Site Habitat Baseline'!$D$1:$O$258,12,FALSE))))</f>
        <v/>
      </c>
      <c r="N203" s="320" t="str">
        <f>IF(E203="","",IF(ISNA(VLOOKUP($E203,'A-1 On-Site Habitat Baseline'!$D$1:$X$258,14,FALSE)),"",(VLOOKUP($E203,'A-1 On-Site Habitat Baseline'!$D$1:$X$258,14,FALSE))))</f>
        <v/>
      </c>
      <c r="O203" s="314" t="str">
        <f>IF(E203="","",IF(ISNA(VLOOKUP($E203,'A-1 On-Site Habitat Baseline'!$D$1:$X$258,16,FALSE)),"",(VLOOKUP($E203,'A-1 On-Site Habitat Baseline'!$D$1:$X$258,13,FALSE))))</f>
        <v/>
      </c>
      <c r="P203" s="161" t="str">
        <f>IFERROR(INDEX('G-1 All Habitats'!$AG$49:$AG$63,MATCH(Q203,'G-1 All Habitats'!$AF$27:$AF$41,0)),"")</f>
        <v/>
      </c>
      <c r="Q203" s="162" t="str">
        <f t="shared" si="24"/>
        <v/>
      </c>
      <c r="R203" s="162"/>
      <c r="S203" s="252" t="str">
        <f>IFERROR(INDEX('G-1 All Habitats'!$B$3:$B$135,MATCH(R203,'G-1 All Habitats'!$A$3:$A$135,0)),"")</f>
        <v/>
      </c>
      <c r="T203" s="290" t="str">
        <f t="shared" si="25"/>
        <v/>
      </c>
      <c r="U203" s="291" t="str">
        <f t="shared" si="26"/>
        <v/>
      </c>
      <c r="V203" s="325" t="str">
        <f t="shared" si="22"/>
        <v/>
      </c>
      <c r="W203" s="310" t="str">
        <f>IF(S203="","",VLOOKUP(S203,'G-1 All Habitats'!$B$2:$M$135,10,FALSE))</f>
        <v/>
      </c>
      <c r="X203" s="310" t="str">
        <f>IFERROR(VLOOKUP(W203,'G-1 All Habitats'!$V$3:$W$7,2,FALSE),"")</f>
        <v/>
      </c>
      <c r="Y203" s="45"/>
      <c r="Z203" s="314" t="str">
        <f>IFERROR(INDEX('G-8 Condition Look up'!$A$3:$H$135,MATCH(S203,'G-8 Condition Look up'!$A$3:$A$135,0),MATCH(Y203,'G-8 Condition Look up'!$A$3:$H$3,0)),"")</f>
        <v/>
      </c>
      <c r="AA203" s="38"/>
      <c r="AB203" s="310" t="str">
        <f>IF(AA203="","",IF(VLOOKUP(AA203,'G-3 Multipliers'!$L$3:$N$6,2,FALSE)=0,"Spatial Data Missing ⚠",VLOOKUP(AA203,'G-3 Multipliers'!$L$3:$N$6,2,FALSE)))</f>
        <v/>
      </c>
      <c r="AC203" s="314" t="str">
        <f>IF(AA203="","",IF(VLOOKUP(AA203,'G-3 Multipliers'!$L$3:$N$6,3,FALSE)=0,"Spatial Data Missing ⚠",VLOOKUP(AA203,'G-3 Multipliers'!$L$3:$N$6,3,FALSE)))</f>
        <v/>
      </c>
      <c r="AD203" s="327" t="str">
        <f t="shared" si="23"/>
        <v/>
      </c>
      <c r="AE203" s="47"/>
      <c r="AF203" s="47"/>
      <c r="AG203" s="298" t="str">
        <f t="shared" si="27"/>
        <v/>
      </c>
      <c r="AH203" s="311" t="str">
        <f t="shared" si="28"/>
        <v/>
      </c>
      <c r="AI203" s="312" t="str">
        <f>IF(AH203="Check Data","Check Data",IFERROR(VLOOKUP(AH203,'G-4 Temporal multipliers'!$A$4:$C$36,3,FALSE),""))</f>
        <v/>
      </c>
      <c r="AJ203" s="290" t="str">
        <f>IF(S203="","",VLOOKUP(S203,'G-3 Multipliers'!$A$2:$E$134,4,FALSE))</f>
        <v/>
      </c>
      <c r="AK203" s="298" t="str">
        <f t="shared" si="29"/>
        <v/>
      </c>
      <c r="AL203" s="298" t="str">
        <f t="shared" si="30"/>
        <v/>
      </c>
      <c r="AM203" s="328" t="str">
        <f>IFERROR(IF(F203="","",IF(AH203="Check Data ⚠","Check Data ⚠",VLOOKUP(AL203, 'G-3 Multipliers'!$P$2:$Q$6,2,FALSE))),"")</f>
        <v/>
      </c>
      <c r="AN203" s="304" t="str">
        <f t="shared" si="31"/>
        <v/>
      </c>
      <c r="AO203" s="163"/>
      <c r="AP203" s="164"/>
      <c r="AQ203" s="101"/>
      <c r="AT203" s="20" t="str">
        <f t="shared" si="32"/>
        <v>No</v>
      </c>
      <c r="AU203" s="20" t="str">
        <f>IF(E203="","",IF(ISNA(VLOOKUP($E203,'A-1 On-Site Habitat Baseline'!$D$1:$AV$258,4,FALSE)),"",(VLOOKUP($E203,'A-1 On-Site Habitat Baseline'!$D$1:$AV$258,4,FALSE))))</f>
        <v/>
      </c>
    </row>
    <row r="204" spans="1:47" x14ac:dyDescent="0.3">
      <c r="A204" s="20" t="str">
        <f>IF(E204="","",IF(ISNA(VLOOKUP($E204,'A-1 On-Site Habitat Baseline'!$D$1:$O$258,2,FALSE)),"",(VLOOKUP($E204,'A-1 On-Site Habitat Baseline'!$D$1:$O$258,2,FALSE))))</f>
        <v/>
      </c>
      <c r="B204" s="20" t="str">
        <f>IF(E204="","",IF(ISNA(VLOOKUP($E204,'A-1 On-Site Habitat Baseline'!$D$1:$O$258,3,FALSE)),"",(VLOOKUP($E204,'A-1 On-Site Habitat Baseline'!$D$1:$O$258,3,FALSE))))</f>
        <v/>
      </c>
      <c r="C204" s="20" t="str">
        <f>IFERROR(INDEX('G-8 Condition Look up'!$I$4:$I$135,MATCH(S204,'G-8 Condition Look up'!$A$4:$A$135,0)),"")</f>
        <v/>
      </c>
      <c r="E204" s="319" t="str">
        <f>'A-1 On-Site Habitat Baseline'!AL203</f>
        <v/>
      </c>
      <c r="F204" s="310" t="str">
        <f>IF(E204="","",IF(ISNA(VLOOKUP($E204,'A-1 On-Site Habitat Baseline'!$D$1:$AV$258,45,FALSE)),"",(VLOOKUP($E204,'A-1 On-Site Habitat Baseline'!$D$1:$AV$258,45,FALSE))))</f>
        <v/>
      </c>
      <c r="G204" s="310" t="str">
        <f>IF(E204="","",IF(ISNA(VLOOKUP($E204,'A-1 On-Site Habitat Baseline'!$D$1:$O$258,5,FALSE)),"",(VLOOKUP($E204,'A-1 On-Site Habitat Baseline'!$D$1:$O$258,5,FALSE))))</f>
        <v/>
      </c>
      <c r="H204" s="310" t="str">
        <f>IF(E204="","",IF(ISNA(VLOOKUP($E204,'A-1 On-Site Habitat Baseline'!$D$1:$O$258,6,FALSE)),"",(VLOOKUP($E204,'A-1 On-Site Habitat Baseline'!$D$1:$O$258,6,FALSE))))</f>
        <v/>
      </c>
      <c r="I204" s="310" t="str">
        <f>IF(E204="","",IF(ISNA(VLOOKUP($E204,'A-1 On-Site Habitat Baseline'!$D$1:$O$258,7,FALSE)),"",(VLOOKUP($E204,'A-1 On-Site Habitat Baseline'!$D$1:$O$258,7,FALSE))))</f>
        <v/>
      </c>
      <c r="J204" s="310" t="str">
        <f>IF(E204="","",IF(ISNA(VLOOKUP($E204,'A-1 On-Site Habitat Baseline'!$D$1:$O$258,8,FALSE)),"",(VLOOKUP($E204,'A-1 On-Site Habitat Baseline'!$D$1:$O$258,8,FALSE))))</f>
        <v/>
      </c>
      <c r="K204" s="310" t="str">
        <f>IF(E204="","",IF(ISNA(VLOOKUP($E204,'A-1 On-Site Habitat Baseline'!$D$1:$O$258,9,FALSE)),"",(VLOOKUP($E204,'A-1 On-Site Habitat Baseline'!$D$1:$O$258,9,FALSE))))</f>
        <v/>
      </c>
      <c r="L204" s="310" t="str">
        <f>IF(E204="","",IF(ISNA(VLOOKUP($E204,'A-1 On-Site Habitat Baseline'!$D$1:$O$258,11,FALSE)),"",(VLOOKUP($E204,'A-1 On-Site Habitat Baseline'!$D$1:$O$258,11,FALSE))))</f>
        <v/>
      </c>
      <c r="M204" s="310" t="str">
        <f>IF(E204="","",IF(ISNA(VLOOKUP($E204,'A-1 On-Site Habitat Baseline'!$D$1:$O$258,12,FALSE)),"",(VLOOKUP($E204,'A-1 On-Site Habitat Baseline'!$D$1:$O$258,12,FALSE))))</f>
        <v/>
      </c>
      <c r="N204" s="320" t="str">
        <f>IF(E204="","",IF(ISNA(VLOOKUP($E204,'A-1 On-Site Habitat Baseline'!$D$1:$X$258,14,FALSE)),"",(VLOOKUP($E204,'A-1 On-Site Habitat Baseline'!$D$1:$X$258,14,FALSE))))</f>
        <v/>
      </c>
      <c r="O204" s="314" t="str">
        <f>IF(E204="","",IF(ISNA(VLOOKUP($E204,'A-1 On-Site Habitat Baseline'!$D$1:$X$258,16,FALSE)),"",(VLOOKUP($E204,'A-1 On-Site Habitat Baseline'!$D$1:$X$258,13,FALSE))))</f>
        <v/>
      </c>
      <c r="P204" s="161" t="str">
        <f>IFERROR(INDEX('G-1 All Habitats'!$AG$49:$AG$63,MATCH(Q204,'G-1 All Habitats'!$AF$27:$AF$41,0)),"")</f>
        <v/>
      </c>
      <c r="Q204" s="162" t="str">
        <f t="shared" si="24"/>
        <v/>
      </c>
      <c r="R204" s="162"/>
      <c r="S204" s="252" t="str">
        <f>IFERROR(INDEX('G-1 All Habitats'!$B$3:$B$135,MATCH(R204,'G-1 All Habitats'!$A$3:$A$135,0)),"")</f>
        <v/>
      </c>
      <c r="T204" s="290" t="str">
        <f t="shared" si="25"/>
        <v/>
      </c>
      <c r="U204" s="291" t="str">
        <f t="shared" si="26"/>
        <v/>
      </c>
      <c r="V204" s="325" t="str">
        <f t="shared" ref="V204:V257" si="33">IF(S204="","",VLOOKUP(E204,BaselineHabSite,17,FALSE))</f>
        <v/>
      </c>
      <c r="W204" s="310" t="str">
        <f>IF(S204="","",VLOOKUP(S204,'G-1 All Habitats'!$B$2:$M$135,10,FALSE))</f>
        <v/>
      </c>
      <c r="X204" s="310" t="str">
        <f>IFERROR(VLOOKUP(W204,'G-1 All Habitats'!$V$3:$W$7,2,FALSE),"")</f>
        <v/>
      </c>
      <c r="Y204" s="45"/>
      <c r="Z204" s="314" t="str">
        <f>IFERROR(INDEX('G-8 Condition Look up'!$A$3:$H$135,MATCH(S204,'G-8 Condition Look up'!$A$3:$A$135,0),MATCH(Y204,'G-8 Condition Look up'!$A$3:$H$3,0)),"")</f>
        <v/>
      </c>
      <c r="AA204" s="38"/>
      <c r="AB204" s="310" t="str">
        <f>IF(AA204="","",IF(VLOOKUP(AA204,'G-3 Multipliers'!$L$3:$N$6,2,FALSE)=0,"Spatial Data Missing ⚠",VLOOKUP(AA204,'G-3 Multipliers'!$L$3:$N$6,2,FALSE)))</f>
        <v/>
      </c>
      <c r="AC204" s="314" t="str">
        <f>IF(AA204="","",IF(VLOOKUP(AA204,'G-3 Multipliers'!$L$3:$N$6,3,FALSE)=0,"Spatial Data Missing ⚠",VLOOKUP(AA204,'G-3 Multipliers'!$L$3:$N$6,3,FALSE)))</f>
        <v/>
      </c>
      <c r="AD204" s="327" t="str">
        <f t="shared" ref="AD204:AD257" si="34">IFERROR(IF(OR(LEFT(U204,5)="Error",LEFT(T204,5)="Error"),"Check Data ⚠",INDEX(EnhanceTemporal,MATCH(S204,EnhanceHabitat,0),MATCH(U204,EnhanceCondition,0))),"")</f>
        <v/>
      </c>
      <c r="AE204" s="47"/>
      <c r="AF204" s="47"/>
      <c r="AG204" s="298" t="str">
        <f t="shared" si="27"/>
        <v/>
      </c>
      <c r="AH204" s="311" t="str">
        <f t="shared" si="28"/>
        <v/>
      </c>
      <c r="AI204" s="312" t="str">
        <f>IF(AH204="Check Data","Check Data",IFERROR(VLOOKUP(AH204,'G-4 Temporal multipliers'!$A$4:$C$36,3,FALSE),""))</f>
        <v/>
      </c>
      <c r="AJ204" s="290" t="str">
        <f>IF(S204="","",VLOOKUP(S204,'G-3 Multipliers'!$A$2:$E$134,4,FALSE))</f>
        <v/>
      </c>
      <c r="AK204" s="298" t="str">
        <f t="shared" si="29"/>
        <v/>
      </c>
      <c r="AL204" s="298" t="str">
        <f t="shared" si="30"/>
        <v/>
      </c>
      <c r="AM204" s="328" t="str">
        <f>IFERROR(IF(F204="","",IF(AH204="Check Data ⚠","Check Data ⚠",VLOOKUP(AL204, 'G-3 Multipliers'!$P$2:$Q$6,2,FALSE))),"")</f>
        <v/>
      </c>
      <c r="AN204" s="304" t="str">
        <f t="shared" si="31"/>
        <v/>
      </c>
      <c r="AO204" s="163"/>
      <c r="AP204" s="164"/>
      <c r="AQ204" s="101"/>
      <c r="AT204" s="20" t="str">
        <f t="shared" si="32"/>
        <v>No</v>
      </c>
      <c r="AU204" s="20" t="str">
        <f>IF(E204="","",IF(ISNA(VLOOKUP($E204,'A-1 On-Site Habitat Baseline'!$D$1:$AV$258,4,FALSE)),"",(VLOOKUP($E204,'A-1 On-Site Habitat Baseline'!$D$1:$AV$258,4,FALSE))))</f>
        <v/>
      </c>
    </row>
    <row r="205" spans="1:47" x14ac:dyDescent="0.3">
      <c r="A205" s="20" t="str">
        <f>IF(E205="","",IF(ISNA(VLOOKUP($E205,'A-1 On-Site Habitat Baseline'!$D$1:$O$258,2,FALSE)),"",(VLOOKUP($E205,'A-1 On-Site Habitat Baseline'!$D$1:$O$258,2,FALSE))))</f>
        <v/>
      </c>
      <c r="B205" s="20" t="str">
        <f>IF(E205="","",IF(ISNA(VLOOKUP($E205,'A-1 On-Site Habitat Baseline'!$D$1:$O$258,3,FALSE)),"",(VLOOKUP($E205,'A-1 On-Site Habitat Baseline'!$D$1:$O$258,3,FALSE))))</f>
        <v/>
      </c>
      <c r="C205" s="20" t="str">
        <f>IFERROR(INDEX('G-8 Condition Look up'!$I$4:$I$135,MATCH(S205,'G-8 Condition Look up'!$A$4:$A$135,0)),"")</f>
        <v/>
      </c>
      <c r="E205" s="319" t="str">
        <f>'A-1 On-Site Habitat Baseline'!AL204</f>
        <v/>
      </c>
      <c r="F205" s="310" t="str">
        <f>IF(E205="","",IF(ISNA(VLOOKUP($E205,'A-1 On-Site Habitat Baseline'!$D$1:$AV$258,45,FALSE)),"",(VLOOKUP($E205,'A-1 On-Site Habitat Baseline'!$D$1:$AV$258,45,FALSE))))</f>
        <v/>
      </c>
      <c r="G205" s="310" t="str">
        <f>IF(E205="","",IF(ISNA(VLOOKUP($E205,'A-1 On-Site Habitat Baseline'!$D$1:$O$258,5,FALSE)),"",(VLOOKUP($E205,'A-1 On-Site Habitat Baseline'!$D$1:$O$258,5,FALSE))))</f>
        <v/>
      </c>
      <c r="H205" s="310" t="str">
        <f>IF(E205="","",IF(ISNA(VLOOKUP($E205,'A-1 On-Site Habitat Baseline'!$D$1:$O$258,6,FALSE)),"",(VLOOKUP($E205,'A-1 On-Site Habitat Baseline'!$D$1:$O$258,6,FALSE))))</f>
        <v/>
      </c>
      <c r="I205" s="310" t="str">
        <f>IF(E205="","",IF(ISNA(VLOOKUP($E205,'A-1 On-Site Habitat Baseline'!$D$1:$O$258,7,FALSE)),"",(VLOOKUP($E205,'A-1 On-Site Habitat Baseline'!$D$1:$O$258,7,FALSE))))</f>
        <v/>
      </c>
      <c r="J205" s="310" t="str">
        <f>IF(E205="","",IF(ISNA(VLOOKUP($E205,'A-1 On-Site Habitat Baseline'!$D$1:$O$258,8,FALSE)),"",(VLOOKUP($E205,'A-1 On-Site Habitat Baseline'!$D$1:$O$258,8,FALSE))))</f>
        <v/>
      </c>
      <c r="K205" s="310" t="str">
        <f>IF(E205="","",IF(ISNA(VLOOKUP($E205,'A-1 On-Site Habitat Baseline'!$D$1:$O$258,9,FALSE)),"",(VLOOKUP($E205,'A-1 On-Site Habitat Baseline'!$D$1:$O$258,9,FALSE))))</f>
        <v/>
      </c>
      <c r="L205" s="310" t="str">
        <f>IF(E205="","",IF(ISNA(VLOOKUP($E205,'A-1 On-Site Habitat Baseline'!$D$1:$O$258,11,FALSE)),"",(VLOOKUP($E205,'A-1 On-Site Habitat Baseline'!$D$1:$O$258,11,FALSE))))</f>
        <v/>
      </c>
      <c r="M205" s="310" t="str">
        <f>IF(E205="","",IF(ISNA(VLOOKUP($E205,'A-1 On-Site Habitat Baseline'!$D$1:$O$258,12,FALSE)),"",(VLOOKUP($E205,'A-1 On-Site Habitat Baseline'!$D$1:$O$258,12,FALSE))))</f>
        <v/>
      </c>
      <c r="N205" s="320" t="str">
        <f>IF(E205="","",IF(ISNA(VLOOKUP($E205,'A-1 On-Site Habitat Baseline'!$D$1:$X$258,14,FALSE)),"",(VLOOKUP($E205,'A-1 On-Site Habitat Baseline'!$D$1:$X$258,14,FALSE))))</f>
        <v/>
      </c>
      <c r="O205" s="314" t="str">
        <f>IF(E205="","",IF(ISNA(VLOOKUP($E205,'A-1 On-Site Habitat Baseline'!$D$1:$X$258,16,FALSE)),"",(VLOOKUP($E205,'A-1 On-Site Habitat Baseline'!$D$1:$X$258,13,FALSE))))</f>
        <v/>
      </c>
      <c r="P205" s="161" t="str">
        <f>IFERROR(INDEX('G-1 All Habitats'!$AG$49:$AG$63,MATCH(Q205,'G-1 All Habitats'!$AF$27:$AF$41,0)),"")</f>
        <v/>
      </c>
      <c r="Q205" s="162" t="str">
        <f t="shared" ref="Q205:Q257" si="35">A205</f>
        <v/>
      </c>
      <c r="R205" s="162"/>
      <c r="S205" s="252" t="str">
        <f>IFERROR(INDEX('G-1 All Habitats'!$B$3:$B$135,MATCH(R205,'G-1 All Habitats'!$A$3:$A$135,0)),"")</f>
        <v/>
      </c>
      <c r="T205" s="290" t="str">
        <f t="shared" ref="T205:T257" si="36">IF(E205="","",IF(AND(LEFT(O205,6)="Same d",I205&gt;X205),"Error - Trading rules not satisfied ▲",IF(AND(LEFT(O205,6)="Same b",AND(LEFT(F205,5)&lt;&gt;LEFT(S205,5),I205&gt;X205)),"Error - Trading rules not satisfied ▲",IF(AND(LEFT(O205,6)="Same h",F205&lt;&gt;S205),"Error - Trading rules not satisfied ▲",IF(AND(LEFT(O205,6)="Bespok",F205&lt;&gt;S205),"Error - Trading rules not satisfied ▲",IF(X205&lt;I205,"Error Trading Down ▲",H205&amp;" - "&amp;W205))))))</f>
        <v/>
      </c>
      <c r="U205" s="291" t="str">
        <f t="shared" ref="U205:U257" si="37">IF(F205="","",IF(AND(S205&lt;&gt;F205,AU205="Yes"), "Error you cannot replace an irreplaceable habitat ▲",IF(AND(LEFT(F205,55)&lt;&gt;LEFT(S205,55),T205= "High - High"),"Error - Not like for like ▲",IF(AND(I205=X205,K205&gt;Z205),"Error - Can not reduce condition ▲",IF(AND(I205=X205,K205=Z205),"Error - No enhancement ▲", IF(K205&gt;Z205, "Error - condition cannot be reduced ▲", IF(X205&lt;I205,"Error Trading Down ▲",IF(AND(F205&lt;&gt;S205,I205&lt;X205),"Lower Distinctiveness Habitat"&amp;" - "&amp;Y205,J205&amp;" - "&amp;Y205))))))))</f>
        <v/>
      </c>
      <c r="V205" s="325" t="str">
        <f t="shared" si="33"/>
        <v/>
      </c>
      <c r="W205" s="310" t="str">
        <f>IF(S205="","",VLOOKUP(S205,'G-1 All Habitats'!$B$2:$M$135,10,FALSE))</f>
        <v/>
      </c>
      <c r="X205" s="310" t="str">
        <f>IFERROR(VLOOKUP(W205,'G-1 All Habitats'!$V$3:$W$7,2,FALSE),"")</f>
        <v/>
      </c>
      <c r="Y205" s="45"/>
      <c r="Z205" s="314" t="str">
        <f>IFERROR(INDEX('G-8 Condition Look up'!$A$3:$H$135,MATCH(S205,'G-8 Condition Look up'!$A$3:$A$135,0),MATCH(Y205,'G-8 Condition Look up'!$A$3:$H$3,0)),"")</f>
        <v/>
      </c>
      <c r="AA205" s="38"/>
      <c r="AB205" s="310" t="str">
        <f>IF(AA205="","",IF(VLOOKUP(AA205,'G-3 Multipliers'!$L$3:$N$6,2,FALSE)=0,"Spatial Data Missing ⚠",VLOOKUP(AA205,'G-3 Multipliers'!$L$3:$N$6,2,FALSE)))</f>
        <v/>
      </c>
      <c r="AC205" s="314" t="str">
        <f>IF(AA205="","",IF(VLOOKUP(AA205,'G-3 Multipliers'!$L$3:$N$6,3,FALSE)=0,"Spatial Data Missing ⚠",VLOOKUP(AA205,'G-3 Multipliers'!$L$3:$N$6,3,FALSE)))</f>
        <v/>
      </c>
      <c r="AD205" s="327" t="str">
        <f t="shared" si="34"/>
        <v/>
      </c>
      <c r="AE205" s="47"/>
      <c r="AF205" s="47"/>
      <c r="AG205" s="298" t="str">
        <f t="shared" ref="AG205:AG257" si="38">IF(AD205="","",IF(AD205="Check Data ⚠","Check Data ⚠",IF(R205="","",IF(AND(AE205&gt;0,AF205&gt;0),"Error -both advance and delayed habitat creation ▲",IF(AND(OR(AE205="Habitat already in target condition",AD205&lt;=AE205),AF205=0),"Check details - Is there evidence that habitat has reached target condition? ⚠",IF(O204="","",IF(AE205&gt;0,"Check details - Is there evidence habitat creation started/in place? ⚠",IF(AF205&gt;0,"Check details- Delay in starting habitat in required condition? ⚠","Standard time to target condition applied"))))))))</f>
        <v/>
      </c>
      <c r="AH205" s="311" t="str">
        <f t="shared" ref="AH205:AH257" si="39">IF(AG205="Error -both advance and delayed habitat creation ▲","Check Data ⚠",IF(AG205="Check Data ⚠","Check Data ⚠",IF(AD205="","",IF(AD205="Not Possible","Check Data ⚠",IF(AND(AD205="30+",AE205=0),"30+",IF(AND(AD205="30+",AE205="30+"),0,IF(AND(AD205="30+",AE205&lt;30),30-AE205,IF(AD205="30+",30-AE205,IF(AE205&gt;AD205,0,IF(AF205="30+","30+",IF(AD205+AF205&gt;30,"30+",IF(AD205+AF205&gt;30,"30+",IF(AD205-AE205&gt;30,"30+",IF(AD205+AF205-AE205&gt;0,AD205+AF205-AE205,IF(AD205-AE205&gt;0,AD205-AE205,AD205+AF205-AE205)))))))))))))))</f>
        <v/>
      </c>
      <c r="AI205" s="312" t="str">
        <f>IF(AH205="Check Data","Check Data",IFERROR(VLOOKUP(AH205,'G-4 Temporal multipliers'!$A$4:$C$36,3,FALSE),""))</f>
        <v/>
      </c>
      <c r="AJ205" s="290" t="str">
        <f>IF(S205="","",VLOOKUP(S205,'G-3 Multipliers'!$A$2:$E$134,4,FALSE))</f>
        <v/>
      </c>
      <c r="AK205" s="298" t="str">
        <f t="shared" ref="AK205:AK257" si="40">IF(E205="","",IF(AG205="Check details - Is there evidence that habitat has reached target condition? ⚠","Low Difficulty - only applicable if all habitat created before losses ⚠","Standard difficulty applied"))</f>
        <v/>
      </c>
      <c r="AL205" s="298" t="str">
        <f t="shared" ref="AL205:AL257" si="41">(IF(AND(AK205="Standard difficulty applied",AD205&gt;AE205),AJ205,IF(AND(AK205="Low Difficulty - only applicable if all habitat created before losses ⚠",AE205&gt;=AD205),"Low", AJ205)))</f>
        <v/>
      </c>
      <c r="AM205" s="328" t="str">
        <f>IFERROR(IF(F205="","",IF(AH205="Check Data ⚠","Check Data ⚠",VLOOKUP(AL205, 'G-3 Multipliers'!$P$2:$Q$6,2,FALSE))),"")</f>
        <v/>
      </c>
      <c r="AN205" s="304" t="str">
        <f t="shared" ref="AN205:AN257" si="42">IFERROR(IF(OR(F205="Individual trees - Rural tree",F205="Individual trees - Urban tree"), "Error - You cannot enhance individual trees ▲",((((V205*X205*Z205)-(V205*I205*K205))*(AM205*AI205))+(V205*I205*K205))*(AC205)),"")</f>
        <v/>
      </c>
      <c r="AO205" s="163"/>
      <c r="AP205" s="164"/>
      <c r="AQ205" s="101"/>
      <c r="AT205" s="20" t="str">
        <f t="shared" ref="AT205:AT257" si="43">IF(Q205&lt;&gt;A205,"Yes","No")</f>
        <v>No</v>
      </c>
      <c r="AU205" s="20" t="str">
        <f>IF(E205="","",IF(ISNA(VLOOKUP($E205,'A-1 On-Site Habitat Baseline'!$D$1:$AV$258,4,FALSE)),"",(VLOOKUP($E205,'A-1 On-Site Habitat Baseline'!$D$1:$AV$258,4,FALSE))))</f>
        <v/>
      </c>
    </row>
    <row r="206" spans="1:47" x14ac:dyDescent="0.3">
      <c r="A206" s="20" t="str">
        <f>IF(E206="","",IF(ISNA(VLOOKUP($E206,'A-1 On-Site Habitat Baseline'!$D$1:$O$258,2,FALSE)),"",(VLOOKUP($E206,'A-1 On-Site Habitat Baseline'!$D$1:$O$258,2,FALSE))))</f>
        <v/>
      </c>
      <c r="B206" s="20" t="str">
        <f>IF(E206="","",IF(ISNA(VLOOKUP($E206,'A-1 On-Site Habitat Baseline'!$D$1:$O$258,3,FALSE)),"",(VLOOKUP($E206,'A-1 On-Site Habitat Baseline'!$D$1:$O$258,3,FALSE))))</f>
        <v/>
      </c>
      <c r="C206" s="20" t="str">
        <f>IFERROR(INDEX('G-8 Condition Look up'!$I$4:$I$135,MATCH(S206,'G-8 Condition Look up'!$A$4:$A$135,0)),"")</f>
        <v/>
      </c>
      <c r="E206" s="319" t="str">
        <f>'A-1 On-Site Habitat Baseline'!AL205</f>
        <v/>
      </c>
      <c r="F206" s="310" t="str">
        <f>IF(E206="","",IF(ISNA(VLOOKUP($E206,'A-1 On-Site Habitat Baseline'!$D$1:$AV$258,45,FALSE)),"",(VLOOKUP($E206,'A-1 On-Site Habitat Baseline'!$D$1:$AV$258,45,FALSE))))</f>
        <v/>
      </c>
      <c r="G206" s="310" t="str">
        <f>IF(E206="","",IF(ISNA(VLOOKUP($E206,'A-1 On-Site Habitat Baseline'!$D$1:$O$258,5,FALSE)),"",(VLOOKUP($E206,'A-1 On-Site Habitat Baseline'!$D$1:$O$258,5,FALSE))))</f>
        <v/>
      </c>
      <c r="H206" s="310" t="str">
        <f>IF(E206="","",IF(ISNA(VLOOKUP($E206,'A-1 On-Site Habitat Baseline'!$D$1:$O$258,6,FALSE)),"",(VLOOKUP($E206,'A-1 On-Site Habitat Baseline'!$D$1:$O$258,6,FALSE))))</f>
        <v/>
      </c>
      <c r="I206" s="310" t="str">
        <f>IF(E206="","",IF(ISNA(VLOOKUP($E206,'A-1 On-Site Habitat Baseline'!$D$1:$O$258,7,FALSE)),"",(VLOOKUP($E206,'A-1 On-Site Habitat Baseline'!$D$1:$O$258,7,FALSE))))</f>
        <v/>
      </c>
      <c r="J206" s="310" t="str">
        <f>IF(E206="","",IF(ISNA(VLOOKUP($E206,'A-1 On-Site Habitat Baseline'!$D$1:$O$258,8,FALSE)),"",(VLOOKUP($E206,'A-1 On-Site Habitat Baseline'!$D$1:$O$258,8,FALSE))))</f>
        <v/>
      </c>
      <c r="K206" s="310" t="str">
        <f>IF(E206="","",IF(ISNA(VLOOKUP($E206,'A-1 On-Site Habitat Baseline'!$D$1:$O$258,9,FALSE)),"",(VLOOKUP($E206,'A-1 On-Site Habitat Baseline'!$D$1:$O$258,9,FALSE))))</f>
        <v/>
      </c>
      <c r="L206" s="310" t="str">
        <f>IF(E206="","",IF(ISNA(VLOOKUP($E206,'A-1 On-Site Habitat Baseline'!$D$1:$O$258,11,FALSE)),"",(VLOOKUP($E206,'A-1 On-Site Habitat Baseline'!$D$1:$O$258,11,FALSE))))</f>
        <v/>
      </c>
      <c r="M206" s="310" t="str">
        <f>IF(E206="","",IF(ISNA(VLOOKUP($E206,'A-1 On-Site Habitat Baseline'!$D$1:$O$258,12,FALSE)),"",(VLOOKUP($E206,'A-1 On-Site Habitat Baseline'!$D$1:$O$258,12,FALSE))))</f>
        <v/>
      </c>
      <c r="N206" s="320" t="str">
        <f>IF(E206="","",IF(ISNA(VLOOKUP($E206,'A-1 On-Site Habitat Baseline'!$D$1:$X$258,14,FALSE)),"",(VLOOKUP($E206,'A-1 On-Site Habitat Baseline'!$D$1:$X$258,14,FALSE))))</f>
        <v/>
      </c>
      <c r="O206" s="314" t="str">
        <f>IF(E206="","",IF(ISNA(VLOOKUP($E206,'A-1 On-Site Habitat Baseline'!$D$1:$X$258,16,FALSE)),"",(VLOOKUP($E206,'A-1 On-Site Habitat Baseline'!$D$1:$X$258,13,FALSE))))</f>
        <v/>
      </c>
      <c r="P206" s="161" t="str">
        <f>IFERROR(INDEX('G-1 All Habitats'!$AG$49:$AG$63,MATCH(Q206,'G-1 All Habitats'!$AF$27:$AF$41,0)),"")</f>
        <v/>
      </c>
      <c r="Q206" s="162" t="str">
        <f t="shared" si="35"/>
        <v/>
      </c>
      <c r="R206" s="162"/>
      <c r="S206" s="252" t="str">
        <f>IFERROR(INDEX('G-1 All Habitats'!$B$3:$B$135,MATCH(R206,'G-1 All Habitats'!$A$3:$A$135,0)),"")</f>
        <v/>
      </c>
      <c r="T206" s="290" t="str">
        <f t="shared" si="36"/>
        <v/>
      </c>
      <c r="U206" s="291" t="str">
        <f t="shared" si="37"/>
        <v/>
      </c>
      <c r="V206" s="325" t="str">
        <f t="shared" si="33"/>
        <v/>
      </c>
      <c r="W206" s="310" t="str">
        <f>IF(S206="","",VLOOKUP(S206,'G-1 All Habitats'!$B$2:$M$135,10,FALSE))</f>
        <v/>
      </c>
      <c r="X206" s="310" t="str">
        <f>IFERROR(VLOOKUP(W206,'G-1 All Habitats'!$V$3:$W$7,2,FALSE),"")</f>
        <v/>
      </c>
      <c r="Y206" s="45"/>
      <c r="Z206" s="314" t="str">
        <f>IFERROR(INDEX('G-8 Condition Look up'!$A$3:$H$135,MATCH(S206,'G-8 Condition Look up'!$A$3:$A$135,0),MATCH(Y206,'G-8 Condition Look up'!$A$3:$H$3,0)),"")</f>
        <v/>
      </c>
      <c r="AA206" s="38"/>
      <c r="AB206" s="310" t="str">
        <f>IF(AA206="","",IF(VLOOKUP(AA206,'G-3 Multipliers'!$L$3:$N$6,2,FALSE)=0,"Spatial Data Missing ⚠",VLOOKUP(AA206,'G-3 Multipliers'!$L$3:$N$6,2,FALSE)))</f>
        <v/>
      </c>
      <c r="AC206" s="314" t="str">
        <f>IF(AA206="","",IF(VLOOKUP(AA206,'G-3 Multipliers'!$L$3:$N$6,3,FALSE)=0,"Spatial Data Missing ⚠",VLOOKUP(AA206,'G-3 Multipliers'!$L$3:$N$6,3,FALSE)))</f>
        <v/>
      </c>
      <c r="AD206" s="327" t="str">
        <f t="shared" si="34"/>
        <v/>
      </c>
      <c r="AE206" s="47"/>
      <c r="AF206" s="47"/>
      <c r="AG206" s="298" t="str">
        <f t="shared" si="38"/>
        <v/>
      </c>
      <c r="AH206" s="311" t="str">
        <f t="shared" si="39"/>
        <v/>
      </c>
      <c r="AI206" s="312" t="str">
        <f>IF(AH206="Check Data","Check Data",IFERROR(VLOOKUP(AH206,'G-4 Temporal multipliers'!$A$4:$C$36,3,FALSE),""))</f>
        <v/>
      </c>
      <c r="AJ206" s="290" t="str">
        <f>IF(S206="","",VLOOKUP(S206,'G-3 Multipliers'!$A$2:$E$134,4,FALSE))</f>
        <v/>
      </c>
      <c r="AK206" s="298" t="str">
        <f t="shared" si="40"/>
        <v/>
      </c>
      <c r="AL206" s="298" t="str">
        <f t="shared" si="41"/>
        <v/>
      </c>
      <c r="AM206" s="328" t="str">
        <f>IFERROR(IF(F206="","",IF(AH206="Check Data ⚠","Check Data ⚠",VLOOKUP(AL206, 'G-3 Multipliers'!$P$2:$Q$6,2,FALSE))),"")</f>
        <v/>
      </c>
      <c r="AN206" s="304" t="str">
        <f t="shared" si="42"/>
        <v/>
      </c>
      <c r="AO206" s="163"/>
      <c r="AP206" s="164"/>
      <c r="AQ206" s="101"/>
      <c r="AT206" s="20" t="str">
        <f t="shared" si="43"/>
        <v>No</v>
      </c>
      <c r="AU206" s="20" t="str">
        <f>IF(E206="","",IF(ISNA(VLOOKUP($E206,'A-1 On-Site Habitat Baseline'!$D$1:$AV$258,4,FALSE)),"",(VLOOKUP($E206,'A-1 On-Site Habitat Baseline'!$D$1:$AV$258,4,FALSE))))</f>
        <v/>
      </c>
    </row>
    <row r="207" spans="1:47" x14ac:dyDescent="0.3">
      <c r="A207" s="20" t="str">
        <f>IF(E207="","",IF(ISNA(VLOOKUP($E207,'A-1 On-Site Habitat Baseline'!$D$1:$O$258,2,FALSE)),"",(VLOOKUP($E207,'A-1 On-Site Habitat Baseline'!$D$1:$O$258,2,FALSE))))</f>
        <v/>
      </c>
      <c r="B207" s="20" t="str">
        <f>IF(E207="","",IF(ISNA(VLOOKUP($E207,'A-1 On-Site Habitat Baseline'!$D$1:$O$258,3,FALSE)),"",(VLOOKUP($E207,'A-1 On-Site Habitat Baseline'!$D$1:$O$258,3,FALSE))))</f>
        <v/>
      </c>
      <c r="C207" s="20" t="str">
        <f>IFERROR(INDEX('G-8 Condition Look up'!$I$4:$I$135,MATCH(S207,'G-8 Condition Look up'!$A$4:$A$135,0)),"")</f>
        <v/>
      </c>
      <c r="E207" s="319" t="str">
        <f>'A-1 On-Site Habitat Baseline'!AL206</f>
        <v/>
      </c>
      <c r="F207" s="310" t="str">
        <f>IF(E207="","",IF(ISNA(VLOOKUP($E207,'A-1 On-Site Habitat Baseline'!$D$1:$AV$258,45,FALSE)),"",(VLOOKUP($E207,'A-1 On-Site Habitat Baseline'!$D$1:$AV$258,45,FALSE))))</f>
        <v/>
      </c>
      <c r="G207" s="310" t="str">
        <f>IF(E207="","",IF(ISNA(VLOOKUP($E207,'A-1 On-Site Habitat Baseline'!$D$1:$O$258,5,FALSE)),"",(VLOOKUP($E207,'A-1 On-Site Habitat Baseline'!$D$1:$O$258,5,FALSE))))</f>
        <v/>
      </c>
      <c r="H207" s="310" t="str">
        <f>IF(E207="","",IF(ISNA(VLOOKUP($E207,'A-1 On-Site Habitat Baseline'!$D$1:$O$258,6,FALSE)),"",(VLOOKUP($E207,'A-1 On-Site Habitat Baseline'!$D$1:$O$258,6,FALSE))))</f>
        <v/>
      </c>
      <c r="I207" s="310" t="str">
        <f>IF(E207="","",IF(ISNA(VLOOKUP($E207,'A-1 On-Site Habitat Baseline'!$D$1:$O$258,7,FALSE)),"",(VLOOKUP($E207,'A-1 On-Site Habitat Baseline'!$D$1:$O$258,7,FALSE))))</f>
        <v/>
      </c>
      <c r="J207" s="310" t="str">
        <f>IF(E207="","",IF(ISNA(VLOOKUP($E207,'A-1 On-Site Habitat Baseline'!$D$1:$O$258,8,FALSE)),"",(VLOOKUP($E207,'A-1 On-Site Habitat Baseline'!$D$1:$O$258,8,FALSE))))</f>
        <v/>
      </c>
      <c r="K207" s="310" t="str">
        <f>IF(E207="","",IF(ISNA(VLOOKUP($E207,'A-1 On-Site Habitat Baseline'!$D$1:$O$258,9,FALSE)),"",(VLOOKUP($E207,'A-1 On-Site Habitat Baseline'!$D$1:$O$258,9,FALSE))))</f>
        <v/>
      </c>
      <c r="L207" s="310" t="str">
        <f>IF(E207="","",IF(ISNA(VLOOKUP($E207,'A-1 On-Site Habitat Baseline'!$D$1:$O$258,11,FALSE)),"",(VLOOKUP($E207,'A-1 On-Site Habitat Baseline'!$D$1:$O$258,11,FALSE))))</f>
        <v/>
      </c>
      <c r="M207" s="310" t="str">
        <f>IF(E207="","",IF(ISNA(VLOOKUP($E207,'A-1 On-Site Habitat Baseline'!$D$1:$O$258,12,FALSE)),"",(VLOOKUP($E207,'A-1 On-Site Habitat Baseline'!$D$1:$O$258,12,FALSE))))</f>
        <v/>
      </c>
      <c r="N207" s="320" t="str">
        <f>IF(E207="","",IF(ISNA(VLOOKUP($E207,'A-1 On-Site Habitat Baseline'!$D$1:$X$258,14,FALSE)),"",(VLOOKUP($E207,'A-1 On-Site Habitat Baseline'!$D$1:$X$258,14,FALSE))))</f>
        <v/>
      </c>
      <c r="O207" s="314" t="str">
        <f>IF(E207="","",IF(ISNA(VLOOKUP($E207,'A-1 On-Site Habitat Baseline'!$D$1:$X$258,16,FALSE)),"",(VLOOKUP($E207,'A-1 On-Site Habitat Baseline'!$D$1:$X$258,13,FALSE))))</f>
        <v/>
      </c>
      <c r="P207" s="161" t="str">
        <f>IFERROR(INDEX('G-1 All Habitats'!$AG$49:$AG$63,MATCH(Q207,'G-1 All Habitats'!$AF$27:$AF$41,0)),"")</f>
        <v/>
      </c>
      <c r="Q207" s="162" t="str">
        <f t="shared" si="35"/>
        <v/>
      </c>
      <c r="R207" s="162"/>
      <c r="S207" s="252" t="str">
        <f>IFERROR(INDEX('G-1 All Habitats'!$B$3:$B$135,MATCH(R207,'G-1 All Habitats'!$A$3:$A$135,0)),"")</f>
        <v/>
      </c>
      <c r="T207" s="290" t="str">
        <f t="shared" si="36"/>
        <v/>
      </c>
      <c r="U207" s="291" t="str">
        <f t="shared" si="37"/>
        <v/>
      </c>
      <c r="V207" s="325" t="str">
        <f t="shared" si="33"/>
        <v/>
      </c>
      <c r="W207" s="310" t="str">
        <f>IF(S207="","",VLOOKUP(S207,'G-1 All Habitats'!$B$2:$M$135,10,FALSE))</f>
        <v/>
      </c>
      <c r="X207" s="310" t="str">
        <f>IFERROR(VLOOKUP(W207,'G-1 All Habitats'!$V$3:$W$7,2,FALSE),"")</f>
        <v/>
      </c>
      <c r="Y207" s="45"/>
      <c r="Z207" s="314" t="str">
        <f>IFERROR(INDEX('G-8 Condition Look up'!$A$3:$H$135,MATCH(S207,'G-8 Condition Look up'!$A$3:$A$135,0),MATCH(Y207,'G-8 Condition Look up'!$A$3:$H$3,0)),"")</f>
        <v/>
      </c>
      <c r="AA207" s="38"/>
      <c r="AB207" s="310" t="str">
        <f>IF(AA207="","",IF(VLOOKUP(AA207,'G-3 Multipliers'!$L$3:$N$6,2,FALSE)=0,"Spatial Data Missing ⚠",VLOOKUP(AA207,'G-3 Multipliers'!$L$3:$N$6,2,FALSE)))</f>
        <v/>
      </c>
      <c r="AC207" s="314" t="str">
        <f>IF(AA207="","",IF(VLOOKUP(AA207,'G-3 Multipliers'!$L$3:$N$6,3,FALSE)=0,"Spatial Data Missing ⚠",VLOOKUP(AA207,'G-3 Multipliers'!$L$3:$N$6,3,FALSE)))</f>
        <v/>
      </c>
      <c r="AD207" s="327" t="str">
        <f t="shared" si="34"/>
        <v/>
      </c>
      <c r="AE207" s="47"/>
      <c r="AF207" s="47"/>
      <c r="AG207" s="298" t="str">
        <f t="shared" si="38"/>
        <v/>
      </c>
      <c r="AH207" s="311" t="str">
        <f t="shared" si="39"/>
        <v/>
      </c>
      <c r="AI207" s="312" t="str">
        <f>IF(AH207="Check Data","Check Data",IFERROR(VLOOKUP(AH207,'G-4 Temporal multipliers'!$A$4:$C$36,3,FALSE),""))</f>
        <v/>
      </c>
      <c r="AJ207" s="290" t="str">
        <f>IF(S207="","",VLOOKUP(S207,'G-3 Multipliers'!$A$2:$E$134,4,FALSE))</f>
        <v/>
      </c>
      <c r="AK207" s="298" t="str">
        <f t="shared" si="40"/>
        <v/>
      </c>
      <c r="AL207" s="298" t="str">
        <f t="shared" si="41"/>
        <v/>
      </c>
      <c r="AM207" s="328" t="str">
        <f>IFERROR(IF(F207="","",IF(AH207="Check Data ⚠","Check Data ⚠",VLOOKUP(AL207, 'G-3 Multipliers'!$P$2:$Q$6,2,FALSE))),"")</f>
        <v/>
      </c>
      <c r="AN207" s="304" t="str">
        <f t="shared" si="42"/>
        <v/>
      </c>
      <c r="AO207" s="163"/>
      <c r="AP207" s="164"/>
      <c r="AQ207" s="101"/>
      <c r="AT207" s="20" t="str">
        <f t="shared" si="43"/>
        <v>No</v>
      </c>
      <c r="AU207" s="20" t="str">
        <f>IF(E207="","",IF(ISNA(VLOOKUP($E207,'A-1 On-Site Habitat Baseline'!$D$1:$AV$258,4,FALSE)),"",(VLOOKUP($E207,'A-1 On-Site Habitat Baseline'!$D$1:$AV$258,4,FALSE))))</f>
        <v/>
      </c>
    </row>
    <row r="208" spans="1:47" x14ac:dyDescent="0.3">
      <c r="A208" s="20" t="str">
        <f>IF(E208="","",IF(ISNA(VLOOKUP($E208,'A-1 On-Site Habitat Baseline'!$D$1:$O$258,2,FALSE)),"",(VLOOKUP($E208,'A-1 On-Site Habitat Baseline'!$D$1:$O$258,2,FALSE))))</f>
        <v/>
      </c>
      <c r="B208" s="20" t="str">
        <f>IF(E208="","",IF(ISNA(VLOOKUP($E208,'A-1 On-Site Habitat Baseline'!$D$1:$O$258,3,FALSE)),"",(VLOOKUP($E208,'A-1 On-Site Habitat Baseline'!$D$1:$O$258,3,FALSE))))</f>
        <v/>
      </c>
      <c r="C208" s="20" t="str">
        <f>IFERROR(INDEX('G-8 Condition Look up'!$I$4:$I$135,MATCH(S208,'G-8 Condition Look up'!$A$4:$A$135,0)),"")</f>
        <v/>
      </c>
      <c r="E208" s="319" t="str">
        <f>'A-1 On-Site Habitat Baseline'!AL207</f>
        <v/>
      </c>
      <c r="F208" s="310" t="str">
        <f>IF(E208="","",IF(ISNA(VLOOKUP($E208,'A-1 On-Site Habitat Baseline'!$D$1:$AV$258,45,FALSE)),"",(VLOOKUP($E208,'A-1 On-Site Habitat Baseline'!$D$1:$AV$258,45,FALSE))))</f>
        <v/>
      </c>
      <c r="G208" s="310" t="str">
        <f>IF(E208="","",IF(ISNA(VLOOKUP($E208,'A-1 On-Site Habitat Baseline'!$D$1:$O$258,5,FALSE)),"",(VLOOKUP($E208,'A-1 On-Site Habitat Baseline'!$D$1:$O$258,5,FALSE))))</f>
        <v/>
      </c>
      <c r="H208" s="310" t="str">
        <f>IF(E208="","",IF(ISNA(VLOOKUP($E208,'A-1 On-Site Habitat Baseline'!$D$1:$O$258,6,FALSE)),"",(VLOOKUP($E208,'A-1 On-Site Habitat Baseline'!$D$1:$O$258,6,FALSE))))</f>
        <v/>
      </c>
      <c r="I208" s="310" t="str">
        <f>IF(E208="","",IF(ISNA(VLOOKUP($E208,'A-1 On-Site Habitat Baseline'!$D$1:$O$258,7,FALSE)),"",(VLOOKUP($E208,'A-1 On-Site Habitat Baseline'!$D$1:$O$258,7,FALSE))))</f>
        <v/>
      </c>
      <c r="J208" s="310" t="str">
        <f>IF(E208="","",IF(ISNA(VLOOKUP($E208,'A-1 On-Site Habitat Baseline'!$D$1:$O$258,8,FALSE)),"",(VLOOKUP($E208,'A-1 On-Site Habitat Baseline'!$D$1:$O$258,8,FALSE))))</f>
        <v/>
      </c>
      <c r="K208" s="310" t="str">
        <f>IF(E208="","",IF(ISNA(VLOOKUP($E208,'A-1 On-Site Habitat Baseline'!$D$1:$O$258,9,FALSE)),"",(VLOOKUP($E208,'A-1 On-Site Habitat Baseline'!$D$1:$O$258,9,FALSE))))</f>
        <v/>
      </c>
      <c r="L208" s="310" t="str">
        <f>IF(E208="","",IF(ISNA(VLOOKUP($E208,'A-1 On-Site Habitat Baseline'!$D$1:$O$258,11,FALSE)),"",(VLOOKUP($E208,'A-1 On-Site Habitat Baseline'!$D$1:$O$258,11,FALSE))))</f>
        <v/>
      </c>
      <c r="M208" s="310" t="str">
        <f>IF(E208="","",IF(ISNA(VLOOKUP($E208,'A-1 On-Site Habitat Baseline'!$D$1:$O$258,12,FALSE)),"",(VLOOKUP($E208,'A-1 On-Site Habitat Baseline'!$D$1:$O$258,12,FALSE))))</f>
        <v/>
      </c>
      <c r="N208" s="320" t="str">
        <f>IF(E208="","",IF(ISNA(VLOOKUP($E208,'A-1 On-Site Habitat Baseline'!$D$1:$X$258,14,FALSE)),"",(VLOOKUP($E208,'A-1 On-Site Habitat Baseline'!$D$1:$X$258,14,FALSE))))</f>
        <v/>
      </c>
      <c r="O208" s="314" t="str">
        <f>IF(E208="","",IF(ISNA(VLOOKUP($E208,'A-1 On-Site Habitat Baseline'!$D$1:$X$258,16,FALSE)),"",(VLOOKUP($E208,'A-1 On-Site Habitat Baseline'!$D$1:$X$258,13,FALSE))))</f>
        <v/>
      </c>
      <c r="P208" s="161" t="str">
        <f>IFERROR(INDEX('G-1 All Habitats'!$AG$49:$AG$63,MATCH(Q208,'G-1 All Habitats'!$AF$27:$AF$41,0)),"")</f>
        <v/>
      </c>
      <c r="Q208" s="162" t="str">
        <f t="shared" si="35"/>
        <v/>
      </c>
      <c r="R208" s="162"/>
      <c r="S208" s="252" t="str">
        <f>IFERROR(INDEX('G-1 All Habitats'!$B$3:$B$135,MATCH(R208,'G-1 All Habitats'!$A$3:$A$135,0)),"")</f>
        <v/>
      </c>
      <c r="T208" s="290" t="str">
        <f t="shared" si="36"/>
        <v/>
      </c>
      <c r="U208" s="291" t="str">
        <f t="shared" si="37"/>
        <v/>
      </c>
      <c r="V208" s="325" t="str">
        <f t="shared" si="33"/>
        <v/>
      </c>
      <c r="W208" s="310" t="str">
        <f>IF(S208="","",VLOOKUP(S208,'G-1 All Habitats'!$B$2:$M$135,10,FALSE))</f>
        <v/>
      </c>
      <c r="X208" s="310" t="str">
        <f>IFERROR(VLOOKUP(W208,'G-1 All Habitats'!$V$3:$W$7,2,FALSE),"")</f>
        <v/>
      </c>
      <c r="Y208" s="45"/>
      <c r="Z208" s="314" t="str">
        <f>IFERROR(INDEX('G-8 Condition Look up'!$A$3:$H$135,MATCH(S208,'G-8 Condition Look up'!$A$3:$A$135,0),MATCH(Y208,'G-8 Condition Look up'!$A$3:$H$3,0)),"")</f>
        <v/>
      </c>
      <c r="AA208" s="38"/>
      <c r="AB208" s="310" t="str">
        <f>IF(AA208="","",IF(VLOOKUP(AA208,'G-3 Multipliers'!$L$3:$N$6,2,FALSE)=0,"Spatial Data Missing ⚠",VLOOKUP(AA208,'G-3 Multipliers'!$L$3:$N$6,2,FALSE)))</f>
        <v/>
      </c>
      <c r="AC208" s="314" t="str">
        <f>IF(AA208="","",IF(VLOOKUP(AA208,'G-3 Multipliers'!$L$3:$N$6,3,FALSE)=0,"Spatial Data Missing ⚠",VLOOKUP(AA208,'G-3 Multipliers'!$L$3:$N$6,3,FALSE)))</f>
        <v/>
      </c>
      <c r="AD208" s="327" t="str">
        <f t="shared" si="34"/>
        <v/>
      </c>
      <c r="AE208" s="47"/>
      <c r="AF208" s="47"/>
      <c r="AG208" s="298" t="str">
        <f t="shared" si="38"/>
        <v/>
      </c>
      <c r="AH208" s="311" t="str">
        <f t="shared" si="39"/>
        <v/>
      </c>
      <c r="AI208" s="312" t="str">
        <f>IF(AH208="Check Data","Check Data",IFERROR(VLOOKUP(AH208,'G-4 Temporal multipliers'!$A$4:$C$36,3,FALSE),""))</f>
        <v/>
      </c>
      <c r="AJ208" s="290" t="str">
        <f>IF(S208="","",VLOOKUP(S208,'G-3 Multipliers'!$A$2:$E$134,4,FALSE))</f>
        <v/>
      </c>
      <c r="AK208" s="298" t="str">
        <f t="shared" si="40"/>
        <v/>
      </c>
      <c r="AL208" s="298" t="str">
        <f t="shared" si="41"/>
        <v/>
      </c>
      <c r="AM208" s="328" t="str">
        <f>IFERROR(IF(F208="","",IF(AH208="Check Data ⚠","Check Data ⚠",VLOOKUP(AL208, 'G-3 Multipliers'!$P$2:$Q$6,2,FALSE))),"")</f>
        <v/>
      </c>
      <c r="AN208" s="304" t="str">
        <f t="shared" si="42"/>
        <v/>
      </c>
      <c r="AO208" s="163"/>
      <c r="AP208" s="164"/>
      <c r="AQ208" s="101"/>
      <c r="AT208" s="20" t="str">
        <f t="shared" si="43"/>
        <v>No</v>
      </c>
      <c r="AU208" s="20" t="str">
        <f>IF(E208="","",IF(ISNA(VLOOKUP($E208,'A-1 On-Site Habitat Baseline'!$D$1:$AV$258,4,FALSE)),"",(VLOOKUP($E208,'A-1 On-Site Habitat Baseline'!$D$1:$AV$258,4,FALSE))))</f>
        <v/>
      </c>
    </row>
    <row r="209" spans="1:47" x14ac:dyDescent="0.3">
      <c r="A209" s="20" t="str">
        <f>IF(E209="","",IF(ISNA(VLOOKUP($E209,'A-1 On-Site Habitat Baseline'!$D$1:$O$258,2,FALSE)),"",(VLOOKUP($E209,'A-1 On-Site Habitat Baseline'!$D$1:$O$258,2,FALSE))))</f>
        <v/>
      </c>
      <c r="B209" s="20" t="str">
        <f>IF(E209="","",IF(ISNA(VLOOKUP($E209,'A-1 On-Site Habitat Baseline'!$D$1:$O$258,3,FALSE)),"",(VLOOKUP($E209,'A-1 On-Site Habitat Baseline'!$D$1:$O$258,3,FALSE))))</f>
        <v/>
      </c>
      <c r="C209" s="20" t="str">
        <f>IFERROR(INDEX('G-8 Condition Look up'!$I$4:$I$135,MATCH(S209,'G-8 Condition Look up'!$A$4:$A$135,0)),"")</f>
        <v/>
      </c>
      <c r="E209" s="319" t="str">
        <f>'A-1 On-Site Habitat Baseline'!AL208</f>
        <v/>
      </c>
      <c r="F209" s="310" t="str">
        <f>IF(E209="","",IF(ISNA(VLOOKUP($E209,'A-1 On-Site Habitat Baseline'!$D$1:$AV$258,45,FALSE)),"",(VLOOKUP($E209,'A-1 On-Site Habitat Baseline'!$D$1:$AV$258,45,FALSE))))</f>
        <v/>
      </c>
      <c r="G209" s="310" t="str">
        <f>IF(E209="","",IF(ISNA(VLOOKUP($E209,'A-1 On-Site Habitat Baseline'!$D$1:$O$258,5,FALSE)),"",(VLOOKUP($E209,'A-1 On-Site Habitat Baseline'!$D$1:$O$258,5,FALSE))))</f>
        <v/>
      </c>
      <c r="H209" s="310" t="str">
        <f>IF(E209="","",IF(ISNA(VLOOKUP($E209,'A-1 On-Site Habitat Baseline'!$D$1:$O$258,6,FALSE)),"",(VLOOKUP($E209,'A-1 On-Site Habitat Baseline'!$D$1:$O$258,6,FALSE))))</f>
        <v/>
      </c>
      <c r="I209" s="310" t="str">
        <f>IF(E209="","",IF(ISNA(VLOOKUP($E209,'A-1 On-Site Habitat Baseline'!$D$1:$O$258,7,FALSE)),"",(VLOOKUP($E209,'A-1 On-Site Habitat Baseline'!$D$1:$O$258,7,FALSE))))</f>
        <v/>
      </c>
      <c r="J209" s="310" t="str">
        <f>IF(E209="","",IF(ISNA(VLOOKUP($E209,'A-1 On-Site Habitat Baseline'!$D$1:$O$258,8,FALSE)),"",(VLOOKUP($E209,'A-1 On-Site Habitat Baseline'!$D$1:$O$258,8,FALSE))))</f>
        <v/>
      </c>
      <c r="K209" s="310" t="str">
        <f>IF(E209="","",IF(ISNA(VLOOKUP($E209,'A-1 On-Site Habitat Baseline'!$D$1:$O$258,9,FALSE)),"",(VLOOKUP($E209,'A-1 On-Site Habitat Baseline'!$D$1:$O$258,9,FALSE))))</f>
        <v/>
      </c>
      <c r="L209" s="310" t="str">
        <f>IF(E209="","",IF(ISNA(VLOOKUP($E209,'A-1 On-Site Habitat Baseline'!$D$1:$O$258,11,FALSE)),"",(VLOOKUP($E209,'A-1 On-Site Habitat Baseline'!$D$1:$O$258,11,FALSE))))</f>
        <v/>
      </c>
      <c r="M209" s="310" t="str">
        <f>IF(E209="","",IF(ISNA(VLOOKUP($E209,'A-1 On-Site Habitat Baseline'!$D$1:$O$258,12,FALSE)),"",(VLOOKUP($E209,'A-1 On-Site Habitat Baseline'!$D$1:$O$258,12,FALSE))))</f>
        <v/>
      </c>
      <c r="N209" s="320" t="str">
        <f>IF(E209="","",IF(ISNA(VLOOKUP($E209,'A-1 On-Site Habitat Baseline'!$D$1:$X$258,14,FALSE)),"",(VLOOKUP($E209,'A-1 On-Site Habitat Baseline'!$D$1:$X$258,14,FALSE))))</f>
        <v/>
      </c>
      <c r="O209" s="314" t="str">
        <f>IF(E209="","",IF(ISNA(VLOOKUP($E209,'A-1 On-Site Habitat Baseline'!$D$1:$X$258,16,FALSE)),"",(VLOOKUP($E209,'A-1 On-Site Habitat Baseline'!$D$1:$X$258,13,FALSE))))</f>
        <v/>
      </c>
      <c r="P209" s="161" t="str">
        <f>IFERROR(INDEX('G-1 All Habitats'!$AG$49:$AG$63,MATCH(Q209,'G-1 All Habitats'!$AF$27:$AF$41,0)),"")</f>
        <v/>
      </c>
      <c r="Q209" s="162" t="str">
        <f t="shared" si="35"/>
        <v/>
      </c>
      <c r="R209" s="162"/>
      <c r="S209" s="252" t="str">
        <f>IFERROR(INDEX('G-1 All Habitats'!$B$3:$B$135,MATCH(R209,'G-1 All Habitats'!$A$3:$A$135,0)),"")</f>
        <v/>
      </c>
      <c r="T209" s="290" t="str">
        <f t="shared" si="36"/>
        <v/>
      </c>
      <c r="U209" s="291" t="str">
        <f t="shared" si="37"/>
        <v/>
      </c>
      <c r="V209" s="325" t="str">
        <f t="shared" si="33"/>
        <v/>
      </c>
      <c r="W209" s="310" t="str">
        <f>IF(S209="","",VLOOKUP(S209,'G-1 All Habitats'!$B$2:$M$135,10,FALSE))</f>
        <v/>
      </c>
      <c r="X209" s="310" t="str">
        <f>IFERROR(VLOOKUP(W209,'G-1 All Habitats'!$V$3:$W$7,2,FALSE),"")</f>
        <v/>
      </c>
      <c r="Y209" s="45"/>
      <c r="Z209" s="314" t="str">
        <f>IFERROR(INDEX('G-8 Condition Look up'!$A$3:$H$135,MATCH(S209,'G-8 Condition Look up'!$A$3:$A$135,0),MATCH(Y209,'G-8 Condition Look up'!$A$3:$H$3,0)),"")</f>
        <v/>
      </c>
      <c r="AA209" s="38"/>
      <c r="AB209" s="310" t="str">
        <f>IF(AA209="","",IF(VLOOKUP(AA209,'G-3 Multipliers'!$L$3:$N$6,2,FALSE)=0,"Spatial Data Missing ⚠",VLOOKUP(AA209,'G-3 Multipliers'!$L$3:$N$6,2,FALSE)))</f>
        <v/>
      </c>
      <c r="AC209" s="314" t="str">
        <f>IF(AA209="","",IF(VLOOKUP(AA209,'G-3 Multipliers'!$L$3:$N$6,3,FALSE)=0,"Spatial Data Missing ⚠",VLOOKUP(AA209,'G-3 Multipliers'!$L$3:$N$6,3,FALSE)))</f>
        <v/>
      </c>
      <c r="AD209" s="327" t="str">
        <f t="shared" si="34"/>
        <v/>
      </c>
      <c r="AE209" s="47"/>
      <c r="AF209" s="47"/>
      <c r="AG209" s="298" t="str">
        <f t="shared" si="38"/>
        <v/>
      </c>
      <c r="AH209" s="311" t="str">
        <f t="shared" si="39"/>
        <v/>
      </c>
      <c r="AI209" s="312" t="str">
        <f>IF(AH209="Check Data","Check Data",IFERROR(VLOOKUP(AH209,'G-4 Temporal multipliers'!$A$4:$C$36,3,FALSE),""))</f>
        <v/>
      </c>
      <c r="AJ209" s="290" t="str">
        <f>IF(S209="","",VLOOKUP(S209,'G-3 Multipliers'!$A$2:$E$134,4,FALSE))</f>
        <v/>
      </c>
      <c r="AK209" s="298" t="str">
        <f t="shared" si="40"/>
        <v/>
      </c>
      <c r="AL209" s="298" t="str">
        <f t="shared" si="41"/>
        <v/>
      </c>
      <c r="AM209" s="328" t="str">
        <f>IFERROR(IF(F209="","",IF(AH209="Check Data ⚠","Check Data ⚠",VLOOKUP(AL209, 'G-3 Multipliers'!$P$2:$Q$6,2,FALSE))),"")</f>
        <v/>
      </c>
      <c r="AN209" s="304" t="str">
        <f t="shared" si="42"/>
        <v/>
      </c>
      <c r="AO209" s="163"/>
      <c r="AP209" s="164"/>
      <c r="AQ209" s="101"/>
      <c r="AT209" s="20" t="str">
        <f t="shared" si="43"/>
        <v>No</v>
      </c>
      <c r="AU209" s="20" t="str">
        <f>IF(E209="","",IF(ISNA(VLOOKUP($E209,'A-1 On-Site Habitat Baseline'!$D$1:$AV$258,4,FALSE)),"",(VLOOKUP($E209,'A-1 On-Site Habitat Baseline'!$D$1:$AV$258,4,FALSE))))</f>
        <v/>
      </c>
    </row>
    <row r="210" spans="1:47" x14ac:dyDescent="0.3">
      <c r="A210" s="20" t="str">
        <f>IF(E210="","",IF(ISNA(VLOOKUP($E210,'A-1 On-Site Habitat Baseline'!$D$1:$O$258,2,FALSE)),"",(VLOOKUP($E210,'A-1 On-Site Habitat Baseline'!$D$1:$O$258,2,FALSE))))</f>
        <v/>
      </c>
      <c r="B210" s="20" t="str">
        <f>IF(E210="","",IF(ISNA(VLOOKUP($E210,'A-1 On-Site Habitat Baseline'!$D$1:$O$258,3,FALSE)),"",(VLOOKUP($E210,'A-1 On-Site Habitat Baseline'!$D$1:$O$258,3,FALSE))))</f>
        <v/>
      </c>
      <c r="C210" s="20" t="str">
        <f>IFERROR(INDEX('G-8 Condition Look up'!$I$4:$I$135,MATCH(S210,'G-8 Condition Look up'!$A$4:$A$135,0)),"")</f>
        <v/>
      </c>
      <c r="E210" s="319" t="str">
        <f>'A-1 On-Site Habitat Baseline'!AL209</f>
        <v/>
      </c>
      <c r="F210" s="310" t="str">
        <f>IF(E210="","",IF(ISNA(VLOOKUP($E210,'A-1 On-Site Habitat Baseline'!$D$1:$AV$258,45,FALSE)),"",(VLOOKUP($E210,'A-1 On-Site Habitat Baseline'!$D$1:$AV$258,45,FALSE))))</f>
        <v/>
      </c>
      <c r="G210" s="310" t="str">
        <f>IF(E210="","",IF(ISNA(VLOOKUP($E210,'A-1 On-Site Habitat Baseline'!$D$1:$O$258,5,FALSE)),"",(VLOOKUP($E210,'A-1 On-Site Habitat Baseline'!$D$1:$O$258,5,FALSE))))</f>
        <v/>
      </c>
      <c r="H210" s="310" t="str">
        <f>IF(E210="","",IF(ISNA(VLOOKUP($E210,'A-1 On-Site Habitat Baseline'!$D$1:$O$258,6,FALSE)),"",(VLOOKUP($E210,'A-1 On-Site Habitat Baseline'!$D$1:$O$258,6,FALSE))))</f>
        <v/>
      </c>
      <c r="I210" s="310" t="str">
        <f>IF(E210="","",IF(ISNA(VLOOKUP($E210,'A-1 On-Site Habitat Baseline'!$D$1:$O$258,7,FALSE)),"",(VLOOKUP($E210,'A-1 On-Site Habitat Baseline'!$D$1:$O$258,7,FALSE))))</f>
        <v/>
      </c>
      <c r="J210" s="310" t="str">
        <f>IF(E210="","",IF(ISNA(VLOOKUP($E210,'A-1 On-Site Habitat Baseline'!$D$1:$O$258,8,FALSE)),"",(VLOOKUP($E210,'A-1 On-Site Habitat Baseline'!$D$1:$O$258,8,FALSE))))</f>
        <v/>
      </c>
      <c r="K210" s="310" t="str">
        <f>IF(E210="","",IF(ISNA(VLOOKUP($E210,'A-1 On-Site Habitat Baseline'!$D$1:$O$258,9,FALSE)),"",(VLOOKUP($E210,'A-1 On-Site Habitat Baseline'!$D$1:$O$258,9,FALSE))))</f>
        <v/>
      </c>
      <c r="L210" s="310" t="str">
        <f>IF(E210="","",IF(ISNA(VLOOKUP($E210,'A-1 On-Site Habitat Baseline'!$D$1:$O$258,11,FALSE)),"",(VLOOKUP($E210,'A-1 On-Site Habitat Baseline'!$D$1:$O$258,11,FALSE))))</f>
        <v/>
      </c>
      <c r="M210" s="310" t="str">
        <f>IF(E210="","",IF(ISNA(VLOOKUP($E210,'A-1 On-Site Habitat Baseline'!$D$1:$O$258,12,FALSE)),"",(VLOOKUP($E210,'A-1 On-Site Habitat Baseline'!$D$1:$O$258,12,FALSE))))</f>
        <v/>
      </c>
      <c r="N210" s="320" t="str">
        <f>IF(E210="","",IF(ISNA(VLOOKUP($E210,'A-1 On-Site Habitat Baseline'!$D$1:$X$258,14,FALSE)),"",(VLOOKUP($E210,'A-1 On-Site Habitat Baseline'!$D$1:$X$258,14,FALSE))))</f>
        <v/>
      </c>
      <c r="O210" s="314" t="str">
        <f>IF(E210="","",IF(ISNA(VLOOKUP($E210,'A-1 On-Site Habitat Baseline'!$D$1:$X$258,16,FALSE)),"",(VLOOKUP($E210,'A-1 On-Site Habitat Baseline'!$D$1:$X$258,13,FALSE))))</f>
        <v/>
      </c>
      <c r="P210" s="161" t="str">
        <f>IFERROR(INDEX('G-1 All Habitats'!$AG$49:$AG$63,MATCH(Q210,'G-1 All Habitats'!$AF$27:$AF$41,0)),"")</f>
        <v/>
      </c>
      <c r="Q210" s="162" t="str">
        <f t="shared" si="35"/>
        <v/>
      </c>
      <c r="R210" s="162"/>
      <c r="S210" s="252" t="str">
        <f>IFERROR(INDEX('G-1 All Habitats'!$B$3:$B$135,MATCH(R210,'G-1 All Habitats'!$A$3:$A$135,0)),"")</f>
        <v/>
      </c>
      <c r="T210" s="290" t="str">
        <f t="shared" si="36"/>
        <v/>
      </c>
      <c r="U210" s="291" t="str">
        <f t="shared" si="37"/>
        <v/>
      </c>
      <c r="V210" s="325" t="str">
        <f t="shared" si="33"/>
        <v/>
      </c>
      <c r="W210" s="310" t="str">
        <f>IF(S210="","",VLOOKUP(S210,'G-1 All Habitats'!$B$2:$M$135,10,FALSE))</f>
        <v/>
      </c>
      <c r="X210" s="310" t="str">
        <f>IFERROR(VLOOKUP(W210,'G-1 All Habitats'!$V$3:$W$7,2,FALSE),"")</f>
        <v/>
      </c>
      <c r="Y210" s="45"/>
      <c r="Z210" s="314" t="str">
        <f>IFERROR(INDEX('G-8 Condition Look up'!$A$3:$H$135,MATCH(S210,'G-8 Condition Look up'!$A$3:$A$135,0),MATCH(Y210,'G-8 Condition Look up'!$A$3:$H$3,0)),"")</f>
        <v/>
      </c>
      <c r="AA210" s="38"/>
      <c r="AB210" s="310" t="str">
        <f>IF(AA210="","",IF(VLOOKUP(AA210,'G-3 Multipliers'!$L$3:$N$6,2,FALSE)=0,"Spatial Data Missing ⚠",VLOOKUP(AA210,'G-3 Multipliers'!$L$3:$N$6,2,FALSE)))</f>
        <v/>
      </c>
      <c r="AC210" s="314" t="str">
        <f>IF(AA210="","",IF(VLOOKUP(AA210,'G-3 Multipliers'!$L$3:$N$6,3,FALSE)=0,"Spatial Data Missing ⚠",VLOOKUP(AA210,'G-3 Multipliers'!$L$3:$N$6,3,FALSE)))</f>
        <v/>
      </c>
      <c r="AD210" s="327" t="str">
        <f t="shared" si="34"/>
        <v/>
      </c>
      <c r="AE210" s="47"/>
      <c r="AF210" s="47"/>
      <c r="AG210" s="298" t="str">
        <f t="shared" si="38"/>
        <v/>
      </c>
      <c r="AH210" s="311" t="str">
        <f t="shared" si="39"/>
        <v/>
      </c>
      <c r="AI210" s="312" t="str">
        <f>IF(AH210="Check Data","Check Data",IFERROR(VLOOKUP(AH210,'G-4 Temporal multipliers'!$A$4:$C$36,3,FALSE),""))</f>
        <v/>
      </c>
      <c r="AJ210" s="290" t="str">
        <f>IF(S210="","",VLOOKUP(S210,'G-3 Multipliers'!$A$2:$E$134,4,FALSE))</f>
        <v/>
      </c>
      <c r="AK210" s="298" t="str">
        <f t="shared" si="40"/>
        <v/>
      </c>
      <c r="AL210" s="298" t="str">
        <f t="shared" si="41"/>
        <v/>
      </c>
      <c r="AM210" s="328" t="str">
        <f>IFERROR(IF(F210="","",IF(AH210="Check Data ⚠","Check Data ⚠",VLOOKUP(AL210, 'G-3 Multipliers'!$P$2:$Q$6,2,FALSE))),"")</f>
        <v/>
      </c>
      <c r="AN210" s="304" t="str">
        <f t="shared" si="42"/>
        <v/>
      </c>
      <c r="AO210" s="163"/>
      <c r="AP210" s="164"/>
      <c r="AQ210" s="101"/>
      <c r="AT210" s="20" t="str">
        <f t="shared" si="43"/>
        <v>No</v>
      </c>
      <c r="AU210" s="20" t="str">
        <f>IF(E210="","",IF(ISNA(VLOOKUP($E210,'A-1 On-Site Habitat Baseline'!$D$1:$AV$258,4,FALSE)),"",(VLOOKUP($E210,'A-1 On-Site Habitat Baseline'!$D$1:$AV$258,4,FALSE))))</f>
        <v/>
      </c>
    </row>
    <row r="211" spans="1:47" x14ac:dyDescent="0.3">
      <c r="A211" s="20" t="str">
        <f>IF(E211="","",IF(ISNA(VLOOKUP($E211,'A-1 On-Site Habitat Baseline'!$D$1:$O$258,2,FALSE)),"",(VLOOKUP($E211,'A-1 On-Site Habitat Baseline'!$D$1:$O$258,2,FALSE))))</f>
        <v/>
      </c>
      <c r="B211" s="20" t="str">
        <f>IF(E211="","",IF(ISNA(VLOOKUP($E211,'A-1 On-Site Habitat Baseline'!$D$1:$O$258,3,FALSE)),"",(VLOOKUP($E211,'A-1 On-Site Habitat Baseline'!$D$1:$O$258,3,FALSE))))</f>
        <v/>
      </c>
      <c r="C211" s="20" t="str">
        <f>IFERROR(INDEX('G-8 Condition Look up'!$I$4:$I$135,MATCH(S211,'G-8 Condition Look up'!$A$4:$A$135,0)),"")</f>
        <v/>
      </c>
      <c r="E211" s="319" t="str">
        <f>'A-1 On-Site Habitat Baseline'!AL210</f>
        <v/>
      </c>
      <c r="F211" s="310" t="str">
        <f>IF(E211="","",IF(ISNA(VLOOKUP($E211,'A-1 On-Site Habitat Baseline'!$D$1:$AV$258,45,FALSE)),"",(VLOOKUP($E211,'A-1 On-Site Habitat Baseline'!$D$1:$AV$258,45,FALSE))))</f>
        <v/>
      </c>
      <c r="G211" s="310" t="str">
        <f>IF(E211="","",IF(ISNA(VLOOKUP($E211,'A-1 On-Site Habitat Baseline'!$D$1:$O$258,5,FALSE)),"",(VLOOKUP($E211,'A-1 On-Site Habitat Baseline'!$D$1:$O$258,5,FALSE))))</f>
        <v/>
      </c>
      <c r="H211" s="310" t="str">
        <f>IF(E211="","",IF(ISNA(VLOOKUP($E211,'A-1 On-Site Habitat Baseline'!$D$1:$O$258,6,FALSE)),"",(VLOOKUP($E211,'A-1 On-Site Habitat Baseline'!$D$1:$O$258,6,FALSE))))</f>
        <v/>
      </c>
      <c r="I211" s="310" t="str">
        <f>IF(E211="","",IF(ISNA(VLOOKUP($E211,'A-1 On-Site Habitat Baseline'!$D$1:$O$258,7,FALSE)),"",(VLOOKUP($E211,'A-1 On-Site Habitat Baseline'!$D$1:$O$258,7,FALSE))))</f>
        <v/>
      </c>
      <c r="J211" s="310" t="str">
        <f>IF(E211="","",IF(ISNA(VLOOKUP($E211,'A-1 On-Site Habitat Baseline'!$D$1:$O$258,8,FALSE)),"",(VLOOKUP($E211,'A-1 On-Site Habitat Baseline'!$D$1:$O$258,8,FALSE))))</f>
        <v/>
      </c>
      <c r="K211" s="310" t="str">
        <f>IF(E211="","",IF(ISNA(VLOOKUP($E211,'A-1 On-Site Habitat Baseline'!$D$1:$O$258,9,FALSE)),"",(VLOOKUP($E211,'A-1 On-Site Habitat Baseline'!$D$1:$O$258,9,FALSE))))</f>
        <v/>
      </c>
      <c r="L211" s="310" t="str">
        <f>IF(E211="","",IF(ISNA(VLOOKUP($E211,'A-1 On-Site Habitat Baseline'!$D$1:$O$258,11,FALSE)),"",(VLOOKUP($E211,'A-1 On-Site Habitat Baseline'!$D$1:$O$258,11,FALSE))))</f>
        <v/>
      </c>
      <c r="M211" s="310" t="str">
        <f>IF(E211="","",IF(ISNA(VLOOKUP($E211,'A-1 On-Site Habitat Baseline'!$D$1:$O$258,12,FALSE)),"",(VLOOKUP($E211,'A-1 On-Site Habitat Baseline'!$D$1:$O$258,12,FALSE))))</f>
        <v/>
      </c>
      <c r="N211" s="320" t="str">
        <f>IF(E211="","",IF(ISNA(VLOOKUP($E211,'A-1 On-Site Habitat Baseline'!$D$1:$X$258,14,FALSE)),"",(VLOOKUP($E211,'A-1 On-Site Habitat Baseline'!$D$1:$X$258,14,FALSE))))</f>
        <v/>
      </c>
      <c r="O211" s="314" t="str">
        <f>IF(E211="","",IF(ISNA(VLOOKUP($E211,'A-1 On-Site Habitat Baseline'!$D$1:$X$258,16,FALSE)),"",(VLOOKUP($E211,'A-1 On-Site Habitat Baseline'!$D$1:$X$258,13,FALSE))))</f>
        <v/>
      </c>
      <c r="P211" s="161" t="str">
        <f>IFERROR(INDEX('G-1 All Habitats'!$AG$49:$AG$63,MATCH(Q211,'G-1 All Habitats'!$AF$27:$AF$41,0)),"")</f>
        <v/>
      </c>
      <c r="Q211" s="162" t="str">
        <f t="shared" si="35"/>
        <v/>
      </c>
      <c r="R211" s="162"/>
      <c r="S211" s="252" t="str">
        <f>IFERROR(INDEX('G-1 All Habitats'!$B$3:$B$135,MATCH(R211,'G-1 All Habitats'!$A$3:$A$135,0)),"")</f>
        <v/>
      </c>
      <c r="T211" s="290" t="str">
        <f t="shared" si="36"/>
        <v/>
      </c>
      <c r="U211" s="291" t="str">
        <f t="shared" si="37"/>
        <v/>
      </c>
      <c r="V211" s="325" t="str">
        <f t="shared" si="33"/>
        <v/>
      </c>
      <c r="W211" s="310" t="str">
        <f>IF(S211="","",VLOOKUP(S211,'G-1 All Habitats'!$B$2:$M$135,10,FALSE))</f>
        <v/>
      </c>
      <c r="X211" s="310" t="str">
        <f>IFERROR(VLOOKUP(W211,'G-1 All Habitats'!$V$3:$W$7,2,FALSE),"")</f>
        <v/>
      </c>
      <c r="Y211" s="45"/>
      <c r="Z211" s="314" t="str">
        <f>IFERROR(INDEX('G-8 Condition Look up'!$A$3:$H$135,MATCH(S211,'G-8 Condition Look up'!$A$3:$A$135,0),MATCH(Y211,'G-8 Condition Look up'!$A$3:$H$3,0)),"")</f>
        <v/>
      </c>
      <c r="AA211" s="38"/>
      <c r="AB211" s="310" t="str">
        <f>IF(AA211="","",IF(VLOOKUP(AA211,'G-3 Multipliers'!$L$3:$N$6,2,FALSE)=0,"Spatial Data Missing ⚠",VLOOKUP(AA211,'G-3 Multipliers'!$L$3:$N$6,2,FALSE)))</f>
        <v/>
      </c>
      <c r="AC211" s="314" t="str">
        <f>IF(AA211="","",IF(VLOOKUP(AA211,'G-3 Multipliers'!$L$3:$N$6,3,FALSE)=0,"Spatial Data Missing ⚠",VLOOKUP(AA211,'G-3 Multipliers'!$L$3:$N$6,3,FALSE)))</f>
        <v/>
      </c>
      <c r="AD211" s="327" t="str">
        <f t="shared" si="34"/>
        <v/>
      </c>
      <c r="AE211" s="47"/>
      <c r="AF211" s="47"/>
      <c r="AG211" s="298" t="str">
        <f t="shared" si="38"/>
        <v/>
      </c>
      <c r="AH211" s="311" t="str">
        <f t="shared" si="39"/>
        <v/>
      </c>
      <c r="AI211" s="312" t="str">
        <f>IF(AH211="Check Data","Check Data",IFERROR(VLOOKUP(AH211,'G-4 Temporal multipliers'!$A$4:$C$36,3,FALSE),""))</f>
        <v/>
      </c>
      <c r="AJ211" s="290" t="str">
        <f>IF(S211="","",VLOOKUP(S211,'G-3 Multipliers'!$A$2:$E$134,4,FALSE))</f>
        <v/>
      </c>
      <c r="AK211" s="298" t="str">
        <f t="shared" si="40"/>
        <v/>
      </c>
      <c r="AL211" s="298" t="str">
        <f t="shared" si="41"/>
        <v/>
      </c>
      <c r="AM211" s="328" t="str">
        <f>IFERROR(IF(F211="","",IF(AH211="Check Data ⚠","Check Data ⚠",VLOOKUP(AL211, 'G-3 Multipliers'!$P$2:$Q$6,2,FALSE))),"")</f>
        <v/>
      </c>
      <c r="AN211" s="304" t="str">
        <f t="shared" si="42"/>
        <v/>
      </c>
      <c r="AO211" s="163"/>
      <c r="AP211" s="164"/>
      <c r="AQ211" s="101"/>
      <c r="AT211" s="20" t="str">
        <f t="shared" si="43"/>
        <v>No</v>
      </c>
      <c r="AU211" s="20" t="str">
        <f>IF(E211="","",IF(ISNA(VLOOKUP($E211,'A-1 On-Site Habitat Baseline'!$D$1:$AV$258,4,FALSE)),"",(VLOOKUP($E211,'A-1 On-Site Habitat Baseline'!$D$1:$AV$258,4,FALSE))))</f>
        <v/>
      </c>
    </row>
    <row r="212" spans="1:47" x14ac:dyDescent="0.3">
      <c r="A212" s="20" t="str">
        <f>IF(E212="","",IF(ISNA(VLOOKUP($E212,'A-1 On-Site Habitat Baseline'!$D$1:$O$258,2,FALSE)),"",(VLOOKUP($E212,'A-1 On-Site Habitat Baseline'!$D$1:$O$258,2,FALSE))))</f>
        <v/>
      </c>
      <c r="B212" s="20" t="str">
        <f>IF(E212="","",IF(ISNA(VLOOKUP($E212,'A-1 On-Site Habitat Baseline'!$D$1:$O$258,3,FALSE)),"",(VLOOKUP($E212,'A-1 On-Site Habitat Baseline'!$D$1:$O$258,3,FALSE))))</f>
        <v/>
      </c>
      <c r="C212" s="20" t="str">
        <f>IFERROR(INDEX('G-8 Condition Look up'!$I$4:$I$135,MATCH(S212,'G-8 Condition Look up'!$A$4:$A$135,0)),"")</f>
        <v/>
      </c>
      <c r="E212" s="319" t="str">
        <f>'A-1 On-Site Habitat Baseline'!AL211</f>
        <v/>
      </c>
      <c r="F212" s="310" t="str">
        <f>IF(E212="","",IF(ISNA(VLOOKUP($E212,'A-1 On-Site Habitat Baseline'!$D$1:$AV$258,45,FALSE)),"",(VLOOKUP($E212,'A-1 On-Site Habitat Baseline'!$D$1:$AV$258,45,FALSE))))</f>
        <v/>
      </c>
      <c r="G212" s="310" t="str">
        <f>IF(E212="","",IF(ISNA(VLOOKUP($E212,'A-1 On-Site Habitat Baseline'!$D$1:$O$258,5,FALSE)),"",(VLOOKUP($E212,'A-1 On-Site Habitat Baseline'!$D$1:$O$258,5,FALSE))))</f>
        <v/>
      </c>
      <c r="H212" s="310" t="str">
        <f>IF(E212="","",IF(ISNA(VLOOKUP($E212,'A-1 On-Site Habitat Baseline'!$D$1:$O$258,6,FALSE)),"",(VLOOKUP($E212,'A-1 On-Site Habitat Baseline'!$D$1:$O$258,6,FALSE))))</f>
        <v/>
      </c>
      <c r="I212" s="310" t="str">
        <f>IF(E212="","",IF(ISNA(VLOOKUP($E212,'A-1 On-Site Habitat Baseline'!$D$1:$O$258,7,FALSE)),"",(VLOOKUP($E212,'A-1 On-Site Habitat Baseline'!$D$1:$O$258,7,FALSE))))</f>
        <v/>
      </c>
      <c r="J212" s="310" t="str">
        <f>IF(E212="","",IF(ISNA(VLOOKUP($E212,'A-1 On-Site Habitat Baseline'!$D$1:$O$258,8,FALSE)),"",(VLOOKUP($E212,'A-1 On-Site Habitat Baseline'!$D$1:$O$258,8,FALSE))))</f>
        <v/>
      </c>
      <c r="K212" s="310" t="str">
        <f>IF(E212="","",IF(ISNA(VLOOKUP($E212,'A-1 On-Site Habitat Baseline'!$D$1:$O$258,9,FALSE)),"",(VLOOKUP($E212,'A-1 On-Site Habitat Baseline'!$D$1:$O$258,9,FALSE))))</f>
        <v/>
      </c>
      <c r="L212" s="310" t="str">
        <f>IF(E212="","",IF(ISNA(VLOOKUP($E212,'A-1 On-Site Habitat Baseline'!$D$1:$O$258,11,FALSE)),"",(VLOOKUP($E212,'A-1 On-Site Habitat Baseline'!$D$1:$O$258,11,FALSE))))</f>
        <v/>
      </c>
      <c r="M212" s="310" t="str">
        <f>IF(E212="","",IF(ISNA(VLOOKUP($E212,'A-1 On-Site Habitat Baseline'!$D$1:$O$258,12,FALSE)),"",(VLOOKUP($E212,'A-1 On-Site Habitat Baseline'!$D$1:$O$258,12,FALSE))))</f>
        <v/>
      </c>
      <c r="N212" s="320" t="str">
        <f>IF(E212="","",IF(ISNA(VLOOKUP($E212,'A-1 On-Site Habitat Baseline'!$D$1:$X$258,14,FALSE)),"",(VLOOKUP($E212,'A-1 On-Site Habitat Baseline'!$D$1:$X$258,14,FALSE))))</f>
        <v/>
      </c>
      <c r="O212" s="314" t="str">
        <f>IF(E212="","",IF(ISNA(VLOOKUP($E212,'A-1 On-Site Habitat Baseline'!$D$1:$X$258,16,FALSE)),"",(VLOOKUP($E212,'A-1 On-Site Habitat Baseline'!$D$1:$X$258,13,FALSE))))</f>
        <v/>
      </c>
      <c r="P212" s="161" t="str">
        <f>IFERROR(INDEX('G-1 All Habitats'!$AG$49:$AG$63,MATCH(Q212,'G-1 All Habitats'!$AF$27:$AF$41,0)),"")</f>
        <v/>
      </c>
      <c r="Q212" s="162" t="str">
        <f t="shared" si="35"/>
        <v/>
      </c>
      <c r="R212" s="162"/>
      <c r="S212" s="252" t="str">
        <f>IFERROR(INDEX('G-1 All Habitats'!$B$3:$B$135,MATCH(R212,'G-1 All Habitats'!$A$3:$A$135,0)),"")</f>
        <v/>
      </c>
      <c r="T212" s="290" t="str">
        <f t="shared" si="36"/>
        <v/>
      </c>
      <c r="U212" s="291" t="str">
        <f t="shared" si="37"/>
        <v/>
      </c>
      <c r="V212" s="325" t="str">
        <f t="shared" si="33"/>
        <v/>
      </c>
      <c r="W212" s="310" t="str">
        <f>IF(S212="","",VLOOKUP(S212,'G-1 All Habitats'!$B$2:$M$135,10,FALSE))</f>
        <v/>
      </c>
      <c r="X212" s="310" t="str">
        <f>IFERROR(VLOOKUP(W212,'G-1 All Habitats'!$V$3:$W$7,2,FALSE),"")</f>
        <v/>
      </c>
      <c r="Y212" s="45"/>
      <c r="Z212" s="314" t="str">
        <f>IFERROR(INDEX('G-8 Condition Look up'!$A$3:$H$135,MATCH(S212,'G-8 Condition Look up'!$A$3:$A$135,0),MATCH(Y212,'G-8 Condition Look up'!$A$3:$H$3,0)),"")</f>
        <v/>
      </c>
      <c r="AA212" s="38"/>
      <c r="AB212" s="310" t="str">
        <f>IF(AA212="","",IF(VLOOKUP(AA212,'G-3 Multipliers'!$L$3:$N$6,2,FALSE)=0,"Spatial Data Missing ⚠",VLOOKUP(AA212,'G-3 Multipliers'!$L$3:$N$6,2,FALSE)))</f>
        <v/>
      </c>
      <c r="AC212" s="314" t="str">
        <f>IF(AA212="","",IF(VLOOKUP(AA212,'G-3 Multipliers'!$L$3:$N$6,3,FALSE)=0,"Spatial Data Missing ⚠",VLOOKUP(AA212,'G-3 Multipliers'!$L$3:$N$6,3,FALSE)))</f>
        <v/>
      </c>
      <c r="AD212" s="327" t="str">
        <f t="shared" si="34"/>
        <v/>
      </c>
      <c r="AE212" s="47"/>
      <c r="AF212" s="47"/>
      <c r="AG212" s="298" t="str">
        <f t="shared" si="38"/>
        <v/>
      </c>
      <c r="AH212" s="311" t="str">
        <f t="shared" si="39"/>
        <v/>
      </c>
      <c r="AI212" s="312" t="str">
        <f>IF(AH212="Check Data","Check Data",IFERROR(VLOOKUP(AH212,'G-4 Temporal multipliers'!$A$4:$C$36,3,FALSE),""))</f>
        <v/>
      </c>
      <c r="AJ212" s="290" t="str">
        <f>IF(S212="","",VLOOKUP(S212,'G-3 Multipliers'!$A$2:$E$134,4,FALSE))</f>
        <v/>
      </c>
      <c r="AK212" s="298" t="str">
        <f t="shared" si="40"/>
        <v/>
      </c>
      <c r="AL212" s="298" t="str">
        <f t="shared" si="41"/>
        <v/>
      </c>
      <c r="AM212" s="328" t="str">
        <f>IFERROR(IF(F212="","",IF(AH212="Check Data ⚠","Check Data ⚠",VLOOKUP(AL212, 'G-3 Multipliers'!$P$2:$Q$6,2,FALSE))),"")</f>
        <v/>
      </c>
      <c r="AN212" s="304" t="str">
        <f t="shared" si="42"/>
        <v/>
      </c>
      <c r="AO212" s="163"/>
      <c r="AP212" s="164"/>
      <c r="AQ212" s="101"/>
      <c r="AT212" s="20" t="str">
        <f t="shared" si="43"/>
        <v>No</v>
      </c>
      <c r="AU212" s="20" t="str">
        <f>IF(E212="","",IF(ISNA(VLOOKUP($E212,'A-1 On-Site Habitat Baseline'!$D$1:$AV$258,4,FALSE)),"",(VLOOKUP($E212,'A-1 On-Site Habitat Baseline'!$D$1:$AV$258,4,FALSE))))</f>
        <v/>
      </c>
    </row>
    <row r="213" spans="1:47" x14ac:dyDescent="0.3">
      <c r="A213" s="20" t="str">
        <f>IF(E213="","",IF(ISNA(VLOOKUP($E213,'A-1 On-Site Habitat Baseline'!$D$1:$O$258,2,FALSE)),"",(VLOOKUP($E213,'A-1 On-Site Habitat Baseline'!$D$1:$O$258,2,FALSE))))</f>
        <v/>
      </c>
      <c r="B213" s="20" t="str">
        <f>IF(E213="","",IF(ISNA(VLOOKUP($E213,'A-1 On-Site Habitat Baseline'!$D$1:$O$258,3,FALSE)),"",(VLOOKUP($E213,'A-1 On-Site Habitat Baseline'!$D$1:$O$258,3,FALSE))))</f>
        <v/>
      </c>
      <c r="C213" s="20" t="str">
        <f>IFERROR(INDEX('G-8 Condition Look up'!$I$4:$I$135,MATCH(S213,'G-8 Condition Look up'!$A$4:$A$135,0)),"")</f>
        <v/>
      </c>
      <c r="E213" s="319" t="str">
        <f>'A-1 On-Site Habitat Baseline'!AL212</f>
        <v/>
      </c>
      <c r="F213" s="310" t="str">
        <f>IF(E213="","",IF(ISNA(VLOOKUP($E213,'A-1 On-Site Habitat Baseline'!$D$1:$AV$258,45,FALSE)),"",(VLOOKUP($E213,'A-1 On-Site Habitat Baseline'!$D$1:$AV$258,45,FALSE))))</f>
        <v/>
      </c>
      <c r="G213" s="310" t="str">
        <f>IF(E213="","",IF(ISNA(VLOOKUP($E213,'A-1 On-Site Habitat Baseline'!$D$1:$O$258,5,FALSE)),"",(VLOOKUP($E213,'A-1 On-Site Habitat Baseline'!$D$1:$O$258,5,FALSE))))</f>
        <v/>
      </c>
      <c r="H213" s="310" t="str">
        <f>IF(E213="","",IF(ISNA(VLOOKUP($E213,'A-1 On-Site Habitat Baseline'!$D$1:$O$258,6,FALSE)),"",(VLOOKUP($E213,'A-1 On-Site Habitat Baseline'!$D$1:$O$258,6,FALSE))))</f>
        <v/>
      </c>
      <c r="I213" s="310" t="str">
        <f>IF(E213="","",IF(ISNA(VLOOKUP($E213,'A-1 On-Site Habitat Baseline'!$D$1:$O$258,7,FALSE)),"",(VLOOKUP($E213,'A-1 On-Site Habitat Baseline'!$D$1:$O$258,7,FALSE))))</f>
        <v/>
      </c>
      <c r="J213" s="310" t="str">
        <f>IF(E213="","",IF(ISNA(VLOOKUP($E213,'A-1 On-Site Habitat Baseline'!$D$1:$O$258,8,FALSE)),"",(VLOOKUP($E213,'A-1 On-Site Habitat Baseline'!$D$1:$O$258,8,FALSE))))</f>
        <v/>
      </c>
      <c r="K213" s="310" t="str">
        <f>IF(E213="","",IF(ISNA(VLOOKUP($E213,'A-1 On-Site Habitat Baseline'!$D$1:$O$258,9,FALSE)),"",(VLOOKUP($E213,'A-1 On-Site Habitat Baseline'!$D$1:$O$258,9,FALSE))))</f>
        <v/>
      </c>
      <c r="L213" s="310" t="str">
        <f>IF(E213="","",IF(ISNA(VLOOKUP($E213,'A-1 On-Site Habitat Baseline'!$D$1:$O$258,11,FALSE)),"",(VLOOKUP($E213,'A-1 On-Site Habitat Baseline'!$D$1:$O$258,11,FALSE))))</f>
        <v/>
      </c>
      <c r="M213" s="310" t="str">
        <f>IF(E213="","",IF(ISNA(VLOOKUP($E213,'A-1 On-Site Habitat Baseline'!$D$1:$O$258,12,FALSE)),"",(VLOOKUP($E213,'A-1 On-Site Habitat Baseline'!$D$1:$O$258,12,FALSE))))</f>
        <v/>
      </c>
      <c r="N213" s="320" t="str">
        <f>IF(E213="","",IF(ISNA(VLOOKUP($E213,'A-1 On-Site Habitat Baseline'!$D$1:$X$258,14,FALSE)),"",(VLOOKUP($E213,'A-1 On-Site Habitat Baseline'!$D$1:$X$258,14,FALSE))))</f>
        <v/>
      </c>
      <c r="O213" s="314" t="str">
        <f>IF(E213="","",IF(ISNA(VLOOKUP($E213,'A-1 On-Site Habitat Baseline'!$D$1:$X$258,16,FALSE)),"",(VLOOKUP($E213,'A-1 On-Site Habitat Baseline'!$D$1:$X$258,13,FALSE))))</f>
        <v/>
      </c>
      <c r="P213" s="161" t="str">
        <f>IFERROR(INDEX('G-1 All Habitats'!$AG$49:$AG$63,MATCH(Q213,'G-1 All Habitats'!$AF$27:$AF$41,0)),"")</f>
        <v/>
      </c>
      <c r="Q213" s="162" t="str">
        <f t="shared" si="35"/>
        <v/>
      </c>
      <c r="R213" s="162"/>
      <c r="S213" s="252" t="str">
        <f>IFERROR(INDEX('G-1 All Habitats'!$B$3:$B$135,MATCH(R213,'G-1 All Habitats'!$A$3:$A$135,0)),"")</f>
        <v/>
      </c>
      <c r="T213" s="290" t="str">
        <f t="shared" si="36"/>
        <v/>
      </c>
      <c r="U213" s="291" t="str">
        <f t="shared" si="37"/>
        <v/>
      </c>
      <c r="V213" s="325" t="str">
        <f t="shared" si="33"/>
        <v/>
      </c>
      <c r="W213" s="310" t="str">
        <f>IF(S213="","",VLOOKUP(S213,'G-1 All Habitats'!$B$2:$M$135,10,FALSE))</f>
        <v/>
      </c>
      <c r="X213" s="310" t="str">
        <f>IFERROR(VLOOKUP(W213,'G-1 All Habitats'!$V$3:$W$7,2,FALSE),"")</f>
        <v/>
      </c>
      <c r="Y213" s="45"/>
      <c r="Z213" s="314" t="str">
        <f>IFERROR(INDEX('G-8 Condition Look up'!$A$3:$H$135,MATCH(S213,'G-8 Condition Look up'!$A$3:$A$135,0),MATCH(Y213,'G-8 Condition Look up'!$A$3:$H$3,0)),"")</f>
        <v/>
      </c>
      <c r="AA213" s="38"/>
      <c r="AB213" s="310" t="str">
        <f>IF(AA213="","",IF(VLOOKUP(AA213,'G-3 Multipliers'!$L$3:$N$6,2,FALSE)=0,"Spatial Data Missing ⚠",VLOOKUP(AA213,'G-3 Multipliers'!$L$3:$N$6,2,FALSE)))</f>
        <v/>
      </c>
      <c r="AC213" s="314" t="str">
        <f>IF(AA213="","",IF(VLOOKUP(AA213,'G-3 Multipliers'!$L$3:$N$6,3,FALSE)=0,"Spatial Data Missing ⚠",VLOOKUP(AA213,'G-3 Multipliers'!$L$3:$N$6,3,FALSE)))</f>
        <v/>
      </c>
      <c r="AD213" s="327" t="str">
        <f t="shared" si="34"/>
        <v/>
      </c>
      <c r="AE213" s="47"/>
      <c r="AF213" s="47"/>
      <c r="AG213" s="298" t="str">
        <f t="shared" si="38"/>
        <v/>
      </c>
      <c r="AH213" s="311" t="str">
        <f t="shared" si="39"/>
        <v/>
      </c>
      <c r="AI213" s="312" t="str">
        <f>IF(AH213="Check Data","Check Data",IFERROR(VLOOKUP(AH213,'G-4 Temporal multipliers'!$A$4:$C$36,3,FALSE),""))</f>
        <v/>
      </c>
      <c r="AJ213" s="290" t="str">
        <f>IF(S213="","",VLOOKUP(S213,'G-3 Multipliers'!$A$2:$E$134,4,FALSE))</f>
        <v/>
      </c>
      <c r="AK213" s="298" t="str">
        <f t="shared" si="40"/>
        <v/>
      </c>
      <c r="AL213" s="298" t="str">
        <f t="shared" si="41"/>
        <v/>
      </c>
      <c r="AM213" s="328" t="str">
        <f>IFERROR(IF(F213="","",IF(AH213="Check Data ⚠","Check Data ⚠",VLOOKUP(AL213, 'G-3 Multipliers'!$P$2:$Q$6,2,FALSE))),"")</f>
        <v/>
      </c>
      <c r="AN213" s="304" t="str">
        <f t="shared" si="42"/>
        <v/>
      </c>
      <c r="AO213" s="163"/>
      <c r="AP213" s="164"/>
      <c r="AQ213" s="101"/>
      <c r="AT213" s="20" t="str">
        <f t="shared" si="43"/>
        <v>No</v>
      </c>
      <c r="AU213" s="20" t="str">
        <f>IF(E213="","",IF(ISNA(VLOOKUP($E213,'A-1 On-Site Habitat Baseline'!$D$1:$AV$258,4,FALSE)),"",(VLOOKUP($E213,'A-1 On-Site Habitat Baseline'!$D$1:$AV$258,4,FALSE))))</f>
        <v/>
      </c>
    </row>
    <row r="214" spans="1:47" x14ac:dyDescent="0.3">
      <c r="A214" s="20" t="str">
        <f>IF(E214="","",IF(ISNA(VLOOKUP($E214,'A-1 On-Site Habitat Baseline'!$D$1:$O$258,2,FALSE)),"",(VLOOKUP($E214,'A-1 On-Site Habitat Baseline'!$D$1:$O$258,2,FALSE))))</f>
        <v/>
      </c>
      <c r="B214" s="20" t="str">
        <f>IF(E214="","",IF(ISNA(VLOOKUP($E214,'A-1 On-Site Habitat Baseline'!$D$1:$O$258,3,FALSE)),"",(VLOOKUP($E214,'A-1 On-Site Habitat Baseline'!$D$1:$O$258,3,FALSE))))</f>
        <v/>
      </c>
      <c r="C214" s="20" t="str">
        <f>IFERROR(INDEX('G-8 Condition Look up'!$I$4:$I$135,MATCH(S214,'G-8 Condition Look up'!$A$4:$A$135,0)),"")</f>
        <v/>
      </c>
      <c r="E214" s="319" t="str">
        <f>'A-1 On-Site Habitat Baseline'!AL213</f>
        <v/>
      </c>
      <c r="F214" s="310" t="str">
        <f>IF(E214="","",IF(ISNA(VLOOKUP($E214,'A-1 On-Site Habitat Baseline'!$D$1:$AV$258,45,FALSE)),"",(VLOOKUP($E214,'A-1 On-Site Habitat Baseline'!$D$1:$AV$258,45,FALSE))))</f>
        <v/>
      </c>
      <c r="G214" s="310" t="str">
        <f>IF(E214="","",IF(ISNA(VLOOKUP($E214,'A-1 On-Site Habitat Baseline'!$D$1:$O$258,5,FALSE)),"",(VLOOKUP($E214,'A-1 On-Site Habitat Baseline'!$D$1:$O$258,5,FALSE))))</f>
        <v/>
      </c>
      <c r="H214" s="310" t="str">
        <f>IF(E214="","",IF(ISNA(VLOOKUP($E214,'A-1 On-Site Habitat Baseline'!$D$1:$O$258,6,FALSE)),"",(VLOOKUP($E214,'A-1 On-Site Habitat Baseline'!$D$1:$O$258,6,FALSE))))</f>
        <v/>
      </c>
      <c r="I214" s="310" t="str">
        <f>IF(E214="","",IF(ISNA(VLOOKUP($E214,'A-1 On-Site Habitat Baseline'!$D$1:$O$258,7,FALSE)),"",(VLOOKUP($E214,'A-1 On-Site Habitat Baseline'!$D$1:$O$258,7,FALSE))))</f>
        <v/>
      </c>
      <c r="J214" s="310" t="str">
        <f>IF(E214="","",IF(ISNA(VLOOKUP($E214,'A-1 On-Site Habitat Baseline'!$D$1:$O$258,8,FALSE)),"",(VLOOKUP($E214,'A-1 On-Site Habitat Baseline'!$D$1:$O$258,8,FALSE))))</f>
        <v/>
      </c>
      <c r="K214" s="310" t="str">
        <f>IF(E214="","",IF(ISNA(VLOOKUP($E214,'A-1 On-Site Habitat Baseline'!$D$1:$O$258,9,FALSE)),"",(VLOOKUP($E214,'A-1 On-Site Habitat Baseline'!$D$1:$O$258,9,FALSE))))</f>
        <v/>
      </c>
      <c r="L214" s="310" t="str">
        <f>IF(E214="","",IF(ISNA(VLOOKUP($E214,'A-1 On-Site Habitat Baseline'!$D$1:$O$258,11,FALSE)),"",(VLOOKUP($E214,'A-1 On-Site Habitat Baseline'!$D$1:$O$258,11,FALSE))))</f>
        <v/>
      </c>
      <c r="M214" s="310" t="str">
        <f>IF(E214="","",IF(ISNA(VLOOKUP($E214,'A-1 On-Site Habitat Baseline'!$D$1:$O$258,12,FALSE)),"",(VLOOKUP($E214,'A-1 On-Site Habitat Baseline'!$D$1:$O$258,12,FALSE))))</f>
        <v/>
      </c>
      <c r="N214" s="320" t="str">
        <f>IF(E214="","",IF(ISNA(VLOOKUP($E214,'A-1 On-Site Habitat Baseline'!$D$1:$X$258,14,FALSE)),"",(VLOOKUP($E214,'A-1 On-Site Habitat Baseline'!$D$1:$X$258,14,FALSE))))</f>
        <v/>
      </c>
      <c r="O214" s="314" t="str">
        <f>IF(E214="","",IF(ISNA(VLOOKUP($E214,'A-1 On-Site Habitat Baseline'!$D$1:$X$258,16,FALSE)),"",(VLOOKUP($E214,'A-1 On-Site Habitat Baseline'!$D$1:$X$258,13,FALSE))))</f>
        <v/>
      </c>
      <c r="P214" s="161" t="str">
        <f>IFERROR(INDEX('G-1 All Habitats'!$AG$49:$AG$63,MATCH(Q214,'G-1 All Habitats'!$AF$27:$AF$41,0)),"")</f>
        <v/>
      </c>
      <c r="Q214" s="162" t="str">
        <f t="shared" si="35"/>
        <v/>
      </c>
      <c r="R214" s="162"/>
      <c r="S214" s="252" t="str">
        <f>IFERROR(INDEX('G-1 All Habitats'!$B$3:$B$135,MATCH(R214,'G-1 All Habitats'!$A$3:$A$135,0)),"")</f>
        <v/>
      </c>
      <c r="T214" s="290" t="str">
        <f t="shared" si="36"/>
        <v/>
      </c>
      <c r="U214" s="291" t="str">
        <f t="shared" si="37"/>
        <v/>
      </c>
      <c r="V214" s="325" t="str">
        <f t="shared" si="33"/>
        <v/>
      </c>
      <c r="W214" s="310" t="str">
        <f>IF(S214="","",VLOOKUP(S214,'G-1 All Habitats'!$B$2:$M$135,10,FALSE))</f>
        <v/>
      </c>
      <c r="X214" s="310" t="str">
        <f>IFERROR(VLOOKUP(W214,'G-1 All Habitats'!$V$3:$W$7,2,FALSE),"")</f>
        <v/>
      </c>
      <c r="Y214" s="45"/>
      <c r="Z214" s="314" t="str">
        <f>IFERROR(INDEX('G-8 Condition Look up'!$A$3:$H$135,MATCH(S214,'G-8 Condition Look up'!$A$3:$A$135,0),MATCH(Y214,'G-8 Condition Look up'!$A$3:$H$3,0)),"")</f>
        <v/>
      </c>
      <c r="AA214" s="38"/>
      <c r="AB214" s="310" t="str">
        <f>IF(AA214="","",IF(VLOOKUP(AA214,'G-3 Multipliers'!$L$3:$N$6,2,FALSE)=0,"Spatial Data Missing ⚠",VLOOKUP(AA214,'G-3 Multipliers'!$L$3:$N$6,2,FALSE)))</f>
        <v/>
      </c>
      <c r="AC214" s="314" t="str">
        <f>IF(AA214="","",IF(VLOOKUP(AA214,'G-3 Multipliers'!$L$3:$N$6,3,FALSE)=0,"Spatial Data Missing ⚠",VLOOKUP(AA214,'G-3 Multipliers'!$L$3:$N$6,3,FALSE)))</f>
        <v/>
      </c>
      <c r="AD214" s="327" t="str">
        <f t="shared" si="34"/>
        <v/>
      </c>
      <c r="AE214" s="47"/>
      <c r="AF214" s="47"/>
      <c r="AG214" s="298" t="str">
        <f t="shared" si="38"/>
        <v/>
      </c>
      <c r="AH214" s="311" t="str">
        <f t="shared" si="39"/>
        <v/>
      </c>
      <c r="AI214" s="312" t="str">
        <f>IF(AH214="Check Data","Check Data",IFERROR(VLOOKUP(AH214,'G-4 Temporal multipliers'!$A$4:$C$36,3,FALSE),""))</f>
        <v/>
      </c>
      <c r="AJ214" s="290" t="str">
        <f>IF(S214="","",VLOOKUP(S214,'G-3 Multipliers'!$A$2:$E$134,4,FALSE))</f>
        <v/>
      </c>
      <c r="AK214" s="298" t="str">
        <f t="shared" si="40"/>
        <v/>
      </c>
      <c r="AL214" s="298" t="str">
        <f t="shared" si="41"/>
        <v/>
      </c>
      <c r="AM214" s="328" t="str">
        <f>IFERROR(IF(F214="","",IF(AH214="Check Data ⚠","Check Data ⚠",VLOOKUP(AL214, 'G-3 Multipliers'!$P$2:$Q$6,2,FALSE))),"")</f>
        <v/>
      </c>
      <c r="AN214" s="304" t="str">
        <f t="shared" si="42"/>
        <v/>
      </c>
      <c r="AO214" s="163"/>
      <c r="AP214" s="164"/>
      <c r="AQ214" s="101"/>
      <c r="AT214" s="20" t="str">
        <f t="shared" si="43"/>
        <v>No</v>
      </c>
      <c r="AU214" s="20" t="str">
        <f>IF(E214="","",IF(ISNA(VLOOKUP($E214,'A-1 On-Site Habitat Baseline'!$D$1:$AV$258,4,FALSE)),"",(VLOOKUP($E214,'A-1 On-Site Habitat Baseline'!$D$1:$AV$258,4,FALSE))))</f>
        <v/>
      </c>
    </row>
    <row r="215" spans="1:47" x14ac:dyDescent="0.3">
      <c r="A215" s="20" t="str">
        <f>IF(E215="","",IF(ISNA(VLOOKUP($E215,'A-1 On-Site Habitat Baseline'!$D$1:$O$258,2,FALSE)),"",(VLOOKUP($E215,'A-1 On-Site Habitat Baseline'!$D$1:$O$258,2,FALSE))))</f>
        <v/>
      </c>
      <c r="B215" s="20" t="str">
        <f>IF(E215="","",IF(ISNA(VLOOKUP($E215,'A-1 On-Site Habitat Baseline'!$D$1:$O$258,3,FALSE)),"",(VLOOKUP($E215,'A-1 On-Site Habitat Baseline'!$D$1:$O$258,3,FALSE))))</f>
        <v/>
      </c>
      <c r="C215" s="20" t="str">
        <f>IFERROR(INDEX('G-8 Condition Look up'!$I$4:$I$135,MATCH(S215,'G-8 Condition Look up'!$A$4:$A$135,0)),"")</f>
        <v/>
      </c>
      <c r="E215" s="319" t="str">
        <f>'A-1 On-Site Habitat Baseline'!AL214</f>
        <v/>
      </c>
      <c r="F215" s="310" t="str">
        <f>IF(E215="","",IF(ISNA(VLOOKUP($E215,'A-1 On-Site Habitat Baseline'!$D$1:$AV$258,45,FALSE)),"",(VLOOKUP($E215,'A-1 On-Site Habitat Baseline'!$D$1:$AV$258,45,FALSE))))</f>
        <v/>
      </c>
      <c r="G215" s="310" t="str">
        <f>IF(E215="","",IF(ISNA(VLOOKUP($E215,'A-1 On-Site Habitat Baseline'!$D$1:$O$258,5,FALSE)),"",(VLOOKUP($E215,'A-1 On-Site Habitat Baseline'!$D$1:$O$258,5,FALSE))))</f>
        <v/>
      </c>
      <c r="H215" s="310" t="str">
        <f>IF(E215="","",IF(ISNA(VLOOKUP($E215,'A-1 On-Site Habitat Baseline'!$D$1:$O$258,6,FALSE)),"",(VLOOKUP($E215,'A-1 On-Site Habitat Baseline'!$D$1:$O$258,6,FALSE))))</f>
        <v/>
      </c>
      <c r="I215" s="310" t="str">
        <f>IF(E215="","",IF(ISNA(VLOOKUP($E215,'A-1 On-Site Habitat Baseline'!$D$1:$O$258,7,FALSE)),"",(VLOOKUP($E215,'A-1 On-Site Habitat Baseline'!$D$1:$O$258,7,FALSE))))</f>
        <v/>
      </c>
      <c r="J215" s="310" t="str">
        <f>IF(E215="","",IF(ISNA(VLOOKUP($E215,'A-1 On-Site Habitat Baseline'!$D$1:$O$258,8,FALSE)),"",(VLOOKUP($E215,'A-1 On-Site Habitat Baseline'!$D$1:$O$258,8,FALSE))))</f>
        <v/>
      </c>
      <c r="K215" s="310" t="str">
        <f>IF(E215="","",IF(ISNA(VLOOKUP($E215,'A-1 On-Site Habitat Baseline'!$D$1:$O$258,9,FALSE)),"",(VLOOKUP($E215,'A-1 On-Site Habitat Baseline'!$D$1:$O$258,9,FALSE))))</f>
        <v/>
      </c>
      <c r="L215" s="310" t="str">
        <f>IF(E215="","",IF(ISNA(VLOOKUP($E215,'A-1 On-Site Habitat Baseline'!$D$1:$O$258,11,FALSE)),"",(VLOOKUP($E215,'A-1 On-Site Habitat Baseline'!$D$1:$O$258,11,FALSE))))</f>
        <v/>
      </c>
      <c r="M215" s="310" t="str">
        <f>IF(E215="","",IF(ISNA(VLOOKUP($E215,'A-1 On-Site Habitat Baseline'!$D$1:$O$258,12,FALSE)),"",(VLOOKUP($E215,'A-1 On-Site Habitat Baseline'!$D$1:$O$258,12,FALSE))))</f>
        <v/>
      </c>
      <c r="N215" s="320" t="str">
        <f>IF(E215="","",IF(ISNA(VLOOKUP($E215,'A-1 On-Site Habitat Baseline'!$D$1:$X$258,14,FALSE)),"",(VLOOKUP($E215,'A-1 On-Site Habitat Baseline'!$D$1:$X$258,14,FALSE))))</f>
        <v/>
      </c>
      <c r="O215" s="314" t="str">
        <f>IF(E215="","",IF(ISNA(VLOOKUP($E215,'A-1 On-Site Habitat Baseline'!$D$1:$X$258,16,FALSE)),"",(VLOOKUP($E215,'A-1 On-Site Habitat Baseline'!$D$1:$X$258,13,FALSE))))</f>
        <v/>
      </c>
      <c r="P215" s="161" t="str">
        <f>IFERROR(INDEX('G-1 All Habitats'!$AG$49:$AG$63,MATCH(Q215,'G-1 All Habitats'!$AF$27:$AF$41,0)),"")</f>
        <v/>
      </c>
      <c r="Q215" s="162" t="str">
        <f t="shared" si="35"/>
        <v/>
      </c>
      <c r="R215" s="162"/>
      <c r="S215" s="252" t="str">
        <f>IFERROR(INDEX('G-1 All Habitats'!$B$3:$B$135,MATCH(R215,'G-1 All Habitats'!$A$3:$A$135,0)),"")</f>
        <v/>
      </c>
      <c r="T215" s="290" t="str">
        <f t="shared" si="36"/>
        <v/>
      </c>
      <c r="U215" s="291" t="str">
        <f t="shared" si="37"/>
        <v/>
      </c>
      <c r="V215" s="325" t="str">
        <f t="shared" si="33"/>
        <v/>
      </c>
      <c r="W215" s="310" t="str">
        <f>IF(S215="","",VLOOKUP(S215,'G-1 All Habitats'!$B$2:$M$135,10,FALSE))</f>
        <v/>
      </c>
      <c r="X215" s="310" t="str">
        <f>IFERROR(VLOOKUP(W215,'G-1 All Habitats'!$V$3:$W$7,2,FALSE),"")</f>
        <v/>
      </c>
      <c r="Y215" s="45"/>
      <c r="Z215" s="314" t="str">
        <f>IFERROR(INDEX('G-8 Condition Look up'!$A$3:$H$135,MATCH(S215,'G-8 Condition Look up'!$A$3:$A$135,0),MATCH(Y215,'G-8 Condition Look up'!$A$3:$H$3,0)),"")</f>
        <v/>
      </c>
      <c r="AA215" s="38"/>
      <c r="AB215" s="310" t="str">
        <f>IF(AA215="","",IF(VLOOKUP(AA215,'G-3 Multipliers'!$L$3:$N$6,2,FALSE)=0,"Spatial Data Missing ⚠",VLOOKUP(AA215,'G-3 Multipliers'!$L$3:$N$6,2,FALSE)))</f>
        <v/>
      </c>
      <c r="AC215" s="314" t="str">
        <f>IF(AA215="","",IF(VLOOKUP(AA215,'G-3 Multipliers'!$L$3:$N$6,3,FALSE)=0,"Spatial Data Missing ⚠",VLOOKUP(AA215,'G-3 Multipliers'!$L$3:$N$6,3,FALSE)))</f>
        <v/>
      </c>
      <c r="AD215" s="327" t="str">
        <f t="shared" si="34"/>
        <v/>
      </c>
      <c r="AE215" s="47"/>
      <c r="AF215" s="47"/>
      <c r="AG215" s="298" t="str">
        <f t="shared" si="38"/>
        <v/>
      </c>
      <c r="AH215" s="311" t="str">
        <f t="shared" si="39"/>
        <v/>
      </c>
      <c r="AI215" s="312" t="str">
        <f>IF(AH215="Check Data","Check Data",IFERROR(VLOOKUP(AH215,'G-4 Temporal multipliers'!$A$4:$C$36,3,FALSE),""))</f>
        <v/>
      </c>
      <c r="AJ215" s="290" t="str">
        <f>IF(S215="","",VLOOKUP(S215,'G-3 Multipliers'!$A$2:$E$134,4,FALSE))</f>
        <v/>
      </c>
      <c r="AK215" s="298" t="str">
        <f t="shared" si="40"/>
        <v/>
      </c>
      <c r="AL215" s="298" t="str">
        <f t="shared" si="41"/>
        <v/>
      </c>
      <c r="AM215" s="328" t="str">
        <f>IFERROR(IF(F215="","",IF(AH215="Check Data ⚠","Check Data ⚠",VLOOKUP(AL215, 'G-3 Multipliers'!$P$2:$Q$6,2,FALSE))),"")</f>
        <v/>
      </c>
      <c r="AN215" s="304" t="str">
        <f t="shared" si="42"/>
        <v/>
      </c>
      <c r="AO215" s="163"/>
      <c r="AP215" s="164"/>
      <c r="AQ215" s="101"/>
      <c r="AT215" s="20" t="str">
        <f t="shared" si="43"/>
        <v>No</v>
      </c>
      <c r="AU215" s="20" t="str">
        <f>IF(E215="","",IF(ISNA(VLOOKUP($E215,'A-1 On-Site Habitat Baseline'!$D$1:$AV$258,4,FALSE)),"",(VLOOKUP($E215,'A-1 On-Site Habitat Baseline'!$D$1:$AV$258,4,FALSE))))</f>
        <v/>
      </c>
    </row>
    <row r="216" spans="1:47" x14ac:dyDescent="0.3">
      <c r="A216" s="20" t="str">
        <f>IF(E216="","",IF(ISNA(VLOOKUP($E216,'A-1 On-Site Habitat Baseline'!$D$1:$O$258,2,FALSE)),"",(VLOOKUP($E216,'A-1 On-Site Habitat Baseline'!$D$1:$O$258,2,FALSE))))</f>
        <v/>
      </c>
      <c r="B216" s="20" t="str">
        <f>IF(E216="","",IF(ISNA(VLOOKUP($E216,'A-1 On-Site Habitat Baseline'!$D$1:$O$258,3,FALSE)),"",(VLOOKUP($E216,'A-1 On-Site Habitat Baseline'!$D$1:$O$258,3,FALSE))))</f>
        <v/>
      </c>
      <c r="C216" s="20" t="str">
        <f>IFERROR(INDEX('G-8 Condition Look up'!$I$4:$I$135,MATCH(S216,'G-8 Condition Look up'!$A$4:$A$135,0)),"")</f>
        <v/>
      </c>
      <c r="E216" s="319" t="str">
        <f>'A-1 On-Site Habitat Baseline'!AL215</f>
        <v/>
      </c>
      <c r="F216" s="310" t="str">
        <f>IF(E216="","",IF(ISNA(VLOOKUP($E216,'A-1 On-Site Habitat Baseline'!$D$1:$AV$258,45,FALSE)),"",(VLOOKUP($E216,'A-1 On-Site Habitat Baseline'!$D$1:$AV$258,45,FALSE))))</f>
        <v/>
      </c>
      <c r="G216" s="310" t="str">
        <f>IF(E216="","",IF(ISNA(VLOOKUP($E216,'A-1 On-Site Habitat Baseline'!$D$1:$O$258,5,FALSE)),"",(VLOOKUP($E216,'A-1 On-Site Habitat Baseline'!$D$1:$O$258,5,FALSE))))</f>
        <v/>
      </c>
      <c r="H216" s="310" t="str">
        <f>IF(E216="","",IF(ISNA(VLOOKUP($E216,'A-1 On-Site Habitat Baseline'!$D$1:$O$258,6,FALSE)),"",(VLOOKUP($E216,'A-1 On-Site Habitat Baseline'!$D$1:$O$258,6,FALSE))))</f>
        <v/>
      </c>
      <c r="I216" s="310" t="str">
        <f>IF(E216="","",IF(ISNA(VLOOKUP($E216,'A-1 On-Site Habitat Baseline'!$D$1:$O$258,7,FALSE)),"",(VLOOKUP($E216,'A-1 On-Site Habitat Baseline'!$D$1:$O$258,7,FALSE))))</f>
        <v/>
      </c>
      <c r="J216" s="310" t="str">
        <f>IF(E216="","",IF(ISNA(VLOOKUP($E216,'A-1 On-Site Habitat Baseline'!$D$1:$O$258,8,FALSE)),"",(VLOOKUP($E216,'A-1 On-Site Habitat Baseline'!$D$1:$O$258,8,FALSE))))</f>
        <v/>
      </c>
      <c r="K216" s="310" t="str">
        <f>IF(E216="","",IF(ISNA(VLOOKUP($E216,'A-1 On-Site Habitat Baseline'!$D$1:$O$258,9,FALSE)),"",(VLOOKUP($E216,'A-1 On-Site Habitat Baseline'!$D$1:$O$258,9,FALSE))))</f>
        <v/>
      </c>
      <c r="L216" s="310" t="str">
        <f>IF(E216="","",IF(ISNA(VLOOKUP($E216,'A-1 On-Site Habitat Baseline'!$D$1:$O$258,11,FALSE)),"",(VLOOKUP($E216,'A-1 On-Site Habitat Baseline'!$D$1:$O$258,11,FALSE))))</f>
        <v/>
      </c>
      <c r="M216" s="310" t="str">
        <f>IF(E216="","",IF(ISNA(VLOOKUP($E216,'A-1 On-Site Habitat Baseline'!$D$1:$O$258,12,FALSE)),"",(VLOOKUP($E216,'A-1 On-Site Habitat Baseline'!$D$1:$O$258,12,FALSE))))</f>
        <v/>
      </c>
      <c r="N216" s="320" t="str">
        <f>IF(E216="","",IF(ISNA(VLOOKUP($E216,'A-1 On-Site Habitat Baseline'!$D$1:$X$258,14,FALSE)),"",(VLOOKUP($E216,'A-1 On-Site Habitat Baseline'!$D$1:$X$258,14,FALSE))))</f>
        <v/>
      </c>
      <c r="O216" s="314" t="str">
        <f>IF(E216="","",IF(ISNA(VLOOKUP($E216,'A-1 On-Site Habitat Baseline'!$D$1:$X$258,16,FALSE)),"",(VLOOKUP($E216,'A-1 On-Site Habitat Baseline'!$D$1:$X$258,13,FALSE))))</f>
        <v/>
      </c>
      <c r="P216" s="161" t="str">
        <f>IFERROR(INDEX('G-1 All Habitats'!$AG$49:$AG$63,MATCH(Q216,'G-1 All Habitats'!$AF$27:$AF$41,0)),"")</f>
        <v/>
      </c>
      <c r="Q216" s="162" t="str">
        <f t="shared" si="35"/>
        <v/>
      </c>
      <c r="R216" s="162"/>
      <c r="S216" s="252" t="str">
        <f>IFERROR(INDEX('G-1 All Habitats'!$B$3:$B$135,MATCH(R216,'G-1 All Habitats'!$A$3:$A$135,0)),"")</f>
        <v/>
      </c>
      <c r="T216" s="290" t="str">
        <f t="shared" si="36"/>
        <v/>
      </c>
      <c r="U216" s="291" t="str">
        <f t="shared" si="37"/>
        <v/>
      </c>
      <c r="V216" s="325" t="str">
        <f t="shared" si="33"/>
        <v/>
      </c>
      <c r="W216" s="310" t="str">
        <f>IF(S216="","",VLOOKUP(S216,'G-1 All Habitats'!$B$2:$M$135,10,FALSE))</f>
        <v/>
      </c>
      <c r="X216" s="310" t="str">
        <f>IFERROR(VLOOKUP(W216,'G-1 All Habitats'!$V$3:$W$7,2,FALSE),"")</f>
        <v/>
      </c>
      <c r="Y216" s="45"/>
      <c r="Z216" s="314" t="str">
        <f>IFERROR(INDEX('G-8 Condition Look up'!$A$3:$H$135,MATCH(S216,'G-8 Condition Look up'!$A$3:$A$135,0),MATCH(Y216,'G-8 Condition Look up'!$A$3:$H$3,0)),"")</f>
        <v/>
      </c>
      <c r="AA216" s="38"/>
      <c r="AB216" s="310" t="str">
        <f>IF(AA216="","",IF(VLOOKUP(AA216,'G-3 Multipliers'!$L$3:$N$6,2,FALSE)=0,"Spatial Data Missing ⚠",VLOOKUP(AA216,'G-3 Multipliers'!$L$3:$N$6,2,FALSE)))</f>
        <v/>
      </c>
      <c r="AC216" s="314" t="str">
        <f>IF(AA216="","",IF(VLOOKUP(AA216,'G-3 Multipliers'!$L$3:$N$6,3,FALSE)=0,"Spatial Data Missing ⚠",VLOOKUP(AA216,'G-3 Multipliers'!$L$3:$N$6,3,FALSE)))</f>
        <v/>
      </c>
      <c r="AD216" s="327" t="str">
        <f t="shared" si="34"/>
        <v/>
      </c>
      <c r="AE216" s="47"/>
      <c r="AF216" s="47"/>
      <c r="AG216" s="298" t="str">
        <f t="shared" si="38"/>
        <v/>
      </c>
      <c r="AH216" s="311" t="str">
        <f t="shared" si="39"/>
        <v/>
      </c>
      <c r="AI216" s="312" t="str">
        <f>IF(AH216="Check Data","Check Data",IFERROR(VLOOKUP(AH216,'G-4 Temporal multipliers'!$A$4:$C$36,3,FALSE),""))</f>
        <v/>
      </c>
      <c r="AJ216" s="290" t="str">
        <f>IF(S216="","",VLOOKUP(S216,'G-3 Multipliers'!$A$2:$E$134,4,FALSE))</f>
        <v/>
      </c>
      <c r="AK216" s="298" t="str">
        <f t="shared" si="40"/>
        <v/>
      </c>
      <c r="AL216" s="298" t="str">
        <f t="shared" si="41"/>
        <v/>
      </c>
      <c r="AM216" s="328" t="str">
        <f>IFERROR(IF(F216="","",IF(AH216="Check Data ⚠","Check Data ⚠",VLOOKUP(AL216, 'G-3 Multipliers'!$P$2:$Q$6,2,FALSE))),"")</f>
        <v/>
      </c>
      <c r="AN216" s="304" t="str">
        <f t="shared" si="42"/>
        <v/>
      </c>
      <c r="AO216" s="163"/>
      <c r="AP216" s="164"/>
      <c r="AQ216" s="101"/>
      <c r="AT216" s="20" t="str">
        <f t="shared" si="43"/>
        <v>No</v>
      </c>
      <c r="AU216" s="20" t="str">
        <f>IF(E216="","",IF(ISNA(VLOOKUP($E216,'A-1 On-Site Habitat Baseline'!$D$1:$AV$258,4,FALSE)),"",(VLOOKUP($E216,'A-1 On-Site Habitat Baseline'!$D$1:$AV$258,4,FALSE))))</f>
        <v/>
      </c>
    </row>
    <row r="217" spans="1:47" x14ac:dyDescent="0.3">
      <c r="A217" s="20" t="str">
        <f>IF(E217="","",IF(ISNA(VLOOKUP($E217,'A-1 On-Site Habitat Baseline'!$D$1:$O$258,2,FALSE)),"",(VLOOKUP($E217,'A-1 On-Site Habitat Baseline'!$D$1:$O$258,2,FALSE))))</f>
        <v/>
      </c>
      <c r="B217" s="20" t="str">
        <f>IF(E217="","",IF(ISNA(VLOOKUP($E217,'A-1 On-Site Habitat Baseline'!$D$1:$O$258,3,FALSE)),"",(VLOOKUP($E217,'A-1 On-Site Habitat Baseline'!$D$1:$O$258,3,FALSE))))</f>
        <v/>
      </c>
      <c r="C217" s="20" t="str">
        <f>IFERROR(INDEX('G-8 Condition Look up'!$I$4:$I$135,MATCH(S217,'G-8 Condition Look up'!$A$4:$A$135,0)),"")</f>
        <v/>
      </c>
      <c r="E217" s="319" t="str">
        <f>'A-1 On-Site Habitat Baseline'!AL216</f>
        <v/>
      </c>
      <c r="F217" s="310" t="str">
        <f>IF(E217="","",IF(ISNA(VLOOKUP($E217,'A-1 On-Site Habitat Baseline'!$D$1:$AV$258,45,FALSE)),"",(VLOOKUP($E217,'A-1 On-Site Habitat Baseline'!$D$1:$AV$258,45,FALSE))))</f>
        <v/>
      </c>
      <c r="G217" s="310" t="str">
        <f>IF(E217="","",IF(ISNA(VLOOKUP($E217,'A-1 On-Site Habitat Baseline'!$D$1:$O$258,5,FALSE)),"",(VLOOKUP($E217,'A-1 On-Site Habitat Baseline'!$D$1:$O$258,5,FALSE))))</f>
        <v/>
      </c>
      <c r="H217" s="310" t="str">
        <f>IF(E217="","",IF(ISNA(VLOOKUP($E217,'A-1 On-Site Habitat Baseline'!$D$1:$O$258,6,FALSE)),"",(VLOOKUP($E217,'A-1 On-Site Habitat Baseline'!$D$1:$O$258,6,FALSE))))</f>
        <v/>
      </c>
      <c r="I217" s="310" t="str">
        <f>IF(E217="","",IF(ISNA(VLOOKUP($E217,'A-1 On-Site Habitat Baseline'!$D$1:$O$258,7,FALSE)),"",(VLOOKUP($E217,'A-1 On-Site Habitat Baseline'!$D$1:$O$258,7,FALSE))))</f>
        <v/>
      </c>
      <c r="J217" s="310" t="str">
        <f>IF(E217="","",IF(ISNA(VLOOKUP($E217,'A-1 On-Site Habitat Baseline'!$D$1:$O$258,8,FALSE)),"",(VLOOKUP($E217,'A-1 On-Site Habitat Baseline'!$D$1:$O$258,8,FALSE))))</f>
        <v/>
      </c>
      <c r="K217" s="310" t="str">
        <f>IF(E217="","",IF(ISNA(VLOOKUP($E217,'A-1 On-Site Habitat Baseline'!$D$1:$O$258,9,FALSE)),"",(VLOOKUP($E217,'A-1 On-Site Habitat Baseline'!$D$1:$O$258,9,FALSE))))</f>
        <v/>
      </c>
      <c r="L217" s="310" t="str">
        <f>IF(E217="","",IF(ISNA(VLOOKUP($E217,'A-1 On-Site Habitat Baseline'!$D$1:$O$258,11,FALSE)),"",(VLOOKUP($E217,'A-1 On-Site Habitat Baseline'!$D$1:$O$258,11,FALSE))))</f>
        <v/>
      </c>
      <c r="M217" s="310" t="str">
        <f>IF(E217="","",IF(ISNA(VLOOKUP($E217,'A-1 On-Site Habitat Baseline'!$D$1:$O$258,12,FALSE)),"",(VLOOKUP($E217,'A-1 On-Site Habitat Baseline'!$D$1:$O$258,12,FALSE))))</f>
        <v/>
      </c>
      <c r="N217" s="320" t="str">
        <f>IF(E217="","",IF(ISNA(VLOOKUP($E217,'A-1 On-Site Habitat Baseline'!$D$1:$X$258,14,FALSE)),"",(VLOOKUP($E217,'A-1 On-Site Habitat Baseline'!$D$1:$X$258,14,FALSE))))</f>
        <v/>
      </c>
      <c r="O217" s="314" t="str">
        <f>IF(E217="","",IF(ISNA(VLOOKUP($E217,'A-1 On-Site Habitat Baseline'!$D$1:$X$258,16,FALSE)),"",(VLOOKUP($E217,'A-1 On-Site Habitat Baseline'!$D$1:$X$258,13,FALSE))))</f>
        <v/>
      </c>
      <c r="P217" s="161" t="str">
        <f>IFERROR(INDEX('G-1 All Habitats'!$AG$49:$AG$63,MATCH(Q217,'G-1 All Habitats'!$AF$27:$AF$41,0)),"")</f>
        <v/>
      </c>
      <c r="Q217" s="162" t="str">
        <f t="shared" si="35"/>
        <v/>
      </c>
      <c r="R217" s="162"/>
      <c r="S217" s="252" t="str">
        <f>IFERROR(INDEX('G-1 All Habitats'!$B$3:$B$135,MATCH(R217,'G-1 All Habitats'!$A$3:$A$135,0)),"")</f>
        <v/>
      </c>
      <c r="T217" s="290" t="str">
        <f t="shared" si="36"/>
        <v/>
      </c>
      <c r="U217" s="291" t="str">
        <f t="shared" si="37"/>
        <v/>
      </c>
      <c r="V217" s="325" t="str">
        <f t="shared" si="33"/>
        <v/>
      </c>
      <c r="W217" s="310" t="str">
        <f>IF(S217="","",VLOOKUP(S217,'G-1 All Habitats'!$B$2:$M$135,10,FALSE))</f>
        <v/>
      </c>
      <c r="X217" s="310" t="str">
        <f>IFERROR(VLOOKUP(W217,'G-1 All Habitats'!$V$3:$W$7,2,FALSE),"")</f>
        <v/>
      </c>
      <c r="Y217" s="45"/>
      <c r="Z217" s="314" t="str">
        <f>IFERROR(INDEX('G-8 Condition Look up'!$A$3:$H$135,MATCH(S217,'G-8 Condition Look up'!$A$3:$A$135,0),MATCH(Y217,'G-8 Condition Look up'!$A$3:$H$3,0)),"")</f>
        <v/>
      </c>
      <c r="AA217" s="38"/>
      <c r="AB217" s="310" t="str">
        <f>IF(AA217="","",IF(VLOOKUP(AA217,'G-3 Multipliers'!$L$3:$N$6,2,FALSE)=0,"Spatial Data Missing ⚠",VLOOKUP(AA217,'G-3 Multipliers'!$L$3:$N$6,2,FALSE)))</f>
        <v/>
      </c>
      <c r="AC217" s="314" t="str">
        <f>IF(AA217="","",IF(VLOOKUP(AA217,'G-3 Multipliers'!$L$3:$N$6,3,FALSE)=0,"Spatial Data Missing ⚠",VLOOKUP(AA217,'G-3 Multipliers'!$L$3:$N$6,3,FALSE)))</f>
        <v/>
      </c>
      <c r="AD217" s="327" t="str">
        <f t="shared" si="34"/>
        <v/>
      </c>
      <c r="AE217" s="47"/>
      <c r="AF217" s="47"/>
      <c r="AG217" s="298" t="str">
        <f t="shared" si="38"/>
        <v/>
      </c>
      <c r="AH217" s="311" t="str">
        <f t="shared" si="39"/>
        <v/>
      </c>
      <c r="AI217" s="312" t="str">
        <f>IF(AH217="Check Data","Check Data",IFERROR(VLOOKUP(AH217,'G-4 Temporal multipliers'!$A$4:$C$36,3,FALSE),""))</f>
        <v/>
      </c>
      <c r="AJ217" s="290" t="str">
        <f>IF(S217="","",VLOOKUP(S217,'G-3 Multipliers'!$A$2:$E$134,4,FALSE))</f>
        <v/>
      </c>
      <c r="AK217" s="298" t="str">
        <f t="shared" si="40"/>
        <v/>
      </c>
      <c r="AL217" s="298" t="str">
        <f t="shared" si="41"/>
        <v/>
      </c>
      <c r="AM217" s="328" t="str">
        <f>IFERROR(IF(F217="","",IF(AH217="Check Data ⚠","Check Data ⚠",VLOOKUP(AL217, 'G-3 Multipliers'!$P$2:$Q$6,2,FALSE))),"")</f>
        <v/>
      </c>
      <c r="AN217" s="304" t="str">
        <f t="shared" si="42"/>
        <v/>
      </c>
      <c r="AO217" s="163"/>
      <c r="AP217" s="164"/>
      <c r="AQ217" s="101"/>
      <c r="AT217" s="20" t="str">
        <f t="shared" si="43"/>
        <v>No</v>
      </c>
      <c r="AU217" s="20" t="str">
        <f>IF(E217="","",IF(ISNA(VLOOKUP($E217,'A-1 On-Site Habitat Baseline'!$D$1:$AV$258,4,FALSE)),"",(VLOOKUP($E217,'A-1 On-Site Habitat Baseline'!$D$1:$AV$258,4,FALSE))))</f>
        <v/>
      </c>
    </row>
    <row r="218" spans="1:47" x14ac:dyDescent="0.3">
      <c r="A218" s="20" t="str">
        <f>IF(E218="","",IF(ISNA(VLOOKUP($E218,'A-1 On-Site Habitat Baseline'!$D$1:$O$258,2,FALSE)),"",(VLOOKUP($E218,'A-1 On-Site Habitat Baseline'!$D$1:$O$258,2,FALSE))))</f>
        <v/>
      </c>
      <c r="B218" s="20" t="str">
        <f>IF(E218="","",IF(ISNA(VLOOKUP($E218,'A-1 On-Site Habitat Baseline'!$D$1:$O$258,3,FALSE)),"",(VLOOKUP($E218,'A-1 On-Site Habitat Baseline'!$D$1:$O$258,3,FALSE))))</f>
        <v/>
      </c>
      <c r="C218" s="20" t="str">
        <f>IFERROR(INDEX('G-8 Condition Look up'!$I$4:$I$135,MATCH(S218,'G-8 Condition Look up'!$A$4:$A$135,0)),"")</f>
        <v/>
      </c>
      <c r="E218" s="319" t="str">
        <f>'A-1 On-Site Habitat Baseline'!AL217</f>
        <v/>
      </c>
      <c r="F218" s="310" t="str">
        <f>IF(E218="","",IF(ISNA(VLOOKUP($E218,'A-1 On-Site Habitat Baseline'!$D$1:$AV$258,45,FALSE)),"",(VLOOKUP($E218,'A-1 On-Site Habitat Baseline'!$D$1:$AV$258,45,FALSE))))</f>
        <v/>
      </c>
      <c r="G218" s="310" t="str">
        <f>IF(E218="","",IF(ISNA(VLOOKUP($E218,'A-1 On-Site Habitat Baseline'!$D$1:$O$258,5,FALSE)),"",(VLOOKUP($E218,'A-1 On-Site Habitat Baseline'!$D$1:$O$258,5,FALSE))))</f>
        <v/>
      </c>
      <c r="H218" s="310" t="str">
        <f>IF(E218="","",IF(ISNA(VLOOKUP($E218,'A-1 On-Site Habitat Baseline'!$D$1:$O$258,6,FALSE)),"",(VLOOKUP($E218,'A-1 On-Site Habitat Baseline'!$D$1:$O$258,6,FALSE))))</f>
        <v/>
      </c>
      <c r="I218" s="310" t="str">
        <f>IF(E218="","",IF(ISNA(VLOOKUP($E218,'A-1 On-Site Habitat Baseline'!$D$1:$O$258,7,FALSE)),"",(VLOOKUP($E218,'A-1 On-Site Habitat Baseline'!$D$1:$O$258,7,FALSE))))</f>
        <v/>
      </c>
      <c r="J218" s="310" t="str">
        <f>IF(E218="","",IF(ISNA(VLOOKUP($E218,'A-1 On-Site Habitat Baseline'!$D$1:$O$258,8,FALSE)),"",(VLOOKUP($E218,'A-1 On-Site Habitat Baseline'!$D$1:$O$258,8,FALSE))))</f>
        <v/>
      </c>
      <c r="K218" s="310" t="str">
        <f>IF(E218="","",IF(ISNA(VLOOKUP($E218,'A-1 On-Site Habitat Baseline'!$D$1:$O$258,9,FALSE)),"",(VLOOKUP($E218,'A-1 On-Site Habitat Baseline'!$D$1:$O$258,9,FALSE))))</f>
        <v/>
      </c>
      <c r="L218" s="310" t="str">
        <f>IF(E218="","",IF(ISNA(VLOOKUP($E218,'A-1 On-Site Habitat Baseline'!$D$1:$O$258,11,FALSE)),"",(VLOOKUP($E218,'A-1 On-Site Habitat Baseline'!$D$1:$O$258,11,FALSE))))</f>
        <v/>
      </c>
      <c r="M218" s="310" t="str">
        <f>IF(E218="","",IF(ISNA(VLOOKUP($E218,'A-1 On-Site Habitat Baseline'!$D$1:$O$258,12,FALSE)),"",(VLOOKUP($E218,'A-1 On-Site Habitat Baseline'!$D$1:$O$258,12,FALSE))))</f>
        <v/>
      </c>
      <c r="N218" s="320" t="str">
        <f>IF(E218="","",IF(ISNA(VLOOKUP($E218,'A-1 On-Site Habitat Baseline'!$D$1:$X$258,14,FALSE)),"",(VLOOKUP($E218,'A-1 On-Site Habitat Baseline'!$D$1:$X$258,14,FALSE))))</f>
        <v/>
      </c>
      <c r="O218" s="314" t="str">
        <f>IF(E218="","",IF(ISNA(VLOOKUP($E218,'A-1 On-Site Habitat Baseline'!$D$1:$X$258,16,FALSE)),"",(VLOOKUP($E218,'A-1 On-Site Habitat Baseline'!$D$1:$X$258,13,FALSE))))</f>
        <v/>
      </c>
      <c r="P218" s="161" t="str">
        <f>IFERROR(INDEX('G-1 All Habitats'!$AG$49:$AG$63,MATCH(Q218,'G-1 All Habitats'!$AF$27:$AF$41,0)),"")</f>
        <v/>
      </c>
      <c r="Q218" s="162" t="str">
        <f t="shared" si="35"/>
        <v/>
      </c>
      <c r="R218" s="162"/>
      <c r="S218" s="252" t="str">
        <f>IFERROR(INDEX('G-1 All Habitats'!$B$3:$B$135,MATCH(R218,'G-1 All Habitats'!$A$3:$A$135,0)),"")</f>
        <v/>
      </c>
      <c r="T218" s="290" t="str">
        <f t="shared" si="36"/>
        <v/>
      </c>
      <c r="U218" s="291" t="str">
        <f t="shared" si="37"/>
        <v/>
      </c>
      <c r="V218" s="325" t="str">
        <f t="shared" si="33"/>
        <v/>
      </c>
      <c r="W218" s="310" t="str">
        <f>IF(S218="","",VLOOKUP(S218,'G-1 All Habitats'!$B$2:$M$135,10,FALSE))</f>
        <v/>
      </c>
      <c r="X218" s="310" t="str">
        <f>IFERROR(VLOOKUP(W218,'G-1 All Habitats'!$V$3:$W$7,2,FALSE),"")</f>
        <v/>
      </c>
      <c r="Y218" s="45"/>
      <c r="Z218" s="314" t="str">
        <f>IFERROR(INDEX('G-8 Condition Look up'!$A$3:$H$135,MATCH(S218,'G-8 Condition Look up'!$A$3:$A$135,0),MATCH(Y218,'G-8 Condition Look up'!$A$3:$H$3,0)),"")</f>
        <v/>
      </c>
      <c r="AA218" s="38"/>
      <c r="AB218" s="310" t="str">
        <f>IF(AA218="","",IF(VLOOKUP(AA218,'G-3 Multipliers'!$L$3:$N$6,2,FALSE)=0,"Spatial Data Missing ⚠",VLOOKUP(AA218,'G-3 Multipliers'!$L$3:$N$6,2,FALSE)))</f>
        <v/>
      </c>
      <c r="AC218" s="314" t="str">
        <f>IF(AA218="","",IF(VLOOKUP(AA218,'G-3 Multipliers'!$L$3:$N$6,3,FALSE)=0,"Spatial Data Missing ⚠",VLOOKUP(AA218,'G-3 Multipliers'!$L$3:$N$6,3,FALSE)))</f>
        <v/>
      </c>
      <c r="AD218" s="327" t="str">
        <f t="shared" si="34"/>
        <v/>
      </c>
      <c r="AE218" s="47"/>
      <c r="AF218" s="47"/>
      <c r="AG218" s="298" t="str">
        <f t="shared" si="38"/>
        <v/>
      </c>
      <c r="AH218" s="311" t="str">
        <f t="shared" si="39"/>
        <v/>
      </c>
      <c r="AI218" s="312" t="str">
        <f>IF(AH218="Check Data","Check Data",IFERROR(VLOOKUP(AH218,'G-4 Temporal multipliers'!$A$4:$C$36,3,FALSE),""))</f>
        <v/>
      </c>
      <c r="AJ218" s="290" t="str">
        <f>IF(S218="","",VLOOKUP(S218,'G-3 Multipliers'!$A$2:$E$134,4,FALSE))</f>
        <v/>
      </c>
      <c r="AK218" s="298" t="str">
        <f t="shared" si="40"/>
        <v/>
      </c>
      <c r="AL218" s="298" t="str">
        <f t="shared" si="41"/>
        <v/>
      </c>
      <c r="AM218" s="328" t="str">
        <f>IFERROR(IF(F218="","",IF(AH218="Check Data ⚠","Check Data ⚠",VLOOKUP(AL218, 'G-3 Multipliers'!$P$2:$Q$6,2,FALSE))),"")</f>
        <v/>
      </c>
      <c r="AN218" s="304" t="str">
        <f t="shared" si="42"/>
        <v/>
      </c>
      <c r="AO218" s="163"/>
      <c r="AP218" s="164"/>
      <c r="AQ218" s="101"/>
      <c r="AT218" s="20" t="str">
        <f t="shared" si="43"/>
        <v>No</v>
      </c>
      <c r="AU218" s="20" t="str">
        <f>IF(E218="","",IF(ISNA(VLOOKUP($E218,'A-1 On-Site Habitat Baseline'!$D$1:$AV$258,4,FALSE)),"",(VLOOKUP($E218,'A-1 On-Site Habitat Baseline'!$D$1:$AV$258,4,FALSE))))</f>
        <v/>
      </c>
    </row>
    <row r="219" spans="1:47" x14ac:dyDescent="0.3">
      <c r="A219" s="20" t="str">
        <f>IF(E219="","",IF(ISNA(VLOOKUP($E219,'A-1 On-Site Habitat Baseline'!$D$1:$O$258,2,FALSE)),"",(VLOOKUP($E219,'A-1 On-Site Habitat Baseline'!$D$1:$O$258,2,FALSE))))</f>
        <v/>
      </c>
      <c r="B219" s="20" t="str">
        <f>IF(E219="","",IF(ISNA(VLOOKUP($E219,'A-1 On-Site Habitat Baseline'!$D$1:$O$258,3,FALSE)),"",(VLOOKUP($E219,'A-1 On-Site Habitat Baseline'!$D$1:$O$258,3,FALSE))))</f>
        <v/>
      </c>
      <c r="C219" s="20" t="str">
        <f>IFERROR(INDEX('G-8 Condition Look up'!$I$4:$I$135,MATCH(S219,'G-8 Condition Look up'!$A$4:$A$135,0)),"")</f>
        <v/>
      </c>
      <c r="E219" s="319" t="str">
        <f>'A-1 On-Site Habitat Baseline'!AL218</f>
        <v/>
      </c>
      <c r="F219" s="310" t="str">
        <f>IF(E219="","",IF(ISNA(VLOOKUP($E219,'A-1 On-Site Habitat Baseline'!$D$1:$AV$258,45,FALSE)),"",(VLOOKUP($E219,'A-1 On-Site Habitat Baseline'!$D$1:$AV$258,45,FALSE))))</f>
        <v/>
      </c>
      <c r="G219" s="310" t="str">
        <f>IF(E219="","",IF(ISNA(VLOOKUP($E219,'A-1 On-Site Habitat Baseline'!$D$1:$O$258,5,FALSE)),"",(VLOOKUP($E219,'A-1 On-Site Habitat Baseline'!$D$1:$O$258,5,FALSE))))</f>
        <v/>
      </c>
      <c r="H219" s="310" t="str">
        <f>IF(E219="","",IF(ISNA(VLOOKUP($E219,'A-1 On-Site Habitat Baseline'!$D$1:$O$258,6,FALSE)),"",(VLOOKUP($E219,'A-1 On-Site Habitat Baseline'!$D$1:$O$258,6,FALSE))))</f>
        <v/>
      </c>
      <c r="I219" s="310" t="str">
        <f>IF(E219="","",IF(ISNA(VLOOKUP($E219,'A-1 On-Site Habitat Baseline'!$D$1:$O$258,7,FALSE)),"",(VLOOKUP($E219,'A-1 On-Site Habitat Baseline'!$D$1:$O$258,7,FALSE))))</f>
        <v/>
      </c>
      <c r="J219" s="310" t="str">
        <f>IF(E219="","",IF(ISNA(VLOOKUP($E219,'A-1 On-Site Habitat Baseline'!$D$1:$O$258,8,FALSE)),"",(VLOOKUP($E219,'A-1 On-Site Habitat Baseline'!$D$1:$O$258,8,FALSE))))</f>
        <v/>
      </c>
      <c r="K219" s="310" t="str">
        <f>IF(E219="","",IF(ISNA(VLOOKUP($E219,'A-1 On-Site Habitat Baseline'!$D$1:$O$258,9,FALSE)),"",(VLOOKUP($E219,'A-1 On-Site Habitat Baseline'!$D$1:$O$258,9,FALSE))))</f>
        <v/>
      </c>
      <c r="L219" s="310" t="str">
        <f>IF(E219="","",IF(ISNA(VLOOKUP($E219,'A-1 On-Site Habitat Baseline'!$D$1:$O$258,11,FALSE)),"",(VLOOKUP($E219,'A-1 On-Site Habitat Baseline'!$D$1:$O$258,11,FALSE))))</f>
        <v/>
      </c>
      <c r="M219" s="310" t="str">
        <f>IF(E219="","",IF(ISNA(VLOOKUP($E219,'A-1 On-Site Habitat Baseline'!$D$1:$O$258,12,FALSE)),"",(VLOOKUP($E219,'A-1 On-Site Habitat Baseline'!$D$1:$O$258,12,FALSE))))</f>
        <v/>
      </c>
      <c r="N219" s="320" t="str">
        <f>IF(E219="","",IF(ISNA(VLOOKUP($E219,'A-1 On-Site Habitat Baseline'!$D$1:$X$258,14,FALSE)),"",(VLOOKUP($E219,'A-1 On-Site Habitat Baseline'!$D$1:$X$258,14,FALSE))))</f>
        <v/>
      </c>
      <c r="O219" s="314" t="str">
        <f>IF(E219="","",IF(ISNA(VLOOKUP($E219,'A-1 On-Site Habitat Baseline'!$D$1:$X$258,16,FALSE)),"",(VLOOKUP($E219,'A-1 On-Site Habitat Baseline'!$D$1:$X$258,13,FALSE))))</f>
        <v/>
      </c>
      <c r="P219" s="161" t="str">
        <f>IFERROR(INDEX('G-1 All Habitats'!$AG$49:$AG$63,MATCH(Q219,'G-1 All Habitats'!$AF$27:$AF$41,0)),"")</f>
        <v/>
      </c>
      <c r="Q219" s="162" t="str">
        <f t="shared" si="35"/>
        <v/>
      </c>
      <c r="R219" s="162"/>
      <c r="S219" s="252" t="str">
        <f>IFERROR(INDEX('G-1 All Habitats'!$B$3:$B$135,MATCH(R219,'G-1 All Habitats'!$A$3:$A$135,0)),"")</f>
        <v/>
      </c>
      <c r="T219" s="290" t="str">
        <f t="shared" si="36"/>
        <v/>
      </c>
      <c r="U219" s="291" t="str">
        <f t="shared" si="37"/>
        <v/>
      </c>
      <c r="V219" s="325" t="str">
        <f t="shared" si="33"/>
        <v/>
      </c>
      <c r="W219" s="310" t="str">
        <f>IF(S219="","",VLOOKUP(S219,'G-1 All Habitats'!$B$2:$M$135,10,FALSE))</f>
        <v/>
      </c>
      <c r="X219" s="310" t="str">
        <f>IFERROR(VLOOKUP(W219,'G-1 All Habitats'!$V$3:$W$7,2,FALSE),"")</f>
        <v/>
      </c>
      <c r="Y219" s="45"/>
      <c r="Z219" s="314" t="str">
        <f>IFERROR(INDEX('G-8 Condition Look up'!$A$3:$H$135,MATCH(S219,'G-8 Condition Look up'!$A$3:$A$135,0),MATCH(Y219,'G-8 Condition Look up'!$A$3:$H$3,0)),"")</f>
        <v/>
      </c>
      <c r="AA219" s="38"/>
      <c r="AB219" s="310" t="str">
        <f>IF(AA219="","",IF(VLOOKUP(AA219,'G-3 Multipliers'!$L$3:$N$6,2,FALSE)=0,"Spatial Data Missing ⚠",VLOOKUP(AA219,'G-3 Multipliers'!$L$3:$N$6,2,FALSE)))</f>
        <v/>
      </c>
      <c r="AC219" s="314" t="str">
        <f>IF(AA219="","",IF(VLOOKUP(AA219,'G-3 Multipliers'!$L$3:$N$6,3,FALSE)=0,"Spatial Data Missing ⚠",VLOOKUP(AA219,'G-3 Multipliers'!$L$3:$N$6,3,FALSE)))</f>
        <v/>
      </c>
      <c r="AD219" s="327" t="str">
        <f t="shared" si="34"/>
        <v/>
      </c>
      <c r="AE219" s="47"/>
      <c r="AF219" s="47"/>
      <c r="AG219" s="298" t="str">
        <f t="shared" si="38"/>
        <v/>
      </c>
      <c r="AH219" s="311" t="str">
        <f t="shared" si="39"/>
        <v/>
      </c>
      <c r="AI219" s="312" t="str">
        <f>IF(AH219="Check Data","Check Data",IFERROR(VLOOKUP(AH219,'G-4 Temporal multipliers'!$A$4:$C$36,3,FALSE),""))</f>
        <v/>
      </c>
      <c r="AJ219" s="290" t="str">
        <f>IF(S219="","",VLOOKUP(S219,'G-3 Multipliers'!$A$2:$E$134,4,FALSE))</f>
        <v/>
      </c>
      <c r="AK219" s="298" t="str">
        <f t="shared" si="40"/>
        <v/>
      </c>
      <c r="AL219" s="298" t="str">
        <f t="shared" si="41"/>
        <v/>
      </c>
      <c r="AM219" s="328" t="str">
        <f>IFERROR(IF(F219="","",IF(AH219="Check Data ⚠","Check Data ⚠",VLOOKUP(AL219, 'G-3 Multipliers'!$P$2:$Q$6,2,FALSE))),"")</f>
        <v/>
      </c>
      <c r="AN219" s="304" t="str">
        <f t="shared" si="42"/>
        <v/>
      </c>
      <c r="AO219" s="163"/>
      <c r="AP219" s="164"/>
      <c r="AQ219" s="101"/>
      <c r="AT219" s="20" t="str">
        <f t="shared" si="43"/>
        <v>No</v>
      </c>
      <c r="AU219" s="20" t="str">
        <f>IF(E219="","",IF(ISNA(VLOOKUP($E219,'A-1 On-Site Habitat Baseline'!$D$1:$AV$258,4,FALSE)),"",(VLOOKUP($E219,'A-1 On-Site Habitat Baseline'!$D$1:$AV$258,4,FALSE))))</f>
        <v/>
      </c>
    </row>
    <row r="220" spans="1:47" x14ac:dyDescent="0.3">
      <c r="A220" s="20" t="str">
        <f>IF(E220="","",IF(ISNA(VLOOKUP($E220,'A-1 On-Site Habitat Baseline'!$D$1:$O$258,2,FALSE)),"",(VLOOKUP($E220,'A-1 On-Site Habitat Baseline'!$D$1:$O$258,2,FALSE))))</f>
        <v/>
      </c>
      <c r="B220" s="20" t="str">
        <f>IF(E220="","",IF(ISNA(VLOOKUP($E220,'A-1 On-Site Habitat Baseline'!$D$1:$O$258,3,FALSE)),"",(VLOOKUP($E220,'A-1 On-Site Habitat Baseline'!$D$1:$O$258,3,FALSE))))</f>
        <v/>
      </c>
      <c r="C220" s="20" t="str">
        <f>IFERROR(INDEX('G-8 Condition Look up'!$I$4:$I$135,MATCH(S220,'G-8 Condition Look up'!$A$4:$A$135,0)),"")</f>
        <v/>
      </c>
      <c r="E220" s="319" t="str">
        <f>'A-1 On-Site Habitat Baseline'!AL219</f>
        <v/>
      </c>
      <c r="F220" s="310" t="str">
        <f>IF(E220="","",IF(ISNA(VLOOKUP($E220,'A-1 On-Site Habitat Baseline'!$D$1:$AV$258,45,FALSE)),"",(VLOOKUP($E220,'A-1 On-Site Habitat Baseline'!$D$1:$AV$258,45,FALSE))))</f>
        <v/>
      </c>
      <c r="G220" s="310" t="str">
        <f>IF(E220="","",IF(ISNA(VLOOKUP($E220,'A-1 On-Site Habitat Baseline'!$D$1:$O$258,5,FALSE)),"",(VLOOKUP($E220,'A-1 On-Site Habitat Baseline'!$D$1:$O$258,5,FALSE))))</f>
        <v/>
      </c>
      <c r="H220" s="310" t="str">
        <f>IF(E220="","",IF(ISNA(VLOOKUP($E220,'A-1 On-Site Habitat Baseline'!$D$1:$O$258,6,FALSE)),"",(VLOOKUP($E220,'A-1 On-Site Habitat Baseline'!$D$1:$O$258,6,FALSE))))</f>
        <v/>
      </c>
      <c r="I220" s="310" t="str">
        <f>IF(E220="","",IF(ISNA(VLOOKUP($E220,'A-1 On-Site Habitat Baseline'!$D$1:$O$258,7,FALSE)),"",(VLOOKUP($E220,'A-1 On-Site Habitat Baseline'!$D$1:$O$258,7,FALSE))))</f>
        <v/>
      </c>
      <c r="J220" s="310" t="str">
        <f>IF(E220="","",IF(ISNA(VLOOKUP($E220,'A-1 On-Site Habitat Baseline'!$D$1:$O$258,8,FALSE)),"",(VLOOKUP($E220,'A-1 On-Site Habitat Baseline'!$D$1:$O$258,8,FALSE))))</f>
        <v/>
      </c>
      <c r="K220" s="310" t="str">
        <f>IF(E220="","",IF(ISNA(VLOOKUP($E220,'A-1 On-Site Habitat Baseline'!$D$1:$O$258,9,FALSE)),"",(VLOOKUP($E220,'A-1 On-Site Habitat Baseline'!$D$1:$O$258,9,FALSE))))</f>
        <v/>
      </c>
      <c r="L220" s="310" t="str">
        <f>IF(E220="","",IF(ISNA(VLOOKUP($E220,'A-1 On-Site Habitat Baseline'!$D$1:$O$258,11,FALSE)),"",(VLOOKUP($E220,'A-1 On-Site Habitat Baseline'!$D$1:$O$258,11,FALSE))))</f>
        <v/>
      </c>
      <c r="M220" s="310" t="str">
        <f>IF(E220="","",IF(ISNA(VLOOKUP($E220,'A-1 On-Site Habitat Baseline'!$D$1:$O$258,12,FALSE)),"",(VLOOKUP($E220,'A-1 On-Site Habitat Baseline'!$D$1:$O$258,12,FALSE))))</f>
        <v/>
      </c>
      <c r="N220" s="320" t="str">
        <f>IF(E220="","",IF(ISNA(VLOOKUP($E220,'A-1 On-Site Habitat Baseline'!$D$1:$X$258,14,FALSE)),"",(VLOOKUP($E220,'A-1 On-Site Habitat Baseline'!$D$1:$X$258,14,FALSE))))</f>
        <v/>
      </c>
      <c r="O220" s="314" t="str">
        <f>IF(E220="","",IF(ISNA(VLOOKUP($E220,'A-1 On-Site Habitat Baseline'!$D$1:$X$258,16,FALSE)),"",(VLOOKUP($E220,'A-1 On-Site Habitat Baseline'!$D$1:$X$258,13,FALSE))))</f>
        <v/>
      </c>
      <c r="P220" s="161" t="str">
        <f>IFERROR(INDEX('G-1 All Habitats'!$AG$49:$AG$63,MATCH(Q220,'G-1 All Habitats'!$AF$27:$AF$41,0)),"")</f>
        <v/>
      </c>
      <c r="Q220" s="162" t="str">
        <f t="shared" si="35"/>
        <v/>
      </c>
      <c r="R220" s="162"/>
      <c r="S220" s="252" t="str">
        <f>IFERROR(INDEX('G-1 All Habitats'!$B$3:$B$135,MATCH(R220,'G-1 All Habitats'!$A$3:$A$135,0)),"")</f>
        <v/>
      </c>
      <c r="T220" s="290" t="str">
        <f t="shared" si="36"/>
        <v/>
      </c>
      <c r="U220" s="291" t="str">
        <f t="shared" si="37"/>
        <v/>
      </c>
      <c r="V220" s="325" t="str">
        <f t="shared" si="33"/>
        <v/>
      </c>
      <c r="W220" s="310" t="str">
        <f>IF(S220="","",VLOOKUP(S220,'G-1 All Habitats'!$B$2:$M$135,10,FALSE))</f>
        <v/>
      </c>
      <c r="X220" s="310" t="str">
        <f>IFERROR(VLOOKUP(W220,'G-1 All Habitats'!$V$3:$W$7,2,FALSE),"")</f>
        <v/>
      </c>
      <c r="Y220" s="45"/>
      <c r="Z220" s="314" t="str">
        <f>IFERROR(INDEX('G-8 Condition Look up'!$A$3:$H$135,MATCH(S220,'G-8 Condition Look up'!$A$3:$A$135,0),MATCH(Y220,'G-8 Condition Look up'!$A$3:$H$3,0)),"")</f>
        <v/>
      </c>
      <c r="AA220" s="38"/>
      <c r="AB220" s="310" t="str">
        <f>IF(AA220="","",IF(VLOOKUP(AA220,'G-3 Multipliers'!$L$3:$N$6,2,FALSE)=0,"Spatial Data Missing ⚠",VLOOKUP(AA220,'G-3 Multipliers'!$L$3:$N$6,2,FALSE)))</f>
        <v/>
      </c>
      <c r="AC220" s="314" t="str">
        <f>IF(AA220="","",IF(VLOOKUP(AA220,'G-3 Multipliers'!$L$3:$N$6,3,FALSE)=0,"Spatial Data Missing ⚠",VLOOKUP(AA220,'G-3 Multipliers'!$L$3:$N$6,3,FALSE)))</f>
        <v/>
      </c>
      <c r="AD220" s="327" t="str">
        <f t="shared" si="34"/>
        <v/>
      </c>
      <c r="AE220" s="47"/>
      <c r="AF220" s="47"/>
      <c r="AG220" s="298" t="str">
        <f t="shared" si="38"/>
        <v/>
      </c>
      <c r="AH220" s="311" t="str">
        <f t="shared" si="39"/>
        <v/>
      </c>
      <c r="AI220" s="312" t="str">
        <f>IF(AH220="Check Data","Check Data",IFERROR(VLOOKUP(AH220,'G-4 Temporal multipliers'!$A$4:$C$36,3,FALSE),""))</f>
        <v/>
      </c>
      <c r="AJ220" s="290" t="str">
        <f>IF(S220="","",VLOOKUP(S220,'G-3 Multipliers'!$A$2:$E$134,4,FALSE))</f>
        <v/>
      </c>
      <c r="AK220" s="298" t="str">
        <f t="shared" si="40"/>
        <v/>
      </c>
      <c r="AL220" s="298" t="str">
        <f t="shared" si="41"/>
        <v/>
      </c>
      <c r="AM220" s="328" t="str">
        <f>IFERROR(IF(F220="","",IF(AH220="Check Data ⚠","Check Data ⚠",VLOOKUP(AL220, 'G-3 Multipliers'!$P$2:$Q$6,2,FALSE))),"")</f>
        <v/>
      </c>
      <c r="AN220" s="304" t="str">
        <f t="shared" si="42"/>
        <v/>
      </c>
      <c r="AO220" s="163"/>
      <c r="AP220" s="164"/>
      <c r="AQ220" s="101"/>
      <c r="AT220" s="20" t="str">
        <f t="shared" si="43"/>
        <v>No</v>
      </c>
      <c r="AU220" s="20" t="str">
        <f>IF(E220="","",IF(ISNA(VLOOKUP($E220,'A-1 On-Site Habitat Baseline'!$D$1:$AV$258,4,FALSE)),"",(VLOOKUP($E220,'A-1 On-Site Habitat Baseline'!$D$1:$AV$258,4,FALSE))))</f>
        <v/>
      </c>
    </row>
    <row r="221" spans="1:47" x14ac:dyDescent="0.3">
      <c r="A221" s="20" t="str">
        <f>IF(E221="","",IF(ISNA(VLOOKUP($E221,'A-1 On-Site Habitat Baseline'!$D$1:$O$258,2,FALSE)),"",(VLOOKUP($E221,'A-1 On-Site Habitat Baseline'!$D$1:$O$258,2,FALSE))))</f>
        <v/>
      </c>
      <c r="B221" s="20" t="str">
        <f>IF(E221="","",IF(ISNA(VLOOKUP($E221,'A-1 On-Site Habitat Baseline'!$D$1:$O$258,3,FALSE)),"",(VLOOKUP($E221,'A-1 On-Site Habitat Baseline'!$D$1:$O$258,3,FALSE))))</f>
        <v/>
      </c>
      <c r="C221" s="20" t="str">
        <f>IFERROR(INDEX('G-8 Condition Look up'!$I$4:$I$135,MATCH(S221,'G-8 Condition Look up'!$A$4:$A$135,0)),"")</f>
        <v/>
      </c>
      <c r="E221" s="319" t="str">
        <f>'A-1 On-Site Habitat Baseline'!AL220</f>
        <v/>
      </c>
      <c r="F221" s="310" t="str">
        <f>IF(E221="","",IF(ISNA(VLOOKUP($E221,'A-1 On-Site Habitat Baseline'!$D$1:$AV$258,45,FALSE)),"",(VLOOKUP($E221,'A-1 On-Site Habitat Baseline'!$D$1:$AV$258,45,FALSE))))</f>
        <v/>
      </c>
      <c r="G221" s="310" t="str">
        <f>IF(E221="","",IF(ISNA(VLOOKUP($E221,'A-1 On-Site Habitat Baseline'!$D$1:$O$258,5,FALSE)),"",(VLOOKUP($E221,'A-1 On-Site Habitat Baseline'!$D$1:$O$258,5,FALSE))))</f>
        <v/>
      </c>
      <c r="H221" s="310" t="str">
        <f>IF(E221="","",IF(ISNA(VLOOKUP($E221,'A-1 On-Site Habitat Baseline'!$D$1:$O$258,6,FALSE)),"",(VLOOKUP($E221,'A-1 On-Site Habitat Baseline'!$D$1:$O$258,6,FALSE))))</f>
        <v/>
      </c>
      <c r="I221" s="310" t="str">
        <f>IF(E221="","",IF(ISNA(VLOOKUP($E221,'A-1 On-Site Habitat Baseline'!$D$1:$O$258,7,FALSE)),"",(VLOOKUP($E221,'A-1 On-Site Habitat Baseline'!$D$1:$O$258,7,FALSE))))</f>
        <v/>
      </c>
      <c r="J221" s="310" t="str">
        <f>IF(E221="","",IF(ISNA(VLOOKUP($E221,'A-1 On-Site Habitat Baseline'!$D$1:$O$258,8,FALSE)),"",(VLOOKUP($E221,'A-1 On-Site Habitat Baseline'!$D$1:$O$258,8,FALSE))))</f>
        <v/>
      </c>
      <c r="K221" s="310" t="str">
        <f>IF(E221="","",IF(ISNA(VLOOKUP($E221,'A-1 On-Site Habitat Baseline'!$D$1:$O$258,9,FALSE)),"",(VLOOKUP($E221,'A-1 On-Site Habitat Baseline'!$D$1:$O$258,9,FALSE))))</f>
        <v/>
      </c>
      <c r="L221" s="310" t="str">
        <f>IF(E221="","",IF(ISNA(VLOOKUP($E221,'A-1 On-Site Habitat Baseline'!$D$1:$O$258,11,FALSE)),"",(VLOOKUP($E221,'A-1 On-Site Habitat Baseline'!$D$1:$O$258,11,FALSE))))</f>
        <v/>
      </c>
      <c r="M221" s="310" t="str">
        <f>IF(E221="","",IF(ISNA(VLOOKUP($E221,'A-1 On-Site Habitat Baseline'!$D$1:$O$258,12,FALSE)),"",(VLOOKUP($E221,'A-1 On-Site Habitat Baseline'!$D$1:$O$258,12,FALSE))))</f>
        <v/>
      </c>
      <c r="N221" s="320" t="str">
        <f>IF(E221="","",IF(ISNA(VLOOKUP($E221,'A-1 On-Site Habitat Baseline'!$D$1:$X$258,14,FALSE)),"",(VLOOKUP($E221,'A-1 On-Site Habitat Baseline'!$D$1:$X$258,14,FALSE))))</f>
        <v/>
      </c>
      <c r="O221" s="314" t="str">
        <f>IF(E221="","",IF(ISNA(VLOOKUP($E221,'A-1 On-Site Habitat Baseline'!$D$1:$X$258,16,FALSE)),"",(VLOOKUP($E221,'A-1 On-Site Habitat Baseline'!$D$1:$X$258,13,FALSE))))</f>
        <v/>
      </c>
      <c r="P221" s="161" t="str">
        <f>IFERROR(INDEX('G-1 All Habitats'!$AG$49:$AG$63,MATCH(Q221,'G-1 All Habitats'!$AF$27:$AF$41,0)),"")</f>
        <v/>
      </c>
      <c r="Q221" s="162" t="str">
        <f t="shared" si="35"/>
        <v/>
      </c>
      <c r="R221" s="162"/>
      <c r="S221" s="252" t="str">
        <f>IFERROR(INDEX('G-1 All Habitats'!$B$3:$B$135,MATCH(R221,'G-1 All Habitats'!$A$3:$A$135,0)),"")</f>
        <v/>
      </c>
      <c r="T221" s="290" t="str">
        <f t="shared" si="36"/>
        <v/>
      </c>
      <c r="U221" s="291" t="str">
        <f t="shared" si="37"/>
        <v/>
      </c>
      <c r="V221" s="325" t="str">
        <f t="shared" si="33"/>
        <v/>
      </c>
      <c r="W221" s="310" t="str">
        <f>IF(S221="","",VLOOKUP(S221,'G-1 All Habitats'!$B$2:$M$135,10,FALSE))</f>
        <v/>
      </c>
      <c r="X221" s="310" t="str">
        <f>IFERROR(VLOOKUP(W221,'G-1 All Habitats'!$V$3:$W$7,2,FALSE),"")</f>
        <v/>
      </c>
      <c r="Y221" s="45"/>
      <c r="Z221" s="314" t="str">
        <f>IFERROR(INDEX('G-8 Condition Look up'!$A$3:$H$135,MATCH(S221,'G-8 Condition Look up'!$A$3:$A$135,0),MATCH(Y221,'G-8 Condition Look up'!$A$3:$H$3,0)),"")</f>
        <v/>
      </c>
      <c r="AA221" s="38"/>
      <c r="AB221" s="310" t="str">
        <f>IF(AA221="","",IF(VLOOKUP(AA221,'G-3 Multipliers'!$L$3:$N$6,2,FALSE)=0,"Spatial Data Missing ⚠",VLOOKUP(AA221,'G-3 Multipliers'!$L$3:$N$6,2,FALSE)))</f>
        <v/>
      </c>
      <c r="AC221" s="314" t="str">
        <f>IF(AA221="","",IF(VLOOKUP(AA221,'G-3 Multipliers'!$L$3:$N$6,3,FALSE)=0,"Spatial Data Missing ⚠",VLOOKUP(AA221,'G-3 Multipliers'!$L$3:$N$6,3,FALSE)))</f>
        <v/>
      </c>
      <c r="AD221" s="327" t="str">
        <f t="shared" si="34"/>
        <v/>
      </c>
      <c r="AE221" s="47"/>
      <c r="AF221" s="47"/>
      <c r="AG221" s="298" t="str">
        <f t="shared" si="38"/>
        <v/>
      </c>
      <c r="AH221" s="311" t="str">
        <f t="shared" si="39"/>
        <v/>
      </c>
      <c r="AI221" s="312" t="str">
        <f>IF(AH221="Check Data","Check Data",IFERROR(VLOOKUP(AH221,'G-4 Temporal multipliers'!$A$4:$C$36,3,FALSE),""))</f>
        <v/>
      </c>
      <c r="AJ221" s="290" t="str">
        <f>IF(S221="","",VLOOKUP(S221,'G-3 Multipliers'!$A$2:$E$134,4,FALSE))</f>
        <v/>
      </c>
      <c r="AK221" s="298" t="str">
        <f t="shared" si="40"/>
        <v/>
      </c>
      <c r="AL221" s="298" t="str">
        <f t="shared" si="41"/>
        <v/>
      </c>
      <c r="AM221" s="328" t="str">
        <f>IFERROR(IF(F221="","",IF(AH221="Check Data ⚠","Check Data ⚠",VLOOKUP(AL221, 'G-3 Multipliers'!$P$2:$Q$6,2,FALSE))),"")</f>
        <v/>
      </c>
      <c r="AN221" s="304" t="str">
        <f t="shared" si="42"/>
        <v/>
      </c>
      <c r="AO221" s="163"/>
      <c r="AP221" s="164"/>
      <c r="AQ221" s="101"/>
      <c r="AT221" s="20" t="str">
        <f t="shared" si="43"/>
        <v>No</v>
      </c>
      <c r="AU221" s="20" t="str">
        <f>IF(E221="","",IF(ISNA(VLOOKUP($E221,'A-1 On-Site Habitat Baseline'!$D$1:$AV$258,4,FALSE)),"",(VLOOKUP($E221,'A-1 On-Site Habitat Baseline'!$D$1:$AV$258,4,FALSE))))</f>
        <v/>
      </c>
    </row>
    <row r="222" spans="1:47" x14ac:dyDescent="0.3">
      <c r="A222" s="20" t="str">
        <f>IF(E222="","",IF(ISNA(VLOOKUP($E222,'A-1 On-Site Habitat Baseline'!$D$1:$O$258,2,FALSE)),"",(VLOOKUP($E222,'A-1 On-Site Habitat Baseline'!$D$1:$O$258,2,FALSE))))</f>
        <v/>
      </c>
      <c r="B222" s="20" t="str">
        <f>IF(E222="","",IF(ISNA(VLOOKUP($E222,'A-1 On-Site Habitat Baseline'!$D$1:$O$258,3,FALSE)),"",(VLOOKUP($E222,'A-1 On-Site Habitat Baseline'!$D$1:$O$258,3,FALSE))))</f>
        <v/>
      </c>
      <c r="C222" s="20" t="str">
        <f>IFERROR(INDEX('G-8 Condition Look up'!$I$4:$I$135,MATCH(S222,'G-8 Condition Look up'!$A$4:$A$135,0)),"")</f>
        <v/>
      </c>
      <c r="E222" s="319" t="str">
        <f>'A-1 On-Site Habitat Baseline'!AL221</f>
        <v/>
      </c>
      <c r="F222" s="310" t="str">
        <f>IF(E222="","",IF(ISNA(VLOOKUP($E222,'A-1 On-Site Habitat Baseline'!$D$1:$AV$258,45,FALSE)),"",(VLOOKUP($E222,'A-1 On-Site Habitat Baseline'!$D$1:$AV$258,45,FALSE))))</f>
        <v/>
      </c>
      <c r="G222" s="310" t="str">
        <f>IF(E222="","",IF(ISNA(VLOOKUP($E222,'A-1 On-Site Habitat Baseline'!$D$1:$O$258,5,FALSE)),"",(VLOOKUP($E222,'A-1 On-Site Habitat Baseline'!$D$1:$O$258,5,FALSE))))</f>
        <v/>
      </c>
      <c r="H222" s="310" t="str">
        <f>IF(E222="","",IF(ISNA(VLOOKUP($E222,'A-1 On-Site Habitat Baseline'!$D$1:$O$258,6,FALSE)),"",(VLOOKUP($E222,'A-1 On-Site Habitat Baseline'!$D$1:$O$258,6,FALSE))))</f>
        <v/>
      </c>
      <c r="I222" s="310" t="str">
        <f>IF(E222="","",IF(ISNA(VLOOKUP($E222,'A-1 On-Site Habitat Baseline'!$D$1:$O$258,7,FALSE)),"",(VLOOKUP($E222,'A-1 On-Site Habitat Baseline'!$D$1:$O$258,7,FALSE))))</f>
        <v/>
      </c>
      <c r="J222" s="310" t="str">
        <f>IF(E222="","",IF(ISNA(VLOOKUP($E222,'A-1 On-Site Habitat Baseline'!$D$1:$O$258,8,FALSE)),"",(VLOOKUP($E222,'A-1 On-Site Habitat Baseline'!$D$1:$O$258,8,FALSE))))</f>
        <v/>
      </c>
      <c r="K222" s="310" t="str">
        <f>IF(E222="","",IF(ISNA(VLOOKUP($E222,'A-1 On-Site Habitat Baseline'!$D$1:$O$258,9,FALSE)),"",(VLOOKUP($E222,'A-1 On-Site Habitat Baseline'!$D$1:$O$258,9,FALSE))))</f>
        <v/>
      </c>
      <c r="L222" s="310" t="str">
        <f>IF(E222="","",IF(ISNA(VLOOKUP($E222,'A-1 On-Site Habitat Baseline'!$D$1:$O$258,11,FALSE)),"",(VLOOKUP($E222,'A-1 On-Site Habitat Baseline'!$D$1:$O$258,11,FALSE))))</f>
        <v/>
      </c>
      <c r="M222" s="310" t="str">
        <f>IF(E222="","",IF(ISNA(VLOOKUP($E222,'A-1 On-Site Habitat Baseline'!$D$1:$O$258,12,FALSE)),"",(VLOOKUP($E222,'A-1 On-Site Habitat Baseline'!$D$1:$O$258,12,FALSE))))</f>
        <v/>
      </c>
      <c r="N222" s="320" t="str">
        <f>IF(E222="","",IF(ISNA(VLOOKUP($E222,'A-1 On-Site Habitat Baseline'!$D$1:$X$258,14,FALSE)),"",(VLOOKUP($E222,'A-1 On-Site Habitat Baseline'!$D$1:$X$258,14,FALSE))))</f>
        <v/>
      </c>
      <c r="O222" s="314" t="str">
        <f>IF(E222="","",IF(ISNA(VLOOKUP($E222,'A-1 On-Site Habitat Baseline'!$D$1:$X$258,16,FALSE)),"",(VLOOKUP($E222,'A-1 On-Site Habitat Baseline'!$D$1:$X$258,13,FALSE))))</f>
        <v/>
      </c>
      <c r="P222" s="161" t="str">
        <f>IFERROR(INDEX('G-1 All Habitats'!$AG$49:$AG$63,MATCH(Q222,'G-1 All Habitats'!$AF$27:$AF$41,0)),"")</f>
        <v/>
      </c>
      <c r="Q222" s="162" t="str">
        <f t="shared" si="35"/>
        <v/>
      </c>
      <c r="R222" s="162"/>
      <c r="S222" s="252" t="str">
        <f>IFERROR(INDEX('G-1 All Habitats'!$B$3:$B$135,MATCH(R222,'G-1 All Habitats'!$A$3:$A$135,0)),"")</f>
        <v/>
      </c>
      <c r="T222" s="290" t="str">
        <f t="shared" si="36"/>
        <v/>
      </c>
      <c r="U222" s="291" t="str">
        <f t="shared" si="37"/>
        <v/>
      </c>
      <c r="V222" s="325" t="str">
        <f t="shared" si="33"/>
        <v/>
      </c>
      <c r="W222" s="310" t="str">
        <f>IF(S222="","",VLOOKUP(S222,'G-1 All Habitats'!$B$2:$M$135,10,FALSE))</f>
        <v/>
      </c>
      <c r="X222" s="310" t="str">
        <f>IFERROR(VLOOKUP(W222,'G-1 All Habitats'!$V$3:$W$7,2,FALSE),"")</f>
        <v/>
      </c>
      <c r="Y222" s="45"/>
      <c r="Z222" s="314" t="str">
        <f>IFERROR(INDEX('G-8 Condition Look up'!$A$3:$H$135,MATCH(S222,'G-8 Condition Look up'!$A$3:$A$135,0),MATCH(Y222,'G-8 Condition Look up'!$A$3:$H$3,0)),"")</f>
        <v/>
      </c>
      <c r="AA222" s="38"/>
      <c r="AB222" s="310" t="str">
        <f>IF(AA222="","",IF(VLOOKUP(AA222,'G-3 Multipliers'!$L$3:$N$6,2,FALSE)=0,"Spatial Data Missing ⚠",VLOOKUP(AA222,'G-3 Multipliers'!$L$3:$N$6,2,FALSE)))</f>
        <v/>
      </c>
      <c r="AC222" s="314" t="str">
        <f>IF(AA222="","",IF(VLOOKUP(AA222,'G-3 Multipliers'!$L$3:$N$6,3,FALSE)=0,"Spatial Data Missing ⚠",VLOOKUP(AA222,'G-3 Multipliers'!$L$3:$N$6,3,FALSE)))</f>
        <v/>
      </c>
      <c r="AD222" s="327" t="str">
        <f t="shared" si="34"/>
        <v/>
      </c>
      <c r="AE222" s="47"/>
      <c r="AF222" s="47"/>
      <c r="AG222" s="298" t="str">
        <f t="shared" si="38"/>
        <v/>
      </c>
      <c r="AH222" s="311" t="str">
        <f t="shared" si="39"/>
        <v/>
      </c>
      <c r="AI222" s="312" t="str">
        <f>IF(AH222="Check Data","Check Data",IFERROR(VLOOKUP(AH222,'G-4 Temporal multipliers'!$A$4:$C$36,3,FALSE),""))</f>
        <v/>
      </c>
      <c r="AJ222" s="290" t="str">
        <f>IF(S222="","",VLOOKUP(S222,'G-3 Multipliers'!$A$2:$E$134,4,FALSE))</f>
        <v/>
      </c>
      <c r="AK222" s="298" t="str">
        <f t="shared" si="40"/>
        <v/>
      </c>
      <c r="AL222" s="298" t="str">
        <f t="shared" si="41"/>
        <v/>
      </c>
      <c r="AM222" s="328" t="str">
        <f>IFERROR(IF(F222="","",IF(AH222="Check Data ⚠","Check Data ⚠",VLOOKUP(AL222, 'G-3 Multipliers'!$P$2:$Q$6,2,FALSE))),"")</f>
        <v/>
      </c>
      <c r="AN222" s="304" t="str">
        <f t="shared" si="42"/>
        <v/>
      </c>
      <c r="AO222" s="163"/>
      <c r="AP222" s="164"/>
      <c r="AQ222" s="101"/>
      <c r="AT222" s="20" t="str">
        <f t="shared" si="43"/>
        <v>No</v>
      </c>
      <c r="AU222" s="20" t="str">
        <f>IF(E222="","",IF(ISNA(VLOOKUP($E222,'A-1 On-Site Habitat Baseline'!$D$1:$AV$258,4,FALSE)),"",(VLOOKUP($E222,'A-1 On-Site Habitat Baseline'!$D$1:$AV$258,4,FALSE))))</f>
        <v/>
      </c>
    </row>
    <row r="223" spans="1:47" x14ac:dyDescent="0.3">
      <c r="A223" s="20" t="str">
        <f>IF(E223="","",IF(ISNA(VLOOKUP($E223,'A-1 On-Site Habitat Baseline'!$D$1:$O$258,2,FALSE)),"",(VLOOKUP($E223,'A-1 On-Site Habitat Baseline'!$D$1:$O$258,2,FALSE))))</f>
        <v/>
      </c>
      <c r="B223" s="20" t="str">
        <f>IF(E223="","",IF(ISNA(VLOOKUP($E223,'A-1 On-Site Habitat Baseline'!$D$1:$O$258,3,FALSE)),"",(VLOOKUP($E223,'A-1 On-Site Habitat Baseline'!$D$1:$O$258,3,FALSE))))</f>
        <v/>
      </c>
      <c r="C223" s="20" t="str">
        <f>IFERROR(INDEX('G-8 Condition Look up'!$I$4:$I$135,MATCH(S223,'G-8 Condition Look up'!$A$4:$A$135,0)),"")</f>
        <v/>
      </c>
      <c r="E223" s="319" t="str">
        <f>'A-1 On-Site Habitat Baseline'!AL222</f>
        <v/>
      </c>
      <c r="F223" s="310" t="str">
        <f>IF(E223="","",IF(ISNA(VLOOKUP($E223,'A-1 On-Site Habitat Baseline'!$D$1:$AV$258,45,FALSE)),"",(VLOOKUP($E223,'A-1 On-Site Habitat Baseline'!$D$1:$AV$258,45,FALSE))))</f>
        <v/>
      </c>
      <c r="G223" s="310" t="str">
        <f>IF(E223="","",IF(ISNA(VLOOKUP($E223,'A-1 On-Site Habitat Baseline'!$D$1:$O$258,5,FALSE)),"",(VLOOKUP($E223,'A-1 On-Site Habitat Baseline'!$D$1:$O$258,5,FALSE))))</f>
        <v/>
      </c>
      <c r="H223" s="310" t="str">
        <f>IF(E223="","",IF(ISNA(VLOOKUP($E223,'A-1 On-Site Habitat Baseline'!$D$1:$O$258,6,FALSE)),"",(VLOOKUP($E223,'A-1 On-Site Habitat Baseline'!$D$1:$O$258,6,FALSE))))</f>
        <v/>
      </c>
      <c r="I223" s="310" t="str">
        <f>IF(E223="","",IF(ISNA(VLOOKUP($E223,'A-1 On-Site Habitat Baseline'!$D$1:$O$258,7,FALSE)),"",(VLOOKUP($E223,'A-1 On-Site Habitat Baseline'!$D$1:$O$258,7,FALSE))))</f>
        <v/>
      </c>
      <c r="J223" s="310" t="str">
        <f>IF(E223="","",IF(ISNA(VLOOKUP($E223,'A-1 On-Site Habitat Baseline'!$D$1:$O$258,8,FALSE)),"",(VLOOKUP($E223,'A-1 On-Site Habitat Baseline'!$D$1:$O$258,8,FALSE))))</f>
        <v/>
      </c>
      <c r="K223" s="310" t="str">
        <f>IF(E223="","",IF(ISNA(VLOOKUP($E223,'A-1 On-Site Habitat Baseline'!$D$1:$O$258,9,FALSE)),"",(VLOOKUP($E223,'A-1 On-Site Habitat Baseline'!$D$1:$O$258,9,FALSE))))</f>
        <v/>
      </c>
      <c r="L223" s="310" t="str">
        <f>IF(E223="","",IF(ISNA(VLOOKUP($E223,'A-1 On-Site Habitat Baseline'!$D$1:$O$258,11,FALSE)),"",(VLOOKUP($E223,'A-1 On-Site Habitat Baseline'!$D$1:$O$258,11,FALSE))))</f>
        <v/>
      </c>
      <c r="M223" s="310" t="str">
        <f>IF(E223="","",IF(ISNA(VLOOKUP($E223,'A-1 On-Site Habitat Baseline'!$D$1:$O$258,12,FALSE)),"",(VLOOKUP($E223,'A-1 On-Site Habitat Baseline'!$D$1:$O$258,12,FALSE))))</f>
        <v/>
      </c>
      <c r="N223" s="320" t="str">
        <f>IF(E223="","",IF(ISNA(VLOOKUP($E223,'A-1 On-Site Habitat Baseline'!$D$1:$X$258,14,FALSE)),"",(VLOOKUP($E223,'A-1 On-Site Habitat Baseline'!$D$1:$X$258,14,FALSE))))</f>
        <v/>
      </c>
      <c r="O223" s="314" t="str">
        <f>IF(E223="","",IF(ISNA(VLOOKUP($E223,'A-1 On-Site Habitat Baseline'!$D$1:$X$258,16,FALSE)),"",(VLOOKUP($E223,'A-1 On-Site Habitat Baseline'!$D$1:$X$258,13,FALSE))))</f>
        <v/>
      </c>
      <c r="P223" s="161" t="str">
        <f>IFERROR(INDEX('G-1 All Habitats'!$AG$49:$AG$63,MATCH(Q223,'G-1 All Habitats'!$AF$27:$AF$41,0)),"")</f>
        <v/>
      </c>
      <c r="Q223" s="162" t="str">
        <f t="shared" si="35"/>
        <v/>
      </c>
      <c r="R223" s="162"/>
      <c r="S223" s="252" t="str">
        <f>IFERROR(INDEX('G-1 All Habitats'!$B$3:$B$135,MATCH(R223,'G-1 All Habitats'!$A$3:$A$135,0)),"")</f>
        <v/>
      </c>
      <c r="T223" s="290" t="str">
        <f t="shared" si="36"/>
        <v/>
      </c>
      <c r="U223" s="291" t="str">
        <f t="shared" si="37"/>
        <v/>
      </c>
      <c r="V223" s="325" t="str">
        <f t="shared" si="33"/>
        <v/>
      </c>
      <c r="W223" s="310" t="str">
        <f>IF(S223="","",VLOOKUP(S223,'G-1 All Habitats'!$B$2:$M$135,10,FALSE))</f>
        <v/>
      </c>
      <c r="X223" s="310" t="str">
        <f>IFERROR(VLOOKUP(W223,'G-1 All Habitats'!$V$3:$W$7,2,FALSE),"")</f>
        <v/>
      </c>
      <c r="Y223" s="45"/>
      <c r="Z223" s="314" t="str">
        <f>IFERROR(INDEX('G-8 Condition Look up'!$A$3:$H$135,MATCH(S223,'G-8 Condition Look up'!$A$3:$A$135,0),MATCH(Y223,'G-8 Condition Look up'!$A$3:$H$3,0)),"")</f>
        <v/>
      </c>
      <c r="AA223" s="38"/>
      <c r="AB223" s="310" t="str">
        <f>IF(AA223="","",IF(VLOOKUP(AA223,'G-3 Multipliers'!$L$3:$N$6,2,FALSE)=0,"Spatial Data Missing ⚠",VLOOKUP(AA223,'G-3 Multipliers'!$L$3:$N$6,2,FALSE)))</f>
        <v/>
      </c>
      <c r="AC223" s="314" t="str">
        <f>IF(AA223="","",IF(VLOOKUP(AA223,'G-3 Multipliers'!$L$3:$N$6,3,FALSE)=0,"Spatial Data Missing ⚠",VLOOKUP(AA223,'G-3 Multipliers'!$L$3:$N$6,3,FALSE)))</f>
        <v/>
      </c>
      <c r="AD223" s="327" t="str">
        <f t="shared" si="34"/>
        <v/>
      </c>
      <c r="AE223" s="47"/>
      <c r="AF223" s="47"/>
      <c r="AG223" s="298" t="str">
        <f t="shared" si="38"/>
        <v/>
      </c>
      <c r="AH223" s="311" t="str">
        <f t="shared" si="39"/>
        <v/>
      </c>
      <c r="AI223" s="312" t="str">
        <f>IF(AH223="Check Data","Check Data",IFERROR(VLOOKUP(AH223,'G-4 Temporal multipliers'!$A$4:$C$36,3,FALSE),""))</f>
        <v/>
      </c>
      <c r="AJ223" s="290" t="str">
        <f>IF(S223="","",VLOOKUP(S223,'G-3 Multipliers'!$A$2:$E$134,4,FALSE))</f>
        <v/>
      </c>
      <c r="AK223" s="298" t="str">
        <f t="shared" si="40"/>
        <v/>
      </c>
      <c r="AL223" s="298" t="str">
        <f t="shared" si="41"/>
        <v/>
      </c>
      <c r="AM223" s="328" t="str">
        <f>IFERROR(IF(F223="","",IF(AH223="Check Data ⚠","Check Data ⚠",VLOOKUP(AL223, 'G-3 Multipliers'!$P$2:$Q$6,2,FALSE))),"")</f>
        <v/>
      </c>
      <c r="AN223" s="304" t="str">
        <f t="shared" si="42"/>
        <v/>
      </c>
      <c r="AO223" s="163"/>
      <c r="AP223" s="164"/>
      <c r="AQ223" s="101"/>
      <c r="AT223" s="20" t="str">
        <f t="shared" si="43"/>
        <v>No</v>
      </c>
      <c r="AU223" s="20" t="str">
        <f>IF(E223="","",IF(ISNA(VLOOKUP($E223,'A-1 On-Site Habitat Baseline'!$D$1:$AV$258,4,FALSE)),"",(VLOOKUP($E223,'A-1 On-Site Habitat Baseline'!$D$1:$AV$258,4,FALSE))))</f>
        <v/>
      </c>
    </row>
    <row r="224" spans="1:47" x14ac:dyDescent="0.3">
      <c r="A224" s="20" t="str">
        <f>IF(E224="","",IF(ISNA(VLOOKUP($E224,'A-1 On-Site Habitat Baseline'!$D$1:$O$258,2,FALSE)),"",(VLOOKUP($E224,'A-1 On-Site Habitat Baseline'!$D$1:$O$258,2,FALSE))))</f>
        <v/>
      </c>
      <c r="B224" s="20" t="str">
        <f>IF(E224="","",IF(ISNA(VLOOKUP($E224,'A-1 On-Site Habitat Baseline'!$D$1:$O$258,3,FALSE)),"",(VLOOKUP($E224,'A-1 On-Site Habitat Baseline'!$D$1:$O$258,3,FALSE))))</f>
        <v/>
      </c>
      <c r="C224" s="20" t="str">
        <f>IFERROR(INDEX('G-8 Condition Look up'!$I$4:$I$135,MATCH(S224,'G-8 Condition Look up'!$A$4:$A$135,0)),"")</f>
        <v/>
      </c>
      <c r="E224" s="319" t="str">
        <f>'A-1 On-Site Habitat Baseline'!AL223</f>
        <v/>
      </c>
      <c r="F224" s="310" t="str">
        <f>IF(E224="","",IF(ISNA(VLOOKUP($E224,'A-1 On-Site Habitat Baseline'!$D$1:$AV$258,45,FALSE)),"",(VLOOKUP($E224,'A-1 On-Site Habitat Baseline'!$D$1:$AV$258,45,FALSE))))</f>
        <v/>
      </c>
      <c r="G224" s="310" t="str">
        <f>IF(E224="","",IF(ISNA(VLOOKUP($E224,'A-1 On-Site Habitat Baseline'!$D$1:$O$258,5,FALSE)),"",(VLOOKUP($E224,'A-1 On-Site Habitat Baseline'!$D$1:$O$258,5,FALSE))))</f>
        <v/>
      </c>
      <c r="H224" s="310" t="str">
        <f>IF(E224="","",IF(ISNA(VLOOKUP($E224,'A-1 On-Site Habitat Baseline'!$D$1:$O$258,6,FALSE)),"",(VLOOKUP($E224,'A-1 On-Site Habitat Baseline'!$D$1:$O$258,6,FALSE))))</f>
        <v/>
      </c>
      <c r="I224" s="310" t="str">
        <f>IF(E224="","",IF(ISNA(VLOOKUP($E224,'A-1 On-Site Habitat Baseline'!$D$1:$O$258,7,FALSE)),"",(VLOOKUP($E224,'A-1 On-Site Habitat Baseline'!$D$1:$O$258,7,FALSE))))</f>
        <v/>
      </c>
      <c r="J224" s="310" t="str">
        <f>IF(E224="","",IF(ISNA(VLOOKUP($E224,'A-1 On-Site Habitat Baseline'!$D$1:$O$258,8,FALSE)),"",(VLOOKUP($E224,'A-1 On-Site Habitat Baseline'!$D$1:$O$258,8,FALSE))))</f>
        <v/>
      </c>
      <c r="K224" s="310" t="str">
        <f>IF(E224="","",IF(ISNA(VLOOKUP($E224,'A-1 On-Site Habitat Baseline'!$D$1:$O$258,9,FALSE)),"",(VLOOKUP($E224,'A-1 On-Site Habitat Baseline'!$D$1:$O$258,9,FALSE))))</f>
        <v/>
      </c>
      <c r="L224" s="310" t="str">
        <f>IF(E224="","",IF(ISNA(VLOOKUP($E224,'A-1 On-Site Habitat Baseline'!$D$1:$O$258,11,FALSE)),"",(VLOOKUP($E224,'A-1 On-Site Habitat Baseline'!$D$1:$O$258,11,FALSE))))</f>
        <v/>
      </c>
      <c r="M224" s="310" t="str">
        <f>IF(E224="","",IF(ISNA(VLOOKUP($E224,'A-1 On-Site Habitat Baseline'!$D$1:$O$258,12,FALSE)),"",(VLOOKUP($E224,'A-1 On-Site Habitat Baseline'!$D$1:$O$258,12,FALSE))))</f>
        <v/>
      </c>
      <c r="N224" s="320" t="str">
        <f>IF(E224="","",IF(ISNA(VLOOKUP($E224,'A-1 On-Site Habitat Baseline'!$D$1:$X$258,14,FALSE)),"",(VLOOKUP($E224,'A-1 On-Site Habitat Baseline'!$D$1:$X$258,14,FALSE))))</f>
        <v/>
      </c>
      <c r="O224" s="314" t="str">
        <f>IF(E224="","",IF(ISNA(VLOOKUP($E224,'A-1 On-Site Habitat Baseline'!$D$1:$X$258,16,FALSE)),"",(VLOOKUP($E224,'A-1 On-Site Habitat Baseline'!$D$1:$X$258,13,FALSE))))</f>
        <v/>
      </c>
      <c r="P224" s="161" t="str">
        <f>IFERROR(INDEX('G-1 All Habitats'!$AG$49:$AG$63,MATCH(Q224,'G-1 All Habitats'!$AF$27:$AF$41,0)),"")</f>
        <v/>
      </c>
      <c r="Q224" s="162" t="str">
        <f t="shared" si="35"/>
        <v/>
      </c>
      <c r="R224" s="162"/>
      <c r="S224" s="252" t="str">
        <f>IFERROR(INDEX('G-1 All Habitats'!$B$3:$B$135,MATCH(R224,'G-1 All Habitats'!$A$3:$A$135,0)),"")</f>
        <v/>
      </c>
      <c r="T224" s="290" t="str">
        <f t="shared" si="36"/>
        <v/>
      </c>
      <c r="U224" s="291" t="str">
        <f t="shared" si="37"/>
        <v/>
      </c>
      <c r="V224" s="325" t="str">
        <f t="shared" si="33"/>
        <v/>
      </c>
      <c r="W224" s="310" t="str">
        <f>IF(S224="","",VLOOKUP(S224,'G-1 All Habitats'!$B$2:$M$135,10,FALSE))</f>
        <v/>
      </c>
      <c r="X224" s="310" t="str">
        <f>IFERROR(VLOOKUP(W224,'G-1 All Habitats'!$V$3:$W$7,2,FALSE),"")</f>
        <v/>
      </c>
      <c r="Y224" s="45"/>
      <c r="Z224" s="314" t="str">
        <f>IFERROR(INDEX('G-8 Condition Look up'!$A$3:$H$135,MATCH(S224,'G-8 Condition Look up'!$A$3:$A$135,0),MATCH(Y224,'G-8 Condition Look up'!$A$3:$H$3,0)),"")</f>
        <v/>
      </c>
      <c r="AA224" s="38"/>
      <c r="AB224" s="310" t="str">
        <f>IF(AA224="","",IF(VLOOKUP(AA224,'G-3 Multipliers'!$L$3:$N$6,2,FALSE)=0,"Spatial Data Missing ⚠",VLOOKUP(AA224,'G-3 Multipliers'!$L$3:$N$6,2,FALSE)))</f>
        <v/>
      </c>
      <c r="AC224" s="314" t="str">
        <f>IF(AA224="","",IF(VLOOKUP(AA224,'G-3 Multipliers'!$L$3:$N$6,3,FALSE)=0,"Spatial Data Missing ⚠",VLOOKUP(AA224,'G-3 Multipliers'!$L$3:$N$6,3,FALSE)))</f>
        <v/>
      </c>
      <c r="AD224" s="327" t="str">
        <f t="shared" si="34"/>
        <v/>
      </c>
      <c r="AE224" s="47"/>
      <c r="AF224" s="47"/>
      <c r="AG224" s="298" t="str">
        <f t="shared" si="38"/>
        <v/>
      </c>
      <c r="AH224" s="311" t="str">
        <f t="shared" si="39"/>
        <v/>
      </c>
      <c r="AI224" s="312" t="str">
        <f>IF(AH224="Check Data","Check Data",IFERROR(VLOOKUP(AH224,'G-4 Temporal multipliers'!$A$4:$C$36,3,FALSE),""))</f>
        <v/>
      </c>
      <c r="AJ224" s="290" t="str">
        <f>IF(S224="","",VLOOKUP(S224,'G-3 Multipliers'!$A$2:$E$134,4,FALSE))</f>
        <v/>
      </c>
      <c r="AK224" s="298" t="str">
        <f t="shared" si="40"/>
        <v/>
      </c>
      <c r="AL224" s="298" t="str">
        <f t="shared" si="41"/>
        <v/>
      </c>
      <c r="AM224" s="328" t="str">
        <f>IFERROR(IF(F224="","",IF(AH224="Check Data ⚠","Check Data ⚠",VLOOKUP(AL224, 'G-3 Multipliers'!$P$2:$Q$6,2,FALSE))),"")</f>
        <v/>
      </c>
      <c r="AN224" s="304" t="str">
        <f t="shared" si="42"/>
        <v/>
      </c>
      <c r="AO224" s="163"/>
      <c r="AP224" s="164"/>
      <c r="AQ224" s="101"/>
      <c r="AT224" s="20" t="str">
        <f t="shared" si="43"/>
        <v>No</v>
      </c>
      <c r="AU224" s="20" t="str">
        <f>IF(E224="","",IF(ISNA(VLOOKUP($E224,'A-1 On-Site Habitat Baseline'!$D$1:$AV$258,4,FALSE)),"",(VLOOKUP($E224,'A-1 On-Site Habitat Baseline'!$D$1:$AV$258,4,FALSE))))</f>
        <v/>
      </c>
    </row>
    <row r="225" spans="1:47" x14ac:dyDescent="0.3">
      <c r="A225" s="20" t="str">
        <f>IF(E225="","",IF(ISNA(VLOOKUP($E225,'A-1 On-Site Habitat Baseline'!$D$1:$O$258,2,FALSE)),"",(VLOOKUP($E225,'A-1 On-Site Habitat Baseline'!$D$1:$O$258,2,FALSE))))</f>
        <v/>
      </c>
      <c r="B225" s="20" t="str">
        <f>IF(E225="","",IF(ISNA(VLOOKUP($E225,'A-1 On-Site Habitat Baseline'!$D$1:$O$258,3,FALSE)),"",(VLOOKUP($E225,'A-1 On-Site Habitat Baseline'!$D$1:$O$258,3,FALSE))))</f>
        <v/>
      </c>
      <c r="C225" s="20" t="str">
        <f>IFERROR(INDEX('G-8 Condition Look up'!$I$4:$I$135,MATCH(S225,'G-8 Condition Look up'!$A$4:$A$135,0)),"")</f>
        <v/>
      </c>
      <c r="E225" s="319" t="str">
        <f>'A-1 On-Site Habitat Baseline'!AL224</f>
        <v/>
      </c>
      <c r="F225" s="310" t="str">
        <f>IF(E225="","",IF(ISNA(VLOOKUP($E225,'A-1 On-Site Habitat Baseline'!$D$1:$AV$258,45,FALSE)),"",(VLOOKUP($E225,'A-1 On-Site Habitat Baseline'!$D$1:$AV$258,45,FALSE))))</f>
        <v/>
      </c>
      <c r="G225" s="310" t="str">
        <f>IF(E225="","",IF(ISNA(VLOOKUP($E225,'A-1 On-Site Habitat Baseline'!$D$1:$O$258,5,FALSE)),"",(VLOOKUP($E225,'A-1 On-Site Habitat Baseline'!$D$1:$O$258,5,FALSE))))</f>
        <v/>
      </c>
      <c r="H225" s="310" t="str">
        <f>IF(E225="","",IF(ISNA(VLOOKUP($E225,'A-1 On-Site Habitat Baseline'!$D$1:$O$258,6,FALSE)),"",(VLOOKUP($E225,'A-1 On-Site Habitat Baseline'!$D$1:$O$258,6,FALSE))))</f>
        <v/>
      </c>
      <c r="I225" s="310" t="str">
        <f>IF(E225="","",IF(ISNA(VLOOKUP($E225,'A-1 On-Site Habitat Baseline'!$D$1:$O$258,7,FALSE)),"",(VLOOKUP($E225,'A-1 On-Site Habitat Baseline'!$D$1:$O$258,7,FALSE))))</f>
        <v/>
      </c>
      <c r="J225" s="310" t="str">
        <f>IF(E225="","",IF(ISNA(VLOOKUP($E225,'A-1 On-Site Habitat Baseline'!$D$1:$O$258,8,FALSE)),"",(VLOOKUP($E225,'A-1 On-Site Habitat Baseline'!$D$1:$O$258,8,FALSE))))</f>
        <v/>
      </c>
      <c r="K225" s="310" t="str">
        <f>IF(E225="","",IF(ISNA(VLOOKUP($E225,'A-1 On-Site Habitat Baseline'!$D$1:$O$258,9,FALSE)),"",(VLOOKUP($E225,'A-1 On-Site Habitat Baseline'!$D$1:$O$258,9,FALSE))))</f>
        <v/>
      </c>
      <c r="L225" s="310" t="str">
        <f>IF(E225="","",IF(ISNA(VLOOKUP($E225,'A-1 On-Site Habitat Baseline'!$D$1:$O$258,11,FALSE)),"",(VLOOKUP($E225,'A-1 On-Site Habitat Baseline'!$D$1:$O$258,11,FALSE))))</f>
        <v/>
      </c>
      <c r="M225" s="310" t="str">
        <f>IF(E225="","",IF(ISNA(VLOOKUP($E225,'A-1 On-Site Habitat Baseline'!$D$1:$O$258,12,FALSE)),"",(VLOOKUP($E225,'A-1 On-Site Habitat Baseline'!$D$1:$O$258,12,FALSE))))</f>
        <v/>
      </c>
      <c r="N225" s="320" t="str">
        <f>IF(E225="","",IF(ISNA(VLOOKUP($E225,'A-1 On-Site Habitat Baseline'!$D$1:$X$258,14,FALSE)),"",(VLOOKUP($E225,'A-1 On-Site Habitat Baseline'!$D$1:$X$258,14,FALSE))))</f>
        <v/>
      </c>
      <c r="O225" s="314" t="str">
        <f>IF(E225="","",IF(ISNA(VLOOKUP($E225,'A-1 On-Site Habitat Baseline'!$D$1:$X$258,16,FALSE)),"",(VLOOKUP($E225,'A-1 On-Site Habitat Baseline'!$D$1:$X$258,13,FALSE))))</f>
        <v/>
      </c>
      <c r="P225" s="161" t="str">
        <f>IFERROR(INDEX('G-1 All Habitats'!$AG$49:$AG$63,MATCH(Q225,'G-1 All Habitats'!$AF$27:$AF$41,0)),"")</f>
        <v/>
      </c>
      <c r="Q225" s="162" t="str">
        <f t="shared" si="35"/>
        <v/>
      </c>
      <c r="R225" s="162"/>
      <c r="S225" s="252" t="str">
        <f>IFERROR(INDEX('G-1 All Habitats'!$B$3:$B$135,MATCH(R225,'G-1 All Habitats'!$A$3:$A$135,0)),"")</f>
        <v/>
      </c>
      <c r="T225" s="290" t="str">
        <f t="shared" si="36"/>
        <v/>
      </c>
      <c r="U225" s="291" t="str">
        <f t="shared" si="37"/>
        <v/>
      </c>
      <c r="V225" s="325" t="str">
        <f t="shared" si="33"/>
        <v/>
      </c>
      <c r="W225" s="310" t="str">
        <f>IF(S225="","",VLOOKUP(S225,'G-1 All Habitats'!$B$2:$M$135,10,FALSE))</f>
        <v/>
      </c>
      <c r="X225" s="310" t="str">
        <f>IFERROR(VLOOKUP(W225,'G-1 All Habitats'!$V$3:$W$7,2,FALSE),"")</f>
        <v/>
      </c>
      <c r="Y225" s="45"/>
      <c r="Z225" s="314" t="str">
        <f>IFERROR(INDEX('G-8 Condition Look up'!$A$3:$H$135,MATCH(S225,'G-8 Condition Look up'!$A$3:$A$135,0),MATCH(Y225,'G-8 Condition Look up'!$A$3:$H$3,0)),"")</f>
        <v/>
      </c>
      <c r="AA225" s="38"/>
      <c r="AB225" s="310" t="str">
        <f>IF(AA225="","",IF(VLOOKUP(AA225,'G-3 Multipliers'!$L$3:$N$6,2,FALSE)=0,"Spatial Data Missing ⚠",VLOOKUP(AA225,'G-3 Multipliers'!$L$3:$N$6,2,FALSE)))</f>
        <v/>
      </c>
      <c r="AC225" s="314" t="str">
        <f>IF(AA225="","",IF(VLOOKUP(AA225,'G-3 Multipliers'!$L$3:$N$6,3,FALSE)=0,"Spatial Data Missing ⚠",VLOOKUP(AA225,'G-3 Multipliers'!$L$3:$N$6,3,FALSE)))</f>
        <v/>
      </c>
      <c r="AD225" s="327" t="str">
        <f t="shared" si="34"/>
        <v/>
      </c>
      <c r="AE225" s="47"/>
      <c r="AF225" s="47"/>
      <c r="AG225" s="298" t="str">
        <f t="shared" si="38"/>
        <v/>
      </c>
      <c r="AH225" s="311" t="str">
        <f t="shared" si="39"/>
        <v/>
      </c>
      <c r="AI225" s="312" t="str">
        <f>IF(AH225="Check Data","Check Data",IFERROR(VLOOKUP(AH225,'G-4 Temporal multipliers'!$A$4:$C$36,3,FALSE),""))</f>
        <v/>
      </c>
      <c r="AJ225" s="290" t="str">
        <f>IF(S225="","",VLOOKUP(S225,'G-3 Multipliers'!$A$2:$E$134,4,FALSE))</f>
        <v/>
      </c>
      <c r="AK225" s="298" t="str">
        <f t="shared" si="40"/>
        <v/>
      </c>
      <c r="AL225" s="298" t="str">
        <f t="shared" si="41"/>
        <v/>
      </c>
      <c r="AM225" s="328" t="str">
        <f>IFERROR(IF(F225="","",IF(AH225="Check Data ⚠","Check Data ⚠",VLOOKUP(AL225, 'G-3 Multipliers'!$P$2:$Q$6,2,FALSE))),"")</f>
        <v/>
      </c>
      <c r="AN225" s="304" t="str">
        <f t="shared" si="42"/>
        <v/>
      </c>
      <c r="AO225" s="163"/>
      <c r="AP225" s="164"/>
      <c r="AQ225" s="101"/>
      <c r="AT225" s="20" t="str">
        <f t="shared" si="43"/>
        <v>No</v>
      </c>
      <c r="AU225" s="20" t="str">
        <f>IF(E225="","",IF(ISNA(VLOOKUP($E225,'A-1 On-Site Habitat Baseline'!$D$1:$AV$258,4,FALSE)),"",(VLOOKUP($E225,'A-1 On-Site Habitat Baseline'!$D$1:$AV$258,4,FALSE))))</f>
        <v/>
      </c>
    </row>
    <row r="226" spans="1:47" x14ac:dyDescent="0.3">
      <c r="A226" s="20" t="str">
        <f>IF(E226="","",IF(ISNA(VLOOKUP($E226,'A-1 On-Site Habitat Baseline'!$D$1:$O$258,2,FALSE)),"",(VLOOKUP($E226,'A-1 On-Site Habitat Baseline'!$D$1:$O$258,2,FALSE))))</f>
        <v/>
      </c>
      <c r="B226" s="20" t="str">
        <f>IF(E226="","",IF(ISNA(VLOOKUP($E226,'A-1 On-Site Habitat Baseline'!$D$1:$O$258,3,FALSE)),"",(VLOOKUP($E226,'A-1 On-Site Habitat Baseline'!$D$1:$O$258,3,FALSE))))</f>
        <v/>
      </c>
      <c r="C226" s="20" t="str">
        <f>IFERROR(INDEX('G-8 Condition Look up'!$I$4:$I$135,MATCH(S226,'G-8 Condition Look up'!$A$4:$A$135,0)),"")</f>
        <v/>
      </c>
      <c r="E226" s="319" t="str">
        <f>'A-1 On-Site Habitat Baseline'!AL225</f>
        <v/>
      </c>
      <c r="F226" s="310" t="str">
        <f>IF(E226="","",IF(ISNA(VLOOKUP($E226,'A-1 On-Site Habitat Baseline'!$D$1:$AV$258,45,FALSE)),"",(VLOOKUP($E226,'A-1 On-Site Habitat Baseline'!$D$1:$AV$258,45,FALSE))))</f>
        <v/>
      </c>
      <c r="G226" s="310" t="str">
        <f>IF(E226="","",IF(ISNA(VLOOKUP($E226,'A-1 On-Site Habitat Baseline'!$D$1:$O$258,5,FALSE)),"",(VLOOKUP($E226,'A-1 On-Site Habitat Baseline'!$D$1:$O$258,5,FALSE))))</f>
        <v/>
      </c>
      <c r="H226" s="310" t="str">
        <f>IF(E226="","",IF(ISNA(VLOOKUP($E226,'A-1 On-Site Habitat Baseline'!$D$1:$O$258,6,FALSE)),"",(VLOOKUP($E226,'A-1 On-Site Habitat Baseline'!$D$1:$O$258,6,FALSE))))</f>
        <v/>
      </c>
      <c r="I226" s="310" t="str">
        <f>IF(E226="","",IF(ISNA(VLOOKUP($E226,'A-1 On-Site Habitat Baseline'!$D$1:$O$258,7,FALSE)),"",(VLOOKUP($E226,'A-1 On-Site Habitat Baseline'!$D$1:$O$258,7,FALSE))))</f>
        <v/>
      </c>
      <c r="J226" s="310" t="str">
        <f>IF(E226="","",IF(ISNA(VLOOKUP($E226,'A-1 On-Site Habitat Baseline'!$D$1:$O$258,8,FALSE)),"",(VLOOKUP($E226,'A-1 On-Site Habitat Baseline'!$D$1:$O$258,8,FALSE))))</f>
        <v/>
      </c>
      <c r="K226" s="310" t="str">
        <f>IF(E226="","",IF(ISNA(VLOOKUP($E226,'A-1 On-Site Habitat Baseline'!$D$1:$O$258,9,FALSE)),"",(VLOOKUP($E226,'A-1 On-Site Habitat Baseline'!$D$1:$O$258,9,FALSE))))</f>
        <v/>
      </c>
      <c r="L226" s="310" t="str">
        <f>IF(E226="","",IF(ISNA(VLOOKUP($E226,'A-1 On-Site Habitat Baseline'!$D$1:$O$258,11,FALSE)),"",(VLOOKUP($E226,'A-1 On-Site Habitat Baseline'!$D$1:$O$258,11,FALSE))))</f>
        <v/>
      </c>
      <c r="M226" s="310" t="str">
        <f>IF(E226="","",IF(ISNA(VLOOKUP($E226,'A-1 On-Site Habitat Baseline'!$D$1:$O$258,12,FALSE)),"",(VLOOKUP($E226,'A-1 On-Site Habitat Baseline'!$D$1:$O$258,12,FALSE))))</f>
        <v/>
      </c>
      <c r="N226" s="320" t="str">
        <f>IF(E226="","",IF(ISNA(VLOOKUP($E226,'A-1 On-Site Habitat Baseline'!$D$1:$X$258,14,FALSE)),"",(VLOOKUP($E226,'A-1 On-Site Habitat Baseline'!$D$1:$X$258,14,FALSE))))</f>
        <v/>
      </c>
      <c r="O226" s="314" t="str">
        <f>IF(E226="","",IF(ISNA(VLOOKUP($E226,'A-1 On-Site Habitat Baseline'!$D$1:$X$258,16,FALSE)),"",(VLOOKUP($E226,'A-1 On-Site Habitat Baseline'!$D$1:$X$258,13,FALSE))))</f>
        <v/>
      </c>
      <c r="P226" s="161" t="str">
        <f>IFERROR(INDEX('G-1 All Habitats'!$AG$49:$AG$63,MATCH(Q226,'G-1 All Habitats'!$AF$27:$AF$41,0)),"")</f>
        <v/>
      </c>
      <c r="Q226" s="162" t="str">
        <f t="shared" si="35"/>
        <v/>
      </c>
      <c r="R226" s="162"/>
      <c r="S226" s="252" t="str">
        <f>IFERROR(INDEX('G-1 All Habitats'!$B$3:$B$135,MATCH(R226,'G-1 All Habitats'!$A$3:$A$135,0)),"")</f>
        <v/>
      </c>
      <c r="T226" s="290" t="str">
        <f t="shared" si="36"/>
        <v/>
      </c>
      <c r="U226" s="291" t="str">
        <f t="shared" si="37"/>
        <v/>
      </c>
      <c r="V226" s="325" t="str">
        <f t="shared" si="33"/>
        <v/>
      </c>
      <c r="W226" s="310" t="str">
        <f>IF(S226="","",VLOOKUP(S226,'G-1 All Habitats'!$B$2:$M$135,10,FALSE))</f>
        <v/>
      </c>
      <c r="X226" s="310" t="str">
        <f>IFERROR(VLOOKUP(W226,'G-1 All Habitats'!$V$3:$W$7,2,FALSE),"")</f>
        <v/>
      </c>
      <c r="Y226" s="45"/>
      <c r="Z226" s="314" t="str">
        <f>IFERROR(INDEX('G-8 Condition Look up'!$A$3:$H$135,MATCH(S226,'G-8 Condition Look up'!$A$3:$A$135,0),MATCH(Y226,'G-8 Condition Look up'!$A$3:$H$3,0)),"")</f>
        <v/>
      </c>
      <c r="AA226" s="38"/>
      <c r="AB226" s="310" t="str">
        <f>IF(AA226="","",IF(VLOOKUP(AA226,'G-3 Multipliers'!$L$3:$N$6,2,FALSE)=0,"Spatial Data Missing ⚠",VLOOKUP(AA226,'G-3 Multipliers'!$L$3:$N$6,2,FALSE)))</f>
        <v/>
      </c>
      <c r="AC226" s="314" t="str">
        <f>IF(AA226="","",IF(VLOOKUP(AA226,'G-3 Multipliers'!$L$3:$N$6,3,FALSE)=0,"Spatial Data Missing ⚠",VLOOKUP(AA226,'G-3 Multipliers'!$L$3:$N$6,3,FALSE)))</f>
        <v/>
      </c>
      <c r="AD226" s="327" t="str">
        <f t="shared" si="34"/>
        <v/>
      </c>
      <c r="AE226" s="47"/>
      <c r="AF226" s="47"/>
      <c r="AG226" s="298" t="str">
        <f t="shared" si="38"/>
        <v/>
      </c>
      <c r="AH226" s="311" t="str">
        <f t="shared" si="39"/>
        <v/>
      </c>
      <c r="AI226" s="312" t="str">
        <f>IF(AH226="Check Data","Check Data",IFERROR(VLOOKUP(AH226,'G-4 Temporal multipliers'!$A$4:$C$36,3,FALSE),""))</f>
        <v/>
      </c>
      <c r="AJ226" s="290" t="str">
        <f>IF(S226="","",VLOOKUP(S226,'G-3 Multipliers'!$A$2:$E$134,4,FALSE))</f>
        <v/>
      </c>
      <c r="AK226" s="298" t="str">
        <f t="shared" si="40"/>
        <v/>
      </c>
      <c r="AL226" s="298" t="str">
        <f t="shared" si="41"/>
        <v/>
      </c>
      <c r="AM226" s="328" t="str">
        <f>IFERROR(IF(F226="","",IF(AH226="Check Data ⚠","Check Data ⚠",VLOOKUP(AL226, 'G-3 Multipliers'!$P$2:$Q$6,2,FALSE))),"")</f>
        <v/>
      </c>
      <c r="AN226" s="304" t="str">
        <f t="shared" si="42"/>
        <v/>
      </c>
      <c r="AO226" s="163"/>
      <c r="AP226" s="164"/>
      <c r="AQ226" s="101"/>
      <c r="AT226" s="20" t="str">
        <f t="shared" si="43"/>
        <v>No</v>
      </c>
      <c r="AU226" s="20" t="str">
        <f>IF(E226="","",IF(ISNA(VLOOKUP($E226,'A-1 On-Site Habitat Baseline'!$D$1:$AV$258,4,FALSE)),"",(VLOOKUP($E226,'A-1 On-Site Habitat Baseline'!$D$1:$AV$258,4,FALSE))))</f>
        <v/>
      </c>
    </row>
    <row r="227" spans="1:47" x14ac:dyDescent="0.3">
      <c r="A227" s="20" t="str">
        <f>IF(E227="","",IF(ISNA(VLOOKUP($E227,'A-1 On-Site Habitat Baseline'!$D$1:$O$258,2,FALSE)),"",(VLOOKUP($E227,'A-1 On-Site Habitat Baseline'!$D$1:$O$258,2,FALSE))))</f>
        <v/>
      </c>
      <c r="B227" s="20" t="str">
        <f>IF(E227="","",IF(ISNA(VLOOKUP($E227,'A-1 On-Site Habitat Baseline'!$D$1:$O$258,3,FALSE)),"",(VLOOKUP($E227,'A-1 On-Site Habitat Baseline'!$D$1:$O$258,3,FALSE))))</f>
        <v/>
      </c>
      <c r="C227" s="20" t="str">
        <f>IFERROR(INDEX('G-8 Condition Look up'!$I$4:$I$135,MATCH(S227,'G-8 Condition Look up'!$A$4:$A$135,0)),"")</f>
        <v/>
      </c>
      <c r="E227" s="319" t="str">
        <f>'A-1 On-Site Habitat Baseline'!AL226</f>
        <v/>
      </c>
      <c r="F227" s="310" t="str">
        <f>IF(E227="","",IF(ISNA(VLOOKUP($E227,'A-1 On-Site Habitat Baseline'!$D$1:$AV$258,45,FALSE)),"",(VLOOKUP($E227,'A-1 On-Site Habitat Baseline'!$D$1:$AV$258,45,FALSE))))</f>
        <v/>
      </c>
      <c r="G227" s="310" t="str">
        <f>IF(E227="","",IF(ISNA(VLOOKUP($E227,'A-1 On-Site Habitat Baseline'!$D$1:$O$258,5,FALSE)),"",(VLOOKUP($E227,'A-1 On-Site Habitat Baseline'!$D$1:$O$258,5,FALSE))))</f>
        <v/>
      </c>
      <c r="H227" s="310" t="str">
        <f>IF(E227="","",IF(ISNA(VLOOKUP($E227,'A-1 On-Site Habitat Baseline'!$D$1:$O$258,6,FALSE)),"",(VLOOKUP($E227,'A-1 On-Site Habitat Baseline'!$D$1:$O$258,6,FALSE))))</f>
        <v/>
      </c>
      <c r="I227" s="310" t="str">
        <f>IF(E227="","",IF(ISNA(VLOOKUP($E227,'A-1 On-Site Habitat Baseline'!$D$1:$O$258,7,FALSE)),"",(VLOOKUP($E227,'A-1 On-Site Habitat Baseline'!$D$1:$O$258,7,FALSE))))</f>
        <v/>
      </c>
      <c r="J227" s="310" t="str">
        <f>IF(E227="","",IF(ISNA(VLOOKUP($E227,'A-1 On-Site Habitat Baseline'!$D$1:$O$258,8,FALSE)),"",(VLOOKUP($E227,'A-1 On-Site Habitat Baseline'!$D$1:$O$258,8,FALSE))))</f>
        <v/>
      </c>
      <c r="K227" s="310" t="str">
        <f>IF(E227="","",IF(ISNA(VLOOKUP($E227,'A-1 On-Site Habitat Baseline'!$D$1:$O$258,9,FALSE)),"",(VLOOKUP($E227,'A-1 On-Site Habitat Baseline'!$D$1:$O$258,9,FALSE))))</f>
        <v/>
      </c>
      <c r="L227" s="310" t="str">
        <f>IF(E227="","",IF(ISNA(VLOOKUP($E227,'A-1 On-Site Habitat Baseline'!$D$1:$O$258,11,FALSE)),"",(VLOOKUP($E227,'A-1 On-Site Habitat Baseline'!$D$1:$O$258,11,FALSE))))</f>
        <v/>
      </c>
      <c r="M227" s="310" t="str">
        <f>IF(E227="","",IF(ISNA(VLOOKUP($E227,'A-1 On-Site Habitat Baseline'!$D$1:$O$258,12,FALSE)),"",(VLOOKUP($E227,'A-1 On-Site Habitat Baseline'!$D$1:$O$258,12,FALSE))))</f>
        <v/>
      </c>
      <c r="N227" s="320" t="str">
        <f>IF(E227="","",IF(ISNA(VLOOKUP($E227,'A-1 On-Site Habitat Baseline'!$D$1:$X$258,14,FALSE)),"",(VLOOKUP($E227,'A-1 On-Site Habitat Baseline'!$D$1:$X$258,14,FALSE))))</f>
        <v/>
      </c>
      <c r="O227" s="314" t="str">
        <f>IF(E227="","",IF(ISNA(VLOOKUP($E227,'A-1 On-Site Habitat Baseline'!$D$1:$X$258,16,FALSE)),"",(VLOOKUP($E227,'A-1 On-Site Habitat Baseline'!$D$1:$X$258,13,FALSE))))</f>
        <v/>
      </c>
      <c r="P227" s="161" t="str">
        <f>IFERROR(INDEX('G-1 All Habitats'!$AG$49:$AG$63,MATCH(Q227,'G-1 All Habitats'!$AF$27:$AF$41,0)),"")</f>
        <v/>
      </c>
      <c r="Q227" s="162" t="str">
        <f t="shared" si="35"/>
        <v/>
      </c>
      <c r="R227" s="162"/>
      <c r="S227" s="252" t="str">
        <f>IFERROR(INDEX('G-1 All Habitats'!$B$3:$B$135,MATCH(R227,'G-1 All Habitats'!$A$3:$A$135,0)),"")</f>
        <v/>
      </c>
      <c r="T227" s="290" t="str">
        <f t="shared" si="36"/>
        <v/>
      </c>
      <c r="U227" s="291" t="str">
        <f t="shared" si="37"/>
        <v/>
      </c>
      <c r="V227" s="325" t="str">
        <f t="shared" si="33"/>
        <v/>
      </c>
      <c r="W227" s="310" t="str">
        <f>IF(S227="","",VLOOKUP(S227,'G-1 All Habitats'!$B$2:$M$135,10,FALSE))</f>
        <v/>
      </c>
      <c r="X227" s="310" t="str">
        <f>IFERROR(VLOOKUP(W227,'G-1 All Habitats'!$V$3:$W$7,2,FALSE),"")</f>
        <v/>
      </c>
      <c r="Y227" s="45"/>
      <c r="Z227" s="314" t="str">
        <f>IFERROR(INDEX('G-8 Condition Look up'!$A$3:$H$135,MATCH(S227,'G-8 Condition Look up'!$A$3:$A$135,0),MATCH(Y227,'G-8 Condition Look up'!$A$3:$H$3,0)),"")</f>
        <v/>
      </c>
      <c r="AA227" s="38"/>
      <c r="AB227" s="310" t="str">
        <f>IF(AA227="","",IF(VLOOKUP(AA227,'G-3 Multipliers'!$L$3:$N$6,2,FALSE)=0,"Spatial Data Missing ⚠",VLOOKUP(AA227,'G-3 Multipliers'!$L$3:$N$6,2,FALSE)))</f>
        <v/>
      </c>
      <c r="AC227" s="314" t="str">
        <f>IF(AA227="","",IF(VLOOKUP(AA227,'G-3 Multipliers'!$L$3:$N$6,3,FALSE)=0,"Spatial Data Missing ⚠",VLOOKUP(AA227,'G-3 Multipliers'!$L$3:$N$6,3,FALSE)))</f>
        <v/>
      </c>
      <c r="AD227" s="327" t="str">
        <f t="shared" si="34"/>
        <v/>
      </c>
      <c r="AE227" s="47"/>
      <c r="AF227" s="47"/>
      <c r="AG227" s="298" t="str">
        <f t="shared" si="38"/>
        <v/>
      </c>
      <c r="AH227" s="311" t="str">
        <f t="shared" si="39"/>
        <v/>
      </c>
      <c r="AI227" s="312" t="str">
        <f>IF(AH227="Check Data","Check Data",IFERROR(VLOOKUP(AH227,'G-4 Temporal multipliers'!$A$4:$C$36,3,FALSE),""))</f>
        <v/>
      </c>
      <c r="AJ227" s="290" t="str">
        <f>IF(S227="","",VLOOKUP(S227,'G-3 Multipliers'!$A$2:$E$134,4,FALSE))</f>
        <v/>
      </c>
      <c r="AK227" s="298" t="str">
        <f t="shared" si="40"/>
        <v/>
      </c>
      <c r="AL227" s="298" t="str">
        <f>(IF(AND(AK227="Standard difficulty applied",AD227&gt;AE227),AJ227,IF(AND(AK227="Low Difficulty - only applicable if all habitat created before losses ⚠",AE227&gt;=AD227),"Low", AJ227)))</f>
        <v/>
      </c>
      <c r="AM227" s="328" t="str">
        <f>IFERROR(IF(F227="","",IF(AH227="Check Data ⚠","Check Data ⚠",VLOOKUP(AL227, 'G-3 Multipliers'!$P$2:$Q$6,2,FALSE))),"")</f>
        <v/>
      </c>
      <c r="AN227" s="304" t="str">
        <f t="shared" si="42"/>
        <v/>
      </c>
      <c r="AO227" s="163"/>
      <c r="AP227" s="164"/>
      <c r="AQ227" s="101"/>
      <c r="AT227" s="20" t="str">
        <f t="shared" si="43"/>
        <v>No</v>
      </c>
      <c r="AU227" s="20" t="str">
        <f>IF(E227="","",IF(ISNA(VLOOKUP($E227,'A-1 On-Site Habitat Baseline'!$D$1:$AV$258,4,FALSE)),"",(VLOOKUP($E227,'A-1 On-Site Habitat Baseline'!$D$1:$AV$258,4,FALSE))))</f>
        <v/>
      </c>
    </row>
    <row r="228" spans="1:47" x14ac:dyDescent="0.3">
      <c r="A228" s="20" t="str">
        <f>IF(E228="","",IF(ISNA(VLOOKUP($E228,'A-1 On-Site Habitat Baseline'!$D$1:$O$258,2,FALSE)),"",(VLOOKUP($E228,'A-1 On-Site Habitat Baseline'!$D$1:$O$258,2,FALSE))))</f>
        <v/>
      </c>
      <c r="B228" s="20" t="str">
        <f>IF(E228="","",IF(ISNA(VLOOKUP($E228,'A-1 On-Site Habitat Baseline'!$D$1:$O$258,3,FALSE)),"",(VLOOKUP($E228,'A-1 On-Site Habitat Baseline'!$D$1:$O$258,3,FALSE))))</f>
        <v/>
      </c>
      <c r="C228" s="20" t="str">
        <f>IFERROR(INDEX('G-8 Condition Look up'!$I$4:$I$135,MATCH(S228,'G-8 Condition Look up'!$A$4:$A$135,0)),"")</f>
        <v/>
      </c>
      <c r="E228" s="319" t="str">
        <f>'A-1 On-Site Habitat Baseline'!AL227</f>
        <v/>
      </c>
      <c r="F228" s="310" t="str">
        <f>IF(E228="","",IF(ISNA(VLOOKUP($E228,'A-1 On-Site Habitat Baseline'!$D$1:$AV$258,45,FALSE)),"",(VLOOKUP($E228,'A-1 On-Site Habitat Baseline'!$D$1:$AV$258,45,FALSE))))</f>
        <v/>
      </c>
      <c r="G228" s="310" t="str">
        <f>IF(E228="","",IF(ISNA(VLOOKUP($E228,'A-1 On-Site Habitat Baseline'!$D$1:$O$258,5,FALSE)),"",(VLOOKUP($E228,'A-1 On-Site Habitat Baseline'!$D$1:$O$258,5,FALSE))))</f>
        <v/>
      </c>
      <c r="H228" s="310" t="str">
        <f>IF(E228="","",IF(ISNA(VLOOKUP($E228,'A-1 On-Site Habitat Baseline'!$D$1:$O$258,6,FALSE)),"",(VLOOKUP($E228,'A-1 On-Site Habitat Baseline'!$D$1:$O$258,6,FALSE))))</f>
        <v/>
      </c>
      <c r="I228" s="310" t="str">
        <f>IF(E228="","",IF(ISNA(VLOOKUP($E228,'A-1 On-Site Habitat Baseline'!$D$1:$O$258,7,FALSE)),"",(VLOOKUP($E228,'A-1 On-Site Habitat Baseline'!$D$1:$O$258,7,FALSE))))</f>
        <v/>
      </c>
      <c r="J228" s="310" t="str">
        <f>IF(E228="","",IF(ISNA(VLOOKUP($E228,'A-1 On-Site Habitat Baseline'!$D$1:$O$258,8,FALSE)),"",(VLOOKUP($E228,'A-1 On-Site Habitat Baseline'!$D$1:$O$258,8,FALSE))))</f>
        <v/>
      </c>
      <c r="K228" s="310" t="str">
        <f>IF(E228="","",IF(ISNA(VLOOKUP($E228,'A-1 On-Site Habitat Baseline'!$D$1:$O$258,9,FALSE)),"",(VLOOKUP($E228,'A-1 On-Site Habitat Baseline'!$D$1:$O$258,9,FALSE))))</f>
        <v/>
      </c>
      <c r="L228" s="310" t="str">
        <f>IF(E228="","",IF(ISNA(VLOOKUP($E228,'A-1 On-Site Habitat Baseline'!$D$1:$O$258,11,FALSE)),"",(VLOOKUP($E228,'A-1 On-Site Habitat Baseline'!$D$1:$O$258,11,FALSE))))</f>
        <v/>
      </c>
      <c r="M228" s="310" t="str">
        <f>IF(E228="","",IF(ISNA(VLOOKUP($E228,'A-1 On-Site Habitat Baseline'!$D$1:$O$258,12,FALSE)),"",(VLOOKUP($E228,'A-1 On-Site Habitat Baseline'!$D$1:$O$258,12,FALSE))))</f>
        <v/>
      </c>
      <c r="N228" s="320" t="str">
        <f>IF(E228="","",IF(ISNA(VLOOKUP($E228,'A-1 On-Site Habitat Baseline'!$D$1:$X$258,14,FALSE)),"",(VLOOKUP($E228,'A-1 On-Site Habitat Baseline'!$D$1:$X$258,14,FALSE))))</f>
        <v/>
      </c>
      <c r="O228" s="314" t="str">
        <f>IF(E228="","",IF(ISNA(VLOOKUP($E228,'A-1 On-Site Habitat Baseline'!$D$1:$X$258,16,FALSE)),"",(VLOOKUP($E228,'A-1 On-Site Habitat Baseline'!$D$1:$X$258,13,FALSE))))</f>
        <v/>
      </c>
      <c r="P228" s="161" t="str">
        <f>IFERROR(INDEX('G-1 All Habitats'!$AG$49:$AG$63,MATCH(Q228,'G-1 All Habitats'!$AF$27:$AF$41,0)),"")</f>
        <v/>
      </c>
      <c r="Q228" s="162" t="str">
        <f t="shared" si="35"/>
        <v/>
      </c>
      <c r="R228" s="162"/>
      <c r="S228" s="252" t="str">
        <f>IFERROR(INDEX('G-1 All Habitats'!$B$3:$B$135,MATCH(R228,'G-1 All Habitats'!$A$3:$A$135,0)),"")</f>
        <v/>
      </c>
      <c r="T228" s="290" t="str">
        <f t="shared" si="36"/>
        <v/>
      </c>
      <c r="U228" s="291" t="str">
        <f t="shared" si="37"/>
        <v/>
      </c>
      <c r="V228" s="325" t="str">
        <f t="shared" si="33"/>
        <v/>
      </c>
      <c r="W228" s="310" t="str">
        <f>IF(S228="","",VLOOKUP(S228,'G-1 All Habitats'!$B$2:$M$135,10,FALSE))</f>
        <v/>
      </c>
      <c r="X228" s="310" t="str">
        <f>IFERROR(VLOOKUP(W228,'G-1 All Habitats'!$V$3:$W$7,2,FALSE),"")</f>
        <v/>
      </c>
      <c r="Y228" s="45"/>
      <c r="Z228" s="314" t="str">
        <f>IFERROR(INDEX('G-8 Condition Look up'!$A$3:$H$135,MATCH(S228,'G-8 Condition Look up'!$A$3:$A$135,0),MATCH(Y228,'G-8 Condition Look up'!$A$3:$H$3,0)),"")</f>
        <v/>
      </c>
      <c r="AA228" s="38"/>
      <c r="AB228" s="310" t="str">
        <f>IF(AA228="","",IF(VLOOKUP(AA228,'G-3 Multipliers'!$L$3:$N$6,2,FALSE)=0,"Spatial Data Missing ⚠",VLOOKUP(AA228,'G-3 Multipliers'!$L$3:$N$6,2,FALSE)))</f>
        <v/>
      </c>
      <c r="AC228" s="314" t="str">
        <f>IF(AA228="","",IF(VLOOKUP(AA228,'G-3 Multipliers'!$L$3:$N$6,3,FALSE)=0,"Spatial Data Missing ⚠",VLOOKUP(AA228,'G-3 Multipliers'!$L$3:$N$6,3,FALSE)))</f>
        <v/>
      </c>
      <c r="AD228" s="327" t="str">
        <f t="shared" si="34"/>
        <v/>
      </c>
      <c r="AE228" s="47"/>
      <c r="AF228" s="47"/>
      <c r="AG228" s="298" t="str">
        <f t="shared" si="38"/>
        <v/>
      </c>
      <c r="AH228" s="311" t="str">
        <f t="shared" si="39"/>
        <v/>
      </c>
      <c r="AI228" s="312" t="str">
        <f>IF(AH228="Check Data","Check Data",IFERROR(VLOOKUP(AH228,'G-4 Temporal multipliers'!$A$4:$C$36,3,FALSE),""))</f>
        <v/>
      </c>
      <c r="AJ228" s="290" t="str">
        <f>IF(S228="","",VLOOKUP(S228,'G-3 Multipliers'!$A$2:$E$134,4,FALSE))</f>
        <v/>
      </c>
      <c r="AK228" s="298" t="str">
        <f t="shared" si="40"/>
        <v/>
      </c>
      <c r="AL228" s="298" t="str">
        <f t="shared" si="41"/>
        <v/>
      </c>
      <c r="AM228" s="328" t="str">
        <f>IFERROR(IF(F228="","",IF(AH228="Check Data ⚠","Check Data ⚠",VLOOKUP(AL228, 'G-3 Multipliers'!$P$2:$Q$6,2,FALSE))),"")</f>
        <v/>
      </c>
      <c r="AN228" s="304" t="str">
        <f t="shared" si="42"/>
        <v/>
      </c>
      <c r="AO228" s="163"/>
      <c r="AP228" s="164"/>
      <c r="AQ228" s="101"/>
      <c r="AT228" s="20" t="str">
        <f t="shared" si="43"/>
        <v>No</v>
      </c>
      <c r="AU228" s="20" t="str">
        <f>IF(E228="","",IF(ISNA(VLOOKUP($E228,'A-1 On-Site Habitat Baseline'!$D$1:$AV$258,4,FALSE)),"",(VLOOKUP($E228,'A-1 On-Site Habitat Baseline'!$D$1:$AV$258,4,FALSE))))</f>
        <v/>
      </c>
    </row>
    <row r="229" spans="1:47" x14ac:dyDescent="0.3">
      <c r="A229" s="20" t="str">
        <f>IF(E229="","",IF(ISNA(VLOOKUP($E229,'A-1 On-Site Habitat Baseline'!$D$1:$O$258,2,FALSE)),"",(VLOOKUP($E229,'A-1 On-Site Habitat Baseline'!$D$1:$O$258,2,FALSE))))</f>
        <v/>
      </c>
      <c r="B229" s="20" t="str">
        <f>IF(E229="","",IF(ISNA(VLOOKUP($E229,'A-1 On-Site Habitat Baseline'!$D$1:$O$258,3,FALSE)),"",(VLOOKUP($E229,'A-1 On-Site Habitat Baseline'!$D$1:$O$258,3,FALSE))))</f>
        <v/>
      </c>
      <c r="C229" s="20" t="str">
        <f>IFERROR(INDEX('G-8 Condition Look up'!$I$4:$I$135,MATCH(S229,'G-8 Condition Look up'!$A$4:$A$135,0)),"")</f>
        <v/>
      </c>
      <c r="E229" s="319" t="str">
        <f>'A-1 On-Site Habitat Baseline'!AL228</f>
        <v/>
      </c>
      <c r="F229" s="310" t="str">
        <f>IF(E229="","",IF(ISNA(VLOOKUP($E229,'A-1 On-Site Habitat Baseline'!$D$1:$AV$258,45,FALSE)),"",(VLOOKUP($E229,'A-1 On-Site Habitat Baseline'!$D$1:$AV$258,45,FALSE))))</f>
        <v/>
      </c>
      <c r="G229" s="310" t="str">
        <f>IF(E229="","",IF(ISNA(VLOOKUP($E229,'A-1 On-Site Habitat Baseline'!$D$1:$O$258,5,FALSE)),"",(VLOOKUP($E229,'A-1 On-Site Habitat Baseline'!$D$1:$O$258,5,FALSE))))</f>
        <v/>
      </c>
      <c r="H229" s="310" t="str">
        <f>IF(E229="","",IF(ISNA(VLOOKUP($E229,'A-1 On-Site Habitat Baseline'!$D$1:$O$258,6,FALSE)),"",(VLOOKUP($E229,'A-1 On-Site Habitat Baseline'!$D$1:$O$258,6,FALSE))))</f>
        <v/>
      </c>
      <c r="I229" s="310" t="str">
        <f>IF(E229="","",IF(ISNA(VLOOKUP($E229,'A-1 On-Site Habitat Baseline'!$D$1:$O$258,7,FALSE)),"",(VLOOKUP($E229,'A-1 On-Site Habitat Baseline'!$D$1:$O$258,7,FALSE))))</f>
        <v/>
      </c>
      <c r="J229" s="310" t="str">
        <f>IF(E229="","",IF(ISNA(VLOOKUP($E229,'A-1 On-Site Habitat Baseline'!$D$1:$O$258,8,FALSE)),"",(VLOOKUP($E229,'A-1 On-Site Habitat Baseline'!$D$1:$O$258,8,FALSE))))</f>
        <v/>
      </c>
      <c r="K229" s="310" t="str">
        <f>IF(E229="","",IF(ISNA(VLOOKUP($E229,'A-1 On-Site Habitat Baseline'!$D$1:$O$258,9,FALSE)),"",(VLOOKUP($E229,'A-1 On-Site Habitat Baseline'!$D$1:$O$258,9,FALSE))))</f>
        <v/>
      </c>
      <c r="L229" s="310" t="str">
        <f>IF(E229="","",IF(ISNA(VLOOKUP($E229,'A-1 On-Site Habitat Baseline'!$D$1:$O$258,11,FALSE)),"",(VLOOKUP($E229,'A-1 On-Site Habitat Baseline'!$D$1:$O$258,11,FALSE))))</f>
        <v/>
      </c>
      <c r="M229" s="310" t="str">
        <f>IF(E229="","",IF(ISNA(VLOOKUP($E229,'A-1 On-Site Habitat Baseline'!$D$1:$O$258,12,FALSE)),"",(VLOOKUP($E229,'A-1 On-Site Habitat Baseline'!$D$1:$O$258,12,FALSE))))</f>
        <v/>
      </c>
      <c r="N229" s="320" t="str">
        <f>IF(E229="","",IF(ISNA(VLOOKUP($E229,'A-1 On-Site Habitat Baseline'!$D$1:$X$258,14,FALSE)),"",(VLOOKUP($E229,'A-1 On-Site Habitat Baseline'!$D$1:$X$258,14,FALSE))))</f>
        <v/>
      </c>
      <c r="O229" s="314" t="str">
        <f>IF(E229="","",IF(ISNA(VLOOKUP($E229,'A-1 On-Site Habitat Baseline'!$D$1:$X$258,16,FALSE)),"",(VLOOKUP($E229,'A-1 On-Site Habitat Baseline'!$D$1:$X$258,13,FALSE))))</f>
        <v/>
      </c>
      <c r="P229" s="161" t="str">
        <f>IFERROR(INDEX('G-1 All Habitats'!$AG$49:$AG$63,MATCH(Q229,'G-1 All Habitats'!$AF$27:$AF$41,0)),"")</f>
        <v/>
      </c>
      <c r="Q229" s="162" t="str">
        <f t="shared" si="35"/>
        <v/>
      </c>
      <c r="R229" s="162"/>
      <c r="S229" s="252" t="str">
        <f>IFERROR(INDEX('G-1 All Habitats'!$B$3:$B$135,MATCH(R229,'G-1 All Habitats'!$A$3:$A$135,0)),"")</f>
        <v/>
      </c>
      <c r="T229" s="290" t="str">
        <f t="shared" si="36"/>
        <v/>
      </c>
      <c r="U229" s="291" t="str">
        <f t="shared" si="37"/>
        <v/>
      </c>
      <c r="V229" s="325" t="str">
        <f t="shared" si="33"/>
        <v/>
      </c>
      <c r="W229" s="310" t="str">
        <f>IF(S229="","",VLOOKUP(S229,'G-1 All Habitats'!$B$2:$M$135,10,FALSE))</f>
        <v/>
      </c>
      <c r="X229" s="310" t="str">
        <f>IFERROR(VLOOKUP(W229,'G-1 All Habitats'!$V$3:$W$7,2,FALSE),"")</f>
        <v/>
      </c>
      <c r="Y229" s="45"/>
      <c r="Z229" s="314" t="str">
        <f>IFERROR(INDEX('G-8 Condition Look up'!$A$3:$H$135,MATCH(S229,'G-8 Condition Look up'!$A$3:$A$135,0),MATCH(Y229,'G-8 Condition Look up'!$A$3:$H$3,0)),"")</f>
        <v/>
      </c>
      <c r="AA229" s="38"/>
      <c r="AB229" s="310" t="str">
        <f>IF(AA229="","",IF(VLOOKUP(AA229,'G-3 Multipliers'!$L$3:$N$6,2,FALSE)=0,"Spatial Data Missing ⚠",VLOOKUP(AA229,'G-3 Multipliers'!$L$3:$N$6,2,FALSE)))</f>
        <v/>
      </c>
      <c r="AC229" s="314" t="str">
        <f>IF(AA229="","",IF(VLOOKUP(AA229,'G-3 Multipliers'!$L$3:$N$6,3,FALSE)=0,"Spatial Data Missing ⚠",VLOOKUP(AA229,'G-3 Multipliers'!$L$3:$N$6,3,FALSE)))</f>
        <v/>
      </c>
      <c r="AD229" s="327" t="str">
        <f t="shared" si="34"/>
        <v/>
      </c>
      <c r="AE229" s="47"/>
      <c r="AF229" s="47"/>
      <c r="AG229" s="298" t="str">
        <f t="shared" si="38"/>
        <v/>
      </c>
      <c r="AH229" s="311" t="str">
        <f t="shared" si="39"/>
        <v/>
      </c>
      <c r="AI229" s="312" t="str">
        <f>IF(AH229="Check Data","Check Data",IFERROR(VLOOKUP(AH229,'G-4 Temporal multipliers'!$A$4:$C$36,3,FALSE),""))</f>
        <v/>
      </c>
      <c r="AJ229" s="290" t="str">
        <f>IF(S229="","",VLOOKUP(S229,'G-3 Multipliers'!$A$2:$E$134,4,FALSE))</f>
        <v/>
      </c>
      <c r="AK229" s="298" t="str">
        <f t="shared" si="40"/>
        <v/>
      </c>
      <c r="AL229" s="298" t="str">
        <f t="shared" si="41"/>
        <v/>
      </c>
      <c r="AM229" s="328" t="str">
        <f>IFERROR(IF(F229="","",IF(AH229="Check Data ⚠","Check Data ⚠",VLOOKUP(AL229, 'G-3 Multipliers'!$P$2:$Q$6,2,FALSE))),"")</f>
        <v/>
      </c>
      <c r="AN229" s="304" t="str">
        <f t="shared" si="42"/>
        <v/>
      </c>
      <c r="AO229" s="163"/>
      <c r="AP229" s="164"/>
      <c r="AQ229" s="101"/>
      <c r="AT229" s="20" t="str">
        <f t="shared" si="43"/>
        <v>No</v>
      </c>
      <c r="AU229" s="20" t="str">
        <f>IF(E229="","",IF(ISNA(VLOOKUP($E229,'A-1 On-Site Habitat Baseline'!$D$1:$AV$258,4,FALSE)),"",(VLOOKUP($E229,'A-1 On-Site Habitat Baseline'!$D$1:$AV$258,4,FALSE))))</f>
        <v/>
      </c>
    </row>
    <row r="230" spans="1:47" x14ac:dyDescent="0.3">
      <c r="A230" s="20" t="str">
        <f>IF(E230="","",IF(ISNA(VLOOKUP($E230,'A-1 On-Site Habitat Baseline'!$D$1:$O$258,2,FALSE)),"",(VLOOKUP($E230,'A-1 On-Site Habitat Baseline'!$D$1:$O$258,2,FALSE))))</f>
        <v/>
      </c>
      <c r="B230" s="20" t="str">
        <f>IF(E230="","",IF(ISNA(VLOOKUP($E230,'A-1 On-Site Habitat Baseline'!$D$1:$O$258,3,FALSE)),"",(VLOOKUP($E230,'A-1 On-Site Habitat Baseline'!$D$1:$O$258,3,FALSE))))</f>
        <v/>
      </c>
      <c r="C230" s="20" t="str">
        <f>IFERROR(INDEX('G-8 Condition Look up'!$I$4:$I$135,MATCH(S230,'G-8 Condition Look up'!$A$4:$A$135,0)),"")</f>
        <v/>
      </c>
      <c r="E230" s="319" t="str">
        <f>'A-1 On-Site Habitat Baseline'!AL229</f>
        <v/>
      </c>
      <c r="F230" s="310" t="str">
        <f>IF(E230="","",IF(ISNA(VLOOKUP($E230,'A-1 On-Site Habitat Baseline'!$D$1:$AV$258,45,FALSE)),"",(VLOOKUP($E230,'A-1 On-Site Habitat Baseline'!$D$1:$AV$258,45,FALSE))))</f>
        <v/>
      </c>
      <c r="G230" s="310" t="str">
        <f>IF(E230="","",IF(ISNA(VLOOKUP($E230,'A-1 On-Site Habitat Baseline'!$D$1:$O$258,5,FALSE)),"",(VLOOKUP($E230,'A-1 On-Site Habitat Baseline'!$D$1:$O$258,5,FALSE))))</f>
        <v/>
      </c>
      <c r="H230" s="310" t="str">
        <f>IF(E230="","",IF(ISNA(VLOOKUP($E230,'A-1 On-Site Habitat Baseline'!$D$1:$O$258,6,FALSE)),"",(VLOOKUP($E230,'A-1 On-Site Habitat Baseline'!$D$1:$O$258,6,FALSE))))</f>
        <v/>
      </c>
      <c r="I230" s="310" t="str">
        <f>IF(E230="","",IF(ISNA(VLOOKUP($E230,'A-1 On-Site Habitat Baseline'!$D$1:$O$258,7,FALSE)),"",(VLOOKUP($E230,'A-1 On-Site Habitat Baseline'!$D$1:$O$258,7,FALSE))))</f>
        <v/>
      </c>
      <c r="J230" s="310" t="str">
        <f>IF(E230="","",IF(ISNA(VLOOKUP($E230,'A-1 On-Site Habitat Baseline'!$D$1:$O$258,8,FALSE)),"",(VLOOKUP($E230,'A-1 On-Site Habitat Baseline'!$D$1:$O$258,8,FALSE))))</f>
        <v/>
      </c>
      <c r="K230" s="310" t="str">
        <f>IF(E230="","",IF(ISNA(VLOOKUP($E230,'A-1 On-Site Habitat Baseline'!$D$1:$O$258,9,FALSE)),"",(VLOOKUP($E230,'A-1 On-Site Habitat Baseline'!$D$1:$O$258,9,FALSE))))</f>
        <v/>
      </c>
      <c r="L230" s="310" t="str">
        <f>IF(E230="","",IF(ISNA(VLOOKUP($E230,'A-1 On-Site Habitat Baseline'!$D$1:$O$258,11,FALSE)),"",(VLOOKUP($E230,'A-1 On-Site Habitat Baseline'!$D$1:$O$258,11,FALSE))))</f>
        <v/>
      </c>
      <c r="M230" s="310" t="str">
        <f>IF(E230="","",IF(ISNA(VLOOKUP($E230,'A-1 On-Site Habitat Baseline'!$D$1:$O$258,12,FALSE)),"",(VLOOKUP($E230,'A-1 On-Site Habitat Baseline'!$D$1:$O$258,12,FALSE))))</f>
        <v/>
      </c>
      <c r="N230" s="320" t="str">
        <f>IF(E230="","",IF(ISNA(VLOOKUP($E230,'A-1 On-Site Habitat Baseline'!$D$1:$X$258,14,FALSE)),"",(VLOOKUP($E230,'A-1 On-Site Habitat Baseline'!$D$1:$X$258,14,FALSE))))</f>
        <v/>
      </c>
      <c r="O230" s="314" t="str">
        <f>IF(E230="","",IF(ISNA(VLOOKUP($E230,'A-1 On-Site Habitat Baseline'!$D$1:$X$258,16,FALSE)),"",(VLOOKUP($E230,'A-1 On-Site Habitat Baseline'!$D$1:$X$258,13,FALSE))))</f>
        <v/>
      </c>
      <c r="P230" s="161" t="str">
        <f>IFERROR(INDEX('G-1 All Habitats'!$AG$49:$AG$63,MATCH(Q230,'G-1 All Habitats'!$AF$27:$AF$41,0)),"")</f>
        <v/>
      </c>
      <c r="Q230" s="162" t="str">
        <f t="shared" si="35"/>
        <v/>
      </c>
      <c r="R230" s="162"/>
      <c r="S230" s="252" t="str">
        <f>IFERROR(INDEX('G-1 All Habitats'!$B$3:$B$135,MATCH(R230,'G-1 All Habitats'!$A$3:$A$135,0)),"")</f>
        <v/>
      </c>
      <c r="T230" s="290" t="str">
        <f t="shared" si="36"/>
        <v/>
      </c>
      <c r="U230" s="291" t="str">
        <f t="shared" si="37"/>
        <v/>
      </c>
      <c r="V230" s="325" t="str">
        <f t="shared" si="33"/>
        <v/>
      </c>
      <c r="W230" s="310" t="str">
        <f>IF(S230="","",VLOOKUP(S230,'G-1 All Habitats'!$B$2:$M$135,10,FALSE))</f>
        <v/>
      </c>
      <c r="X230" s="310" t="str">
        <f>IFERROR(VLOOKUP(W230,'G-1 All Habitats'!$V$3:$W$7,2,FALSE),"")</f>
        <v/>
      </c>
      <c r="Y230" s="45"/>
      <c r="Z230" s="314" t="str">
        <f>IFERROR(INDEX('G-8 Condition Look up'!$A$3:$H$135,MATCH(S230,'G-8 Condition Look up'!$A$3:$A$135,0),MATCH(Y230,'G-8 Condition Look up'!$A$3:$H$3,0)),"")</f>
        <v/>
      </c>
      <c r="AA230" s="38"/>
      <c r="AB230" s="310" t="str">
        <f>IF(AA230="","",IF(VLOOKUP(AA230,'G-3 Multipliers'!$L$3:$N$6,2,FALSE)=0,"Spatial Data Missing ⚠",VLOOKUP(AA230,'G-3 Multipliers'!$L$3:$N$6,2,FALSE)))</f>
        <v/>
      </c>
      <c r="AC230" s="314" t="str">
        <f>IF(AA230="","",IF(VLOOKUP(AA230,'G-3 Multipliers'!$L$3:$N$6,3,FALSE)=0,"Spatial Data Missing ⚠",VLOOKUP(AA230,'G-3 Multipliers'!$L$3:$N$6,3,FALSE)))</f>
        <v/>
      </c>
      <c r="AD230" s="327" t="str">
        <f t="shared" si="34"/>
        <v/>
      </c>
      <c r="AE230" s="47"/>
      <c r="AF230" s="47"/>
      <c r="AG230" s="298" t="str">
        <f t="shared" si="38"/>
        <v/>
      </c>
      <c r="AH230" s="311" t="str">
        <f t="shared" si="39"/>
        <v/>
      </c>
      <c r="AI230" s="312" t="str">
        <f>IF(AH230="Check Data","Check Data",IFERROR(VLOOKUP(AH230,'G-4 Temporal multipliers'!$A$4:$C$36,3,FALSE),""))</f>
        <v/>
      </c>
      <c r="AJ230" s="290" t="str">
        <f>IF(S230="","",VLOOKUP(S230,'G-3 Multipliers'!$A$2:$E$134,4,FALSE))</f>
        <v/>
      </c>
      <c r="AK230" s="298" t="str">
        <f t="shared" si="40"/>
        <v/>
      </c>
      <c r="AL230" s="298" t="str">
        <f t="shared" si="41"/>
        <v/>
      </c>
      <c r="AM230" s="328" t="str">
        <f>IFERROR(IF(F230="","",IF(AH230="Check Data ⚠","Check Data ⚠",VLOOKUP(AL230, 'G-3 Multipliers'!$P$2:$Q$6,2,FALSE))),"")</f>
        <v/>
      </c>
      <c r="AN230" s="304" t="str">
        <f t="shared" si="42"/>
        <v/>
      </c>
      <c r="AO230" s="163"/>
      <c r="AP230" s="164"/>
      <c r="AQ230" s="101"/>
      <c r="AT230" s="20" t="str">
        <f t="shared" si="43"/>
        <v>No</v>
      </c>
      <c r="AU230" s="20" t="str">
        <f>IF(E230="","",IF(ISNA(VLOOKUP($E230,'A-1 On-Site Habitat Baseline'!$D$1:$AV$258,4,FALSE)),"",(VLOOKUP($E230,'A-1 On-Site Habitat Baseline'!$D$1:$AV$258,4,FALSE))))</f>
        <v/>
      </c>
    </row>
    <row r="231" spans="1:47" x14ac:dyDescent="0.3">
      <c r="A231" s="20" t="str">
        <f>IF(E231="","",IF(ISNA(VLOOKUP($E231,'A-1 On-Site Habitat Baseline'!$D$1:$O$258,2,FALSE)),"",(VLOOKUP($E231,'A-1 On-Site Habitat Baseline'!$D$1:$O$258,2,FALSE))))</f>
        <v/>
      </c>
      <c r="B231" s="20" t="str">
        <f>IF(E231="","",IF(ISNA(VLOOKUP($E231,'A-1 On-Site Habitat Baseline'!$D$1:$O$258,3,FALSE)),"",(VLOOKUP($E231,'A-1 On-Site Habitat Baseline'!$D$1:$O$258,3,FALSE))))</f>
        <v/>
      </c>
      <c r="C231" s="20" t="str">
        <f>IFERROR(INDEX('G-8 Condition Look up'!$I$4:$I$135,MATCH(S231,'G-8 Condition Look up'!$A$4:$A$135,0)),"")</f>
        <v/>
      </c>
      <c r="E231" s="319" t="str">
        <f>'A-1 On-Site Habitat Baseline'!AL230</f>
        <v/>
      </c>
      <c r="F231" s="310" t="str">
        <f>IF(E231="","",IF(ISNA(VLOOKUP($E231,'A-1 On-Site Habitat Baseline'!$D$1:$AV$258,45,FALSE)),"",(VLOOKUP($E231,'A-1 On-Site Habitat Baseline'!$D$1:$AV$258,45,FALSE))))</f>
        <v/>
      </c>
      <c r="G231" s="310" t="str">
        <f>IF(E231="","",IF(ISNA(VLOOKUP($E231,'A-1 On-Site Habitat Baseline'!$D$1:$O$258,5,FALSE)),"",(VLOOKUP($E231,'A-1 On-Site Habitat Baseline'!$D$1:$O$258,5,FALSE))))</f>
        <v/>
      </c>
      <c r="H231" s="310" t="str">
        <f>IF(E231="","",IF(ISNA(VLOOKUP($E231,'A-1 On-Site Habitat Baseline'!$D$1:$O$258,6,FALSE)),"",(VLOOKUP($E231,'A-1 On-Site Habitat Baseline'!$D$1:$O$258,6,FALSE))))</f>
        <v/>
      </c>
      <c r="I231" s="310" t="str">
        <f>IF(E231="","",IF(ISNA(VLOOKUP($E231,'A-1 On-Site Habitat Baseline'!$D$1:$O$258,7,FALSE)),"",(VLOOKUP($E231,'A-1 On-Site Habitat Baseline'!$D$1:$O$258,7,FALSE))))</f>
        <v/>
      </c>
      <c r="J231" s="310" t="str">
        <f>IF(E231="","",IF(ISNA(VLOOKUP($E231,'A-1 On-Site Habitat Baseline'!$D$1:$O$258,8,FALSE)),"",(VLOOKUP($E231,'A-1 On-Site Habitat Baseline'!$D$1:$O$258,8,FALSE))))</f>
        <v/>
      </c>
      <c r="K231" s="310" t="str">
        <f>IF(E231="","",IF(ISNA(VLOOKUP($E231,'A-1 On-Site Habitat Baseline'!$D$1:$O$258,9,FALSE)),"",(VLOOKUP($E231,'A-1 On-Site Habitat Baseline'!$D$1:$O$258,9,FALSE))))</f>
        <v/>
      </c>
      <c r="L231" s="310" t="str">
        <f>IF(E231="","",IF(ISNA(VLOOKUP($E231,'A-1 On-Site Habitat Baseline'!$D$1:$O$258,11,FALSE)),"",(VLOOKUP($E231,'A-1 On-Site Habitat Baseline'!$D$1:$O$258,11,FALSE))))</f>
        <v/>
      </c>
      <c r="M231" s="310" t="str">
        <f>IF(E231="","",IF(ISNA(VLOOKUP($E231,'A-1 On-Site Habitat Baseline'!$D$1:$O$258,12,FALSE)),"",(VLOOKUP($E231,'A-1 On-Site Habitat Baseline'!$D$1:$O$258,12,FALSE))))</f>
        <v/>
      </c>
      <c r="N231" s="320" t="str">
        <f>IF(E231="","",IF(ISNA(VLOOKUP($E231,'A-1 On-Site Habitat Baseline'!$D$1:$X$258,14,FALSE)),"",(VLOOKUP($E231,'A-1 On-Site Habitat Baseline'!$D$1:$X$258,14,FALSE))))</f>
        <v/>
      </c>
      <c r="O231" s="314" t="str">
        <f>IF(E231="","",IF(ISNA(VLOOKUP($E231,'A-1 On-Site Habitat Baseline'!$D$1:$X$258,16,FALSE)),"",(VLOOKUP($E231,'A-1 On-Site Habitat Baseline'!$D$1:$X$258,13,FALSE))))</f>
        <v/>
      </c>
      <c r="P231" s="161" t="str">
        <f>IFERROR(INDEX('G-1 All Habitats'!$AG$49:$AG$63,MATCH(Q231,'G-1 All Habitats'!$AF$27:$AF$41,0)),"")</f>
        <v/>
      </c>
      <c r="Q231" s="162" t="str">
        <f t="shared" si="35"/>
        <v/>
      </c>
      <c r="R231" s="162"/>
      <c r="S231" s="252" t="str">
        <f>IFERROR(INDEX('G-1 All Habitats'!$B$3:$B$135,MATCH(R231,'G-1 All Habitats'!$A$3:$A$135,0)),"")</f>
        <v/>
      </c>
      <c r="T231" s="290" t="str">
        <f t="shared" si="36"/>
        <v/>
      </c>
      <c r="U231" s="291" t="str">
        <f t="shared" si="37"/>
        <v/>
      </c>
      <c r="V231" s="325" t="str">
        <f t="shared" si="33"/>
        <v/>
      </c>
      <c r="W231" s="310" t="str">
        <f>IF(S231="","",VLOOKUP(S231,'G-1 All Habitats'!$B$2:$M$135,10,FALSE))</f>
        <v/>
      </c>
      <c r="X231" s="310" t="str">
        <f>IFERROR(VLOOKUP(W231,'G-1 All Habitats'!$V$3:$W$7,2,FALSE),"")</f>
        <v/>
      </c>
      <c r="Y231" s="45"/>
      <c r="Z231" s="314" t="str">
        <f>IFERROR(INDEX('G-8 Condition Look up'!$A$3:$H$135,MATCH(S231,'G-8 Condition Look up'!$A$3:$A$135,0),MATCH(Y231,'G-8 Condition Look up'!$A$3:$H$3,0)),"")</f>
        <v/>
      </c>
      <c r="AA231" s="38"/>
      <c r="AB231" s="310" t="str">
        <f>IF(AA231="","",IF(VLOOKUP(AA231,'G-3 Multipliers'!$L$3:$N$6,2,FALSE)=0,"Spatial Data Missing ⚠",VLOOKUP(AA231,'G-3 Multipliers'!$L$3:$N$6,2,FALSE)))</f>
        <v/>
      </c>
      <c r="AC231" s="314" t="str">
        <f>IF(AA231="","",IF(VLOOKUP(AA231,'G-3 Multipliers'!$L$3:$N$6,3,FALSE)=0,"Spatial Data Missing ⚠",VLOOKUP(AA231,'G-3 Multipliers'!$L$3:$N$6,3,FALSE)))</f>
        <v/>
      </c>
      <c r="AD231" s="327" t="str">
        <f t="shared" si="34"/>
        <v/>
      </c>
      <c r="AE231" s="47"/>
      <c r="AF231" s="47"/>
      <c r="AG231" s="298" t="str">
        <f t="shared" si="38"/>
        <v/>
      </c>
      <c r="AH231" s="311" t="str">
        <f t="shared" si="39"/>
        <v/>
      </c>
      <c r="AI231" s="312" t="str">
        <f>IF(AH231="Check Data","Check Data",IFERROR(VLOOKUP(AH231,'G-4 Temporal multipliers'!$A$4:$C$36,3,FALSE),""))</f>
        <v/>
      </c>
      <c r="AJ231" s="290" t="str">
        <f>IF(S231="","",VLOOKUP(S231,'G-3 Multipliers'!$A$2:$E$134,4,FALSE))</f>
        <v/>
      </c>
      <c r="AK231" s="298" t="str">
        <f t="shared" si="40"/>
        <v/>
      </c>
      <c r="AL231" s="298" t="str">
        <f t="shared" si="41"/>
        <v/>
      </c>
      <c r="AM231" s="328" t="str">
        <f>IFERROR(IF(F231="","",IF(AH231="Check Data ⚠","Check Data ⚠",VLOOKUP(AL231, 'G-3 Multipliers'!$P$2:$Q$6,2,FALSE))),"")</f>
        <v/>
      </c>
      <c r="AN231" s="304" t="str">
        <f t="shared" si="42"/>
        <v/>
      </c>
      <c r="AO231" s="163"/>
      <c r="AP231" s="164"/>
      <c r="AQ231" s="101"/>
      <c r="AT231" s="20" t="str">
        <f t="shared" si="43"/>
        <v>No</v>
      </c>
      <c r="AU231" s="20" t="str">
        <f>IF(E231="","",IF(ISNA(VLOOKUP($E231,'A-1 On-Site Habitat Baseline'!$D$1:$AV$258,4,FALSE)),"",(VLOOKUP($E231,'A-1 On-Site Habitat Baseline'!$D$1:$AV$258,4,FALSE))))</f>
        <v/>
      </c>
    </row>
    <row r="232" spans="1:47" x14ac:dyDescent="0.3">
      <c r="A232" s="20" t="str">
        <f>IF(E232="","",IF(ISNA(VLOOKUP($E232,'A-1 On-Site Habitat Baseline'!$D$1:$O$258,2,FALSE)),"",(VLOOKUP($E232,'A-1 On-Site Habitat Baseline'!$D$1:$O$258,2,FALSE))))</f>
        <v/>
      </c>
      <c r="B232" s="20" t="str">
        <f>IF(E232="","",IF(ISNA(VLOOKUP($E232,'A-1 On-Site Habitat Baseline'!$D$1:$O$258,3,FALSE)),"",(VLOOKUP($E232,'A-1 On-Site Habitat Baseline'!$D$1:$O$258,3,FALSE))))</f>
        <v/>
      </c>
      <c r="C232" s="20" t="str">
        <f>IFERROR(INDEX('G-8 Condition Look up'!$I$4:$I$135,MATCH(S232,'G-8 Condition Look up'!$A$4:$A$135,0)),"")</f>
        <v/>
      </c>
      <c r="E232" s="319" t="str">
        <f>'A-1 On-Site Habitat Baseline'!AL231</f>
        <v/>
      </c>
      <c r="F232" s="310" t="str">
        <f>IF(E232="","",IF(ISNA(VLOOKUP($E232,'A-1 On-Site Habitat Baseline'!$D$1:$AV$258,45,FALSE)),"",(VLOOKUP($E232,'A-1 On-Site Habitat Baseline'!$D$1:$AV$258,45,FALSE))))</f>
        <v/>
      </c>
      <c r="G232" s="310" t="str">
        <f>IF(E232="","",IF(ISNA(VLOOKUP($E232,'A-1 On-Site Habitat Baseline'!$D$1:$O$258,5,FALSE)),"",(VLOOKUP($E232,'A-1 On-Site Habitat Baseline'!$D$1:$O$258,5,FALSE))))</f>
        <v/>
      </c>
      <c r="H232" s="310" t="str">
        <f>IF(E232="","",IF(ISNA(VLOOKUP($E232,'A-1 On-Site Habitat Baseline'!$D$1:$O$258,6,FALSE)),"",(VLOOKUP($E232,'A-1 On-Site Habitat Baseline'!$D$1:$O$258,6,FALSE))))</f>
        <v/>
      </c>
      <c r="I232" s="310" t="str">
        <f>IF(E232="","",IF(ISNA(VLOOKUP($E232,'A-1 On-Site Habitat Baseline'!$D$1:$O$258,7,FALSE)),"",(VLOOKUP($E232,'A-1 On-Site Habitat Baseline'!$D$1:$O$258,7,FALSE))))</f>
        <v/>
      </c>
      <c r="J232" s="310" t="str">
        <f>IF(E232="","",IF(ISNA(VLOOKUP($E232,'A-1 On-Site Habitat Baseline'!$D$1:$O$258,8,FALSE)),"",(VLOOKUP($E232,'A-1 On-Site Habitat Baseline'!$D$1:$O$258,8,FALSE))))</f>
        <v/>
      </c>
      <c r="K232" s="310" t="str">
        <f>IF(E232="","",IF(ISNA(VLOOKUP($E232,'A-1 On-Site Habitat Baseline'!$D$1:$O$258,9,FALSE)),"",(VLOOKUP($E232,'A-1 On-Site Habitat Baseline'!$D$1:$O$258,9,FALSE))))</f>
        <v/>
      </c>
      <c r="L232" s="310" t="str">
        <f>IF(E232="","",IF(ISNA(VLOOKUP($E232,'A-1 On-Site Habitat Baseline'!$D$1:$O$258,11,FALSE)),"",(VLOOKUP($E232,'A-1 On-Site Habitat Baseline'!$D$1:$O$258,11,FALSE))))</f>
        <v/>
      </c>
      <c r="M232" s="310" t="str">
        <f>IF(E232="","",IF(ISNA(VLOOKUP($E232,'A-1 On-Site Habitat Baseline'!$D$1:$O$258,12,FALSE)),"",(VLOOKUP($E232,'A-1 On-Site Habitat Baseline'!$D$1:$O$258,12,FALSE))))</f>
        <v/>
      </c>
      <c r="N232" s="320" t="str">
        <f>IF(E232="","",IF(ISNA(VLOOKUP($E232,'A-1 On-Site Habitat Baseline'!$D$1:$X$258,14,FALSE)),"",(VLOOKUP($E232,'A-1 On-Site Habitat Baseline'!$D$1:$X$258,14,FALSE))))</f>
        <v/>
      </c>
      <c r="O232" s="314" t="str">
        <f>IF(E232="","",IF(ISNA(VLOOKUP($E232,'A-1 On-Site Habitat Baseline'!$D$1:$X$258,16,FALSE)),"",(VLOOKUP($E232,'A-1 On-Site Habitat Baseline'!$D$1:$X$258,13,FALSE))))</f>
        <v/>
      </c>
      <c r="P232" s="161" t="str">
        <f>IFERROR(INDEX('G-1 All Habitats'!$AG$49:$AG$63,MATCH(Q232,'G-1 All Habitats'!$AF$27:$AF$41,0)),"")</f>
        <v/>
      </c>
      <c r="Q232" s="162" t="str">
        <f t="shared" si="35"/>
        <v/>
      </c>
      <c r="R232" s="162"/>
      <c r="S232" s="252" t="str">
        <f>IFERROR(INDEX('G-1 All Habitats'!$B$3:$B$135,MATCH(R232,'G-1 All Habitats'!$A$3:$A$135,0)),"")</f>
        <v/>
      </c>
      <c r="T232" s="290" t="str">
        <f t="shared" si="36"/>
        <v/>
      </c>
      <c r="U232" s="291" t="str">
        <f t="shared" si="37"/>
        <v/>
      </c>
      <c r="V232" s="325" t="str">
        <f t="shared" si="33"/>
        <v/>
      </c>
      <c r="W232" s="310" t="str">
        <f>IF(S232="","",VLOOKUP(S232,'G-1 All Habitats'!$B$2:$M$135,10,FALSE))</f>
        <v/>
      </c>
      <c r="X232" s="310" t="str">
        <f>IFERROR(VLOOKUP(W232,'G-1 All Habitats'!$V$3:$W$7,2,FALSE),"")</f>
        <v/>
      </c>
      <c r="Y232" s="45"/>
      <c r="Z232" s="314" t="str">
        <f>IFERROR(INDEX('G-8 Condition Look up'!$A$3:$H$135,MATCH(S232,'G-8 Condition Look up'!$A$3:$A$135,0),MATCH(Y232,'G-8 Condition Look up'!$A$3:$H$3,0)),"")</f>
        <v/>
      </c>
      <c r="AA232" s="38"/>
      <c r="AB232" s="310" t="str">
        <f>IF(AA232="","",IF(VLOOKUP(AA232,'G-3 Multipliers'!$L$3:$N$6,2,FALSE)=0,"Spatial Data Missing ⚠",VLOOKUP(AA232,'G-3 Multipliers'!$L$3:$N$6,2,FALSE)))</f>
        <v/>
      </c>
      <c r="AC232" s="314" t="str">
        <f>IF(AA232="","",IF(VLOOKUP(AA232,'G-3 Multipliers'!$L$3:$N$6,3,FALSE)=0,"Spatial Data Missing ⚠",VLOOKUP(AA232,'G-3 Multipliers'!$L$3:$N$6,3,FALSE)))</f>
        <v/>
      </c>
      <c r="AD232" s="327" t="str">
        <f t="shared" si="34"/>
        <v/>
      </c>
      <c r="AE232" s="47"/>
      <c r="AF232" s="47"/>
      <c r="AG232" s="298" t="str">
        <f t="shared" si="38"/>
        <v/>
      </c>
      <c r="AH232" s="311" t="str">
        <f t="shared" si="39"/>
        <v/>
      </c>
      <c r="AI232" s="312" t="str">
        <f>IF(AH232="Check Data","Check Data",IFERROR(VLOOKUP(AH232,'G-4 Temporal multipliers'!$A$4:$C$36,3,FALSE),""))</f>
        <v/>
      </c>
      <c r="AJ232" s="290" t="str">
        <f>IF(S232="","",VLOOKUP(S232,'G-3 Multipliers'!$A$2:$E$134,4,FALSE))</f>
        <v/>
      </c>
      <c r="AK232" s="298" t="str">
        <f t="shared" si="40"/>
        <v/>
      </c>
      <c r="AL232" s="298" t="str">
        <f t="shared" si="41"/>
        <v/>
      </c>
      <c r="AM232" s="328" t="str">
        <f>IFERROR(IF(F232="","",IF(AH232="Check Data ⚠","Check Data ⚠",VLOOKUP(AL232, 'G-3 Multipliers'!$P$2:$Q$6,2,FALSE))),"")</f>
        <v/>
      </c>
      <c r="AN232" s="304" t="str">
        <f t="shared" si="42"/>
        <v/>
      </c>
      <c r="AO232" s="163"/>
      <c r="AP232" s="164"/>
      <c r="AQ232" s="101"/>
      <c r="AT232" s="20" t="str">
        <f t="shared" si="43"/>
        <v>No</v>
      </c>
      <c r="AU232" s="20" t="str">
        <f>IF(E232="","",IF(ISNA(VLOOKUP($E232,'A-1 On-Site Habitat Baseline'!$D$1:$AV$258,4,FALSE)),"",(VLOOKUP($E232,'A-1 On-Site Habitat Baseline'!$D$1:$AV$258,4,FALSE))))</f>
        <v/>
      </c>
    </row>
    <row r="233" spans="1:47" x14ac:dyDescent="0.3">
      <c r="A233" s="20" t="str">
        <f>IF(E233="","",IF(ISNA(VLOOKUP($E233,'A-1 On-Site Habitat Baseline'!$D$1:$O$258,2,FALSE)),"",(VLOOKUP($E233,'A-1 On-Site Habitat Baseline'!$D$1:$O$258,2,FALSE))))</f>
        <v/>
      </c>
      <c r="B233" s="20" t="str">
        <f>IF(E233="","",IF(ISNA(VLOOKUP($E233,'A-1 On-Site Habitat Baseline'!$D$1:$O$258,3,FALSE)),"",(VLOOKUP($E233,'A-1 On-Site Habitat Baseline'!$D$1:$O$258,3,FALSE))))</f>
        <v/>
      </c>
      <c r="C233" s="20" t="str">
        <f>IFERROR(INDEX('G-8 Condition Look up'!$I$4:$I$135,MATCH(S233,'G-8 Condition Look up'!$A$4:$A$135,0)),"")</f>
        <v/>
      </c>
      <c r="E233" s="319" t="str">
        <f>'A-1 On-Site Habitat Baseline'!AL232</f>
        <v/>
      </c>
      <c r="F233" s="310" t="str">
        <f>IF(E233="","",IF(ISNA(VLOOKUP($E233,'A-1 On-Site Habitat Baseline'!$D$1:$AV$258,45,FALSE)),"",(VLOOKUP($E233,'A-1 On-Site Habitat Baseline'!$D$1:$AV$258,45,FALSE))))</f>
        <v/>
      </c>
      <c r="G233" s="310" t="str">
        <f>IF(E233="","",IF(ISNA(VLOOKUP($E233,'A-1 On-Site Habitat Baseline'!$D$1:$O$258,5,FALSE)),"",(VLOOKUP($E233,'A-1 On-Site Habitat Baseline'!$D$1:$O$258,5,FALSE))))</f>
        <v/>
      </c>
      <c r="H233" s="310" t="str">
        <f>IF(E233="","",IF(ISNA(VLOOKUP($E233,'A-1 On-Site Habitat Baseline'!$D$1:$O$258,6,FALSE)),"",(VLOOKUP($E233,'A-1 On-Site Habitat Baseline'!$D$1:$O$258,6,FALSE))))</f>
        <v/>
      </c>
      <c r="I233" s="310" t="str">
        <f>IF(E233="","",IF(ISNA(VLOOKUP($E233,'A-1 On-Site Habitat Baseline'!$D$1:$O$258,7,FALSE)),"",(VLOOKUP($E233,'A-1 On-Site Habitat Baseline'!$D$1:$O$258,7,FALSE))))</f>
        <v/>
      </c>
      <c r="J233" s="310" t="str">
        <f>IF(E233="","",IF(ISNA(VLOOKUP($E233,'A-1 On-Site Habitat Baseline'!$D$1:$O$258,8,FALSE)),"",(VLOOKUP($E233,'A-1 On-Site Habitat Baseline'!$D$1:$O$258,8,FALSE))))</f>
        <v/>
      </c>
      <c r="K233" s="310" t="str">
        <f>IF(E233="","",IF(ISNA(VLOOKUP($E233,'A-1 On-Site Habitat Baseline'!$D$1:$O$258,9,FALSE)),"",(VLOOKUP($E233,'A-1 On-Site Habitat Baseline'!$D$1:$O$258,9,FALSE))))</f>
        <v/>
      </c>
      <c r="L233" s="310" t="str">
        <f>IF(E233="","",IF(ISNA(VLOOKUP($E233,'A-1 On-Site Habitat Baseline'!$D$1:$O$258,11,FALSE)),"",(VLOOKUP($E233,'A-1 On-Site Habitat Baseline'!$D$1:$O$258,11,FALSE))))</f>
        <v/>
      </c>
      <c r="M233" s="310" t="str">
        <f>IF(E233="","",IF(ISNA(VLOOKUP($E233,'A-1 On-Site Habitat Baseline'!$D$1:$O$258,12,FALSE)),"",(VLOOKUP($E233,'A-1 On-Site Habitat Baseline'!$D$1:$O$258,12,FALSE))))</f>
        <v/>
      </c>
      <c r="N233" s="320" t="str">
        <f>IF(E233="","",IF(ISNA(VLOOKUP($E233,'A-1 On-Site Habitat Baseline'!$D$1:$X$258,14,FALSE)),"",(VLOOKUP($E233,'A-1 On-Site Habitat Baseline'!$D$1:$X$258,14,FALSE))))</f>
        <v/>
      </c>
      <c r="O233" s="314" t="str">
        <f>IF(E233="","",IF(ISNA(VLOOKUP($E233,'A-1 On-Site Habitat Baseline'!$D$1:$X$258,16,FALSE)),"",(VLOOKUP($E233,'A-1 On-Site Habitat Baseline'!$D$1:$X$258,13,FALSE))))</f>
        <v/>
      </c>
      <c r="P233" s="161" t="str">
        <f>IFERROR(INDEX('G-1 All Habitats'!$AG$49:$AG$63,MATCH(Q233,'G-1 All Habitats'!$AF$27:$AF$41,0)),"")</f>
        <v/>
      </c>
      <c r="Q233" s="162" t="str">
        <f t="shared" si="35"/>
        <v/>
      </c>
      <c r="R233" s="162"/>
      <c r="S233" s="252" t="str">
        <f>IFERROR(INDEX('G-1 All Habitats'!$B$3:$B$135,MATCH(R233,'G-1 All Habitats'!$A$3:$A$135,0)),"")</f>
        <v/>
      </c>
      <c r="T233" s="290" t="str">
        <f t="shared" si="36"/>
        <v/>
      </c>
      <c r="U233" s="291" t="str">
        <f t="shared" si="37"/>
        <v/>
      </c>
      <c r="V233" s="325" t="str">
        <f t="shared" si="33"/>
        <v/>
      </c>
      <c r="W233" s="310" t="str">
        <f>IF(S233="","",VLOOKUP(S233,'G-1 All Habitats'!$B$2:$M$135,10,FALSE))</f>
        <v/>
      </c>
      <c r="X233" s="310" t="str">
        <f>IFERROR(VLOOKUP(W233,'G-1 All Habitats'!$V$3:$W$7,2,FALSE),"")</f>
        <v/>
      </c>
      <c r="Y233" s="45"/>
      <c r="Z233" s="314" t="str">
        <f>IFERROR(INDEX('G-8 Condition Look up'!$A$3:$H$135,MATCH(S233,'G-8 Condition Look up'!$A$3:$A$135,0),MATCH(Y233,'G-8 Condition Look up'!$A$3:$H$3,0)),"")</f>
        <v/>
      </c>
      <c r="AA233" s="38"/>
      <c r="AB233" s="310" t="str">
        <f>IF(AA233="","",IF(VLOOKUP(AA233,'G-3 Multipliers'!$L$3:$N$6,2,FALSE)=0,"Spatial Data Missing ⚠",VLOOKUP(AA233,'G-3 Multipliers'!$L$3:$N$6,2,FALSE)))</f>
        <v/>
      </c>
      <c r="AC233" s="314" t="str">
        <f>IF(AA233="","",IF(VLOOKUP(AA233,'G-3 Multipliers'!$L$3:$N$6,3,FALSE)=0,"Spatial Data Missing ⚠",VLOOKUP(AA233,'G-3 Multipliers'!$L$3:$N$6,3,FALSE)))</f>
        <v/>
      </c>
      <c r="AD233" s="327" t="str">
        <f t="shared" si="34"/>
        <v/>
      </c>
      <c r="AE233" s="47"/>
      <c r="AF233" s="47"/>
      <c r="AG233" s="298" t="str">
        <f t="shared" si="38"/>
        <v/>
      </c>
      <c r="AH233" s="311" t="str">
        <f t="shared" si="39"/>
        <v/>
      </c>
      <c r="AI233" s="312" t="str">
        <f>IF(AH233="Check Data","Check Data",IFERROR(VLOOKUP(AH233,'G-4 Temporal multipliers'!$A$4:$C$36,3,FALSE),""))</f>
        <v/>
      </c>
      <c r="AJ233" s="290" t="str">
        <f>IF(S233="","",VLOOKUP(S233,'G-3 Multipliers'!$A$2:$E$134,4,FALSE))</f>
        <v/>
      </c>
      <c r="AK233" s="298" t="str">
        <f t="shared" si="40"/>
        <v/>
      </c>
      <c r="AL233" s="298" t="str">
        <f t="shared" si="41"/>
        <v/>
      </c>
      <c r="AM233" s="328" t="str">
        <f>IFERROR(IF(F233="","",IF(AH233="Check Data ⚠","Check Data ⚠",VLOOKUP(AL233, 'G-3 Multipliers'!$P$2:$Q$6,2,FALSE))),"")</f>
        <v/>
      </c>
      <c r="AN233" s="304" t="str">
        <f t="shared" si="42"/>
        <v/>
      </c>
      <c r="AO233" s="163"/>
      <c r="AP233" s="164"/>
      <c r="AQ233" s="101"/>
      <c r="AT233" s="20" t="str">
        <f t="shared" si="43"/>
        <v>No</v>
      </c>
      <c r="AU233" s="20" t="str">
        <f>IF(E233="","",IF(ISNA(VLOOKUP($E233,'A-1 On-Site Habitat Baseline'!$D$1:$AV$258,4,FALSE)),"",(VLOOKUP($E233,'A-1 On-Site Habitat Baseline'!$D$1:$AV$258,4,FALSE))))</f>
        <v/>
      </c>
    </row>
    <row r="234" spans="1:47" x14ac:dyDescent="0.3">
      <c r="A234" s="20" t="str">
        <f>IF(E234="","",IF(ISNA(VLOOKUP($E234,'A-1 On-Site Habitat Baseline'!$D$1:$O$258,2,FALSE)),"",(VLOOKUP($E234,'A-1 On-Site Habitat Baseline'!$D$1:$O$258,2,FALSE))))</f>
        <v/>
      </c>
      <c r="B234" s="20" t="str">
        <f>IF(E234="","",IF(ISNA(VLOOKUP($E234,'A-1 On-Site Habitat Baseline'!$D$1:$O$258,3,FALSE)),"",(VLOOKUP($E234,'A-1 On-Site Habitat Baseline'!$D$1:$O$258,3,FALSE))))</f>
        <v/>
      </c>
      <c r="C234" s="20" t="str">
        <f>IFERROR(INDEX('G-8 Condition Look up'!$I$4:$I$135,MATCH(S234,'G-8 Condition Look up'!$A$4:$A$135,0)),"")</f>
        <v/>
      </c>
      <c r="E234" s="319" t="str">
        <f>'A-1 On-Site Habitat Baseline'!AL233</f>
        <v/>
      </c>
      <c r="F234" s="310" t="str">
        <f>IF(E234="","",IF(ISNA(VLOOKUP($E234,'A-1 On-Site Habitat Baseline'!$D$1:$AV$258,45,FALSE)),"",(VLOOKUP($E234,'A-1 On-Site Habitat Baseline'!$D$1:$AV$258,45,FALSE))))</f>
        <v/>
      </c>
      <c r="G234" s="310" t="str">
        <f>IF(E234="","",IF(ISNA(VLOOKUP($E234,'A-1 On-Site Habitat Baseline'!$D$1:$O$258,5,FALSE)),"",(VLOOKUP($E234,'A-1 On-Site Habitat Baseline'!$D$1:$O$258,5,FALSE))))</f>
        <v/>
      </c>
      <c r="H234" s="310" t="str">
        <f>IF(E234="","",IF(ISNA(VLOOKUP($E234,'A-1 On-Site Habitat Baseline'!$D$1:$O$258,6,FALSE)),"",(VLOOKUP($E234,'A-1 On-Site Habitat Baseline'!$D$1:$O$258,6,FALSE))))</f>
        <v/>
      </c>
      <c r="I234" s="310" t="str">
        <f>IF(E234="","",IF(ISNA(VLOOKUP($E234,'A-1 On-Site Habitat Baseline'!$D$1:$O$258,7,FALSE)),"",(VLOOKUP($E234,'A-1 On-Site Habitat Baseline'!$D$1:$O$258,7,FALSE))))</f>
        <v/>
      </c>
      <c r="J234" s="310" t="str">
        <f>IF(E234="","",IF(ISNA(VLOOKUP($E234,'A-1 On-Site Habitat Baseline'!$D$1:$O$258,8,FALSE)),"",(VLOOKUP($E234,'A-1 On-Site Habitat Baseline'!$D$1:$O$258,8,FALSE))))</f>
        <v/>
      </c>
      <c r="K234" s="310" t="str">
        <f>IF(E234="","",IF(ISNA(VLOOKUP($E234,'A-1 On-Site Habitat Baseline'!$D$1:$O$258,9,FALSE)),"",(VLOOKUP($E234,'A-1 On-Site Habitat Baseline'!$D$1:$O$258,9,FALSE))))</f>
        <v/>
      </c>
      <c r="L234" s="310" t="str">
        <f>IF(E234="","",IF(ISNA(VLOOKUP($E234,'A-1 On-Site Habitat Baseline'!$D$1:$O$258,11,FALSE)),"",(VLOOKUP($E234,'A-1 On-Site Habitat Baseline'!$D$1:$O$258,11,FALSE))))</f>
        <v/>
      </c>
      <c r="M234" s="310" t="str">
        <f>IF(E234="","",IF(ISNA(VLOOKUP($E234,'A-1 On-Site Habitat Baseline'!$D$1:$O$258,12,FALSE)),"",(VLOOKUP($E234,'A-1 On-Site Habitat Baseline'!$D$1:$O$258,12,FALSE))))</f>
        <v/>
      </c>
      <c r="N234" s="320" t="str">
        <f>IF(E234="","",IF(ISNA(VLOOKUP($E234,'A-1 On-Site Habitat Baseline'!$D$1:$X$258,14,FALSE)),"",(VLOOKUP($E234,'A-1 On-Site Habitat Baseline'!$D$1:$X$258,14,FALSE))))</f>
        <v/>
      </c>
      <c r="O234" s="314" t="str">
        <f>IF(E234="","",IF(ISNA(VLOOKUP($E234,'A-1 On-Site Habitat Baseline'!$D$1:$X$258,16,FALSE)),"",(VLOOKUP($E234,'A-1 On-Site Habitat Baseline'!$D$1:$X$258,13,FALSE))))</f>
        <v/>
      </c>
      <c r="P234" s="161" t="str">
        <f>IFERROR(INDEX('G-1 All Habitats'!$AG$49:$AG$63,MATCH(Q234,'G-1 All Habitats'!$AF$27:$AF$41,0)),"")</f>
        <v/>
      </c>
      <c r="Q234" s="162" t="str">
        <f t="shared" si="35"/>
        <v/>
      </c>
      <c r="R234" s="162"/>
      <c r="S234" s="252" t="str">
        <f>IFERROR(INDEX('G-1 All Habitats'!$B$3:$B$135,MATCH(R234,'G-1 All Habitats'!$A$3:$A$135,0)),"")</f>
        <v/>
      </c>
      <c r="T234" s="290" t="str">
        <f t="shared" si="36"/>
        <v/>
      </c>
      <c r="U234" s="291" t="str">
        <f t="shared" si="37"/>
        <v/>
      </c>
      <c r="V234" s="325" t="str">
        <f t="shared" si="33"/>
        <v/>
      </c>
      <c r="W234" s="310" t="str">
        <f>IF(S234="","",VLOOKUP(S234,'G-1 All Habitats'!$B$2:$M$135,10,FALSE))</f>
        <v/>
      </c>
      <c r="X234" s="310" t="str">
        <f>IFERROR(VLOOKUP(W234,'G-1 All Habitats'!$V$3:$W$7,2,FALSE),"")</f>
        <v/>
      </c>
      <c r="Y234" s="45"/>
      <c r="Z234" s="314" t="str">
        <f>IFERROR(INDEX('G-8 Condition Look up'!$A$3:$H$135,MATCH(S234,'G-8 Condition Look up'!$A$3:$A$135,0),MATCH(Y234,'G-8 Condition Look up'!$A$3:$H$3,0)),"")</f>
        <v/>
      </c>
      <c r="AA234" s="38"/>
      <c r="AB234" s="310" t="str">
        <f>IF(AA234="","",IF(VLOOKUP(AA234,'G-3 Multipliers'!$L$3:$N$6,2,FALSE)=0,"Spatial Data Missing ⚠",VLOOKUP(AA234,'G-3 Multipliers'!$L$3:$N$6,2,FALSE)))</f>
        <v/>
      </c>
      <c r="AC234" s="314" t="str">
        <f>IF(AA234="","",IF(VLOOKUP(AA234,'G-3 Multipliers'!$L$3:$N$6,3,FALSE)=0,"Spatial Data Missing ⚠",VLOOKUP(AA234,'G-3 Multipliers'!$L$3:$N$6,3,FALSE)))</f>
        <v/>
      </c>
      <c r="AD234" s="327" t="str">
        <f t="shared" si="34"/>
        <v/>
      </c>
      <c r="AE234" s="47"/>
      <c r="AF234" s="47"/>
      <c r="AG234" s="298" t="str">
        <f t="shared" si="38"/>
        <v/>
      </c>
      <c r="AH234" s="311" t="str">
        <f t="shared" si="39"/>
        <v/>
      </c>
      <c r="AI234" s="312" t="str">
        <f>IF(AH234="Check Data","Check Data",IFERROR(VLOOKUP(AH234,'G-4 Temporal multipliers'!$A$4:$C$36,3,FALSE),""))</f>
        <v/>
      </c>
      <c r="AJ234" s="290" t="str">
        <f>IF(S234="","",VLOOKUP(S234,'G-3 Multipliers'!$A$2:$E$134,4,FALSE))</f>
        <v/>
      </c>
      <c r="AK234" s="298" t="str">
        <f t="shared" si="40"/>
        <v/>
      </c>
      <c r="AL234" s="298" t="str">
        <f t="shared" si="41"/>
        <v/>
      </c>
      <c r="AM234" s="328" t="str">
        <f>IFERROR(IF(F234="","",IF(AH234="Check Data ⚠","Check Data ⚠",VLOOKUP(AL234, 'G-3 Multipliers'!$P$2:$Q$6,2,FALSE))),"")</f>
        <v/>
      </c>
      <c r="AN234" s="304" t="str">
        <f t="shared" si="42"/>
        <v/>
      </c>
      <c r="AO234" s="163"/>
      <c r="AP234" s="164"/>
      <c r="AQ234" s="101"/>
      <c r="AT234" s="20" t="str">
        <f t="shared" si="43"/>
        <v>No</v>
      </c>
      <c r="AU234" s="20" t="str">
        <f>IF(E234="","",IF(ISNA(VLOOKUP($E234,'A-1 On-Site Habitat Baseline'!$D$1:$AV$258,4,FALSE)),"",(VLOOKUP($E234,'A-1 On-Site Habitat Baseline'!$D$1:$AV$258,4,FALSE))))</f>
        <v/>
      </c>
    </row>
    <row r="235" spans="1:47" x14ac:dyDescent="0.3">
      <c r="A235" s="20" t="str">
        <f>IF(E235="","",IF(ISNA(VLOOKUP($E235,'A-1 On-Site Habitat Baseline'!$D$1:$O$258,2,FALSE)),"",(VLOOKUP($E235,'A-1 On-Site Habitat Baseline'!$D$1:$O$258,2,FALSE))))</f>
        <v/>
      </c>
      <c r="B235" s="20" t="str">
        <f>IF(E235="","",IF(ISNA(VLOOKUP($E235,'A-1 On-Site Habitat Baseline'!$D$1:$O$258,3,FALSE)),"",(VLOOKUP($E235,'A-1 On-Site Habitat Baseline'!$D$1:$O$258,3,FALSE))))</f>
        <v/>
      </c>
      <c r="C235" s="20" t="str">
        <f>IFERROR(INDEX('G-8 Condition Look up'!$I$4:$I$135,MATCH(S235,'G-8 Condition Look up'!$A$4:$A$135,0)),"")</f>
        <v/>
      </c>
      <c r="E235" s="319" t="str">
        <f>'A-1 On-Site Habitat Baseline'!AL234</f>
        <v/>
      </c>
      <c r="F235" s="310" t="str">
        <f>IF(E235="","",IF(ISNA(VLOOKUP($E235,'A-1 On-Site Habitat Baseline'!$D$1:$AV$258,45,FALSE)),"",(VLOOKUP($E235,'A-1 On-Site Habitat Baseline'!$D$1:$AV$258,45,FALSE))))</f>
        <v/>
      </c>
      <c r="G235" s="310" t="str">
        <f>IF(E235="","",IF(ISNA(VLOOKUP($E235,'A-1 On-Site Habitat Baseline'!$D$1:$O$258,5,FALSE)),"",(VLOOKUP($E235,'A-1 On-Site Habitat Baseline'!$D$1:$O$258,5,FALSE))))</f>
        <v/>
      </c>
      <c r="H235" s="310" t="str">
        <f>IF(E235="","",IF(ISNA(VLOOKUP($E235,'A-1 On-Site Habitat Baseline'!$D$1:$O$258,6,FALSE)),"",(VLOOKUP($E235,'A-1 On-Site Habitat Baseline'!$D$1:$O$258,6,FALSE))))</f>
        <v/>
      </c>
      <c r="I235" s="310" t="str">
        <f>IF(E235="","",IF(ISNA(VLOOKUP($E235,'A-1 On-Site Habitat Baseline'!$D$1:$O$258,7,FALSE)),"",(VLOOKUP($E235,'A-1 On-Site Habitat Baseline'!$D$1:$O$258,7,FALSE))))</f>
        <v/>
      </c>
      <c r="J235" s="310" t="str">
        <f>IF(E235="","",IF(ISNA(VLOOKUP($E235,'A-1 On-Site Habitat Baseline'!$D$1:$O$258,8,FALSE)),"",(VLOOKUP($E235,'A-1 On-Site Habitat Baseline'!$D$1:$O$258,8,FALSE))))</f>
        <v/>
      </c>
      <c r="K235" s="310" t="str">
        <f>IF(E235="","",IF(ISNA(VLOOKUP($E235,'A-1 On-Site Habitat Baseline'!$D$1:$O$258,9,FALSE)),"",(VLOOKUP($E235,'A-1 On-Site Habitat Baseline'!$D$1:$O$258,9,FALSE))))</f>
        <v/>
      </c>
      <c r="L235" s="310" t="str">
        <f>IF(E235="","",IF(ISNA(VLOOKUP($E235,'A-1 On-Site Habitat Baseline'!$D$1:$O$258,11,FALSE)),"",(VLOOKUP($E235,'A-1 On-Site Habitat Baseline'!$D$1:$O$258,11,FALSE))))</f>
        <v/>
      </c>
      <c r="M235" s="310" t="str">
        <f>IF(E235="","",IF(ISNA(VLOOKUP($E235,'A-1 On-Site Habitat Baseline'!$D$1:$O$258,12,FALSE)),"",(VLOOKUP($E235,'A-1 On-Site Habitat Baseline'!$D$1:$O$258,12,FALSE))))</f>
        <v/>
      </c>
      <c r="N235" s="320" t="str">
        <f>IF(E235="","",IF(ISNA(VLOOKUP($E235,'A-1 On-Site Habitat Baseline'!$D$1:$X$258,14,FALSE)),"",(VLOOKUP($E235,'A-1 On-Site Habitat Baseline'!$D$1:$X$258,14,FALSE))))</f>
        <v/>
      </c>
      <c r="O235" s="314" t="str">
        <f>IF(E235="","",IF(ISNA(VLOOKUP($E235,'A-1 On-Site Habitat Baseline'!$D$1:$X$258,16,FALSE)),"",(VLOOKUP($E235,'A-1 On-Site Habitat Baseline'!$D$1:$X$258,13,FALSE))))</f>
        <v/>
      </c>
      <c r="P235" s="161" t="str">
        <f>IFERROR(INDEX('G-1 All Habitats'!$AG$49:$AG$63,MATCH(Q235,'G-1 All Habitats'!$AF$27:$AF$41,0)),"")</f>
        <v/>
      </c>
      <c r="Q235" s="162" t="str">
        <f t="shared" si="35"/>
        <v/>
      </c>
      <c r="R235" s="162"/>
      <c r="S235" s="252" t="str">
        <f>IFERROR(INDEX('G-1 All Habitats'!$B$3:$B$135,MATCH(R235,'G-1 All Habitats'!$A$3:$A$135,0)),"")</f>
        <v/>
      </c>
      <c r="T235" s="290" t="str">
        <f t="shared" si="36"/>
        <v/>
      </c>
      <c r="U235" s="291" t="str">
        <f t="shared" si="37"/>
        <v/>
      </c>
      <c r="V235" s="325" t="str">
        <f t="shared" si="33"/>
        <v/>
      </c>
      <c r="W235" s="310" t="str">
        <f>IF(S235="","",VLOOKUP(S235,'G-1 All Habitats'!$B$2:$M$135,10,FALSE))</f>
        <v/>
      </c>
      <c r="X235" s="310" t="str">
        <f>IFERROR(VLOOKUP(W235,'G-1 All Habitats'!$V$3:$W$7,2,FALSE),"")</f>
        <v/>
      </c>
      <c r="Y235" s="45"/>
      <c r="Z235" s="314" t="str">
        <f>IFERROR(INDEX('G-8 Condition Look up'!$A$3:$H$135,MATCH(S235,'G-8 Condition Look up'!$A$3:$A$135,0),MATCH(Y235,'G-8 Condition Look up'!$A$3:$H$3,0)),"")</f>
        <v/>
      </c>
      <c r="AA235" s="38"/>
      <c r="AB235" s="310" t="str">
        <f>IF(AA235="","",IF(VLOOKUP(AA235,'G-3 Multipliers'!$L$3:$N$6,2,FALSE)=0,"Spatial Data Missing ⚠",VLOOKUP(AA235,'G-3 Multipliers'!$L$3:$N$6,2,FALSE)))</f>
        <v/>
      </c>
      <c r="AC235" s="314" t="str">
        <f>IF(AA235="","",IF(VLOOKUP(AA235,'G-3 Multipliers'!$L$3:$N$6,3,FALSE)=0,"Spatial Data Missing ⚠",VLOOKUP(AA235,'G-3 Multipliers'!$L$3:$N$6,3,FALSE)))</f>
        <v/>
      </c>
      <c r="AD235" s="327" t="str">
        <f t="shared" si="34"/>
        <v/>
      </c>
      <c r="AE235" s="47"/>
      <c r="AF235" s="47"/>
      <c r="AG235" s="298" t="str">
        <f t="shared" si="38"/>
        <v/>
      </c>
      <c r="AH235" s="311" t="str">
        <f t="shared" si="39"/>
        <v/>
      </c>
      <c r="AI235" s="312" t="str">
        <f>IF(AH235="Check Data","Check Data",IFERROR(VLOOKUP(AH235,'G-4 Temporal multipliers'!$A$4:$C$36,3,FALSE),""))</f>
        <v/>
      </c>
      <c r="AJ235" s="290" t="str">
        <f>IF(S235="","",VLOOKUP(S235,'G-3 Multipliers'!$A$2:$E$134,4,FALSE))</f>
        <v/>
      </c>
      <c r="AK235" s="298" t="str">
        <f t="shared" si="40"/>
        <v/>
      </c>
      <c r="AL235" s="298" t="str">
        <f t="shared" si="41"/>
        <v/>
      </c>
      <c r="AM235" s="328" t="str">
        <f>IFERROR(IF(F235="","",IF(AH235="Check Data ⚠","Check Data ⚠",VLOOKUP(AL235, 'G-3 Multipliers'!$P$2:$Q$6,2,FALSE))),"")</f>
        <v/>
      </c>
      <c r="AN235" s="304" t="str">
        <f t="shared" si="42"/>
        <v/>
      </c>
      <c r="AO235" s="163"/>
      <c r="AP235" s="164"/>
      <c r="AQ235" s="101"/>
      <c r="AT235" s="20" t="str">
        <f t="shared" si="43"/>
        <v>No</v>
      </c>
      <c r="AU235" s="20" t="str">
        <f>IF(E235="","",IF(ISNA(VLOOKUP($E235,'A-1 On-Site Habitat Baseline'!$D$1:$AV$258,4,FALSE)),"",(VLOOKUP($E235,'A-1 On-Site Habitat Baseline'!$D$1:$AV$258,4,FALSE))))</f>
        <v/>
      </c>
    </row>
    <row r="236" spans="1:47" x14ac:dyDescent="0.3">
      <c r="A236" s="20" t="str">
        <f>IF(E236="","",IF(ISNA(VLOOKUP($E236,'A-1 On-Site Habitat Baseline'!$D$1:$O$258,2,FALSE)),"",(VLOOKUP($E236,'A-1 On-Site Habitat Baseline'!$D$1:$O$258,2,FALSE))))</f>
        <v/>
      </c>
      <c r="B236" s="20" t="str">
        <f>IF(E236="","",IF(ISNA(VLOOKUP($E236,'A-1 On-Site Habitat Baseline'!$D$1:$O$258,3,FALSE)),"",(VLOOKUP($E236,'A-1 On-Site Habitat Baseline'!$D$1:$O$258,3,FALSE))))</f>
        <v/>
      </c>
      <c r="C236" s="20" t="str">
        <f>IFERROR(INDEX('G-8 Condition Look up'!$I$4:$I$135,MATCH(S236,'G-8 Condition Look up'!$A$4:$A$135,0)),"")</f>
        <v/>
      </c>
      <c r="E236" s="319" t="str">
        <f>'A-1 On-Site Habitat Baseline'!AL235</f>
        <v/>
      </c>
      <c r="F236" s="310" t="str">
        <f>IF(E236="","",IF(ISNA(VLOOKUP($E236,'A-1 On-Site Habitat Baseline'!$D$1:$AV$258,45,FALSE)),"",(VLOOKUP($E236,'A-1 On-Site Habitat Baseline'!$D$1:$AV$258,45,FALSE))))</f>
        <v/>
      </c>
      <c r="G236" s="310" t="str">
        <f>IF(E236="","",IF(ISNA(VLOOKUP($E236,'A-1 On-Site Habitat Baseline'!$D$1:$O$258,5,FALSE)),"",(VLOOKUP($E236,'A-1 On-Site Habitat Baseline'!$D$1:$O$258,5,FALSE))))</f>
        <v/>
      </c>
      <c r="H236" s="310" t="str">
        <f>IF(E236="","",IF(ISNA(VLOOKUP($E236,'A-1 On-Site Habitat Baseline'!$D$1:$O$258,6,FALSE)),"",(VLOOKUP($E236,'A-1 On-Site Habitat Baseline'!$D$1:$O$258,6,FALSE))))</f>
        <v/>
      </c>
      <c r="I236" s="310" t="str">
        <f>IF(E236="","",IF(ISNA(VLOOKUP($E236,'A-1 On-Site Habitat Baseline'!$D$1:$O$258,7,FALSE)),"",(VLOOKUP($E236,'A-1 On-Site Habitat Baseline'!$D$1:$O$258,7,FALSE))))</f>
        <v/>
      </c>
      <c r="J236" s="310" t="str">
        <f>IF(E236="","",IF(ISNA(VLOOKUP($E236,'A-1 On-Site Habitat Baseline'!$D$1:$O$258,8,FALSE)),"",(VLOOKUP($E236,'A-1 On-Site Habitat Baseline'!$D$1:$O$258,8,FALSE))))</f>
        <v/>
      </c>
      <c r="K236" s="310" t="str">
        <f>IF(E236="","",IF(ISNA(VLOOKUP($E236,'A-1 On-Site Habitat Baseline'!$D$1:$O$258,9,FALSE)),"",(VLOOKUP($E236,'A-1 On-Site Habitat Baseline'!$D$1:$O$258,9,FALSE))))</f>
        <v/>
      </c>
      <c r="L236" s="310" t="str">
        <f>IF(E236="","",IF(ISNA(VLOOKUP($E236,'A-1 On-Site Habitat Baseline'!$D$1:$O$258,11,FALSE)),"",(VLOOKUP($E236,'A-1 On-Site Habitat Baseline'!$D$1:$O$258,11,FALSE))))</f>
        <v/>
      </c>
      <c r="M236" s="310" t="str">
        <f>IF(E236="","",IF(ISNA(VLOOKUP($E236,'A-1 On-Site Habitat Baseline'!$D$1:$O$258,12,FALSE)),"",(VLOOKUP($E236,'A-1 On-Site Habitat Baseline'!$D$1:$O$258,12,FALSE))))</f>
        <v/>
      </c>
      <c r="N236" s="320" t="str">
        <f>IF(E236="","",IF(ISNA(VLOOKUP($E236,'A-1 On-Site Habitat Baseline'!$D$1:$X$258,14,FALSE)),"",(VLOOKUP($E236,'A-1 On-Site Habitat Baseline'!$D$1:$X$258,14,FALSE))))</f>
        <v/>
      </c>
      <c r="O236" s="314" t="str">
        <f>IF(E236="","",IF(ISNA(VLOOKUP($E236,'A-1 On-Site Habitat Baseline'!$D$1:$X$258,16,FALSE)),"",(VLOOKUP($E236,'A-1 On-Site Habitat Baseline'!$D$1:$X$258,13,FALSE))))</f>
        <v/>
      </c>
      <c r="P236" s="161" t="str">
        <f>IFERROR(INDEX('G-1 All Habitats'!$AG$49:$AG$63,MATCH(Q236,'G-1 All Habitats'!$AF$27:$AF$41,0)),"")</f>
        <v/>
      </c>
      <c r="Q236" s="162" t="str">
        <f t="shared" si="35"/>
        <v/>
      </c>
      <c r="R236" s="162"/>
      <c r="S236" s="252" t="str">
        <f>IFERROR(INDEX('G-1 All Habitats'!$B$3:$B$135,MATCH(R236,'G-1 All Habitats'!$A$3:$A$135,0)),"")</f>
        <v/>
      </c>
      <c r="T236" s="290" t="str">
        <f t="shared" si="36"/>
        <v/>
      </c>
      <c r="U236" s="291" t="str">
        <f t="shared" si="37"/>
        <v/>
      </c>
      <c r="V236" s="325" t="str">
        <f t="shared" si="33"/>
        <v/>
      </c>
      <c r="W236" s="310" t="str">
        <f>IF(S236="","",VLOOKUP(S236,'G-1 All Habitats'!$B$2:$M$135,10,FALSE))</f>
        <v/>
      </c>
      <c r="X236" s="310" t="str">
        <f>IFERROR(VLOOKUP(W236,'G-1 All Habitats'!$V$3:$W$7,2,FALSE),"")</f>
        <v/>
      </c>
      <c r="Y236" s="45"/>
      <c r="Z236" s="314" t="str">
        <f>IFERROR(INDEX('G-8 Condition Look up'!$A$3:$H$135,MATCH(S236,'G-8 Condition Look up'!$A$3:$A$135,0),MATCH(Y236,'G-8 Condition Look up'!$A$3:$H$3,0)),"")</f>
        <v/>
      </c>
      <c r="AA236" s="38"/>
      <c r="AB236" s="310" t="str">
        <f>IF(AA236="","",IF(VLOOKUP(AA236,'G-3 Multipliers'!$L$3:$N$6,2,FALSE)=0,"Spatial Data Missing ⚠",VLOOKUP(AA236,'G-3 Multipliers'!$L$3:$N$6,2,FALSE)))</f>
        <v/>
      </c>
      <c r="AC236" s="314" t="str">
        <f>IF(AA236="","",IF(VLOOKUP(AA236,'G-3 Multipliers'!$L$3:$N$6,3,FALSE)=0,"Spatial Data Missing ⚠",VLOOKUP(AA236,'G-3 Multipliers'!$L$3:$N$6,3,FALSE)))</f>
        <v/>
      </c>
      <c r="AD236" s="327" t="str">
        <f t="shared" si="34"/>
        <v/>
      </c>
      <c r="AE236" s="47"/>
      <c r="AF236" s="47"/>
      <c r="AG236" s="298" t="str">
        <f t="shared" si="38"/>
        <v/>
      </c>
      <c r="AH236" s="311" t="str">
        <f t="shared" si="39"/>
        <v/>
      </c>
      <c r="AI236" s="312" t="str">
        <f>IF(AH236="Check Data","Check Data",IFERROR(VLOOKUP(AH236,'G-4 Temporal multipliers'!$A$4:$C$36,3,FALSE),""))</f>
        <v/>
      </c>
      <c r="AJ236" s="290" t="str">
        <f>IF(S236="","",VLOOKUP(S236,'G-3 Multipliers'!$A$2:$E$134,4,FALSE))</f>
        <v/>
      </c>
      <c r="AK236" s="298" t="str">
        <f t="shared" si="40"/>
        <v/>
      </c>
      <c r="AL236" s="298" t="str">
        <f t="shared" si="41"/>
        <v/>
      </c>
      <c r="AM236" s="328" t="str">
        <f>IFERROR(IF(F236="","",IF(AH236="Check Data ⚠","Check Data ⚠",VLOOKUP(AL236, 'G-3 Multipliers'!$P$2:$Q$6,2,FALSE))),"")</f>
        <v/>
      </c>
      <c r="AN236" s="304" t="str">
        <f t="shared" si="42"/>
        <v/>
      </c>
      <c r="AO236" s="163"/>
      <c r="AP236" s="164"/>
      <c r="AQ236" s="101"/>
      <c r="AT236" s="20" t="str">
        <f t="shared" si="43"/>
        <v>No</v>
      </c>
      <c r="AU236" s="20" t="str">
        <f>IF(E236="","",IF(ISNA(VLOOKUP($E236,'A-1 On-Site Habitat Baseline'!$D$1:$AV$258,4,FALSE)),"",(VLOOKUP($E236,'A-1 On-Site Habitat Baseline'!$D$1:$AV$258,4,FALSE))))</f>
        <v/>
      </c>
    </row>
    <row r="237" spans="1:47" x14ac:dyDescent="0.3">
      <c r="A237" s="20" t="str">
        <f>IF(E237="","",IF(ISNA(VLOOKUP($E237,'A-1 On-Site Habitat Baseline'!$D$1:$O$258,2,FALSE)),"",(VLOOKUP($E237,'A-1 On-Site Habitat Baseline'!$D$1:$O$258,2,FALSE))))</f>
        <v/>
      </c>
      <c r="B237" s="20" t="str">
        <f>IF(E237="","",IF(ISNA(VLOOKUP($E237,'A-1 On-Site Habitat Baseline'!$D$1:$O$258,3,FALSE)),"",(VLOOKUP($E237,'A-1 On-Site Habitat Baseline'!$D$1:$O$258,3,FALSE))))</f>
        <v/>
      </c>
      <c r="C237" s="20" t="str">
        <f>IFERROR(INDEX('G-8 Condition Look up'!$I$4:$I$135,MATCH(S237,'G-8 Condition Look up'!$A$4:$A$135,0)),"")</f>
        <v/>
      </c>
      <c r="E237" s="319" t="str">
        <f>'A-1 On-Site Habitat Baseline'!AL236</f>
        <v/>
      </c>
      <c r="F237" s="310" t="str">
        <f>IF(E237="","",IF(ISNA(VLOOKUP($E237,'A-1 On-Site Habitat Baseline'!$D$1:$AV$258,45,FALSE)),"",(VLOOKUP($E237,'A-1 On-Site Habitat Baseline'!$D$1:$AV$258,45,FALSE))))</f>
        <v/>
      </c>
      <c r="G237" s="310" t="str">
        <f>IF(E237="","",IF(ISNA(VLOOKUP($E237,'A-1 On-Site Habitat Baseline'!$D$1:$O$258,5,FALSE)),"",(VLOOKUP($E237,'A-1 On-Site Habitat Baseline'!$D$1:$O$258,5,FALSE))))</f>
        <v/>
      </c>
      <c r="H237" s="310" t="str">
        <f>IF(E237="","",IF(ISNA(VLOOKUP($E237,'A-1 On-Site Habitat Baseline'!$D$1:$O$258,6,FALSE)),"",(VLOOKUP($E237,'A-1 On-Site Habitat Baseline'!$D$1:$O$258,6,FALSE))))</f>
        <v/>
      </c>
      <c r="I237" s="310" t="str">
        <f>IF(E237="","",IF(ISNA(VLOOKUP($E237,'A-1 On-Site Habitat Baseline'!$D$1:$O$258,7,FALSE)),"",(VLOOKUP($E237,'A-1 On-Site Habitat Baseline'!$D$1:$O$258,7,FALSE))))</f>
        <v/>
      </c>
      <c r="J237" s="310" t="str">
        <f>IF(E237="","",IF(ISNA(VLOOKUP($E237,'A-1 On-Site Habitat Baseline'!$D$1:$O$258,8,FALSE)),"",(VLOOKUP($E237,'A-1 On-Site Habitat Baseline'!$D$1:$O$258,8,FALSE))))</f>
        <v/>
      </c>
      <c r="K237" s="310" t="str">
        <f>IF(E237="","",IF(ISNA(VLOOKUP($E237,'A-1 On-Site Habitat Baseline'!$D$1:$O$258,9,FALSE)),"",(VLOOKUP($E237,'A-1 On-Site Habitat Baseline'!$D$1:$O$258,9,FALSE))))</f>
        <v/>
      </c>
      <c r="L237" s="310" t="str">
        <f>IF(E237="","",IF(ISNA(VLOOKUP($E237,'A-1 On-Site Habitat Baseline'!$D$1:$O$258,11,FALSE)),"",(VLOOKUP($E237,'A-1 On-Site Habitat Baseline'!$D$1:$O$258,11,FALSE))))</f>
        <v/>
      </c>
      <c r="M237" s="310" t="str">
        <f>IF(E237="","",IF(ISNA(VLOOKUP($E237,'A-1 On-Site Habitat Baseline'!$D$1:$O$258,12,FALSE)),"",(VLOOKUP($E237,'A-1 On-Site Habitat Baseline'!$D$1:$O$258,12,FALSE))))</f>
        <v/>
      </c>
      <c r="N237" s="320" t="str">
        <f>IF(E237="","",IF(ISNA(VLOOKUP($E237,'A-1 On-Site Habitat Baseline'!$D$1:$X$258,14,FALSE)),"",(VLOOKUP($E237,'A-1 On-Site Habitat Baseline'!$D$1:$X$258,14,FALSE))))</f>
        <v/>
      </c>
      <c r="O237" s="314" t="str">
        <f>IF(E237="","",IF(ISNA(VLOOKUP($E237,'A-1 On-Site Habitat Baseline'!$D$1:$X$258,16,FALSE)),"",(VLOOKUP($E237,'A-1 On-Site Habitat Baseline'!$D$1:$X$258,13,FALSE))))</f>
        <v/>
      </c>
      <c r="P237" s="161" t="str">
        <f>IFERROR(INDEX('G-1 All Habitats'!$AG$49:$AG$63,MATCH(Q237,'G-1 All Habitats'!$AF$27:$AF$41,0)),"")</f>
        <v/>
      </c>
      <c r="Q237" s="162" t="str">
        <f t="shared" si="35"/>
        <v/>
      </c>
      <c r="R237" s="162"/>
      <c r="S237" s="252" t="str">
        <f>IFERROR(INDEX('G-1 All Habitats'!$B$3:$B$135,MATCH(R237,'G-1 All Habitats'!$A$3:$A$135,0)),"")</f>
        <v/>
      </c>
      <c r="T237" s="290" t="str">
        <f t="shared" si="36"/>
        <v/>
      </c>
      <c r="U237" s="291" t="str">
        <f t="shared" si="37"/>
        <v/>
      </c>
      <c r="V237" s="325" t="str">
        <f t="shared" si="33"/>
        <v/>
      </c>
      <c r="W237" s="310" t="str">
        <f>IF(S237="","",VLOOKUP(S237,'G-1 All Habitats'!$B$2:$M$135,10,FALSE))</f>
        <v/>
      </c>
      <c r="X237" s="310" t="str">
        <f>IFERROR(VLOOKUP(W237,'G-1 All Habitats'!$V$3:$W$7,2,FALSE),"")</f>
        <v/>
      </c>
      <c r="Y237" s="45"/>
      <c r="Z237" s="314" t="str">
        <f>IFERROR(INDEX('G-8 Condition Look up'!$A$3:$H$135,MATCH(S237,'G-8 Condition Look up'!$A$3:$A$135,0),MATCH(Y237,'G-8 Condition Look up'!$A$3:$H$3,0)),"")</f>
        <v/>
      </c>
      <c r="AA237" s="38"/>
      <c r="AB237" s="310" t="str">
        <f>IF(AA237="","",IF(VLOOKUP(AA237,'G-3 Multipliers'!$L$3:$N$6,2,FALSE)=0,"Spatial Data Missing ⚠",VLOOKUP(AA237,'G-3 Multipliers'!$L$3:$N$6,2,FALSE)))</f>
        <v/>
      </c>
      <c r="AC237" s="314" t="str">
        <f>IF(AA237="","",IF(VLOOKUP(AA237,'G-3 Multipliers'!$L$3:$N$6,3,FALSE)=0,"Spatial Data Missing ⚠",VLOOKUP(AA237,'G-3 Multipliers'!$L$3:$N$6,3,FALSE)))</f>
        <v/>
      </c>
      <c r="AD237" s="327" t="str">
        <f t="shared" si="34"/>
        <v/>
      </c>
      <c r="AE237" s="47"/>
      <c r="AF237" s="47"/>
      <c r="AG237" s="298" t="str">
        <f t="shared" si="38"/>
        <v/>
      </c>
      <c r="AH237" s="311" t="str">
        <f t="shared" si="39"/>
        <v/>
      </c>
      <c r="AI237" s="312" t="str">
        <f>IF(AH237="Check Data","Check Data",IFERROR(VLOOKUP(AH237,'G-4 Temporal multipliers'!$A$4:$C$36,3,FALSE),""))</f>
        <v/>
      </c>
      <c r="AJ237" s="290" t="str">
        <f>IF(S237="","",VLOOKUP(S237,'G-3 Multipliers'!$A$2:$E$134,4,FALSE))</f>
        <v/>
      </c>
      <c r="AK237" s="298" t="str">
        <f t="shared" si="40"/>
        <v/>
      </c>
      <c r="AL237" s="298" t="str">
        <f t="shared" si="41"/>
        <v/>
      </c>
      <c r="AM237" s="328" t="str">
        <f>IFERROR(IF(F237="","",IF(AH237="Check Data ⚠","Check Data ⚠",VLOOKUP(AL237, 'G-3 Multipliers'!$P$2:$Q$6,2,FALSE))),"")</f>
        <v/>
      </c>
      <c r="AN237" s="304" t="str">
        <f t="shared" si="42"/>
        <v/>
      </c>
      <c r="AO237" s="163"/>
      <c r="AP237" s="164"/>
      <c r="AQ237" s="101"/>
      <c r="AT237" s="20" t="str">
        <f t="shared" si="43"/>
        <v>No</v>
      </c>
      <c r="AU237" s="20" t="str">
        <f>IF(E237="","",IF(ISNA(VLOOKUP($E237,'A-1 On-Site Habitat Baseline'!$D$1:$AV$258,4,FALSE)),"",(VLOOKUP($E237,'A-1 On-Site Habitat Baseline'!$D$1:$AV$258,4,FALSE))))</f>
        <v/>
      </c>
    </row>
    <row r="238" spans="1:47" x14ac:dyDescent="0.3">
      <c r="A238" s="20" t="str">
        <f>IF(E238="","",IF(ISNA(VLOOKUP($E238,'A-1 On-Site Habitat Baseline'!$D$1:$O$258,2,FALSE)),"",(VLOOKUP($E238,'A-1 On-Site Habitat Baseline'!$D$1:$O$258,2,FALSE))))</f>
        <v/>
      </c>
      <c r="B238" s="20" t="str">
        <f>IF(E238="","",IF(ISNA(VLOOKUP($E238,'A-1 On-Site Habitat Baseline'!$D$1:$O$258,3,FALSE)),"",(VLOOKUP($E238,'A-1 On-Site Habitat Baseline'!$D$1:$O$258,3,FALSE))))</f>
        <v/>
      </c>
      <c r="C238" s="20" t="str">
        <f>IFERROR(INDEX('G-8 Condition Look up'!$I$4:$I$135,MATCH(S238,'G-8 Condition Look up'!$A$4:$A$135,0)),"")</f>
        <v/>
      </c>
      <c r="E238" s="319" t="str">
        <f>'A-1 On-Site Habitat Baseline'!AL237</f>
        <v/>
      </c>
      <c r="F238" s="310" t="str">
        <f>IF(E238="","",IF(ISNA(VLOOKUP($E238,'A-1 On-Site Habitat Baseline'!$D$1:$AV$258,45,FALSE)),"",(VLOOKUP($E238,'A-1 On-Site Habitat Baseline'!$D$1:$AV$258,45,FALSE))))</f>
        <v/>
      </c>
      <c r="G238" s="310" t="str">
        <f>IF(E238="","",IF(ISNA(VLOOKUP($E238,'A-1 On-Site Habitat Baseline'!$D$1:$O$258,5,FALSE)),"",(VLOOKUP($E238,'A-1 On-Site Habitat Baseline'!$D$1:$O$258,5,FALSE))))</f>
        <v/>
      </c>
      <c r="H238" s="310" t="str">
        <f>IF(E238="","",IF(ISNA(VLOOKUP($E238,'A-1 On-Site Habitat Baseline'!$D$1:$O$258,6,FALSE)),"",(VLOOKUP($E238,'A-1 On-Site Habitat Baseline'!$D$1:$O$258,6,FALSE))))</f>
        <v/>
      </c>
      <c r="I238" s="310" t="str">
        <f>IF(E238="","",IF(ISNA(VLOOKUP($E238,'A-1 On-Site Habitat Baseline'!$D$1:$O$258,7,FALSE)),"",(VLOOKUP($E238,'A-1 On-Site Habitat Baseline'!$D$1:$O$258,7,FALSE))))</f>
        <v/>
      </c>
      <c r="J238" s="310" t="str">
        <f>IF(E238="","",IF(ISNA(VLOOKUP($E238,'A-1 On-Site Habitat Baseline'!$D$1:$O$258,8,FALSE)),"",(VLOOKUP($E238,'A-1 On-Site Habitat Baseline'!$D$1:$O$258,8,FALSE))))</f>
        <v/>
      </c>
      <c r="K238" s="310" t="str">
        <f>IF(E238="","",IF(ISNA(VLOOKUP($E238,'A-1 On-Site Habitat Baseline'!$D$1:$O$258,9,FALSE)),"",(VLOOKUP($E238,'A-1 On-Site Habitat Baseline'!$D$1:$O$258,9,FALSE))))</f>
        <v/>
      </c>
      <c r="L238" s="310" t="str">
        <f>IF(E238="","",IF(ISNA(VLOOKUP($E238,'A-1 On-Site Habitat Baseline'!$D$1:$O$258,11,FALSE)),"",(VLOOKUP($E238,'A-1 On-Site Habitat Baseline'!$D$1:$O$258,11,FALSE))))</f>
        <v/>
      </c>
      <c r="M238" s="310" t="str">
        <f>IF(E238="","",IF(ISNA(VLOOKUP($E238,'A-1 On-Site Habitat Baseline'!$D$1:$O$258,12,FALSE)),"",(VLOOKUP($E238,'A-1 On-Site Habitat Baseline'!$D$1:$O$258,12,FALSE))))</f>
        <v/>
      </c>
      <c r="N238" s="320" t="str">
        <f>IF(E238="","",IF(ISNA(VLOOKUP($E238,'A-1 On-Site Habitat Baseline'!$D$1:$X$258,14,FALSE)),"",(VLOOKUP($E238,'A-1 On-Site Habitat Baseline'!$D$1:$X$258,14,FALSE))))</f>
        <v/>
      </c>
      <c r="O238" s="314" t="str">
        <f>IF(E238="","",IF(ISNA(VLOOKUP($E238,'A-1 On-Site Habitat Baseline'!$D$1:$X$258,16,FALSE)),"",(VLOOKUP($E238,'A-1 On-Site Habitat Baseline'!$D$1:$X$258,13,FALSE))))</f>
        <v/>
      </c>
      <c r="P238" s="161" t="str">
        <f>IFERROR(INDEX('G-1 All Habitats'!$AG$49:$AG$63,MATCH(Q238,'G-1 All Habitats'!$AF$27:$AF$41,0)),"")</f>
        <v/>
      </c>
      <c r="Q238" s="162" t="str">
        <f t="shared" si="35"/>
        <v/>
      </c>
      <c r="R238" s="162"/>
      <c r="S238" s="252" t="str">
        <f>IFERROR(INDEX('G-1 All Habitats'!$B$3:$B$135,MATCH(R238,'G-1 All Habitats'!$A$3:$A$135,0)),"")</f>
        <v/>
      </c>
      <c r="T238" s="290" t="str">
        <f t="shared" si="36"/>
        <v/>
      </c>
      <c r="U238" s="291" t="str">
        <f t="shared" si="37"/>
        <v/>
      </c>
      <c r="V238" s="325" t="str">
        <f t="shared" si="33"/>
        <v/>
      </c>
      <c r="W238" s="310" t="str">
        <f>IF(S238="","",VLOOKUP(S238,'G-1 All Habitats'!$B$2:$M$135,10,FALSE))</f>
        <v/>
      </c>
      <c r="X238" s="310" t="str">
        <f>IFERROR(VLOOKUP(W238,'G-1 All Habitats'!$V$3:$W$7,2,FALSE),"")</f>
        <v/>
      </c>
      <c r="Y238" s="45"/>
      <c r="Z238" s="314" t="str">
        <f>IFERROR(INDEX('G-8 Condition Look up'!$A$3:$H$135,MATCH(S238,'G-8 Condition Look up'!$A$3:$A$135,0),MATCH(Y238,'G-8 Condition Look up'!$A$3:$H$3,0)),"")</f>
        <v/>
      </c>
      <c r="AA238" s="38"/>
      <c r="AB238" s="310" t="str">
        <f>IF(AA238="","",IF(VLOOKUP(AA238,'G-3 Multipliers'!$L$3:$N$6,2,FALSE)=0,"Spatial Data Missing ⚠",VLOOKUP(AA238,'G-3 Multipliers'!$L$3:$N$6,2,FALSE)))</f>
        <v/>
      </c>
      <c r="AC238" s="314" t="str">
        <f>IF(AA238="","",IF(VLOOKUP(AA238,'G-3 Multipliers'!$L$3:$N$6,3,FALSE)=0,"Spatial Data Missing ⚠",VLOOKUP(AA238,'G-3 Multipliers'!$L$3:$N$6,3,FALSE)))</f>
        <v/>
      </c>
      <c r="AD238" s="327" t="str">
        <f t="shared" si="34"/>
        <v/>
      </c>
      <c r="AE238" s="47"/>
      <c r="AF238" s="47"/>
      <c r="AG238" s="298" t="str">
        <f t="shared" si="38"/>
        <v/>
      </c>
      <c r="AH238" s="311" t="str">
        <f t="shared" si="39"/>
        <v/>
      </c>
      <c r="AI238" s="312" t="str">
        <f>IF(AH238="Check Data","Check Data",IFERROR(VLOOKUP(AH238,'G-4 Temporal multipliers'!$A$4:$C$36,3,FALSE),""))</f>
        <v/>
      </c>
      <c r="AJ238" s="290" t="str">
        <f>IF(S238="","",VLOOKUP(S238,'G-3 Multipliers'!$A$2:$E$134,4,FALSE))</f>
        <v/>
      </c>
      <c r="AK238" s="298" t="str">
        <f t="shared" si="40"/>
        <v/>
      </c>
      <c r="AL238" s="298" t="str">
        <f t="shared" si="41"/>
        <v/>
      </c>
      <c r="AM238" s="328" t="str">
        <f>IFERROR(IF(F238="","",IF(AH238="Check Data ⚠","Check Data ⚠",VLOOKUP(AL238, 'G-3 Multipliers'!$P$2:$Q$6,2,FALSE))),"")</f>
        <v/>
      </c>
      <c r="AN238" s="304" t="str">
        <f t="shared" si="42"/>
        <v/>
      </c>
      <c r="AO238" s="163"/>
      <c r="AP238" s="164"/>
      <c r="AQ238" s="101"/>
      <c r="AT238" s="20" t="str">
        <f t="shared" si="43"/>
        <v>No</v>
      </c>
      <c r="AU238" s="20" t="str">
        <f>IF(E238="","",IF(ISNA(VLOOKUP($E238,'A-1 On-Site Habitat Baseline'!$D$1:$AV$258,4,FALSE)),"",(VLOOKUP($E238,'A-1 On-Site Habitat Baseline'!$D$1:$AV$258,4,FALSE))))</f>
        <v/>
      </c>
    </row>
    <row r="239" spans="1:47" x14ac:dyDescent="0.3">
      <c r="A239" s="20" t="str">
        <f>IF(E239="","",IF(ISNA(VLOOKUP($E239,'A-1 On-Site Habitat Baseline'!$D$1:$O$258,2,FALSE)),"",(VLOOKUP($E239,'A-1 On-Site Habitat Baseline'!$D$1:$O$258,2,FALSE))))</f>
        <v/>
      </c>
      <c r="B239" s="20" t="str">
        <f>IF(E239="","",IF(ISNA(VLOOKUP($E239,'A-1 On-Site Habitat Baseline'!$D$1:$O$258,3,FALSE)),"",(VLOOKUP($E239,'A-1 On-Site Habitat Baseline'!$D$1:$O$258,3,FALSE))))</f>
        <v/>
      </c>
      <c r="C239" s="20" t="str">
        <f>IFERROR(INDEX('G-8 Condition Look up'!$I$4:$I$135,MATCH(S239,'G-8 Condition Look up'!$A$4:$A$135,0)),"")</f>
        <v/>
      </c>
      <c r="E239" s="319" t="str">
        <f>'A-1 On-Site Habitat Baseline'!AL238</f>
        <v/>
      </c>
      <c r="F239" s="310" t="str">
        <f>IF(E239="","",IF(ISNA(VLOOKUP($E239,'A-1 On-Site Habitat Baseline'!$D$1:$AV$258,45,FALSE)),"",(VLOOKUP($E239,'A-1 On-Site Habitat Baseline'!$D$1:$AV$258,45,FALSE))))</f>
        <v/>
      </c>
      <c r="G239" s="310" t="str">
        <f>IF(E239="","",IF(ISNA(VLOOKUP($E239,'A-1 On-Site Habitat Baseline'!$D$1:$O$258,5,FALSE)),"",(VLOOKUP($E239,'A-1 On-Site Habitat Baseline'!$D$1:$O$258,5,FALSE))))</f>
        <v/>
      </c>
      <c r="H239" s="310" t="str">
        <f>IF(E239="","",IF(ISNA(VLOOKUP($E239,'A-1 On-Site Habitat Baseline'!$D$1:$O$258,6,FALSE)),"",(VLOOKUP($E239,'A-1 On-Site Habitat Baseline'!$D$1:$O$258,6,FALSE))))</f>
        <v/>
      </c>
      <c r="I239" s="310" t="str">
        <f>IF(E239="","",IF(ISNA(VLOOKUP($E239,'A-1 On-Site Habitat Baseline'!$D$1:$O$258,7,FALSE)),"",(VLOOKUP($E239,'A-1 On-Site Habitat Baseline'!$D$1:$O$258,7,FALSE))))</f>
        <v/>
      </c>
      <c r="J239" s="310" t="str">
        <f>IF(E239="","",IF(ISNA(VLOOKUP($E239,'A-1 On-Site Habitat Baseline'!$D$1:$O$258,8,FALSE)),"",(VLOOKUP($E239,'A-1 On-Site Habitat Baseline'!$D$1:$O$258,8,FALSE))))</f>
        <v/>
      </c>
      <c r="K239" s="310" t="str">
        <f>IF(E239="","",IF(ISNA(VLOOKUP($E239,'A-1 On-Site Habitat Baseline'!$D$1:$O$258,9,FALSE)),"",(VLOOKUP($E239,'A-1 On-Site Habitat Baseline'!$D$1:$O$258,9,FALSE))))</f>
        <v/>
      </c>
      <c r="L239" s="310" t="str">
        <f>IF(E239="","",IF(ISNA(VLOOKUP($E239,'A-1 On-Site Habitat Baseline'!$D$1:$O$258,11,FALSE)),"",(VLOOKUP($E239,'A-1 On-Site Habitat Baseline'!$D$1:$O$258,11,FALSE))))</f>
        <v/>
      </c>
      <c r="M239" s="310" t="str">
        <f>IF(E239="","",IF(ISNA(VLOOKUP($E239,'A-1 On-Site Habitat Baseline'!$D$1:$O$258,12,FALSE)),"",(VLOOKUP($E239,'A-1 On-Site Habitat Baseline'!$D$1:$O$258,12,FALSE))))</f>
        <v/>
      </c>
      <c r="N239" s="320" t="str">
        <f>IF(E239="","",IF(ISNA(VLOOKUP($E239,'A-1 On-Site Habitat Baseline'!$D$1:$X$258,14,FALSE)),"",(VLOOKUP($E239,'A-1 On-Site Habitat Baseline'!$D$1:$X$258,14,FALSE))))</f>
        <v/>
      </c>
      <c r="O239" s="314" t="str">
        <f>IF(E239="","",IF(ISNA(VLOOKUP($E239,'A-1 On-Site Habitat Baseline'!$D$1:$X$258,16,FALSE)),"",(VLOOKUP($E239,'A-1 On-Site Habitat Baseline'!$D$1:$X$258,13,FALSE))))</f>
        <v/>
      </c>
      <c r="P239" s="161" t="str">
        <f>IFERROR(INDEX('G-1 All Habitats'!$AG$49:$AG$63,MATCH(Q239,'G-1 All Habitats'!$AF$27:$AF$41,0)),"")</f>
        <v/>
      </c>
      <c r="Q239" s="162" t="str">
        <f t="shared" si="35"/>
        <v/>
      </c>
      <c r="R239" s="162"/>
      <c r="S239" s="252" t="str">
        <f>IFERROR(INDEX('G-1 All Habitats'!$B$3:$B$135,MATCH(R239,'G-1 All Habitats'!$A$3:$A$135,0)),"")</f>
        <v/>
      </c>
      <c r="T239" s="290" t="str">
        <f t="shared" si="36"/>
        <v/>
      </c>
      <c r="U239" s="291" t="str">
        <f t="shared" si="37"/>
        <v/>
      </c>
      <c r="V239" s="325" t="str">
        <f t="shared" si="33"/>
        <v/>
      </c>
      <c r="W239" s="310" t="str">
        <f>IF(S239="","",VLOOKUP(S239,'G-1 All Habitats'!$B$2:$M$135,10,FALSE))</f>
        <v/>
      </c>
      <c r="X239" s="310" t="str">
        <f>IFERROR(VLOOKUP(W239,'G-1 All Habitats'!$V$3:$W$7,2,FALSE),"")</f>
        <v/>
      </c>
      <c r="Y239" s="45"/>
      <c r="Z239" s="314" t="str">
        <f>IFERROR(INDEX('G-8 Condition Look up'!$A$3:$H$135,MATCH(S239,'G-8 Condition Look up'!$A$3:$A$135,0),MATCH(Y239,'G-8 Condition Look up'!$A$3:$H$3,0)),"")</f>
        <v/>
      </c>
      <c r="AA239" s="38"/>
      <c r="AB239" s="310" t="str">
        <f>IF(AA239="","",IF(VLOOKUP(AA239,'G-3 Multipliers'!$L$3:$N$6,2,FALSE)=0,"Spatial Data Missing ⚠",VLOOKUP(AA239,'G-3 Multipliers'!$L$3:$N$6,2,FALSE)))</f>
        <v/>
      </c>
      <c r="AC239" s="314" t="str">
        <f>IF(AA239="","",IF(VLOOKUP(AA239,'G-3 Multipliers'!$L$3:$N$6,3,FALSE)=0,"Spatial Data Missing ⚠",VLOOKUP(AA239,'G-3 Multipliers'!$L$3:$N$6,3,FALSE)))</f>
        <v/>
      </c>
      <c r="AD239" s="327" t="str">
        <f t="shared" si="34"/>
        <v/>
      </c>
      <c r="AE239" s="47"/>
      <c r="AF239" s="47"/>
      <c r="AG239" s="298" t="str">
        <f t="shared" si="38"/>
        <v/>
      </c>
      <c r="AH239" s="311" t="str">
        <f t="shared" si="39"/>
        <v/>
      </c>
      <c r="AI239" s="312" t="str">
        <f>IF(AH239="Check Data","Check Data",IFERROR(VLOOKUP(AH239,'G-4 Temporal multipliers'!$A$4:$C$36,3,FALSE),""))</f>
        <v/>
      </c>
      <c r="AJ239" s="290" t="str">
        <f>IF(S239="","",VLOOKUP(S239,'G-3 Multipliers'!$A$2:$E$134,4,FALSE))</f>
        <v/>
      </c>
      <c r="AK239" s="298" t="str">
        <f t="shared" si="40"/>
        <v/>
      </c>
      <c r="AL239" s="298" t="str">
        <f t="shared" si="41"/>
        <v/>
      </c>
      <c r="AM239" s="328" t="str">
        <f>IFERROR(IF(F239="","",IF(AH239="Check Data ⚠","Check Data ⚠",VLOOKUP(AL239, 'G-3 Multipliers'!$P$2:$Q$6,2,FALSE))),"")</f>
        <v/>
      </c>
      <c r="AN239" s="304" t="str">
        <f t="shared" si="42"/>
        <v/>
      </c>
      <c r="AO239" s="163"/>
      <c r="AP239" s="164"/>
      <c r="AQ239" s="101"/>
      <c r="AT239" s="20" t="str">
        <f t="shared" si="43"/>
        <v>No</v>
      </c>
      <c r="AU239" s="20" t="str">
        <f>IF(E239="","",IF(ISNA(VLOOKUP($E239,'A-1 On-Site Habitat Baseline'!$D$1:$AV$258,4,FALSE)),"",(VLOOKUP($E239,'A-1 On-Site Habitat Baseline'!$D$1:$AV$258,4,FALSE))))</f>
        <v/>
      </c>
    </row>
    <row r="240" spans="1:47" x14ac:dyDescent="0.3">
      <c r="A240" s="20" t="str">
        <f>IF(E240="","",IF(ISNA(VLOOKUP($E240,'A-1 On-Site Habitat Baseline'!$D$1:$O$258,2,FALSE)),"",(VLOOKUP($E240,'A-1 On-Site Habitat Baseline'!$D$1:$O$258,2,FALSE))))</f>
        <v/>
      </c>
      <c r="B240" s="20" t="str">
        <f>IF(E240="","",IF(ISNA(VLOOKUP($E240,'A-1 On-Site Habitat Baseline'!$D$1:$O$258,3,FALSE)),"",(VLOOKUP($E240,'A-1 On-Site Habitat Baseline'!$D$1:$O$258,3,FALSE))))</f>
        <v/>
      </c>
      <c r="C240" s="20" t="str">
        <f>IFERROR(INDEX('G-8 Condition Look up'!$I$4:$I$135,MATCH(S240,'G-8 Condition Look up'!$A$4:$A$135,0)),"")</f>
        <v/>
      </c>
      <c r="E240" s="319" t="str">
        <f>'A-1 On-Site Habitat Baseline'!AL239</f>
        <v/>
      </c>
      <c r="F240" s="310" t="str">
        <f>IF(E240="","",IF(ISNA(VLOOKUP($E240,'A-1 On-Site Habitat Baseline'!$D$1:$AV$258,45,FALSE)),"",(VLOOKUP($E240,'A-1 On-Site Habitat Baseline'!$D$1:$AV$258,45,FALSE))))</f>
        <v/>
      </c>
      <c r="G240" s="310" t="str">
        <f>IF(E240="","",IF(ISNA(VLOOKUP($E240,'A-1 On-Site Habitat Baseline'!$D$1:$O$258,5,FALSE)),"",(VLOOKUP($E240,'A-1 On-Site Habitat Baseline'!$D$1:$O$258,5,FALSE))))</f>
        <v/>
      </c>
      <c r="H240" s="310" t="str">
        <f>IF(E240="","",IF(ISNA(VLOOKUP($E240,'A-1 On-Site Habitat Baseline'!$D$1:$O$258,6,FALSE)),"",(VLOOKUP($E240,'A-1 On-Site Habitat Baseline'!$D$1:$O$258,6,FALSE))))</f>
        <v/>
      </c>
      <c r="I240" s="310" t="str">
        <f>IF(E240="","",IF(ISNA(VLOOKUP($E240,'A-1 On-Site Habitat Baseline'!$D$1:$O$258,7,FALSE)),"",(VLOOKUP($E240,'A-1 On-Site Habitat Baseline'!$D$1:$O$258,7,FALSE))))</f>
        <v/>
      </c>
      <c r="J240" s="310" t="str">
        <f>IF(E240="","",IF(ISNA(VLOOKUP($E240,'A-1 On-Site Habitat Baseline'!$D$1:$O$258,8,FALSE)),"",(VLOOKUP($E240,'A-1 On-Site Habitat Baseline'!$D$1:$O$258,8,FALSE))))</f>
        <v/>
      </c>
      <c r="K240" s="310" t="str">
        <f>IF(E240="","",IF(ISNA(VLOOKUP($E240,'A-1 On-Site Habitat Baseline'!$D$1:$O$258,9,FALSE)),"",(VLOOKUP($E240,'A-1 On-Site Habitat Baseline'!$D$1:$O$258,9,FALSE))))</f>
        <v/>
      </c>
      <c r="L240" s="310" t="str">
        <f>IF(E240="","",IF(ISNA(VLOOKUP($E240,'A-1 On-Site Habitat Baseline'!$D$1:$O$258,11,FALSE)),"",(VLOOKUP($E240,'A-1 On-Site Habitat Baseline'!$D$1:$O$258,11,FALSE))))</f>
        <v/>
      </c>
      <c r="M240" s="310" t="str">
        <f>IF(E240="","",IF(ISNA(VLOOKUP($E240,'A-1 On-Site Habitat Baseline'!$D$1:$O$258,12,FALSE)),"",(VLOOKUP($E240,'A-1 On-Site Habitat Baseline'!$D$1:$O$258,12,FALSE))))</f>
        <v/>
      </c>
      <c r="N240" s="320" t="str">
        <f>IF(E240="","",IF(ISNA(VLOOKUP($E240,'A-1 On-Site Habitat Baseline'!$D$1:$X$258,14,FALSE)),"",(VLOOKUP($E240,'A-1 On-Site Habitat Baseline'!$D$1:$X$258,14,FALSE))))</f>
        <v/>
      </c>
      <c r="O240" s="314" t="str">
        <f>IF(E240="","",IF(ISNA(VLOOKUP($E240,'A-1 On-Site Habitat Baseline'!$D$1:$X$258,16,FALSE)),"",(VLOOKUP($E240,'A-1 On-Site Habitat Baseline'!$D$1:$X$258,13,FALSE))))</f>
        <v/>
      </c>
      <c r="P240" s="161" t="str">
        <f>IFERROR(INDEX('G-1 All Habitats'!$AG$49:$AG$63,MATCH(Q240,'G-1 All Habitats'!$AF$27:$AF$41,0)),"")</f>
        <v/>
      </c>
      <c r="Q240" s="162" t="str">
        <f t="shared" si="35"/>
        <v/>
      </c>
      <c r="R240" s="162"/>
      <c r="S240" s="252" t="str">
        <f>IFERROR(INDEX('G-1 All Habitats'!$B$3:$B$135,MATCH(R240,'G-1 All Habitats'!$A$3:$A$135,0)),"")</f>
        <v/>
      </c>
      <c r="T240" s="290" t="str">
        <f t="shared" si="36"/>
        <v/>
      </c>
      <c r="U240" s="291" t="str">
        <f t="shared" si="37"/>
        <v/>
      </c>
      <c r="V240" s="325" t="str">
        <f t="shared" si="33"/>
        <v/>
      </c>
      <c r="W240" s="310" t="str">
        <f>IF(S240="","",VLOOKUP(S240,'G-1 All Habitats'!$B$2:$M$135,10,FALSE))</f>
        <v/>
      </c>
      <c r="X240" s="310" t="str">
        <f>IFERROR(VLOOKUP(W240,'G-1 All Habitats'!$V$3:$W$7,2,FALSE),"")</f>
        <v/>
      </c>
      <c r="Y240" s="45"/>
      <c r="Z240" s="314" t="str">
        <f>IFERROR(INDEX('G-8 Condition Look up'!$A$3:$H$135,MATCH(S240,'G-8 Condition Look up'!$A$3:$A$135,0),MATCH(Y240,'G-8 Condition Look up'!$A$3:$H$3,0)),"")</f>
        <v/>
      </c>
      <c r="AA240" s="38"/>
      <c r="AB240" s="310" t="str">
        <f>IF(AA240="","",IF(VLOOKUP(AA240,'G-3 Multipliers'!$L$3:$N$6,2,FALSE)=0,"Spatial Data Missing ⚠",VLOOKUP(AA240,'G-3 Multipliers'!$L$3:$N$6,2,FALSE)))</f>
        <v/>
      </c>
      <c r="AC240" s="314" t="str">
        <f>IF(AA240="","",IF(VLOOKUP(AA240,'G-3 Multipliers'!$L$3:$N$6,3,FALSE)=0,"Spatial Data Missing ⚠",VLOOKUP(AA240,'G-3 Multipliers'!$L$3:$N$6,3,FALSE)))</f>
        <v/>
      </c>
      <c r="AD240" s="327" t="str">
        <f t="shared" si="34"/>
        <v/>
      </c>
      <c r="AE240" s="47"/>
      <c r="AF240" s="47"/>
      <c r="AG240" s="298" t="str">
        <f t="shared" si="38"/>
        <v/>
      </c>
      <c r="AH240" s="311" t="str">
        <f t="shared" si="39"/>
        <v/>
      </c>
      <c r="AI240" s="312" t="str">
        <f>IF(AH240="Check Data","Check Data",IFERROR(VLOOKUP(AH240,'G-4 Temporal multipliers'!$A$4:$C$36,3,FALSE),""))</f>
        <v/>
      </c>
      <c r="AJ240" s="290" t="str">
        <f>IF(S240="","",VLOOKUP(S240,'G-3 Multipliers'!$A$2:$E$134,4,FALSE))</f>
        <v/>
      </c>
      <c r="AK240" s="298" t="str">
        <f t="shared" si="40"/>
        <v/>
      </c>
      <c r="AL240" s="298" t="str">
        <f t="shared" si="41"/>
        <v/>
      </c>
      <c r="AM240" s="328" t="str">
        <f>IFERROR(IF(F240="","",IF(AH240="Check Data ⚠","Check Data ⚠",VLOOKUP(AL240, 'G-3 Multipliers'!$P$2:$Q$6,2,FALSE))),"")</f>
        <v/>
      </c>
      <c r="AN240" s="304" t="str">
        <f t="shared" si="42"/>
        <v/>
      </c>
      <c r="AO240" s="163"/>
      <c r="AP240" s="164"/>
      <c r="AQ240" s="101"/>
      <c r="AT240" s="20" t="str">
        <f t="shared" si="43"/>
        <v>No</v>
      </c>
      <c r="AU240" s="20" t="str">
        <f>IF(E240="","",IF(ISNA(VLOOKUP($E240,'A-1 On-Site Habitat Baseline'!$D$1:$AV$258,4,FALSE)),"",(VLOOKUP($E240,'A-1 On-Site Habitat Baseline'!$D$1:$AV$258,4,FALSE))))</f>
        <v/>
      </c>
    </row>
    <row r="241" spans="1:47" x14ac:dyDescent="0.3">
      <c r="A241" s="20" t="str">
        <f>IF(E241="","",IF(ISNA(VLOOKUP($E241,'A-1 On-Site Habitat Baseline'!$D$1:$O$258,2,FALSE)),"",(VLOOKUP($E241,'A-1 On-Site Habitat Baseline'!$D$1:$O$258,2,FALSE))))</f>
        <v/>
      </c>
      <c r="B241" s="20" t="str">
        <f>IF(E241="","",IF(ISNA(VLOOKUP($E241,'A-1 On-Site Habitat Baseline'!$D$1:$O$258,3,FALSE)),"",(VLOOKUP($E241,'A-1 On-Site Habitat Baseline'!$D$1:$O$258,3,FALSE))))</f>
        <v/>
      </c>
      <c r="C241" s="20" t="str">
        <f>IFERROR(INDEX('G-8 Condition Look up'!$I$4:$I$135,MATCH(S241,'G-8 Condition Look up'!$A$4:$A$135,0)),"")</f>
        <v/>
      </c>
      <c r="E241" s="319" t="str">
        <f>'A-1 On-Site Habitat Baseline'!AL240</f>
        <v/>
      </c>
      <c r="F241" s="310" t="str">
        <f>IF(E241="","",IF(ISNA(VLOOKUP($E241,'A-1 On-Site Habitat Baseline'!$D$1:$AV$258,45,FALSE)),"",(VLOOKUP($E241,'A-1 On-Site Habitat Baseline'!$D$1:$AV$258,45,FALSE))))</f>
        <v/>
      </c>
      <c r="G241" s="310" t="str">
        <f>IF(E241="","",IF(ISNA(VLOOKUP($E241,'A-1 On-Site Habitat Baseline'!$D$1:$O$258,5,FALSE)),"",(VLOOKUP($E241,'A-1 On-Site Habitat Baseline'!$D$1:$O$258,5,FALSE))))</f>
        <v/>
      </c>
      <c r="H241" s="310" t="str">
        <f>IF(E241="","",IF(ISNA(VLOOKUP($E241,'A-1 On-Site Habitat Baseline'!$D$1:$O$258,6,FALSE)),"",(VLOOKUP($E241,'A-1 On-Site Habitat Baseline'!$D$1:$O$258,6,FALSE))))</f>
        <v/>
      </c>
      <c r="I241" s="310" t="str">
        <f>IF(E241="","",IF(ISNA(VLOOKUP($E241,'A-1 On-Site Habitat Baseline'!$D$1:$O$258,7,FALSE)),"",(VLOOKUP($E241,'A-1 On-Site Habitat Baseline'!$D$1:$O$258,7,FALSE))))</f>
        <v/>
      </c>
      <c r="J241" s="310" t="str">
        <f>IF(E241="","",IF(ISNA(VLOOKUP($E241,'A-1 On-Site Habitat Baseline'!$D$1:$O$258,8,FALSE)),"",(VLOOKUP($E241,'A-1 On-Site Habitat Baseline'!$D$1:$O$258,8,FALSE))))</f>
        <v/>
      </c>
      <c r="K241" s="310" t="str">
        <f>IF(E241="","",IF(ISNA(VLOOKUP($E241,'A-1 On-Site Habitat Baseline'!$D$1:$O$258,9,FALSE)),"",(VLOOKUP($E241,'A-1 On-Site Habitat Baseline'!$D$1:$O$258,9,FALSE))))</f>
        <v/>
      </c>
      <c r="L241" s="310" t="str">
        <f>IF(E241="","",IF(ISNA(VLOOKUP($E241,'A-1 On-Site Habitat Baseline'!$D$1:$O$258,11,FALSE)),"",(VLOOKUP($E241,'A-1 On-Site Habitat Baseline'!$D$1:$O$258,11,FALSE))))</f>
        <v/>
      </c>
      <c r="M241" s="310" t="str">
        <f>IF(E241="","",IF(ISNA(VLOOKUP($E241,'A-1 On-Site Habitat Baseline'!$D$1:$O$258,12,FALSE)),"",(VLOOKUP($E241,'A-1 On-Site Habitat Baseline'!$D$1:$O$258,12,FALSE))))</f>
        <v/>
      </c>
      <c r="N241" s="320" t="str">
        <f>IF(E241="","",IF(ISNA(VLOOKUP($E241,'A-1 On-Site Habitat Baseline'!$D$1:$X$258,14,FALSE)),"",(VLOOKUP($E241,'A-1 On-Site Habitat Baseline'!$D$1:$X$258,14,FALSE))))</f>
        <v/>
      </c>
      <c r="O241" s="314" t="str">
        <f>IF(E241="","",IF(ISNA(VLOOKUP($E241,'A-1 On-Site Habitat Baseline'!$D$1:$X$258,16,FALSE)),"",(VLOOKUP($E241,'A-1 On-Site Habitat Baseline'!$D$1:$X$258,13,FALSE))))</f>
        <v/>
      </c>
      <c r="P241" s="161" t="str">
        <f>IFERROR(INDEX('G-1 All Habitats'!$AG$49:$AG$63,MATCH(Q241,'G-1 All Habitats'!$AF$27:$AF$41,0)),"")</f>
        <v/>
      </c>
      <c r="Q241" s="162" t="str">
        <f t="shared" si="35"/>
        <v/>
      </c>
      <c r="R241" s="162"/>
      <c r="S241" s="252" t="str">
        <f>IFERROR(INDEX('G-1 All Habitats'!$B$3:$B$135,MATCH(R241,'G-1 All Habitats'!$A$3:$A$135,0)),"")</f>
        <v/>
      </c>
      <c r="T241" s="290" t="str">
        <f t="shared" si="36"/>
        <v/>
      </c>
      <c r="U241" s="291" t="str">
        <f t="shared" si="37"/>
        <v/>
      </c>
      <c r="V241" s="325" t="str">
        <f t="shared" si="33"/>
        <v/>
      </c>
      <c r="W241" s="310" t="str">
        <f>IF(S241="","",VLOOKUP(S241,'G-1 All Habitats'!$B$2:$M$135,10,FALSE))</f>
        <v/>
      </c>
      <c r="X241" s="310" t="str">
        <f>IFERROR(VLOOKUP(W241,'G-1 All Habitats'!$V$3:$W$7,2,FALSE),"")</f>
        <v/>
      </c>
      <c r="Y241" s="45"/>
      <c r="Z241" s="314" t="str">
        <f>IFERROR(INDEX('G-8 Condition Look up'!$A$3:$H$135,MATCH(S241,'G-8 Condition Look up'!$A$3:$A$135,0),MATCH(Y241,'G-8 Condition Look up'!$A$3:$H$3,0)),"")</f>
        <v/>
      </c>
      <c r="AA241" s="38"/>
      <c r="AB241" s="310" t="str">
        <f>IF(AA241="","",IF(VLOOKUP(AA241,'G-3 Multipliers'!$L$3:$N$6,2,FALSE)=0,"Spatial Data Missing ⚠",VLOOKUP(AA241,'G-3 Multipliers'!$L$3:$N$6,2,FALSE)))</f>
        <v/>
      </c>
      <c r="AC241" s="314" t="str">
        <f>IF(AA241="","",IF(VLOOKUP(AA241,'G-3 Multipliers'!$L$3:$N$6,3,FALSE)=0,"Spatial Data Missing ⚠",VLOOKUP(AA241,'G-3 Multipliers'!$L$3:$N$6,3,FALSE)))</f>
        <v/>
      </c>
      <c r="AD241" s="327" t="str">
        <f t="shared" si="34"/>
        <v/>
      </c>
      <c r="AE241" s="47"/>
      <c r="AF241" s="47"/>
      <c r="AG241" s="298" t="str">
        <f t="shared" si="38"/>
        <v/>
      </c>
      <c r="AH241" s="311" t="str">
        <f t="shared" si="39"/>
        <v/>
      </c>
      <c r="AI241" s="312" t="str">
        <f>IF(AH241="Check Data","Check Data",IFERROR(VLOOKUP(AH241,'G-4 Temporal multipliers'!$A$4:$C$36,3,FALSE),""))</f>
        <v/>
      </c>
      <c r="AJ241" s="290" t="str">
        <f>IF(S241="","",VLOOKUP(S241,'G-3 Multipliers'!$A$2:$E$134,4,FALSE))</f>
        <v/>
      </c>
      <c r="AK241" s="298" t="str">
        <f t="shared" si="40"/>
        <v/>
      </c>
      <c r="AL241" s="298" t="str">
        <f t="shared" si="41"/>
        <v/>
      </c>
      <c r="AM241" s="328" t="str">
        <f>IFERROR(IF(F241="","",IF(AH241="Check Data ⚠","Check Data ⚠",VLOOKUP(AL241, 'G-3 Multipliers'!$P$2:$Q$6,2,FALSE))),"")</f>
        <v/>
      </c>
      <c r="AN241" s="304" t="str">
        <f t="shared" si="42"/>
        <v/>
      </c>
      <c r="AO241" s="163"/>
      <c r="AP241" s="164"/>
      <c r="AQ241" s="101"/>
      <c r="AT241" s="20" t="str">
        <f t="shared" si="43"/>
        <v>No</v>
      </c>
      <c r="AU241" s="20" t="str">
        <f>IF(E241="","",IF(ISNA(VLOOKUP($E241,'A-1 On-Site Habitat Baseline'!$D$1:$AV$258,4,FALSE)),"",(VLOOKUP($E241,'A-1 On-Site Habitat Baseline'!$D$1:$AV$258,4,FALSE))))</f>
        <v/>
      </c>
    </row>
    <row r="242" spans="1:47" x14ac:dyDescent="0.3">
      <c r="A242" s="20" t="str">
        <f>IF(E242="","",IF(ISNA(VLOOKUP($E242,'A-1 On-Site Habitat Baseline'!$D$1:$O$258,2,FALSE)),"",(VLOOKUP($E242,'A-1 On-Site Habitat Baseline'!$D$1:$O$258,2,FALSE))))</f>
        <v/>
      </c>
      <c r="B242" s="20" t="str">
        <f>IF(E242="","",IF(ISNA(VLOOKUP($E242,'A-1 On-Site Habitat Baseline'!$D$1:$O$258,3,FALSE)),"",(VLOOKUP($E242,'A-1 On-Site Habitat Baseline'!$D$1:$O$258,3,FALSE))))</f>
        <v/>
      </c>
      <c r="C242" s="20" t="str">
        <f>IFERROR(INDEX('G-8 Condition Look up'!$I$4:$I$135,MATCH(S242,'G-8 Condition Look up'!$A$4:$A$135,0)),"")</f>
        <v/>
      </c>
      <c r="E242" s="319" t="str">
        <f>'A-1 On-Site Habitat Baseline'!AL241</f>
        <v/>
      </c>
      <c r="F242" s="310" t="str">
        <f>IF(E242="","",IF(ISNA(VLOOKUP($E242,'A-1 On-Site Habitat Baseline'!$D$1:$AV$258,45,FALSE)),"",(VLOOKUP($E242,'A-1 On-Site Habitat Baseline'!$D$1:$AV$258,45,FALSE))))</f>
        <v/>
      </c>
      <c r="G242" s="310" t="str">
        <f>IF(E242="","",IF(ISNA(VLOOKUP($E242,'A-1 On-Site Habitat Baseline'!$D$1:$O$258,5,FALSE)),"",(VLOOKUP($E242,'A-1 On-Site Habitat Baseline'!$D$1:$O$258,5,FALSE))))</f>
        <v/>
      </c>
      <c r="H242" s="310" t="str">
        <f>IF(E242="","",IF(ISNA(VLOOKUP($E242,'A-1 On-Site Habitat Baseline'!$D$1:$O$258,6,FALSE)),"",(VLOOKUP($E242,'A-1 On-Site Habitat Baseline'!$D$1:$O$258,6,FALSE))))</f>
        <v/>
      </c>
      <c r="I242" s="310" t="str">
        <f>IF(E242="","",IF(ISNA(VLOOKUP($E242,'A-1 On-Site Habitat Baseline'!$D$1:$O$258,7,FALSE)),"",(VLOOKUP($E242,'A-1 On-Site Habitat Baseline'!$D$1:$O$258,7,FALSE))))</f>
        <v/>
      </c>
      <c r="J242" s="310" t="str">
        <f>IF(E242="","",IF(ISNA(VLOOKUP($E242,'A-1 On-Site Habitat Baseline'!$D$1:$O$258,8,FALSE)),"",(VLOOKUP($E242,'A-1 On-Site Habitat Baseline'!$D$1:$O$258,8,FALSE))))</f>
        <v/>
      </c>
      <c r="K242" s="310" t="str">
        <f>IF(E242="","",IF(ISNA(VLOOKUP($E242,'A-1 On-Site Habitat Baseline'!$D$1:$O$258,9,FALSE)),"",(VLOOKUP($E242,'A-1 On-Site Habitat Baseline'!$D$1:$O$258,9,FALSE))))</f>
        <v/>
      </c>
      <c r="L242" s="310" t="str">
        <f>IF(E242="","",IF(ISNA(VLOOKUP($E242,'A-1 On-Site Habitat Baseline'!$D$1:$O$258,11,FALSE)),"",(VLOOKUP($E242,'A-1 On-Site Habitat Baseline'!$D$1:$O$258,11,FALSE))))</f>
        <v/>
      </c>
      <c r="M242" s="310" t="str">
        <f>IF(E242="","",IF(ISNA(VLOOKUP($E242,'A-1 On-Site Habitat Baseline'!$D$1:$O$258,12,FALSE)),"",(VLOOKUP($E242,'A-1 On-Site Habitat Baseline'!$D$1:$O$258,12,FALSE))))</f>
        <v/>
      </c>
      <c r="N242" s="320" t="str">
        <f>IF(E242="","",IF(ISNA(VLOOKUP($E242,'A-1 On-Site Habitat Baseline'!$D$1:$X$258,14,FALSE)),"",(VLOOKUP($E242,'A-1 On-Site Habitat Baseline'!$D$1:$X$258,14,FALSE))))</f>
        <v/>
      </c>
      <c r="O242" s="314" t="str">
        <f>IF(E242="","",IF(ISNA(VLOOKUP($E242,'A-1 On-Site Habitat Baseline'!$D$1:$X$258,16,FALSE)),"",(VLOOKUP($E242,'A-1 On-Site Habitat Baseline'!$D$1:$X$258,13,FALSE))))</f>
        <v/>
      </c>
      <c r="P242" s="161" t="str">
        <f>IFERROR(INDEX('G-1 All Habitats'!$AG$49:$AG$63,MATCH(Q242,'G-1 All Habitats'!$AF$27:$AF$41,0)),"")</f>
        <v/>
      </c>
      <c r="Q242" s="162" t="str">
        <f t="shared" si="35"/>
        <v/>
      </c>
      <c r="R242" s="162"/>
      <c r="S242" s="252" t="str">
        <f>IFERROR(INDEX('G-1 All Habitats'!$B$3:$B$135,MATCH(R242,'G-1 All Habitats'!$A$3:$A$135,0)),"")</f>
        <v/>
      </c>
      <c r="T242" s="290" t="str">
        <f t="shared" si="36"/>
        <v/>
      </c>
      <c r="U242" s="291" t="str">
        <f t="shared" si="37"/>
        <v/>
      </c>
      <c r="V242" s="325" t="str">
        <f t="shared" si="33"/>
        <v/>
      </c>
      <c r="W242" s="310" t="str">
        <f>IF(S242="","",VLOOKUP(S242,'G-1 All Habitats'!$B$2:$M$135,10,FALSE))</f>
        <v/>
      </c>
      <c r="X242" s="310" t="str">
        <f>IFERROR(VLOOKUP(W242,'G-1 All Habitats'!$V$3:$W$7,2,FALSE),"")</f>
        <v/>
      </c>
      <c r="Y242" s="45"/>
      <c r="Z242" s="314" t="str">
        <f>IFERROR(INDEX('G-8 Condition Look up'!$A$3:$H$135,MATCH(S242,'G-8 Condition Look up'!$A$3:$A$135,0),MATCH(Y242,'G-8 Condition Look up'!$A$3:$H$3,0)),"")</f>
        <v/>
      </c>
      <c r="AA242" s="38"/>
      <c r="AB242" s="310" t="str">
        <f>IF(AA242="","",IF(VLOOKUP(AA242,'G-3 Multipliers'!$L$3:$N$6,2,FALSE)=0,"Spatial Data Missing ⚠",VLOOKUP(AA242,'G-3 Multipliers'!$L$3:$N$6,2,FALSE)))</f>
        <v/>
      </c>
      <c r="AC242" s="314" t="str">
        <f>IF(AA242="","",IF(VLOOKUP(AA242,'G-3 Multipliers'!$L$3:$N$6,3,FALSE)=0,"Spatial Data Missing ⚠",VLOOKUP(AA242,'G-3 Multipliers'!$L$3:$N$6,3,FALSE)))</f>
        <v/>
      </c>
      <c r="AD242" s="327" t="str">
        <f t="shared" si="34"/>
        <v/>
      </c>
      <c r="AE242" s="47"/>
      <c r="AF242" s="47"/>
      <c r="AG242" s="298" t="str">
        <f t="shared" si="38"/>
        <v/>
      </c>
      <c r="AH242" s="311" t="str">
        <f t="shared" si="39"/>
        <v/>
      </c>
      <c r="AI242" s="312" t="str">
        <f>IF(AH242="Check Data","Check Data",IFERROR(VLOOKUP(AH242,'G-4 Temporal multipliers'!$A$4:$C$36,3,FALSE),""))</f>
        <v/>
      </c>
      <c r="AJ242" s="290" t="str">
        <f>IF(S242="","",VLOOKUP(S242,'G-3 Multipliers'!$A$2:$E$134,4,FALSE))</f>
        <v/>
      </c>
      <c r="AK242" s="298" t="str">
        <f t="shared" si="40"/>
        <v/>
      </c>
      <c r="AL242" s="298" t="str">
        <f t="shared" si="41"/>
        <v/>
      </c>
      <c r="AM242" s="328" t="str">
        <f>IFERROR(IF(F242="","",IF(AH242="Check Data ⚠","Check Data ⚠",VLOOKUP(AL242, 'G-3 Multipliers'!$P$2:$Q$6,2,FALSE))),"")</f>
        <v/>
      </c>
      <c r="AN242" s="304" t="str">
        <f t="shared" si="42"/>
        <v/>
      </c>
      <c r="AO242" s="163"/>
      <c r="AP242" s="164"/>
      <c r="AQ242" s="101"/>
      <c r="AT242" s="20" t="str">
        <f t="shared" si="43"/>
        <v>No</v>
      </c>
      <c r="AU242" s="20" t="str">
        <f>IF(E242="","",IF(ISNA(VLOOKUP($E242,'A-1 On-Site Habitat Baseline'!$D$1:$AV$258,4,FALSE)),"",(VLOOKUP($E242,'A-1 On-Site Habitat Baseline'!$D$1:$AV$258,4,FALSE))))</f>
        <v/>
      </c>
    </row>
    <row r="243" spans="1:47" x14ac:dyDescent="0.3">
      <c r="A243" s="20" t="str">
        <f>IF(E243="","",IF(ISNA(VLOOKUP($E243,'A-1 On-Site Habitat Baseline'!$D$1:$O$258,2,FALSE)),"",(VLOOKUP($E243,'A-1 On-Site Habitat Baseline'!$D$1:$O$258,2,FALSE))))</f>
        <v/>
      </c>
      <c r="B243" s="20" t="str">
        <f>IF(E243="","",IF(ISNA(VLOOKUP($E243,'A-1 On-Site Habitat Baseline'!$D$1:$O$258,3,FALSE)),"",(VLOOKUP($E243,'A-1 On-Site Habitat Baseline'!$D$1:$O$258,3,FALSE))))</f>
        <v/>
      </c>
      <c r="C243" s="20" t="str">
        <f>IFERROR(INDEX('G-8 Condition Look up'!$I$4:$I$135,MATCH(S243,'G-8 Condition Look up'!$A$4:$A$135,0)),"")</f>
        <v/>
      </c>
      <c r="E243" s="319" t="str">
        <f>'A-1 On-Site Habitat Baseline'!AL242</f>
        <v/>
      </c>
      <c r="F243" s="310" t="str">
        <f>IF(E243="","",IF(ISNA(VLOOKUP($E243,'A-1 On-Site Habitat Baseline'!$D$1:$AV$258,45,FALSE)),"",(VLOOKUP($E243,'A-1 On-Site Habitat Baseline'!$D$1:$AV$258,45,FALSE))))</f>
        <v/>
      </c>
      <c r="G243" s="310" t="str">
        <f>IF(E243="","",IF(ISNA(VLOOKUP($E243,'A-1 On-Site Habitat Baseline'!$D$1:$O$258,5,FALSE)),"",(VLOOKUP($E243,'A-1 On-Site Habitat Baseline'!$D$1:$O$258,5,FALSE))))</f>
        <v/>
      </c>
      <c r="H243" s="310" t="str">
        <f>IF(E243="","",IF(ISNA(VLOOKUP($E243,'A-1 On-Site Habitat Baseline'!$D$1:$O$258,6,FALSE)),"",(VLOOKUP($E243,'A-1 On-Site Habitat Baseline'!$D$1:$O$258,6,FALSE))))</f>
        <v/>
      </c>
      <c r="I243" s="310" t="str">
        <f>IF(E243="","",IF(ISNA(VLOOKUP($E243,'A-1 On-Site Habitat Baseline'!$D$1:$O$258,7,FALSE)),"",(VLOOKUP($E243,'A-1 On-Site Habitat Baseline'!$D$1:$O$258,7,FALSE))))</f>
        <v/>
      </c>
      <c r="J243" s="310" t="str">
        <f>IF(E243="","",IF(ISNA(VLOOKUP($E243,'A-1 On-Site Habitat Baseline'!$D$1:$O$258,8,FALSE)),"",(VLOOKUP($E243,'A-1 On-Site Habitat Baseline'!$D$1:$O$258,8,FALSE))))</f>
        <v/>
      </c>
      <c r="K243" s="310" t="str">
        <f>IF(E243="","",IF(ISNA(VLOOKUP($E243,'A-1 On-Site Habitat Baseline'!$D$1:$O$258,9,FALSE)),"",(VLOOKUP($E243,'A-1 On-Site Habitat Baseline'!$D$1:$O$258,9,FALSE))))</f>
        <v/>
      </c>
      <c r="L243" s="310" t="str">
        <f>IF(E243="","",IF(ISNA(VLOOKUP($E243,'A-1 On-Site Habitat Baseline'!$D$1:$O$258,11,FALSE)),"",(VLOOKUP($E243,'A-1 On-Site Habitat Baseline'!$D$1:$O$258,11,FALSE))))</f>
        <v/>
      </c>
      <c r="M243" s="310" t="str">
        <f>IF(E243="","",IF(ISNA(VLOOKUP($E243,'A-1 On-Site Habitat Baseline'!$D$1:$O$258,12,FALSE)),"",(VLOOKUP($E243,'A-1 On-Site Habitat Baseline'!$D$1:$O$258,12,FALSE))))</f>
        <v/>
      </c>
      <c r="N243" s="320" t="str">
        <f>IF(E243="","",IF(ISNA(VLOOKUP($E243,'A-1 On-Site Habitat Baseline'!$D$1:$X$258,14,FALSE)),"",(VLOOKUP($E243,'A-1 On-Site Habitat Baseline'!$D$1:$X$258,14,FALSE))))</f>
        <v/>
      </c>
      <c r="O243" s="314" t="str">
        <f>IF(E243="","",IF(ISNA(VLOOKUP($E243,'A-1 On-Site Habitat Baseline'!$D$1:$X$258,16,FALSE)),"",(VLOOKUP($E243,'A-1 On-Site Habitat Baseline'!$D$1:$X$258,13,FALSE))))</f>
        <v/>
      </c>
      <c r="P243" s="161" t="str">
        <f>IFERROR(INDEX('G-1 All Habitats'!$AG$49:$AG$63,MATCH(Q243,'G-1 All Habitats'!$AF$27:$AF$41,0)),"")</f>
        <v/>
      </c>
      <c r="Q243" s="162" t="str">
        <f t="shared" si="35"/>
        <v/>
      </c>
      <c r="R243" s="162"/>
      <c r="S243" s="252" t="str">
        <f>IFERROR(INDEX('G-1 All Habitats'!$B$3:$B$135,MATCH(R243,'G-1 All Habitats'!$A$3:$A$135,0)),"")</f>
        <v/>
      </c>
      <c r="T243" s="290" t="str">
        <f t="shared" si="36"/>
        <v/>
      </c>
      <c r="U243" s="291" t="str">
        <f t="shared" si="37"/>
        <v/>
      </c>
      <c r="V243" s="325" t="str">
        <f t="shared" si="33"/>
        <v/>
      </c>
      <c r="W243" s="310" t="str">
        <f>IF(S243="","",VLOOKUP(S243,'G-1 All Habitats'!$B$2:$M$135,10,FALSE))</f>
        <v/>
      </c>
      <c r="X243" s="310" t="str">
        <f>IFERROR(VLOOKUP(W243,'G-1 All Habitats'!$V$3:$W$7,2,FALSE),"")</f>
        <v/>
      </c>
      <c r="Y243" s="45"/>
      <c r="Z243" s="314" t="str">
        <f>IFERROR(INDEX('G-8 Condition Look up'!$A$3:$H$135,MATCH(S243,'G-8 Condition Look up'!$A$3:$A$135,0),MATCH(Y243,'G-8 Condition Look up'!$A$3:$H$3,0)),"")</f>
        <v/>
      </c>
      <c r="AA243" s="38"/>
      <c r="AB243" s="310" t="str">
        <f>IF(AA243="","",IF(VLOOKUP(AA243,'G-3 Multipliers'!$L$3:$N$6,2,FALSE)=0,"Spatial Data Missing ⚠",VLOOKUP(AA243,'G-3 Multipliers'!$L$3:$N$6,2,FALSE)))</f>
        <v/>
      </c>
      <c r="AC243" s="314" t="str">
        <f>IF(AA243="","",IF(VLOOKUP(AA243,'G-3 Multipliers'!$L$3:$N$6,3,FALSE)=0,"Spatial Data Missing ⚠",VLOOKUP(AA243,'G-3 Multipliers'!$L$3:$N$6,3,FALSE)))</f>
        <v/>
      </c>
      <c r="AD243" s="327" t="str">
        <f t="shared" si="34"/>
        <v/>
      </c>
      <c r="AE243" s="47"/>
      <c r="AF243" s="47"/>
      <c r="AG243" s="298" t="str">
        <f t="shared" si="38"/>
        <v/>
      </c>
      <c r="AH243" s="311" t="str">
        <f t="shared" si="39"/>
        <v/>
      </c>
      <c r="AI243" s="312" t="str">
        <f>IF(AH243="Check Data","Check Data",IFERROR(VLOOKUP(AH243,'G-4 Temporal multipliers'!$A$4:$C$36,3,FALSE),""))</f>
        <v/>
      </c>
      <c r="AJ243" s="290" t="str">
        <f>IF(S243="","",VLOOKUP(S243,'G-3 Multipliers'!$A$2:$E$134,4,FALSE))</f>
        <v/>
      </c>
      <c r="AK243" s="298" t="str">
        <f t="shared" si="40"/>
        <v/>
      </c>
      <c r="AL243" s="298" t="str">
        <f t="shared" si="41"/>
        <v/>
      </c>
      <c r="AM243" s="328" t="str">
        <f>IFERROR(IF(F243="","",IF(AH243="Check Data ⚠","Check Data ⚠",VLOOKUP(AL243, 'G-3 Multipliers'!$P$2:$Q$6,2,FALSE))),"")</f>
        <v/>
      </c>
      <c r="AN243" s="304" t="str">
        <f t="shared" si="42"/>
        <v/>
      </c>
      <c r="AO243" s="163"/>
      <c r="AP243" s="164"/>
      <c r="AQ243" s="101"/>
      <c r="AT243" s="20" t="str">
        <f t="shared" si="43"/>
        <v>No</v>
      </c>
      <c r="AU243" s="20" t="str">
        <f>IF(E243="","",IF(ISNA(VLOOKUP($E243,'A-1 On-Site Habitat Baseline'!$D$1:$AV$258,4,FALSE)),"",(VLOOKUP($E243,'A-1 On-Site Habitat Baseline'!$D$1:$AV$258,4,FALSE))))</f>
        <v/>
      </c>
    </row>
    <row r="244" spans="1:47" x14ac:dyDescent="0.3">
      <c r="A244" s="20" t="str">
        <f>IF(E244="","",IF(ISNA(VLOOKUP($E244,'A-1 On-Site Habitat Baseline'!$D$1:$O$258,2,FALSE)),"",(VLOOKUP($E244,'A-1 On-Site Habitat Baseline'!$D$1:$O$258,2,FALSE))))</f>
        <v/>
      </c>
      <c r="B244" s="20" t="str">
        <f>IF(E244="","",IF(ISNA(VLOOKUP($E244,'A-1 On-Site Habitat Baseline'!$D$1:$O$258,3,FALSE)),"",(VLOOKUP($E244,'A-1 On-Site Habitat Baseline'!$D$1:$O$258,3,FALSE))))</f>
        <v/>
      </c>
      <c r="C244" s="20" t="str">
        <f>IFERROR(INDEX('G-8 Condition Look up'!$I$4:$I$135,MATCH(S244,'G-8 Condition Look up'!$A$4:$A$135,0)),"")</f>
        <v/>
      </c>
      <c r="E244" s="319" t="str">
        <f>'A-1 On-Site Habitat Baseline'!AL243</f>
        <v/>
      </c>
      <c r="F244" s="310" t="str">
        <f>IF(E244="","",IF(ISNA(VLOOKUP($E244,'A-1 On-Site Habitat Baseline'!$D$1:$AV$258,45,FALSE)),"",(VLOOKUP($E244,'A-1 On-Site Habitat Baseline'!$D$1:$AV$258,45,FALSE))))</f>
        <v/>
      </c>
      <c r="G244" s="310" t="str">
        <f>IF(E244="","",IF(ISNA(VLOOKUP($E244,'A-1 On-Site Habitat Baseline'!$D$1:$O$258,5,FALSE)),"",(VLOOKUP($E244,'A-1 On-Site Habitat Baseline'!$D$1:$O$258,5,FALSE))))</f>
        <v/>
      </c>
      <c r="H244" s="310" t="str">
        <f>IF(E244="","",IF(ISNA(VLOOKUP($E244,'A-1 On-Site Habitat Baseline'!$D$1:$O$258,6,FALSE)),"",(VLOOKUP($E244,'A-1 On-Site Habitat Baseline'!$D$1:$O$258,6,FALSE))))</f>
        <v/>
      </c>
      <c r="I244" s="310" t="str">
        <f>IF(E244="","",IF(ISNA(VLOOKUP($E244,'A-1 On-Site Habitat Baseline'!$D$1:$O$258,7,FALSE)),"",(VLOOKUP($E244,'A-1 On-Site Habitat Baseline'!$D$1:$O$258,7,FALSE))))</f>
        <v/>
      </c>
      <c r="J244" s="310" t="str">
        <f>IF(E244="","",IF(ISNA(VLOOKUP($E244,'A-1 On-Site Habitat Baseline'!$D$1:$O$258,8,FALSE)),"",(VLOOKUP($E244,'A-1 On-Site Habitat Baseline'!$D$1:$O$258,8,FALSE))))</f>
        <v/>
      </c>
      <c r="K244" s="310" t="str">
        <f>IF(E244="","",IF(ISNA(VLOOKUP($E244,'A-1 On-Site Habitat Baseline'!$D$1:$O$258,9,FALSE)),"",(VLOOKUP($E244,'A-1 On-Site Habitat Baseline'!$D$1:$O$258,9,FALSE))))</f>
        <v/>
      </c>
      <c r="L244" s="310" t="str">
        <f>IF(E244="","",IF(ISNA(VLOOKUP($E244,'A-1 On-Site Habitat Baseline'!$D$1:$O$258,11,FALSE)),"",(VLOOKUP($E244,'A-1 On-Site Habitat Baseline'!$D$1:$O$258,11,FALSE))))</f>
        <v/>
      </c>
      <c r="M244" s="310" t="str">
        <f>IF(E244="","",IF(ISNA(VLOOKUP($E244,'A-1 On-Site Habitat Baseline'!$D$1:$O$258,12,FALSE)),"",(VLOOKUP($E244,'A-1 On-Site Habitat Baseline'!$D$1:$O$258,12,FALSE))))</f>
        <v/>
      </c>
      <c r="N244" s="320" t="str">
        <f>IF(E244="","",IF(ISNA(VLOOKUP($E244,'A-1 On-Site Habitat Baseline'!$D$1:$X$258,14,FALSE)),"",(VLOOKUP($E244,'A-1 On-Site Habitat Baseline'!$D$1:$X$258,14,FALSE))))</f>
        <v/>
      </c>
      <c r="O244" s="314" t="str">
        <f>IF(E244="","",IF(ISNA(VLOOKUP($E244,'A-1 On-Site Habitat Baseline'!$D$1:$X$258,16,FALSE)),"",(VLOOKUP($E244,'A-1 On-Site Habitat Baseline'!$D$1:$X$258,13,FALSE))))</f>
        <v/>
      </c>
      <c r="P244" s="161" t="str">
        <f>IFERROR(INDEX('G-1 All Habitats'!$AG$49:$AG$63,MATCH(Q244,'G-1 All Habitats'!$AF$27:$AF$41,0)),"")</f>
        <v/>
      </c>
      <c r="Q244" s="162" t="str">
        <f t="shared" si="35"/>
        <v/>
      </c>
      <c r="R244" s="162"/>
      <c r="S244" s="252" t="str">
        <f>IFERROR(INDEX('G-1 All Habitats'!$B$3:$B$135,MATCH(R244,'G-1 All Habitats'!$A$3:$A$135,0)),"")</f>
        <v/>
      </c>
      <c r="T244" s="290" t="str">
        <f t="shared" si="36"/>
        <v/>
      </c>
      <c r="U244" s="291" t="str">
        <f t="shared" si="37"/>
        <v/>
      </c>
      <c r="V244" s="325" t="str">
        <f t="shared" si="33"/>
        <v/>
      </c>
      <c r="W244" s="310" t="str">
        <f>IF(S244="","",VLOOKUP(S244,'G-1 All Habitats'!$B$2:$M$135,10,FALSE))</f>
        <v/>
      </c>
      <c r="X244" s="310" t="str">
        <f>IFERROR(VLOOKUP(W244,'G-1 All Habitats'!$V$3:$W$7,2,FALSE),"")</f>
        <v/>
      </c>
      <c r="Y244" s="45"/>
      <c r="Z244" s="314" t="str">
        <f>IFERROR(INDEX('G-8 Condition Look up'!$A$3:$H$135,MATCH(S244,'G-8 Condition Look up'!$A$3:$A$135,0),MATCH(Y244,'G-8 Condition Look up'!$A$3:$H$3,0)),"")</f>
        <v/>
      </c>
      <c r="AA244" s="38"/>
      <c r="AB244" s="310" t="str">
        <f>IF(AA244="","",IF(VLOOKUP(AA244,'G-3 Multipliers'!$L$3:$N$6,2,FALSE)=0,"Spatial Data Missing ⚠",VLOOKUP(AA244,'G-3 Multipliers'!$L$3:$N$6,2,FALSE)))</f>
        <v/>
      </c>
      <c r="AC244" s="314" t="str">
        <f>IF(AA244="","",IF(VLOOKUP(AA244,'G-3 Multipliers'!$L$3:$N$6,3,FALSE)=0,"Spatial Data Missing ⚠",VLOOKUP(AA244,'G-3 Multipliers'!$L$3:$N$6,3,FALSE)))</f>
        <v/>
      </c>
      <c r="AD244" s="327" t="str">
        <f t="shared" si="34"/>
        <v/>
      </c>
      <c r="AE244" s="47"/>
      <c r="AF244" s="47"/>
      <c r="AG244" s="298" t="str">
        <f t="shared" si="38"/>
        <v/>
      </c>
      <c r="AH244" s="311" t="str">
        <f t="shared" si="39"/>
        <v/>
      </c>
      <c r="AI244" s="312" t="str">
        <f>IF(AH244="Check Data","Check Data",IFERROR(VLOOKUP(AH244,'G-4 Temporal multipliers'!$A$4:$C$36,3,FALSE),""))</f>
        <v/>
      </c>
      <c r="AJ244" s="290" t="str">
        <f>IF(S244="","",VLOOKUP(S244,'G-3 Multipliers'!$A$2:$E$134,4,FALSE))</f>
        <v/>
      </c>
      <c r="AK244" s="298" t="str">
        <f t="shared" si="40"/>
        <v/>
      </c>
      <c r="AL244" s="298" t="str">
        <f t="shared" si="41"/>
        <v/>
      </c>
      <c r="AM244" s="328" t="str">
        <f>IFERROR(IF(F244="","",IF(AH244="Check Data ⚠","Check Data ⚠",VLOOKUP(AL244, 'G-3 Multipliers'!$P$2:$Q$6,2,FALSE))),"")</f>
        <v/>
      </c>
      <c r="AN244" s="304" t="str">
        <f t="shared" si="42"/>
        <v/>
      </c>
      <c r="AO244" s="163"/>
      <c r="AP244" s="164"/>
      <c r="AQ244" s="101"/>
      <c r="AT244" s="20" t="str">
        <f t="shared" si="43"/>
        <v>No</v>
      </c>
      <c r="AU244" s="20" t="str">
        <f>IF(E244="","",IF(ISNA(VLOOKUP($E244,'A-1 On-Site Habitat Baseline'!$D$1:$AV$258,4,FALSE)),"",(VLOOKUP($E244,'A-1 On-Site Habitat Baseline'!$D$1:$AV$258,4,FALSE))))</f>
        <v/>
      </c>
    </row>
    <row r="245" spans="1:47" x14ac:dyDescent="0.3">
      <c r="A245" s="20" t="str">
        <f>IF(E245="","",IF(ISNA(VLOOKUP($E245,'A-1 On-Site Habitat Baseline'!$D$1:$O$258,2,FALSE)),"",(VLOOKUP($E245,'A-1 On-Site Habitat Baseline'!$D$1:$O$258,2,FALSE))))</f>
        <v/>
      </c>
      <c r="B245" s="20" t="str">
        <f>IF(E245="","",IF(ISNA(VLOOKUP($E245,'A-1 On-Site Habitat Baseline'!$D$1:$O$258,3,FALSE)),"",(VLOOKUP($E245,'A-1 On-Site Habitat Baseline'!$D$1:$O$258,3,FALSE))))</f>
        <v/>
      </c>
      <c r="C245" s="20" t="str">
        <f>IFERROR(INDEX('G-8 Condition Look up'!$I$4:$I$135,MATCH(S245,'G-8 Condition Look up'!$A$4:$A$135,0)),"")</f>
        <v/>
      </c>
      <c r="E245" s="319" t="str">
        <f>'A-1 On-Site Habitat Baseline'!AL244</f>
        <v/>
      </c>
      <c r="F245" s="310" t="str">
        <f>IF(E245="","",IF(ISNA(VLOOKUP($E245,'A-1 On-Site Habitat Baseline'!$D$1:$AV$258,45,FALSE)),"",(VLOOKUP($E245,'A-1 On-Site Habitat Baseline'!$D$1:$AV$258,45,FALSE))))</f>
        <v/>
      </c>
      <c r="G245" s="310" t="str">
        <f>IF(E245="","",IF(ISNA(VLOOKUP($E245,'A-1 On-Site Habitat Baseline'!$D$1:$O$258,5,FALSE)),"",(VLOOKUP($E245,'A-1 On-Site Habitat Baseline'!$D$1:$O$258,5,FALSE))))</f>
        <v/>
      </c>
      <c r="H245" s="310" t="str">
        <f>IF(E245="","",IF(ISNA(VLOOKUP($E245,'A-1 On-Site Habitat Baseline'!$D$1:$O$258,6,FALSE)),"",(VLOOKUP($E245,'A-1 On-Site Habitat Baseline'!$D$1:$O$258,6,FALSE))))</f>
        <v/>
      </c>
      <c r="I245" s="310" t="str">
        <f>IF(E245="","",IF(ISNA(VLOOKUP($E245,'A-1 On-Site Habitat Baseline'!$D$1:$O$258,7,FALSE)),"",(VLOOKUP($E245,'A-1 On-Site Habitat Baseline'!$D$1:$O$258,7,FALSE))))</f>
        <v/>
      </c>
      <c r="J245" s="310" t="str">
        <f>IF(E245="","",IF(ISNA(VLOOKUP($E245,'A-1 On-Site Habitat Baseline'!$D$1:$O$258,8,FALSE)),"",(VLOOKUP($E245,'A-1 On-Site Habitat Baseline'!$D$1:$O$258,8,FALSE))))</f>
        <v/>
      </c>
      <c r="K245" s="310" t="str">
        <f>IF(E245="","",IF(ISNA(VLOOKUP($E245,'A-1 On-Site Habitat Baseline'!$D$1:$O$258,9,FALSE)),"",(VLOOKUP($E245,'A-1 On-Site Habitat Baseline'!$D$1:$O$258,9,FALSE))))</f>
        <v/>
      </c>
      <c r="L245" s="310" t="str">
        <f>IF(E245="","",IF(ISNA(VLOOKUP($E245,'A-1 On-Site Habitat Baseline'!$D$1:$O$258,11,FALSE)),"",(VLOOKUP($E245,'A-1 On-Site Habitat Baseline'!$D$1:$O$258,11,FALSE))))</f>
        <v/>
      </c>
      <c r="M245" s="310" t="str">
        <f>IF(E245="","",IF(ISNA(VLOOKUP($E245,'A-1 On-Site Habitat Baseline'!$D$1:$O$258,12,FALSE)),"",(VLOOKUP($E245,'A-1 On-Site Habitat Baseline'!$D$1:$O$258,12,FALSE))))</f>
        <v/>
      </c>
      <c r="N245" s="320" t="str">
        <f>IF(E245="","",IF(ISNA(VLOOKUP($E245,'A-1 On-Site Habitat Baseline'!$D$1:$X$258,14,FALSE)),"",(VLOOKUP($E245,'A-1 On-Site Habitat Baseline'!$D$1:$X$258,14,FALSE))))</f>
        <v/>
      </c>
      <c r="O245" s="314" t="str">
        <f>IF(E245="","",IF(ISNA(VLOOKUP($E245,'A-1 On-Site Habitat Baseline'!$D$1:$X$258,16,FALSE)),"",(VLOOKUP($E245,'A-1 On-Site Habitat Baseline'!$D$1:$X$258,13,FALSE))))</f>
        <v/>
      </c>
      <c r="P245" s="161" t="str">
        <f>IFERROR(INDEX('G-1 All Habitats'!$AG$49:$AG$63,MATCH(Q245,'G-1 All Habitats'!$AF$27:$AF$41,0)),"")</f>
        <v/>
      </c>
      <c r="Q245" s="162" t="str">
        <f t="shared" si="35"/>
        <v/>
      </c>
      <c r="R245" s="162"/>
      <c r="S245" s="252" t="str">
        <f>IFERROR(INDEX('G-1 All Habitats'!$B$3:$B$135,MATCH(R245,'G-1 All Habitats'!$A$3:$A$135,0)),"")</f>
        <v/>
      </c>
      <c r="T245" s="290" t="str">
        <f t="shared" si="36"/>
        <v/>
      </c>
      <c r="U245" s="291" t="str">
        <f t="shared" si="37"/>
        <v/>
      </c>
      <c r="V245" s="325" t="str">
        <f t="shared" si="33"/>
        <v/>
      </c>
      <c r="W245" s="310" t="str">
        <f>IF(S245="","",VLOOKUP(S245,'G-1 All Habitats'!$B$2:$M$135,10,FALSE))</f>
        <v/>
      </c>
      <c r="X245" s="310" t="str">
        <f>IFERROR(VLOOKUP(W245,'G-1 All Habitats'!$V$3:$W$7,2,FALSE),"")</f>
        <v/>
      </c>
      <c r="Y245" s="45"/>
      <c r="Z245" s="314" t="str">
        <f>IFERROR(INDEX('G-8 Condition Look up'!$A$3:$H$135,MATCH(S245,'G-8 Condition Look up'!$A$3:$A$135,0),MATCH(Y245,'G-8 Condition Look up'!$A$3:$H$3,0)),"")</f>
        <v/>
      </c>
      <c r="AA245" s="38"/>
      <c r="AB245" s="310" t="str">
        <f>IF(AA245="","",IF(VLOOKUP(AA245,'G-3 Multipliers'!$L$3:$N$6,2,FALSE)=0,"Spatial Data Missing ⚠",VLOOKUP(AA245,'G-3 Multipliers'!$L$3:$N$6,2,FALSE)))</f>
        <v/>
      </c>
      <c r="AC245" s="314" t="str">
        <f>IF(AA245="","",IF(VLOOKUP(AA245,'G-3 Multipliers'!$L$3:$N$6,3,FALSE)=0,"Spatial Data Missing ⚠",VLOOKUP(AA245,'G-3 Multipliers'!$L$3:$N$6,3,FALSE)))</f>
        <v/>
      </c>
      <c r="AD245" s="327" t="str">
        <f t="shared" si="34"/>
        <v/>
      </c>
      <c r="AE245" s="47"/>
      <c r="AF245" s="47"/>
      <c r="AG245" s="298" t="str">
        <f t="shared" si="38"/>
        <v/>
      </c>
      <c r="AH245" s="311" t="str">
        <f t="shared" si="39"/>
        <v/>
      </c>
      <c r="AI245" s="312" t="str">
        <f>IF(AH245="Check Data","Check Data",IFERROR(VLOOKUP(AH245,'G-4 Temporal multipliers'!$A$4:$C$36,3,FALSE),""))</f>
        <v/>
      </c>
      <c r="AJ245" s="290" t="str">
        <f>IF(S245="","",VLOOKUP(S245,'G-3 Multipliers'!$A$2:$E$134,4,FALSE))</f>
        <v/>
      </c>
      <c r="AK245" s="298" t="str">
        <f t="shared" si="40"/>
        <v/>
      </c>
      <c r="AL245" s="298" t="str">
        <f t="shared" si="41"/>
        <v/>
      </c>
      <c r="AM245" s="328" t="str">
        <f>IFERROR(IF(F245="","",IF(AH245="Check Data ⚠","Check Data ⚠",VLOOKUP(AL245, 'G-3 Multipliers'!$P$2:$Q$6,2,FALSE))),"")</f>
        <v/>
      </c>
      <c r="AN245" s="304" t="str">
        <f t="shared" si="42"/>
        <v/>
      </c>
      <c r="AO245" s="163"/>
      <c r="AP245" s="164"/>
      <c r="AQ245" s="101"/>
      <c r="AT245" s="20" t="str">
        <f t="shared" si="43"/>
        <v>No</v>
      </c>
      <c r="AU245" s="20" t="str">
        <f>IF(E245="","",IF(ISNA(VLOOKUP($E245,'A-1 On-Site Habitat Baseline'!$D$1:$AV$258,4,FALSE)),"",(VLOOKUP($E245,'A-1 On-Site Habitat Baseline'!$D$1:$AV$258,4,FALSE))))</f>
        <v/>
      </c>
    </row>
    <row r="246" spans="1:47" x14ac:dyDescent="0.3">
      <c r="A246" s="20" t="str">
        <f>IF(E246="","",IF(ISNA(VLOOKUP($E246,'A-1 On-Site Habitat Baseline'!$D$1:$O$258,2,FALSE)),"",(VLOOKUP($E246,'A-1 On-Site Habitat Baseline'!$D$1:$O$258,2,FALSE))))</f>
        <v/>
      </c>
      <c r="B246" s="20" t="str">
        <f>IF(E246="","",IF(ISNA(VLOOKUP($E246,'A-1 On-Site Habitat Baseline'!$D$1:$O$258,3,FALSE)),"",(VLOOKUP($E246,'A-1 On-Site Habitat Baseline'!$D$1:$O$258,3,FALSE))))</f>
        <v/>
      </c>
      <c r="C246" s="20" t="str">
        <f>IFERROR(INDEX('G-8 Condition Look up'!$I$4:$I$135,MATCH(S246,'G-8 Condition Look up'!$A$4:$A$135,0)),"")</f>
        <v/>
      </c>
      <c r="E246" s="319" t="str">
        <f>'A-1 On-Site Habitat Baseline'!AL245</f>
        <v/>
      </c>
      <c r="F246" s="310" t="str">
        <f>IF(E246="","",IF(ISNA(VLOOKUP($E246,'A-1 On-Site Habitat Baseline'!$D$1:$AV$258,45,FALSE)),"",(VLOOKUP($E246,'A-1 On-Site Habitat Baseline'!$D$1:$AV$258,45,FALSE))))</f>
        <v/>
      </c>
      <c r="G246" s="310" t="str">
        <f>IF(E246="","",IF(ISNA(VLOOKUP($E246,'A-1 On-Site Habitat Baseline'!$D$1:$O$258,5,FALSE)),"",(VLOOKUP($E246,'A-1 On-Site Habitat Baseline'!$D$1:$O$258,5,FALSE))))</f>
        <v/>
      </c>
      <c r="H246" s="310" t="str">
        <f>IF(E246="","",IF(ISNA(VLOOKUP($E246,'A-1 On-Site Habitat Baseline'!$D$1:$O$258,6,FALSE)),"",(VLOOKUP($E246,'A-1 On-Site Habitat Baseline'!$D$1:$O$258,6,FALSE))))</f>
        <v/>
      </c>
      <c r="I246" s="310" t="str">
        <f>IF(E246="","",IF(ISNA(VLOOKUP($E246,'A-1 On-Site Habitat Baseline'!$D$1:$O$258,7,FALSE)),"",(VLOOKUP($E246,'A-1 On-Site Habitat Baseline'!$D$1:$O$258,7,FALSE))))</f>
        <v/>
      </c>
      <c r="J246" s="310" t="str">
        <f>IF(E246="","",IF(ISNA(VLOOKUP($E246,'A-1 On-Site Habitat Baseline'!$D$1:$O$258,8,FALSE)),"",(VLOOKUP($E246,'A-1 On-Site Habitat Baseline'!$D$1:$O$258,8,FALSE))))</f>
        <v/>
      </c>
      <c r="K246" s="310" t="str">
        <f>IF(E246="","",IF(ISNA(VLOOKUP($E246,'A-1 On-Site Habitat Baseline'!$D$1:$O$258,9,FALSE)),"",(VLOOKUP($E246,'A-1 On-Site Habitat Baseline'!$D$1:$O$258,9,FALSE))))</f>
        <v/>
      </c>
      <c r="L246" s="310" t="str">
        <f>IF(E246="","",IF(ISNA(VLOOKUP($E246,'A-1 On-Site Habitat Baseline'!$D$1:$O$258,11,FALSE)),"",(VLOOKUP($E246,'A-1 On-Site Habitat Baseline'!$D$1:$O$258,11,FALSE))))</f>
        <v/>
      </c>
      <c r="M246" s="310" t="str">
        <f>IF(E246="","",IF(ISNA(VLOOKUP($E246,'A-1 On-Site Habitat Baseline'!$D$1:$O$258,12,FALSE)),"",(VLOOKUP($E246,'A-1 On-Site Habitat Baseline'!$D$1:$O$258,12,FALSE))))</f>
        <v/>
      </c>
      <c r="N246" s="320" t="str">
        <f>IF(E246="","",IF(ISNA(VLOOKUP($E246,'A-1 On-Site Habitat Baseline'!$D$1:$X$258,14,FALSE)),"",(VLOOKUP($E246,'A-1 On-Site Habitat Baseline'!$D$1:$X$258,14,FALSE))))</f>
        <v/>
      </c>
      <c r="O246" s="314" t="str">
        <f>IF(E246="","",IF(ISNA(VLOOKUP($E246,'A-1 On-Site Habitat Baseline'!$D$1:$X$258,16,FALSE)),"",(VLOOKUP($E246,'A-1 On-Site Habitat Baseline'!$D$1:$X$258,13,FALSE))))</f>
        <v/>
      </c>
      <c r="P246" s="161" t="str">
        <f>IFERROR(INDEX('G-1 All Habitats'!$AG$49:$AG$63,MATCH(Q246,'G-1 All Habitats'!$AF$27:$AF$41,0)),"")</f>
        <v/>
      </c>
      <c r="Q246" s="162" t="str">
        <f t="shared" si="35"/>
        <v/>
      </c>
      <c r="R246" s="162"/>
      <c r="S246" s="252" t="str">
        <f>IFERROR(INDEX('G-1 All Habitats'!$B$3:$B$135,MATCH(R246,'G-1 All Habitats'!$A$3:$A$135,0)),"")</f>
        <v/>
      </c>
      <c r="T246" s="290" t="str">
        <f t="shared" si="36"/>
        <v/>
      </c>
      <c r="U246" s="291" t="str">
        <f t="shared" si="37"/>
        <v/>
      </c>
      <c r="V246" s="325" t="str">
        <f t="shared" si="33"/>
        <v/>
      </c>
      <c r="W246" s="310" t="str">
        <f>IF(S246="","",VLOOKUP(S246,'G-1 All Habitats'!$B$2:$M$135,10,FALSE))</f>
        <v/>
      </c>
      <c r="X246" s="310" t="str">
        <f>IFERROR(VLOOKUP(W246,'G-1 All Habitats'!$V$3:$W$7,2,FALSE),"")</f>
        <v/>
      </c>
      <c r="Y246" s="45"/>
      <c r="Z246" s="314" t="str">
        <f>IFERROR(INDEX('G-8 Condition Look up'!$A$3:$H$135,MATCH(S246,'G-8 Condition Look up'!$A$3:$A$135,0),MATCH(Y246,'G-8 Condition Look up'!$A$3:$H$3,0)),"")</f>
        <v/>
      </c>
      <c r="AA246" s="38"/>
      <c r="AB246" s="310" t="str">
        <f>IF(AA246="","",IF(VLOOKUP(AA246,'G-3 Multipliers'!$L$3:$N$6,2,FALSE)=0,"Spatial Data Missing ⚠",VLOOKUP(AA246,'G-3 Multipliers'!$L$3:$N$6,2,FALSE)))</f>
        <v/>
      </c>
      <c r="AC246" s="314" t="str">
        <f>IF(AA246="","",IF(VLOOKUP(AA246,'G-3 Multipliers'!$L$3:$N$6,3,FALSE)=0,"Spatial Data Missing ⚠",VLOOKUP(AA246,'G-3 Multipliers'!$L$3:$N$6,3,FALSE)))</f>
        <v/>
      </c>
      <c r="AD246" s="327" t="str">
        <f t="shared" si="34"/>
        <v/>
      </c>
      <c r="AE246" s="47"/>
      <c r="AF246" s="47"/>
      <c r="AG246" s="298" t="str">
        <f t="shared" si="38"/>
        <v/>
      </c>
      <c r="AH246" s="311" t="str">
        <f t="shared" si="39"/>
        <v/>
      </c>
      <c r="AI246" s="312" t="str">
        <f>IF(AH246="Check Data","Check Data",IFERROR(VLOOKUP(AH246,'G-4 Temporal multipliers'!$A$4:$C$36,3,FALSE),""))</f>
        <v/>
      </c>
      <c r="AJ246" s="290" t="str">
        <f>IF(S246="","",VLOOKUP(S246,'G-3 Multipliers'!$A$2:$E$134,4,FALSE))</f>
        <v/>
      </c>
      <c r="AK246" s="298" t="str">
        <f t="shared" si="40"/>
        <v/>
      </c>
      <c r="AL246" s="298" t="str">
        <f t="shared" si="41"/>
        <v/>
      </c>
      <c r="AM246" s="328" t="str">
        <f>IFERROR(IF(F246="","",IF(AH246="Check Data ⚠","Check Data ⚠",VLOOKUP(AL246, 'G-3 Multipliers'!$P$2:$Q$6,2,FALSE))),"")</f>
        <v/>
      </c>
      <c r="AN246" s="304" t="str">
        <f t="shared" si="42"/>
        <v/>
      </c>
      <c r="AO246" s="163"/>
      <c r="AP246" s="164"/>
      <c r="AQ246" s="101"/>
      <c r="AT246" s="20" t="str">
        <f t="shared" si="43"/>
        <v>No</v>
      </c>
      <c r="AU246" s="20" t="str">
        <f>IF(E246="","",IF(ISNA(VLOOKUP($E246,'A-1 On-Site Habitat Baseline'!$D$1:$AV$258,4,FALSE)),"",(VLOOKUP($E246,'A-1 On-Site Habitat Baseline'!$D$1:$AV$258,4,FALSE))))</f>
        <v/>
      </c>
    </row>
    <row r="247" spans="1:47" x14ac:dyDescent="0.3">
      <c r="A247" s="20" t="str">
        <f>IF(E247="","",IF(ISNA(VLOOKUP($E247,'A-1 On-Site Habitat Baseline'!$D$1:$O$258,2,FALSE)),"",(VLOOKUP($E247,'A-1 On-Site Habitat Baseline'!$D$1:$O$258,2,FALSE))))</f>
        <v/>
      </c>
      <c r="B247" s="20" t="str">
        <f>IF(E247="","",IF(ISNA(VLOOKUP($E247,'A-1 On-Site Habitat Baseline'!$D$1:$O$258,3,FALSE)),"",(VLOOKUP($E247,'A-1 On-Site Habitat Baseline'!$D$1:$O$258,3,FALSE))))</f>
        <v/>
      </c>
      <c r="C247" s="20" t="str">
        <f>IFERROR(INDEX('G-8 Condition Look up'!$I$4:$I$135,MATCH(S247,'G-8 Condition Look up'!$A$4:$A$135,0)),"")</f>
        <v/>
      </c>
      <c r="E247" s="319" t="str">
        <f>'A-1 On-Site Habitat Baseline'!AL246</f>
        <v/>
      </c>
      <c r="F247" s="310" t="str">
        <f>IF(E247="","",IF(ISNA(VLOOKUP($E247,'A-1 On-Site Habitat Baseline'!$D$1:$AV$258,45,FALSE)),"",(VLOOKUP($E247,'A-1 On-Site Habitat Baseline'!$D$1:$AV$258,45,FALSE))))</f>
        <v/>
      </c>
      <c r="G247" s="310" t="str">
        <f>IF(E247="","",IF(ISNA(VLOOKUP($E247,'A-1 On-Site Habitat Baseline'!$D$1:$O$258,5,FALSE)),"",(VLOOKUP($E247,'A-1 On-Site Habitat Baseline'!$D$1:$O$258,5,FALSE))))</f>
        <v/>
      </c>
      <c r="H247" s="310" t="str">
        <f>IF(E247="","",IF(ISNA(VLOOKUP($E247,'A-1 On-Site Habitat Baseline'!$D$1:$O$258,6,FALSE)),"",(VLOOKUP($E247,'A-1 On-Site Habitat Baseline'!$D$1:$O$258,6,FALSE))))</f>
        <v/>
      </c>
      <c r="I247" s="310" t="str">
        <f>IF(E247="","",IF(ISNA(VLOOKUP($E247,'A-1 On-Site Habitat Baseline'!$D$1:$O$258,7,FALSE)),"",(VLOOKUP($E247,'A-1 On-Site Habitat Baseline'!$D$1:$O$258,7,FALSE))))</f>
        <v/>
      </c>
      <c r="J247" s="310" t="str">
        <f>IF(E247="","",IF(ISNA(VLOOKUP($E247,'A-1 On-Site Habitat Baseline'!$D$1:$O$258,8,FALSE)),"",(VLOOKUP($E247,'A-1 On-Site Habitat Baseline'!$D$1:$O$258,8,FALSE))))</f>
        <v/>
      </c>
      <c r="K247" s="310" t="str">
        <f>IF(E247="","",IF(ISNA(VLOOKUP($E247,'A-1 On-Site Habitat Baseline'!$D$1:$O$258,9,FALSE)),"",(VLOOKUP($E247,'A-1 On-Site Habitat Baseline'!$D$1:$O$258,9,FALSE))))</f>
        <v/>
      </c>
      <c r="L247" s="310" t="str">
        <f>IF(E247="","",IF(ISNA(VLOOKUP($E247,'A-1 On-Site Habitat Baseline'!$D$1:$O$258,11,FALSE)),"",(VLOOKUP($E247,'A-1 On-Site Habitat Baseline'!$D$1:$O$258,11,FALSE))))</f>
        <v/>
      </c>
      <c r="M247" s="310" t="str">
        <f>IF(E247="","",IF(ISNA(VLOOKUP($E247,'A-1 On-Site Habitat Baseline'!$D$1:$O$258,12,FALSE)),"",(VLOOKUP($E247,'A-1 On-Site Habitat Baseline'!$D$1:$O$258,12,FALSE))))</f>
        <v/>
      </c>
      <c r="N247" s="320" t="str">
        <f>IF(E247="","",IF(ISNA(VLOOKUP($E247,'A-1 On-Site Habitat Baseline'!$D$1:$X$258,14,FALSE)),"",(VLOOKUP($E247,'A-1 On-Site Habitat Baseline'!$D$1:$X$258,14,FALSE))))</f>
        <v/>
      </c>
      <c r="O247" s="314" t="str">
        <f>IF(E247="","",IF(ISNA(VLOOKUP($E247,'A-1 On-Site Habitat Baseline'!$D$1:$X$258,16,FALSE)),"",(VLOOKUP($E247,'A-1 On-Site Habitat Baseline'!$D$1:$X$258,13,FALSE))))</f>
        <v/>
      </c>
      <c r="P247" s="161" t="str">
        <f>IFERROR(INDEX('G-1 All Habitats'!$AG$49:$AG$63,MATCH(Q247,'G-1 All Habitats'!$AF$27:$AF$41,0)),"")</f>
        <v/>
      </c>
      <c r="Q247" s="162" t="str">
        <f t="shared" si="35"/>
        <v/>
      </c>
      <c r="R247" s="162"/>
      <c r="S247" s="252" t="str">
        <f>IFERROR(INDEX('G-1 All Habitats'!$B$3:$B$135,MATCH(R247,'G-1 All Habitats'!$A$3:$A$135,0)),"")</f>
        <v/>
      </c>
      <c r="T247" s="290" t="str">
        <f t="shared" si="36"/>
        <v/>
      </c>
      <c r="U247" s="291" t="str">
        <f t="shared" si="37"/>
        <v/>
      </c>
      <c r="V247" s="325" t="str">
        <f t="shared" si="33"/>
        <v/>
      </c>
      <c r="W247" s="310" t="str">
        <f>IF(S247="","",VLOOKUP(S247,'G-1 All Habitats'!$B$2:$M$135,10,FALSE))</f>
        <v/>
      </c>
      <c r="X247" s="310" t="str">
        <f>IFERROR(VLOOKUP(W247,'G-1 All Habitats'!$V$3:$W$7,2,FALSE),"")</f>
        <v/>
      </c>
      <c r="Y247" s="45"/>
      <c r="Z247" s="314" t="str">
        <f>IFERROR(INDEX('G-8 Condition Look up'!$A$3:$H$135,MATCH(S247,'G-8 Condition Look up'!$A$3:$A$135,0),MATCH(Y247,'G-8 Condition Look up'!$A$3:$H$3,0)),"")</f>
        <v/>
      </c>
      <c r="AA247" s="38"/>
      <c r="AB247" s="310" t="str">
        <f>IF(AA247="","",IF(VLOOKUP(AA247,'G-3 Multipliers'!$L$3:$N$6,2,FALSE)=0,"Spatial Data Missing ⚠",VLOOKUP(AA247,'G-3 Multipliers'!$L$3:$N$6,2,FALSE)))</f>
        <v/>
      </c>
      <c r="AC247" s="314" t="str">
        <f>IF(AA247="","",IF(VLOOKUP(AA247,'G-3 Multipliers'!$L$3:$N$6,3,FALSE)=0,"Spatial Data Missing ⚠",VLOOKUP(AA247,'G-3 Multipliers'!$L$3:$N$6,3,FALSE)))</f>
        <v/>
      </c>
      <c r="AD247" s="327" t="str">
        <f t="shared" si="34"/>
        <v/>
      </c>
      <c r="AE247" s="47"/>
      <c r="AF247" s="47"/>
      <c r="AG247" s="298" t="str">
        <f t="shared" si="38"/>
        <v/>
      </c>
      <c r="AH247" s="311" t="str">
        <f t="shared" si="39"/>
        <v/>
      </c>
      <c r="AI247" s="312" t="str">
        <f>IF(AH247="Check Data","Check Data",IFERROR(VLOOKUP(AH247,'G-4 Temporal multipliers'!$A$4:$C$36,3,FALSE),""))</f>
        <v/>
      </c>
      <c r="AJ247" s="290" t="str">
        <f>IF(S247="","",VLOOKUP(S247,'G-3 Multipliers'!$A$2:$E$134,4,FALSE))</f>
        <v/>
      </c>
      <c r="AK247" s="298" t="str">
        <f t="shared" si="40"/>
        <v/>
      </c>
      <c r="AL247" s="298" t="str">
        <f t="shared" si="41"/>
        <v/>
      </c>
      <c r="AM247" s="328" t="str">
        <f>IFERROR(IF(F247="","",IF(AH247="Check Data ⚠","Check Data ⚠",VLOOKUP(AL247, 'G-3 Multipliers'!$P$2:$Q$6,2,FALSE))),"")</f>
        <v/>
      </c>
      <c r="AN247" s="304" t="str">
        <f t="shared" si="42"/>
        <v/>
      </c>
      <c r="AO247" s="163"/>
      <c r="AP247" s="164"/>
      <c r="AQ247" s="101"/>
      <c r="AT247" s="20" t="str">
        <f t="shared" si="43"/>
        <v>No</v>
      </c>
      <c r="AU247" s="20" t="str">
        <f>IF(E247="","",IF(ISNA(VLOOKUP($E247,'A-1 On-Site Habitat Baseline'!$D$1:$AV$258,4,FALSE)),"",(VLOOKUP($E247,'A-1 On-Site Habitat Baseline'!$D$1:$AV$258,4,FALSE))))</f>
        <v/>
      </c>
    </row>
    <row r="248" spans="1:47" x14ac:dyDescent="0.3">
      <c r="A248" s="20" t="str">
        <f>IF(E248="","",IF(ISNA(VLOOKUP($E248,'A-1 On-Site Habitat Baseline'!$D$1:$O$258,2,FALSE)),"",(VLOOKUP($E248,'A-1 On-Site Habitat Baseline'!$D$1:$O$258,2,FALSE))))</f>
        <v/>
      </c>
      <c r="B248" s="20" t="str">
        <f>IF(E248="","",IF(ISNA(VLOOKUP($E248,'A-1 On-Site Habitat Baseline'!$D$1:$O$258,3,FALSE)),"",(VLOOKUP($E248,'A-1 On-Site Habitat Baseline'!$D$1:$O$258,3,FALSE))))</f>
        <v/>
      </c>
      <c r="C248" s="20" t="str">
        <f>IFERROR(INDEX('G-8 Condition Look up'!$I$4:$I$135,MATCH(S248,'G-8 Condition Look up'!$A$4:$A$135,0)),"")</f>
        <v/>
      </c>
      <c r="E248" s="319" t="str">
        <f>'A-1 On-Site Habitat Baseline'!AL247</f>
        <v/>
      </c>
      <c r="F248" s="310" t="str">
        <f>IF(E248="","",IF(ISNA(VLOOKUP($E248,'A-1 On-Site Habitat Baseline'!$D$1:$AV$258,45,FALSE)),"",(VLOOKUP($E248,'A-1 On-Site Habitat Baseline'!$D$1:$AV$258,45,FALSE))))</f>
        <v/>
      </c>
      <c r="G248" s="310" t="str">
        <f>IF(E248="","",IF(ISNA(VLOOKUP($E248,'A-1 On-Site Habitat Baseline'!$D$1:$O$258,5,FALSE)),"",(VLOOKUP($E248,'A-1 On-Site Habitat Baseline'!$D$1:$O$258,5,FALSE))))</f>
        <v/>
      </c>
      <c r="H248" s="310" t="str">
        <f>IF(E248="","",IF(ISNA(VLOOKUP($E248,'A-1 On-Site Habitat Baseline'!$D$1:$O$258,6,FALSE)),"",(VLOOKUP($E248,'A-1 On-Site Habitat Baseline'!$D$1:$O$258,6,FALSE))))</f>
        <v/>
      </c>
      <c r="I248" s="310" t="str">
        <f>IF(E248="","",IF(ISNA(VLOOKUP($E248,'A-1 On-Site Habitat Baseline'!$D$1:$O$258,7,FALSE)),"",(VLOOKUP($E248,'A-1 On-Site Habitat Baseline'!$D$1:$O$258,7,FALSE))))</f>
        <v/>
      </c>
      <c r="J248" s="310" t="str">
        <f>IF(E248="","",IF(ISNA(VLOOKUP($E248,'A-1 On-Site Habitat Baseline'!$D$1:$O$258,8,FALSE)),"",(VLOOKUP($E248,'A-1 On-Site Habitat Baseline'!$D$1:$O$258,8,FALSE))))</f>
        <v/>
      </c>
      <c r="K248" s="310" t="str">
        <f>IF(E248="","",IF(ISNA(VLOOKUP($E248,'A-1 On-Site Habitat Baseline'!$D$1:$O$258,9,FALSE)),"",(VLOOKUP($E248,'A-1 On-Site Habitat Baseline'!$D$1:$O$258,9,FALSE))))</f>
        <v/>
      </c>
      <c r="L248" s="310" t="str">
        <f>IF(E248="","",IF(ISNA(VLOOKUP($E248,'A-1 On-Site Habitat Baseline'!$D$1:$O$258,11,FALSE)),"",(VLOOKUP($E248,'A-1 On-Site Habitat Baseline'!$D$1:$O$258,11,FALSE))))</f>
        <v/>
      </c>
      <c r="M248" s="310" t="str">
        <f>IF(E248="","",IF(ISNA(VLOOKUP($E248,'A-1 On-Site Habitat Baseline'!$D$1:$O$258,12,FALSE)),"",(VLOOKUP($E248,'A-1 On-Site Habitat Baseline'!$D$1:$O$258,12,FALSE))))</f>
        <v/>
      </c>
      <c r="N248" s="320" t="str">
        <f>IF(E248="","",IF(ISNA(VLOOKUP($E248,'A-1 On-Site Habitat Baseline'!$D$1:$X$258,14,FALSE)),"",(VLOOKUP($E248,'A-1 On-Site Habitat Baseline'!$D$1:$X$258,14,FALSE))))</f>
        <v/>
      </c>
      <c r="O248" s="314" t="str">
        <f>IF(E248="","",IF(ISNA(VLOOKUP($E248,'A-1 On-Site Habitat Baseline'!$D$1:$X$258,16,FALSE)),"",(VLOOKUP($E248,'A-1 On-Site Habitat Baseline'!$D$1:$X$258,13,FALSE))))</f>
        <v/>
      </c>
      <c r="P248" s="161" t="str">
        <f>IFERROR(INDEX('G-1 All Habitats'!$AG$49:$AG$63,MATCH(Q248,'G-1 All Habitats'!$AF$27:$AF$41,0)),"")</f>
        <v/>
      </c>
      <c r="Q248" s="162" t="str">
        <f t="shared" si="35"/>
        <v/>
      </c>
      <c r="R248" s="162"/>
      <c r="S248" s="252" t="str">
        <f>IFERROR(INDEX('G-1 All Habitats'!$B$3:$B$135,MATCH(R248,'G-1 All Habitats'!$A$3:$A$135,0)),"")</f>
        <v/>
      </c>
      <c r="T248" s="290" t="str">
        <f t="shared" si="36"/>
        <v/>
      </c>
      <c r="U248" s="291" t="str">
        <f t="shared" si="37"/>
        <v/>
      </c>
      <c r="V248" s="325" t="str">
        <f t="shared" si="33"/>
        <v/>
      </c>
      <c r="W248" s="310" t="str">
        <f>IF(S248="","",VLOOKUP(S248,'G-1 All Habitats'!$B$2:$M$135,10,FALSE))</f>
        <v/>
      </c>
      <c r="X248" s="310" t="str">
        <f>IFERROR(VLOOKUP(W248,'G-1 All Habitats'!$V$3:$W$7,2,FALSE),"")</f>
        <v/>
      </c>
      <c r="Y248" s="45"/>
      <c r="Z248" s="314" t="str">
        <f>IFERROR(INDEX('G-8 Condition Look up'!$A$3:$H$135,MATCH(S248,'G-8 Condition Look up'!$A$3:$A$135,0),MATCH(Y248,'G-8 Condition Look up'!$A$3:$H$3,0)),"")</f>
        <v/>
      </c>
      <c r="AA248" s="38"/>
      <c r="AB248" s="310" t="str">
        <f>IF(AA248="","",IF(VLOOKUP(AA248,'G-3 Multipliers'!$L$3:$N$6,2,FALSE)=0,"Spatial Data Missing ⚠",VLOOKUP(AA248,'G-3 Multipliers'!$L$3:$N$6,2,FALSE)))</f>
        <v/>
      </c>
      <c r="AC248" s="314" t="str">
        <f>IF(AA248="","",IF(VLOOKUP(AA248,'G-3 Multipliers'!$L$3:$N$6,3,FALSE)=0,"Spatial Data Missing ⚠",VLOOKUP(AA248,'G-3 Multipliers'!$L$3:$N$6,3,FALSE)))</f>
        <v/>
      </c>
      <c r="AD248" s="327" t="str">
        <f t="shared" si="34"/>
        <v/>
      </c>
      <c r="AE248" s="47"/>
      <c r="AF248" s="47"/>
      <c r="AG248" s="298" t="str">
        <f t="shared" si="38"/>
        <v/>
      </c>
      <c r="AH248" s="311" t="str">
        <f t="shared" si="39"/>
        <v/>
      </c>
      <c r="AI248" s="312" t="str">
        <f>IF(AH248="Check Data","Check Data",IFERROR(VLOOKUP(AH248,'G-4 Temporal multipliers'!$A$4:$C$36,3,FALSE),""))</f>
        <v/>
      </c>
      <c r="AJ248" s="290" t="str">
        <f>IF(S248="","",VLOOKUP(S248,'G-3 Multipliers'!$A$2:$E$134,4,FALSE))</f>
        <v/>
      </c>
      <c r="AK248" s="298" t="str">
        <f t="shared" si="40"/>
        <v/>
      </c>
      <c r="AL248" s="298" t="str">
        <f t="shared" si="41"/>
        <v/>
      </c>
      <c r="AM248" s="328" t="str">
        <f>IFERROR(IF(F248="","",IF(AH248="Check Data ⚠","Check Data ⚠",VLOOKUP(AL248, 'G-3 Multipliers'!$P$2:$Q$6,2,FALSE))),"")</f>
        <v/>
      </c>
      <c r="AN248" s="304" t="str">
        <f t="shared" si="42"/>
        <v/>
      </c>
      <c r="AO248" s="163"/>
      <c r="AP248" s="164"/>
      <c r="AQ248" s="101"/>
      <c r="AT248" s="20" t="str">
        <f t="shared" si="43"/>
        <v>No</v>
      </c>
      <c r="AU248" s="20" t="str">
        <f>IF(E248="","",IF(ISNA(VLOOKUP($E248,'A-1 On-Site Habitat Baseline'!$D$1:$AV$258,4,FALSE)),"",(VLOOKUP($E248,'A-1 On-Site Habitat Baseline'!$D$1:$AV$258,4,FALSE))))</f>
        <v/>
      </c>
    </row>
    <row r="249" spans="1:47" x14ac:dyDescent="0.3">
      <c r="A249" s="20" t="str">
        <f>IF(E249="","",IF(ISNA(VLOOKUP($E249,'A-1 On-Site Habitat Baseline'!$D$1:$O$258,2,FALSE)),"",(VLOOKUP($E249,'A-1 On-Site Habitat Baseline'!$D$1:$O$258,2,FALSE))))</f>
        <v/>
      </c>
      <c r="B249" s="20" t="str">
        <f>IF(E249="","",IF(ISNA(VLOOKUP($E249,'A-1 On-Site Habitat Baseline'!$D$1:$O$258,3,FALSE)),"",(VLOOKUP($E249,'A-1 On-Site Habitat Baseline'!$D$1:$O$258,3,FALSE))))</f>
        <v/>
      </c>
      <c r="C249" s="20" t="str">
        <f>IFERROR(INDEX('G-8 Condition Look up'!$I$4:$I$135,MATCH(S249,'G-8 Condition Look up'!$A$4:$A$135,0)),"")</f>
        <v/>
      </c>
      <c r="E249" s="319" t="str">
        <f>'A-1 On-Site Habitat Baseline'!AL248</f>
        <v/>
      </c>
      <c r="F249" s="310" t="str">
        <f>IF(E249="","",IF(ISNA(VLOOKUP($E249,'A-1 On-Site Habitat Baseline'!$D$1:$AV$258,45,FALSE)),"",(VLOOKUP($E249,'A-1 On-Site Habitat Baseline'!$D$1:$AV$258,45,FALSE))))</f>
        <v/>
      </c>
      <c r="G249" s="310" t="str">
        <f>IF(E249="","",IF(ISNA(VLOOKUP($E249,'A-1 On-Site Habitat Baseline'!$D$1:$O$258,5,FALSE)),"",(VLOOKUP($E249,'A-1 On-Site Habitat Baseline'!$D$1:$O$258,5,FALSE))))</f>
        <v/>
      </c>
      <c r="H249" s="310" t="str">
        <f>IF(E249="","",IF(ISNA(VLOOKUP($E249,'A-1 On-Site Habitat Baseline'!$D$1:$O$258,6,FALSE)),"",(VLOOKUP($E249,'A-1 On-Site Habitat Baseline'!$D$1:$O$258,6,FALSE))))</f>
        <v/>
      </c>
      <c r="I249" s="310" t="str">
        <f>IF(E249="","",IF(ISNA(VLOOKUP($E249,'A-1 On-Site Habitat Baseline'!$D$1:$O$258,7,FALSE)),"",(VLOOKUP($E249,'A-1 On-Site Habitat Baseline'!$D$1:$O$258,7,FALSE))))</f>
        <v/>
      </c>
      <c r="J249" s="310" t="str">
        <f>IF(E249="","",IF(ISNA(VLOOKUP($E249,'A-1 On-Site Habitat Baseline'!$D$1:$O$258,8,FALSE)),"",(VLOOKUP($E249,'A-1 On-Site Habitat Baseline'!$D$1:$O$258,8,FALSE))))</f>
        <v/>
      </c>
      <c r="K249" s="310" t="str">
        <f>IF(E249="","",IF(ISNA(VLOOKUP($E249,'A-1 On-Site Habitat Baseline'!$D$1:$O$258,9,FALSE)),"",(VLOOKUP($E249,'A-1 On-Site Habitat Baseline'!$D$1:$O$258,9,FALSE))))</f>
        <v/>
      </c>
      <c r="L249" s="310" t="str">
        <f>IF(E249="","",IF(ISNA(VLOOKUP($E249,'A-1 On-Site Habitat Baseline'!$D$1:$O$258,11,FALSE)),"",(VLOOKUP($E249,'A-1 On-Site Habitat Baseline'!$D$1:$O$258,11,FALSE))))</f>
        <v/>
      </c>
      <c r="M249" s="310" t="str">
        <f>IF(E249="","",IF(ISNA(VLOOKUP($E249,'A-1 On-Site Habitat Baseline'!$D$1:$O$258,12,FALSE)),"",(VLOOKUP($E249,'A-1 On-Site Habitat Baseline'!$D$1:$O$258,12,FALSE))))</f>
        <v/>
      </c>
      <c r="N249" s="320" t="str">
        <f>IF(E249="","",IF(ISNA(VLOOKUP($E249,'A-1 On-Site Habitat Baseline'!$D$1:$X$258,14,FALSE)),"",(VLOOKUP($E249,'A-1 On-Site Habitat Baseline'!$D$1:$X$258,14,FALSE))))</f>
        <v/>
      </c>
      <c r="O249" s="314" t="str">
        <f>IF(E249="","",IF(ISNA(VLOOKUP($E249,'A-1 On-Site Habitat Baseline'!$D$1:$X$258,16,FALSE)),"",(VLOOKUP($E249,'A-1 On-Site Habitat Baseline'!$D$1:$X$258,13,FALSE))))</f>
        <v/>
      </c>
      <c r="P249" s="161" t="str">
        <f>IFERROR(INDEX('G-1 All Habitats'!$AG$49:$AG$63,MATCH(Q249,'G-1 All Habitats'!$AF$27:$AF$41,0)),"")</f>
        <v/>
      </c>
      <c r="Q249" s="162" t="str">
        <f t="shared" si="35"/>
        <v/>
      </c>
      <c r="R249" s="162"/>
      <c r="S249" s="252" t="str">
        <f>IFERROR(INDEX('G-1 All Habitats'!$B$3:$B$135,MATCH(R249,'G-1 All Habitats'!$A$3:$A$135,0)),"")</f>
        <v/>
      </c>
      <c r="T249" s="290" t="str">
        <f t="shared" si="36"/>
        <v/>
      </c>
      <c r="U249" s="291" t="str">
        <f t="shared" si="37"/>
        <v/>
      </c>
      <c r="V249" s="325" t="str">
        <f t="shared" si="33"/>
        <v/>
      </c>
      <c r="W249" s="310" t="str">
        <f>IF(S249="","",VLOOKUP(S249,'G-1 All Habitats'!$B$2:$M$135,10,FALSE))</f>
        <v/>
      </c>
      <c r="X249" s="310" t="str">
        <f>IFERROR(VLOOKUP(W249,'G-1 All Habitats'!$V$3:$W$7,2,FALSE),"")</f>
        <v/>
      </c>
      <c r="Y249" s="45"/>
      <c r="Z249" s="314" t="str">
        <f>IFERROR(INDEX('G-8 Condition Look up'!$A$3:$H$135,MATCH(S249,'G-8 Condition Look up'!$A$3:$A$135,0),MATCH(Y249,'G-8 Condition Look up'!$A$3:$H$3,0)),"")</f>
        <v/>
      </c>
      <c r="AA249" s="38"/>
      <c r="AB249" s="310" t="str">
        <f>IF(AA249="","",IF(VLOOKUP(AA249,'G-3 Multipliers'!$L$3:$N$6,2,FALSE)=0,"Spatial Data Missing ⚠",VLOOKUP(AA249,'G-3 Multipliers'!$L$3:$N$6,2,FALSE)))</f>
        <v/>
      </c>
      <c r="AC249" s="314" t="str">
        <f>IF(AA249="","",IF(VLOOKUP(AA249,'G-3 Multipliers'!$L$3:$N$6,3,FALSE)=0,"Spatial Data Missing ⚠",VLOOKUP(AA249,'G-3 Multipliers'!$L$3:$N$6,3,FALSE)))</f>
        <v/>
      </c>
      <c r="AD249" s="327" t="str">
        <f t="shared" si="34"/>
        <v/>
      </c>
      <c r="AE249" s="47"/>
      <c r="AF249" s="47"/>
      <c r="AG249" s="298" t="str">
        <f t="shared" si="38"/>
        <v/>
      </c>
      <c r="AH249" s="311" t="str">
        <f t="shared" si="39"/>
        <v/>
      </c>
      <c r="AI249" s="312" t="str">
        <f>IF(AH249="Check Data","Check Data",IFERROR(VLOOKUP(AH249,'G-4 Temporal multipliers'!$A$4:$C$36,3,FALSE),""))</f>
        <v/>
      </c>
      <c r="AJ249" s="290" t="str">
        <f>IF(S249="","",VLOOKUP(S249,'G-3 Multipliers'!$A$2:$E$134,4,FALSE))</f>
        <v/>
      </c>
      <c r="AK249" s="298" t="str">
        <f t="shared" si="40"/>
        <v/>
      </c>
      <c r="AL249" s="298" t="str">
        <f t="shared" si="41"/>
        <v/>
      </c>
      <c r="AM249" s="328" t="str">
        <f>IFERROR(IF(F249="","",IF(AH249="Check Data ⚠","Check Data ⚠",VLOOKUP(AL249, 'G-3 Multipliers'!$P$2:$Q$6,2,FALSE))),"")</f>
        <v/>
      </c>
      <c r="AN249" s="304" t="str">
        <f t="shared" si="42"/>
        <v/>
      </c>
      <c r="AO249" s="163"/>
      <c r="AP249" s="164"/>
      <c r="AQ249" s="101"/>
      <c r="AT249" s="20" t="str">
        <f t="shared" si="43"/>
        <v>No</v>
      </c>
      <c r="AU249" s="20" t="str">
        <f>IF(E249="","",IF(ISNA(VLOOKUP($E249,'A-1 On-Site Habitat Baseline'!$D$1:$AV$258,4,FALSE)),"",(VLOOKUP($E249,'A-1 On-Site Habitat Baseline'!$D$1:$AV$258,4,FALSE))))</f>
        <v/>
      </c>
    </row>
    <row r="250" spans="1:47" x14ac:dyDescent="0.3">
      <c r="A250" s="20" t="str">
        <f>IF(E250="","",IF(ISNA(VLOOKUP($E250,'A-1 On-Site Habitat Baseline'!$D$1:$O$258,2,FALSE)),"",(VLOOKUP($E250,'A-1 On-Site Habitat Baseline'!$D$1:$O$258,2,FALSE))))</f>
        <v/>
      </c>
      <c r="B250" s="20" t="str">
        <f>IF(E250="","",IF(ISNA(VLOOKUP($E250,'A-1 On-Site Habitat Baseline'!$D$1:$O$258,3,FALSE)),"",(VLOOKUP($E250,'A-1 On-Site Habitat Baseline'!$D$1:$O$258,3,FALSE))))</f>
        <v/>
      </c>
      <c r="C250" s="20" t="str">
        <f>IFERROR(INDEX('G-8 Condition Look up'!$I$4:$I$135,MATCH(S250,'G-8 Condition Look up'!$A$4:$A$135,0)),"")</f>
        <v/>
      </c>
      <c r="E250" s="319" t="str">
        <f>'A-1 On-Site Habitat Baseline'!AL249</f>
        <v/>
      </c>
      <c r="F250" s="310" t="str">
        <f>IF(E250="","",IF(ISNA(VLOOKUP($E250,'A-1 On-Site Habitat Baseline'!$D$1:$AV$258,45,FALSE)),"",(VLOOKUP($E250,'A-1 On-Site Habitat Baseline'!$D$1:$AV$258,45,FALSE))))</f>
        <v/>
      </c>
      <c r="G250" s="310" t="str">
        <f>IF(E250="","",IF(ISNA(VLOOKUP($E250,'A-1 On-Site Habitat Baseline'!$D$1:$O$258,5,FALSE)),"",(VLOOKUP($E250,'A-1 On-Site Habitat Baseline'!$D$1:$O$258,5,FALSE))))</f>
        <v/>
      </c>
      <c r="H250" s="310" t="str">
        <f>IF(E250="","",IF(ISNA(VLOOKUP($E250,'A-1 On-Site Habitat Baseline'!$D$1:$O$258,6,FALSE)),"",(VLOOKUP($E250,'A-1 On-Site Habitat Baseline'!$D$1:$O$258,6,FALSE))))</f>
        <v/>
      </c>
      <c r="I250" s="310" t="str">
        <f>IF(E250="","",IF(ISNA(VLOOKUP($E250,'A-1 On-Site Habitat Baseline'!$D$1:$O$258,7,FALSE)),"",(VLOOKUP($E250,'A-1 On-Site Habitat Baseline'!$D$1:$O$258,7,FALSE))))</f>
        <v/>
      </c>
      <c r="J250" s="310" t="str">
        <f>IF(E250="","",IF(ISNA(VLOOKUP($E250,'A-1 On-Site Habitat Baseline'!$D$1:$O$258,8,FALSE)),"",(VLOOKUP($E250,'A-1 On-Site Habitat Baseline'!$D$1:$O$258,8,FALSE))))</f>
        <v/>
      </c>
      <c r="K250" s="310" t="str">
        <f>IF(E250="","",IF(ISNA(VLOOKUP($E250,'A-1 On-Site Habitat Baseline'!$D$1:$O$258,9,FALSE)),"",(VLOOKUP($E250,'A-1 On-Site Habitat Baseline'!$D$1:$O$258,9,FALSE))))</f>
        <v/>
      </c>
      <c r="L250" s="310" t="str">
        <f>IF(E250="","",IF(ISNA(VLOOKUP($E250,'A-1 On-Site Habitat Baseline'!$D$1:$O$258,11,FALSE)),"",(VLOOKUP($E250,'A-1 On-Site Habitat Baseline'!$D$1:$O$258,11,FALSE))))</f>
        <v/>
      </c>
      <c r="M250" s="310" t="str">
        <f>IF(E250="","",IF(ISNA(VLOOKUP($E250,'A-1 On-Site Habitat Baseline'!$D$1:$O$258,12,FALSE)),"",(VLOOKUP($E250,'A-1 On-Site Habitat Baseline'!$D$1:$O$258,12,FALSE))))</f>
        <v/>
      </c>
      <c r="N250" s="320" t="str">
        <f>IF(E250="","",IF(ISNA(VLOOKUP($E250,'A-1 On-Site Habitat Baseline'!$D$1:$X$258,14,FALSE)),"",(VLOOKUP($E250,'A-1 On-Site Habitat Baseline'!$D$1:$X$258,14,FALSE))))</f>
        <v/>
      </c>
      <c r="O250" s="314" t="str">
        <f>IF(E250="","",IF(ISNA(VLOOKUP($E250,'A-1 On-Site Habitat Baseline'!$D$1:$X$258,16,FALSE)),"",(VLOOKUP($E250,'A-1 On-Site Habitat Baseline'!$D$1:$X$258,13,FALSE))))</f>
        <v/>
      </c>
      <c r="P250" s="161" t="str">
        <f>IFERROR(INDEX('G-1 All Habitats'!$AG$49:$AG$63,MATCH(Q250,'G-1 All Habitats'!$AF$27:$AF$41,0)),"")</f>
        <v/>
      </c>
      <c r="Q250" s="162" t="str">
        <f t="shared" si="35"/>
        <v/>
      </c>
      <c r="R250" s="162"/>
      <c r="S250" s="252" t="str">
        <f>IFERROR(INDEX('G-1 All Habitats'!$B$3:$B$135,MATCH(R250,'G-1 All Habitats'!$A$3:$A$135,0)),"")</f>
        <v/>
      </c>
      <c r="T250" s="290" t="str">
        <f t="shared" si="36"/>
        <v/>
      </c>
      <c r="U250" s="291" t="str">
        <f t="shared" si="37"/>
        <v/>
      </c>
      <c r="V250" s="325" t="str">
        <f t="shared" si="33"/>
        <v/>
      </c>
      <c r="W250" s="310" t="str">
        <f>IF(S250="","",VLOOKUP(S250,'G-1 All Habitats'!$B$2:$M$135,10,FALSE))</f>
        <v/>
      </c>
      <c r="X250" s="310" t="str">
        <f>IFERROR(VLOOKUP(W250,'G-1 All Habitats'!$V$3:$W$7,2,FALSE),"")</f>
        <v/>
      </c>
      <c r="Y250" s="45"/>
      <c r="Z250" s="314" t="str">
        <f>IFERROR(INDEX('G-8 Condition Look up'!$A$3:$H$135,MATCH(S250,'G-8 Condition Look up'!$A$3:$A$135,0),MATCH(Y250,'G-8 Condition Look up'!$A$3:$H$3,0)),"")</f>
        <v/>
      </c>
      <c r="AA250" s="38"/>
      <c r="AB250" s="310" t="str">
        <f>IF(AA250="","",IF(VLOOKUP(AA250,'G-3 Multipliers'!$L$3:$N$6,2,FALSE)=0,"Spatial Data Missing ⚠",VLOOKUP(AA250,'G-3 Multipliers'!$L$3:$N$6,2,FALSE)))</f>
        <v/>
      </c>
      <c r="AC250" s="314" t="str">
        <f>IF(AA250="","",IF(VLOOKUP(AA250,'G-3 Multipliers'!$L$3:$N$6,3,FALSE)=0,"Spatial Data Missing ⚠",VLOOKUP(AA250,'G-3 Multipliers'!$L$3:$N$6,3,FALSE)))</f>
        <v/>
      </c>
      <c r="AD250" s="327" t="str">
        <f t="shared" si="34"/>
        <v/>
      </c>
      <c r="AE250" s="47"/>
      <c r="AF250" s="47"/>
      <c r="AG250" s="298" t="str">
        <f t="shared" si="38"/>
        <v/>
      </c>
      <c r="AH250" s="311" t="str">
        <f t="shared" si="39"/>
        <v/>
      </c>
      <c r="AI250" s="312" t="str">
        <f>IF(AH250="Check Data","Check Data",IFERROR(VLOOKUP(AH250,'G-4 Temporal multipliers'!$A$4:$C$36,3,FALSE),""))</f>
        <v/>
      </c>
      <c r="AJ250" s="290" t="str">
        <f>IF(S250="","",VLOOKUP(S250,'G-3 Multipliers'!$A$2:$E$134,4,FALSE))</f>
        <v/>
      </c>
      <c r="AK250" s="298" t="str">
        <f t="shared" si="40"/>
        <v/>
      </c>
      <c r="AL250" s="298" t="str">
        <f t="shared" si="41"/>
        <v/>
      </c>
      <c r="AM250" s="328" t="str">
        <f>IFERROR(IF(F250="","",IF(AH250="Check Data ⚠","Check Data ⚠",VLOOKUP(AL250, 'G-3 Multipliers'!$P$2:$Q$6,2,FALSE))),"")</f>
        <v/>
      </c>
      <c r="AN250" s="304" t="str">
        <f t="shared" si="42"/>
        <v/>
      </c>
      <c r="AO250" s="163"/>
      <c r="AP250" s="164"/>
      <c r="AQ250" s="101"/>
      <c r="AT250" s="20" t="str">
        <f t="shared" si="43"/>
        <v>No</v>
      </c>
      <c r="AU250" s="20" t="str">
        <f>IF(E250="","",IF(ISNA(VLOOKUP($E250,'A-1 On-Site Habitat Baseline'!$D$1:$AV$258,4,FALSE)),"",(VLOOKUP($E250,'A-1 On-Site Habitat Baseline'!$D$1:$AV$258,4,FALSE))))</f>
        <v/>
      </c>
    </row>
    <row r="251" spans="1:47" x14ac:dyDescent="0.3">
      <c r="A251" s="20" t="str">
        <f>IF(E251="","",IF(ISNA(VLOOKUP($E251,'A-1 On-Site Habitat Baseline'!$D$1:$O$258,2,FALSE)),"",(VLOOKUP($E251,'A-1 On-Site Habitat Baseline'!$D$1:$O$258,2,FALSE))))</f>
        <v/>
      </c>
      <c r="B251" s="20" t="str">
        <f>IF(E251="","",IF(ISNA(VLOOKUP($E251,'A-1 On-Site Habitat Baseline'!$D$1:$O$258,3,FALSE)),"",(VLOOKUP($E251,'A-1 On-Site Habitat Baseline'!$D$1:$O$258,3,FALSE))))</f>
        <v/>
      </c>
      <c r="C251" s="20" t="str">
        <f>IFERROR(INDEX('G-8 Condition Look up'!$I$4:$I$135,MATCH(S251,'G-8 Condition Look up'!$A$4:$A$135,0)),"")</f>
        <v/>
      </c>
      <c r="E251" s="319" t="str">
        <f>'A-1 On-Site Habitat Baseline'!AL250</f>
        <v/>
      </c>
      <c r="F251" s="310" t="str">
        <f>IF(E251="","",IF(ISNA(VLOOKUP($E251,'A-1 On-Site Habitat Baseline'!$D$1:$AV$258,45,FALSE)),"",(VLOOKUP($E251,'A-1 On-Site Habitat Baseline'!$D$1:$AV$258,45,FALSE))))</f>
        <v/>
      </c>
      <c r="G251" s="310" t="str">
        <f>IF(E251="","",IF(ISNA(VLOOKUP($E251,'A-1 On-Site Habitat Baseline'!$D$1:$O$258,5,FALSE)),"",(VLOOKUP($E251,'A-1 On-Site Habitat Baseline'!$D$1:$O$258,5,FALSE))))</f>
        <v/>
      </c>
      <c r="H251" s="310" t="str">
        <f>IF(E251="","",IF(ISNA(VLOOKUP($E251,'A-1 On-Site Habitat Baseline'!$D$1:$O$258,6,FALSE)),"",(VLOOKUP($E251,'A-1 On-Site Habitat Baseline'!$D$1:$O$258,6,FALSE))))</f>
        <v/>
      </c>
      <c r="I251" s="310" t="str">
        <f>IF(E251="","",IF(ISNA(VLOOKUP($E251,'A-1 On-Site Habitat Baseline'!$D$1:$O$258,7,FALSE)),"",(VLOOKUP($E251,'A-1 On-Site Habitat Baseline'!$D$1:$O$258,7,FALSE))))</f>
        <v/>
      </c>
      <c r="J251" s="310" t="str">
        <f>IF(E251="","",IF(ISNA(VLOOKUP($E251,'A-1 On-Site Habitat Baseline'!$D$1:$O$258,8,FALSE)),"",(VLOOKUP($E251,'A-1 On-Site Habitat Baseline'!$D$1:$O$258,8,FALSE))))</f>
        <v/>
      </c>
      <c r="K251" s="310" t="str">
        <f>IF(E251="","",IF(ISNA(VLOOKUP($E251,'A-1 On-Site Habitat Baseline'!$D$1:$O$258,9,FALSE)),"",(VLOOKUP($E251,'A-1 On-Site Habitat Baseline'!$D$1:$O$258,9,FALSE))))</f>
        <v/>
      </c>
      <c r="L251" s="310" t="str">
        <f>IF(E251="","",IF(ISNA(VLOOKUP($E251,'A-1 On-Site Habitat Baseline'!$D$1:$O$258,11,FALSE)),"",(VLOOKUP($E251,'A-1 On-Site Habitat Baseline'!$D$1:$O$258,11,FALSE))))</f>
        <v/>
      </c>
      <c r="M251" s="310" t="str">
        <f>IF(E251="","",IF(ISNA(VLOOKUP($E251,'A-1 On-Site Habitat Baseline'!$D$1:$O$258,12,FALSE)),"",(VLOOKUP($E251,'A-1 On-Site Habitat Baseline'!$D$1:$O$258,12,FALSE))))</f>
        <v/>
      </c>
      <c r="N251" s="320" t="str">
        <f>IF(E251="","",IF(ISNA(VLOOKUP($E251,'A-1 On-Site Habitat Baseline'!$D$1:$X$258,14,FALSE)),"",(VLOOKUP($E251,'A-1 On-Site Habitat Baseline'!$D$1:$X$258,14,FALSE))))</f>
        <v/>
      </c>
      <c r="O251" s="314" t="str">
        <f>IF(E251="","",IF(ISNA(VLOOKUP($E251,'A-1 On-Site Habitat Baseline'!$D$1:$X$258,16,FALSE)),"",(VLOOKUP($E251,'A-1 On-Site Habitat Baseline'!$D$1:$X$258,13,FALSE))))</f>
        <v/>
      </c>
      <c r="P251" s="161" t="str">
        <f>IFERROR(INDEX('G-1 All Habitats'!$AG$49:$AG$63,MATCH(Q251,'G-1 All Habitats'!$AF$27:$AF$41,0)),"")</f>
        <v/>
      </c>
      <c r="Q251" s="162" t="str">
        <f t="shared" si="35"/>
        <v/>
      </c>
      <c r="R251" s="162"/>
      <c r="S251" s="252" t="str">
        <f>IFERROR(INDEX('G-1 All Habitats'!$B$3:$B$135,MATCH(R251,'G-1 All Habitats'!$A$3:$A$135,0)),"")</f>
        <v/>
      </c>
      <c r="T251" s="290" t="str">
        <f t="shared" si="36"/>
        <v/>
      </c>
      <c r="U251" s="291" t="str">
        <f t="shared" si="37"/>
        <v/>
      </c>
      <c r="V251" s="325" t="str">
        <f t="shared" si="33"/>
        <v/>
      </c>
      <c r="W251" s="310" t="str">
        <f>IF(S251="","",VLOOKUP(S251,'G-1 All Habitats'!$B$2:$M$135,10,FALSE))</f>
        <v/>
      </c>
      <c r="X251" s="310" t="str">
        <f>IFERROR(VLOOKUP(W251,'G-1 All Habitats'!$V$3:$W$7,2,FALSE),"")</f>
        <v/>
      </c>
      <c r="Y251" s="45"/>
      <c r="Z251" s="314" t="str">
        <f>IFERROR(INDEX('G-8 Condition Look up'!$A$3:$H$135,MATCH(S251,'G-8 Condition Look up'!$A$3:$A$135,0),MATCH(Y251,'G-8 Condition Look up'!$A$3:$H$3,0)),"")</f>
        <v/>
      </c>
      <c r="AA251" s="38"/>
      <c r="AB251" s="310" t="str">
        <f>IF(AA251="","",IF(VLOOKUP(AA251,'G-3 Multipliers'!$L$3:$N$6,2,FALSE)=0,"Spatial Data Missing ⚠",VLOOKUP(AA251,'G-3 Multipliers'!$L$3:$N$6,2,FALSE)))</f>
        <v/>
      </c>
      <c r="AC251" s="314" t="str">
        <f>IF(AA251="","",IF(VLOOKUP(AA251,'G-3 Multipliers'!$L$3:$N$6,3,FALSE)=0,"Spatial Data Missing ⚠",VLOOKUP(AA251,'G-3 Multipliers'!$L$3:$N$6,3,FALSE)))</f>
        <v/>
      </c>
      <c r="AD251" s="327" t="str">
        <f t="shared" si="34"/>
        <v/>
      </c>
      <c r="AE251" s="47"/>
      <c r="AF251" s="47"/>
      <c r="AG251" s="298" t="str">
        <f t="shared" si="38"/>
        <v/>
      </c>
      <c r="AH251" s="311" t="str">
        <f t="shared" si="39"/>
        <v/>
      </c>
      <c r="AI251" s="312" t="str">
        <f>IF(AH251="Check Data","Check Data",IFERROR(VLOOKUP(AH251,'G-4 Temporal multipliers'!$A$4:$C$36,3,FALSE),""))</f>
        <v/>
      </c>
      <c r="AJ251" s="290" t="str">
        <f>IF(S251="","",VLOOKUP(S251,'G-3 Multipliers'!$A$2:$E$134,4,FALSE))</f>
        <v/>
      </c>
      <c r="AK251" s="298" t="str">
        <f t="shared" si="40"/>
        <v/>
      </c>
      <c r="AL251" s="298" t="str">
        <f t="shared" si="41"/>
        <v/>
      </c>
      <c r="AM251" s="328" t="str">
        <f>IFERROR(IF(F251="","",IF(AH251="Check Data ⚠","Check Data ⚠",VLOOKUP(AL251, 'G-3 Multipliers'!$P$2:$Q$6,2,FALSE))),"")</f>
        <v/>
      </c>
      <c r="AN251" s="304" t="str">
        <f t="shared" si="42"/>
        <v/>
      </c>
      <c r="AO251" s="163"/>
      <c r="AP251" s="164"/>
      <c r="AQ251" s="101"/>
      <c r="AT251" s="20" t="str">
        <f t="shared" si="43"/>
        <v>No</v>
      </c>
      <c r="AU251" s="20" t="str">
        <f>IF(E251="","",IF(ISNA(VLOOKUP($E251,'A-1 On-Site Habitat Baseline'!$D$1:$AV$258,4,FALSE)),"",(VLOOKUP($E251,'A-1 On-Site Habitat Baseline'!$D$1:$AV$258,4,FALSE))))</f>
        <v/>
      </c>
    </row>
    <row r="252" spans="1:47" x14ac:dyDescent="0.3">
      <c r="A252" s="20" t="str">
        <f>IF(E252="","",IF(ISNA(VLOOKUP($E252,'A-1 On-Site Habitat Baseline'!$D$1:$O$258,2,FALSE)),"",(VLOOKUP($E252,'A-1 On-Site Habitat Baseline'!$D$1:$O$258,2,FALSE))))</f>
        <v/>
      </c>
      <c r="B252" s="20" t="str">
        <f>IF(E252="","",IF(ISNA(VLOOKUP($E252,'A-1 On-Site Habitat Baseline'!$D$1:$O$258,3,FALSE)),"",(VLOOKUP($E252,'A-1 On-Site Habitat Baseline'!$D$1:$O$258,3,FALSE))))</f>
        <v/>
      </c>
      <c r="C252" s="20" t="str">
        <f>IFERROR(INDEX('G-8 Condition Look up'!$I$4:$I$135,MATCH(S252,'G-8 Condition Look up'!$A$4:$A$135,0)),"")</f>
        <v/>
      </c>
      <c r="E252" s="319" t="str">
        <f>'A-1 On-Site Habitat Baseline'!AL251</f>
        <v/>
      </c>
      <c r="F252" s="310" t="str">
        <f>IF(E252="","",IF(ISNA(VLOOKUP($E252,'A-1 On-Site Habitat Baseline'!$D$1:$AV$258,45,FALSE)),"",(VLOOKUP($E252,'A-1 On-Site Habitat Baseline'!$D$1:$AV$258,45,FALSE))))</f>
        <v/>
      </c>
      <c r="G252" s="310" t="str">
        <f>IF(E252="","",IF(ISNA(VLOOKUP($E252,'A-1 On-Site Habitat Baseline'!$D$1:$O$258,5,FALSE)),"",(VLOOKUP($E252,'A-1 On-Site Habitat Baseline'!$D$1:$O$258,5,FALSE))))</f>
        <v/>
      </c>
      <c r="H252" s="310" t="str">
        <f>IF(E252="","",IF(ISNA(VLOOKUP($E252,'A-1 On-Site Habitat Baseline'!$D$1:$O$258,6,FALSE)),"",(VLOOKUP($E252,'A-1 On-Site Habitat Baseline'!$D$1:$O$258,6,FALSE))))</f>
        <v/>
      </c>
      <c r="I252" s="310" t="str">
        <f>IF(E252="","",IF(ISNA(VLOOKUP($E252,'A-1 On-Site Habitat Baseline'!$D$1:$O$258,7,FALSE)),"",(VLOOKUP($E252,'A-1 On-Site Habitat Baseline'!$D$1:$O$258,7,FALSE))))</f>
        <v/>
      </c>
      <c r="J252" s="310" t="str">
        <f>IF(E252="","",IF(ISNA(VLOOKUP($E252,'A-1 On-Site Habitat Baseline'!$D$1:$O$258,8,FALSE)),"",(VLOOKUP($E252,'A-1 On-Site Habitat Baseline'!$D$1:$O$258,8,FALSE))))</f>
        <v/>
      </c>
      <c r="K252" s="310" t="str">
        <f>IF(E252="","",IF(ISNA(VLOOKUP($E252,'A-1 On-Site Habitat Baseline'!$D$1:$O$258,9,FALSE)),"",(VLOOKUP($E252,'A-1 On-Site Habitat Baseline'!$D$1:$O$258,9,FALSE))))</f>
        <v/>
      </c>
      <c r="L252" s="310" t="str">
        <f>IF(E252="","",IF(ISNA(VLOOKUP($E252,'A-1 On-Site Habitat Baseline'!$D$1:$O$258,11,FALSE)),"",(VLOOKUP($E252,'A-1 On-Site Habitat Baseline'!$D$1:$O$258,11,FALSE))))</f>
        <v/>
      </c>
      <c r="M252" s="310" t="str">
        <f>IF(E252="","",IF(ISNA(VLOOKUP($E252,'A-1 On-Site Habitat Baseline'!$D$1:$O$258,12,FALSE)),"",(VLOOKUP($E252,'A-1 On-Site Habitat Baseline'!$D$1:$O$258,12,FALSE))))</f>
        <v/>
      </c>
      <c r="N252" s="320" t="str">
        <f>IF(E252="","",IF(ISNA(VLOOKUP($E252,'A-1 On-Site Habitat Baseline'!$D$1:$X$258,14,FALSE)),"",(VLOOKUP($E252,'A-1 On-Site Habitat Baseline'!$D$1:$X$258,14,FALSE))))</f>
        <v/>
      </c>
      <c r="O252" s="314" t="str">
        <f>IF(E252="","",IF(ISNA(VLOOKUP($E252,'A-1 On-Site Habitat Baseline'!$D$1:$X$258,16,FALSE)),"",(VLOOKUP($E252,'A-1 On-Site Habitat Baseline'!$D$1:$X$258,13,FALSE))))</f>
        <v/>
      </c>
      <c r="P252" s="161" t="str">
        <f>IFERROR(INDEX('G-1 All Habitats'!$AG$49:$AG$63,MATCH(Q252,'G-1 All Habitats'!$AF$27:$AF$41,0)),"")</f>
        <v/>
      </c>
      <c r="Q252" s="162" t="str">
        <f t="shared" si="35"/>
        <v/>
      </c>
      <c r="R252" s="162"/>
      <c r="S252" s="252" t="str">
        <f>IFERROR(INDEX('G-1 All Habitats'!$B$3:$B$135,MATCH(R252,'G-1 All Habitats'!$A$3:$A$135,0)),"")</f>
        <v/>
      </c>
      <c r="T252" s="290" t="str">
        <f t="shared" si="36"/>
        <v/>
      </c>
      <c r="U252" s="291" t="str">
        <f t="shared" si="37"/>
        <v/>
      </c>
      <c r="V252" s="325" t="str">
        <f t="shared" si="33"/>
        <v/>
      </c>
      <c r="W252" s="310" t="str">
        <f>IF(S252="","",VLOOKUP(S252,'G-1 All Habitats'!$B$2:$M$135,10,FALSE))</f>
        <v/>
      </c>
      <c r="X252" s="310" t="str">
        <f>IFERROR(VLOOKUP(W252,'G-1 All Habitats'!$V$3:$W$7,2,FALSE),"")</f>
        <v/>
      </c>
      <c r="Y252" s="45"/>
      <c r="Z252" s="314" t="str">
        <f>IFERROR(INDEX('G-8 Condition Look up'!$A$3:$H$135,MATCH(S252,'G-8 Condition Look up'!$A$3:$A$135,0),MATCH(Y252,'G-8 Condition Look up'!$A$3:$H$3,0)),"")</f>
        <v/>
      </c>
      <c r="AA252" s="38"/>
      <c r="AB252" s="310" t="str">
        <f>IF(AA252="","",IF(VLOOKUP(AA252,'G-3 Multipliers'!$L$3:$N$6,2,FALSE)=0,"Spatial Data Missing ⚠",VLOOKUP(AA252,'G-3 Multipliers'!$L$3:$N$6,2,FALSE)))</f>
        <v/>
      </c>
      <c r="AC252" s="314" t="str">
        <f>IF(AA252="","",IF(VLOOKUP(AA252,'G-3 Multipliers'!$L$3:$N$6,3,FALSE)=0,"Spatial Data Missing ⚠",VLOOKUP(AA252,'G-3 Multipliers'!$L$3:$N$6,3,FALSE)))</f>
        <v/>
      </c>
      <c r="AD252" s="327" t="str">
        <f t="shared" si="34"/>
        <v/>
      </c>
      <c r="AE252" s="47"/>
      <c r="AF252" s="47"/>
      <c r="AG252" s="298" t="str">
        <f t="shared" si="38"/>
        <v/>
      </c>
      <c r="AH252" s="311" t="str">
        <f t="shared" si="39"/>
        <v/>
      </c>
      <c r="AI252" s="312" t="str">
        <f>IF(AH252="Check Data","Check Data",IFERROR(VLOOKUP(AH252,'G-4 Temporal multipliers'!$A$4:$C$36,3,FALSE),""))</f>
        <v/>
      </c>
      <c r="AJ252" s="290" t="str">
        <f>IF(S252="","",VLOOKUP(S252,'G-3 Multipliers'!$A$2:$E$134,4,FALSE))</f>
        <v/>
      </c>
      <c r="AK252" s="298" t="str">
        <f t="shared" si="40"/>
        <v/>
      </c>
      <c r="AL252" s="298" t="str">
        <f t="shared" si="41"/>
        <v/>
      </c>
      <c r="AM252" s="328" t="str">
        <f>IFERROR(IF(F252="","",IF(AH252="Check Data ⚠","Check Data ⚠",VLOOKUP(AL252, 'G-3 Multipliers'!$P$2:$Q$6,2,FALSE))),"")</f>
        <v/>
      </c>
      <c r="AN252" s="304" t="str">
        <f t="shared" si="42"/>
        <v/>
      </c>
      <c r="AO252" s="163"/>
      <c r="AP252" s="164"/>
      <c r="AQ252" s="101"/>
      <c r="AT252" s="20" t="str">
        <f t="shared" si="43"/>
        <v>No</v>
      </c>
      <c r="AU252" s="20" t="str">
        <f>IF(E252="","",IF(ISNA(VLOOKUP($E252,'A-1 On-Site Habitat Baseline'!$D$1:$AV$258,4,FALSE)),"",(VLOOKUP($E252,'A-1 On-Site Habitat Baseline'!$D$1:$AV$258,4,FALSE))))</f>
        <v/>
      </c>
    </row>
    <row r="253" spans="1:47" x14ac:dyDescent="0.3">
      <c r="A253" s="20" t="str">
        <f>IF(E253="","",IF(ISNA(VLOOKUP($E253,'A-1 On-Site Habitat Baseline'!$D$1:$O$258,2,FALSE)),"",(VLOOKUP($E253,'A-1 On-Site Habitat Baseline'!$D$1:$O$258,2,FALSE))))</f>
        <v/>
      </c>
      <c r="B253" s="20" t="str">
        <f>IF(E253="","",IF(ISNA(VLOOKUP($E253,'A-1 On-Site Habitat Baseline'!$D$1:$O$258,3,FALSE)),"",(VLOOKUP($E253,'A-1 On-Site Habitat Baseline'!$D$1:$O$258,3,FALSE))))</f>
        <v/>
      </c>
      <c r="C253" s="20" t="str">
        <f>IFERROR(INDEX('G-8 Condition Look up'!$I$4:$I$135,MATCH(S253,'G-8 Condition Look up'!$A$4:$A$135,0)),"")</f>
        <v/>
      </c>
      <c r="E253" s="319" t="str">
        <f>'A-1 On-Site Habitat Baseline'!AL252</f>
        <v/>
      </c>
      <c r="F253" s="310" t="str">
        <f>IF(E253="","",IF(ISNA(VLOOKUP($E253,'A-1 On-Site Habitat Baseline'!$D$1:$AV$258,45,FALSE)),"",(VLOOKUP($E253,'A-1 On-Site Habitat Baseline'!$D$1:$AV$258,45,FALSE))))</f>
        <v/>
      </c>
      <c r="G253" s="310" t="str">
        <f>IF(E253="","",IF(ISNA(VLOOKUP($E253,'A-1 On-Site Habitat Baseline'!$D$1:$O$258,5,FALSE)),"",(VLOOKUP($E253,'A-1 On-Site Habitat Baseline'!$D$1:$O$258,5,FALSE))))</f>
        <v/>
      </c>
      <c r="H253" s="310" t="str">
        <f>IF(E253="","",IF(ISNA(VLOOKUP($E253,'A-1 On-Site Habitat Baseline'!$D$1:$O$258,6,FALSE)),"",(VLOOKUP($E253,'A-1 On-Site Habitat Baseline'!$D$1:$O$258,6,FALSE))))</f>
        <v/>
      </c>
      <c r="I253" s="310" t="str">
        <f>IF(E253="","",IF(ISNA(VLOOKUP($E253,'A-1 On-Site Habitat Baseline'!$D$1:$O$258,7,FALSE)),"",(VLOOKUP($E253,'A-1 On-Site Habitat Baseline'!$D$1:$O$258,7,FALSE))))</f>
        <v/>
      </c>
      <c r="J253" s="310" t="str">
        <f>IF(E253="","",IF(ISNA(VLOOKUP($E253,'A-1 On-Site Habitat Baseline'!$D$1:$O$258,8,FALSE)),"",(VLOOKUP($E253,'A-1 On-Site Habitat Baseline'!$D$1:$O$258,8,FALSE))))</f>
        <v/>
      </c>
      <c r="K253" s="310" t="str">
        <f>IF(E253="","",IF(ISNA(VLOOKUP($E253,'A-1 On-Site Habitat Baseline'!$D$1:$O$258,9,FALSE)),"",(VLOOKUP($E253,'A-1 On-Site Habitat Baseline'!$D$1:$O$258,9,FALSE))))</f>
        <v/>
      </c>
      <c r="L253" s="310" t="str">
        <f>IF(E253="","",IF(ISNA(VLOOKUP($E253,'A-1 On-Site Habitat Baseline'!$D$1:$O$258,11,FALSE)),"",(VLOOKUP($E253,'A-1 On-Site Habitat Baseline'!$D$1:$O$258,11,FALSE))))</f>
        <v/>
      </c>
      <c r="M253" s="310" t="str">
        <f>IF(E253="","",IF(ISNA(VLOOKUP($E253,'A-1 On-Site Habitat Baseline'!$D$1:$O$258,12,FALSE)),"",(VLOOKUP($E253,'A-1 On-Site Habitat Baseline'!$D$1:$O$258,12,FALSE))))</f>
        <v/>
      </c>
      <c r="N253" s="320" t="str">
        <f>IF(E253="","",IF(ISNA(VLOOKUP($E253,'A-1 On-Site Habitat Baseline'!$D$1:$X$258,14,FALSE)),"",(VLOOKUP($E253,'A-1 On-Site Habitat Baseline'!$D$1:$X$258,14,FALSE))))</f>
        <v/>
      </c>
      <c r="O253" s="314" t="str">
        <f>IF(E253="","",IF(ISNA(VLOOKUP($E253,'A-1 On-Site Habitat Baseline'!$D$1:$X$258,16,FALSE)),"",(VLOOKUP($E253,'A-1 On-Site Habitat Baseline'!$D$1:$X$258,13,FALSE))))</f>
        <v/>
      </c>
      <c r="P253" s="161" t="str">
        <f>IFERROR(INDEX('G-1 All Habitats'!$AG$49:$AG$63,MATCH(Q253,'G-1 All Habitats'!$AF$27:$AF$41,0)),"")</f>
        <v/>
      </c>
      <c r="Q253" s="162" t="str">
        <f t="shared" si="35"/>
        <v/>
      </c>
      <c r="R253" s="162"/>
      <c r="S253" s="252" t="str">
        <f>IFERROR(INDEX('G-1 All Habitats'!$B$3:$B$135,MATCH(R253,'G-1 All Habitats'!$A$3:$A$135,0)),"")</f>
        <v/>
      </c>
      <c r="T253" s="290" t="str">
        <f t="shared" si="36"/>
        <v/>
      </c>
      <c r="U253" s="291" t="str">
        <f t="shared" si="37"/>
        <v/>
      </c>
      <c r="V253" s="325" t="str">
        <f t="shared" si="33"/>
        <v/>
      </c>
      <c r="W253" s="310" t="str">
        <f>IF(S253="","",VLOOKUP(S253,'G-1 All Habitats'!$B$2:$M$135,10,FALSE))</f>
        <v/>
      </c>
      <c r="X253" s="310" t="str">
        <f>IFERROR(VLOOKUP(W253,'G-1 All Habitats'!$V$3:$W$7,2,FALSE),"")</f>
        <v/>
      </c>
      <c r="Y253" s="45"/>
      <c r="Z253" s="314" t="str">
        <f>IFERROR(INDEX('G-8 Condition Look up'!$A$3:$H$135,MATCH(S253,'G-8 Condition Look up'!$A$3:$A$135,0),MATCH(Y253,'G-8 Condition Look up'!$A$3:$H$3,0)),"")</f>
        <v/>
      </c>
      <c r="AA253" s="38"/>
      <c r="AB253" s="310" t="str">
        <f>IF(AA253="","",IF(VLOOKUP(AA253,'G-3 Multipliers'!$L$3:$N$6,2,FALSE)=0,"Spatial Data Missing ⚠",VLOOKUP(AA253,'G-3 Multipliers'!$L$3:$N$6,2,FALSE)))</f>
        <v/>
      </c>
      <c r="AC253" s="314" t="str">
        <f>IF(AA253="","",IF(VLOOKUP(AA253,'G-3 Multipliers'!$L$3:$N$6,3,FALSE)=0,"Spatial Data Missing ⚠",VLOOKUP(AA253,'G-3 Multipliers'!$L$3:$N$6,3,FALSE)))</f>
        <v/>
      </c>
      <c r="AD253" s="327" t="str">
        <f t="shared" si="34"/>
        <v/>
      </c>
      <c r="AE253" s="47"/>
      <c r="AF253" s="47"/>
      <c r="AG253" s="298" t="str">
        <f t="shared" si="38"/>
        <v/>
      </c>
      <c r="AH253" s="311" t="str">
        <f t="shared" si="39"/>
        <v/>
      </c>
      <c r="AI253" s="312" t="str">
        <f>IF(AH253="Check Data","Check Data",IFERROR(VLOOKUP(AH253,'G-4 Temporal multipliers'!$A$4:$C$36,3,FALSE),""))</f>
        <v/>
      </c>
      <c r="AJ253" s="290" t="str">
        <f>IF(S253="","",VLOOKUP(S253,'G-3 Multipliers'!$A$2:$E$134,4,FALSE))</f>
        <v/>
      </c>
      <c r="AK253" s="298" t="str">
        <f t="shared" si="40"/>
        <v/>
      </c>
      <c r="AL253" s="298" t="str">
        <f t="shared" si="41"/>
        <v/>
      </c>
      <c r="AM253" s="328" t="str">
        <f>IFERROR(IF(F253="","",IF(AH253="Check Data ⚠","Check Data ⚠",VLOOKUP(AL253, 'G-3 Multipliers'!$P$2:$Q$6,2,FALSE))),"")</f>
        <v/>
      </c>
      <c r="AN253" s="304" t="str">
        <f t="shared" si="42"/>
        <v/>
      </c>
      <c r="AO253" s="163"/>
      <c r="AP253" s="164"/>
      <c r="AQ253" s="101"/>
      <c r="AT253" s="20" t="str">
        <f t="shared" si="43"/>
        <v>No</v>
      </c>
      <c r="AU253" s="20" t="str">
        <f>IF(E253="","",IF(ISNA(VLOOKUP($E253,'A-1 On-Site Habitat Baseline'!$D$1:$AV$258,4,FALSE)),"",(VLOOKUP($E253,'A-1 On-Site Habitat Baseline'!$D$1:$AV$258,4,FALSE))))</f>
        <v/>
      </c>
    </row>
    <row r="254" spans="1:47" x14ac:dyDescent="0.3">
      <c r="A254" s="20" t="str">
        <f>IF(E254="","",IF(ISNA(VLOOKUP($E254,'A-1 On-Site Habitat Baseline'!$D$1:$O$258,2,FALSE)),"",(VLOOKUP($E254,'A-1 On-Site Habitat Baseline'!$D$1:$O$258,2,FALSE))))</f>
        <v/>
      </c>
      <c r="B254" s="20" t="str">
        <f>IF(E254="","",IF(ISNA(VLOOKUP($E254,'A-1 On-Site Habitat Baseline'!$D$1:$O$258,3,FALSE)),"",(VLOOKUP($E254,'A-1 On-Site Habitat Baseline'!$D$1:$O$258,3,FALSE))))</f>
        <v/>
      </c>
      <c r="C254" s="20" t="str">
        <f>IFERROR(INDEX('G-8 Condition Look up'!$I$4:$I$135,MATCH(S254,'G-8 Condition Look up'!$A$4:$A$135,0)),"")</f>
        <v/>
      </c>
      <c r="E254" s="319" t="str">
        <f>'A-1 On-Site Habitat Baseline'!AL253</f>
        <v/>
      </c>
      <c r="F254" s="310" t="str">
        <f>IF(E254="","",IF(ISNA(VLOOKUP($E254,'A-1 On-Site Habitat Baseline'!$D$1:$AV$258,45,FALSE)),"",(VLOOKUP($E254,'A-1 On-Site Habitat Baseline'!$D$1:$AV$258,45,FALSE))))</f>
        <v/>
      </c>
      <c r="G254" s="310" t="str">
        <f>IF(E254="","",IF(ISNA(VLOOKUP($E254,'A-1 On-Site Habitat Baseline'!$D$1:$O$258,5,FALSE)),"",(VLOOKUP($E254,'A-1 On-Site Habitat Baseline'!$D$1:$O$258,5,FALSE))))</f>
        <v/>
      </c>
      <c r="H254" s="310" t="str">
        <f>IF(E254="","",IF(ISNA(VLOOKUP($E254,'A-1 On-Site Habitat Baseline'!$D$1:$O$258,6,FALSE)),"",(VLOOKUP($E254,'A-1 On-Site Habitat Baseline'!$D$1:$O$258,6,FALSE))))</f>
        <v/>
      </c>
      <c r="I254" s="310" t="str">
        <f>IF(E254="","",IF(ISNA(VLOOKUP($E254,'A-1 On-Site Habitat Baseline'!$D$1:$O$258,7,FALSE)),"",(VLOOKUP($E254,'A-1 On-Site Habitat Baseline'!$D$1:$O$258,7,FALSE))))</f>
        <v/>
      </c>
      <c r="J254" s="310" t="str">
        <f>IF(E254="","",IF(ISNA(VLOOKUP($E254,'A-1 On-Site Habitat Baseline'!$D$1:$O$258,8,FALSE)),"",(VLOOKUP($E254,'A-1 On-Site Habitat Baseline'!$D$1:$O$258,8,FALSE))))</f>
        <v/>
      </c>
      <c r="K254" s="310" t="str">
        <f>IF(E254="","",IF(ISNA(VLOOKUP($E254,'A-1 On-Site Habitat Baseline'!$D$1:$O$258,9,FALSE)),"",(VLOOKUP($E254,'A-1 On-Site Habitat Baseline'!$D$1:$O$258,9,FALSE))))</f>
        <v/>
      </c>
      <c r="L254" s="310" t="str">
        <f>IF(E254="","",IF(ISNA(VLOOKUP($E254,'A-1 On-Site Habitat Baseline'!$D$1:$O$258,11,FALSE)),"",(VLOOKUP($E254,'A-1 On-Site Habitat Baseline'!$D$1:$O$258,11,FALSE))))</f>
        <v/>
      </c>
      <c r="M254" s="310" t="str">
        <f>IF(E254="","",IF(ISNA(VLOOKUP($E254,'A-1 On-Site Habitat Baseline'!$D$1:$O$258,12,FALSE)),"",(VLOOKUP($E254,'A-1 On-Site Habitat Baseline'!$D$1:$O$258,12,FALSE))))</f>
        <v/>
      </c>
      <c r="N254" s="320" t="str">
        <f>IF(E254="","",IF(ISNA(VLOOKUP($E254,'A-1 On-Site Habitat Baseline'!$D$1:$X$258,14,FALSE)),"",(VLOOKUP($E254,'A-1 On-Site Habitat Baseline'!$D$1:$X$258,14,FALSE))))</f>
        <v/>
      </c>
      <c r="O254" s="314" t="str">
        <f>IF(E254="","",IF(ISNA(VLOOKUP($E254,'A-1 On-Site Habitat Baseline'!$D$1:$X$258,16,FALSE)),"",(VLOOKUP($E254,'A-1 On-Site Habitat Baseline'!$D$1:$X$258,13,FALSE))))</f>
        <v/>
      </c>
      <c r="P254" s="161" t="str">
        <f>IFERROR(INDEX('G-1 All Habitats'!$AG$49:$AG$63,MATCH(Q254,'G-1 All Habitats'!$AF$27:$AF$41,0)),"")</f>
        <v/>
      </c>
      <c r="Q254" s="162" t="str">
        <f t="shared" si="35"/>
        <v/>
      </c>
      <c r="R254" s="162"/>
      <c r="S254" s="252" t="str">
        <f>IFERROR(INDEX('G-1 All Habitats'!$B$3:$B$135,MATCH(R254,'G-1 All Habitats'!$A$3:$A$135,0)),"")</f>
        <v/>
      </c>
      <c r="T254" s="290" t="str">
        <f t="shared" si="36"/>
        <v/>
      </c>
      <c r="U254" s="291" t="str">
        <f t="shared" si="37"/>
        <v/>
      </c>
      <c r="V254" s="325" t="str">
        <f t="shared" si="33"/>
        <v/>
      </c>
      <c r="W254" s="310" t="str">
        <f>IF(S254="","",VLOOKUP(S254,'G-1 All Habitats'!$B$2:$M$135,10,FALSE))</f>
        <v/>
      </c>
      <c r="X254" s="310" t="str">
        <f>IFERROR(VLOOKUP(W254,'G-1 All Habitats'!$V$3:$W$7,2,FALSE),"")</f>
        <v/>
      </c>
      <c r="Y254" s="45"/>
      <c r="Z254" s="314" t="str">
        <f>IFERROR(INDEX('G-8 Condition Look up'!$A$3:$H$135,MATCH(S254,'G-8 Condition Look up'!$A$3:$A$135,0),MATCH(Y254,'G-8 Condition Look up'!$A$3:$H$3,0)),"")</f>
        <v/>
      </c>
      <c r="AA254" s="38"/>
      <c r="AB254" s="310" t="str">
        <f>IF(AA254="","",IF(VLOOKUP(AA254,'G-3 Multipliers'!$L$3:$N$6,2,FALSE)=0,"Spatial Data Missing ⚠",VLOOKUP(AA254,'G-3 Multipliers'!$L$3:$N$6,2,FALSE)))</f>
        <v/>
      </c>
      <c r="AC254" s="314" t="str">
        <f>IF(AA254="","",IF(VLOOKUP(AA254,'G-3 Multipliers'!$L$3:$N$6,3,FALSE)=0,"Spatial Data Missing ⚠",VLOOKUP(AA254,'G-3 Multipliers'!$L$3:$N$6,3,FALSE)))</f>
        <v/>
      </c>
      <c r="AD254" s="327" t="str">
        <f t="shared" si="34"/>
        <v/>
      </c>
      <c r="AE254" s="47"/>
      <c r="AF254" s="47"/>
      <c r="AG254" s="298" t="str">
        <f t="shared" si="38"/>
        <v/>
      </c>
      <c r="AH254" s="311" t="str">
        <f t="shared" si="39"/>
        <v/>
      </c>
      <c r="AI254" s="312" t="str">
        <f>IF(AH254="Check Data","Check Data",IFERROR(VLOOKUP(AH254,'G-4 Temporal multipliers'!$A$4:$C$36,3,FALSE),""))</f>
        <v/>
      </c>
      <c r="AJ254" s="290" t="str">
        <f>IF(S254="","",VLOOKUP(S254,'G-3 Multipliers'!$A$2:$E$134,4,FALSE))</f>
        <v/>
      </c>
      <c r="AK254" s="298" t="str">
        <f t="shared" si="40"/>
        <v/>
      </c>
      <c r="AL254" s="298" t="str">
        <f t="shared" si="41"/>
        <v/>
      </c>
      <c r="AM254" s="328" t="str">
        <f>IFERROR(IF(F254="","",IF(AH254="Check Data ⚠","Check Data ⚠",VLOOKUP(AL254, 'G-3 Multipliers'!$P$2:$Q$6,2,FALSE))),"")</f>
        <v/>
      </c>
      <c r="AN254" s="304" t="str">
        <f t="shared" si="42"/>
        <v/>
      </c>
      <c r="AO254" s="163"/>
      <c r="AP254" s="164"/>
      <c r="AQ254" s="101"/>
      <c r="AT254" s="20" t="str">
        <f t="shared" si="43"/>
        <v>No</v>
      </c>
      <c r="AU254" s="20" t="str">
        <f>IF(E254="","",IF(ISNA(VLOOKUP($E254,'A-1 On-Site Habitat Baseline'!$D$1:$AV$258,4,FALSE)),"",(VLOOKUP($E254,'A-1 On-Site Habitat Baseline'!$D$1:$AV$258,4,FALSE))))</f>
        <v/>
      </c>
    </row>
    <row r="255" spans="1:47" x14ac:dyDescent="0.3">
      <c r="A255" s="20" t="str">
        <f>IF(E255="","",IF(ISNA(VLOOKUP($E255,'A-1 On-Site Habitat Baseline'!$D$1:$O$258,2,FALSE)),"",(VLOOKUP($E255,'A-1 On-Site Habitat Baseline'!$D$1:$O$258,2,FALSE))))</f>
        <v/>
      </c>
      <c r="B255" s="20" t="str">
        <f>IF(E255="","",IF(ISNA(VLOOKUP($E255,'A-1 On-Site Habitat Baseline'!$D$1:$O$258,3,FALSE)),"",(VLOOKUP($E255,'A-1 On-Site Habitat Baseline'!$D$1:$O$258,3,FALSE))))</f>
        <v/>
      </c>
      <c r="C255" s="20" t="str">
        <f>IFERROR(INDEX('G-8 Condition Look up'!$I$4:$I$135,MATCH(S255,'G-8 Condition Look up'!$A$4:$A$135,0)),"")</f>
        <v/>
      </c>
      <c r="E255" s="319" t="str">
        <f>'A-1 On-Site Habitat Baseline'!AL254</f>
        <v/>
      </c>
      <c r="F255" s="310" t="str">
        <f>IF(E255="","",IF(ISNA(VLOOKUP($E255,'A-1 On-Site Habitat Baseline'!$D$1:$AV$258,45,FALSE)),"",(VLOOKUP($E255,'A-1 On-Site Habitat Baseline'!$D$1:$AV$258,45,FALSE))))</f>
        <v/>
      </c>
      <c r="G255" s="310" t="str">
        <f>IF(E255="","",IF(ISNA(VLOOKUP($E255,'A-1 On-Site Habitat Baseline'!$D$1:$O$258,5,FALSE)),"",(VLOOKUP($E255,'A-1 On-Site Habitat Baseline'!$D$1:$O$258,5,FALSE))))</f>
        <v/>
      </c>
      <c r="H255" s="310" t="str">
        <f>IF(E255="","",IF(ISNA(VLOOKUP($E255,'A-1 On-Site Habitat Baseline'!$D$1:$O$258,6,FALSE)),"",(VLOOKUP($E255,'A-1 On-Site Habitat Baseline'!$D$1:$O$258,6,FALSE))))</f>
        <v/>
      </c>
      <c r="I255" s="310" t="str">
        <f>IF(E255="","",IF(ISNA(VLOOKUP($E255,'A-1 On-Site Habitat Baseline'!$D$1:$O$258,7,FALSE)),"",(VLOOKUP($E255,'A-1 On-Site Habitat Baseline'!$D$1:$O$258,7,FALSE))))</f>
        <v/>
      </c>
      <c r="J255" s="310" t="str">
        <f>IF(E255="","",IF(ISNA(VLOOKUP($E255,'A-1 On-Site Habitat Baseline'!$D$1:$O$258,8,FALSE)),"",(VLOOKUP($E255,'A-1 On-Site Habitat Baseline'!$D$1:$O$258,8,FALSE))))</f>
        <v/>
      </c>
      <c r="K255" s="310" t="str">
        <f>IF(E255="","",IF(ISNA(VLOOKUP($E255,'A-1 On-Site Habitat Baseline'!$D$1:$O$258,9,FALSE)),"",(VLOOKUP($E255,'A-1 On-Site Habitat Baseline'!$D$1:$O$258,9,FALSE))))</f>
        <v/>
      </c>
      <c r="L255" s="310" t="str">
        <f>IF(E255="","",IF(ISNA(VLOOKUP($E255,'A-1 On-Site Habitat Baseline'!$D$1:$O$258,11,FALSE)),"",(VLOOKUP($E255,'A-1 On-Site Habitat Baseline'!$D$1:$O$258,11,FALSE))))</f>
        <v/>
      </c>
      <c r="M255" s="310" t="str">
        <f>IF(E255="","",IF(ISNA(VLOOKUP($E255,'A-1 On-Site Habitat Baseline'!$D$1:$O$258,12,FALSE)),"",(VLOOKUP($E255,'A-1 On-Site Habitat Baseline'!$D$1:$O$258,12,FALSE))))</f>
        <v/>
      </c>
      <c r="N255" s="320" t="str">
        <f>IF(E255="","",IF(ISNA(VLOOKUP($E255,'A-1 On-Site Habitat Baseline'!$D$1:$X$258,14,FALSE)),"",(VLOOKUP($E255,'A-1 On-Site Habitat Baseline'!$D$1:$X$258,14,FALSE))))</f>
        <v/>
      </c>
      <c r="O255" s="314" t="str">
        <f>IF(E255="","",IF(ISNA(VLOOKUP($E255,'A-1 On-Site Habitat Baseline'!$D$1:$X$258,16,FALSE)),"",(VLOOKUP($E255,'A-1 On-Site Habitat Baseline'!$D$1:$X$258,13,FALSE))))</f>
        <v/>
      </c>
      <c r="P255" s="161" t="str">
        <f>IFERROR(INDEX('G-1 All Habitats'!$AG$49:$AG$63,MATCH(Q255,'G-1 All Habitats'!$AF$27:$AF$41,0)),"")</f>
        <v/>
      </c>
      <c r="Q255" s="162" t="str">
        <f t="shared" si="35"/>
        <v/>
      </c>
      <c r="R255" s="162"/>
      <c r="S255" s="252" t="str">
        <f>IFERROR(INDEX('G-1 All Habitats'!$B$3:$B$135,MATCH(R255,'G-1 All Habitats'!$A$3:$A$135,0)),"")</f>
        <v/>
      </c>
      <c r="T255" s="290" t="str">
        <f t="shared" si="36"/>
        <v/>
      </c>
      <c r="U255" s="291" t="str">
        <f t="shared" si="37"/>
        <v/>
      </c>
      <c r="V255" s="325" t="str">
        <f t="shared" si="33"/>
        <v/>
      </c>
      <c r="W255" s="310" t="str">
        <f>IF(S255="","",VLOOKUP(S255,'G-1 All Habitats'!$B$2:$M$135,10,FALSE))</f>
        <v/>
      </c>
      <c r="X255" s="310" t="str">
        <f>IFERROR(VLOOKUP(W255,'G-1 All Habitats'!$V$3:$W$7,2,FALSE),"")</f>
        <v/>
      </c>
      <c r="Y255" s="45"/>
      <c r="Z255" s="314" t="str">
        <f>IFERROR(INDEX('G-8 Condition Look up'!$A$3:$H$135,MATCH(S255,'G-8 Condition Look up'!$A$3:$A$135,0),MATCH(Y255,'G-8 Condition Look up'!$A$3:$H$3,0)),"")</f>
        <v/>
      </c>
      <c r="AA255" s="38"/>
      <c r="AB255" s="310" t="str">
        <f>IF(AA255="","",IF(VLOOKUP(AA255,'G-3 Multipliers'!$L$3:$N$6,2,FALSE)=0,"Spatial Data Missing ⚠",VLOOKUP(AA255,'G-3 Multipliers'!$L$3:$N$6,2,FALSE)))</f>
        <v/>
      </c>
      <c r="AC255" s="314" t="str">
        <f>IF(AA255="","",IF(VLOOKUP(AA255,'G-3 Multipliers'!$L$3:$N$6,3,FALSE)=0,"Spatial Data Missing ⚠",VLOOKUP(AA255,'G-3 Multipliers'!$L$3:$N$6,3,FALSE)))</f>
        <v/>
      </c>
      <c r="AD255" s="327" t="str">
        <f t="shared" si="34"/>
        <v/>
      </c>
      <c r="AE255" s="47"/>
      <c r="AF255" s="47"/>
      <c r="AG255" s="298" t="str">
        <f t="shared" si="38"/>
        <v/>
      </c>
      <c r="AH255" s="311" t="str">
        <f t="shared" si="39"/>
        <v/>
      </c>
      <c r="AI255" s="312" t="str">
        <f>IF(AH255="Check Data","Check Data",IFERROR(VLOOKUP(AH255,'G-4 Temporal multipliers'!$A$4:$C$36,3,FALSE),""))</f>
        <v/>
      </c>
      <c r="AJ255" s="290" t="str">
        <f>IF(S255="","",VLOOKUP(S255,'G-3 Multipliers'!$A$2:$E$134,4,FALSE))</f>
        <v/>
      </c>
      <c r="AK255" s="298" t="str">
        <f t="shared" si="40"/>
        <v/>
      </c>
      <c r="AL255" s="298" t="str">
        <f t="shared" si="41"/>
        <v/>
      </c>
      <c r="AM255" s="328" t="str">
        <f>IFERROR(IF(F255="","",IF(AH255="Check Data ⚠","Check Data ⚠",VLOOKUP(AL255, 'G-3 Multipliers'!$P$2:$Q$6,2,FALSE))),"")</f>
        <v/>
      </c>
      <c r="AN255" s="304" t="str">
        <f t="shared" si="42"/>
        <v/>
      </c>
      <c r="AO255" s="163"/>
      <c r="AP255" s="164"/>
      <c r="AQ255" s="101"/>
      <c r="AT255" s="20" t="str">
        <f t="shared" si="43"/>
        <v>No</v>
      </c>
      <c r="AU255" s="20" t="str">
        <f>IF(E255="","",IF(ISNA(VLOOKUP($E255,'A-1 On-Site Habitat Baseline'!$D$1:$AV$258,4,FALSE)),"",(VLOOKUP($E255,'A-1 On-Site Habitat Baseline'!$D$1:$AV$258,4,FALSE))))</f>
        <v/>
      </c>
    </row>
    <row r="256" spans="1:47" x14ac:dyDescent="0.3">
      <c r="A256" s="20" t="str">
        <f>IF(E256="","",IF(ISNA(VLOOKUP($E256,'A-1 On-Site Habitat Baseline'!$D$1:$O$258,2,FALSE)),"",(VLOOKUP($E256,'A-1 On-Site Habitat Baseline'!$D$1:$O$258,2,FALSE))))</f>
        <v/>
      </c>
      <c r="B256" s="20" t="str">
        <f>IF(E256="","",IF(ISNA(VLOOKUP($E256,'A-1 On-Site Habitat Baseline'!$D$1:$O$258,3,FALSE)),"",(VLOOKUP($E256,'A-1 On-Site Habitat Baseline'!$D$1:$O$258,3,FALSE))))</f>
        <v/>
      </c>
      <c r="C256" s="20" t="str">
        <f>IFERROR(INDEX('G-8 Condition Look up'!$I$4:$I$135,MATCH(S256,'G-8 Condition Look up'!$A$4:$A$135,0)),"")</f>
        <v/>
      </c>
      <c r="E256" s="319" t="str">
        <f>'A-1 On-Site Habitat Baseline'!AL255</f>
        <v/>
      </c>
      <c r="F256" s="310" t="str">
        <f>IF(E256="","",IF(ISNA(VLOOKUP($E256,'A-1 On-Site Habitat Baseline'!$D$1:$AV$258,45,FALSE)),"",(VLOOKUP($E256,'A-1 On-Site Habitat Baseline'!$D$1:$AV$258,45,FALSE))))</f>
        <v/>
      </c>
      <c r="G256" s="310" t="str">
        <f>IF(E256="","",IF(ISNA(VLOOKUP($E256,'A-1 On-Site Habitat Baseline'!$D$1:$O$258,5,FALSE)),"",(VLOOKUP($E256,'A-1 On-Site Habitat Baseline'!$D$1:$O$258,5,FALSE))))</f>
        <v/>
      </c>
      <c r="H256" s="310" t="str">
        <f>IF(E256="","",IF(ISNA(VLOOKUP($E256,'A-1 On-Site Habitat Baseline'!$D$1:$O$258,6,FALSE)),"",(VLOOKUP($E256,'A-1 On-Site Habitat Baseline'!$D$1:$O$258,6,FALSE))))</f>
        <v/>
      </c>
      <c r="I256" s="310" t="str">
        <f>IF(E256="","",IF(ISNA(VLOOKUP($E256,'A-1 On-Site Habitat Baseline'!$D$1:$O$258,7,FALSE)),"",(VLOOKUP($E256,'A-1 On-Site Habitat Baseline'!$D$1:$O$258,7,FALSE))))</f>
        <v/>
      </c>
      <c r="J256" s="310" t="str">
        <f>IF(E256="","",IF(ISNA(VLOOKUP($E256,'A-1 On-Site Habitat Baseline'!$D$1:$O$258,8,FALSE)),"",(VLOOKUP($E256,'A-1 On-Site Habitat Baseline'!$D$1:$O$258,8,FALSE))))</f>
        <v/>
      </c>
      <c r="K256" s="310" t="str">
        <f>IF(E256="","",IF(ISNA(VLOOKUP($E256,'A-1 On-Site Habitat Baseline'!$D$1:$O$258,9,FALSE)),"",(VLOOKUP($E256,'A-1 On-Site Habitat Baseline'!$D$1:$O$258,9,FALSE))))</f>
        <v/>
      </c>
      <c r="L256" s="310" t="str">
        <f>IF(E256="","",IF(ISNA(VLOOKUP($E256,'A-1 On-Site Habitat Baseline'!$D$1:$O$258,11,FALSE)),"",(VLOOKUP($E256,'A-1 On-Site Habitat Baseline'!$D$1:$O$258,11,FALSE))))</f>
        <v/>
      </c>
      <c r="M256" s="310" t="str">
        <f>IF(E256="","",IF(ISNA(VLOOKUP($E256,'A-1 On-Site Habitat Baseline'!$D$1:$O$258,12,FALSE)),"",(VLOOKUP($E256,'A-1 On-Site Habitat Baseline'!$D$1:$O$258,12,FALSE))))</f>
        <v/>
      </c>
      <c r="N256" s="320" t="str">
        <f>IF(E256="","",IF(ISNA(VLOOKUP($E256,'A-1 On-Site Habitat Baseline'!$D$1:$X$258,14,FALSE)),"",(VLOOKUP($E256,'A-1 On-Site Habitat Baseline'!$D$1:$X$258,14,FALSE))))</f>
        <v/>
      </c>
      <c r="O256" s="314" t="str">
        <f>IF(E256="","",IF(ISNA(VLOOKUP($E256,'A-1 On-Site Habitat Baseline'!$D$1:$X$258,16,FALSE)),"",(VLOOKUP($E256,'A-1 On-Site Habitat Baseline'!$D$1:$X$258,13,FALSE))))</f>
        <v/>
      </c>
      <c r="P256" s="161" t="str">
        <f>IFERROR(INDEX('G-1 All Habitats'!$AG$49:$AG$63,MATCH(Q256,'G-1 All Habitats'!$AF$27:$AF$41,0)),"")</f>
        <v/>
      </c>
      <c r="Q256" s="162" t="str">
        <f t="shared" si="35"/>
        <v/>
      </c>
      <c r="R256" s="162"/>
      <c r="S256" s="252" t="str">
        <f>IFERROR(INDEX('G-1 All Habitats'!$B$3:$B$135,MATCH(R256,'G-1 All Habitats'!$A$3:$A$135,0)),"")</f>
        <v/>
      </c>
      <c r="T256" s="290" t="str">
        <f t="shared" si="36"/>
        <v/>
      </c>
      <c r="U256" s="291" t="str">
        <f t="shared" si="37"/>
        <v/>
      </c>
      <c r="V256" s="325" t="str">
        <f t="shared" si="33"/>
        <v/>
      </c>
      <c r="W256" s="310" t="str">
        <f>IF(S256="","",VLOOKUP(S256,'G-1 All Habitats'!$B$2:$M$135,10,FALSE))</f>
        <v/>
      </c>
      <c r="X256" s="310" t="str">
        <f>IFERROR(VLOOKUP(W256,'G-1 All Habitats'!$V$3:$W$7,2,FALSE),"")</f>
        <v/>
      </c>
      <c r="Y256" s="45"/>
      <c r="Z256" s="314" t="str">
        <f>IFERROR(INDEX('G-8 Condition Look up'!$A$3:$H$135,MATCH(S256,'G-8 Condition Look up'!$A$3:$A$135,0),MATCH(Y256,'G-8 Condition Look up'!$A$3:$H$3,0)),"")</f>
        <v/>
      </c>
      <c r="AA256" s="38"/>
      <c r="AB256" s="310" t="str">
        <f>IF(AA256="","",IF(VLOOKUP(AA256,'G-3 Multipliers'!$L$3:$N$6,2,FALSE)=0,"Spatial Data Missing ⚠",VLOOKUP(AA256,'G-3 Multipliers'!$L$3:$N$6,2,FALSE)))</f>
        <v/>
      </c>
      <c r="AC256" s="314" t="str">
        <f>IF(AA256="","",IF(VLOOKUP(AA256,'G-3 Multipliers'!$L$3:$N$6,3,FALSE)=0,"Spatial Data Missing ⚠",VLOOKUP(AA256,'G-3 Multipliers'!$L$3:$N$6,3,FALSE)))</f>
        <v/>
      </c>
      <c r="AD256" s="327" t="str">
        <f t="shared" si="34"/>
        <v/>
      </c>
      <c r="AE256" s="47"/>
      <c r="AF256" s="47"/>
      <c r="AG256" s="298" t="str">
        <f t="shared" si="38"/>
        <v/>
      </c>
      <c r="AH256" s="311" t="str">
        <f t="shared" si="39"/>
        <v/>
      </c>
      <c r="AI256" s="312" t="str">
        <f>IF(AH256="Check Data","Check Data",IFERROR(VLOOKUP(AH256,'G-4 Temporal multipliers'!$A$4:$C$36,3,FALSE),""))</f>
        <v/>
      </c>
      <c r="AJ256" s="290" t="str">
        <f>IF(S256="","",VLOOKUP(S256,'G-3 Multipliers'!$A$2:$E$134,4,FALSE))</f>
        <v/>
      </c>
      <c r="AK256" s="298" t="str">
        <f t="shared" si="40"/>
        <v/>
      </c>
      <c r="AL256" s="298" t="str">
        <f t="shared" si="41"/>
        <v/>
      </c>
      <c r="AM256" s="328" t="str">
        <f>IFERROR(IF(F256="","",IF(AH256="Check Data ⚠","Check Data ⚠",VLOOKUP(AL256, 'G-3 Multipliers'!$P$2:$Q$6,2,FALSE))),"")</f>
        <v/>
      </c>
      <c r="AN256" s="304" t="str">
        <f t="shared" si="42"/>
        <v/>
      </c>
      <c r="AO256" s="163"/>
      <c r="AP256" s="164"/>
      <c r="AQ256" s="101"/>
      <c r="AT256" s="20" t="str">
        <f t="shared" si="43"/>
        <v>No</v>
      </c>
      <c r="AU256" s="20" t="str">
        <f>IF(E256="","",IF(ISNA(VLOOKUP($E256,'A-1 On-Site Habitat Baseline'!$D$1:$AV$258,4,FALSE)),"",(VLOOKUP($E256,'A-1 On-Site Habitat Baseline'!$D$1:$AV$258,4,FALSE))))</f>
        <v/>
      </c>
    </row>
    <row r="257" spans="1:47" ht="14.5" thickBot="1" x14ac:dyDescent="0.35">
      <c r="A257" s="20" t="str">
        <f>IF(E257="","",IF(ISNA(VLOOKUP($E257,'A-1 On-Site Habitat Baseline'!$D$1:$O$258,2,FALSE)),"",(VLOOKUP($E257,'A-1 On-Site Habitat Baseline'!$D$1:$O$258,2,FALSE))))</f>
        <v/>
      </c>
      <c r="B257" s="20" t="str">
        <f>IF(E257="","",IF(ISNA(VLOOKUP($E257,'A-1 On-Site Habitat Baseline'!$D$1:$O$258,3,FALSE)),"",(VLOOKUP($E257,'A-1 On-Site Habitat Baseline'!$D$1:$O$258,3,FALSE))))</f>
        <v/>
      </c>
      <c r="C257" s="20" t="str">
        <f>IFERROR(INDEX('G-8 Condition Look up'!$I$4:$I$135,MATCH(S257,'G-8 Condition Look up'!$A$4:$A$135,0)),"")</f>
        <v/>
      </c>
      <c r="E257" s="321" t="str">
        <f>'A-1 On-Site Habitat Baseline'!AL256</f>
        <v/>
      </c>
      <c r="F257" s="310" t="str">
        <f>IF(E257="","",IF(ISNA(VLOOKUP($E257,'A-1 On-Site Habitat Baseline'!$D$1:$AV$258,45,FALSE)),"",(VLOOKUP($E257,'A-1 On-Site Habitat Baseline'!$D$1:$AV$258,45,FALSE))))</f>
        <v/>
      </c>
      <c r="G257" s="322" t="str">
        <f>IF(E257="","",IF(ISNA(VLOOKUP($E257,'A-1 On-Site Habitat Baseline'!$D$1:$O$258,5,FALSE)),"",(VLOOKUP($E257,'A-1 On-Site Habitat Baseline'!$D$1:$O$258,5,FALSE))))</f>
        <v/>
      </c>
      <c r="H257" s="322" t="str">
        <f>IF(E257="","",IF(ISNA(VLOOKUP($E257,'A-1 On-Site Habitat Baseline'!$D$1:$O$258,6,FALSE)),"",(VLOOKUP($E257,'A-1 On-Site Habitat Baseline'!$D$1:$O$258,6,FALSE))))</f>
        <v/>
      </c>
      <c r="I257" s="322" t="str">
        <f>IF(E257="","",IF(ISNA(VLOOKUP($E257,'A-1 On-Site Habitat Baseline'!$D$1:$O$258,7,FALSE)),"",(VLOOKUP($E257,'A-1 On-Site Habitat Baseline'!$D$1:$O$258,7,FALSE))))</f>
        <v/>
      </c>
      <c r="J257" s="322" t="str">
        <f>IF(E257="","",IF(ISNA(VLOOKUP($E257,'A-1 On-Site Habitat Baseline'!$D$1:$O$258,8,FALSE)),"",(VLOOKUP($E257,'A-1 On-Site Habitat Baseline'!$D$1:$O$258,8,FALSE))))</f>
        <v/>
      </c>
      <c r="K257" s="322" t="str">
        <f>IF(E257="","",IF(ISNA(VLOOKUP($E257,'A-1 On-Site Habitat Baseline'!$D$1:$O$258,9,FALSE)),"",(VLOOKUP($E257,'A-1 On-Site Habitat Baseline'!$D$1:$O$258,9,FALSE))))</f>
        <v/>
      </c>
      <c r="L257" s="322" t="str">
        <f>IF(E257="","",IF(ISNA(VLOOKUP($E257,'A-1 On-Site Habitat Baseline'!$D$1:$O$258,11,FALSE)),"",(VLOOKUP($E257,'A-1 On-Site Habitat Baseline'!$D$1:$O$258,11,FALSE))))</f>
        <v/>
      </c>
      <c r="M257" s="322" t="str">
        <f>IF(E257="","",IF(ISNA(VLOOKUP($E257,'A-1 On-Site Habitat Baseline'!$D$1:$O$258,12,FALSE)),"",(VLOOKUP($E257,'A-1 On-Site Habitat Baseline'!$D$1:$O$258,12,FALSE))))</f>
        <v/>
      </c>
      <c r="N257" s="323" t="str">
        <f>IF(E257="","",IF(ISNA(VLOOKUP($E257,'A-1 On-Site Habitat Baseline'!$D$1:$X$258,14,FALSE)),"",(VLOOKUP($E257,'A-1 On-Site Habitat Baseline'!$D$1:$X$258,14,FALSE))))</f>
        <v/>
      </c>
      <c r="O257" s="314" t="str">
        <f>IF(E257="","",IF(ISNA(VLOOKUP($E257,'A-1 On-Site Habitat Baseline'!$D$1:$X$258,16,FALSE)),"",(VLOOKUP($E257,'A-1 On-Site Habitat Baseline'!$D$1:$X$258,13,FALSE))))</f>
        <v/>
      </c>
      <c r="P257" s="161" t="str">
        <f>IFERROR(INDEX('G-1 All Habitats'!$AG$49:$AG$63,MATCH(Q257,'G-1 All Habitats'!$AF$27:$AF$41,0)),"")</f>
        <v/>
      </c>
      <c r="Q257" s="162" t="str">
        <f t="shared" si="35"/>
        <v/>
      </c>
      <c r="R257" s="162"/>
      <c r="S257" s="252" t="str">
        <f>IFERROR(INDEX('G-1 All Habitats'!$B$3:$B$135,MATCH(R257,'G-1 All Habitats'!$A$3:$A$135,0)),"")</f>
        <v/>
      </c>
      <c r="T257" s="290" t="str">
        <f t="shared" si="36"/>
        <v/>
      </c>
      <c r="U257" s="598" t="str">
        <f t="shared" si="37"/>
        <v/>
      </c>
      <c r="V257" s="326" t="str">
        <f t="shared" si="33"/>
        <v/>
      </c>
      <c r="W257" s="310" t="str">
        <f>IF(S257="","",VLOOKUP(S257,'G-1 All Habitats'!$B$2:$M$135,10,FALSE))</f>
        <v/>
      </c>
      <c r="X257" s="322" t="str">
        <f>IFERROR(VLOOKUP(W257,'G-1 All Habitats'!$V$3:$W$7,2,FALSE),"")</f>
        <v/>
      </c>
      <c r="Y257" s="223"/>
      <c r="Z257" s="314" t="str">
        <f>IFERROR(INDEX('G-8 Condition Look up'!$A$3:$H$135,MATCH(S257,'G-8 Condition Look up'!$A$3:$A$135,0),MATCH(Y257,'G-8 Condition Look up'!$A$3:$H$3,0)),"")</f>
        <v/>
      </c>
      <c r="AA257" s="264"/>
      <c r="AB257" s="310" t="str">
        <f>IF(AA257="","",IF(VLOOKUP(AA257,'G-3 Multipliers'!$L$3:$N$6,2,FALSE)=0,"Spatial Data Missing ⚠",VLOOKUP(AA257,'G-3 Multipliers'!$L$3:$N$6,2,FALSE)))</f>
        <v/>
      </c>
      <c r="AC257" s="324" t="str">
        <f>IF(AA257="","",IF(VLOOKUP(AA257,'G-3 Multipliers'!$L$3:$N$6,3,FALSE)=0,"Spatial Data Missing ⚠",VLOOKUP(AA257,'G-3 Multipliers'!$L$3:$N$6,3,FALSE)))</f>
        <v/>
      </c>
      <c r="AD257" s="327" t="str">
        <f t="shared" si="34"/>
        <v/>
      </c>
      <c r="AE257" s="223"/>
      <c r="AF257" s="223"/>
      <c r="AG257" s="298" t="str">
        <f t="shared" si="38"/>
        <v/>
      </c>
      <c r="AH257" s="311" t="str">
        <f t="shared" si="39"/>
        <v/>
      </c>
      <c r="AI257" s="329" t="str">
        <f>IF(AH257="Check Data","Check Data",IFERROR(VLOOKUP(AH257,'G-4 Temporal multipliers'!$A$4:$C$36,3,FALSE),""))</f>
        <v/>
      </c>
      <c r="AJ257" s="290" t="str">
        <f>IF(S257="","",VLOOKUP(S257,'G-3 Multipliers'!$A$2:$E$134,4,FALSE))</f>
        <v/>
      </c>
      <c r="AK257" s="298" t="str">
        <f t="shared" si="40"/>
        <v/>
      </c>
      <c r="AL257" s="298" t="str">
        <f t="shared" si="41"/>
        <v/>
      </c>
      <c r="AM257" s="328" t="str">
        <f>IFERROR(IF(F257="","",IF(AH257="Check Data ⚠","Check Data ⚠",VLOOKUP(AL257, 'G-3 Multipliers'!$P$2:$Q$6,2,FALSE))),"")</f>
        <v/>
      </c>
      <c r="AN257" s="304" t="str">
        <f t="shared" si="42"/>
        <v/>
      </c>
      <c r="AO257" s="262"/>
      <c r="AP257" s="265"/>
      <c r="AQ257" s="476"/>
      <c r="AT257" s="20" t="str">
        <f t="shared" si="43"/>
        <v>No</v>
      </c>
      <c r="AU257" s="20" t="str">
        <f>IF(E257="","",IF(ISNA(VLOOKUP($E257,'A-1 On-Site Habitat Baseline'!$D$1:$AV$258,4,FALSE)),"",(VLOOKUP($E257,'A-1 On-Site Habitat Baseline'!$D$1:$AV$258,4,FALSE))))</f>
        <v/>
      </c>
    </row>
    <row r="258" spans="1:47" ht="14.5" thickBot="1" x14ac:dyDescent="0.35">
      <c r="E258" s="263"/>
      <c r="F258" s="263"/>
      <c r="G258" s="263"/>
      <c r="H258" s="263"/>
      <c r="I258" s="263"/>
      <c r="J258" s="263"/>
      <c r="K258" s="263"/>
      <c r="L258" s="263"/>
      <c r="M258" s="263"/>
      <c r="N258" s="263"/>
      <c r="O258" s="263"/>
      <c r="P258" s="263"/>
      <c r="Q258" s="263"/>
      <c r="R258" s="263"/>
      <c r="S258" s="263"/>
      <c r="T258" s="263"/>
      <c r="U258" s="601" t="s">
        <v>195</v>
      </c>
      <c r="V258" s="294">
        <f>SUM(V12:V257)</f>
        <v>0</v>
      </c>
      <c r="W258" s="263"/>
      <c r="X258" s="263"/>
      <c r="Y258" s="263"/>
      <c r="Z258" s="263"/>
      <c r="AA258" s="263"/>
      <c r="AB258" s="263"/>
      <c r="AC258" s="263"/>
      <c r="AD258" s="263"/>
      <c r="AE258" s="263"/>
      <c r="AF258" s="263"/>
      <c r="AG258" s="263"/>
      <c r="AH258" s="263"/>
      <c r="AI258" s="263"/>
      <c r="AJ258" s="263"/>
      <c r="AK258" s="263"/>
      <c r="AL258" s="263"/>
      <c r="AM258" s="181"/>
      <c r="AN258" s="294">
        <f>(SUM(AN12:AN257))</f>
        <v>0</v>
      </c>
      <c r="AO258" s="263"/>
      <c r="AP258" s="263"/>
    </row>
    <row r="259" spans="1:47" ht="17.5" x14ac:dyDescent="0.35">
      <c r="V259" s="1197" t="str">
        <f>IF(V258&lt;&gt;'A-1 On-Site Habitat Baseline'!T259,"Error - Area of habitat enhancement must match the area from sheet A1 ▲","")</f>
        <v/>
      </c>
      <c r="W259" s="1197"/>
      <c r="X259" s="1197"/>
      <c r="Y259" s="1197"/>
      <c r="Z259" s="1197"/>
      <c r="AA259" s="1197"/>
    </row>
    <row r="260" spans="1:47" x14ac:dyDescent="0.3"/>
    <row r="261" spans="1:47" x14ac:dyDescent="0.3"/>
    <row r="262" spans="1:47" x14ac:dyDescent="0.3"/>
    <row r="263" spans="1:47" x14ac:dyDescent="0.3"/>
    <row r="264" spans="1:47" x14ac:dyDescent="0.3"/>
    <row r="265" spans="1:47" x14ac:dyDescent="0.3"/>
    <row r="266" spans="1:47" x14ac:dyDescent="0.3"/>
  </sheetData>
  <sheetProtection algorithmName="SHA-512" hashValue="oOkAJNlOOE/+8glnctI/Shy7C0HmGQSt3g4p9QsSUIWCJwgSKD7bxhlaJDAm9hOmoOuCWvN0UiB5x4e7riHpdA==" saltValue="JqFs26cczKT3ZaUFPAajdg==" spinCount="100000" sheet="1" objects="1" scenarios="1"/>
  <customSheetViews>
    <customSheetView guid="{8BDA793C-C9C5-4FC6-A0A5-F1109F6D4F22}" topLeftCell="D1">
      <pane ySplit="11" topLeftCell="A12" activePane="bottomLeft" state="frozen"/>
      <selection pane="bottomLeft"/>
    </customSheetView>
  </customSheetViews>
  <mergeCells count="29">
    <mergeCell ref="AO10:AQ10"/>
    <mergeCell ref="AN10:AN11"/>
    <mergeCell ref="Z10:Z11"/>
    <mergeCell ref="Y10:Y11"/>
    <mergeCell ref="X10:X11"/>
    <mergeCell ref="W10:W11"/>
    <mergeCell ref="AD10:AI10"/>
    <mergeCell ref="T5:U5"/>
    <mergeCell ref="R2:U2"/>
    <mergeCell ref="F10:O10"/>
    <mergeCell ref="AA10:AC10"/>
    <mergeCell ref="V10:V11"/>
    <mergeCell ref="H5:L6"/>
    <mergeCell ref="V259:AA259"/>
    <mergeCell ref="Q9:AM9"/>
    <mergeCell ref="AJ10:AM10"/>
    <mergeCell ref="E2:G2"/>
    <mergeCell ref="E3:G4"/>
    <mergeCell ref="Q10:R10"/>
    <mergeCell ref="T10:U10"/>
    <mergeCell ref="AD5:AI6"/>
    <mergeCell ref="AD2:AI3"/>
    <mergeCell ref="R3:S3"/>
    <mergeCell ref="R4:S4"/>
    <mergeCell ref="R5:S5"/>
    <mergeCell ref="V2:AA5"/>
    <mergeCell ref="R6:T8"/>
    <mergeCell ref="T3:U3"/>
    <mergeCell ref="T4:U4"/>
  </mergeCells>
  <conditionalFormatting sqref="Z12:Z257">
    <cfRule type="cellIs" dxfId="281" priority="63" operator="equal">
      <formula>"Not Possible"</formula>
    </cfRule>
  </conditionalFormatting>
  <conditionalFormatting sqref="AN12:AN257">
    <cfRule type="containsText" dxfId="280" priority="10" operator="containsText" text="Error">
      <formula>NOT(ISERROR(SEARCH("Error",AN12)))</formula>
    </cfRule>
    <cfRule type="containsText" dxfId="279" priority="54" operator="containsText" text="Existing Value Not Required">
      <formula>NOT(ISERROR(SEARCH("Existing Value Not Required",AN12)))</formula>
    </cfRule>
    <cfRule type="containsText" dxfId="278" priority="55" operator="containsText" text="Existing Value Required">
      <formula>NOT(ISERROR(SEARCH("Existing Value Required",AN12)))</formula>
    </cfRule>
  </conditionalFormatting>
  <conditionalFormatting sqref="AN256:AN257">
    <cfRule type="containsText" dxfId="277" priority="52" operator="containsText" text="Existing Value Not Required">
      <formula>NOT(ISERROR(SEARCH("Existing Value Not Required",AN256)))</formula>
    </cfRule>
    <cfRule type="containsText" dxfId="276" priority="53" operator="containsText" text="Existing Value Required">
      <formula>NOT(ISERROR(SEARCH("Existing Value Required",AN256)))</formula>
    </cfRule>
  </conditionalFormatting>
  <conditionalFormatting sqref="AD2">
    <cfRule type="containsText" dxfId="275" priority="51" operator="containsText" text="Note">
      <formula>NOT(ISERROR(SEARCH("Note",AD2)))</formula>
    </cfRule>
  </conditionalFormatting>
  <conditionalFormatting sqref="T12:T257">
    <cfRule type="containsText" dxfId="274" priority="50" operator="containsText" text="Error">
      <formula>NOT(ISERROR(SEARCH("Error",T12)))</formula>
    </cfRule>
  </conditionalFormatting>
  <conditionalFormatting sqref="U12:U257">
    <cfRule type="containsText" dxfId="273" priority="49" operator="containsText" text="Error">
      <formula>NOT(ISERROR(SEARCH("Error",U12)))</formula>
    </cfRule>
  </conditionalFormatting>
  <conditionalFormatting sqref="AB12:AB257">
    <cfRule type="containsText" dxfId="272" priority="48" operator="containsText" text="Spatial">
      <formula>NOT(ISERROR(SEARCH("Spatial",AB12)))</formula>
    </cfRule>
  </conditionalFormatting>
  <conditionalFormatting sqref="AC12:AC257">
    <cfRule type="containsText" dxfId="271" priority="47" operator="containsText" text="Spatial">
      <formula>NOT(ISERROR(SEARCH("Spatial",AC12)))</formula>
    </cfRule>
  </conditionalFormatting>
  <conditionalFormatting sqref="AD12:AD257">
    <cfRule type="containsText" dxfId="270" priority="1" operator="containsText" text="▲">
      <formula>NOT(ISERROR(SEARCH("▲",AD12)))</formula>
    </cfRule>
    <cfRule type="containsText" dxfId="269" priority="46" operator="containsText" text="Check Data">
      <formula>NOT(ISERROR(SEARCH("Check Data",AD12)))</formula>
    </cfRule>
  </conditionalFormatting>
  <conditionalFormatting sqref="AG12:AG257">
    <cfRule type="containsText" dxfId="268" priority="44" operator="containsText" text="Error">
      <formula>NOT(ISERROR(SEARCH("Error",AG12)))</formula>
    </cfRule>
    <cfRule type="containsText" dxfId="267" priority="45" operator="containsText" text="Check">
      <formula>NOT(ISERROR(SEARCH("Check",AG12)))</formula>
    </cfRule>
  </conditionalFormatting>
  <conditionalFormatting sqref="AH12:AH257">
    <cfRule type="containsText" dxfId="266" priority="42" operator="containsText" text="Check Data ⚠">
      <formula>NOT(ISERROR(SEARCH("Check Data ⚠",AH12)))</formula>
    </cfRule>
    <cfRule type="containsText" dxfId="265" priority="43" operator="containsText" text="Error ▲">
      <formula>NOT(ISERROR(SEARCH("Error ▲",AH12)))</formula>
    </cfRule>
  </conditionalFormatting>
  <conditionalFormatting sqref="AI12:AI257">
    <cfRule type="containsText" dxfId="264" priority="40" operator="containsText" text="Check Data ⚠">
      <formula>NOT(ISERROR(SEARCH("Check Data ⚠",AI12)))</formula>
    </cfRule>
  </conditionalFormatting>
  <conditionalFormatting sqref="AK12:AK257">
    <cfRule type="containsText" dxfId="263" priority="39" operator="containsText" text="No - Low Difficulty - only applicable if all habitat created before losses ⚠">
      <formula>NOT(ISERROR(SEARCH("No - Low Difficulty - only applicable if all habitat created before losses ⚠",AK12)))</formula>
    </cfRule>
  </conditionalFormatting>
  <conditionalFormatting sqref="AM12:AM258">
    <cfRule type="containsText" dxfId="262" priority="38" operator="containsText" text="Check Data ⚠">
      <formula>NOT(ISERROR(SEARCH("Check Data ⚠",AM12)))</formula>
    </cfRule>
  </conditionalFormatting>
  <conditionalFormatting sqref="O12:O257">
    <cfRule type="containsText" dxfId="261" priority="34" operator="containsText" text="Bespoke">
      <formula>NOT(ISERROR(SEARCH("Bespoke",O12)))</formula>
    </cfRule>
    <cfRule type="beginsWith" dxfId="260" priority="35" operator="beginsWith" text="Same distinctiveness">
      <formula>LEFT(O12,LEN("Same distinctiveness"))="Same distinctiveness"</formula>
    </cfRule>
    <cfRule type="beginsWith" dxfId="259" priority="36" operator="beginsWith" text="Same broad">
      <formula>LEFT(O12,LEN("Same broad"))="Same broad"</formula>
    </cfRule>
    <cfRule type="beginsWith" dxfId="258" priority="37" operator="beginsWith" text="Same Habitat">
      <formula>LEFT(O12,LEN("Same Habitat"))="Same Habitat"</formula>
    </cfRule>
  </conditionalFormatting>
  <conditionalFormatting sqref="V259:AA259">
    <cfRule type="containsText" dxfId="257" priority="33" operator="containsText" text="Error">
      <formula>NOT(ISERROR(SEARCH("Error",V259)))</formula>
    </cfRule>
  </conditionalFormatting>
  <conditionalFormatting sqref="AD5">
    <cfRule type="containsText" dxfId="256" priority="32" operator="containsText" text="Change">
      <formula>NOT(ISERROR(SEARCH("Change",AD5)))</formula>
    </cfRule>
  </conditionalFormatting>
  <conditionalFormatting sqref="T3">
    <cfRule type="containsText" dxfId="255" priority="19" operator="containsText" text="Check">
      <formula>NOT(ISERROR(SEARCH("Check",T3)))</formula>
    </cfRule>
    <cfRule type="containsText" dxfId="254" priority="20" operator="containsText" text="Error">
      <formula>NOT(ISERROR(SEARCH("Error",T3)))</formula>
    </cfRule>
  </conditionalFormatting>
  <conditionalFormatting sqref="T4">
    <cfRule type="containsText" dxfId="253" priority="18" operator="containsText" text="Error">
      <formula>NOT(ISERROR(SEARCH("Error",T4)))</formula>
    </cfRule>
    <cfRule type="containsText" dxfId="252" priority="28" operator="containsText" text="Check">
      <formula>NOT(ISERROR(SEARCH("Check",T4)))</formula>
    </cfRule>
    <cfRule type="cellIs" dxfId="251" priority="439" operator="lessThan">
      <formula>0</formula>
    </cfRule>
  </conditionalFormatting>
  <conditionalFormatting sqref="T5">
    <cfRule type="containsText" dxfId="250" priority="23" operator="containsText" text="No">
      <formula>NOT(ISERROR(SEARCH("No",T5)))</formula>
    </cfRule>
    <cfRule type="containsText" dxfId="249" priority="24" operator="containsText" text="Yes">
      <formula>NOT(ISERROR(SEARCH("Yes",T5)))</formula>
    </cfRule>
  </conditionalFormatting>
  <conditionalFormatting sqref="V2:AA5">
    <cfRule type="containsText" dxfId="248" priority="22" operator="containsText" text="Check">
      <formula>NOT(ISERROR(SEARCH("Check",V2)))</formula>
    </cfRule>
  </conditionalFormatting>
  <conditionalFormatting sqref="R6:T8">
    <cfRule type="containsText" dxfId="247" priority="21" operator="containsText" text="⚠">
      <formula>NOT(ISERROR(SEARCH("⚠",R6)))</formula>
    </cfRule>
  </conditionalFormatting>
  <conditionalFormatting sqref="T4:U4">
    <cfRule type="cellIs" dxfId="246" priority="29" operator="equal">
      <formula>0</formula>
    </cfRule>
  </conditionalFormatting>
  <conditionalFormatting sqref="U258">
    <cfRule type="containsText" dxfId="245" priority="14" operator="containsText" text="Error">
      <formula>NOT(ISERROR(SEARCH("Error",U258)))</formula>
    </cfRule>
    <cfRule type="containsText" dxfId="244" priority="15" operator="containsText" text="Check">
      <formula>NOT(ISERROR(SEARCH("Check",U258)))</formula>
    </cfRule>
  </conditionalFormatting>
  <conditionalFormatting sqref="T3:U5">
    <cfRule type="containsText" dxfId="243" priority="16" operator="containsText" text="N/A">
      <formula>NOT(ISERROR(SEARCH("N/A",T3)))</formula>
    </cfRule>
  </conditionalFormatting>
  <conditionalFormatting sqref="F12:F257">
    <cfRule type="expression" dxfId="242" priority="12">
      <formula>$AU12="Yes"</formula>
    </cfRule>
  </conditionalFormatting>
  <conditionalFormatting sqref="H5:L6">
    <cfRule type="containsText" dxfId="241" priority="11" operator="containsText" text="Enhanced">
      <formula>NOT(ISERROR(SEARCH("Enhanced",H5)))</formula>
    </cfRule>
  </conditionalFormatting>
  <conditionalFormatting sqref="N1:N1048576">
    <cfRule type="containsText" dxfId="240" priority="5" operator="containsText" text="Error">
      <formula>NOT(ISERROR(SEARCH("Error",N1)))</formula>
    </cfRule>
    <cfRule type="containsText" dxfId="239" priority="9" operator="containsText" text="Check">
      <formula>NOT(ISERROR(SEARCH("Check",N1)))</formula>
    </cfRule>
  </conditionalFormatting>
  <conditionalFormatting sqref="AN1:AN1048576">
    <cfRule type="containsText" dxfId="238" priority="8" operator="containsText" text="▲">
      <formula>NOT(ISERROR(SEARCH("▲",AN1)))</formula>
    </cfRule>
  </conditionalFormatting>
  <conditionalFormatting sqref="K1:K1048576">
    <cfRule type="containsText" dxfId="237" priority="4" operator="containsText" text="▲">
      <formula>NOT(ISERROR(SEARCH("▲",K1)))</formula>
    </cfRule>
    <cfRule type="containsText" dxfId="236" priority="6" operator="containsText" text="Not Possible">
      <formula>NOT(ISERROR(SEARCH("Not Possible",K1)))</formula>
    </cfRule>
  </conditionalFormatting>
  <conditionalFormatting sqref="AK1:AK1048576">
    <cfRule type="containsText" dxfId="235" priority="3" operator="containsText" text="⚠">
      <formula>NOT(ISERROR(SEARCH("⚠",AK1)))</formula>
    </cfRule>
  </conditionalFormatting>
  <conditionalFormatting sqref="Z1:Z1048576">
    <cfRule type="containsText" dxfId="234" priority="2" operator="containsText" text="▲">
      <formula>NOT(ISERROR(SEARCH("▲",Z1)))</formula>
    </cfRule>
  </conditionalFormatting>
  <dataValidations count="3">
    <dataValidation allowBlank="1" showErrorMessage="1" errorTitle="Invalid Habitat" error="Select from List" sqref="S12:S257" xr:uid="{00000000-0002-0000-0D00-000001000000}"/>
    <dataValidation type="list" allowBlank="1" showInputMessage="1" showErrorMessage="1" sqref="Y12:Y257" xr:uid="{00000000-0002-0000-0D00-000002000000}">
      <formula1>INDIRECT(C12)</formula1>
    </dataValidation>
    <dataValidation type="list" allowBlank="1" showInputMessage="1" showErrorMessage="1" sqref="R12:R257" xr:uid="{4E63D83B-2213-4261-A0F6-5924AE99B179}">
      <formula1>INDIRECT(P12)</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7" id="{C216D19F-5896-4685-B2DF-CB8C7C8C01BF}">
            <xm:f>#REF!=0</xm:f>
            <x14:dxf>
              <font>
                <color auto="1"/>
              </font>
              <fill>
                <patternFill>
                  <bgColor rgb="FFE0DCD3"/>
                </patternFill>
              </fill>
            </x14:dxf>
          </x14:cfRule>
          <xm:sqref>T4:U4</xm:sqref>
        </x14:conditionalFormatting>
        <x14:conditionalFormatting xmlns:xm="http://schemas.microsoft.com/office/excel/2006/main">
          <x14:cfRule type="iconSet" priority="41" id="{00000000-000E-0000-0A00-00000A000000}">
            <x14:iconSet iconSet="3Symbols" custom="1">
              <x14:cfvo type="percent">
                <xm:f>0</xm:f>
              </x14:cfvo>
              <x14:cfvo type="num">
                <xm:f>0</xm:f>
              </x14:cfvo>
              <x14:cfvo type="num" gte="0">
                <xm:f>30</xm:f>
              </x14:cfvo>
              <x14:cfIcon iconSet="NoIcons" iconId="0"/>
              <x14:cfIcon iconSet="NoIcons" iconId="0"/>
              <x14:cfIcon iconSet="3Symbols" iconId="1"/>
            </x14:iconSet>
          </x14:cfRule>
          <xm:sqref>AH12:AH257</xm:sqref>
        </x14:conditionalFormatting>
        <x14:conditionalFormatting xmlns:xm="http://schemas.microsoft.com/office/excel/2006/main">
          <x14:cfRule type="cellIs" priority="440" operator="greaterThanOrEqual" id="{98191D48-3584-45ED-9B04-7E5F8287AC07}">
            <xm:f>Start!$F$22</xm:f>
            <x14:dxf>
              <font>
                <color rgb="FF383745"/>
              </font>
              <fill>
                <patternFill>
                  <bgColor rgb="FF92D050"/>
                </patternFill>
              </fill>
            </x14:dxf>
          </x14:cfRule>
          <xm:sqref>T4</xm:sqref>
        </x14:conditionalFormatting>
        <x14:conditionalFormatting xmlns:xm="http://schemas.microsoft.com/office/excel/2006/main">
          <x14:cfRule type="cellIs" priority="13" operator="lessThan" id="{2FC45805-93F2-4CD8-83E0-7459FAA8F9BB}">
            <xm:f>Start!$F$22</xm:f>
            <x14:dxf>
              <font>
                <color rgb="FF383745"/>
              </font>
              <fill>
                <patternFill>
                  <bgColor rgb="FFFFC000"/>
                </patternFill>
              </fill>
            </x14:dxf>
          </x14:cfRule>
          <xm:sqref>T4:U4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3000000}">
          <x14:formula1>
            <xm:f>'G-3 Multipliers'!$L$4:$L$6</xm:f>
          </x14:formula1>
          <xm:sqref>AA12:AA257</xm:sqref>
        </x14:dataValidation>
        <x14:dataValidation type="list" allowBlank="1" showInputMessage="1" showErrorMessage="1" xr:uid="{00000000-0002-0000-0D00-000004000000}">
          <x14:formula1>
            <xm:f>'G-4 Temporal multipliers'!$A$42:$A$73</xm:f>
          </x14:formula1>
          <xm:sqref>AE12:AF257</xm:sqref>
        </x14:dataValidation>
        <x14:dataValidation type="list" allowBlank="1" showInputMessage="1" showErrorMessage="1" xr:uid="{8576CF1E-39FA-4F90-B507-636903885C57}">
          <x14:formula1>
            <xm:f>'G-1 All Habitats'!$AF$3:$AF$17</xm:f>
          </x14:formula1>
          <xm:sqref>Q12:Q257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tabColor rgb="FF663300"/>
  </sheetPr>
  <dimension ref="A1:AM264"/>
  <sheetViews>
    <sheetView zoomScaleNormal="80" workbookViewId="0">
      <pane ySplit="9" topLeftCell="A10" activePane="bottomLeft" state="frozen"/>
      <selection activeCell="D11" sqref="D11"/>
      <selection pane="bottomLeft" activeCell="D11" sqref="D11"/>
    </sheetView>
  </sheetViews>
  <sheetFormatPr defaultColWidth="0" defaultRowHeight="14" x14ac:dyDescent="0.3"/>
  <cols>
    <col min="1" max="1" width="3" style="15" customWidth="1"/>
    <col min="2" max="2" width="11.81640625" style="15" customWidth="1"/>
    <col min="3" max="3" width="12.7265625" style="15" customWidth="1"/>
    <col min="4" max="4" width="62.54296875" style="15" customWidth="1"/>
    <col min="5" max="5" width="10.7265625" style="15" customWidth="1"/>
    <col min="6" max="6" width="19.1796875" style="15" customWidth="1"/>
    <col min="7" max="7" width="8.7265625" style="15" customWidth="1"/>
    <col min="8" max="8" width="14.26953125" style="15" bestFit="1" customWidth="1"/>
    <col min="9" max="9" width="8.453125" style="15" customWidth="1"/>
    <col min="10" max="10" width="52.1796875" style="15" customWidth="1"/>
    <col min="11" max="11" width="21.453125" style="15" customWidth="1"/>
    <col min="12" max="12" width="13.1796875" style="15" customWidth="1"/>
    <col min="13" max="13" width="20.7265625" style="15" customWidth="1"/>
    <col min="14" max="14" width="13.26953125" style="15" customWidth="1"/>
    <col min="15" max="15" width="3.7265625" style="15" customWidth="1"/>
    <col min="16" max="17" width="12" style="15" customWidth="1"/>
    <col min="18" max="18" width="10.1796875" style="15" customWidth="1"/>
    <col min="19" max="19" width="12" style="15" customWidth="1"/>
    <col min="20" max="21" width="8.7265625" style="15" customWidth="1"/>
    <col min="22" max="23" width="50.1796875" style="15" customWidth="1"/>
    <col min="24" max="24" width="14.453125" style="15" customWidth="1"/>
    <col min="25" max="25" width="8.81640625" style="15" customWidth="1"/>
    <col min="26" max="26" width="25.1796875" style="15" customWidth="1"/>
    <col min="27" max="27" width="11.453125" style="15" hidden="1" customWidth="1"/>
    <col min="28" max="28" width="21" style="15" hidden="1" customWidth="1"/>
    <col min="29" max="29" width="13.54296875" style="15" hidden="1" customWidth="1"/>
    <col min="30" max="30" width="13.81640625" style="15" hidden="1" customWidth="1"/>
    <col min="31" max="31" width="15" style="15" hidden="1" customWidth="1"/>
    <col min="32" max="32" width="14.1796875" style="15" hidden="1" customWidth="1"/>
    <col min="33" max="33" width="11.7265625" style="15" hidden="1" customWidth="1"/>
    <col min="34" max="34" width="15.81640625" style="15" hidden="1" customWidth="1"/>
    <col min="35" max="35" width="12.7265625" style="15" hidden="1" customWidth="1"/>
    <col min="36" max="36" width="16.81640625" style="15" hidden="1" customWidth="1"/>
    <col min="37" max="37" width="15.1796875" style="15" hidden="1" customWidth="1"/>
    <col min="38" max="38" width="26.54296875" style="15" hidden="1" customWidth="1"/>
    <col min="39" max="39" width="0" style="15" hidden="1" customWidth="1"/>
    <col min="40" max="16384" width="8.81640625" style="15" hidden="1"/>
  </cols>
  <sheetData>
    <row r="1" spans="2:38" ht="14.5" thickBot="1" x14ac:dyDescent="0.35"/>
    <row r="2" spans="2:38" ht="18" thickBot="1" x14ac:dyDescent="0.4">
      <c r="B2" s="1245" t="str">
        <f>CONCATENATE("Project Name:", " ", Start!F12, "     ", "Map Reference:", " ", Start!F55)</f>
        <v xml:space="preserve">Project Name: Gain Site 2 for Digital     Map Reference: </v>
      </c>
      <c r="C2" s="1246"/>
      <c r="D2" s="1247"/>
      <c r="F2" s="1118" t="s">
        <v>226</v>
      </c>
      <c r="G2" s="1119"/>
      <c r="H2" s="1119"/>
      <c r="I2" s="1119"/>
      <c r="J2" s="1120"/>
    </row>
    <row r="3" spans="2:38" x14ac:dyDescent="0.3">
      <c r="B3" s="933" t="str">
        <f ca="1">MID(CELL("filename",A1),FIND("]",CELL("filename",A1))+1,256)</f>
        <v>B-1 On-Site Hedge Baseline</v>
      </c>
      <c r="C3" s="934"/>
      <c r="D3" s="935"/>
      <c r="F3" s="1217" t="s">
        <v>131</v>
      </c>
      <c r="G3" s="908"/>
      <c r="H3" s="908"/>
      <c r="I3" s="908"/>
      <c r="J3" s="407" t="e">
        <f>#REF!</f>
        <v>#REF!</v>
      </c>
    </row>
    <row r="4" spans="2:38" ht="14.5" thickBot="1" x14ac:dyDescent="0.35">
      <c r="B4" s="936"/>
      <c r="C4" s="937"/>
      <c r="D4" s="938"/>
      <c r="F4" s="1260" t="s">
        <v>133</v>
      </c>
      <c r="G4" s="909"/>
      <c r="H4" s="909"/>
      <c r="I4" s="909"/>
      <c r="J4" s="408" t="e">
        <f>#REF!</f>
        <v>#REF!</v>
      </c>
    </row>
    <row r="5" spans="2:38" ht="14.5" thickBot="1" x14ac:dyDescent="0.35">
      <c r="F5" s="1261" t="s">
        <v>135</v>
      </c>
      <c r="G5" s="917"/>
      <c r="H5" s="917"/>
      <c r="I5" s="917"/>
      <c r="J5" s="403" t="e" cm="1">
        <f t="array" ref="J5">IF(OR('Trading Summary Hedgerows'!G5:H9="No ▲"), "No - check trading summary ▲", "Yes ✓")</f>
        <v>#REF!</v>
      </c>
    </row>
    <row r="7" spans="2:38" ht="14.5" thickBot="1" x14ac:dyDescent="0.35">
      <c r="B7" s="86"/>
      <c r="C7" s="86"/>
      <c r="E7" s="85"/>
    </row>
    <row r="8" spans="2:38" s="18" customFormat="1" ht="28.5" thickBot="1" x14ac:dyDescent="0.35">
      <c r="B8" s="17"/>
      <c r="C8" s="1252" t="s">
        <v>227</v>
      </c>
      <c r="D8" s="1253"/>
      <c r="E8" s="1254"/>
      <c r="F8" s="1241" t="s">
        <v>137</v>
      </c>
      <c r="G8" s="1241"/>
      <c r="H8" s="1241" t="s">
        <v>222</v>
      </c>
      <c r="I8" s="1241"/>
      <c r="J8" s="1241" t="s">
        <v>139</v>
      </c>
      <c r="K8" s="1241"/>
      <c r="L8" s="1241"/>
      <c r="M8" s="1232" t="s">
        <v>140</v>
      </c>
      <c r="N8" s="115" t="s">
        <v>141</v>
      </c>
      <c r="O8" s="15"/>
      <c r="P8" s="1252" t="s">
        <v>142</v>
      </c>
      <c r="Q8" s="1253"/>
      <c r="R8" s="1253"/>
      <c r="S8" s="1253"/>
      <c r="T8" s="1253"/>
      <c r="U8" s="1254"/>
      <c r="V8" s="1233" t="s">
        <v>144</v>
      </c>
      <c r="W8" s="1234"/>
      <c r="X8" s="1235"/>
    </row>
    <row r="9" spans="2:38" ht="42.5" thickBot="1" x14ac:dyDescent="0.35">
      <c r="B9" s="493" t="s">
        <v>204</v>
      </c>
      <c r="C9" s="113" t="s">
        <v>228</v>
      </c>
      <c r="D9" s="562" t="s">
        <v>64</v>
      </c>
      <c r="E9" s="507" t="s">
        <v>28</v>
      </c>
      <c r="F9" s="113" t="s">
        <v>137</v>
      </c>
      <c r="G9" s="507" t="s">
        <v>154</v>
      </c>
      <c r="H9" s="113" t="s">
        <v>138</v>
      </c>
      <c r="I9" s="507" t="s">
        <v>154</v>
      </c>
      <c r="J9" s="113" t="s">
        <v>139</v>
      </c>
      <c r="K9" s="562" t="s">
        <v>139</v>
      </c>
      <c r="L9" s="507" t="s">
        <v>183</v>
      </c>
      <c r="M9" s="1251"/>
      <c r="N9" s="145" t="s">
        <v>229</v>
      </c>
      <c r="P9" s="113" t="s">
        <v>230</v>
      </c>
      <c r="Q9" s="562" t="s">
        <v>231</v>
      </c>
      <c r="R9" s="562" t="s">
        <v>232</v>
      </c>
      <c r="S9" s="562" t="s">
        <v>233</v>
      </c>
      <c r="T9" s="562" t="s">
        <v>234</v>
      </c>
      <c r="U9" s="507" t="s">
        <v>162</v>
      </c>
      <c r="V9" s="469" t="s">
        <v>163</v>
      </c>
      <c r="W9" s="468" t="s">
        <v>164</v>
      </c>
      <c r="X9" s="586" t="s">
        <v>1539</v>
      </c>
      <c r="AE9" s="105" t="s">
        <v>168</v>
      </c>
      <c r="AF9" s="105" t="s">
        <v>169</v>
      </c>
      <c r="AH9" s="105" t="s">
        <v>171</v>
      </c>
      <c r="AJ9" s="105" t="s">
        <v>168</v>
      </c>
      <c r="AK9" s="105" t="s">
        <v>169</v>
      </c>
      <c r="AL9" s="85" t="s">
        <v>148</v>
      </c>
    </row>
    <row r="10" spans="2:38" x14ac:dyDescent="0.3">
      <c r="B10" s="88">
        <v>1</v>
      </c>
      <c r="C10" s="573"/>
      <c r="D10" s="563"/>
      <c r="E10" s="579"/>
      <c r="F10" s="566" t="str">
        <f>IF(D10="","",VLOOKUP(D10,'G-6 Hedgerow Data'!$B$2:$AG$15,2,FALSE))</f>
        <v/>
      </c>
      <c r="G10" s="542" t="str">
        <f>IF(D10="","",VLOOKUP(D10,'G-6 Hedgerow Data'!$B$2:$AG$15,3,FALSE))</f>
        <v/>
      </c>
      <c r="H10" s="95"/>
      <c r="I10" s="291" t="str">
        <f>IFERROR(IF(AND(D10&lt;&gt;"",H10=""),"Check data ⚠", IF(H10="","",IF(AND(D10="Non-native and ornamental hedgerow", H10&lt;&gt;"Poor"),"Not possible ▲", (VLOOKUP(H10,'G-1 All Habitats'!$Z$2:$AA$9,2,FALSE))))),"")</f>
        <v/>
      </c>
      <c r="J10" s="572"/>
      <c r="K10" s="295" t="str">
        <f>IF(AND(D10&lt;&gt;"",J10=""),"Check data ⚠", IF(J10="","",IF(VLOOKUP(J10,'G-3 Multipliers'!$L$3:$N$6,2,FALSE)=0,"Spatial Data Missing",VLOOKUP(J10,'G-3 Multipliers'!$L$3:$N$6,2,FALSE))))</f>
        <v/>
      </c>
      <c r="L10" s="544" t="str">
        <f>IF(J10="","",IF(VLOOKUP(J10,'G-3 Multipliers'!$L$3:$N$6,3,FALSE)=0,"Spatial Data Missing ⚠",VLOOKUP(J10,'G-3 Multipliers'!$L$3:$N$6,3,FALSE)))</f>
        <v/>
      </c>
      <c r="M10" s="545" t="str">
        <f>IF(D10="","",VLOOKUP(D10,'G-6 Hedgerow Data'!$B$1:$AH$15,33,FALSE))</f>
        <v/>
      </c>
      <c r="N10" s="546" t="str">
        <f>IFERROR(IF(OR(K10="Check data ⚠",I10="Check data ⚠"), "Check data ▲", (E10*G10*I10*L10)),"")</f>
        <v/>
      </c>
      <c r="O10" s="17"/>
      <c r="P10" s="257"/>
      <c r="Q10" s="138"/>
      <c r="R10" s="302" t="str">
        <f>IFERROR(P10*G10*I10*L10,"")</f>
        <v/>
      </c>
      <c r="S10" s="302" t="str">
        <f>IFERROR(Q10*G10*I10*L10,"")</f>
        <v/>
      </c>
      <c r="T10" s="302" t="str">
        <f>IF(D10="","",IF(E10-P10-Q10=0&lt;0,"Error in lengths ▲",IF(P10+Q10&gt;E10,"Error in Lengths ▲",E10-P10-Q10)))</f>
        <v/>
      </c>
      <c r="U10" s="332" t="str">
        <f>IFERROR(IF(OR(E10="",N10=""),"",IF(E10-P10-Q10=0&lt;0,"Error in Lengths ▲",IF(P10+Q10&gt;E10,"Error in Lengths ▲",N10-R10-S10))),"Check data ⚠")</f>
        <v/>
      </c>
      <c r="V10" s="117"/>
      <c r="W10" s="118"/>
      <c r="X10" s="99"/>
      <c r="AE10" s="105" t="str">
        <f t="shared" ref="AE10:AE73" si="0">IF(D10="","",IF(P10&gt;0,TRUE,FALSE))</f>
        <v/>
      </c>
      <c r="AF10" s="105" t="str">
        <f t="shared" ref="AF10:AF73" si="1">IF(D10="","",IF(Q10&gt;0,TRUE,FALSE))</f>
        <v/>
      </c>
      <c r="AH10" s="105">
        <v>1</v>
      </c>
      <c r="AJ10" s="105" t="str">
        <f t="array" ref="AJ10">IFERROR(INDEX($AH$10:$AH$258, MATCH(0, IF(TRUE=$AE$10:$AE$258, COUNTIF($AJ9:$AJ$9, $AH$10:$AH$258), ""), 0)),"")</f>
        <v/>
      </c>
      <c r="AK10" s="105" t="str">
        <f t="array" ref="AK10">IFERROR(INDEX($AH$10:$AH$258, MATCH(0, IF(TRUE=$AF$10:$AF$258, COUNTIF($AK9:$AK$9, $AH$10:$AH$258), ""), 0)),"")</f>
        <v/>
      </c>
      <c r="AL10" s="15" t="str">
        <f>IFERROR(INDEX('G-6 Hedgerow Data'!$BJ$3:$BJ$15,MATCH(D10,'G-6 Hedgerow Data'!$B$3:$B$15,0)),"")</f>
        <v/>
      </c>
    </row>
    <row r="11" spans="2:38" x14ac:dyDescent="0.3">
      <c r="B11" s="92">
        <v>2</v>
      </c>
      <c r="C11" s="141"/>
      <c r="D11" s="47"/>
      <c r="E11" s="120"/>
      <c r="F11" s="335" t="str">
        <f>IF(D11="","",VLOOKUP(D11,'G-6 Hedgerow Data'!$B$2:$AG$15,2,FALSE))</f>
        <v/>
      </c>
      <c r="G11" s="291" t="str">
        <f>IF(D11="","",VLOOKUP(D11,'G-6 Hedgerow Data'!$B$2:$AG$15,3,FALSE))</f>
        <v/>
      </c>
      <c r="H11" s="95"/>
      <c r="I11" s="291" t="str">
        <f>IFERROR(IF(AND(D11&lt;&gt;"",H11=""),"Check data ⚠", IF(H11="","",IF(AND(D11="Non-native and ornamental hedgerow", H11&lt;&gt;"Poor"),"Not possible ▲", (VLOOKUP(H11,'G-1 All Habitats'!$Z$2:$AA$9,2,FALSE))))),"")</f>
        <v/>
      </c>
      <c r="J11" s="95"/>
      <c r="K11" s="298" t="str">
        <f>IF(AND(D11&lt;&gt;"",J11=""),"Check data ⚠", IF(J11="","",IF(VLOOKUP(J11,'G-3 Multipliers'!$L$3:$N$6,2,FALSE)=0,"Spatial Data Missing",VLOOKUP(J11,'G-3 Multipliers'!$L$3:$N$6,2,FALSE))))</f>
        <v/>
      </c>
      <c r="L11" s="296" t="str">
        <f>IF(J11="","",IF(VLOOKUP(J11,'G-3 Multipliers'!$L$3:$N$6,3,FALSE)=0,"Spatial Data Missing ⚠",VLOOKUP(J11,'G-3 Multipliers'!$L$3:$N$6,3,FALSE)))</f>
        <v/>
      </c>
      <c r="M11" s="297" t="str">
        <f>IF(D11="","",VLOOKUP(D11,'G-6 Hedgerow Data'!$B$1:$AH$15,33,FALSE))</f>
        <v/>
      </c>
      <c r="N11" s="304" t="str">
        <f t="shared" ref="N11:N74" si="2">IFERROR(IF(OR(K11="Check data ⚠",I11="Check data ⚠"), "Check data ▲", (E11*G11*I11*L11)),"")</f>
        <v/>
      </c>
      <c r="O11" s="17"/>
      <c r="P11" s="441"/>
      <c r="Q11" s="141"/>
      <c r="R11" s="320" t="str">
        <f t="shared" ref="R11:R74" si="3">IFERROR(P11*G11*I11*L11,"")</f>
        <v/>
      </c>
      <c r="S11" s="320" t="str">
        <f t="shared" ref="S11:S74" si="4">IFERROR(Q11*G11*I11*L11,"")</f>
        <v/>
      </c>
      <c r="T11" s="320" t="str">
        <f t="shared" ref="T11:T74" si="5">IF(D11="","",IF(E11-P11-Q11=0&lt;0,"Error in lengths ▲",IF(P11+Q11&gt;E11,"Error in Lengths ▲",E11-P11-Q11)))</f>
        <v/>
      </c>
      <c r="U11" s="339" t="str">
        <f t="shared" ref="U11:U74" si="6">IFERROR(IF(OR(E11="",N11=""),"",IF(E11-P11-Q11=0&lt;0,"Error in Lengths ▲",IF(P11+Q11&gt;E11,"Error in Lengths ▲",N11-R11-S11))),"Check data ⚠")</f>
        <v/>
      </c>
      <c r="V11" s="100"/>
      <c r="W11" s="101"/>
      <c r="X11" s="101"/>
      <c r="AE11" s="105" t="str">
        <f t="shared" si="0"/>
        <v/>
      </c>
      <c r="AF11" s="105" t="str">
        <f t="shared" si="1"/>
        <v/>
      </c>
      <c r="AH11" s="105">
        <v>2</v>
      </c>
      <c r="AJ11" s="105" t="str">
        <f t="array" ref="AJ11">IFERROR(INDEX($AH$10:$AH$258, MATCH(0, IF(TRUE=$AE$10:$AE$258, COUNTIF($AJ$9:$AJ10, $AH$10:$AH$258), ""), 0)),"")</f>
        <v/>
      </c>
      <c r="AK11" s="105" t="str">
        <f t="array" ref="AK11">IFERROR(INDEX($AH$10:$AH$258, MATCH(0, IF(TRUE=$AF$10:$AF$258, COUNTIF($AK$9:$AK10, $AH$10:$AH$258), ""), 0)),"")</f>
        <v/>
      </c>
      <c r="AL11" s="15" t="str">
        <f>IFERROR(INDEX('G-6 Hedgerow Data'!$BJ$3:$BJ$15,MATCH(D11,'G-6 Hedgerow Data'!$B$3:$B$15,0)),"")</f>
        <v/>
      </c>
    </row>
    <row r="12" spans="2:38" x14ac:dyDescent="0.3">
      <c r="B12" s="92">
        <v>3</v>
      </c>
      <c r="C12" s="141"/>
      <c r="D12" s="47"/>
      <c r="E12" s="120"/>
      <c r="F12" s="335" t="str">
        <f>IF(D12="","",VLOOKUP(D12,'G-6 Hedgerow Data'!$B$2:$AG$15,2,FALSE))</f>
        <v/>
      </c>
      <c r="G12" s="291" t="str">
        <f>IF(D12="","",VLOOKUP(D12,'G-6 Hedgerow Data'!$B$2:$AG$15,3,FALSE))</f>
        <v/>
      </c>
      <c r="H12" s="95"/>
      <c r="I12" s="291" t="str">
        <f>IFERROR(IF(AND(D12&lt;&gt;"",H12=""),"Check data ⚠", IF(H12="","",IF(AND(D12="Non-native and ornamental hedgerow", H12&lt;&gt;"Poor"),"Not possible ▲", (VLOOKUP(H12,'G-1 All Habitats'!$Z$2:$AA$9,2,FALSE))))),"")</f>
        <v/>
      </c>
      <c r="J12" s="95"/>
      <c r="K12" s="298" t="str">
        <f>IF(AND(D12&lt;&gt;"",J12=""),"Check data ⚠", IF(J12="","",IF(VLOOKUP(J12,'G-3 Multipliers'!$L$3:$N$6,2,FALSE)=0,"Spatial Data Missing",VLOOKUP(J12,'G-3 Multipliers'!$L$3:$N$6,2,FALSE))))</f>
        <v/>
      </c>
      <c r="L12" s="296" t="str">
        <f>IF(J12="","",IF(VLOOKUP(J12,'G-3 Multipliers'!$L$3:$N$6,3,FALSE)=0,"Spatial Data Missing ⚠",VLOOKUP(J12,'G-3 Multipliers'!$L$3:$N$6,3,FALSE)))</f>
        <v/>
      </c>
      <c r="M12" s="297" t="str">
        <f>IF(D12="","",VLOOKUP(D12,'G-6 Hedgerow Data'!$B$1:$AH$15,33,FALSE))</f>
        <v/>
      </c>
      <c r="N12" s="304" t="str">
        <f t="shared" si="2"/>
        <v/>
      </c>
      <c r="O12" s="17"/>
      <c r="P12" s="441"/>
      <c r="Q12" s="141"/>
      <c r="R12" s="320" t="str">
        <f t="shared" si="3"/>
        <v/>
      </c>
      <c r="S12" s="320" t="str">
        <f t="shared" si="4"/>
        <v/>
      </c>
      <c r="T12" s="320" t="str">
        <f t="shared" si="5"/>
        <v/>
      </c>
      <c r="U12" s="339" t="str">
        <f t="shared" si="6"/>
        <v/>
      </c>
      <c r="V12" s="100"/>
      <c r="W12" s="101"/>
      <c r="X12" s="101"/>
      <c r="AE12" s="105" t="str">
        <f t="shared" si="0"/>
        <v/>
      </c>
      <c r="AF12" s="105" t="str">
        <f t="shared" si="1"/>
        <v/>
      </c>
      <c r="AH12" s="105">
        <v>3</v>
      </c>
      <c r="AJ12" s="105" t="str">
        <f t="array" ref="AJ12">IFERROR(INDEX($AH$10:$AH$258, MATCH(0, IF(TRUE=$AE$10:$AE$258, COUNTIF($AJ$9:$AJ11, $AH$10:$AH$258), ""), 0)),"")</f>
        <v/>
      </c>
      <c r="AK12" s="105" t="str">
        <f t="array" ref="AK12">IFERROR(INDEX($AH$10:$AH$258, MATCH(0, IF(TRUE=$AF$10:$AF$258, COUNTIF($AK$9:$AK11, $AH$10:$AH$258), ""), 0)),"")</f>
        <v/>
      </c>
      <c r="AL12" s="15" t="str">
        <f>IFERROR(INDEX('G-6 Hedgerow Data'!$BJ$3:$BJ$15,MATCH(D12,'G-6 Hedgerow Data'!$B$3:$B$15,0)),"")</f>
        <v/>
      </c>
    </row>
    <row r="13" spans="2:38" x14ac:dyDescent="0.3">
      <c r="B13" s="92">
        <v>4</v>
      </c>
      <c r="C13" s="141"/>
      <c r="D13" s="47"/>
      <c r="E13" s="120"/>
      <c r="F13" s="335" t="str">
        <f>IF(D13="","",VLOOKUP(D13,'G-6 Hedgerow Data'!$B$2:$AG$15,2,FALSE))</f>
        <v/>
      </c>
      <c r="G13" s="291" t="str">
        <f>IF(D13="","",VLOOKUP(D13,'G-6 Hedgerow Data'!$B$2:$AG$15,3,FALSE))</f>
        <v/>
      </c>
      <c r="H13" s="95"/>
      <c r="I13" s="291" t="str">
        <f>IFERROR(IF(AND(D13&lt;&gt;"",H13=""),"Check data ⚠", IF(H13="","",IF(AND(D13="Non-native and ornamental hedgerow", H13&lt;&gt;"Poor"),"Not possible ▲", (VLOOKUP(H13,'G-1 All Habitats'!$Z$2:$AA$9,2,FALSE))))),"")</f>
        <v/>
      </c>
      <c r="J13" s="95"/>
      <c r="K13" s="298" t="str">
        <f>IF(AND(D13&lt;&gt;"",J13=""),"Check data ⚠", IF(J13="","",IF(VLOOKUP(J13,'G-3 Multipliers'!$L$3:$N$6,2,FALSE)=0,"Spatial Data Missing",VLOOKUP(J13,'G-3 Multipliers'!$L$3:$N$6,2,FALSE))))</f>
        <v/>
      </c>
      <c r="L13" s="296" t="str">
        <f>IF(J13="","",IF(VLOOKUP(J13,'G-3 Multipliers'!$L$3:$N$6,3,FALSE)=0,"Spatial Data Missing ⚠",VLOOKUP(J13,'G-3 Multipliers'!$L$3:$N$6,3,FALSE)))</f>
        <v/>
      </c>
      <c r="M13" s="297" t="str">
        <f>IF(D13="","",VLOOKUP(D13,'G-6 Hedgerow Data'!$B$1:$AH$15,33,FALSE))</f>
        <v/>
      </c>
      <c r="N13" s="304" t="str">
        <f t="shared" si="2"/>
        <v/>
      </c>
      <c r="O13" s="17"/>
      <c r="P13" s="441"/>
      <c r="Q13" s="141"/>
      <c r="R13" s="320" t="str">
        <f t="shared" si="3"/>
        <v/>
      </c>
      <c r="S13" s="320" t="str">
        <f t="shared" si="4"/>
        <v/>
      </c>
      <c r="T13" s="320" t="str">
        <f t="shared" si="5"/>
        <v/>
      </c>
      <c r="U13" s="339" t="str">
        <f t="shared" si="6"/>
        <v/>
      </c>
      <c r="V13" s="100"/>
      <c r="W13" s="101"/>
      <c r="X13" s="101"/>
      <c r="AE13" s="105" t="str">
        <f t="shared" si="0"/>
        <v/>
      </c>
      <c r="AF13" s="105" t="str">
        <f t="shared" si="1"/>
        <v/>
      </c>
      <c r="AH13" s="105">
        <v>4</v>
      </c>
      <c r="AJ13" s="105" t="str">
        <f t="array" ref="AJ13">IFERROR(INDEX($AH$10:$AH$258, MATCH(0, IF(TRUE=$AE$10:$AE$258, COUNTIF($AJ$9:$AJ12, $AH$10:$AH$258), ""), 0)),"")</f>
        <v/>
      </c>
      <c r="AK13" s="105" t="str">
        <f t="array" ref="AK13">IFERROR(INDEX($AH$10:$AH$258, MATCH(0, IF(TRUE=$AF$10:$AF$258, COUNTIF($AK$9:$AK12, $AH$10:$AH$258), ""), 0)),"")</f>
        <v/>
      </c>
      <c r="AL13" s="15" t="str">
        <f>IFERROR(INDEX('G-6 Hedgerow Data'!$BJ$3:$BJ$15,MATCH(D13,'G-6 Hedgerow Data'!$B$3:$B$15,0)),"")</f>
        <v/>
      </c>
    </row>
    <row r="14" spans="2:38" x14ac:dyDescent="0.3">
      <c r="B14" s="92">
        <v>5</v>
      </c>
      <c r="C14" s="141"/>
      <c r="D14" s="138"/>
      <c r="E14" s="37"/>
      <c r="F14" s="335" t="str">
        <f>IF(D14="","",VLOOKUP(D14,'G-6 Hedgerow Data'!$B$2:$AG$15,2,FALSE))</f>
        <v/>
      </c>
      <c r="G14" s="291" t="str">
        <f>IF(D14="","",VLOOKUP(D14,'G-6 Hedgerow Data'!$B$2:$AG$15,3,FALSE))</f>
        <v/>
      </c>
      <c r="H14" s="95"/>
      <c r="I14" s="291" t="str">
        <f>IFERROR(IF(AND(D14&lt;&gt;"",H14=""),"Check data ⚠", IF(H14="","",IF(AND(D14="Non-native and ornamental hedgerow", H14&lt;&gt;"Poor"),"Not possible ▲", (VLOOKUP(H14,'G-1 All Habitats'!$Z$2:$AA$9,2,FALSE))))),"")</f>
        <v/>
      </c>
      <c r="J14" s="95"/>
      <c r="K14" s="298" t="str">
        <f>IF(AND(D14&lt;&gt;"",J14=""),"Check data ⚠", IF(J14="","",IF(VLOOKUP(J14,'G-3 Multipliers'!$L$3:$N$6,2,FALSE)=0,"Spatial Data Missing",VLOOKUP(J14,'G-3 Multipliers'!$L$3:$N$6,2,FALSE))))</f>
        <v/>
      </c>
      <c r="L14" s="296" t="str">
        <f>IF(J14="","",IF(VLOOKUP(J14,'G-3 Multipliers'!$L$3:$N$6,3,FALSE)=0,"Spatial Data Missing ⚠",VLOOKUP(J14,'G-3 Multipliers'!$L$3:$N$6,3,FALSE)))</f>
        <v/>
      </c>
      <c r="M14" s="297" t="str">
        <f>IF(D14="","",VLOOKUP(D14,'G-6 Hedgerow Data'!$B$1:$AH$15,33,FALSE))</f>
        <v/>
      </c>
      <c r="N14" s="304" t="str">
        <f t="shared" si="2"/>
        <v/>
      </c>
      <c r="O14" s="17"/>
      <c r="P14" s="441"/>
      <c r="Q14" s="141"/>
      <c r="R14" s="320" t="str">
        <f t="shared" si="3"/>
        <v/>
      </c>
      <c r="S14" s="320" t="str">
        <f t="shared" si="4"/>
        <v/>
      </c>
      <c r="T14" s="320" t="str">
        <f t="shared" si="5"/>
        <v/>
      </c>
      <c r="U14" s="339" t="str">
        <f t="shared" si="6"/>
        <v/>
      </c>
      <c r="V14" s="100"/>
      <c r="W14" s="101"/>
      <c r="X14" s="101"/>
      <c r="AE14" s="105" t="str">
        <f t="shared" si="0"/>
        <v/>
      </c>
      <c r="AF14" s="105" t="str">
        <f t="shared" si="1"/>
        <v/>
      </c>
      <c r="AH14" s="105">
        <v>5</v>
      </c>
      <c r="AJ14" s="105" t="str">
        <f t="array" ref="AJ14">IFERROR(INDEX($AH$10:$AH$258, MATCH(0, IF(TRUE=$AE$10:$AE$258, COUNTIF($AJ$9:$AJ13, $AH$10:$AH$258), ""), 0)),"")</f>
        <v/>
      </c>
      <c r="AK14" s="105" t="str">
        <f t="array" ref="AK14">IFERROR(INDEX($AH$10:$AH$258, MATCH(0, IF(TRUE=$AF$10:$AF$258, COUNTIF($AK$9:$AK13, $AH$10:$AH$258), ""), 0)),"")</f>
        <v/>
      </c>
      <c r="AL14" s="15" t="str">
        <f>IFERROR(INDEX('G-6 Hedgerow Data'!$BJ$3:$BJ$15,MATCH(D14,'G-6 Hedgerow Data'!$B$3:$B$15,0)),"")</f>
        <v/>
      </c>
    </row>
    <row r="15" spans="2:38" x14ac:dyDescent="0.3">
      <c r="B15" s="92">
        <v>6</v>
      </c>
      <c r="C15" s="141"/>
      <c r="D15" s="138"/>
      <c r="E15" s="37"/>
      <c r="F15" s="335" t="str">
        <f>IF(D15="","",VLOOKUP(D15,'G-6 Hedgerow Data'!$B$2:$AG$15,2,FALSE))</f>
        <v/>
      </c>
      <c r="G15" s="291" t="str">
        <f>IF(D15="","",VLOOKUP(D15,'G-6 Hedgerow Data'!$B$2:$AG$15,3,FALSE))</f>
        <v/>
      </c>
      <c r="H15" s="95"/>
      <c r="I15" s="291" t="str">
        <f>IFERROR(IF(AND(D15&lt;&gt;"",H15=""),"Check data ⚠", IF(H15="","",IF(AND(D15="Non-native and ornamental hedgerow", H15&lt;&gt;"Poor"),"Not possible ▲", (VLOOKUP(H15,'G-1 All Habitats'!$Z$2:$AA$9,2,FALSE))))),"")</f>
        <v/>
      </c>
      <c r="J15" s="95"/>
      <c r="K15" s="298" t="str">
        <f>IF(AND(D15&lt;&gt;"",J15=""),"Check data ⚠", IF(J15="","",IF(VLOOKUP(J15,'G-3 Multipliers'!$L$3:$N$6,2,FALSE)=0,"Spatial Data Missing",VLOOKUP(J15,'G-3 Multipliers'!$L$3:$N$6,2,FALSE))))</f>
        <v/>
      </c>
      <c r="L15" s="296" t="str">
        <f>IF(J15="","",IF(VLOOKUP(J15,'G-3 Multipliers'!$L$3:$N$6,3,FALSE)=0,"Spatial Data Missing ⚠",VLOOKUP(J15,'G-3 Multipliers'!$L$3:$N$6,3,FALSE)))</f>
        <v/>
      </c>
      <c r="M15" s="297" t="str">
        <f>IF(D15="","",VLOOKUP(D15,'G-6 Hedgerow Data'!$B$1:$AH$15,33,FALSE))</f>
        <v/>
      </c>
      <c r="N15" s="304" t="str">
        <f t="shared" si="2"/>
        <v/>
      </c>
      <c r="O15" s="17"/>
      <c r="P15" s="441"/>
      <c r="Q15" s="141"/>
      <c r="R15" s="320" t="str">
        <f t="shared" si="3"/>
        <v/>
      </c>
      <c r="S15" s="320" t="str">
        <f t="shared" si="4"/>
        <v/>
      </c>
      <c r="T15" s="320" t="str">
        <f t="shared" si="5"/>
        <v/>
      </c>
      <c r="U15" s="339" t="str">
        <f t="shared" si="6"/>
        <v/>
      </c>
      <c r="V15" s="100"/>
      <c r="W15" s="101"/>
      <c r="X15" s="101"/>
      <c r="AE15" s="105" t="str">
        <f t="shared" si="0"/>
        <v/>
      </c>
      <c r="AF15" s="105" t="str">
        <f t="shared" si="1"/>
        <v/>
      </c>
      <c r="AH15" s="105">
        <v>6</v>
      </c>
      <c r="AJ15" s="105" t="str">
        <f t="array" ref="AJ15">IFERROR(INDEX($AH$10:$AH$258, MATCH(0, IF(TRUE=$AE$10:$AE$258, COUNTIF($AJ$9:$AJ14, $AH$10:$AH$258), ""), 0)),"")</f>
        <v/>
      </c>
      <c r="AK15" s="105" t="str">
        <f t="array" ref="AK15">IFERROR(INDEX($AH$10:$AH$258, MATCH(0, IF(TRUE=$AF$10:$AF$258, COUNTIF($AK$9:$AK14, $AH$10:$AH$258), ""), 0)),"")</f>
        <v/>
      </c>
      <c r="AL15" s="15" t="str">
        <f>IFERROR(INDEX('G-6 Hedgerow Data'!$BJ$3:$BJ$15,MATCH(D15,'G-6 Hedgerow Data'!$B$3:$B$15,0)),"")</f>
        <v/>
      </c>
    </row>
    <row r="16" spans="2:38" x14ac:dyDescent="0.3">
      <c r="B16" s="92">
        <v>7</v>
      </c>
      <c r="C16" s="141"/>
      <c r="D16" s="138"/>
      <c r="E16" s="37"/>
      <c r="F16" s="335" t="str">
        <f>IF(D16="","",VLOOKUP(D16,'G-6 Hedgerow Data'!$B$2:$AG$15,2,FALSE))</f>
        <v/>
      </c>
      <c r="G16" s="291" t="str">
        <f>IF(D16="","",VLOOKUP(D16,'G-6 Hedgerow Data'!$B$2:$AG$15,3,FALSE))</f>
        <v/>
      </c>
      <c r="H16" s="95"/>
      <c r="I16" s="291" t="str">
        <f>IFERROR(IF(AND(D16&lt;&gt;"",H16=""),"Check data ⚠", IF(H16="","",IF(AND(D16="Non-native and ornamental hedgerow", H16&lt;&gt;"Poor"),"Not possible ▲", (VLOOKUP(H16,'G-1 All Habitats'!$Z$2:$AA$9,2,FALSE))))),"")</f>
        <v/>
      </c>
      <c r="J16" s="95"/>
      <c r="K16" s="298" t="str">
        <f>IF(AND(D16&lt;&gt;"",J16=""),"Check data ⚠", IF(J16="","",IF(VLOOKUP(J16,'G-3 Multipliers'!$L$3:$N$6,2,FALSE)=0,"Spatial Data Missing",VLOOKUP(J16,'G-3 Multipliers'!$L$3:$N$6,2,FALSE))))</f>
        <v/>
      </c>
      <c r="L16" s="296" t="str">
        <f>IF(J16="","",IF(VLOOKUP(J16,'G-3 Multipliers'!$L$3:$N$6,3,FALSE)=0,"Spatial Data Missing ⚠",VLOOKUP(J16,'G-3 Multipliers'!$L$3:$N$6,3,FALSE)))</f>
        <v/>
      </c>
      <c r="M16" s="297" t="str">
        <f>IF(D16="","",VLOOKUP(D16,'G-6 Hedgerow Data'!$B$1:$AH$15,33,FALSE))</f>
        <v/>
      </c>
      <c r="N16" s="304" t="str">
        <f t="shared" si="2"/>
        <v/>
      </c>
      <c r="O16" s="17"/>
      <c r="P16" s="441"/>
      <c r="Q16" s="141"/>
      <c r="R16" s="320" t="str">
        <f t="shared" si="3"/>
        <v/>
      </c>
      <c r="S16" s="320" t="str">
        <f t="shared" si="4"/>
        <v/>
      </c>
      <c r="T16" s="320" t="str">
        <f t="shared" si="5"/>
        <v/>
      </c>
      <c r="U16" s="339" t="str">
        <f t="shared" si="6"/>
        <v/>
      </c>
      <c r="V16" s="100"/>
      <c r="W16" s="101"/>
      <c r="X16" s="101"/>
      <c r="AE16" s="105" t="str">
        <f t="shared" si="0"/>
        <v/>
      </c>
      <c r="AF16" s="105" t="str">
        <f t="shared" si="1"/>
        <v/>
      </c>
      <c r="AH16" s="105">
        <v>7</v>
      </c>
      <c r="AJ16" s="105" t="str">
        <f t="array" ref="AJ16">IFERROR(INDEX($AH$10:$AH$258, MATCH(0, IF(TRUE=$AE$10:$AE$258, COUNTIF($AJ$9:$AJ15, $AH$10:$AH$258), ""), 0)),"")</f>
        <v/>
      </c>
      <c r="AK16" s="105" t="str">
        <f t="array" ref="AK16">IFERROR(INDEX($AH$10:$AH$258, MATCH(0, IF(TRUE=$AF$10:$AF$258, COUNTIF($AK$9:$AK15, $AH$10:$AH$258), ""), 0)),"")</f>
        <v/>
      </c>
      <c r="AL16" s="15" t="str">
        <f>IFERROR(INDEX('G-6 Hedgerow Data'!$BJ$3:$BJ$15,MATCH(D16,'G-6 Hedgerow Data'!$B$3:$B$15,0)),"")</f>
        <v/>
      </c>
    </row>
    <row r="17" spans="2:38" x14ac:dyDescent="0.3">
      <c r="B17" s="92">
        <v>8</v>
      </c>
      <c r="C17" s="141"/>
      <c r="D17" s="138"/>
      <c r="E17" s="37"/>
      <c r="F17" s="335" t="str">
        <f>IF(D17="","",VLOOKUP(D17,'G-6 Hedgerow Data'!$B$2:$AG$15,2,FALSE))</f>
        <v/>
      </c>
      <c r="G17" s="291" t="str">
        <f>IF(D17="","",VLOOKUP(D17,'G-6 Hedgerow Data'!$B$2:$AG$15,3,FALSE))</f>
        <v/>
      </c>
      <c r="H17" s="95"/>
      <c r="I17" s="291" t="str">
        <f>IFERROR(IF(AND(D17&lt;&gt;"",H17=""),"Check data ⚠", IF(H17="","",IF(AND(D17="Non-native and ornamental hedgerow", H17&lt;&gt;"Poor"),"Not possible ▲", (VLOOKUP(H17,'G-1 All Habitats'!$Z$2:$AA$9,2,FALSE))))),"")</f>
        <v/>
      </c>
      <c r="J17" s="95"/>
      <c r="K17" s="298" t="str">
        <f>IF(AND(D17&lt;&gt;"",J17=""),"Check data ⚠", IF(J17="","",IF(VLOOKUP(J17,'G-3 Multipliers'!$L$3:$N$6,2,FALSE)=0,"Spatial Data Missing",VLOOKUP(J17,'G-3 Multipliers'!$L$3:$N$6,2,FALSE))))</f>
        <v/>
      </c>
      <c r="L17" s="296" t="str">
        <f>IF(J17="","",IF(VLOOKUP(J17,'G-3 Multipliers'!$L$3:$N$6,3,FALSE)=0,"Spatial Data Missing ⚠",VLOOKUP(J17,'G-3 Multipliers'!$L$3:$N$6,3,FALSE)))</f>
        <v/>
      </c>
      <c r="M17" s="297" t="str">
        <f>IF(D17="","",VLOOKUP(D17,'G-6 Hedgerow Data'!$B$1:$AH$15,33,FALSE))</f>
        <v/>
      </c>
      <c r="N17" s="304" t="str">
        <f t="shared" si="2"/>
        <v/>
      </c>
      <c r="O17" s="17"/>
      <c r="P17" s="441"/>
      <c r="Q17" s="141"/>
      <c r="R17" s="320" t="str">
        <f t="shared" si="3"/>
        <v/>
      </c>
      <c r="S17" s="320" t="str">
        <f t="shared" si="4"/>
        <v/>
      </c>
      <c r="T17" s="320" t="str">
        <f t="shared" si="5"/>
        <v/>
      </c>
      <c r="U17" s="339" t="str">
        <f t="shared" si="6"/>
        <v/>
      </c>
      <c r="V17" s="100"/>
      <c r="W17" s="101"/>
      <c r="X17" s="101"/>
      <c r="AE17" s="105" t="str">
        <f t="shared" si="0"/>
        <v/>
      </c>
      <c r="AF17" s="105" t="str">
        <f t="shared" si="1"/>
        <v/>
      </c>
      <c r="AH17" s="105">
        <v>8</v>
      </c>
      <c r="AJ17" s="105" t="str">
        <f t="array" ref="AJ17">IFERROR(INDEX($AH$10:$AH$258, MATCH(0, IF(TRUE=$AE$10:$AE$258, COUNTIF($AJ$9:$AJ16, $AH$10:$AH$258), ""), 0)),"")</f>
        <v/>
      </c>
      <c r="AK17" s="105" t="str">
        <f t="array" ref="AK17">IFERROR(INDEX($AH$10:$AH$258, MATCH(0, IF(TRUE=$AF$10:$AF$258, COUNTIF($AK$9:$AK16, $AH$10:$AH$258), ""), 0)),"")</f>
        <v/>
      </c>
      <c r="AL17" s="15" t="str">
        <f>IFERROR(INDEX('G-6 Hedgerow Data'!$BJ$3:$BJ$15,MATCH(D17,'G-6 Hedgerow Data'!$B$3:$B$15,0)),"")</f>
        <v/>
      </c>
    </row>
    <row r="18" spans="2:38" x14ac:dyDescent="0.3">
      <c r="B18" s="92">
        <v>9</v>
      </c>
      <c r="C18" s="141"/>
      <c r="D18" s="138"/>
      <c r="E18" s="120"/>
      <c r="F18" s="335" t="str">
        <f>IF(D18="","",VLOOKUP(D18,'G-6 Hedgerow Data'!$B$2:$AG$15,2,FALSE))</f>
        <v/>
      </c>
      <c r="G18" s="291" t="str">
        <f>IF(D18="","",VLOOKUP(D18,'G-6 Hedgerow Data'!$B$2:$AG$15,3,FALSE))</f>
        <v/>
      </c>
      <c r="H18" s="95"/>
      <c r="I18" s="291" t="str">
        <f>IFERROR(IF(AND(D18&lt;&gt;"",H18=""),"Check data ⚠", IF(H18="","",IF(AND(D18="Non-native and ornamental hedgerow", H18&lt;&gt;"Poor"),"Not possible ▲", (VLOOKUP(H18,'G-1 All Habitats'!$Z$2:$AA$9,2,FALSE))))),"")</f>
        <v/>
      </c>
      <c r="J18" s="95"/>
      <c r="K18" s="298" t="str">
        <f>IF(AND(D18&lt;&gt;"",J18=""),"Check data ⚠", IF(J18="","",IF(VLOOKUP(J18,'G-3 Multipliers'!$L$3:$N$6,2,FALSE)=0,"Spatial Data Missing",VLOOKUP(J18,'G-3 Multipliers'!$L$3:$N$6,2,FALSE))))</f>
        <v/>
      </c>
      <c r="L18" s="296" t="str">
        <f>IF(J18="","",IF(VLOOKUP(J18,'G-3 Multipliers'!$L$3:$N$6,3,FALSE)=0,"Spatial Data Missing ⚠",VLOOKUP(J18,'G-3 Multipliers'!$L$3:$N$6,3,FALSE)))</f>
        <v/>
      </c>
      <c r="M18" s="297" t="str">
        <f>IF(D18="","",VLOOKUP(D18,'G-6 Hedgerow Data'!$B$1:$AH$15,33,FALSE))</f>
        <v/>
      </c>
      <c r="N18" s="304" t="str">
        <f>IFERROR(IF(OR(K18="Check data ⚠",I18="Check data ⚠"), "Check data ▲", (E18*G18*I18*L18)),"")</f>
        <v/>
      </c>
      <c r="O18" s="17"/>
      <c r="P18" s="441"/>
      <c r="Q18" s="141"/>
      <c r="R18" s="320" t="str">
        <f t="shared" si="3"/>
        <v/>
      </c>
      <c r="S18" s="320" t="str">
        <f t="shared" si="4"/>
        <v/>
      </c>
      <c r="T18" s="320" t="str">
        <f t="shared" si="5"/>
        <v/>
      </c>
      <c r="U18" s="339" t="str">
        <f t="shared" si="6"/>
        <v/>
      </c>
      <c r="V18" s="100"/>
      <c r="W18" s="101"/>
      <c r="X18" s="101"/>
      <c r="AE18" s="105" t="str">
        <f t="shared" si="0"/>
        <v/>
      </c>
      <c r="AF18" s="105" t="str">
        <f t="shared" si="1"/>
        <v/>
      </c>
      <c r="AH18" s="105">
        <v>9</v>
      </c>
      <c r="AJ18" s="105" t="str">
        <f t="array" ref="AJ18">IFERROR(INDEX($AH$10:$AH$258, MATCH(0, IF(TRUE=$AE$10:$AE$258, COUNTIF($AJ$9:$AJ17, $AH$10:$AH$258), ""), 0)),"")</f>
        <v/>
      </c>
      <c r="AK18" s="105" t="str">
        <f t="array" ref="AK18">IFERROR(INDEX($AH$10:$AH$258, MATCH(0, IF(TRUE=$AF$10:$AF$258, COUNTIF($AK$9:$AK17, $AH$10:$AH$258), ""), 0)),"")</f>
        <v/>
      </c>
      <c r="AL18" s="15" t="str">
        <f>IFERROR(INDEX('G-6 Hedgerow Data'!$BJ$3:$BJ$15,MATCH(D18,'G-6 Hedgerow Data'!$B$3:$B$15,0)),"")</f>
        <v/>
      </c>
    </row>
    <row r="19" spans="2:38" x14ac:dyDescent="0.3">
      <c r="B19" s="92">
        <v>10</v>
      </c>
      <c r="C19" s="141"/>
      <c r="D19" s="138"/>
      <c r="E19" s="120"/>
      <c r="F19" s="335" t="str">
        <f>IF(D19="","",VLOOKUP(D19,'G-6 Hedgerow Data'!$B$2:$AG$15,2,FALSE))</f>
        <v/>
      </c>
      <c r="G19" s="291" t="str">
        <f>IF(D19="","",VLOOKUP(D19,'G-6 Hedgerow Data'!$B$2:$AG$15,3,FALSE))</f>
        <v/>
      </c>
      <c r="H19" s="95"/>
      <c r="I19" s="291" t="str">
        <f>IFERROR(IF(AND(D19&lt;&gt;"",H19=""),"Check data ⚠", IF(H19="","",IF(AND(D19="Non-native and ornamental hedgerow", H19&lt;&gt;"Poor"),"Not possible ▲", (VLOOKUP(H19,'G-1 All Habitats'!$Z$2:$AA$9,2,FALSE))))),"")</f>
        <v/>
      </c>
      <c r="J19" s="95"/>
      <c r="K19" s="298" t="str">
        <f>IF(AND(D19&lt;&gt;"",J19=""),"Check data ⚠", IF(J19="","",IF(VLOOKUP(J19,'G-3 Multipliers'!$L$3:$N$6,2,FALSE)=0,"Spatial Data Missing",VLOOKUP(J19,'G-3 Multipliers'!$L$3:$N$6,2,FALSE))))</f>
        <v/>
      </c>
      <c r="L19" s="296" t="str">
        <f>IF(J19="","",IF(VLOOKUP(J19,'G-3 Multipliers'!$L$3:$N$6,3,FALSE)=0,"Spatial Data Missing ⚠",VLOOKUP(J19,'G-3 Multipliers'!$L$3:$N$6,3,FALSE)))</f>
        <v/>
      </c>
      <c r="M19" s="297" t="str">
        <f>IF(D19="","",VLOOKUP(D19,'G-6 Hedgerow Data'!$B$1:$AH$15,33,FALSE))</f>
        <v/>
      </c>
      <c r="N19" s="304" t="str">
        <f t="shared" si="2"/>
        <v/>
      </c>
      <c r="O19" s="17"/>
      <c r="P19" s="441"/>
      <c r="Q19" s="141"/>
      <c r="R19" s="320" t="str">
        <f t="shared" si="3"/>
        <v/>
      </c>
      <c r="S19" s="320" t="str">
        <f t="shared" si="4"/>
        <v/>
      </c>
      <c r="T19" s="320" t="str">
        <f t="shared" si="5"/>
        <v/>
      </c>
      <c r="U19" s="339" t="str">
        <f t="shared" si="6"/>
        <v/>
      </c>
      <c r="V19" s="100"/>
      <c r="W19" s="101"/>
      <c r="X19" s="101"/>
      <c r="AE19" s="105" t="str">
        <f t="shared" si="0"/>
        <v/>
      </c>
      <c r="AF19" s="105" t="str">
        <f t="shared" si="1"/>
        <v/>
      </c>
      <c r="AH19" s="105">
        <v>10</v>
      </c>
      <c r="AJ19" s="105" t="str">
        <f t="array" ref="AJ19">IFERROR(INDEX($AH$10:$AH$258, MATCH(0, IF(TRUE=$AE$10:$AE$258, COUNTIF($AJ$9:$AJ18, $AH$10:$AH$258), ""), 0)),"")</f>
        <v/>
      </c>
      <c r="AK19" s="105" t="str">
        <f t="array" ref="AK19">IFERROR(INDEX($AH$10:$AH$258, MATCH(0, IF(TRUE=$AF$10:$AF$258, COUNTIF($AK$9:$AK18, $AH$10:$AH$258), ""), 0)),"")</f>
        <v/>
      </c>
      <c r="AL19" s="15" t="str">
        <f>IFERROR(INDEX('G-6 Hedgerow Data'!$BJ$3:$BJ$15,MATCH(D19,'G-6 Hedgerow Data'!$B$3:$B$15,0)),"")</f>
        <v/>
      </c>
    </row>
    <row r="20" spans="2:38" x14ac:dyDescent="0.3">
      <c r="B20" s="92">
        <v>11</v>
      </c>
      <c r="C20" s="141"/>
      <c r="D20" s="138"/>
      <c r="E20" s="120"/>
      <c r="F20" s="335" t="str">
        <f>IF(D20="","",VLOOKUP(D20,'G-6 Hedgerow Data'!$B$2:$AG$15,2,FALSE))</f>
        <v/>
      </c>
      <c r="G20" s="291" t="str">
        <f>IF(D20="","",VLOOKUP(D20,'G-6 Hedgerow Data'!$B$2:$AG$15,3,FALSE))</f>
        <v/>
      </c>
      <c r="H20" s="95"/>
      <c r="I20" s="291" t="str">
        <f>IFERROR(IF(AND(D20&lt;&gt;"",H20=""),"Check data ⚠", IF(H20="","",IF(AND(D20="Non-native and ornamental hedgerow", H20&lt;&gt;"Poor"),"Not possible ▲", (VLOOKUP(H20,'G-1 All Habitats'!$Z$2:$AA$9,2,FALSE))))),"")</f>
        <v/>
      </c>
      <c r="J20" s="95"/>
      <c r="K20" s="298" t="str">
        <f>IF(AND(D20&lt;&gt;"",J20=""),"Check data ⚠", IF(J20="","",IF(VLOOKUP(J20,'G-3 Multipliers'!$L$3:$N$6,2,FALSE)=0,"Spatial Data Missing",VLOOKUP(J20,'G-3 Multipliers'!$L$3:$N$6,2,FALSE))))</f>
        <v/>
      </c>
      <c r="L20" s="296" t="str">
        <f>IF(J20="","",IF(VLOOKUP(J20,'G-3 Multipliers'!$L$3:$N$6,3,FALSE)=0,"Spatial Data Missing ⚠",VLOOKUP(J20,'G-3 Multipliers'!$L$3:$N$6,3,FALSE)))</f>
        <v/>
      </c>
      <c r="M20" s="297" t="str">
        <f>IF(D20="","",VLOOKUP(D20,'G-6 Hedgerow Data'!$B$1:$AH$15,33,FALSE))</f>
        <v/>
      </c>
      <c r="N20" s="304" t="str">
        <f t="shared" si="2"/>
        <v/>
      </c>
      <c r="O20" s="17"/>
      <c r="P20" s="441"/>
      <c r="Q20" s="141"/>
      <c r="R20" s="320" t="str">
        <f t="shared" si="3"/>
        <v/>
      </c>
      <c r="S20" s="320" t="str">
        <f t="shared" si="4"/>
        <v/>
      </c>
      <c r="T20" s="320" t="str">
        <f t="shared" si="5"/>
        <v/>
      </c>
      <c r="U20" s="339" t="str">
        <f t="shared" si="6"/>
        <v/>
      </c>
      <c r="V20" s="100"/>
      <c r="W20" s="101"/>
      <c r="X20" s="101"/>
      <c r="AE20" s="105" t="str">
        <f t="shared" si="0"/>
        <v/>
      </c>
      <c r="AF20" s="105" t="str">
        <f t="shared" si="1"/>
        <v/>
      </c>
      <c r="AH20" s="105">
        <v>11</v>
      </c>
      <c r="AJ20" s="105" t="str">
        <f t="array" ref="AJ20">IFERROR(INDEX($AH$10:$AH$258, MATCH(0, IF(TRUE=$AE$10:$AE$258, COUNTIF($AJ$9:$AJ19, $AH$10:$AH$258), ""), 0)),"")</f>
        <v/>
      </c>
      <c r="AK20" s="105" t="str">
        <f t="array" ref="AK20">IFERROR(INDEX($AH$10:$AH$258, MATCH(0, IF(TRUE=$AF$10:$AF$258, COUNTIF($AK$9:$AK19, $AH$10:$AH$258), ""), 0)),"")</f>
        <v/>
      </c>
      <c r="AL20" s="15" t="str">
        <f>IFERROR(INDEX('G-6 Hedgerow Data'!$BJ$3:$BJ$15,MATCH(D20,'G-6 Hedgerow Data'!$B$3:$B$15,0)),"")</f>
        <v/>
      </c>
    </row>
    <row r="21" spans="2:38" x14ac:dyDescent="0.3">
      <c r="B21" s="92">
        <v>12</v>
      </c>
      <c r="C21" s="141"/>
      <c r="D21" s="138"/>
      <c r="E21" s="120"/>
      <c r="F21" s="335" t="str">
        <f>IF(D21="","",VLOOKUP(D21,'G-6 Hedgerow Data'!$B$2:$AG$15,2,FALSE))</f>
        <v/>
      </c>
      <c r="G21" s="291" t="str">
        <f>IF(D21="","",VLOOKUP(D21,'G-6 Hedgerow Data'!$B$2:$AG$15,3,FALSE))</f>
        <v/>
      </c>
      <c r="H21" s="95"/>
      <c r="I21" s="291" t="str">
        <f>IFERROR(IF(AND(D21&lt;&gt;"",H21=""),"Check data ⚠", IF(H21="","",IF(AND(D21="Non-native and ornamental hedgerow", H21&lt;&gt;"Poor"),"Not possible ▲", (VLOOKUP(H21,'G-1 All Habitats'!$Z$2:$AA$9,2,FALSE))))),"")</f>
        <v/>
      </c>
      <c r="J21" s="95"/>
      <c r="K21" s="298" t="str">
        <f>IF(AND(D21&lt;&gt;"",J21=""),"Check data ⚠", IF(J21="","",IF(VLOOKUP(J21,'G-3 Multipliers'!$L$3:$N$6,2,FALSE)=0,"Spatial Data Missing",VLOOKUP(J21,'G-3 Multipliers'!$L$3:$N$6,2,FALSE))))</f>
        <v/>
      </c>
      <c r="L21" s="296" t="str">
        <f>IF(J21="","",IF(VLOOKUP(J21,'G-3 Multipliers'!$L$3:$N$6,3,FALSE)=0,"Spatial Data Missing ⚠",VLOOKUP(J21,'G-3 Multipliers'!$L$3:$N$6,3,FALSE)))</f>
        <v/>
      </c>
      <c r="M21" s="297" t="str">
        <f>IF(D21="","",VLOOKUP(D21,'G-6 Hedgerow Data'!$B$1:$AH$15,33,FALSE))</f>
        <v/>
      </c>
      <c r="N21" s="304" t="str">
        <f t="shared" si="2"/>
        <v/>
      </c>
      <c r="O21" s="17"/>
      <c r="P21" s="441"/>
      <c r="Q21" s="141"/>
      <c r="R21" s="320" t="str">
        <f t="shared" si="3"/>
        <v/>
      </c>
      <c r="S21" s="320" t="str">
        <f t="shared" si="4"/>
        <v/>
      </c>
      <c r="T21" s="320" t="str">
        <f t="shared" si="5"/>
        <v/>
      </c>
      <c r="U21" s="339" t="str">
        <f t="shared" si="6"/>
        <v/>
      </c>
      <c r="V21" s="100"/>
      <c r="W21" s="101"/>
      <c r="X21" s="101"/>
      <c r="AE21" s="105" t="str">
        <f t="shared" si="0"/>
        <v/>
      </c>
      <c r="AF21" s="105" t="str">
        <f t="shared" si="1"/>
        <v/>
      </c>
      <c r="AH21" s="105">
        <v>12</v>
      </c>
      <c r="AJ21" s="105" t="str">
        <f t="array" ref="AJ21">IFERROR(INDEX($AH$10:$AH$258, MATCH(0, IF(TRUE=$AE$10:$AE$258, COUNTIF($AJ$9:$AJ20, $AH$10:$AH$258), ""), 0)),"")</f>
        <v/>
      </c>
      <c r="AK21" s="105" t="str">
        <f t="array" ref="AK21">IFERROR(INDEX($AH$10:$AH$258, MATCH(0, IF(TRUE=$AF$10:$AF$258, COUNTIF($AK$9:$AK20, $AH$10:$AH$258), ""), 0)),"")</f>
        <v/>
      </c>
      <c r="AL21" s="15" t="str">
        <f>IFERROR(INDEX('G-6 Hedgerow Data'!$BJ$3:$BJ$15,MATCH(D21,'G-6 Hedgerow Data'!$B$3:$B$15,0)),"")</f>
        <v/>
      </c>
    </row>
    <row r="22" spans="2:38" x14ac:dyDescent="0.3">
      <c r="B22" s="92">
        <v>13</v>
      </c>
      <c r="C22" s="141"/>
      <c r="D22" s="138"/>
      <c r="E22" s="120"/>
      <c r="F22" s="335" t="str">
        <f>IF(D22="","",VLOOKUP(D22,'G-6 Hedgerow Data'!$B$2:$AG$15,2,FALSE))</f>
        <v/>
      </c>
      <c r="G22" s="291" t="str">
        <f>IF(D22="","",VLOOKUP(D22,'G-6 Hedgerow Data'!$B$2:$AG$15,3,FALSE))</f>
        <v/>
      </c>
      <c r="H22" s="95"/>
      <c r="I22" s="291" t="str">
        <f>IFERROR(IF(AND(D22&lt;&gt;"",H22=""),"Check data ⚠", IF(H22="","",IF(AND(D22="Non-native and ornamental hedgerow", H22&lt;&gt;"Poor"),"Not possible ▲", (VLOOKUP(H22,'G-1 All Habitats'!$Z$2:$AA$9,2,FALSE))))),"")</f>
        <v/>
      </c>
      <c r="J22" s="95"/>
      <c r="K22" s="298" t="str">
        <f>IF(AND(D22&lt;&gt;"",J22=""),"Check data ⚠", IF(J22="","",IF(VLOOKUP(J22,'G-3 Multipliers'!$L$3:$N$6,2,FALSE)=0,"Spatial Data Missing",VLOOKUP(J22,'G-3 Multipliers'!$L$3:$N$6,2,FALSE))))</f>
        <v/>
      </c>
      <c r="L22" s="296" t="str">
        <f>IF(J22="","",IF(VLOOKUP(J22,'G-3 Multipliers'!$L$3:$N$6,3,FALSE)=0,"Spatial Data Missing ⚠",VLOOKUP(J22,'G-3 Multipliers'!$L$3:$N$6,3,FALSE)))</f>
        <v/>
      </c>
      <c r="M22" s="297" t="str">
        <f>IF(D22="","",VLOOKUP(D22,'G-6 Hedgerow Data'!$B$1:$AH$15,33,FALSE))</f>
        <v/>
      </c>
      <c r="N22" s="304" t="str">
        <f t="shared" si="2"/>
        <v/>
      </c>
      <c r="O22" s="17"/>
      <c r="P22" s="441"/>
      <c r="Q22" s="141"/>
      <c r="R22" s="320" t="str">
        <f t="shared" si="3"/>
        <v/>
      </c>
      <c r="S22" s="320" t="str">
        <f t="shared" si="4"/>
        <v/>
      </c>
      <c r="T22" s="320" t="str">
        <f t="shared" si="5"/>
        <v/>
      </c>
      <c r="U22" s="339" t="str">
        <f t="shared" si="6"/>
        <v/>
      </c>
      <c r="V22" s="100"/>
      <c r="W22" s="101"/>
      <c r="X22" s="101"/>
      <c r="AE22" s="105" t="str">
        <f t="shared" si="0"/>
        <v/>
      </c>
      <c r="AF22" s="105" t="str">
        <f t="shared" si="1"/>
        <v/>
      </c>
      <c r="AH22" s="105">
        <v>13</v>
      </c>
      <c r="AJ22" s="105" t="str">
        <f t="array" ref="AJ22">IFERROR(INDEX($AH$10:$AH$258, MATCH(0, IF(TRUE=$AE$10:$AE$258, COUNTIF($AJ$9:$AJ21, $AH$10:$AH$258), ""), 0)),"")</f>
        <v/>
      </c>
      <c r="AK22" s="105" t="str">
        <f t="array" ref="AK22">IFERROR(INDEX($AH$10:$AH$258, MATCH(0, IF(TRUE=$AF$10:$AF$258, COUNTIF($AK$9:$AK21, $AH$10:$AH$258), ""), 0)),"")</f>
        <v/>
      </c>
      <c r="AL22" s="15" t="str">
        <f>IFERROR(INDEX('G-6 Hedgerow Data'!$BJ$3:$BJ$15,MATCH(D22,'G-6 Hedgerow Data'!$B$3:$B$15,0)),"")</f>
        <v/>
      </c>
    </row>
    <row r="23" spans="2:38" x14ac:dyDescent="0.3">
      <c r="B23" s="92">
        <v>14</v>
      </c>
      <c r="C23" s="141"/>
      <c r="D23" s="47"/>
      <c r="E23" s="120"/>
      <c r="F23" s="335" t="str">
        <f>IF(D23="","",VLOOKUP(D23,'G-6 Hedgerow Data'!$B$2:$AG$15,2,FALSE))</f>
        <v/>
      </c>
      <c r="G23" s="291" t="str">
        <f>IF(D23="","",VLOOKUP(D23,'G-6 Hedgerow Data'!$B$2:$AG$15,3,FALSE))</f>
        <v/>
      </c>
      <c r="H23" s="95"/>
      <c r="I23" s="291" t="str">
        <f>IFERROR(IF(AND(D23&lt;&gt;"",H23=""),"Check data ⚠", IF(H23="","",IF(AND(D23="Non-native and ornamental hedgerow", H23&lt;&gt;"Poor"),"Not possible ▲", (VLOOKUP(H23,'G-1 All Habitats'!$Z$2:$AA$9,2,FALSE))))),"")</f>
        <v/>
      </c>
      <c r="J23" s="95"/>
      <c r="K23" s="298" t="str">
        <f>IF(AND(D23&lt;&gt;"",J23=""),"Check data ⚠", IF(J23="","",IF(VLOOKUP(J23,'G-3 Multipliers'!$L$3:$N$6,2,FALSE)=0,"Spatial Data Missing",VLOOKUP(J23,'G-3 Multipliers'!$L$3:$N$6,2,FALSE))))</f>
        <v/>
      </c>
      <c r="L23" s="296" t="str">
        <f>IF(J23="","",IF(VLOOKUP(J23,'G-3 Multipliers'!$L$3:$N$6,3,FALSE)=0,"Spatial Data Missing ⚠",VLOOKUP(J23,'G-3 Multipliers'!$L$3:$N$6,3,FALSE)))</f>
        <v/>
      </c>
      <c r="M23" s="297" t="str">
        <f>IF(D23="","",VLOOKUP(D23,'G-6 Hedgerow Data'!$B$1:$AH$15,33,FALSE))</f>
        <v/>
      </c>
      <c r="N23" s="304" t="str">
        <f t="shared" si="2"/>
        <v/>
      </c>
      <c r="O23" s="17"/>
      <c r="P23" s="441"/>
      <c r="Q23" s="141"/>
      <c r="R23" s="320" t="str">
        <f t="shared" si="3"/>
        <v/>
      </c>
      <c r="S23" s="320" t="str">
        <f t="shared" si="4"/>
        <v/>
      </c>
      <c r="T23" s="320" t="str">
        <f t="shared" si="5"/>
        <v/>
      </c>
      <c r="U23" s="339" t="str">
        <f t="shared" si="6"/>
        <v/>
      </c>
      <c r="V23" s="100"/>
      <c r="W23" s="101"/>
      <c r="X23" s="101"/>
      <c r="AE23" s="105" t="str">
        <f t="shared" si="0"/>
        <v/>
      </c>
      <c r="AF23" s="105" t="str">
        <f t="shared" si="1"/>
        <v/>
      </c>
      <c r="AH23" s="105">
        <v>14</v>
      </c>
      <c r="AJ23" s="105" t="str">
        <f t="array" ref="AJ23">IFERROR(INDEX($AH$10:$AH$258, MATCH(0, IF(TRUE=$AE$10:$AE$258, COUNTIF($AJ$9:$AJ22, $AH$10:$AH$258), ""), 0)),"")</f>
        <v/>
      </c>
      <c r="AK23" s="105" t="str">
        <f t="array" ref="AK23">IFERROR(INDEX($AH$10:$AH$258, MATCH(0, IF(TRUE=$AF$10:$AF$258, COUNTIF($AK$9:$AK22, $AH$10:$AH$258), ""), 0)),"")</f>
        <v/>
      </c>
      <c r="AL23" s="15" t="str">
        <f>IFERROR(INDEX('G-6 Hedgerow Data'!$BJ$3:$BJ$15,MATCH(D23,'G-6 Hedgerow Data'!$B$3:$B$15,0)),"")</f>
        <v/>
      </c>
    </row>
    <row r="24" spans="2:38" x14ac:dyDescent="0.3">
      <c r="B24" s="92">
        <v>15</v>
      </c>
      <c r="C24" s="141"/>
      <c r="D24" s="47"/>
      <c r="E24" s="120"/>
      <c r="F24" s="335" t="str">
        <f>IF(D24="","",VLOOKUP(D24,'G-6 Hedgerow Data'!$B$2:$AG$15,2,FALSE))</f>
        <v/>
      </c>
      <c r="G24" s="291" t="str">
        <f>IF(D24="","",VLOOKUP(D24,'G-6 Hedgerow Data'!$B$2:$AG$15,3,FALSE))</f>
        <v/>
      </c>
      <c r="H24" s="95"/>
      <c r="I24" s="291" t="str">
        <f>IFERROR(IF(AND(D24&lt;&gt;"",H24=""),"Check data ⚠", IF(H24="","",IF(AND(D24="Non-native and ornamental hedgerow", H24&lt;&gt;"Poor"),"Not possible ▲", (VLOOKUP(H24,'G-1 All Habitats'!$Z$2:$AA$9,2,FALSE))))),"")</f>
        <v/>
      </c>
      <c r="J24" s="95"/>
      <c r="K24" s="298" t="str">
        <f>IF(AND(D24&lt;&gt;"",J24=""),"Check data ⚠", IF(J24="","",IF(VLOOKUP(J24,'G-3 Multipliers'!$L$3:$N$6,2,FALSE)=0,"Spatial Data Missing",VLOOKUP(J24,'G-3 Multipliers'!$L$3:$N$6,2,FALSE))))</f>
        <v/>
      </c>
      <c r="L24" s="296" t="str">
        <f>IF(J24="","",IF(VLOOKUP(J24,'G-3 Multipliers'!$L$3:$N$6,3,FALSE)=0,"Spatial Data Missing ⚠",VLOOKUP(J24,'G-3 Multipliers'!$L$3:$N$6,3,FALSE)))</f>
        <v/>
      </c>
      <c r="M24" s="297" t="str">
        <f>IF(D24="","",VLOOKUP(D24,'G-6 Hedgerow Data'!$B$1:$AH$15,33,FALSE))</f>
        <v/>
      </c>
      <c r="N24" s="304" t="str">
        <f t="shared" si="2"/>
        <v/>
      </c>
      <c r="O24" s="17"/>
      <c r="P24" s="441"/>
      <c r="Q24" s="141"/>
      <c r="R24" s="320" t="str">
        <f t="shared" si="3"/>
        <v/>
      </c>
      <c r="S24" s="320" t="str">
        <f t="shared" si="4"/>
        <v/>
      </c>
      <c r="T24" s="320" t="str">
        <f t="shared" si="5"/>
        <v/>
      </c>
      <c r="U24" s="339" t="str">
        <f t="shared" si="6"/>
        <v/>
      </c>
      <c r="V24" s="100"/>
      <c r="W24" s="101"/>
      <c r="X24" s="101"/>
      <c r="AE24" s="105" t="str">
        <f t="shared" si="0"/>
        <v/>
      </c>
      <c r="AF24" s="105" t="str">
        <f t="shared" si="1"/>
        <v/>
      </c>
      <c r="AH24" s="105">
        <v>15</v>
      </c>
      <c r="AJ24" s="105" t="str">
        <f t="array" ref="AJ24">IFERROR(INDEX($AH$10:$AH$258, MATCH(0, IF(TRUE=$AE$10:$AE$258, COUNTIF($AJ$9:$AJ23, $AH$10:$AH$258), ""), 0)),"")</f>
        <v/>
      </c>
      <c r="AK24" s="105" t="str">
        <f t="array" ref="AK24">IFERROR(INDEX($AH$10:$AH$258, MATCH(0, IF(TRUE=$AF$10:$AF$258, COUNTIF($AK$9:$AK23, $AH$10:$AH$258), ""), 0)),"")</f>
        <v/>
      </c>
      <c r="AL24" s="15" t="str">
        <f>IFERROR(INDEX('G-6 Hedgerow Data'!$BJ$3:$BJ$15,MATCH(D24,'G-6 Hedgerow Data'!$B$3:$B$15,0)),"")</f>
        <v/>
      </c>
    </row>
    <row r="25" spans="2:38" x14ac:dyDescent="0.3">
      <c r="B25" s="92">
        <v>16</v>
      </c>
      <c r="C25" s="141"/>
      <c r="D25" s="47"/>
      <c r="E25" s="120"/>
      <c r="F25" s="335" t="str">
        <f>IF(D25="","",VLOOKUP(D25,'G-6 Hedgerow Data'!$B$2:$AG$15,2,FALSE))</f>
        <v/>
      </c>
      <c r="G25" s="291" t="str">
        <f>IF(D25="","",VLOOKUP(D25,'G-6 Hedgerow Data'!$B$2:$AG$15,3,FALSE))</f>
        <v/>
      </c>
      <c r="H25" s="95"/>
      <c r="I25" s="291" t="str">
        <f>IFERROR(IF(AND(D25&lt;&gt;"",H25=""),"Check data ⚠", IF(H25="","",IF(AND(D25="Non-native and ornamental hedgerow", H25&lt;&gt;"Poor"),"Not possible ▲", (VLOOKUP(H25,'G-1 All Habitats'!$Z$2:$AA$9,2,FALSE))))),"")</f>
        <v/>
      </c>
      <c r="J25" s="95"/>
      <c r="K25" s="298" t="str">
        <f>IF(AND(D25&lt;&gt;"",J25=""),"Check data ⚠", IF(J25="","",IF(VLOOKUP(J25,'G-3 Multipliers'!$L$3:$N$6,2,FALSE)=0,"Spatial Data Missing",VLOOKUP(J25,'G-3 Multipliers'!$L$3:$N$6,2,FALSE))))</f>
        <v/>
      </c>
      <c r="L25" s="296" t="str">
        <f>IF(J25="","",IF(VLOOKUP(J25,'G-3 Multipliers'!$L$3:$N$6,3,FALSE)=0,"Spatial Data Missing ⚠",VLOOKUP(J25,'G-3 Multipliers'!$L$3:$N$6,3,FALSE)))</f>
        <v/>
      </c>
      <c r="M25" s="297" t="str">
        <f>IF(D25="","",VLOOKUP(D25,'G-6 Hedgerow Data'!$B$1:$AH$15,33,FALSE))</f>
        <v/>
      </c>
      <c r="N25" s="304" t="str">
        <f t="shared" si="2"/>
        <v/>
      </c>
      <c r="O25" s="17"/>
      <c r="P25" s="441"/>
      <c r="Q25" s="141"/>
      <c r="R25" s="320" t="str">
        <f t="shared" si="3"/>
        <v/>
      </c>
      <c r="S25" s="320" t="str">
        <f t="shared" si="4"/>
        <v/>
      </c>
      <c r="T25" s="320" t="str">
        <f t="shared" si="5"/>
        <v/>
      </c>
      <c r="U25" s="339" t="str">
        <f t="shared" si="6"/>
        <v/>
      </c>
      <c r="V25" s="100"/>
      <c r="W25" s="101"/>
      <c r="X25" s="101"/>
      <c r="AE25" s="105" t="str">
        <f t="shared" si="0"/>
        <v/>
      </c>
      <c r="AF25" s="105" t="str">
        <f t="shared" si="1"/>
        <v/>
      </c>
      <c r="AH25" s="105">
        <v>16</v>
      </c>
      <c r="AJ25" s="105" t="str">
        <f t="array" ref="AJ25">IFERROR(INDEX($AH$10:$AH$258, MATCH(0, IF(TRUE=$AE$10:$AE$258, COUNTIF($AJ$9:$AJ24, $AH$10:$AH$258), ""), 0)),"")</f>
        <v/>
      </c>
      <c r="AK25" s="105" t="str">
        <f t="array" ref="AK25">IFERROR(INDEX($AH$10:$AH$258, MATCH(0, IF(TRUE=$AF$10:$AF$258, COUNTIF($AK$9:$AK24, $AH$10:$AH$258), ""), 0)),"")</f>
        <v/>
      </c>
      <c r="AL25" s="15" t="str">
        <f>IFERROR(INDEX('G-6 Hedgerow Data'!$BJ$3:$BJ$15,MATCH(D25,'G-6 Hedgerow Data'!$B$3:$B$15,0)),"")</f>
        <v/>
      </c>
    </row>
    <row r="26" spans="2:38" x14ac:dyDescent="0.3">
      <c r="B26" s="92">
        <v>17</v>
      </c>
      <c r="C26" s="141"/>
      <c r="D26" s="47"/>
      <c r="E26" s="120"/>
      <c r="F26" s="335" t="str">
        <f>IF(D26="","",VLOOKUP(D26,'G-6 Hedgerow Data'!$B$2:$AG$15,2,FALSE))</f>
        <v/>
      </c>
      <c r="G26" s="291" t="str">
        <f>IF(D26="","",VLOOKUP(D26,'G-6 Hedgerow Data'!$B$2:$AG$15,3,FALSE))</f>
        <v/>
      </c>
      <c r="H26" s="95"/>
      <c r="I26" s="291" t="str">
        <f>IFERROR(IF(AND(D26&lt;&gt;"",H26=""),"Check data ⚠", IF(H26="","",IF(AND(D26="Non-native and ornamental hedgerow", H26&lt;&gt;"Poor"),"Not possible ▲", (VLOOKUP(H26,'G-1 All Habitats'!$Z$2:$AA$9,2,FALSE))))),"")</f>
        <v/>
      </c>
      <c r="J26" s="95"/>
      <c r="K26" s="298" t="str">
        <f>IF(AND(D26&lt;&gt;"",J26=""),"Check data ⚠", IF(J26="","",IF(VLOOKUP(J26,'G-3 Multipliers'!$L$3:$N$6,2,FALSE)=0,"Spatial Data Missing",VLOOKUP(J26,'G-3 Multipliers'!$L$3:$N$6,2,FALSE))))</f>
        <v/>
      </c>
      <c r="L26" s="296" t="str">
        <f>IF(J26="","",IF(VLOOKUP(J26,'G-3 Multipliers'!$L$3:$N$6,3,FALSE)=0,"Spatial Data Missing ⚠",VLOOKUP(J26,'G-3 Multipliers'!$L$3:$N$6,3,FALSE)))</f>
        <v/>
      </c>
      <c r="M26" s="297" t="str">
        <f>IF(D26="","",VLOOKUP(D26,'G-6 Hedgerow Data'!$B$1:$AH$15,33,FALSE))</f>
        <v/>
      </c>
      <c r="N26" s="304" t="str">
        <f t="shared" si="2"/>
        <v/>
      </c>
      <c r="O26" s="17"/>
      <c r="P26" s="441"/>
      <c r="Q26" s="141"/>
      <c r="R26" s="320" t="str">
        <f t="shared" si="3"/>
        <v/>
      </c>
      <c r="S26" s="320" t="str">
        <f t="shared" si="4"/>
        <v/>
      </c>
      <c r="T26" s="320" t="str">
        <f t="shared" si="5"/>
        <v/>
      </c>
      <c r="U26" s="339" t="str">
        <f t="shared" si="6"/>
        <v/>
      </c>
      <c r="V26" s="100"/>
      <c r="W26" s="101"/>
      <c r="X26" s="101"/>
      <c r="AE26" s="105" t="str">
        <f t="shared" si="0"/>
        <v/>
      </c>
      <c r="AF26" s="105" t="str">
        <f t="shared" si="1"/>
        <v/>
      </c>
      <c r="AH26" s="105">
        <v>17</v>
      </c>
      <c r="AJ26" s="105" t="str">
        <f t="array" ref="AJ26">IFERROR(INDEX($AH$10:$AH$258, MATCH(0, IF(TRUE=$AE$10:$AE$258, COUNTIF($AJ$9:$AJ25, $AH$10:$AH$258), ""), 0)),"")</f>
        <v/>
      </c>
      <c r="AK26" s="105" t="str">
        <f t="array" ref="AK26">IFERROR(INDEX($AH$10:$AH$258, MATCH(0, IF(TRUE=$AF$10:$AF$258, COUNTIF($AK$9:$AK25, $AH$10:$AH$258), ""), 0)),"")</f>
        <v/>
      </c>
      <c r="AL26" s="15" t="str">
        <f>IFERROR(INDEX('G-6 Hedgerow Data'!$BJ$3:$BJ$15,MATCH(D26,'G-6 Hedgerow Data'!$B$3:$B$15,0)),"")</f>
        <v/>
      </c>
    </row>
    <row r="27" spans="2:38" x14ac:dyDescent="0.3">
      <c r="B27" s="92">
        <v>18</v>
      </c>
      <c r="C27" s="141"/>
      <c r="D27" s="138"/>
      <c r="E27" s="120"/>
      <c r="F27" s="335" t="str">
        <f>IF(D27="","",VLOOKUP(D27,'G-6 Hedgerow Data'!$B$2:$AG$15,2,FALSE))</f>
        <v/>
      </c>
      <c r="G27" s="291" t="str">
        <f>IF(D27="","",VLOOKUP(D27,'G-6 Hedgerow Data'!$B$2:$AG$15,3,FALSE))</f>
        <v/>
      </c>
      <c r="H27" s="95"/>
      <c r="I27" s="291" t="str">
        <f>IFERROR(IF(AND(D27&lt;&gt;"",H27=""),"Check data ⚠", IF(H27="","",IF(AND(D27="Non-native and ornamental hedgerow", H27&lt;&gt;"Poor"),"Not possible ▲", (VLOOKUP(H27,'G-1 All Habitats'!$Z$2:$AA$9,2,FALSE))))),"")</f>
        <v/>
      </c>
      <c r="J27" s="95"/>
      <c r="K27" s="298" t="str">
        <f>IF(AND(D27&lt;&gt;"",J27=""),"Check data ⚠", IF(J27="","",IF(VLOOKUP(J27,'G-3 Multipliers'!$L$3:$N$6,2,FALSE)=0,"Spatial Data Missing",VLOOKUP(J27,'G-3 Multipliers'!$L$3:$N$6,2,FALSE))))</f>
        <v/>
      </c>
      <c r="L27" s="296" t="str">
        <f>IF(J27="","",IF(VLOOKUP(J27,'G-3 Multipliers'!$L$3:$N$6,3,FALSE)=0,"Spatial Data Missing ⚠",VLOOKUP(J27,'G-3 Multipliers'!$L$3:$N$6,3,FALSE)))</f>
        <v/>
      </c>
      <c r="M27" s="297" t="str">
        <f>IF(D27="","",VLOOKUP(D27,'G-6 Hedgerow Data'!$B$1:$AH$15,33,FALSE))</f>
        <v/>
      </c>
      <c r="N27" s="304" t="str">
        <f t="shared" si="2"/>
        <v/>
      </c>
      <c r="O27" s="17"/>
      <c r="P27" s="441"/>
      <c r="Q27" s="141"/>
      <c r="R27" s="320" t="str">
        <f t="shared" si="3"/>
        <v/>
      </c>
      <c r="S27" s="320" t="str">
        <f t="shared" si="4"/>
        <v/>
      </c>
      <c r="T27" s="320" t="str">
        <f t="shared" si="5"/>
        <v/>
      </c>
      <c r="U27" s="339" t="str">
        <f t="shared" si="6"/>
        <v/>
      </c>
      <c r="V27" s="100"/>
      <c r="W27" s="101"/>
      <c r="X27" s="101"/>
      <c r="AE27" s="105" t="str">
        <f t="shared" si="0"/>
        <v/>
      </c>
      <c r="AF27" s="105" t="str">
        <f t="shared" si="1"/>
        <v/>
      </c>
      <c r="AH27" s="105">
        <v>18</v>
      </c>
      <c r="AJ27" s="105" t="str">
        <f t="array" ref="AJ27">IFERROR(INDEX($AH$10:$AH$258, MATCH(0, IF(TRUE=$AE$10:$AE$258, COUNTIF($AJ$9:$AJ26, $AH$10:$AH$258), ""), 0)),"")</f>
        <v/>
      </c>
      <c r="AK27" s="105" t="str">
        <f t="array" ref="AK27">IFERROR(INDEX($AH$10:$AH$258, MATCH(0, IF(TRUE=$AF$10:$AF$258, COUNTIF($AK$9:$AK26, $AH$10:$AH$258), ""), 0)),"")</f>
        <v/>
      </c>
      <c r="AL27" s="15" t="str">
        <f>IFERROR(INDEX('G-6 Hedgerow Data'!$BJ$3:$BJ$15,MATCH(D27,'G-6 Hedgerow Data'!$B$3:$B$15,0)),"")</f>
        <v/>
      </c>
    </row>
    <row r="28" spans="2:38" x14ac:dyDescent="0.3">
      <c r="B28" s="92">
        <v>19</v>
      </c>
      <c r="C28" s="141"/>
      <c r="D28" s="138"/>
      <c r="E28" s="120"/>
      <c r="F28" s="335" t="str">
        <f>IF(D28="","",VLOOKUP(D28,'G-6 Hedgerow Data'!$B$2:$AG$15,2,FALSE))</f>
        <v/>
      </c>
      <c r="G28" s="291" t="str">
        <f>IF(D28="","",VLOOKUP(D28,'G-6 Hedgerow Data'!$B$2:$AG$15,3,FALSE))</f>
        <v/>
      </c>
      <c r="H28" s="95"/>
      <c r="I28" s="291" t="str">
        <f>IFERROR(IF(AND(D28&lt;&gt;"",H28=""),"Check data ⚠", IF(H28="","",IF(AND(D28="Non-native and ornamental hedgerow", H28&lt;&gt;"Poor"),"Not possible ▲", (VLOOKUP(H28,'G-1 All Habitats'!$Z$2:$AA$9,2,FALSE))))),"")</f>
        <v/>
      </c>
      <c r="J28" s="95"/>
      <c r="K28" s="298" t="str">
        <f>IF(AND(D28&lt;&gt;"",J28=""),"Check data ⚠", IF(J28="","",IF(VLOOKUP(J28,'G-3 Multipliers'!$L$3:$N$6,2,FALSE)=0,"Spatial Data Missing",VLOOKUP(J28,'G-3 Multipliers'!$L$3:$N$6,2,FALSE))))</f>
        <v/>
      </c>
      <c r="L28" s="296" t="str">
        <f>IF(J28="","",IF(VLOOKUP(J28,'G-3 Multipliers'!$L$3:$N$6,3,FALSE)=0,"Spatial Data Missing ⚠",VLOOKUP(J28,'G-3 Multipliers'!$L$3:$N$6,3,FALSE)))</f>
        <v/>
      </c>
      <c r="M28" s="297" t="str">
        <f>IF(D28="","",VLOOKUP(D28,'G-6 Hedgerow Data'!$B$1:$AH$15,33,FALSE))</f>
        <v/>
      </c>
      <c r="N28" s="304" t="str">
        <f t="shared" si="2"/>
        <v/>
      </c>
      <c r="O28" s="17"/>
      <c r="P28" s="441"/>
      <c r="Q28" s="141"/>
      <c r="R28" s="320" t="str">
        <f t="shared" si="3"/>
        <v/>
      </c>
      <c r="S28" s="320" t="str">
        <f t="shared" si="4"/>
        <v/>
      </c>
      <c r="T28" s="320" t="str">
        <f t="shared" si="5"/>
        <v/>
      </c>
      <c r="U28" s="339" t="str">
        <f t="shared" si="6"/>
        <v/>
      </c>
      <c r="V28" s="100"/>
      <c r="W28" s="101"/>
      <c r="X28" s="101"/>
      <c r="AE28" s="105" t="str">
        <f t="shared" si="0"/>
        <v/>
      </c>
      <c r="AF28" s="105" t="str">
        <f t="shared" si="1"/>
        <v/>
      </c>
      <c r="AH28" s="105">
        <v>19</v>
      </c>
      <c r="AJ28" s="105" t="str">
        <f t="array" ref="AJ28">IFERROR(INDEX($AH$10:$AH$258, MATCH(0, IF(TRUE=$AE$10:$AE$258, COUNTIF($AJ$9:$AJ27, $AH$10:$AH$258), ""), 0)),"")</f>
        <v/>
      </c>
      <c r="AK28" s="105" t="str">
        <f t="array" ref="AK28">IFERROR(INDEX($AH$10:$AH$258, MATCH(0, IF(TRUE=$AF$10:$AF$258, COUNTIF($AK$9:$AK27, $AH$10:$AH$258), ""), 0)),"")</f>
        <v/>
      </c>
      <c r="AL28" s="15" t="str">
        <f>IFERROR(INDEX('G-6 Hedgerow Data'!$BJ$3:$BJ$15,MATCH(D28,'G-6 Hedgerow Data'!$B$3:$B$15,0)),"")</f>
        <v/>
      </c>
    </row>
    <row r="29" spans="2:38" x14ac:dyDescent="0.3">
      <c r="B29" s="92">
        <v>20</v>
      </c>
      <c r="C29" s="141"/>
      <c r="D29" s="138"/>
      <c r="E29" s="120"/>
      <c r="F29" s="335" t="str">
        <f>IF(D29="","",VLOOKUP(D29,'G-6 Hedgerow Data'!$B$2:$AG$15,2,FALSE))</f>
        <v/>
      </c>
      <c r="G29" s="291" t="str">
        <f>IF(D29="","",VLOOKUP(D29,'G-6 Hedgerow Data'!$B$2:$AG$15,3,FALSE))</f>
        <v/>
      </c>
      <c r="H29" s="95"/>
      <c r="I29" s="291" t="str">
        <f>IFERROR(IF(AND(D29&lt;&gt;"",H29=""),"Check data ⚠", IF(H29="","",IF(AND(D29="Non-native and ornamental hedgerow", H29&lt;&gt;"Poor"),"Not possible ▲", (VLOOKUP(H29,'G-1 All Habitats'!$Z$2:$AA$9,2,FALSE))))),"")</f>
        <v/>
      </c>
      <c r="J29" s="95"/>
      <c r="K29" s="298" t="str">
        <f>IF(AND(D29&lt;&gt;"",J29=""),"Check data ⚠", IF(J29="","",IF(VLOOKUP(J29,'G-3 Multipliers'!$L$3:$N$6,2,FALSE)=0,"Spatial Data Missing",VLOOKUP(J29,'G-3 Multipliers'!$L$3:$N$6,2,FALSE))))</f>
        <v/>
      </c>
      <c r="L29" s="296" t="str">
        <f>IF(J29="","",IF(VLOOKUP(J29,'G-3 Multipliers'!$L$3:$N$6,3,FALSE)=0,"Spatial Data Missing ⚠",VLOOKUP(J29,'G-3 Multipliers'!$L$3:$N$6,3,FALSE)))</f>
        <v/>
      </c>
      <c r="M29" s="297" t="str">
        <f>IF(D29="","",VLOOKUP(D29,'G-6 Hedgerow Data'!$B$1:$AH$15,33,FALSE))</f>
        <v/>
      </c>
      <c r="N29" s="304" t="str">
        <f t="shared" si="2"/>
        <v/>
      </c>
      <c r="O29" s="17"/>
      <c r="P29" s="441"/>
      <c r="Q29" s="141"/>
      <c r="R29" s="320" t="str">
        <f t="shared" si="3"/>
        <v/>
      </c>
      <c r="S29" s="320" t="str">
        <f t="shared" si="4"/>
        <v/>
      </c>
      <c r="T29" s="320" t="str">
        <f t="shared" si="5"/>
        <v/>
      </c>
      <c r="U29" s="339" t="str">
        <f t="shared" si="6"/>
        <v/>
      </c>
      <c r="V29" s="100"/>
      <c r="W29" s="101"/>
      <c r="X29" s="101"/>
      <c r="AE29" s="105" t="str">
        <f t="shared" si="0"/>
        <v/>
      </c>
      <c r="AF29" s="105" t="str">
        <f t="shared" si="1"/>
        <v/>
      </c>
      <c r="AH29" s="105">
        <v>20</v>
      </c>
      <c r="AJ29" s="105" t="str">
        <f t="array" ref="AJ29">IFERROR(INDEX($AH$10:$AH$258, MATCH(0, IF(TRUE=$AE$10:$AE$258, COUNTIF($AJ$9:$AJ28, $AH$10:$AH$258), ""), 0)),"")</f>
        <v/>
      </c>
      <c r="AK29" s="105" t="str">
        <f t="array" ref="AK29">IFERROR(INDEX($AH$10:$AH$258, MATCH(0, IF(TRUE=$AF$10:$AF$258, COUNTIF($AK$9:$AK28, $AH$10:$AH$258), ""), 0)),"")</f>
        <v/>
      </c>
      <c r="AL29" s="15" t="str">
        <f>IFERROR(INDEX('G-6 Hedgerow Data'!$BJ$3:$BJ$15,MATCH(D29,'G-6 Hedgerow Data'!$B$3:$B$15,0)),"")</f>
        <v/>
      </c>
    </row>
    <row r="30" spans="2:38" x14ac:dyDescent="0.3">
      <c r="B30" s="92">
        <v>21</v>
      </c>
      <c r="C30" s="141"/>
      <c r="D30" s="138"/>
      <c r="E30" s="120"/>
      <c r="F30" s="335" t="str">
        <f>IF(D30="","",VLOOKUP(D30,'G-6 Hedgerow Data'!$B$2:$AG$15,2,FALSE))</f>
        <v/>
      </c>
      <c r="G30" s="291" t="str">
        <f>IF(D30="","",VLOOKUP(D30,'G-6 Hedgerow Data'!$B$2:$AG$15,3,FALSE))</f>
        <v/>
      </c>
      <c r="H30" s="95"/>
      <c r="I30" s="291" t="str">
        <f>IFERROR(IF(AND(D30&lt;&gt;"",H30=""),"Check data ⚠", IF(H30="","",IF(AND(D30="Non-native and ornamental hedgerow", H30&lt;&gt;"Poor"),"Not possible ▲", (VLOOKUP(H30,'G-1 All Habitats'!$Z$2:$AA$9,2,FALSE))))),"")</f>
        <v/>
      </c>
      <c r="J30" s="95"/>
      <c r="K30" s="298" t="str">
        <f>IF(AND(D30&lt;&gt;"",J30=""),"Check data ⚠", IF(J30="","",IF(VLOOKUP(J30,'G-3 Multipliers'!$L$3:$N$6,2,FALSE)=0,"Spatial Data Missing",VLOOKUP(J30,'G-3 Multipliers'!$L$3:$N$6,2,FALSE))))</f>
        <v/>
      </c>
      <c r="L30" s="296" t="str">
        <f>IF(J30="","",IF(VLOOKUP(J30,'G-3 Multipliers'!$L$3:$N$6,3,FALSE)=0,"Spatial Data Missing ⚠",VLOOKUP(J30,'G-3 Multipliers'!$L$3:$N$6,3,FALSE)))</f>
        <v/>
      </c>
      <c r="M30" s="297" t="str">
        <f>IF(D30="","",VLOOKUP(D30,'G-6 Hedgerow Data'!$B$1:$AH$15,33,FALSE))</f>
        <v/>
      </c>
      <c r="N30" s="304" t="str">
        <f t="shared" si="2"/>
        <v/>
      </c>
      <c r="O30" s="17"/>
      <c r="P30" s="441"/>
      <c r="Q30" s="141"/>
      <c r="R30" s="320" t="str">
        <f t="shared" si="3"/>
        <v/>
      </c>
      <c r="S30" s="320" t="str">
        <f t="shared" si="4"/>
        <v/>
      </c>
      <c r="T30" s="320" t="str">
        <f t="shared" si="5"/>
        <v/>
      </c>
      <c r="U30" s="339" t="str">
        <f t="shared" si="6"/>
        <v/>
      </c>
      <c r="V30" s="100"/>
      <c r="W30" s="101"/>
      <c r="X30" s="101"/>
      <c r="AE30" s="105" t="str">
        <f t="shared" si="0"/>
        <v/>
      </c>
      <c r="AF30" s="105" t="str">
        <f t="shared" si="1"/>
        <v/>
      </c>
      <c r="AH30" s="105">
        <v>21</v>
      </c>
      <c r="AJ30" s="105" t="str">
        <f t="array" ref="AJ30">IFERROR(INDEX($AH$10:$AH$258, MATCH(0, IF(TRUE=$AE$10:$AE$258, COUNTIF($AJ$9:$AJ29, $AH$10:$AH$258), ""), 0)),"")</f>
        <v/>
      </c>
      <c r="AK30" s="105" t="str">
        <f t="array" ref="AK30">IFERROR(INDEX($AH$10:$AH$258, MATCH(0, IF(TRUE=$AF$10:$AF$258, COUNTIF($AK$9:$AK29, $AH$10:$AH$258), ""), 0)),"")</f>
        <v/>
      </c>
      <c r="AL30" s="15" t="str">
        <f>IFERROR(INDEX('G-6 Hedgerow Data'!$BJ$3:$BJ$15,MATCH(D30,'G-6 Hedgerow Data'!$B$3:$B$15,0)),"")</f>
        <v/>
      </c>
    </row>
    <row r="31" spans="2:38" x14ac:dyDescent="0.3">
      <c r="B31" s="92">
        <v>22</v>
      </c>
      <c r="C31" s="141"/>
      <c r="D31" s="138"/>
      <c r="E31" s="37"/>
      <c r="F31" s="335" t="str">
        <f>IF(D31="","",VLOOKUP(D31,'G-6 Hedgerow Data'!$B$2:$AG$15,2,FALSE))</f>
        <v/>
      </c>
      <c r="G31" s="291" t="str">
        <f>IF(D31="","",VLOOKUP(D31,'G-6 Hedgerow Data'!$B$2:$AG$15,3,FALSE))</f>
        <v/>
      </c>
      <c r="H31" s="95"/>
      <c r="I31" s="291" t="str">
        <f>IFERROR(IF(AND(D31&lt;&gt;"",H31=""),"Check data ⚠", IF(H31="","",IF(AND(D31="Non-native and ornamental hedgerow", H31&lt;&gt;"Poor"),"Not possible ▲", (VLOOKUP(H31,'G-1 All Habitats'!$Z$2:$AA$9,2,FALSE))))),"")</f>
        <v/>
      </c>
      <c r="J31" s="95"/>
      <c r="K31" s="298" t="str">
        <f>IF(AND(D31&lt;&gt;"",J31=""),"Check data ⚠", IF(J31="","",IF(VLOOKUP(J31,'G-3 Multipliers'!$L$3:$N$6,2,FALSE)=0,"Spatial Data Missing",VLOOKUP(J31,'G-3 Multipliers'!$L$3:$N$6,2,FALSE))))</f>
        <v/>
      </c>
      <c r="L31" s="296" t="str">
        <f>IF(J31="","",IF(VLOOKUP(J31,'G-3 Multipliers'!$L$3:$N$6,3,FALSE)=0,"Spatial Data Missing ⚠",VLOOKUP(J31,'G-3 Multipliers'!$L$3:$N$6,3,FALSE)))</f>
        <v/>
      </c>
      <c r="M31" s="297" t="str">
        <f>IF(D31="","",VLOOKUP(D31,'G-6 Hedgerow Data'!$B$1:$AH$15,33,FALSE))</f>
        <v/>
      </c>
      <c r="N31" s="304" t="str">
        <f t="shared" si="2"/>
        <v/>
      </c>
      <c r="O31" s="17"/>
      <c r="P31" s="441"/>
      <c r="Q31" s="141"/>
      <c r="R31" s="320" t="str">
        <f t="shared" si="3"/>
        <v/>
      </c>
      <c r="S31" s="320" t="str">
        <f t="shared" si="4"/>
        <v/>
      </c>
      <c r="T31" s="320" t="str">
        <f t="shared" si="5"/>
        <v/>
      </c>
      <c r="U31" s="339" t="str">
        <f t="shared" si="6"/>
        <v/>
      </c>
      <c r="V31" s="100"/>
      <c r="W31" s="101"/>
      <c r="X31" s="101"/>
      <c r="AE31" s="105" t="str">
        <f t="shared" si="0"/>
        <v/>
      </c>
      <c r="AF31" s="105" t="str">
        <f t="shared" si="1"/>
        <v/>
      </c>
      <c r="AH31" s="105">
        <v>22</v>
      </c>
      <c r="AJ31" s="105" t="str">
        <f t="array" ref="AJ31">IFERROR(INDEX($AH$10:$AH$258, MATCH(0, IF(TRUE=$AE$10:$AE$258, COUNTIF($AJ$9:$AJ30, $AH$10:$AH$258), ""), 0)),"")</f>
        <v/>
      </c>
      <c r="AK31" s="105" t="str">
        <f t="array" ref="AK31">IFERROR(INDEX($AH$10:$AH$258, MATCH(0, IF(TRUE=$AF$10:$AF$258, COUNTIF($AK$9:$AK30, $AH$10:$AH$258), ""), 0)),"")</f>
        <v/>
      </c>
      <c r="AL31" s="15" t="str">
        <f>IFERROR(INDEX('G-6 Hedgerow Data'!$BJ$3:$BJ$15,MATCH(D31,'G-6 Hedgerow Data'!$B$3:$B$15,0)),"")</f>
        <v/>
      </c>
    </row>
    <row r="32" spans="2:38" x14ac:dyDescent="0.3">
      <c r="B32" s="92">
        <v>23</v>
      </c>
      <c r="C32" s="141"/>
      <c r="D32" s="138"/>
      <c r="E32" s="37"/>
      <c r="F32" s="335" t="str">
        <f>IF(D32="","",VLOOKUP(D32,'G-6 Hedgerow Data'!$B$2:$AG$15,2,FALSE))</f>
        <v/>
      </c>
      <c r="G32" s="291" t="str">
        <f>IF(D32="","",VLOOKUP(D32,'G-6 Hedgerow Data'!$B$2:$AG$15,3,FALSE))</f>
        <v/>
      </c>
      <c r="H32" s="95"/>
      <c r="I32" s="291" t="str">
        <f>IFERROR(IF(AND(D32&lt;&gt;"",H32=""),"Check data ⚠", IF(H32="","",IF(AND(D32="Non-native and ornamental hedgerow", H32&lt;&gt;"Poor"),"Not possible ▲", (VLOOKUP(H32,'G-1 All Habitats'!$Z$2:$AA$9,2,FALSE))))),"")</f>
        <v/>
      </c>
      <c r="J32" s="95"/>
      <c r="K32" s="298" t="str">
        <f>IF(AND(D32&lt;&gt;"",J32=""),"Check data ⚠", IF(J32="","",IF(VLOOKUP(J32,'G-3 Multipliers'!$L$3:$N$6,2,FALSE)=0,"Spatial Data Missing",VLOOKUP(J32,'G-3 Multipliers'!$L$3:$N$6,2,FALSE))))</f>
        <v/>
      </c>
      <c r="L32" s="296" t="str">
        <f>IF(J32="","",IF(VLOOKUP(J32,'G-3 Multipliers'!$L$3:$N$6,3,FALSE)=0,"Spatial Data Missing ⚠",VLOOKUP(J32,'G-3 Multipliers'!$L$3:$N$6,3,FALSE)))</f>
        <v/>
      </c>
      <c r="M32" s="297" t="str">
        <f>IF(D32="","",VLOOKUP(D32,'G-6 Hedgerow Data'!$B$1:$AH$15,33,FALSE))</f>
        <v/>
      </c>
      <c r="N32" s="304" t="str">
        <f t="shared" si="2"/>
        <v/>
      </c>
      <c r="O32" s="17"/>
      <c r="P32" s="441"/>
      <c r="Q32" s="141"/>
      <c r="R32" s="320" t="str">
        <f t="shared" si="3"/>
        <v/>
      </c>
      <c r="S32" s="320" t="str">
        <f t="shared" si="4"/>
        <v/>
      </c>
      <c r="T32" s="320" t="str">
        <f t="shared" si="5"/>
        <v/>
      </c>
      <c r="U32" s="339" t="str">
        <f t="shared" si="6"/>
        <v/>
      </c>
      <c r="V32" s="100"/>
      <c r="W32" s="101"/>
      <c r="X32" s="101"/>
      <c r="AE32" s="105" t="str">
        <f t="shared" si="0"/>
        <v/>
      </c>
      <c r="AF32" s="105" t="str">
        <f t="shared" si="1"/>
        <v/>
      </c>
      <c r="AH32" s="105">
        <v>23</v>
      </c>
      <c r="AJ32" s="105" t="str">
        <f t="array" ref="AJ32">IFERROR(INDEX($AH$10:$AH$258, MATCH(0, IF(TRUE=$AE$10:$AE$258, COUNTIF($AJ$9:$AJ31, $AH$10:$AH$258), ""), 0)),"")</f>
        <v/>
      </c>
      <c r="AK32" s="105" t="str">
        <f t="array" ref="AK32">IFERROR(INDEX($AH$10:$AH$258, MATCH(0, IF(TRUE=$AF$10:$AF$258, COUNTIF($AK$9:$AK31, $AH$10:$AH$258), ""), 0)),"")</f>
        <v/>
      </c>
      <c r="AL32" s="15" t="str">
        <f>IFERROR(INDEX('G-6 Hedgerow Data'!$BJ$3:$BJ$15,MATCH(D32,'G-6 Hedgerow Data'!$B$3:$B$15,0)),"")</f>
        <v/>
      </c>
    </row>
    <row r="33" spans="2:38" x14ac:dyDescent="0.3">
      <c r="B33" s="92">
        <v>24</v>
      </c>
      <c r="C33" s="141"/>
      <c r="D33" s="138"/>
      <c r="E33" s="37"/>
      <c r="F33" s="335" t="str">
        <f>IF(D33="","",VLOOKUP(D33,'G-6 Hedgerow Data'!$B$2:$AG$15,2,FALSE))</f>
        <v/>
      </c>
      <c r="G33" s="291" t="str">
        <f>IF(D33="","",VLOOKUP(D33,'G-6 Hedgerow Data'!$B$2:$AG$15,3,FALSE))</f>
        <v/>
      </c>
      <c r="H33" s="95"/>
      <c r="I33" s="291" t="str">
        <f>IFERROR(IF(AND(D33&lt;&gt;"",H33=""),"Check data ⚠", IF(H33="","",IF(AND(D33="Non-native and ornamental hedgerow", H33&lt;&gt;"Poor"),"Not possible ▲", (VLOOKUP(H33,'G-1 All Habitats'!$Z$2:$AA$9,2,FALSE))))),"")</f>
        <v/>
      </c>
      <c r="J33" s="95"/>
      <c r="K33" s="298" t="str">
        <f>IF(AND(D33&lt;&gt;"",J33=""),"Check data ⚠", IF(J33="","",IF(VLOOKUP(J33,'G-3 Multipliers'!$L$3:$N$6,2,FALSE)=0,"Spatial Data Missing",VLOOKUP(J33,'G-3 Multipliers'!$L$3:$N$6,2,FALSE))))</f>
        <v/>
      </c>
      <c r="L33" s="296" t="str">
        <f>IF(J33="","",IF(VLOOKUP(J33,'G-3 Multipliers'!$L$3:$N$6,3,FALSE)=0,"Spatial Data Missing ⚠",VLOOKUP(J33,'G-3 Multipliers'!$L$3:$N$6,3,FALSE)))</f>
        <v/>
      </c>
      <c r="M33" s="297" t="str">
        <f>IF(D33="","",VLOOKUP(D33,'G-6 Hedgerow Data'!$B$1:$AH$15,33,FALSE))</f>
        <v/>
      </c>
      <c r="N33" s="304" t="str">
        <f t="shared" si="2"/>
        <v/>
      </c>
      <c r="O33" s="17"/>
      <c r="P33" s="441"/>
      <c r="Q33" s="141"/>
      <c r="R33" s="320" t="str">
        <f t="shared" si="3"/>
        <v/>
      </c>
      <c r="S33" s="320" t="str">
        <f t="shared" si="4"/>
        <v/>
      </c>
      <c r="T33" s="320" t="str">
        <f t="shared" si="5"/>
        <v/>
      </c>
      <c r="U33" s="339" t="str">
        <f t="shared" si="6"/>
        <v/>
      </c>
      <c r="V33" s="100"/>
      <c r="W33" s="101"/>
      <c r="X33" s="101"/>
      <c r="AE33" s="105" t="str">
        <f t="shared" si="0"/>
        <v/>
      </c>
      <c r="AF33" s="105" t="str">
        <f t="shared" si="1"/>
        <v/>
      </c>
      <c r="AH33" s="105">
        <v>24</v>
      </c>
      <c r="AJ33" s="105" t="str">
        <f t="array" ref="AJ33">IFERROR(INDEX($AH$10:$AH$258, MATCH(0, IF(TRUE=$AE$10:$AE$258, COUNTIF($AJ$9:$AJ32, $AH$10:$AH$258), ""), 0)),"")</f>
        <v/>
      </c>
      <c r="AK33" s="105" t="str">
        <f t="array" ref="AK33">IFERROR(INDEX($AH$10:$AH$258, MATCH(0, IF(TRUE=$AF$10:$AF$258, COUNTIF($AK$9:$AK32, $AH$10:$AH$258), ""), 0)),"")</f>
        <v/>
      </c>
      <c r="AL33" s="15" t="str">
        <f>IFERROR(INDEX('G-6 Hedgerow Data'!$BJ$3:$BJ$15,MATCH(D33,'G-6 Hedgerow Data'!$B$3:$B$15,0)),"")</f>
        <v/>
      </c>
    </row>
    <row r="34" spans="2:38" x14ac:dyDescent="0.3">
      <c r="B34" s="92">
        <v>25</v>
      </c>
      <c r="C34" s="141"/>
      <c r="D34" s="138"/>
      <c r="E34" s="37"/>
      <c r="F34" s="335" t="str">
        <f>IF(D34="","",VLOOKUP(D34,'G-6 Hedgerow Data'!$B$2:$AG$15,2,FALSE))</f>
        <v/>
      </c>
      <c r="G34" s="291" t="str">
        <f>IF(D34="","",VLOOKUP(D34,'G-6 Hedgerow Data'!$B$2:$AG$15,3,FALSE))</f>
        <v/>
      </c>
      <c r="H34" s="95"/>
      <c r="I34" s="291" t="str">
        <f>IFERROR(IF(AND(D34&lt;&gt;"",H34=""),"Check data ⚠", IF(H34="","",IF(AND(D34="Non-native and ornamental hedgerow", H34&lt;&gt;"Poor"),"Not possible ▲", (VLOOKUP(H34,'G-1 All Habitats'!$Z$2:$AA$9,2,FALSE))))),"")</f>
        <v/>
      </c>
      <c r="J34" s="95"/>
      <c r="K34" s="298" t="str">
        <f>IF(AND(D34&lt;&gt;"",J34=""),"Check data ⚠", IF(J34="","",IF(VLOOKUP(J34,'G-3 Multipliers'!$L$3:$N$6,2,FALSE)=0,"Spatial Data Missing",VLOOKUP(J34,'G-3 Multipliers'!$L$3:$N$6,2,FALSE))))</f>
        <v/>
      </c>
      <c r="L34" s="296" t="str">
        <f>IF(J34="","",IF(VLOOKUP(J34,'G-3 Multipliers'!$L$3:$N$6,3,FALSE)=0,"Spatial Data Missing ⚠",VLOOKUP(J34,'G-3 Multipliers'!$L$3:$N$6,3,FALSE)))</f>
        <v/>
      </c>
      <c r="M34" s="297" t="str">
        <f>IF(D34="","",VLOOKUP(D34,'G-6 Hedgerow Data'!$B$1:$AH$15,33,FALSE))</f>
        <v/>
      </c>
      <c r="N34" s="304" t="str">
        <f t="shared" si="2"/>
        <v/>
      </c>
      <c r="O34" s="17"/>
      <c r="P34" s="441"/>
      <c r="Q34" s="141"/>
      <c r="R34" s="320" t="str">
        <f t="shared" si="3"/>
        <v/>
      </c>
      <c r="S34" s="320" t="str">
        <f t="shared" si="4"/>
        <v/>
      </c>
      <c r="T34" s="320" t="str">
        <f t="shared" si="5"/>
        <v/>
      </c>
      <c r="U34" s="339" t="str">
        <f t="shared" si="6"/>
        <v/>
      </c>
      <c r="V34" s="100"/>
      <c r="W34" s="101"/>
      <c r="X34" s="101"/>
      <c r="AE34" s="105" t="str">
        <f t="shared" si="0"/>
        <v/>
      </c>
      <c r="AF34" s="105" t="str">
        <f t="shared" si="1"/>
        <v/>
      </c>
      <c r="AH34" s="105">
        <v>25</v>
      </c>
      <c r="AJ34" s="105" t="str">
        <f t="array" ref="AJ34">IFERROR(INDEX($AH$10:$AH$258, MATCH(0, IF(TRUE=$AE$10:$AE$258, COUNTIF($AJ$9:$AJ33, $AH$10:$AH$258), ""), 0)),"")</f>
        <v/>
      </c>
      <c r="AK34" s="105" t="str">
        <f t="array" ref="AK34">IFERROR(INDEX($AH$10:$AH$258, MATCH(0, IF(TRUE=$AF$10:$AF$258, COUNTIF($AK$9:$AK33, $AH$10:$AH$258), ""), 0)),"")</f>
        <v/>
      </c>
      <c r="AL34" s="15" t="str">
        <f>IFERROR(INDEX('G-6 Hedgerow Data'!$BJ$3:$BJ$15,MATCH(D34,'G-6 Hedgerow Data'!$B$3:$B$15,0)),"")</f>
        <v/>
      </c>
    </row>
    <row r="35" spans="2:38" x14ac:dyDescent="0.3">
      <c r="B35" s="92">
        <v>26</v>
      </c>
      <c r="C35" s="141"/>
      <c r="D35" s="138"/>
      <c r="E35" s="120"/>
      <c r="F35" s="335" t="str">
        <f>IF(D35="","",VLOOKUP(D35,'G-6 Hedgerow Data'!$B$2:$AG$15,2,FALSE))</f>
        <v/>
      </c>
      <c r="G35" s="291" t="str">
        <f>IF(D35="","",VLOOKUP(D35,'G-6 Hedgerow Data'!$B$2:$AG$15,3,FALSE))</f>
        <v/>
      </c>
      <c r="H35" s="95"/>
      <c r="I35" s="291" t="str">
        <f>IFERROR(IF(AND(D35&lt;&gt;"",H35=""),"Check data ⚠", IF(H35="","",IF(AND(D35="Non-native and ornamental hedgerow", H35&lt;&gt;"Poor"),"Not possible ▲", (VLOOKUP(H35,'G-1 All Habitats'!$Z$2:$AA$9,2,FALSE))))),"")</f>
        <v/>
      </c>
      <c r="J35" s="95"/>
      <c r="K35" s="298" t="str">
        <f>IF(AND(D35&lt;&gt;"",J35=""),"Check data ⚠", IF(J35="","",IF(VLOOKUP(J35,'G-3 Multipliers'!$L$3:$N$6,2,FALSE)=0,"Spatial Data Missing",VLOOKUP(J35,'G-3 Multipliers'!$L$3:$N$6,2,FALSE))))</f>
        <v/>
      </c>
      <c r="L35" s="296" t="str">
        <f>IF(J35="","",IF(VLOOKUP(J35,'G-3 Multipliers'!$L$3:$N$6,3,FALSE)=0,"Spatial Data Missing ⚠",VLOOKUP(J35,'G-3 Multipliers'!$L$3:$N$6,3,FALSE)))</f>
        <v/>
      </c>
      <c r="M35" s="297" t="str">
        <f>IF(D35="","",VLOOKUP(D35,'G-6 Hedgerow Data'!$B$1:$AH$15,33,FALSE))</f>
        <v/>
      </c>
      <c r="N35" s="304" t="str">
        <f t="shared" si="2"/>
        <v/>
      </c>
      <c r="O35" s="17"/>
      <c r="P35" s="441"/>
      <c r="Q35" s="141"/>
      <c r="R35" s="320" t="str">
        <f t="shared" si="3"/>
        <v/>
      </c>
      <c r="S35" s="320" t="str">
        <f t="shared" si="4"/>
        <v/>
      </c>
      <c r="T35" s="320" t="str">
        <f t="shared" si="5"/>
        <v/>
      </c>
      <c r="U35" s="339" t="str">
        <f t="shared" si="6"/>
        <v/>
      </c>
      <c r="V35" s="100"/>
      <c r="W35" s="101"/>
      <c r="X35" s="101"/>
      <c r="AE35" s="105" t="str">
        <f t="shared" si="0"/>
        <v/>
      </c>
      <c r="AF35" s="105" t="str">
        <f t="shared" si="1"/>
        <v/>
      </c>
      <c r="AH35" s="105">
        <v>26</v>
      </c>
      <c r="AJ35" s="105" t="str">
        <f t="array" ref="AJ35">IFERROR(INDEX($AH$10:$AH$258, MATCH(0, IF(TRUE=$AE$10:$AE$258, COUNTIF($AJ$9:$AJ34, $AH$10:$AH$258), ""), 0)),"")</f>
        <v/>
      </c>
      <c r="AK35" s="105" t="str">
        <f t="array" ref="AK35">IFERROR(INDEX($AH$10:$AH$258, MATCH(0, IF(TRUE=$AF$10:$AF$258, COUNTIF($AK$9:$AK34, $AH$10:$AH$258), ""), 0)),"")</f>
        <v/>
      </c>
      <c r="AL35" s="15" t="str">
        <f>IFERROR(INDEX('G-6 Hedgerow Data'!$BJ$3:$BJ$15,MATCH(D35,'G-6 Hedgerow Data'!$B$3:$B$15,0)),"")</f>
        <v/>
      </c>
    </row>
    <row r="36" spans="2:38" x14ac:dyDescent="0.3">
      <c r="B36" s="92">
        <v>27</v>
      </c>
      <c r="C36" s="141"/>
      <c r="D36" s="141"/>
      <c r="E36" s="120"/>
      <c r="F36" s="335" t="str">
        <f>IF(D36="","",VLOOKUP(D36,'G-6 Hedgerow Data'!$B$2:$AG$15,2,FALSE))</f>
        <v/>
      </c>
      <c r="G36" s="291" t="str">
        <f>IF(D36="","",VLOOKUP(D36,'G-6 Hedgerow Data'!$B$2:$AG$15,3,FALSE))</f>
        <v/>
      </c>
      <c r="H36" s="95"/>
      <c r="I36" s="291" t="str">
        <f>IFERROR(IF(AND(D36&lt;&gt;"",H36=""),"Check data ⚠", IF(H36="","",IF(AND(D36="Non-native and ornamental hedgerow", H36&lt;&gt;"Poor"),"Not possible ▲", (VLOOKUP(H36,'G-1 All Habitats'!$Z$2:$AA$9,2,FALSE))))),"")</f>
        <v/>
      </c>
      <c r="J36" s="95"/>
      <c r="K36" s="298" t="str">
        <f>IF(AND(D36&lt;&gt;"",J36=""),"Check data ⚠", IF(J36="","",IF(VLOOKUP(J36,'G-3 Multipliers'!$L$3:$N$6,2,FALSE)=0,"Spatial Data Missing",VLOOKUP(J36,'G-3 Multipliers'!$L$3:$N$6,2,FALSE))))</f>
        <v/>
      </c>
      <c r="L36" s="296" t="str">
        <f>IF(J36="","",IF(VLOOKUP(J36,'G-3 Multipliers'!$L$3:$N$6,3,FALSE)=0,"Spatial Data Missing ⚠",VLOOKUP(J36,'G-3 Multipliers'!$L$3:$N$6,3,FALSE)))</f>
        <v/>
      </c>
      <c r="M36" s="297" t="str">
        <f>IF(D36="","",VLOOKUP(D36,'G-6 Hedgerow Data'!$B$1:$AH$15,33,FALSE))</f>
        <v/>
      </c>
      <c r="N36" s="304" t="str">
        <f t="shared" si="2"/>
        <v/>
      </c>
      <c r="O36" s="17"/>
      <c r="P36" s="441"/>
      <c r="Q36" s="141"/>
      <c r="R36" s="320" t="str">
        <f t="shared" si="3"/>
        <v/>
      </c>
      <c r="S36" s="320" t="str">
        <f t="shared" si="4"/>
        <v/>
      </c>
      <c r="T36" s="320" t="str">
        <f t="shared" si="5"/>
        <v/>
      </c>
      <c r="U36" s="339" t="str">
        <f t="shared" si="6"/>
        <v/>
      </c>
      <c r="V36" s="100"/>
      <c r="W36" s="101"/>
      <c r="X36" s="101"/>
      <c r="AE36" s="105" t="str">
        <f t="shared" si="0"/>
        <v/>
      </c>
      <c r="AF36" s="105" t="str">
        <f t="shared" si="1"/>
        <v/>
      </c>
      <c r="AH36" s="105">
        <v>27</v>
      </c>
      <c r="AJ36" s="105" t="str">
        <f t="array" ref="AJ36">IFERROR(INDEX($AH$10:$AH$258, MATCH(0, IF(TRUE=$AE$10:$AE$258, COUNTIF($AJ$9:$AJ35, $AH$10:$AH$258), ""), 0)),"")</f>
        <v/>
      </c>
      <c r="AK36" s="105" t="str">
        <f t="array" ref="AK36">IFERROR(INDEX($AH$10:$AH$258, MATCH(0, IF(TRUE=$AF$10:$AF$258, COUNTIF($AK$9:$AK35, $AH$10:$AH$258), ""), 0)),"")</f>
        <v/>
      </c>
      <c r="AL36" s="15" t="str">
        <f>IFERROR(INDEX('G-6 Hedgerow Data'!$BJ$3:$BJ$15,MATCH(D36,'G-6 Hedgerow Data'!$B$3:$B$15,0)),"")</f>
        <v/>
      </c>
    </row>
    <row r="37" spans="2:38" x14ac:dyDescent="0.3">
      <c r="B37" s="92">
        <v>28</v>
      </c>
      <c r="C37" s="141"/>
      <c r="D37" s="141"/>
      <c r="E37" s="120"/>
      <c r="F37" s="335" t="str">
        <f>IF(D37="","",VLOOKUP(D37,'G-6 Hedgerow Data'!$B$2:$AG$15,2,FALSE))</f>
        <v/>
      </c>
      <c r="G37" s="291" t="str">
        <f>IF(D37="","",VLOOKUP(D37,'G-6 Hedgerow Data'!$B$2:$AG$15,3,FALSE))</f>
        <v/>
      </c>
      <c r="H37" s="95"/>
      <c r="I37" s="291" t="str">
        <f>IFERROR(IF(AND(D37&lt;&gt;"",H37=""),"Check data ⚠", IF(H37="","",IF(AND(D37="Non-native and ornamental hedgerow", H37&lt;&gt;"Poor"),"Not possible ▲", (VLOOKUP(H37,'G-1 All Habitats'!$Z$2:$AA$9,2,FALSE))))),"")</f>
        <v/>
      </c>
      <c r="J37" s="95"/>
      <c r="K37" s="298" t="str">
        <f>IF(AND(D37&lt;&gt;"",J37=""),"Check data ⚠", IF(J37="","",IF(VLOOKUP(J37,'G-3 Multipliers'!$L$3:$N$6,2,FALSE)=0,"Spatial Data Missing",VLOOKUP(J37,'G-3 Multipliers'!$L$3:$N$6,2,FALSE))))</f>
        <v/>
      </c>
      <c r="L37" s="296" t="str">
        <f>IF(J37="","",IF(VLOOKUP(J37,'G-3 Multipliers'!$L$3:$N$6,3,FALSE)=0,"Spatial Data Missing ⚠",VLOOKUP(J37,'G-3 Multipliers'!$L$3:$N$6,3,FALSE)))</f>
        <v/>
      </c>
      <c r="M37" s="297" t="str">
        <f>IF(D37="","",VLOOKUP(D37,'G-6 Hedgerow Data'!$B$1:$AH$15,33,FALSE))</f>
        <v/>
      </c>
      <c r="N37" s="304" t="str">
        <f t="shared" si="2"/>
        <v/>
      </c>
      <c r="O37" s="17"/>
      <c r="P37" s="441"/>
      <c r="Q37" s="141"/>
      <c r="R37" s="320" t="str">
        <f t="shared" si="3"/>
        <v/>
      </c>
      <c r="S37" s="320" t="str">
        <f t="shared" si="4"/>
        <v/>
      </c>
      <c r="T37" s="320" t="str">
        <f t="shared" si="5"/>
        <v/>
      </c>
      <c r="U37" s="339" t="str">
        <f t="shared" si="6"/>
        <v/>
      </c>
      <c r="V37" s="100"/>
      <c r="W37" s="101"/>
      <c r="X37" s="101"/>
      <c r="AE37" s="105" t="str">
        <f t="shared" si="0"/>
        <v/>
      </c>
      <c r="AF37" s="105" t="str">
        <f t="shared" si="1"/>
        <v/>
      </c>
      <c r="AH37" s="105">
        <v>28</v>
      </c>
      <c r="AJ37" s="105" t="str">
        <f t="array" ref="AJ37">IFERROR(INDEX($AH$10:$AH$258, MATCH(0, IF(TRUE=$AE$10:$AE$258, COUNTIF($AJ$9:$AJ36, $AH$10:$AH$258), ""), 0)),"")</f>
        <v/>
      </c>
      <c r="AK37" s="105" t="str">
        <f t="array" ref="AK37">IFERROR(INDEX($AH$10:$AH$258, MATCH(0, IF(TRUE=$AF$10:$AF$258, COUNTIF($AK$9:$AK36, $AH$10:$AH$258), ""), 0)),"")</f>
        <v/>
      </c>
      <c r="AL37" s="15" t="str">
        <f>IFERROR(INDEX('G-6 Hedgerow Data'!$BJ$3:$BJ$15,MATCH(D37,'G-6 Hedgerow Data'!$B$3:$B$15,0)),"")</f>
        <v/>
      </c>
    </row>
    <row r="38" spans="2:38" x14ac:dyDescent="0.3">
      <c r="B38" s="92">
        <v>29</v>
      </c>
      <c r="C38" s="141"/>
      <c r="D38" s="141"/>
      <c r="E38" s="120"/>
      <c r="F38" s="335" t="str">
        <f>IF(D38="","",VLOOKUP(D38,'G-6 Hedgerow Data'!$B$2:$AG$15,2,FALSE))</f>
        <v/>
      </c>
      <c r="G38" s="291" t="str">
        <f>IF(D38="","",VLOOKUP(D38,'G-6 Hedgerow Data'!$B$2:$AG$15,3,FALSE))</f>
        <v/>
      </c>
      <c r="H38" s="95"/>
      <c r="I38" s="291" t="str">
        <f>IFERROR(IF(AND(D38&lt;&gt;"",H38=""),"Check data ⚠", IF(H38="","",IF(AND(D38="Non-native and ornamental hedgerow", H38&lt;&gt;"Poor"),"Not possible ▲", (VLOOKUP(H38,'G-1 All Habitats'!$Z$2:$AA$9,2,FALSE))))),"")</f>
        <v/>
      </c>
      <c r="J38" s="95"/>
      <c r="K38" s="298" t="str">
        <f>IF(AND(D38&lt;&gt;"",J38=""),"Check data ⚠", IF(J38="","",IF(VLOOKUP(J38,'G-3 Multipliers'!$L$3:$N$6,2,FALSE)=0,"Spatial Data Missing",VLOOKUP(J38,'G-3 Multipliers'!$L$3:$N$6,2,FALSE))))</f>
        <v/>
      </c>
      <c r="L38" s="296" t="str">
        <f>IF(J38="","",IF(VLOOKUP(J38,'G-3 Multipliers'!$L$3:$N$6,3,FALSE)=0,"Spatial Data Missing ⚠",VLOOKUP(J38,'G-3 Multipliers'!$L$3:$N$6,3,FALSE)))</f>
        <v/>
      </c>
      <c r="M38" s="297" t="str">
        <f>IF(D38="","",VLOOKUP(D38,'G-6 Hedgerow Data'!$B$1:$AH$15,33,FALSE))</f>
        <v/>
      </c>
      <c r="N38" s="304" t="str">
        <f t="shared" si="2"/>
        <v/>
      </c>
      <c r="O38" s="17"/>
      <c r="P38" s="441"/>
      <c r="Q38" s="141"/>
      <c r="R38" s="320" t="str">
        <f t="shared" si="3"/>
        <v/>
      </c>
      <c r="S38" s="320" t="str">
        <f t="shared" si="4"/>
        <v/>
      </c>
      <c r="T38" s="320" t="str">
        <f t="shared" si="5"/>
        <v/>
      </c>
      <c r="U38" s="339" t="str">
        <f t="shared" si="6"/>
        <v/>
      </c>
      <c r="V38" s="100"/>
      <c r="W38" s="101"/>
      <c r="X38" s="101"/>
      <c r="AE38" s="105" t="str">
        <f t="shared" si="0"/>
        <v/>
      </c>
      <c r="AF38" s="105" t="str">
        <f t="shared" si="1"/>
        <v/>
      </c>
      <c r="AH38" s="105">
        <v>29</v>
      </c>
      <c r="AJ38" s="105" t="str">
        <f t="array" ref="AJ38">IFERROR(INDEX($AH$10:$AH$258, MATCH(0, IF(TRUE=$AE$10:$AE$258, COUNTIF($AJ$9:$AJ37, $AH$10:$AH$258), ""), 0)),"")</f>
        <v/>
      </c>
      <c r="AK38" s="105" t="str">
        <f t="array" ref="AK38">IFERROR(INDEX($AH$10:$AH$258, MATCH(0, IF(TRUE=$AF$10:$AF$258, COUNTIF($AK$9:$AK37, $AH$10:$AH$258), ""), 0)),"")</f>
        <v/>
      </c>
      <c r="AL38" s="15" t="str">
        <f>IFERROR(INDEX('G-6 Hedgerow Data'!$BJ$3:$BJ$15,MATCH(D38,'G-6 Hedgerow Data'!$B$3:$B$15,0)),"")</f>
        <v/>
      </c>
    </row>
    <row r="39" spans="2:38" x14ac:dyDescent="0.3">
      <c r="B39" s="92">
        <v>30</v>
      </c>
      <c r="C39" s="141"/>
      <c r="D39" s="141"/>
      <c r="E39" s="120"/>
      <c r="F39" s="335" t="str">
        <f>IF(D39="","",VLOOKUP(D39,'G-6 Hedgerow Data'!$B$2:$AG$15,2,FALSE))</f>
        <v/>
      </c>
      <c r="G39" s="291" t="str">
        <f>IF(D39="","",VLOOKUP(D39,'G-6 Hedgerow Data'!$B$2:$AG$15,3,FALSE))</f>
        <v/>
      </c>
      <c r="H39" s="95"/>
      <c r="I39" s="291" t="str">
        <f>IFERROR(IF(AND(D39&lt;&gt;"",H39=""),"Check data ⚠", IF(H39="","",IF(AND(D39="Non-native and ornamental hedgerow", H39&lt;&gt;"Poor"),"Not possible ▲", (VLOOKUP(H39,'G-1 All Habitats'!$Z$2:$AA$9,2,FALSE))))),"")</f>
        <v/>
      </c>
      <c r="J39" s="95"/>
      <c r="K39" s="298" t="str">
        <f>IF(AND(D39&lt;&gt;"",J39=""),"Check data ⚠", IF(J39="","",IF(VLOOKUP(J39,'G-3 Multipliers'!$L$3:$N$6,2,FALSE)=0,"Spatial Data Missing",VLOOKUP(J39,'G-3 Multipliers'!$L$3:$N$6,2,FALSE))))</f>
        <v/>
      </c>
      <c r="L39" s="296" t="str">
        <f>IF(J39="","",IF(VLOOKUP(J39,'G-3 Multipliers'!$L$3:$N$6,3,FALSE)=0,"Spatial Data Missing ⚠",VLOOKUP(J39,'G-3 Multipliers'!$L$3:$N$6,3,FALSE)))</f>
        <v/>
      </c>
      <c r="M39" s="297" t="str">
        <f>IF(D39="","",VLOOKUP(D39,'G-6 Hedgerow Data'!$B$1:$AH$15,33,FALSE))</f>
        <v/>
      </c>
      <c r="N39" s="304" t="str">
        <f t="shared" si="2"/>
        <v/>
      </c>
      <c r="O39" s="17"/>
      <c r="P39" s="441"/>
      <c r="Q39" s="141"/>
      <c r="R39" s="320" t="str">
        <f t="shared" si="3"/>
        <v/>
      </c>
      <c r="S39" s="320" t="str">
        <f t="shared" si="4"/>
        <v/>
      </c>
      <c r="T39" s="320" t="str">
        <f t="shared" si="5"/>
        <v/>
      </c>
      <c r="U39" s="339" t="str">
        <f t="shared" si="6"/>
        <v/>
      </c>
      <c r="V39" s="100"/>
      <c r="W39" s="101"/>
      <c r="X39" s="101"/>
      <c r="AE39" s="105" t="str">
        <f t="shared" si="0"/>
        <v/>
      </c>
      <c r="AF39" s="105" t="str">
        <f t="shared" si="1"/>
        <v/>
      </c>
      <c r="AH39" s="105">
        <v>30</v>
      </c>
      <c r="AJ39" s="105" t="str">
        <f t="array" ref="AJ39">IFERROR(INDEX($AH$10:$AH$258, MATCH(0, IF(TRUE=$AE$10:$AE$258, COUNTIF($AJ$9:$AJ38, $AH$10:$AH$258), ""), 0)),"")</f>
        <v/>
      </c>
      <c r="AK39" s="105" t="str">
        <f t="array" ref="AK39">IFERROR(INDEX($AH$10:$AH$258, MATCH(0, IF(TRUE=$AF$10:$AF$258, COUNTIF($AK$9:$AK38, $AH$10:$AH$258), ""), 0)),"")</f>
        <v/>
      </c>
      <c r="AL39" s="15" t="str">
        <f>IFERROR(INDEX('G-6 Hedgerow Data'!$BJ$3:$BJ$15,MATCH(D39,'G-6 Hedgerow Data'!$B$3:$B$15,0)),"")</f>
        <v/>
      </c>
    </row>
    <row r="40" spans="2:38" x14ac:dyDescent="0.3">
      <c r="B40" s="92">
        <v>31</v>
      </c>
      <c r="C40" s="141"/>
      <c r="D40" s="141"/>
      <c r="E40" s="120"/>
      <c r="F40" s="335" t="str">
        <f>IF(D40="","",VLOOKUP(D40,'G-6 Hedgerow Data'!$B$2:$AG$15,2,FALSE))</f>
        <v/>
      </c>
      <c r="G40" s="291" t="str">
        <f>IF(D40="","",VLOOKUP(D40,'G-6 Hedgerow Data'!$B$2:$AG$15,3,FALSE))</f>
        <v/>
      </c>
      <c r="H40" s="95"/>
      <c r="I40" s="291" t="str">
        <f>IFERROR(IF(AND(D40&lt;&gt;"",H40=""),"Check data ⚠", IF(H40="","",IF(AND(D40="Non-native and ornamental hedgerow", H40&lt;&gt;"Poor"),"Not possible ▲", (VLOOKUP(H40,'G-1 All Habitats'!$Z$2:$AA$9,2,FALSE))))),"")</f>
        <v/>
      </c>
      <c r="J40" s="95"/>
      <c r="K40" s="298" t="str">
        <f>IF(AND(D40&lt;&gt;"",J40=""),"Check data ⚠", IF(J40="","",IF(VLOOKUP(J40,'G-3 Multipliers'!$L$3:$N$6,2,FALSE)=0,"Spatial Data Missing",VLOOKUP(J40,'G-3 Multipliers'!$L$3:$N$6,2,FALSE))))</f>
        <v/>
      </c>
      <c r="L40" s="296" t="str">
        <f>IF(J40="","",IF(VLOOKUP(J40,'G-3 Multipliers'!$L$3:$N$6,3,FALSE)=0,"Spatial Data Missing ⚠",VLOOKUP(J40,'G-3 Multipliers'!$L$3:$N$6,3,FALSE)))</f>
        <v/>
      </c>
      <c r="M40" s="297" t="str">
        <f>IF(D40="","",VLOOKUP(D40,'G-6 Hedgerow Data'!$B$1:$AH$15,33,FALSE))</f>
        <v/>
      </c>
      <c r="N40" s="304" t="str">
        <f t="shared" si="2"/>
        <v/>
      </c>
      <c r="O40" s="17"/>
      <c r="P40" s="441"/>
      <c r="Q40" s="141"/>
      <c r="R40" s="320" t="str">
        <f t="shared" si="3"/>
        <v/>
      </c>
      <c r="S40" s="320" t="str">
        <f t="shared" si="4"/>
        <v/>
      </c>
      <c r="T40" s="320" t="str">
        <f t="shared" si="5"/>
        <v/>
      </c>
      <c r="U40" s="339" t="str">
        <f t="shared" si="6"/>
        <v/>
      </c>
      <c r="V40" s="100"/>
      <c r="W40" s="101"/>
      <c r="X40" s="101"/>
      <c r="AE40" s="105" t="str">
        <f t="shared" si="0"/>
        <v/>
      </c>
      <c r="AF40" s="105" t="str">
        <f t="shared" si="1"/>
        <v/>
      </c>
      <c r="AH40" s="105">
        <v>31</v>
      </c>
      <c r="AJ40" s="105" t="str">
        <f t="array" ref="AJ40">IFERROR(INDEX($AH$10:$AH$258, MATCH(0, IF(TRUE=$AE$10:$AE$258, COUNTIF($AJ$9:$AJ39, $AH$10:$AH$258), ""), 0)),"")</f>
        <v/>
      </c>
      <c r="AK40" s="105" t="str">
        <f t="array" ref="AK40">IFERROR(INDEX($AH$10:$AH$258, MATCH(0, IF(TRUE=$AF$10:$AF$258, COUNTIF($AK$9:$AK39, $AH$10:$AH$258), ""), 0)),"")</f>
        <v/>
      </c>
      <c r="AL40" s="15" t="str">
        <f>IFERROR(INDEX('G-6 Hedgerow Data'!$BJ$3:$BJ$15,MATCH(D40,'G-6 Hedgerow Data'!$B$3:$B$15,0)),"")</f>
        <v/>
      </c>
    </row>
    <row r="41" spans="2:38" x14ac:dyDescent="0.3">
      <c r="B41" s="92">
        <v>32</v>
      </c>
      <c r="C41" s="141"/>
      <c r="D41" s="141"/>
      <c r="E41" s="120"/>
      <c r="F41" s="335" t="str">
        <f>IF(D41="","",VLOOKUP(D41,'G-6 Hedgerow Data'!$B$2:$AG$15,2,FALSE))</f>
        <v/>
      </c>
      <c r="G41" s="291" t="str">
        <f>IF(D41="","",VLOOKUP(D41,'G-6 Hedgerow Data'!$B$2:$AG$15,3,FALSE))</f>
        <v/>
      </c>
      <c r="H41" s="95"/>
      <c r="I41" s="291" t="str">
        <f>IFERROR(IF(AND(D41&lt;&gt;"",H41=""),"Check data ⚠", IF(H41="","",IF(AND(D41="Non-native and ornamental hedgerow", H41&lt;&gt;"Poor"),"Not possible ▲", (VLOOKUP(H41,'G-1 All Habitats'!$Z$2:$AA$9,2,FALSE))))),"")</f>
        <v/>
      </c>
      <c r="J41" s="95"/>
      <c r="K41" s="298" t="str">
        <f>IF(AND(D41&lt;&gt;"",J41=""),"Check data ⚠", IF(J41="","",IF(VLOOKUP(J41,'G-3 Multipliers'!$L$3:$N$6,2,FALSE)=0,"Spatial Data Missing",VLOOKUP(J41,'G-3 Multipliers'!$L$3:$N$6,2,FALSE))))</f>
        <v/>
      </c>
      <c r="L41" s="296" t="str">
        <f>IF(J41="","",IF(VLOOKUP(J41,'G-3 Multipliers'!$L$3:$N$6,3,FALSE)=0,"Spatial Data Missing ⚠",VLOOKUP(J41,'G-3 Multipliers'!$L$3:$N$6,3,FALSE)))</f>
        <v/>
      </c>
      <c r="M41" s="297" t="str">
        <f>IF(D41="","",VLOOKUP(D41,'G-6 Hedgerow Data'!$B$1:$AH$15,33,FALSE))</f>
        <v/>
      </c>
      <c r="N41" s="304" t="str">
        <f t="shared" si="2"/>
        <v/>
      </c>
      <c r="O41" s="17"/>
      <c r="P41" s="441"/>
      <c r="Q41" s="141"/>
      <c r="R41" s="320" t="str">
        <f t="shared" si="3"/>
        <v/>
      </c>
      <c r="S41" s="320" t="str">
        <f t="shared" si="4"/>
        <v/>
      </c>
      <c r="T41" s="320" t="str">
        <f t="shared" si="5"/>
        <v/>
      </c>
      <c r="U41" s="339" t="str">
        <f t="shared" si="6"/>
        <v/>
      </c>
      <c r="V41" s="100"/>
      <c r="W41" s="101"/>
      <c r="X41" s="101"/>
      <c r="AE41" s="105" t="str">
        <f t="shared" si="0"/>
        <v/>
      </c>
      <c r="AF41" s="105" t="str">
        <f t="shared" si="1"/>
        <v/>
      </c>
      <c r="AH41" s="105">
        <v>32</v>
      </c>
      <c r="AJ41" s="105" t="str">
        <f t="array" ref="AJ41">IFERROR(INDEX($AH$10:$AH$258, MATCH(0, IF(TRUE=$AE$10:$AE$258, COUNTIF($AJ$9:$AJ40, $AH$10:$AH$258), ""), 0)),"")</f>
        <v/>
      </c>
      <c r="AK41" s="105" t="str">
        <f t="array" ref="AK41">IFERROR(INDEX($AH$10:$AH$258, MATCH(0, IF(TRUE=$AF$10:$AF$258, COUNTIF($AK$9:$AK40, $AH$10:$AH$258), ""), 0)),"")</f>
        <v/>
      </c>
      <c r="AL41" s="15" t="str">
        <f>IFERROR(INDEX('G-6 Hedgerow Data'!$BJ$3:$BJ$15,MATCH(D41,'G-6 Hedgerow Data'!$B$3:$B$15,0)),"")</f>
        <v/>
      </c>
    </row>
    <row r="42" spans="2:38" x14ac:dyDescent="0.3">
      <c r="B42" s="92">
        <v>33</v>
      </c>
      <c r="C42" s="141"/>
      <c r="D42" s="141"/>
      <c r="E42" s="120"/>
      <c r="F42" s="335" t="str">
        <f>IF(D42="","",VLOOKUP(D42,'G-6 Hedgerow Data'!$B$2:$AG$15,2,FALSE))</f>
        <v/>
      </c>
      <c r="G42" s="291" t="str">
        <f>IF(D42="","",VLOOKUP(D42,'G-6 Hedgerow Data'!$B$2:$AG$15,3,FALSE))</f>
        <v/>
      </c>
      <c r="H42" s="95"/>
      <c r="I42" s="291" t="str">
        <f>IFERROR(IF(AND(D42&lt;&gt;"",H42=""),"Check data ⚠", IF(H42="","",IF(AND(D42="Non-native and ornamental hedgerow", H42&lt;&gt;"Poor"),"Not possible ▲", (VLOOKUP(H42,'G-1 All Habitats'!$Z$2:$AA$9,2,FALSE))))),"")</f>
        <v/>
      </c>
      <c r="J42" s="95"/>
      <c r="K42" s="298" t="str">
        <f>IF(AND(D42&lt;&gt;"",J42=""),"Check data ⚠", IF(J42="","",IF(VLOOKUP(J42,'G-3 Multipliers'!$L$3:$N$6,2,FALSE)=0,"Spatial Data Missing",VLOOKUP(J42,'G-3 Multipliers'!$L$3:$N$6,2,FALSE))))</f>
        <v/>
      </c>
      <c r="L42" s="296" t="str">
        <f>IF(J42="","",IF(VLOOKUP(J42,'G-3 Multipliers'!$L$3:$N$6,3,FALSE)=0,"Spatial Data Missing ⚠",VLOOKUP(J42,'G-3 Multipliers'!$L$3:$N$6,3,FALSE)))</f>
        <v/>
      </c>
      <c r="M42" s="297" t="str">
        <f>IF(D42="","",VLOOKUP(D42,'G-6 Hedgerow Data'!$B$1:$AH$15,33,FALSE))</f>
        <v/>
      </c>
      <c r="N42" s="304" t="str">
        <f t="shared" si="2"/>
        <v/>
      </c>
      <c r="O42" s="17"/>
      <c r="P42" s="441"/>
      <c r="Q42" s="141"/>
      <c r="R42" s="320" t="str">
        <f t="shared" si="3"/>
        <v/>
      </c>
      <c r="S42" s="320" t="str">
        <f t="shared" si="4"/>
        <v/>
      </c>
      <c r="T42" s="320" t="str">
        <f t="shared" si="5"/>
        <v/>
      </c>
      <c r="U42" s="339" t="str">
        <f t="shared" si="6"/>
        <v/>
      </c>
      <c r="V42" s="100"/>
      <c r="W42" s="101"/>
      <c r="X42" s="101"/>
      <c r="AE42" s="105" t="str">
        <f t="shared" si="0"/>
        <v/>
      </c>
      <c r="AF42" s="105" t="str">
        <f t="shared" si="1"/>
        <v/>
      </c>
      <c r="AH42" s="105">
        <v>33</v>
      </c>
      <c r="AJ42" s="105" t="str">
        <f t="array" ref="AJ42">IFERROR(INDEX($AH$10:$AH$258, MATCH(0, IF(TRUE=$AE$10:$AE$258, COUNTIF($AJ$9:$AJ41, $AH$10:$AH$258), ""), 0)),"")</f>
        <v/>
      </c>
      <c r="AK42" s="105" t="str">
        <f t="array" ref="AK42">IFERROR(INDEX($AH$10:$AH$258, MATCH(0, IF(TRUE=$AF$10:$AF$258, COUNTIF($AK$9:$AK41, $AH$10:$AH$258), ""), 0)),"")</f>
        <v/>
      </c>
      <c r="AL42" s="15" t="str">
        <f>IFERROR(INDEX('G-6 Hedgerow Data'!$BJ$3:$BJ$15,MATCH(D42,'G-6 Hedgerow Data'!$B$3:$B$15,0)),"")</f>
        <v/>
      </c>
    </row>
    <row r="43" spans="2:38" x14ac:dyDescent="0.3">
      <c r="B43" s="92">
        <v>34</v>
      </c>
      <c r="C43" s="141"/>
      <c r="D43" s="141"/>
      <c r="E43" s="120"/>
      <c r="F43" s="335" t="str">
        <f>IF(D43="","",VLOOKUP(D43,'G-6 Hedgerow Data'!$B$2:$AG$15,2,FALSE))</f>
        <v/>
      </c>
      <c r="G43" s="291" t="str">
        <f>IF(D43="","",VLOOKUP(D43,'G-6 Hedgerow Data'!$B$2:$AG$15,3,FALSE))</f>
        <v/>
      </c>
      <c r="H43" s="95"/>
      <c r="I43" s="291" t="str">
        <f>IFERROR(IF(AND(D43&lt;&gt;"",H43=""),"Check data ⚠", IF(H43="","",IF(AND(D43="Non-native and ornamental hedgerow", H43&lt;&gt;"Poor"),"Not possible ▲", (VLOOKUP(H43,'G-1 All Habitats'!$Z$2:$AA$9,2,FALSE))))),"")</f>
        <v/>
      </c>
      <c r="J43" s="95"/>
      <c r="K43" s="298" t="str">
        <f>IF(AND(D43&lt;&gt;"",J43=""),"Check data ⚠", IF(J43="","",IF(VLOOKUP(J43,'G-3 Multipliers'!$L$3:$N$6,2,FALSE)=0,"Spatial Data Missing",VLOOKUP(J43,'G-3 Multipliers'!$L$3:$N$6,2,FALSE))))</f>
        <v/>
      </c>
      <c r="L43" s="296" t="str">
        <f>IF(J43="","",IF(VLOOKUP(J43,'G-3 Multipliers'!$L$3:$N$6,3,FALSE)=0,"Spatial Data Missing ⚠",VLOOKUP(J43,'G-3 Multipliers'!$L$3:$N$6,3,FALSE)))</f>
        <v/>
      </c>
      <c r="M43" s="297" t="str">
        <f>IF(D43="","",VLOOKUP(D43,'G-6 Hedgerow Data'!$B$1:$AH$15,33,FALSE))</f>
        <v/>
      </c>
      <c r="N43" s="304" t="str">
        <f t="shared" si="2"/>
        <v/>
      </c>
      <c r="O43" s="17"/>
      <c r="P43" s="441"/>
      <c r="Q43" s="141"/>
      <c r="R43" s="320" t="str">
        <f t="shared" si="3"/>
        <v/>
      </c>
      <c r="S43" s="320" t="str">
        <f t="shared" si="4"/>
        <v/>
      </c>
      <c r="T43" s="320" t="str">
        <f t="shared" si="5"/>
        <v/>
      </c>
      <c r="U43" s="339" t="str">
        <f t="shared" si="6"/>
        <v/>
      </c>
      <c r="V43" s="100"/>
      <c r="W43" s="101"/>
      <c r="X43" s="101"/>
      <c r="AE43" s="105" t="str">
        <f t="shared" si="0"/>
        <v/>
      </c>
      <c r="AF43" s="105" t="str">
        <f t="shared" si="1"/>
        <v/>
      </c>
      <c r="AH43" s="105">
        <v>34</v>
      </c>
      <c r="AJ43" s="105" t="str">
        <f t="array" ref="AJ43">IFERROR(INDEX($AH$10:$AH$258, MATCH(0, IF(TRUE=$AE$10:$AE$258, COUNTIF($AJ$9:$AJ42, $AH$10:$AH$258), ""), 0)),"")</f>
        <v/>
      </c>
      <c r="AK43" s="105" t="str">
        <f t="array" ref="AK43">IFERROR(INDEX($AH$10:$AH$258, MATCH(0, IF(TRUE=$AF$10:$AF$258, COUNTIF($AK$9:$AK42, $AH$10:$AH$258), ""), 0)),"")</f>
        <v/>
      </c>
      <c r="AL43" s="15" t="str">
        <f>IFERROR(INDEX('G-6 Hedgerow Data'!$BJ$3:$BJ$15,MATCH(D43,'G-6 Hedgerow Data'!$B$3:$B$15,0)),"")</f>
        <v/>
      </c>
    </row>
    <row r="44" spans="2:38" x14ac:dyDescent="0.3">
      <c r="B44" s="92">
        <v>35</v>
      </c>
      <c r="C44" s="141"/>
      <c r="D44" s="141"/>
      <c r="E44" s="102"/>
      <c r="F44" s="335" t="str">
        <f>IF(D44="","",VLOOKUP(D44,'G-6 Hedgerow Data'!$B$2:$AG$15,2,FALSE))</f>
        <v/>
      </c>
      <c r="G44" s="291" t="str">
        <f>IF(D44="","",VLOOKUP(D44,'G-6 Hedgerow Data'!$B$2:$AG$15,3,FALSE))</f>
        <v/>
      </c>
      <c r="H44" s="95"/>
      <c r="I44" s="291" t="str">
        <f>IFERROR(IF(AND(D44&lt;&gt;"",H44=""),"Check data ⚠", IF(H44="","",IF(AND(D44="Non-native and ornamental hedgerow", H44&lt;&gt;"Poor"),"Not possible ▲", (VLOOKUP(H44,'G-1 All Habitats'!$Z$2:$AA$9,2,FALSE))))),"")</f>
        <v/>
      </c>
      <c r="J44" s="95"/>
      <c r="K44" s="298" t="str">
        <f>IF(AND(D44&lt;&gt;"",J44=""),"Check data ⚠", IF(J44="","",IF(VLOOKUP(J44,'G-3 Multipliers'!$L$3:$N$6,2,FALSE)=0,"Spatial Data Missing",VLOOKUP(J44,'G-3 Multipliers'!$L$3:$N$6,2,FALSE))))</f>
        <v/>
      </c>
      <c r="L44" s="296" t="str">
        <f>IF(J44="","",IF(VLOOKUP(J44,'G-3 Multipliers'!$L$3:$N$6,3,FALSE)=0,"Spatial Data Missing ⚠",VLOOKUP(J44,'G-3 Multipliers'!$L$3:$N$6,3,FALSE)))</f>
        <v/>
      </c>
      <c r="M44" s="297" t="str">
        <f>IF(D44="","",VLOOKUP(D44,'G-6 Hedgerow Data'!$B$1:$AH$15,33,FALSE))</f>
        <v/>
      </c>
      <c r="N44" s="304" t="str">
        <f t="shared" si="2"/>
        <v/>
      </c>
      <c r="O44" s="17"/>
      <c r="P44" s="441"/>
      <c r="Q44" s="141"/>
      <c r="R44" s="320" t="str">
        <f t="shared" si="3"/>
        <v/>
      </c>
      <c r="S44" s="320" t="str">
        <f t="shared" si="4"/>
        <v/>
      </c>
      <c r="T44" s="320" t="str">
        <f t="shared" si="5"/>
        <v/>
      </c>
      <c r="U44" s="339" t="str">
        <f t="shared" si="6"/>
        <v/>
      </c>
      <c r="V44" s="100"/>
      <c r="W44" s="101"/>
      <c r="X44" s="101"/>
      <c r="AE44" s="105" t="str">
        <f t="shared" si="0"/>
        <v/>
      </c>
      <c r="AF44" s="105" t="str">
        <f t="shared" si="1"/>
        <v/>
      </c>
      <c r="AH44" s="105">
        <v>35</v>
      </c>
      <c r="AJ44" s="105" t="str">
        <f t="array" ref="AJ44">IFERROR(INDEX($AH$10:$AH$258, MATCH(0, IF(TRUE=$AE$10:$AE$258, COUNTIF($AJ$9:$AJ43, $AH$10:$AH$258), ""), 0)),"")</f>
        <v/>
      </c>
      <c r="AK44" s="105" t="str">
        <f t="array" ref="AK44">IFERROR(INDEX($AH$10:$AH$258, MATCH(0, IF(TRUE=$AF$10:$AF$258, COUNTIF($AK$9:$AK43, $AH$10:$AH$258), ""), 0)),"")</f>
        <v/>
      </c>
      <c r="AL44" s="15" t="str">
        <f>IFERROR(INDEX('G-6 Hedgerow Data'!$BJ$3:$BJ$15,MATCH(D44,'G-6 Hedgerow Data'!$B$3:$B$15,0)),"")</f>
        <v/>
      </c>
    </row>
    <row r="45" spans="2:38" x14ac:dyDescent="0.3">
      <c r="B45" s="92">
        <v>36</v>
      </c>
      <c r="C45" s="141"/>
      <c r="D45" s="141"/>
      <c r="E45" s="102"/>
      <c r="F45" s="335" t="str">
        <f>IF(D45="","",VLOOKUP(D45,'G-6 Hedgerow Data'!$B$2:$AG$15,2,FALSE))</f>
        <v/>
      </c>
      <c r="G45" s="291" t="str">
        <f>IF(D45="","",VLOOKUP(D45,'G-6 Hedgerow Data'!$B$2:$AG$15,3,FALSE))</f>
        <v/>
      </c>
      <c r="H45" s="95"/>
      <c r="I45" s="291" t="str">
        <f>IFERROR(IF(AND(D45&lt;&gt;"",H45=""),"Check data ⚠", IF(H45="","",IF(AND(D45="Non-native and ornamental hedgerow", H45&lt;&gt;"Poor"),"Not possible ▲", (VLOOKUP(H45,'G-1 All Habitats'!$Z$2:$AA$9,2,FALSE))))),"")</f>
        <v/>
      </c>
      <c r="J45" s="95"/>
      <c r="K45" s="298" t="str">
        <f>IF(AND(D45&lt;&gt;"",J45=""),"Check data ⚠", IF(J45="","",IF(VLOOKUP(J45,'G-3 Multipliers'!$L$3:$N$6,2,FALSE)=0,"Spatial Data Missing",VLOOKUP(J45,'G-3 Multipliers'!$L$3:$N$6,2,FALSE))))</f>
        <v/>
      </c>
      <c r="L45" s="296" t="str">
        <f>IF(J45="","",IF(VLOOKUP(J45,'G-3 Multipliers'!$L$3:$N$6,3,FALSE)=0,"Spatial Data Missing ⚠",VLOOKUP(J45,'G-3 Multipliers'!$L$3:$N$6,3,FALSE)))</f>
        <v/>
      </c>
      <c r="M45" s="297" t="str">
        <f>IF(D45="","",VLOOKUP(D45,'G-6 Hedgerow Data'!$B$1:$AH$15,33,FALSE))</f>
        <v/>
      </c>
      <c r="N45" s="304" t="str">
        <f t="shared" si="2"/>
        <v/>
      </c>
      <c r="O45" s="17"/>
      <c r="P45" s="441"/>
      <c r="Q45" s="141"/>
      <c r="R45" s="320" t="str">
        <f t="shared" si="3"/>
        <v/>
      </c>
      <c r="S45" s="320" t="str">
        <f t="shared" si="4"/>
        <v/>
      </c>
      <c r="T45" s="320" t="str">
        <f t="shared" si="5"/>
        <v/>
      </c>
      <c r="U45" s="339" t="str">
        <f t="shared" si="6"/>
        <v/>
      </c>
      <c r="V45" s="100"/>
      <c r="W45" s="101"/>
      <c r="X45" s="101"/>
      <c r="AE45" s="105" t="str">
        <f t="shared" si="0"/>
        <v/>
      </c>
      <c r="AF45" s="105" t="str">
        <f t="shared" si="1"/>
        <v/>
      </c>
      <c r="AH45" s="105">
        <v>36</v>
      </c>
      <c r="AJ45" s="105" t="str">
        <f t="array" ref="AJ45">IFERROR(INDEX($AH$10:$AH$258, MATCH(0, IF(TRUE=$AE$10:$AE$258, COUNTIF($AJ$9:$AJ44, $AH$10:$AH$258), ""), 0)),"")</f>
        <v/>
      </c>
      <c r="AK45" s="105" t="str">
        <f t="array" ref="AK45">IFERROR(INDEX($AH$10:$AH$258, MATCH(0, IF(TRUE=$AF$10:$AF$258, COUNTIF($AK$9:$AK44, $AH$10:$AH$258), ""), 0)),"")</f>
        <v/>
      </c>
      <c r="AL45" s="15" t="str">
        <f>IFERROR(INDEX('G-6 Hedgerow Data'!$BJ$3:$BJ$15,MATCH(D45,'G-6 Hedgerow Data'!$B$3:$B$15,0)),"")</f>
        <v/>
      </c>
    </row>
    <row r="46" spans="2:38" x14ac:dyDescent="0.3">
      <c r="B46" s="92">
        <v>37</v>
      </c>
      <c r="C46" s="141"/>
      <c r="D46" s="141"/>
      <c r="E46" s="102"/>
      <c r="F46" s="335" t="str">
        <f>IF(D46="","",VLOOKUP(D46,'G-6 Hedgerow Data'!$B$2:$AG$15,2,FALSE))</f>
        <v/>
      </c>
      <c r="G46" s="291" t="str">
        <f>IF(D46="","",VLOOKUP(D46,'G-6 Hedgerow Data'!$B$2:$AG$15,3,FALSE))</f>
        <v/>
      </c>
      <c r="H46" s="95"/>
      <c r="I46" s="291" t="str">
        <f>IFERROR(IF(AND(D46&lt;&gt;"",H46=""),"Check data ⚠", IF(H46="","",IF(AND(D46="Non-native and ornamental hedgerow", H46&lt;&gt;"Poor"),"Not possible ▲", (VLOOKUP(H46,'G-1 All Habitats'!$Z$2:$AA$9,2,FALSE))))),"")</f>
        <v/>
      </c>
      <c r="J46" s="95"/>
      <c r="K46" s="298" t="str">
        <f>IF(AND(D46&lt;&gt;"",J46=""),"Check data ⚠", IF(J46="","",IF(VLOOKUP(J46,'G-3 Multipliers'!$L$3:$N$6,2,FALSE)=0,"Spatial Data Missing",VLOOKUP(J46,'G-3 Multipliers'!$L$3:$N$6,2,FALSE))))</f>
        <v/>
      </c>
      <c r="L46" s="296" t="str">
        <f>IF(J46="","",IF(VLOOKUP(J46,'G-3 Multipliers'!$L$3:$N$6,3,FALSE)=0,"Spatial Data Missing ⚠",VLOOKUP(J46,'G-3 Multipliers'!$L$3:$N$6,3,FALSE)))</f>
        <v/>
      </c>
      <c r="M46" s="297" t="str">
        <f>IF(D46="","",VLOOKUP(D46,'G-6 Hedgerow Data'!$B$1:$AH$15,33,FALSE))</f>
        <v/>
      </c>
      <c r="N46" s="304" t="str">
        <f t="shared" si="2"/>
        <v/>
      </c>
      <c r="O46" s="17"/>
      <c r="P46" s="441"/>
      <c r="Q46" s="141"/>
      <c r="R46" s="320" t="str">
        <f t="shared" si="3"/>
        <v/>
      </c>
      <c r="S46" s="320" t="str">
        <f t="shared" si="4"/>
        <v/>
      </c>
      <c r="T46" s="320" t="str">
        <f t="shared" si="5"/>
        <v/>
      </c>
      <c r="U46" s="339" t="str">
        <f t="shared" si="6"/>
        <v/>
      </c>
      <c r="V46" s="100"/>
      <c r="W46" s="101"/>
      <c r="X46" s="101"/>
      <c r="AE46" s="105" t="str">
        <f t="shared" si="0"/>
        <v/>
      </c>
      <c r="AF46" s="105" t="str">
        <f t="shared" si="1"/>
        <v/>
      </c>
      <c r="AH46" s="105">
        <v>37</v>
      </c>
      <c r="AJ46" s="105" t="str">
        <f t="array" ref="AJ46">IFERROR(INDEX($AH$10:$AH$258, MATCH(0, IF(TRUE=$AE$10:$AE$258, COUNTIF($AJ$9:$AJ45, $AH$10:$AH$258), ""), 0)),"")</f>
        <v/>
      </c>
      <c r="AK46" s="105" t="str">
        <f t="array" ref="AK46">IFERROR(INDEX($AH$10:$AH$258, MATCH(0, IF(TRUE=$AF$10:$AF$258, COUNTIF($AK$9:$AK45, $AH$10:$AH$258), ""), 0)),"")</f>
        <v/>
      </c>
      <c r="AL46" s="15" t="str">
        <f>IFERROR(INDEX('G-6 Hedgerow Data'!$BJ$3:$BJ$15,MATCH(D46,'G-6 Hedgerow Data'!$B$3:$B$15,0)),"")</f>
        <v/>
      </c>
    </row>
    <row r="47" spans="2:38" x14ac:dyDescent="0.3">
      <c r="B47" s="92">
        <v>38</v>
      </c>
      <c r="C47" s="141"/>
      <c r="D47" s="141"/>
      <c r="E47" s="102"/>
      <c r="F47" s="335" t="str">
        <f>IF(D47="","",VLOOKUP(D47,'G-6 Hedgerow Data'!$B$2:$AG$15,2,FALSE))</f>
        <v/>
      </c>
      <c r="G47" s="291" t="str">
        <f>IF(D47="","",VLOOKUP(D47,'G-6 Hedgerow Data'!$B$2:$AG$15,3,FALSE))</f>
        <v/>
      </c>
      <c r="H47" s="95"/>
      <c r="I47" s="291" t="str">
        <f>IFERROR(IF(AND(D47&lt;&gt;"",H47=""),"Check data ⚠", IF(H47="","",IF(AND(D47="Non-native and ornamental hedgerow", H47&lt;&gt;"Poor"),"Not possible ▲", (VLOOKUP(H47,'G-1 All Habitats'!$Z$2:$AA$9,2,FALSE))))),"")</f>
        <v/>
      </c>
      <c r="J47" s="95"/>
      <c r="K47" s="298" t="str">
        <f>IF(AND(D47&lt;&gt;"",J47=""),"Check data ⚠", IF(J47="","",IF(VLOOKUP(J47,'G-3 Multipliers'!$L$3:$N$6,2,FALSE)=0,"Spatial Data Missing",VLOOKUP(J47,'G-3 Multipliers'!$L$3:$N$6,2,FALSE))))</f>
        <v/>
      </c>
      <c r="L47" s="296" t="str">
        <f>IF(J47="","",IF(VLOOKUP(J47,'G-3 Multipliers'!$L$3:$N$6,3,FALSE)=0,"Spatial Data Missing ⚠",VLOOKUP(J47,'G-3 Multipliers'!$L$3:$N$6,3,FALSE)))</f>
        <v/>
      </c>
      <c r="M47" s="297" t="str">
        <f>IF(D47="","",VLOOKUP(D47,'G-6 Hedgerow Data'!$B$1:$AH$15,33,FALSE))</f>
        <v/>
      </c>
      <c r="N47" s="304" t="str">
        <f t="shared" si="2"/>
        <v/>
      </c>
      <c r="O47" s="17"/>
      <c r="P47" s="441"/>
      <c r="Q47" s="141"/>
      <c r="R47" s="320" t="str">
        <f t="shared" si="3"/>
        <v/>
      </c>
      <c r="S47" s="320" t="str">
        <f t="shared" si="4"/>
        <v/>
      </c>
      <c r="T47" s="320" t="str">
        <f t="shared" si="5"/>
        <v/>
      </c>
      <c r="U47" s="339" t="str">
        <f t="shared" si="6"/>
        <v/>
      </c>
      <c r="V47" s="100"/>
      <c r="W47" s="101"/>
      <c r="X47" s="101"/>
      <c r="AE47" s="105" t="str">
        <f t="shared" si="0"/>
        <v/>
      </c>
      <c r="AF47" s="105" t="str">
        <f t="shared" si="1"/>
        <v/>
      </c>
      <c r="AH47" s="105">
        <v>38</v>
      </c>
      <c r="AJ47" s="105" t="str">
        <f t="array" ref="AJ47">IFERROR(INDEX($AH$10:$AH$258, MATCH(0, IF(TRUE=$AE$10:$AE$258, COUNTIF($AJ$9:$AJ46, $AH$10:$AH$258), ""), 0)),"")</f>
        <v/>
      </c>
      <c r="AK47" s="105" t="str">
        <f t="array" ref="AK47">IFERROR(INDEX($AH$10:$AH$258, MATCH(0, IF(TRUE=$AF$10:$AF$258, COUNTIF($AK$9:$AK46, $AH$10:$AH$258), ""), 0)),"")</f>
        <v/>
      </c>
      <c r="AL47" s="15" t="str">
        <f>IFERROR(INDEX('G-6 Hedgerow Data'!$BJ$3:$BJ$15,MATCH(D47,'G-6 Hedgerow Data'!$B$3:$B$15,0)),"")</f>
        <v/>
      </c>
    </row>
    <row r="48" spans="2:38" x14ac:dyDescent="0.3">
      <c r="B48" s="92">
        <v>39</v>
      </c>
      <c r="C48" s="141"/>
      <c r="D48" s="141"/>
      <c r="E48" s="102"/>
      <c r="F48" s="335" t="str">
        <f>IF(D48="","",VLOOKUP(D48,'G-6 Hedgerow Data'!$B$2:$AG$15,2,FALSE))</f>
        <v/>
      </c>
      <c r="G48" s="291" t="str">
        <f>IF(D48="","",VLOOKUP(D48,'G-6 Hedgerow Data'!$B$2:$AG$15,3,FALSE))</f>
        <v/>
      </c>
      <c r="H48" s="95"/>
      <c r="I48" s="291" t="str">
        <f>IFERROR(IF(AND(D48&lt;&gt;"",H48=""),"Check data ⚠", IF(H48="","",IF(AND(D48="Non-native and ornamental hedgerow", H48&lt;&gt;"Poor"),"Not possible ▲", (VLOOKUP(H48,'G-1 All Habitats'!$Z$2:$AA$9,2,FALSE))))),"")</f>
        <v/>
      </c>
      <c r="J48" s="95"/>
      <c r="K48" s="298" t="str">
        <f>IF(AND(D48&lt;&gt;"",J48=""),"Check data ⚠", IF(J48="","",IF(VLOOKUP(J48,'G-3 Multipliers'!$L$3:$N$6,2,FALSE)=0,"Spatial Data Missing",VLOOKUP(J48,'G-3 Multipliers'!$L$3:$N$6,2,FALSE))))</f>
        <v/>
      </c>
      <c r="L48" s="296" t="str">
        <f>IF(J48="","",IF(VLOOKUP(J48,'G-3 Multipliers'!$L$3:$N$6,3,FALSE)=0,"Spatial Data Missing ⚠",VLOOKUP(J48,'G-3 Multipliers'!$L$3:$N$6,3,FALSE)))</f>
        <v/>
      </c>
      <c r="M48" s="297" t="str">
        <f>IF(D48="","",VLOOKUP(D48,'G-6 Hedgerow Data'!$B$1:$AH$15,33,FALSE))</f>
        <v/>
      </c>
      <c r="N48" s="304" t="str">
        <f t="shared" si="2"/>
        <v/>
      </c>
      <c r="O48" s="17"/>
      <c r="P48" s="103"/>
      <c r="Q48" s="141"/>
      <c r="R48" s="320" t="str">
        <f t="shared" si="3"/>
        <v/>
      </c>
      <c r="S48" s="320" t="str">
        <f t="shared" si="4"/>
        <v/>
      </c>
      <c r="T48" s="320" t="str">
        <f t="shared" si="5"/>
        <v/>
      </c>
      <c r="U48" s="339" t="str">
        <f t="shared" si="6"/>
        <v/>
      </c>
      <c r="V48" s="100"/>
      <c r="W48" s="101"/>
      <c r="X48" s="101"/>
      <c r="AE48" s="105" t="str">
        <f t="shared" si="0"/>
        <v/>
      </c>
      <c r="AF48" s="105" t="str">
        <f t="shared" si="1"/>
        <v/>
      </c>
      <c r="AH48" s="105">
        <v>39</v>
      </c>
      <c r="AJ48" s="105" t="str">
        <f t="array" ref="AJ48">IFERROR(INDEX($AH$10:$AH$258, MATCH(0, IF(TRUE=$AE$10:$AE$258, COUNTIF($AJ$9:$AJ47, $AH$10:$AH$258), ""), 0)),"")</f>
        <v/>
      </c>
      <c r="AK48" s="105" t="str">
        <f t="array" ref="AK48">IFERROR(INDEX($AH$10:$AH$258, MATCH(0, IF(TRUE=$AF$10:$AF$258, COUNTIF($AK$9:$AK47, $AH$10:$AH$258), ""), 0)),"")</f>
        <v/>
      </c>
      <c r="AL48" s="15" t="str">
        <f>IFERROR(INDEX('G-6 Hedgerow Data'!$BJ$3:$BJ$15,MATCH(D48,'G-6 Hedgerow Data'!$B$3:$B$15,0)),"")</f>
        <v/>
      </c>
    </row>
    <row r="49" spans="2:38" x14ac:dyDescent="0.3">
      <c r="B49" s="92">
        <v>40</v>
      </c>
      <c r="C49" s="141"/>
      <c r="D49" s="141"/>
      <c r="E49" s="102"/>
      <c r="F49" s="335" t="str">
        <f>IF(D49="","",VLOOKUP(D49,'G-6 Hedgerow Data'!$B$2:$AG$15,2,FALSE))</f>
        <v/>
      </c>
      <c r="G49" s="291" t="str">
        <f>IF(D49="","",VLOOKUP(D49,'G-6 Hedgerow Data'!$B$2:$AG$15,3,FALSE))</f>
        <v/>
      </c>
      <c r="H49" s="95"/>
      <c r="I49" s="291" t="str">
        <f>IFERROR(IF(AND(D49&lt;&gt;"",H49=""),"Check data ⚠", IF(H49="","",IF(AND(D49="Non-native and ornamental hedgerow", H49&lt;&gt;"Poor"),"Not possible ▲", (VLOOKUP(H49,'G-1 All Habitats'!$Z$2:$AA$9,2,FALSE))))),"")</f>
        <v/>
      </c>
      <c r="J49" s="95"/>
      <c r="K49" s="298" t="str">
        <f>IF(AND(D49&lt;&gt;"",J49=""),"Check data ⚠", IF(J49="","",IF(VLOOKUP(J49,'G-3 Multipliers'!$L$3:$N$6,2,FALSE)=0,"Spatial Data Missing",VLOOKUP(J49,'G-3 Multipliers'!$L$3:$N$6,2,FALSE))))</f>
        <v/>
      </c>
      <c r="L49" s="296" t="str">
        <f>IF(J49="","",IF(VLOOKUP(J49,'G-3 Multipliers'!$L$3:$N$6,3,FALSE)=0,"Spatial Data Missing ⚠",VLOOKUP(J49,'G-3 Multipliers'!$L$3:$N$6,3,FALSE)))</f>
        <v/>
      </c>
      <c r="M49" s="297" t="str">
        <f>IF(D49="","",VLOOKUP(D49,'G-6 Hedgerow Data'!$B$1:$AH$15,33,FALSE))</f>
        <v/>
      </c>
      <c r="N49" s="304" t="str">
        <f t="shared" si="2"/>
        <v/>
      </c>
      <c r="O49" s="17"/>
      <c r="P49" s="103"/>
      <c r="Q49" s="141"/>
      <c r="R49" s="320" t="str">
        <f t="shared" si="3"/>
        <v/>
      </c>
      <c r="S49" s="320" t="str">
        <f t="shared" si="4"/>
        <v/>
      </c>
      <c r="T49" s="320" t="str">
        <f t="shared" si="5"/>
        <v/>
      </c>
      <c r="U49" s="339" t="str">
        <f t="shared" si="6"/>
        <v/>
      </c>
      <c r="V49" s="100"/>
      <c r="W49" s="101"/>
      <c r="X49" s="101"/>
      <c r="AE49" s="105" t="str">
        <f t="shared" si="0"/>
        <v/>
      </c>
      <c r="AF49" s="105" t="str">
        <f t="shared" si="1"/>
        <v/>
      </c>
      <c r="AH49" s="105">
        <v>40</v>
      </c>
      <c r="AJ49" s="105" t="str">
        <f t="array" ref="AJ49">IFERROR(INDEX($AH$10:$AH$258, MATCH(0, IF(TRUE=$AE$10:$AE$258, COUNTIF($AJ$9:$AJ48, $AH$10:$AH$258), ""), 0)),"")</f>
        <v/>
      </c>
      <c r="AK49" s="105" t="str">
        <f t="array" ref="AK49">IFERROR(INDEX($AH$10:$AH$258, MATCH(0, IF(TRUE=$AF$10:$AF$258, COUNTIF($AK$9:$AK48, $AH$10:$AH$258), ""), 0)),"")</f>
        <v/>
      </c>
      <c r="AL49" s="15" t="str">
        <f>IFERROR(INDEX('G-6 Hedgerow Data'!$BJ$3:$BJ$15,MATCH(D49,'G-6 Hedgerow Data'!$B$3:$B$15,0)),"")</f>
        <v/>
      </c>
    </row>
    <row r="50" spans="2:38" x14ac:dyDescent="0.3">
      <c r="B50" s="92">
        <v>41</v>
      </c>
      <c r="C50" s="141"/>
      <c r="D50" s="141"/>
      <c r="E50" s="102"/>
      <c r="F50" s="335" t="str">
        <f>IF(D50="","",VLOOKUP(D50,'G-6 Hedgerow Data'!$B$2:$AG$15,2,FALSE))</f>
        <v/>
      </c>
      <c r="G50" s="291" t="str">
        <f>IF(D50="","",VLOOKUP(D50,'G-6 Hedgerow Data'!$B$2:$AG$15,3,FALSE))</f>
        <v/>
      </c>
      <c r="H50" s="95"/>
      <c r="I50" s="291" t="str">
        <f>IFERROR(IF(AND(D50&lt;&gt;"",H50=""),"Check data ⚠", IF(H50="","",IF(AND(D50="Non-native and ornamental hedgerow", H50&lt;&gt;"Poor"),"Not possible ▲", (VLOOKUP(H50,'G-1 All Habitats'!$Z$2:$AA$9,2,FALSE))))),"")</f>
        <v/>
      </c>
      <c r="J50" s="95"/>
      <c r="K50" s="298" t="str">
        <f>IF(AND(D50&lt;&gt;"",J50=""),"Check data ⚠", IF(J50="","",IF(VLOOKUP(J50,'G-3 Multipliers'!$L$3:$N$6,2,FALSE)=0,"Spatial Data Missing",VLOOKUP(J50,'G-3 Multipliers'!$L$3:$N$6,2,FALSE))))</f>
        <v/>
      </c>
      <c r="L50" s="296" t="str">
        <f>IF(J50="","",IF(VLOOKUP(J50,'G-3 Multipliers'!$L$3:$N$6,3,FALSE)=0,"Spatial Data Missing ⚠",VLOOKUP(J50,'G-3 Multipliers'!$L$3:$N$6,3,FALSE)))</f>
        <v/>
      </c>
      <c r="M50" s="297" t="str">
        <f>IF(D50="","",VLOOKUP(D50,'G-6 Hedgerow Data'!$B$1:$AH$15,33,FALSE))</f>
        <v/>
      </c>
      <c r="N50" s="304" t="str">
        <f t="shared" si="2"/>
        <v/>
      </c>
      <c r="O50" s="17"/>
      <c r="P50" s="103"/>
      <c r="Q50" s="141"/>
      <c r="R50" s="320" t="str">
        <f t="shared" si="3"/>
        <v/>
      </c>
      <c r="S50" s="320" t="str">
        <f t="shared" si="4"/>
        <v/>
      </c>
      <c r="T50" s="320" t="str">
        <f t="shared" si="5"/>
        <v/>
      </c>
      <c r="U50" s="339" t="str">
        <f t="shared" si="6"/>
        <v/>
      </c>
      <c r="V50" s="100"/>
      <c r="W50" s="101"/>
      <c r="X50" s="101"/>
      <c r="AE50" s="105" t="str">
        <f t="shared" si="0"/>
        <v/>
      </c>
      <c r="AF50" s="105" t="str">
        <f t="shared" si="1"/>
        <v/>
      </c>
      <c r="AH50" s="105">
        <v>41</v>
      </c>
      <c r="AJ50" s="105" t="str">
        <f t="array" ref="AJ50">IFERROR(INDEX($AH$10:$AH$258, MATCH(0, IF(TRUE=$AE$10:$AE$258, COUNTIF($AJ$9:$AJ49, $AH$10:$AH$258), ""), 0)),"")</f>
        <v/>
      </c>
      <c r="AK50" s="105" t="str">
        <f t="array" ref="AK50">IFERROR(INDEX($AH$10:$AH$258, MATCH(0, IF(TRUE=$AF$10:$AF$258, COUNTIF($AK$9:$AK49, $AH$10:$AH$258), ""), 0)),"")</f>
        <v/>
      </c>
      <c r="AL50" s="15" t="str">
        <f>IFERROR(INDEX('G-6 Hedgerow Data'!$BJ$3:$BJ$15,MATCH(D50,'G-6 Hedgerow Data'!$B$3:$B$15,0)),"")</f>
        <v/>
      </c>
    </row>
    <row r="51" spans="2:38" x14ac:dyDescent="0.3">
      <c r="B51" s="92">
        <v>42</v>
      </c>
      <c r="C51" s="141"/>
      <c r="D51" s="141"/>
      <c r="E51" s="102"/>
      <c r="F51" s="335" t="str">
        <f>IF(D51="","",VLOOKUP(D51,'G-6 Hedgerow Data'!$B$2:$AG$15,2,FALSE))</f>
        <v/>
      </c>
      <c r="G51" s="291" t="str">
        <f>IF(D51="","",VLOOKUP(D51,'G-6 Hedgerow Data'!$B$2:$AG$15,3,FALSE))</f>
        <v/>
      </c>
      <c r="H51" s="95"/>
      <c r="I51" s="291" t="str">
        <f>IFERROR(IF(AND(D51&lt;&gt;"",H51=""),"Check data ⚠", IF(H51="","",IF(AND(D51="Non-native and ornamental hedgerow", H51&lt;&gt;"Poor"),"Not possible ▲", (VLOOKUP(H51,'G-1 All Habitats'!$Z$2:$AA$9,2,FALSE))))),"")</f>
        <v/>
      </c>
      <c r="J51" s="95"/>
      <c r="K51" s="298" t="str">
        <f>IF(AND(D51&lt;&gt;"",J51=""),"Check data ⚠", IF(J51="","",IF(VLOOKUP(J51,'G-3 Multipliers'!$L$3:$N$6,2,FALSE)=0,"Spatial Data Missing",VLOOKUP(J51,'G-3 Multipliers'!$L$3:$N$6,2,FALSE))))</f>
        <v/>
      </c>
      <c r="L51" s="296" t="str">
        <f>IF(J51="","",IF(VLOOKUP(J51,'G-3 Multipliers'!$L$3:$N$6,3,FALSE)=0,"Spatial Data Missing ⚠",VLOOKUP(J51,'G-3 Multipliers'!$L$3:$N$6,3,FALSE)))</f>
        <v/>
      </c>
      <c r="M51" s="297" t="str">
        <f>IF(D51="","",VLOOKUP(D51,'G-6 Hedgerow Data'!$B$1:$AH$15,33,FALSE))</f>
        <v/>
      </c>
      <c r="N51" s="304" t="str">
        <f t="shared" si="2"/>
        <v/>
      </c>
      <c r="O51" s="17"/>
      <c r="P51" s="103"/>
      <c r="Q51" s="141"/>
      <c r="R51" s="320" t="str">
        <f t="shared" si="3"/>
        <v/>
      </c>
      <c r="S51" s="320" t="str">
        <f t="shared" si="4"/>
        <v/>
      </c>
      <c r="T51" s="320" t="str">
        <f t="shared" si="5"/>
        <v/>
      </c>
      <c r="U51" s="339" t="str">
        <f t="shared" si="6"/>
        <v/>
      </c>
      <c r="V51" s="100"/>
      <c r="W51" s="101"/>
      <c r="X51" s="101"/>
      <c r="AE51" s="105" t="str">
        <f t="shared" si="0"/>
        <v/>
      </c>
      <c r="AF51" s="105" t="str">
        <f t="shared" si="1"/>
        <v/>
      </c>
      <c r="AH51" s="105">
        <v>42</v>
      </c>
      <c r="AJ51" s="105" t="str">
        <f t="array" ref="AJ51">IFERROR(INDEX($AH$10:$AH$258, MATCH(0, IF(TRUE=$AE$10:$AE$258, COUNTIF($AJ$9:$AJ50, $AH$10:$AH$258), ""), 0)),"")</f>
        <v/>
      </c>
      <c r="AK51" s="105" t="str">
        <f t="array" ref="AK51">IFERROR(INDEX($AH$10:$AH$258, MATCH(0, IF(TRUE=$AF$10:$AF$258, COUNTIF($AK$9:$AK50, $AH$10:$AH$258), ""), 0)),"")</f>
        <v/>
      </c>
      <c r="AL51" s="15" t="str">
        <f>IFERROR(INDEX('G-6 Hedgerow Data'!$BJ$3:$BJ$15,MATCH(D51,'G-6 Hedgerow Data'!$B$3:$B$15,0)),"")</f>
        <v/>
      </c>
    </row>
    <row r="52" spans="2:38" x14ac:dyDescent="0.3">
      <c r="B52" s="92">
        <v>43</v>
      </c>
      <c r="C52" s="141"/>
      <c r="D52" s="141"/>
      <c r="E52" s="102"/>
      <c r="F52" s="335" t="str">
        <f>IF(D52="","",VLOOKUP(D52,'G-6 Hedgerow Data'!$B$2:$AG$15,2,FALSE))</f>
        <v/>
      </c>
      <c r="G52" s="291" t="str">
        <f>IF(D52="","",VLOOKUP(D52,'G-6 Hedgerow Data'!$B$2:$AG$15,3,FALSE))</f>
        <v/>
      </c>
      <c r="H52" s="95"/>
      <c r="I52" s="291" t="str">
        <f>IFERROR(IF(AND(D52&lt;&gt;"",H52=""),"Check data ⚠", IF(H52="","",IF(AND(D52="Non-native and ornamental hedgerow", H52&lt;&gt;"Poor"),"Not possible ▲", (VLOOKUP(H52,'G-1 All Habitats'!$Z$2:$AA$9,2,FALSE))))),"")</f>
        <v/>
      </c>
      <c r="J52" s="95"/>
      <c r="K52" s="298" t="str">
        <f>IF(AND(D52&lt;&gt;"",J52=""),"Check data ⚠", IF(J52="","",IF(VLOOKUP(J52,'G-3 Multipliers'!$L$3:$N$6,2,FALSE)=0,"Spatial Data Missing",VLOOKUP(J52,'G-3 Multipliers'!$L$3:$N$6,2,FALSE))))</f>
        <v/>
      </c>
      <c r="L52" s="296" t="str">
        <f>IF(J52="","",IF(VLOOKUP(J52,'G-3 Multipliers'!$L$3:$N$6,3,FALSE)=0,"Spatial Data Missing ⚠",VLOOKUP(J52,'G-3 Multipliers'!$L$3:$N$6,3,FALSE)))</f>
        <v/>
      </c>
      <c r="M52" s="297" t="str">
        <f>IF(D52="","",VLOOKUP(D52,'G-6 Hedgerow Data'!$B$1:$AH$15,33,FALSE))</f>
        <v/>
      </c>
      <c r="N52" s="304" t="str">
        <f t="shared" si="2"/>
        <v/>
      </c>
      <c r="O52" s="17"/>
      <c r="P52" s="103"/>
      <c r="Q52" s="141"/>
      <c r="R52" s="320" t="str">
        <f t="shared" si="3"/>
        <v/>
      </c>
      <c r="S52" s="320" t="str">
        <f t="shared" si="4"/>
        <v/>
      </c>
      <c r="T52" s="320" t="str">
        <f t="shared" si="5"/>
        <v/>
      </c>
      <c r="U52" s="339" t="str">
        <f t="shared" si="6"/>
        <v/>
      </c>
      <c r="V52" s="100"/>
      <c r="W52" s="101"/>
      <c r="X52" s="101"/>
      <c r="AE52" s="105" t="str">
        <f t="shared" si="0"/>
        <v/>
      </c>
      <c r="AF52" s="105" t="str">
        <f t="shared" si="1"/>
        <v/>
      </c>
      <c r="AH52" s="105">
        <v>43</v>
      </c>
      <c r="AJ52" s="105" t="str">
        <f t="array" ref="AJ52">IFERROR(INDEX($AH$10:$AH$258, MATCH(0, IF(TRUE=$AE$10:$AE$258, COUNTIF($AJ$9:$AJ51, $AH$10:$AH$258), ""), 0)),"")</f>
        <v/>
      </c>
      <c r="AK52" s="105" t="str">
        <f t="array" ref="AK52">IFERROR(INDEX($AH$10:$AH$258, MATCH(0, IF(TRUE=$AF$10:$AF$258, COUNTIF($AK$9:$AK51, $AH$10:$AH$258), ""), 0)),"")</f>
        <v/>
      </c>
      <c r="AL52" s="15" t="str">
        <f>IFERROR(INDEX('G-6 Hedgerow Data'!$BJ$3:$BJ$15,MATCH(D52,'G-6 Hedgerow Data'!$B$3:$B$15,0)),"")</f>
        <v/>
      </c>
    </row>
    <row r="53" spans="2:38" x14ac:dyDescent="0.3">
      <c r="B53" s="92">
        <v>44</v>
      </c>
      <c r="C53" s="141"/>
      <c r="D53" s="141"/>
      <c r="E53" s="102"/>
      <c r="F53" s="335" t="str">
        <f>IF(D53="","",VLOOKUP(D53,'G-6 Hedgerow Data'!$B$2:$AG$15,2,FALSE))</f>
        <v/>
      </c>
      <c r="G53" s="291" t="str">
        <f>IF(D53="","",VLOOKUP(D53,'G-6 Hedgerow Data'!$B$2:$AG$15,3,FALSE))</f>
        <v/>
      </c>
      <c r="H53" s="95"/>
      <c r="I53" s="291" t="str">
        <f>IFERROR(IF(AND(D53&lt;&gt;"",H53=""),"Check data ⚠", IF(H53="","",IF(AND(D53="Non-native and ornamental hedgerow", H53&lt;&gt;"Poor"),"Not possible ▲", (VLOOKUP(H53,'G-1 All Habitats'!$Z$2:$AA$9,2,FALSE))))),"")</f>
        <v/>
      </c>
      <c r="J53" s="95"/>
      <c r="K53" s="298" t="str">
        <f>IF(AND(D53&lt;&gt;"",J53=""),"Check data ⚠", IF(J53="","",IF(VLOOKUP(J53,'G-3 Multipliers'!$L$3:$N$6,2,FALSE)=0,"Spatial Data Missing",VLOOKUP(J53,'G-3 Multipliers'!$L$3:$N$6,2,FALSE))))</f>
        <v/>
      </c>
      <c r="L53" s="296" t="str">
        <f>IF(J53="","",IF(VLOOKUP(J53,'G-3 Multipliers'!$L$3:$N$6,3,FALSE)=0,"Spatial Data Missing ⚠",VLOOKUP(J53,'G-3 Multipliers'!$L$3:$N$6,3,FALSE)))</f>
        <v/>
      </c>
      <c r="M53" s="297" t="str">
        <f>IF(D53="","",VLOOKUP(D53,'G-6 Hedgerow Data'!$B$1:$AH$15,33,FALSE))</f>
        <v/>
      </c>
      <c r="N53" s="304" t="str">
        <f t="shared" si="2"/>
        <v/>
      </c>
      <c r="O53" s="17"/>
      <c r="P53" s="103"/>
      <c r="Q53" s="141"/>
      <c r="R53" s="320" t="str">
        <f t="shared" si="3"/>
        <v/>
      </c>
      <c r="S53" s="320" t="str">
        <f t="shared" si="4"/>
        <v/>
      </c>
      <c r="T53" s="320" t="str">
        <f t="shared" si="5"/>
        <v/>
      </c>
      <c r="U53" s="339" t="str">
        <f t="shared" si="6"/>
        <v/>
      </c>
      <c r="V53" s="100"/>
      <c r="W53" s="101"/>
      <c r="X53" s="101"/>
      <c r="AE53" s="105" t="str">
        <f t="shared" si="0"/>
        <v/>
      </c>
      <c r="AF53" s="105" t="str">
        <f t="shared" si="1"/>
        <v/>
      </c>
      <c r="AH53" s="105">
        <v>44</v>
      </c>
      <c r="AJ53" s="105" t="str">
        <f t="array" ref="AJ53">IFERROR(INDEX($AH$10:$AH$258, MATCH(0, IF(TRUE=$AE$10:$AE$258, COUNTIF($AJ$9:$AJ52, $AH$10:$AH$258), ""), 0)),"")</f>
        <v/>
      </c>
      <c r="AK53" s="105" t="str">
        <f t="array" ref="AK53">IFERROR(INDEX($AH$10:$AH$258, MATCH(0, IF(TRUE=$AF$10:$AF$258, COUNTIF($AK$9:$AK52, $AH$10:$AH$258), ""), 0)),"")</f>
        <v/>
      </c>
      <c r="AL53" s="15" t="str">
        <f>IFERROR(INDEX('G-6 Hedgerow Data'!$BJ$3:$BJ$15,MATCH(D53,'G-6 Hedgerow Data'!$B$3:$B$15,0)),"")</f>
        <v/>
      </c>
    </row>
    <row r="54" spans="2:38" x14ac:dyDescent="0.3">
      <c r="B54" s="92">
        <v>45</v>
      </c>
      <c r="C54" s="141"/>
      <c r="D54" s="141"/>
      <c r="E54" s="102"/>
      <c r="F54" s="335" t="str">
        <f>IF(D54="","",VLOOKUP(D54,'G-6 Hedgerow Data'!$B$2:$AG$15,2,FALSE))</f>
        <v/>
      </c>
      <c r="G54" s="291" t="str">
        <f>IF(D54="","",VLOOKUP(D54,'G-6 Hedgerow Data'!$B$2:$AG$15,3,FALSE))</f>
        <v/>
      </c>
      <c r="H54" s="95"/>
      <c r="I54" s="291" t="str">
        <f>IFERROR(IF(AND(D54&lt;&gt;"",H54=""),"Check data ⚠", IF(H54="","",IF(AND(D54="Non-native and ornamental hedgerow", H54&lt;&gt;"Poor"),"Not possible ▲", (VLOOKUP(H54,'G-1 All Habitats'!$Z$2:$AA$9,2,FALSE))))),"")</f>
        <v/>
      </c>
      <c r="J54" s="95"/>
      <c r="K54" s="298" t="str">
        <f>IF(AND(D54&lt;&gt;"",J54=""),"Check data ⚠", IF(J54="","",IF(VLOOKUP(J54,'G-3 Multipliers'!$L$3:$N$6,2,FALSE)=0,"Spatial Data Missing",VLOOKUP(J54,'G-3 Multipliers'!$L$3:$N$6,2,FALSE))))</f>
        <v/>
      </c>
      <c r="L54" s="296" t="str">
        <f>IF(J54="","",IF(VLOOKUP(J54,'G-3 Multipliers'!$L$3:$N$6,3,FALSE)=0,"Spatial Data Missing ⚠",VLOOKUP(J54,'G-3 Multipliers'!$L$3:$N$6,3,FALSE)))</f>
        <v/>
      </c>
      <c r="M54" s="297" t="str">
        <f>IF(D54="","",VLOOKUP(D54,'G-6 Hedgerow Data'!$B$1:$AH$15,33,FALSE))</f>
        <v/>
      </c>
      <c r="N54" s="304" t="str">
        <f t="shared" si="2"/>
        <v/>
      </c>
      <c r="O54" s="17"/>
      <c r="P54" s="103"/>
      <c r="Q54" s="141"/>
      <c r="R54" s="320" t="str">
        <f t="shared" si="3"/>
        <v/>
      </c>
      <c r="S54" s="320" t="str">
        <f t="shared" si="4"/>
        <v/>
      </c>
      <c r="T54" s="320" t="str">
        <f t="shared" si="5"/>
        <v/>
      </c>
      <c r="U54" s="339" t="str">
        <f t="shared" si="6"/>
        <v/>
      </c>
      <c r="V54" s="100"/>
      <c r="W54" s="101"/>
      <c r="X54" s="101"/>
      <c r="AE54" s="105" t="str">
        <f t="shared" si="0"/>
        <v/>
      </c>
      <c r="AF54" s="105" t="str">
        <f t="shared" si="1"/>
        <v/>
      </c>
      <c r="AH54" s="105">
        <v>45</v>
      </c>
      <c r="AJ54" s="105" t="str">
        <f t="array" ref="AJ54">IFERROR(INDEX($AH$10:$AH$258, MATCH(0, IF(TRUE=$AE$10:$AE$258, COUNTIF($AJ$9:$AJ53, $AH$10:$AH$258), ""), 0)),"")</f>
        <v/>
      </c>
      <c r="AK54" s="105" t="str">
        <f t="array" ref="AK54">IFERROR(INDEX($AH$10:$AH$258, MATCH(0, IF(TRUE=$AF$10:$AF$258, COUNTIF($AK$9:$AK53, $AH$10:$AH$258), ""), 0)),"")</f>
        <v/>
      </c>
      <c r="AL54" s="15" t="str">
        <f>IFERROR(INDEX('G-6 Hedgerow Data'!$BJ$3:$BJ$15,MATCH(D54,'G-6 Hedgerow Data'!$B$3:$B$15,0)),"")</f>
        <v/>
      </c>
    </row>
    <row r="55" spans="2:38" x14ac:dyDescent="0.3">
      <c r="B55" s="92">
        <v>46</v>
      </c>
      <c r="C55" s="141"/>
      <c r="D55" s="141"/>
      <c r="E55" s="102"/>
      <c r="F55" s="335" t="str">
        <f>IF(D55="","",VLOOKUP(D55,'G-6 Hedgerow Data'!$B$2:$AG$15,2,FALSE))</f>
        <v/>
      </c>
      <c r="G55" s="291" t="str">
        <f>IF(D55="","",VLOOKUP(D55,'G-6 Hedgerow Data'!$B$2:$AG$15,3,FALSE))</f>
        <v/>
      </c>
      <c r="H55" s="95"/>
      <c r="I55" s="291" t="str">
        <f>IFERROR(IF(AND(D55&lt;&gt;"",H55=""),"Check data ⚠", IF(H55="","",IF(AND(D55="Non-native and ornamental hedgerow", H55&lt;&gt;"Poor"),"Not possible ▲", (VLOOKUP(H55,'G-1 All Habitats'!$Z$2:$AA$9,2,FALSE))))),"")</f>
        <v/>
      </c>
      <c r="J55" s="95"/>
      <c r="K55" s="298" t="str">
        <f>IF(AND(D55&lt;&gt;"",J55=""),"Check data ⚠", IF(J55="","",IF(VLOOKUP(J55,'G-3 Multipliers'!$L$3:$N$6,2,FALSE)=0,"Spatial Data Missing",VLOOKUP(J55,'G-3 Multipliers'!$L$3:$N$6,2,FALSE))))</f>
        <v/>
      </c>
      <c r="L55" s="296" t="str">
        <f>IF(J55="","",IF(VLOOKUP(J55,'G-3 Multipliers'!$L$3:$N$6,3,FALSE)=0,"Spatial Data Missing ⚠",VLOOKUP(J55,'G-3 Multipliers'!$L$3:$N$6,3,FALSE)))</f>
        <v/>
      </c>
      <c r="M55" s="297" t="str">
        <f>IF(D55="","",VLOOKUP(D55,'G-6 Hedgerow Data'!$B$1:$AH$15,33,FALSE))</f>
        <v/>
      </c>
      <c r="N55" s="304" t="str">
        <f t="shared" si="2"/>
        <v/>
      </c>
      <c r="O55" s="17"/>
      <c r="P55" s="103"/>
      <c r="Q55" s="141"/>
      <c r="R55" s="320" t="str">
        <f t="shared" si="3"/>
        <v/>
      </c>
      <c r="S55" s="320" t="str">
        <f t="shared" si="4"/>
        <v/>
      </c>
      <c r="T55" s="320" t="str">
        <f t="shared" si="5"/>
        <v/>
      </c>
      <c r="U55" s="339" t="str">
        <f t="shared" si="6"/>
        <v/>
      </c>
      <c r="V55" s="100"/>
      <c r="W55" s="101"/>
      <c r="X55" s="101"/>
      <c r="AE55" s="105" t="str">
        <f t="shared" si="0"/>
        <v/>
      </c>
      <c r="AF55" s="105" t="str">
        <f t="shared" si="1"/>
        <v/>
      </c>
      <c r="AH55" s="105">
        <v>46</v>
      </c>
      <c r="AJ55" s="105" t="str">
        <f t="array" ref="AJ55">IFERROR(INDEX($AH$10:$AH$258, MATCH(0, IF(TRUE=$AE$10:$AE$258, COUNTIF($AJ$9:$AJ54, $AH$10:$AH$258), ""), 0)),"")</f>
        <v/>
      </c>
      <c r="AK55" s="105" t="str">
        <f t="array" ref="AK55">IFERROR(INDEX($AH$10:$AH$258, MATCH(0, IF(TRUE=$AF$10:$AF$258, COUNTIF($AK$9:$AK54, $AH$10:$AH$258), ""), 0)),"")</f>
        <v/>
      </c>
      <c r="AL55" s="15" t="str">
        <f>IFERROR(INDEX('G-6 Hedgerow Data'!$BJ$3:$BJ$15,MATCH(D55,'G-6 Hedgerow Data'!$B$3:$B$15,0)),"")</f>
        <v/>
      </c>
    </row>
    <row r="56" spans="2:38" x14ac:dyDescent="0.3">
      <c r="B56" s="92">
        <v>47</v>
      </c>
      <c r="C56" s="141"/>
      <c r="D56" s="141"/>
      <c r="E56" s="102"/>
      <c r="F56" s="335" t="str">
        <f>IF(D56="","",VLOOKUP(D56,'G-6 Hedgerow Data'!$B$2:$AG$15,2,FALSE))</f>
        <v/>
      </c>
      <c r="G56" s="291" t="str">
        <f>IF(D56="","",VLOOKUP(D56,'G-6 Hedgerow Data'!$B$2:$AG$15,3,FALSE))</f>
        <v/>
      </c>
      <c r="H56" s="95"/>
      <c r="I56" s="291" t="str">
        <f>IFERROR(IF(AND(D56&lt;&gt;"",H56=""),"Check data ⚠", IF(H56="","",IF(AND(D56="Non-native and ornamental hedgerow", H56&lt;&gt;"Poor"),"Not possible ▲", (VLOOKUP(H56,'G-1 All Habitats'!$Z$2:$AA$9,2,FALSE))))),"")</f>
        <v/>
      </c>
      <c r="J56" s="95"/>
      <c r="K56" s="298" t="str">
        <f>IF(AND(D56&lt;&gt;"",J56=""),"Check data ⚠", IF(J56="","",IF(VLOOKUP(J56,'G-3 Multipliers'!$L$3:$N$6,2,FALSE)=0,"Spatial Data Missing",VLOOKUP(J56,'G-3 Multipliers'!$L$3:$N$6,2,FALSE))))</f>
        <v/>
      </c>
      <c r="L56" s="296" t="str">
        <f>IF(J56="","",IF(VLOOKUP(J56,'G-3 Multipliers'!$L$3:$N$6,3,FALSE)=0,"Spatial Data Missing ⚠",VLOOKUP(J56,'G-3 Multipliers'!$L$3:$N$6,3,FALSE)))</f>
        <v/>
      </c>
      <c r="M56" s="297" t="str">
        <f>IF(D56="","",VLOOKUP(D56,'G-6 Hedgerow Data'!$B$1:$AH$15,33,FALSE))</f>
        <v/>
      </c>
      <c r="N56" s="304" t="str">
        <f t="shared" si="2"/>
        <v/>
      </c>
      <c r="O56" s="17"/>
      <c r="P56" s="103"/>
      <c r="Q56" s="141"/>
      <c r="R56" s="320" t="str">
        <f t="shared" si="3"/>
        <v/>
      </c>
      <c r="S56" s="320" t="str">
        <f t="shared" si="4"/>
        <v/>
      </c>
      <c r="T56" s="320" t="str">
        <f t="shared" si="5"/>
        <v/>
      </c>
      <c r="U56" s="339" t="str">
        <f t="shared" si="6"/>
        <v/>
      </c>
      <c r="V56" s="100"/>
      <c r="W56" s="101"/>
      <c r="X56" s="101"/>
      <c r="AE56" s="105" t="str">
        <f t="shared" si="0"/>
        <v/>
      </c>
      <c r="AF56" s="105" t="str">
        <f t="shared" si="1"/>
        <v/>
      </c>
      <c r="AH56" s="105">
        <v>47</v>
      </c>
      <c r="AJ56" s="105" t="str">
        <f t="array" ref="AJ56">IFERROR(INDEX($AH$10:$AH$258, MATCH(0, IF(TRUE=$AE$10:$AE$258, COUNTIF($AJ$9:$AJ55, $AH$10:$AH$258), ""), 0)),"")</f>
        <v/>
      </c>
      <c r="AK56" s="105" t="str">
        <f t="array" ref="AK56">IFERROR(INDEX($AH$10:$AH$258, MATCH(0, IF(TRUE=$AF$10:$AF$258, COUNTIF($AK$9:$AK55, $AH$10:$AH$258), ""), 0)),"")</f>
        <v/>
      </c>
      <c r="AL56" s="15" t="str">
        <f>IFERROR(INDEX('G-6 Hedgerow Data'!$BJ$3:$BJ$15,MATCH(D56,'G-6 Hedgerow Data'!$B$3:$B$15,0)),"")</f>
        <v/>
      </c>
    </row>
    <row r="57" spans="2:38" x14ac:dyDescent="0.3">
      <c r="B57" s="92">
        <v>48</v>
      </c>
      <c r="C57" s="141"/>
      <c r="D57" s="141"/>
      <c r="E57" s="102"/>
      <c r="F57" s="335" t="str">
        <f>IF(D57="","",VLOOKUP(D57,'G-6 Hedgerow Data'!$B$2:$AG$15,2,FALSE))</f>
        <v/>
      </c>
      <c r="G57" s="291" t="str">
        <f>IF(D57="","",VLOOKUP(D57,'G-6 Hedgerow Data'!$B$2:$AG$15,3,FALSE))</f>
        <v/>
      </c>
      <c r="H57" s="95"/>
      <c r="I57" s="291" t="str">
        <f>IFERROR(IF(AND(D57&lt;&gt;"",H57=""),"Check data ⚠", IF(H57="","",IF(AND(D57="Non-native and ornamental hedgerow", H57&lt;&gt;"Poor"),"Not possible ▲", (VLOOKUP(H57,'G-1 All Habitats'!$Z$2:$AA$9,2,FALSE))))),"")</f>
        <v/>
      </c>
      <c r="J57" s="95"/>
      <c r="K57" s="298" t="str">
        <f>IF(AND(D57&lt;&gt;"",J57=""),"Check data ⚠", IF(J57="","",IF(VLOOKUP(J57,'G-3 Multipliers'!$L$3:$N$6,2,FALSE)=0,"Spatial Data Missing",VLOOKUP(J57,'G-3 Multipliers'!$L$3:$N$6,2,FALSE))))</f>
        <v/>
      </c>
      <c r="L57" s="296" t="str">
        <f>IF(J57="","",IF(VLOOKUP(J57,'G-3 Multipliers'!$L$3:$N$6,3,FALSE)=0,"Spatial Data Missing ⚠",VLOOKUP(J57,'G-3 Multipliers'!$L$3:$N$6,3,FALSE)))</f>
        <v/>
      </c>
      <c r="M57" s="297" t="str">
        <f>IF(D57="","",VLOOKUP(D57,'G-6 Hedgerow Data'!$B$1:$AH$15,33,FALSE))</f>
        <v/>
      </c>
      <c r="N57" s="304" t="str">
        <f t="shared" si="2"/>
        <v/>
      </c>
      <c r="O57" s="17"/>
      <c r="P57" s="103"/>
      <c r="Q57" s="141"/>
      <c r="R57" s="320" t="str">
        <f t="shared" si="3"/>
        <v/>
      </c>
      <c r="S57" s="320" t="str">
        <f t="shared" si="4"/>
        <v/>
      </c>
      <c r="T57" s="320" t="str">
        <f t="shared" si="5"/>
        <v/>
      </c>
      <c r="U57" s="339" t="str">
        <f t="shared" si="6"/>
        <v/>
      </c>
      <c r="V57" s="100"/>
      <c r="W57" s="101"/>
      <c r="X57" s="101"/>
      <c r="AE57" s="105" t="str">
        <f t="shared" si="0"/>
        <v/>
      </c>
      <c r="AF57" s="105" t="str">
        <f t="shared" si="1"/>
        <v/>
      </c>
      <c r="AH57" s="105">
        <v>48</v>
      </c>
      <c r="AJ57" s="105" t="str">
        <f t="array" ref="AJ57">IFERROR(INDEX($AH$10:$AH$258, MATCH(0, IF(TRUE=$AE$10:$AE$258, COUNTIF($AJ$9:$AJ56, $AH$10:$AH$258), ""), 0)),"")</f>
        <v/>
      </c>
      <c r="AK57" s="105" t="str">
        <f t="array" ref="AK57">IFERROR(INDEX($AH$10:$AH$258, MATCH(0, IF(TRUE=$AF$10:$AF$258, COUNTIF($AK$9:$AK56, $AH$10:$AH$258), ""), 0)),"")</f>
        <v/>
      </c>
      <c r="AL57" s="15" t="str">
        <f>IFERROR(INDEX('G-6 Hedgerow Data'!$BJ$3:$BJ$15,MATCH(D57,'G-6 Hedgerow Data'!$B$3:$B$15,0)),"")</f>
        <v/>
      </c>
    </row>
    <row r="58" spans="2:38" x14ac:dyDescent="0.3">
      <c r="B58" s="92">
        <v>49</v>
      </c>
      <c r="C58" s="141"/>
      <c r="D58" s="141"/>
      <c r="E58" s="102"/>
      <c r="F58" s="335" t="str">
        <f>IF(D58="","",VLOOKUP(D58,'G-6 Hedgerow Data'!$B$2:$AG$15,2,FALSE))</f>
        <v/>
      </c>
      <c r="G58" s="291" t="str">
        <f>IF(D58="","",VLOOKUP(D58,'G-6 Hedgerow Data'!$B$2:$AG$15,3,FALSE))</f>
        <v/>
      </c>
      <c r="H58" s="95"/>
      <c r="I58" s="291" t="str">
        <f>IFERROR(IF(AND(D58&lt;&gt;"",H58=""),"Check data ⚠", IF(H58="","",IF(AND(D58="Non-native and ornamental hedgerow", H58&lt;&gt;"Poor"),"Not possible ▲", (VLOOKUP(H58,'G-1 All Habitats'!$Z$2:$AA$9,2,FALSE))))),"")</f>
        <v/>
      </c>
      <c r="J58" s="95"/>
      <c r="K58" s="298" t="str">
        <f>IF(AND(D58&lt;&gt;"",J58=""),"Check data ⚠", IF(J58="","",IF(VLOOKUP(J58,'G-3 Multipliers'!$L$3:$N$6,2,FALSE)=0,"Spatial Data Missing",VLOOKUP(J58,'G-3 Multipliers'!$L$3:$N$6,2,FALSE))))</f>
        <v/>
      </c>
      <c r="L58" s="296" t="str">
        <f>IF(J58="","",IF(VLOOKUP(J58,'G-3 Multipliers'!$L$3:$N$6,3,FALSE)=0,"Spatial Data Missing ⚠",VLOOKUP(J58,'G-3 Multipliers'!$L$3:$N$6,3,FALSE)))</f>
        <v/>
      </c>
      <c r="M58" s="297" t="str">
        <f>IF(D58="","",VLOOKUP(D58,'G-6 Hedgerow Data'!$B$1:$AH$15,33,FALSE))</f>
        <v/>
      </c>
      <c r="N58" s="304" t="str">
        <f t="shared" si="2"/>
        <v/>
      </c>
      <c r="O58" s="17"/>
      <c r="P58" s="103"/>
      <c r="Q58" s="141"/>
      <c r="R58" s="320" t="str">
        <f t="shared" si="3"/>
        <v/>
      </c>
      <c r="S58" s="320" t="str">
        <f t="shared" si="4"/>
        <v/>
      </c>
      <c r="T58" s="320" t="str">
        <f t="shared" si="5"/>
        <v/>
      </c>
      <c r="U58" s="339" t="str">
        <f t="shared" si="6"/>
        <v/>
      </c>
      <c r="V58" s="100"/>
      <c r="W58" s="101"/>
      <c r="X58" s="101"/>
      <c r="AE58" s="105" t="str">
        <f t="shared" si="0"/>
        <v/>
      </c>
      <c r="AF58" s="105" t="str">
        <f t="shared" si="1"/>
        <v/>
      </c>
      <c r="AH58" s="105">
        <v>49</v>
      </c>
      <c r="AJ58" s="105" t="str">
        <f t="array" ref="AJ58">IFERROR(INDEX($AH$10:$AH$258, MATCH(0, IF(TRUE=$AE$10:$AE$258, COUNTIF($AJ$9:$AJ57, $AH$10:$AH$258), ""), 0)),"")</f>
        <v/>
      </c>
      <c r="AK58" s="105" t="str">
        <f t="array" ref="AK58">IFERROR(INDEX($AH$10:$AH$258, MATCH(0, IF(TRUE=$AF$10:$AF$258, COUNTIF($AK$9:$AK57, $AH$10:$AH$258), ""), 0)),"")</f>
        <v/>
      </c>
      <c r="AL58" s="15" t="str">
        <f>IFERROR(INDEX('G-6 Hedgerow Data'!$BJ$3:$BJ$15,MATCH(D58,'G-6 Hedgerow Data'!$B$3:$B$15,0)),"")</f>
        <v/>
      </c>
    </row>
    <row r="59" spans="2:38" x14ac:dyDescent="0.3">
      <c r="B59" s="92">
        <v>50</v>
      </c>
      <c r="C59" s="141"/>
      <c r="D59" s="141"/>
      <c r="E59" s="102"/>
      <c r="F59" s="335" t="str">
        <f>IF(D59="","",VLOOKUP(D59,'G-6 Hedgerow Data'!$B$2:$AG$15,2,FALSE))</f>
        <v/>
      </c>
      <c r="G59" s="291" t="str">
        <f>IF(D59="","",VLOOKUP(D59,'G-6 Hedgerow Data'!$B$2:$AG$15,3,FALSE))</f>
        <v/>
      </c>
      <c r="H59" s="95"/>
      <c r="I59" s="291" t="str">
        <f>IFERROR(IF(AND(D59&lt;&gt;"",H59=""),"Check data ⚠", IF(H59="","",IF(AND(D59="Non-native and ornamental hedgerow", H59&lt;&gt;"Poor"),"Not possible ▲", (VLOOKUP(H59,'G-1 All Habitats'!$Z$2:$AA$9,2,FALSE))))),"")</f>
        <v/>
      </c>
      <c r="J59" s="95"/>
      <c r="K59" s="298" t="str">
        <f>IF(AND(D59&lt;&gt;"",J59=""),"Check data ⚠", IF(J59="","",IF(VLOOKUP(J59,'G-3 Multipliers'!$L$3:$N$6,2,FALSE)=0,"Spatial Data Missing",VLOOKUP(J59,'G-3 Multipliers'!$L$3:$N$6,2,FALSE))))</f>
        <v/>
      </c>
      <c r="L59" s="296" t="str">
        <f>IF(J59="","",IF(VLOOKUP(J59,'G-3 Multipliers'!$L$3:$N$6,3,FALSE)=0,"Spatial Data Missing ⚠",VLOOKUP(J59,'G-3 Multipliers'!$L$3:$N$6,3,FALSE)))</f>
        <v/>
      </c>
      <c r="M59" s="297" t="str">
        <f>IF(D59="","",VLOOKUP(D59,'G-6 Hedgerow Data'!$B$1:$AH$15,33,FALSE))</f>
        <v/>
      </c>
      <c r="N59" s="304" t="str">
        <f t="shared" si="2"/>
        <v/>
      </c>
      <c r="O59" s="17"/>
      <c r="P59" s="103"/>
      <c r="Q59" s="141"/>
      <c r="R59" s="320" t="str">
        <f t="shared" si="3"/>
        <v/>
      </c>
      <c r="S59" s="320" t="str">
        <f t="shared" si="4"/>
        <v/>
      </c>
      <c r="T59" s="320" t="str">
        <f t="shared" si="5"/>
        <v/>
      </c>
      <c r="U59" s="339" t="str">
        <f t="shared" si="6"/>
        <v/>
      </c>
      <c r="V59" s="100"/>
      <c r="W59" s="101"/>
      <c r="X59" s="101"/>
      <c r="AE59" s="105" t="str">
        <f t="shared" si="0"/>
        <v/>
      </c>
      <c r="AF59" s="105" t="str">
        <f t="shared" si="1"/>
        <v/>
      </c>
      <c r="AH59" s="105">
        <v>50</v>
      </c>
      <c r="AJ59" s="105" t="str">
        <f t="array" ref="AJ59">IFERROR(INDEX($AH$10:$AH$258, MATCH(0, IF(TRUE=$AE$10:$AE$258, COUNTIF($AJ$9:$AJ58, $AH$10:$AH$258), ""), 0)),"")</f>
        <v/>
      </c>
      <c r="AK59" s="105" t="str">
        <f t="array" ref="AK59">IFERROR(INDEX($AH$10:$AH$258, MATCH(0, IF(TRUE=$AF$10:$AF$258, COUNTIF($AK$9:$AK58, $AH$10:$AH$258), ""), 0)),"")</f>
        <v/>
      </c>
      <c r="AL59" s="15" t="str">
        <f>IFERROR(INDEX('G-6 Hedgerow Data'!$BJ$3:$BJ$15,MATCH(D59,'G-6 Hedgerow Data'!$B$3:$B$15,0)),"")</f>
        <v/>
      </c>
    </row>
    <row r="60" spans="2:38" x14ac:dyDescent="0.3">
      <c r="B60" s="92">
        <v>51</v>
      </c>
      <c r="C60" s="141"/>
      <c r="D60" s="141"/>
      <c r="E60" s="102"/>
      <c r="F60" s="335" t="str">
        <f>IF(D60="","",VLOOKUP(D60,'G-6 Hedgerow Data'!$B$2:$AG$15,2,FALSE))</f>
        <v/>
      </c>
      <c r="G60" s="291" t="str">
        <f>IF(D60="","",VLOOKUP(D60,'G-6 Hedgerow Data'!$B$2:$AG$15,3,FALSE))</f>
        <v/>
      </c>
      <c r="H60" s="95"/>
      <c r="I60" s="291" t="str">
        <f>IFERROR(IF(AND(D60&lt;&gt;"",H60=""),"Check data ⚠", IF(H60="","",IF(AND(D60="Non-native and ornamental hedgerow", H60&lt;&gt;"Poor"),"Not possible ▲", (VLOOKUP(H60,'G-1 All Habitats'!$Z$2:$AA$9,2,FALSE))))),"")</f>
        <v/>
      </c>
      <c r="J60" s="95"/>
      <c r="K60" s="298" t="str">
        <f>IF(AND(D60&lt;&gt;"",J60=""),"Check data ⚠", IF(J60="","",IF(VLOOKUP(J60,'G-3 Multipliers'!$L$3:$N$6,2,FALSE)=0,"Spatial Data Missing",VLOOKUP(J60,'G-3 Multipliers'!$L$3:$N$6,2,FALSE))))</f>
        <v/>
      </c>
      <c r="L60" s="296" t="str">
        <f>IF(J60="","",IF(VLOOKUP(J60,'G-3 Multipliers'!$L$3:$N$6,3,FALSE)=0,"Spatial Data Missing ⚠",VLOOKUP(J60,'G-3 Multipliers'!$L$3:$N$6,3,FALSE)))</f>
        <v/>
      </c>
      <c r="M60" s="297" t="str">
        <f>IF(D60="","",VLOOKUP(D60,'G-6 Hedgerow Data'!$B$1:$AH$15,33,FALSE))</f>
        <v/>
      </c>
      <c r="N60" s="304" t="str">
        <f t="shared" si="2"/>
        <v/>
      </c>
      <c r="O60" s="17"/>
      <c r="P60" s="103"/>
      <c r="Q60" s="141"/>
      <c r="R60" s="320" t="str">
        <f t="shared" si="3"/>
        <v/>
      </c>
      <c r="S60" s="320" t="str">
        <f t="shared" si="4"/>
        <v/>
      </c>
      <c r="T60" s="320" t="str">
        <f t="shared" si="5"/>
        <v/>
      </c>
      <c r="U60" s="339" t="str">
        <f t="shared" si="6"/>
        <v/>
      </c>
      <c r="V60" s="100"/>
      <c r="W60" s="101"/>
      <c r="X60" s="101"/>
      <c r="AE60" s="105" t="str">
        <f t="shared" si="0"/>
        <v/>
      </c>
      <c r="AF60" s="105" t="str">
        <f t="shared" si="1"/>
        <v/>
      </c>
      <c r="AH60" s="105">
        <v>51</v>
      </c>
      <c r="AJ60" s="105" t="str">
        <f t="array" ref="AJ60">IFERROR(INDEX($AH$10:$AH$258, MATCH(0, IF(TRUE=$AE$10:$AE$258, COUNTIF($AJ$9:$AJ59, $AH$10:$AH$258), ""), 0)),"")</f>
        <v/>
      </c>
      <c r="AK60" s="105" t="str">
        <f t="array" ref="AK60">IFERROR(INDEX($AH$10:$AH$258, MATCH(0, IF(TRUE=$AF$10:$AF$258, COUNTIF($AK$9:$AK59, $AH$10:$AH$258), ""), 0)),"")</f>
        <v/>
      </c>
      <c r="AL60" s="15" t="str">
        <f>IFERROR(INDEX('G-6 Hedgerow Data'!$BJ$3:$BJ$15,MATCH(D60,'G-6 Hedgerow Data'!$B$3:$B$15,0)),"")</f>
        <v/>
      </c>
    </row>
    <row r="61" spans="2:38" x14ac:dyDescent="0.3">
      <c r="B61" s="92">
        <v>52</v>
      </c>
      <c r="C61" s="141"/>
      <c r="D61" s="141"/>
      <c r="E61" s="102"/>
      <c r="F61" s="335" t="str">
        <f>IF(D61="","",VLOOKUP(D61,'G-6 Hedgerow Data'!$B$2:$AG$15,2,FALSE))</f>
        <v/>
      </c>
      <c r="G61" s="291" t="str">
        <f>IF(D61="","",VLOOKUP(D61,'G-6 Hedgerow Data'!$B$2:$AG$15,3,FALSE))</f>
        <v/>
      </c>
      <c r="H61" s="95"/>
      <c r="I61" s="291" t="str">
        <f>IFERROR(IF(AND(D61&lt;&gt;"",H61=""),"Check data ⚠", IF(H61="","",IF(AND(D61="Non-native and ornamental hedgerow", H61&lt;&gt;"Poor"),"Not possible ▲", (VLOOKUP(H61,'G-1 All Habitats'!$Z$2:$AA$9,2,FALSE))))),"")</f>
        <v/>
      </c>
      <c r="J61" s="95"/>
      <c r="K61" s="298" t="str">
        <f>IF(AND(D61&lt;&gt;"",J61=""),"Check data ⚠", IF(J61="","",IF(VLOOKUP(J61,'G-3 Multipliers'!$L$3:$N$6,2,FALSE)=0,"Spatial Data Missing",VLOOKUP(J61,'G-3 Multipliers'!$L$3:$N$6,2,FALSE))))</f>
        <v/>
      </c>
      <c r="L61" s="296" t="str">
        <f>IF(J61="","",IF(VLOOKUP(J61,'G-3 Multipliers'!$L$3:$N$6,3,FALSE)=0,"Spatial Data Missing ⚠",VLOOKUP(J61,'G-3 Multipliers'!$L$3:$N$6,3,FALSE)))</f>
        <v/>
      </c>
      <c r="M61" s="297" t="str">
        <f>IF(D61="","",VLOOKUP(D61,'G-6 Hedgerow Data'!$B$1:$AH$15,33,FALSE))</f>
        <v/>
      </c>
      <c r="N61" s="304" t="str">
        <f t="shared" si="2"/>
        <v/>
      </c>
      <c r="O61" s="17"/>
      <c r="P61" s="103"/>
      <c r="Q61" s="141"/>
      <c r="R61" s="320" t="str">
        <f t="shared" si="3"/>
        <v/>
      </c>
      <c r="S61" s="320" t="str">
        <f t="shared" si="4"/>
        <v/>
      </c>
      <c r="T61" s="320" t="str">
        <f t="shared" si="5"/>
        <v/>
      </c>
      <c r="U61" s="339" t="str">
        <f t="shared" si="6"/>
        <v/>
      </c>
      <c r="V61" s="100"/>
      <c r="W61" s="101"/>
      <c r="X61" s="101"/>
      <c r="AE61" s="105" t="str">
        <f t="shared" si="0"/>
        <v/>
      </c>
      <c r="AF61" s="105" t="str">
        <f t="shared" si="1"/>
        <v/>
      </c>
      <c r="AH61" s="105">
        <v>52</v>
      </c>
      <c r="AJ61" s="105" t="str">
        <f t="array" ref="AJ61">IFERROR(INDEX($AH$10:$AH$258, MATCH(0, IF(TRUE=$AE$10:$AE$258, COUNTIF($AJ$9:$AJ60, $AH$10:$AH$258), ""), 0)),"")</f>
        <v/>
      </c>
      <c r="AK61" s="105" t="str">
        <f t="array" ref="AK61">IFERROR(INDEX($AH$10:$AH$258, MATCH(0, IF(TRUE=$AF$10:$AF$258, COUNTIF($AK$9:$AK60, $AH$10:$AH$258), ""), 0)),"")</f>
        <v/>
      </c>
      <c r="AL61" s="15" t="str">
        <f>IFERROR(INDEX('G-6 Hedgerow Data'!$BJ$3:$BJ$15,MATCH(D61,'G-6 Hedgerow Data'!$B$3:$B$15,0)),"")</f>
        <v/>
      </c>
    </row>
    <row r="62" spans="2:38" x14ac:dyDescent="0.3">
      <c r="B62" s="92">
        <v>53</v>
      </c>
      <c r="C62" s="141"/>
      <c r="D62" s="141"/>
      <c r="E62" s="102"/>
      <c r="F62" s="335" t="str">
        <f>IF(D62="","",VLOOKUP(D62,'G-6 Hedgerow Data'!$B$2:$AG$15,2,FALSE))</f>
        <v/>
      </c>
      <c r="G62" s="291" t="str">
        <f>IF(D62="","",VLOOKUP(D62,'G-6 Hedgerow Data'!$B$2:$AG$15,3,FALSE))</f>
        <v/>
      </c>
      <c r="H62" s="95"/>
      <c r="I62" s="291" t="str">
        <f>IFERROR(IF(AND(D62&lt;&gt;"",H62=""),"Check data ⚠", IF(H62="","",IF(AND(D62="Non-native and ornamental hedgerow", H62&lt;&gt;"Poor"),"Not possible ▲", (VLOOKUP(H62,'G-1 All Habitats'!$Z$2:$AA$9,2,FALSE))))),"")</f>
        <v/>
      </c>
      <c r="J62" s="95"/>
      <c r="K62" s="298" t="str">
        <f>IF(AND(D62&lt;&gt;"",J62=""),"Check data ⚠", IF(J62="","",IF(VLOOKUP(J62,'G-3 Multipliers'!$L$3:$N$6,2,FALSE)=0,"Spatial Data Missing",VLOOKUP(J62,'G-3 Multipliers'!$L$3:$N$6,2,FALSE))))</f>
        <v/>
      </c>
      <c r="L62" s="296" t="str">
        <f>IF(J62="","",IF(VLOOKUP(J62,'G-3 Multipliers'!$L$3:$N$6,3,FALSE)=0,"Spatial Data Missing ⚠",VLOOKUP(J62,'G-3 Multipliers'!$L$3:$N$6,3,FALSE)))</f>
        <v/>
      </c>
      <c r="M62" s="297" t="str">
        <f>IF(D62="","",VLOOKUP(D62,'G-6 Hedgerow Data'!$B$1:$AH$15,33,FALSE))</f>
        <v/>
      </c>
      <c r="N62" s="304" t="str">
        <f t="shared" si="2"/>
        <v/>
      </c>
      <c r="O62" s="17"/>
      <c r="P62" s="103"/>
      <c r="Q62" s="141"/>
      <c r="R62" s="320" t="str">
        <f t="shared" si="3"/>
        <v/>
      </c>
      <c r="S62" s="320" t="str">
        <f t="shared" si="4"/>
        <v/>
      </c>
      <c r="T62" s="320" t="str">
        <f t="shared" si="5"/>
        <v/>
      </c>
      <c r="U62" s="339" t="str">
        <f t="shared" si="6"/>
        <v/>
      </c>
      <c r="V62" s="100"/>
      <c r="W62" s="101"/>
      <c r="X62" s="101"/>
      <c r="AE62" s="105" t="str">
        <f t="shared" si="0"/>
        <v/>
      </c>
      <c r="AF62" s="105" t="str">
        <f t="shared" si="1"/>
        <v/>
      </c>
      <c r="AH62" s="105">
        <v>53</v>
      </c>
      <c r="AJ62" s="105" t="str">
        <f t="array" ref="AJ62">IFERROR(INDEX($AH$10:$AH$258, MATCH(0, IF(TRUE=$AE$10:$AE$258, COUNTIF($AJ$9:$AJ61, $AH$10:$AH$258), ""), 0)),"")</f>
        <v/>
      </c>
      <c r="AK62" s="105" t="str">
        <f t="array" ref="AK62">IFERROR(INDEX($AH$10:$AH$258, MATCH(0, IF(TRUE=$AF$10:$AF$258, COUNTIF($AK$9:$AK61, $AH$10:$AH$258), ""), 0)),"")</f>
        <v/>
      </c>
      <c r="AL62" s="15" t="str">
        <f>IFERROR(INDEX('G-6 Hedgerow Data'!$BJ$3:$BJ$15,MATCH(D62,'G-6 Hedgerow Data'!$B$3:$B$15,0)),"")</f>
        <v/>
      </c>
    </row>
    <row r="63" spans="2:38" x14ac:dyDescent="0.3">
      <c r="B63" s="92">
        <v>54</v>
      </c>
      <c r="C63" s="141"/>
      <c r="D63" s="141"/>
      <c r="E63" s="102"/>
      <c r="F63" s="335" t="str">
        <f>IF(D63="","",VLOOKUP(D63,'G-6 Hedgerow Data'!$B$2:$AG$15,2,FALSE))</f>
        <v/>
      </c>
      <c r="G63" s="291" t="str">
        <f>IF(D63="","",VLOOKUP(D63,'G-6 Hedgerow Data'!$B$2:$AG$15,3,FALSE))</f>
        <v/>
      </c>
      <c r="H63" s="95"/>
      <c r="I63" s="291" t="str">
        <f>IFERROR(IF(AND(D63&lt;&gt;"",H63=""),"Check data ⚠", IF(H63="","",IF(AND(D63="Non-native and ornamental hedgerow", H63&lt;&gt;"Poor"),"Not possible ▲", (VLOOKUP(H63,'G-1 All Habitats'!$Z$2:$AA$9,2,FALSE))))),"")</f>
        <v/>
      </c>
      <c r="J63" s="95"/>
      <c r="K63" s="298" t="str">
        <f>IF(AND(D63&lt;&gt;"",J63=""),"Check data ⚠", IF(J63="","",IF(VLOOKUP(J63,'G-3 Multipliers'!$L$3:$N$6,2,FALSE)=0,"Spatial Data Missing",VLOOKUP(J63,'G-3 Multipliers'!$L$3:$N$6,2,FALSE))))</f>
        <v/>
      </c>
      <c r="L63" s="296" t="str">
        <f>IF(J63="","",IF(VLOOKUP(J63,'G-3 Multipliers'!$L$3:$N$6,3,FALSE)=0,"Spatial Data Missing ⚠",VLOOKUP(J63,'G-3 Multipliers'!$L$3:$N$6,3,FALSE)))</f>
        <v/>
      </c>
      <c r="M63" s="297" t="str">
        <f>IF(D63="","",VLOOKUP(D63,'G-6 Hedgerow Data'!$B$1:$AH$15,33,FALSE))</f>
        <v/>
      </c>
      <c r="N63" s="304" t="str">
        <f t="shared" si="2"/>
        <v/>
      </c>
      <c r="O63" s="17"/>
      <c r="P63" s="103"/>
      <c r="Q63" s="141"/>
      <c r="R63" s="320" t="str">
        <f t="shared" si="3"/>
        <v/>
      </c>
      <c r="S63" s="320" t="str">
        <f t="shared" si="4"/>
        <v/>
      </c>
      <c r="T63" s="320" t="str">
        <f t="shared" si="5"/>
        <v/>
      </c>
      <c r="U63" s="339" t="str">
        <f t="shared" si="6"/>
        <v/>
      </c>
      <c r="V63" s="100"/>
      <c r="W63" s="101"/>
      <c r="X63" s="101"/>
      <c r="AE63" s="105" t="str">
        <f t="shared" si="0"/>
        <v/>
      </c>
      <c r="AF63" s="105" t="str">
        <f t="shared" si="1"/>
        <v/>
      </c>
      <c r="AH63" s="105">
        <v>54</v>
      </c>
      <c r="AJ63" s="105" t="str">
        <f t="array" ref="AJ63">IFERROR(INDEX($AH$10:$AH$258, MATCH(0, IF(TRUE=$AE$10:$AE$258, COUNTIF($AJ$9:$AJ62, $AH$10:$AH$258), ""), 0)),"")</f>
        <v/>
      </c>
      <c r="AK63" s="105" t="str">
        <f t="array" ref="AK63">IFERROR(INDEX($AH$10:$AH$258, MATCH(0, IF(TRUE=$AF$10:$AF$258, COUNTIF($AK$9:$AK62, $AH$10:$AH$258), ""), 0)),"")</f>
        <v/>
      </c>
      <c r="AL63" s="15" t="str">
        <f>IFERROR(INDEX('G-6 Hedgerow Data'!$BJ$3:$BJ$15,MATCH(D63,'G-6 Hedgerow Data'!$B$3:$B$15,0)),"")</f>
        <v/>
      </c>
    </row>
    <row r="64" spans="2:38" x14ac:dyDescent="0.3">
      <c r="B64" s="92">
        <v>55</v>
      </c>
      <c r="C64" s="141"/>
      <c r="D64" s="141"/>
      <c r="E64" s="102"/>
      <c r="F64" s="335" t="str">
        <f>IF(D64="","",VLOOKUP(D64,'G-6 Hedgerow Data'!$B$2:$AG$15,2,FALSE))</f>
        <v/>
      </c>
      <c r="G64" s="291" t="str">
        <f>IF(D64="","",VLOOKUP(D64,'G-6 Hedgerow Data'!$B$2:$AG$15,3,FALSE))</f>
        <v/>
      </c>
      <c r="H64" s="95"/>
      <c r="I64" s="291" t="str">
        <f>IFERROR(IF(AND(D64&lt;&gt;"",H64=""),"Check data ⚠", IF(H64="","",IF(AND(D64="Non-native and ornamental hedgerow", H64&lt;&gt;"Poor"),"Not possible ▲", (VLOOKUP(H64,'G-1 All Habitats'!$Z$2:$AA$9,2,FALSE))))),"")</f>
        <v/>
      </c>
      <c r="J64" s="95"/>
      <c r="K64" s="298" t="str">
        <f>IF(AND(D64&lt;&gt;"",J64=""),"Check data ⚠", IF(J64="","",IF(VLOOKUP(J64,'G-3 Multipliers'!$L$3:$N$6,2,FALSE)=0,"Spatial Data Missing",VLOOKUP(J64,'G-3 Multipliers'!$L$3:$N$6,2,FALSE))))</f>
        <v/>
      </c>
      <c r="L64" s="296" t="str">
        <f>IF(J64="","",IF(VLOOKUP(J64,'G-3 Multipliers'!$L$3:$N$6,3,FALSE)=0,"Spatial Data Missing ⚠",VLOOKUP(J64,'G-3 Multipliers'!$L$3:$N$6,3,FALSE)))</f>
        <v/>
      </c>
      <c r="M64" s="297" t="str">
        <f>IF(D64="","",VLOOKUP(D64,'G-6 Hedgerow Data'!$B$1:$AH$15,33,FALSE))</f>
        <v/>
      </c>
      <c r="N64" s="304" t="str">
        <f t="shared" si="2"/>
        <v/>
      </c>
      <c r="O64" s="17"/>
      <c r="P64" s="103"/>
      <c r="Q64" s="141"/>
      <c r="R64" s="320" t="str">
        <f t="shared" si="3"/>
        <v/>
      </c>
      <c r="S64" s="320" t="str">
        <f t="shared" si="4"/>
        <v/>
      </c>
      <c r="T64" s="320" t="str">
        <f t="shared" si="5"/>
        <v/>
      </c>
      <c r="U64" s="339" t="str">
        <f t="shared" si="6"/>
        <v/>
      </c>
      <c r="V64" s="100"/>
      <c r="W64" s="101"/>
      <c r="X64" s="101"/>
      <c r="AE64" s="105" t="str">
        <f t="shared" si="0"/>
        <v/>
      </c>
      <c r="AF64" s="105" t="str">
        <f t="shared" si="1"/>
        <v/>
      </c>
      <c r="AH64" s="105">
        <v>55</v>
      </c>
      <c r="AJ64" s="105" t="str">
        <f t="array" ref="AJ64">IFERROR(INDEX($AH$10:$AH$258, MATCH(0, IF(TRUE=$AE$10:$AE$258, COUNTIF($AJ$9:$AJ63, $AH$10:$AH$258), ""), 0)),"")</f>
        <v/>
      </c>
      <c r="AK64" s="105" t="str">
        <f t="array" ref="AK64">IFERROR(INDEX($AH$10:$AH$258, MATCH(0, IF(TRUE=$AF$10:$AF$258, COUNTIF($AK$9:$AK63, $AH$10:$AH$258), ""), 0)),"")</f>
        <v/>
      </c>
      <c r="AL64" s="15" t="str">
        <f>IFERROR(INDEX('G-6 Hedgerow Data'!$BJ$3:$BJ$15,MATCH(D64,'G-6 Hedgerow Data'!$B$3:$B$15,0)),"")</f>
        <v/>
      </c>
    </row>
    <row r="65" spans="2:38" x14ac:dyDescent="0.3">
      <c r="B65" s="92">
        <v>56</v>
      </c>
      <c r="C65" s="141"/>
      <c r="D65" s="141"/>
      <c r="E65" s="102"/>
      <c r="F65" s="335" t="str">
        <f>IF(D65="","",VLOOKUP(D65,'G-6 Hedgerow Data'!$B$2:$AG$15,2,FALSE))</f>
        <v/>
      </c>
      <c r="G65" s="291" t="str">
        <f>IF(D65="","",VLOOKUP(D65,'G-6 Hedgerow Data'!$B$2:$AG$15,3,FALSE))</f>
        <v/>
      </c>
      <c r="H65" s="95"/>
      <c r="I65" s="291" t="str">
        <f>IFERROR(IF(AND(D65&lt;&gt;"",H65=""),"Check data ⚠", IF(H65="","",IF(AND(D65="Non-native and ornamental hedgerow", H65&lt;&gt;"Poor"),"Not possible ▲", (VLOOKUP(H65,'G-1 All Habitats'!$Z$2:$AA$9,2,FALSE))))),"")</f>
        <v/>
      </c>
      <c r="J65" s="95"/>
      <c r="K65" s="298" t="str">
        <f>IF(AND(D65&lt;&gt;"",J65=""),"Check data ⚠", IF(J65="","",IF(VLOOKUP(J65,'G-3 Multipliers'!$L$3:$N$6,2,FALSE)=0,"Spatial Data Missing",VLOOKUP(J65,'G-3 Multipliers'!$L$3:$N$6,2,FALSE))))</f>
        <v/>
      </c>
      <c r="L65" s="296" t="str">
        <f>IF(J65="","",IF(VLOOKUP(J65,'G-3 Multipliers'!$L$3:$N$6,3,FALSE)=0,"Spatial Data Missing ⚠",VLOOKUP(J65,'G-3 Multipliers'!$L$3:$N$6,3,FALSE)))</f>
        <v/>
      </c>
      <c r="M65" s="297" t="str">
        <f>IF(D65="","",VLOOKUP(D65,'G-6 Hedgerow Data'!$B$1:$AH$15,33,FALSE))</f>
        <v/>
      </c>
      <c r="N65" s="304" t="str">
        <f t="shared" si="2"/>
        <v/>
      </c>
      <c r="O65" s="17"/>
      <c r="P65" s="103"/>
      <c r="Q65" s="141"/>
      <c r="R65" s="320" t="str">
        <f t="shared" si="3"/>
        <v/>
      </c>
      <c r="S65" s="320" t="str">
        <f t="shared" si="4"/>
        <v/>
      </c>
      <c r="T65" s="320" t="str">
        <f t="shared" si="5"/>
        <v/>
      </c>
      <c r="U65" s="339" t="str">
        <f t="shared" si="6"/>
        <v/>
      </c>
      <c r="V65" s="100"/>
      <c r="W65" s="101"/>
      <c r="X65" s="101"/>
      <c r="AE65" s="105" t="str">
        <f t="shared" si="0"/>
        <v/>
      </c>
      <c r="AF65" s="105" t="str">
        <f t="shared" si="1"/>
        <v/>
      </c>
      <c r="AH65" s="105">
        <v>56</v>
      </c>
      <c r="AJ65" s="105" t="str">
        <f t="array" ref="AJ65">IFERROR(INDEX($AH$10:$AH$258, MATCH(0, IF(TRUE=$AE$10:$AE$258, COUNTIF($AJ$9:$AJ64, $AH$10:$AH$258), ""), 0)),"")</f>
        <v/>
      </c>
      <c r="AK65" s="105" t="str">
        <f t="array" ref="AK65">IFERROR(INDEX($AH$10:$AH$258, MATCH(0, IF(TRUE=$AF$10:$AF$258, COUNTIF($AK$9:$AK64, $AH$10:$AH$258), ""), 0)),"")</f>
        <v/>
      </c>
      <c r="AL65" s="15" t="str">
        <f>IFERROR(INDEX('G-6 Hedgerow Data'!$BJ$3:$BJ$15,MATCH(D65,'G-6 Hedgerow Data'!$B$3:$B$15,0)),"")</f>
        <v/>
      </c>
    </row>
    <row r="66" spans="2:38" x14ac:dyDescent="0.3">
      <c r="B66" s="92">
        <v>57</v>
      </c>
      <c r="C66" s="141"/>
      <c r="D66" s="141"/>
      <c r="E66" s="102"/>
      <c r="F66" s="335" t="str">
        <f>IF(D66="","",VLOOKUP(D66,'G-6 Hedgerow Data'!$B$2:$AG$15,2,FALSE))</f>
        <v/>
      </c>
      <c r="G66" s="291" t="str">
        <f>IF(D66="","",VLOOKUP(D66,'G-6 Hedgerow Data'!$B$2:$AG$15,3,FALSE))</f>
        <v/>
      </c>
      <c r="H66" s="95"/>
      <c r="I66" s="291" t="str">
        <f>IFERROR(IF(AND(D66&lt;&gt;"",H66=""),"Check data ⚠", IF(H66="","",IF(AND(D66="Non-native and ornamental hedgerow", H66&lt;&gt;"Poor"),"Not possible ▲", (VLOOKUP(H66,'G-1 All Habitats'!$Z$2:$AA$9,2,FALSE))))),"")</f>
        <v/>
      </c>
      <c r="J66" s="95"/>
      <c r="K66" s="298" t="str">
        <f>IF(AND(D66&lt;&gt;"",J66=""),"Check data ⚠", IF(J66="","",IF(VLOOKUP(J66,'G-3 Multipliers'!$L$3:$N$6,2,FALSE)=0,"Spatial Data Missing",VLOOKUP(J66,'G-3 Multipliers'!$L$3:$N$6,2,FALSE))))</f>
        <v/>
      </c>
      <c r="L66" s="296" t="str">
        <f>IF(J66="","",IF(VLOOKUP(J66,'G-3 Multipliers'!$L$3:$N$6,3,FALSE)=0,"Spatial Data Missing ⚠",VLOOKUP(J66,'G-3 Multipliers'!$L$3:$N$6,3,FALSE)))</f>
        <v/>
      </c>
      <c r="M66" s="297" t="str">
        <f>IF(D66="","",VLOOKUP(D66,'G-6 Hedgerow Data'!$B$1:$AH$15,33,FALSE))</f>
        <v/>
      </c>
      <c r="N66" s="304" t="str">
        <f t="shared" si="2"/>
        <v/>
      </c>
      <c r="O66" s="17"/>
      <c r="P66" s="103"/>
      <c r="Q66" s="141"/>
      <c r="R66" s="320" t="str">
        <f t="shared" si="3"/>
        <v/>
      </c>
      <c r="S66" s="320" t="str">
        <f t="shared" si="4"/>
        <v/>
      </c>
      <c r="T66" s="320" t="str">
        <f t="shared" si="5"/>
        <v/>
      </c>
      <c r="U66" s="339" t="str">
        <f t="shared" si="6"/>
        <v/>
      </c>
      <c r="V66" s="100"/>
      <c r="W66" s="101"/>
      <c r="X66" s="101"/>
      <c r="AE66" s="105" t="str">
        <f t="shared" si="0"/>
        <v/>
      </c>
      <c r="AF66" s="105" t="str">
        <f t="shared" si="1"/>
        <v/>
      </c>
      <c r="AH66" s="105">
        <v>57</v>
      </c>
      <c r="AJ66" s="105" t="str">
        <f t="array" ref="AJ66">IFERROR(INDEX($AH$10:$AH$258, MATCH(0, IF(TRUE=$AE$10:$AE$258, COUNTIF($AJ$9:$AJ65, $AH$10:$AH$258), ""), 0)),"")</f>
        <v/>
      </c>
      <c r="AK66" s="105" t="str">
        <f t="array" ref="AK66">IFERROR(INDEX($AH$10:$AH$258, MATCH(0, IF(TRUE=$AF$10:$AF$258, COUNTIF($AK$9:$AK65, $AH$10:$AH$258), ""), 0)),"")</f>
        <v/>
      </c>
      <c r="AL66" s="15" t="str">
        <f>IFERROR(INDEX('G-6 Hedgerow Data'!$BJ$3:$BJ$15,MATCH(D66,'G-6 Hedgerow Data'!$B$3:$B$15,0)),"")</f>
        <v/>
      </c>
    </row>
    <row r="67" spans="2:38" x14ac:dyDescent="0.3">
      <c r="B67" s="92">
        <v>58</v>
      </c>
      <c r="C67" s="141"/>
      <c r="D67" s="141"/>
      <c r="E67" s="102"/>
      <c r="F67" s="335" t="str">
        <f>IF(D67="","",VLOOKUP(D67,'G-6 Hedgerow Data'!$B$2:$AG$15,2,FALSE))</f>
        <v/>
      </c>
      <c r="G67" s="291" t="str">
        <f>IF(D67="","",VLOOKUP(D67,'G-6 Hedgerow Data'!$B$2:$AG$15,3,FALSE))</f>
        <v/>
      </c>
      <c r="H67" s="95"/>
      <c r="I67" s="291" t="str">
        <f>IFERROR(IF(AND(D67&lt;&gt;"",H67=""),"Check data ⚠", IF(H67="","",IF(AND(D67="Non-native and ornamental hedgerow", H67&lt;&gt;"Poor"),"Not possible ▲", (VLOOKUP(H67,'G-1 All Habitats'!$Z$2:$AA$9,2,FALSE))))),"")</f>
        <v/>
      </c>
      <c r="J67" s="95"/>
      <c r="K67" s="298" t="str">
        <f>IF(AND(D67&lt;&gt;"",J67=""),"Check data ⚠", IF(J67="","",IF(VLOOKUP(J67,'G-3 Multipliers'!$L$3:$N$6,2,FALSE)=0,"Spatial Data Missing",VLOOKUP(J67,'G-3 Multipliers'!$L$3:$N$6,2,FALSE))))</f>
        <v/>
      </c>
      <c r="L67" s="296" t="str">
        <f>IF(J67="","",IF(VLOOKUP(J67,'G-3 Multipliers'!$L$3:$N$6,3,FALSE)=0,"Spatial Data Missing ⚠",VLOOKUP(J67,'G-3 Multipliers'!$L$3:$N$6,3,FALSE)))</f>
        <v/>
      </c>
      <c r="M67" s="297" t="str">
        <f>IF(D67="","",VLOOKUP(D67,'G-6 Hedgerow Data'!$B$1:$AH$15,33,FALSE))</f>
        <v/>
      </c>
      <c r="N67" s="304" t="str">
        <f t="shared" si="2"/>
        <v/>
      </c>
      <c r="O67" s="17"/>
      <c r="P67" s="103"/>
      <c r="Q67" s="141"/>
      <c r="R67" s="320" t="str">
        <f t="shared" si="3"/>
        <v/>
      </c>
      <c r="S67" s="320" t="str">
        <f t="shared" si="4"/>
        <v/>
      </c>
      <c r="T67" s="320" t="str">
        <f t="shared" si="5"/>
        <v/>
      </c>
      <c r="U67" s="339" t="str">
        <f t="shared" si="6"/>
        <v/>
      </c>
      <c r="V67" s="100"/>
      <c r="W67" s="101"/>
      <c r="X67" s="101"/>
      <c r="AE67" s="105" t="str">
        <f t="shared" si="0"/>
        <v/>
      </c>
      <c r="AF67" s="105" t="str">
        <f t="shared" si="1"/>
        <v/>
      </c>
      <c r="AH67" s="105">
        <v>58</v>
      </c>
      <c r="AJ67" s="105" t="str">
        <f t="array" ref="AJ67">IFERROR(INDEX($AH$10:$AH$258, MATCH(0, IF(TRUE=$AE$10:$AE$258, COUNTIF($AJ$9:$AJ66, $AH$10:$AH$258), ""), 0)),"")</f>
        <v/>
      </c>
      <c r="AK67" s="105" t="str">
        <f t="array" ref="AK67">IFERROR(INDEX($AH$10:$AH$258, MATCH(0, IF(TRUE=$AF$10:$AF$258, COUNTIF($AK$9:$AK66, $AH$10:$AH$258), ""), 0)),"")</f>
        <v/>
      </c>
      <c r="AL67" s="15" t="str">
        <f>IFERROR(INDEX('G-6 Hedgerow Data'!$BJ$3:$BJ$15,MATCH(D67,'G-6 Hedgerow Data'!$B$3:$B$15,0)),"")</f>
        <v/>
      </c>
    </row>
    <row r="68" spans="2:38" x14ac:dyDescent="0.3">
      <c r="B68" s="92">
        <v>59</v>
      </c>
      <c r="C68" s="141"/>
      <c r="D68" s="141"/>
      <c r="E68" s="102"/>
      <c r="F68" s="335" t="str">
        <f>IF(D68="","",VLOOKUP(D68,'G-6 Hedgerow Data'!$B$2:$AG$15,2,FALSE))</f>
        <v/>
      </c>
      <c r="G68" s="291" t="str">
        <f>IF(D68="","",VLOOKUP(D68,'G-6 Hedgerow Data'!$B$2:$AG$15,3,FALSE))</f>
        <v/>
      </c>
      <c r="H68" s="95"/>
      <c r="I68" s="291" t="str">
        <f>IFERROR(IF(AND(D68&lt;&gt;"",H68=""),"Check data ⚠", IF(H68="","",IF(AND(D68="Non-native and ornamental hedgerow", H68&lt;&gt;"Poor"),"Not possible ▲", (VLOOKUP(H68,'G-1 All Habitats'!$Z$2:$AA$9,2,FALSE))))),"")</f>
        <v/>
      </c>
      <c r="J68" s="95"/>
      <c r="K68" s="298" t="str">
        <f>IF(AND(D68&lt;&gt;"",J68=""),"Check data ⚠", IF(J68="","",IF(VLOOKUP(J68,'G-3 Multipliers'!$L$3:$N$6,2,FALSE)=0,"Spatial Data Missing",VLOOKUP(J68,'G-3 Multipliers'!$L$3:$N$6,2,FALSE))))</f>
        <v/>
      </c>
      <c r="L68" s="296" t="str">
        <f>IF(J68="","",IF(VLOOKUP(J68,'G-3 Multipliers'!$L$3:$N$6,3,FALSE)=0,"Spatial Data Missing ⚠",VLOOKUP(J68,'G-3 Multipliers'!$L$3:$N$6,3,FALSE)))</f>
        <v/>
      </c>
      <c r="M68" s="297" t="str">
        <f>IF(D68="","",VLOOKUP(D68,'G-6 Hedgerow Data'!$B$1:$AH$15,33,FALSE))</f>
        <v/>
      </c>
      <c r="N68" s="304" t="str">
        <f t="shared" si="2"/>
        <v/>
      </c>
      <c r="O68" s="17"/>
      <c r="P68" s="103"/>
      <c r="Q68" s="141"/>
      <c r="R68" s="320" t="str">
        <f t="shared" si="3"/>
        <v/>
      </c>
      <c r="S68" s="320" t="str">
        <f t="shared" si="4"/>
        <v/>
      </c>
      <c r="T68" s="320" t="str">
        <f t="shared" si="5"/>
        <v/>
      </c>
      <c r="U68" s="339" t="str">
        <f t="shared" si="6"/>
        <v/>
      </c>
      <c r="V68" s="100"/>
      <c r="W68" s="101"/>
      <c r="X68" s="101"/>
      <c r="AE68" s="105" t="str">
        <f t="shared" si="0"/>
        <v/>
      </c>
      <c r="AF68" s="105" t="str">
        <f t="shared" si="1"/>
        <v/>
      </c>
      <c r="AH68" s="105">
        <v>59</v>
      </c>
      <c r="AJ68" s="105" t="str">
        <f t="array" ref="AJ68">IFERROR(INDEX($AH$10:$AH$258, MATCH(0, IF(TRUE=$AE$10:$AE$258, COUNTIF($AJ$9:$AJ67, $AH$10:$AH$258), ""), 0)),"")</f>
        <v/>
      </c>
      <c r="AK68" s="105" t="str">
        <f t="array" ref="AK68">IFERROR(INDEX($AH$10:$AH$258, MATCH(0, IF(TRUE=$AF$10:$AF$258, COUNTIF($AK$9:$AK67, $AH$10:$AH$258), ""), 0)),"")</f>
        <v/>
      </c>
      <c r="AL68" s="15" t="str">
        <f>IFERROR(INDEX('G-6 Hedgerow Data'!$BJ$3:$BJ$15,MATCH(D68,'G-6 Hedgerow Data'!$B$3:$B$15,0)),"")</f>
        <v/>
      </c>
    </row>
    <row r="69" spans="2:38" x14ac:dyDescent="0.3">
      <c r="B69" s="92">
        <v>60</v>
      </c>
      <c r="C69" s="141"/>
      <c r="D69" s="141"/>
      <c r="E69" s="102"/>
      <c r="F69" s="335" t="str">
        <f>IF(D69="","",VLOOKUP(D69,'G-6 Hedgerow Data'!$B$2:$AG$15,2,FALSE))</f>
        <v/>
      </c>
      <c r="G69" s="291" t="str">
        <f>IF(D69="","",VLOOKUP(D69,'G-6 Hedgerow Data'!$B$2:$AG$15,3,FALSE))</f>
        <v/>
      </c>
      <c r="H69" s="95"/>
      <c r="I69" s="291" t="str">
        <f>IFERROR(IF(AND(D69&lt;&gt;"",H69=""),"Check data ⚠", IF(H69="","",IF(AND(D69="Non-native and ornamental hedgerow", H69&lt;&gt;"Poor"),"Not possible ▲", (VLOOKUP(H69,'G-1 All Habitats'!$Z$2:$AA$9,2,FALSE))))),"")</f>
        <v/>
      </c>
      <c r="J69" s="95"/>
      <c r="K69" s="298" t="str">
        <f>IF(AND(D69&lt;&gt;"",J69=""),"Check data ⚠", IF(J69="","",IF(VLOOKUP(J69,'G-3 Multipliers'!$L$3:$N$6,2,FALSE)=0,"Spatial Data Missing",VLOOKUP(J69,'G-3 Multipliers'!$L$3:$N$6,2,FALSE))))</f>
        <v/>
      </c>
      <c r="L69" s="296" t="str">
        <f>IF(J69="","",IF(VLOOKUP(J69,'G-3 Multipliers'!$L$3:$N$6,3,FALSE)=0,"Spatial Data Missing ⚠",VLOOKUP(J69,'G-3 Multipliers'!$L$3:$N$6,3,FALSE)))</f>
        <v/>
      </c>
      <c r="M69" s="297" t="str">
        <f>IF(D69="","",VLOOKUP(D69,'G-6 Hedgerow Data'!$B$1:$AH$15,33,FALSE))</f>
        <v/>
      </c>
      <c r="N69" s="304" t="str">
        <f t="shared" si="2"/>
        <v/>
      </c>
      <c r="O69" s="17"/>
      <c r="P69" s="103"/>
      <c r="Q69" s="141"/>
      <c r="R69" s="320" t="str">
        <f t="shared" si="3"/>
        <v/>
      </c>
      <c r="S69" s="320" t="str">
        <f t="shared" si="4"/>
        <v/>
      </c>
      <c r="T69" s="320" t="str">
        <f t="shared" si="5"/>
        <v/>
      </c>
      <c r="U69" s="339" t="str">
        <f t="shared" si="6"/>
        <v/>
      </c>
      <c r="V69" s="100"/>
      <c r="W69" s="101"/>
      <c r="X69" s="101"/>
      <c r="AE69" s="105" t="str">
        <f t="shared" si="0"/>
        <v/>
      </c>
      <c r="AF69" s="105" t="str">
        <f t="shared" si="1"/>
        <v/>
      </c>
      <c r="AH69" s="105">
        <v>60</v>
      </c>
      <c r="AJ69" s="105" t="str">
        <f t="array" ref="AJ69">IFERROR(INDEX($AH$10:$AH$258, MATCH(0, IF(TRUE=$AE$10:$AE$258, COUNTIF($AJ$9:$AJ68, $AH$10:$AH$258), ""), 0)),"")</f>
        <v/>
      </c>
      <c r="AK69" s="105" t="str">
        <f t="array" ref="AK69">IFERROR(INDEX($AH$10:$AH$258, MATCH(0, IF(TRUE=$AF$10:$AF$258, COUNTIF($AK$9:$AK68, $AH$10:$AH$258), ""), 0)),"")</f>
        <v/>
      </c>
      <c r="AL69" s="15" t="str">
        <f>IFERROR(INDEX('G-6 Hedgerow Data'!$BJ$3:$BJ$15,MATCH(D69,'G-6 Hedgerow Data'!$B$3:$B$15,0)),"")</f>
        <v/>
      </c>
    </row>
    <row r="70" spans="2:38" x14ac:dyDescent="0.3">
      <c r="B70" s="92">
        <v>61</v>
      </c>
      <c r="C70" s="141"/>
      <c r="D70" s="141"/>
      <c r="E70" s="102"/>
      <c r="F70" s="335" t="str">
        <f>IF(D70="","",VLOOKUP(D70,'G-6 Hedgerow Data'!$B$2:$AG$15,2,FALSE))</f>
        <v/>
      </c>
      <c r="G70" s="291" t="str">
        <f>IF(D70="","",VLOOKUP(D70,'G-6 Hedgerow Data'!$B$2:$AG$15,3,FALSE))</f>
        <v/>
      </c>
      <c r="H70" s="95"/>
      <c r="I70" s="291" t="str">
        <f>IFERROR(IF(AND(D70&lt;&gt;"",H70=""),"Check data ⚠", IF(H70="","",IF(AND(D70="Non-native and ornamental hedgerow", H70&lt;&gt;"Poor"),"Not possible ▲", (VLOOKUP(H70,'G-1 All Habitats'!$Z$2:$AA$9,2,FALSE))))),"")</f>
        <v/>
      </c>
      <c r="J70" s="95"/>
      <c r="K70" s="298" t="str">
        <f>IF(AND(D70&lt;&gt;"",J70=""),"Check data ⚠", IF(J70="","",IF(VLOOKUP(J70,'G-3 Multipliers'!$L$3:$N$6,2,FALSE)=0,"Spatial Data Missing",VLOOKUP(J70,'G-3 Multipliers'!$L$3:$N$6,2,FALSE))))</f>
        <v/>
      </c>
      <c r="L70" s="296" t="str">
        <f>IF(J70="","",IF(VLOOKUP(J70,'G-3 Multipliers'!$L$3:$N$6,3,FALSE)=0,"Spatial Data Missing ⚠",VLOOKUP(J70,'G-3 Multipliers'!$L$3:$N$6,3,FALSE)))</f>
        <v/>
      </c>
      <c r="M70" s="297" t="str">
        <f>IF(D70="","",VLOOKUP(D70,'G-6 Hedgerow Data'!$B$1:$AH$15,33,FALSE))</f>
        <v/>
      </c>
      <c r="N70" s="304" t="str">
        <f t="shared" si="2"/>
        <v/>
      </c>
      <c r="O70" s="17"/>
      <c r="P70" s="103"/>
      <c r="Q70" s="141"/>
      <c r="R70" s="320" t="str">
        <f t="shared" si="3"/>
        <v/>
      </c>
      <c r="S70" s="320" t="str">
        <f t="shared" si="4"/>
        <v/>
      </c>
      <c r="T70" s="320" t="str">
        <f t="shared" si="5"/>
        <v/>
      </c>
      <c r="U70" s="339" t="str">
        <f t="shared" si="6"/>
        <v/>
      </c>
      <c r="V70" s="100"/>
      <c r="W70" s="101"/>
      <c r="X70" s="101"/>
      <c r="AE70" s="105" t="str">
        <f t="shared" si="0"/>
        <v/>
      </c>
      <c r="AF70" s="105" t="str">
        <f t="shared" si="1"/>
        <v/>
      </c>
      <c r="AH70" s="105">
        <v>61</v>
      </c>
      <c r="AJ70" s="105" t="str">
        <f t="array" ref="AJ70">IFERROR(INDEX($AH$10:$AH$258, MATCH(0, IF(TRUE=$AE$10:$AE$258, COUNTIF($AJ$9:$AJ69, $AH$10:$AH$258), ""), 0)),"")</f>
        <v/>
      </c>
      <c r="AK70" s="105" t="str">
        <f t="array" ref="AK70">IFERROR(INDEX($AH$10:$AH$258, MATCH(0, IF(TRUE=$AF$10:$AF$258, COUNTIF($AK$9:$AK69, $AH$10:$AH$258), ""), 0)),"")</f>
        <v/>
      </c>
      <c r="AL70" s="15" t="str">
        <f>IFERROR(INDEX('G-6 Hedgerow Data'!$BJ$3:$BJ$15,MATCH(D70,'G-6 Hedgerow Data'!$B$3:$B$15,0)),"")</f>
        <v/>
      </c>
    </row>
    <row r="71" spans="2:38" x14ac:dyDescent="0.3">
      <c r="B71" s="92">
        <v>62</v>
      </c>
      <c r="C71" s="141"/>
      <c r="D71" s="141"/>
      <c r="E71" s="102"/>
      <c r="F71" s="335" t="str">
        <f>IF(D71="","",VLOOKUP(D71,'G-6 Hedgerow Data'!$B$2:$AG$15,2,FALSE))</f>
        <v/>
      </c>
      <c r="G71" s="291" t="str">
        <f>IF(D71="","",VLOOKUP(D71,'G-6 Hedgerow Data'!$B$2:$AG$15,3,FALSE))</f>
        <v/>
      </c>
      <c r="H71" s="95"/>
      <c r="I71" s="291" t="str">
        <f>IFERROR(IF(AND(D71&lt;&gt;"",H71=""),"Check data ⚠", IF(H71="","",IF(AND(D71="Non-native and ornamental hedgerow", H71&lt;&gt;"Poor"),"Not possible ▲", (VLOOKUP(H71,'G-1 All Habitats'!$Z$2:$AA$9,2,FALSE))))),"")</f>
        <v/>
      </c>
      <c r="J71" s="95"/>
      <c r="K71" s="298" t="str">
        <f>IF(AND(D71&lt;&gt;"",J71=""),"Check data ⚠", IF(J71="","",IF(VLOOKUP(J71,'G-3 Multipliers'!$L$3:$N$6,2,FALSE)=0,"Spatial Data Missing",VLOOKUP(J71,'G-3 Multipliers'!$L$3:$N$6,2,FALSE))))</f>
        <v/>
      </c>
      <c r="L71" s="296" t="str">
        <f>IF(J71="","",IF(VLOOKUP(J71,'G-3 Multipliers'!$L$3:$N$6,3,FALSE)=0,"Spatial Data Missing ⚠",VLOOKUP(J71,'G-3 Multipliers'!$L$3:$N$6,3,FALSE)))</f>
        <v/>
      </c>
      <c r="M71" s="297" t="str">
        <f>IF(D71="","",VLOOKUP(D71,'G-6 Hedgerow Data'!$B$1:$AH$15,33,FALSE))</f>
        <v/>
      </c>
      <c r="N71" s="304" t="str">
        <f t="shared" si="2"/>
        <v/>
      </c>
      <c r="O71" s="17"/>
      <c r="P71" s="103"/>
      <c r="Q71" s="141"/>
      <c r="R71" s="320" t="str">
        <f t="shared" si="3"/>
        <v/>
      </c>
      <c r="S71" s="320" t="str">
        <f t="shared" si="4"/>
        <v/>
      </c>
      <c r="T71" s="320" t="str">
        <f t="shared" si="5"/>
        <v/>
      </c>
      <c r="U71" s="339" t="str">
        <f t="shared" si="6"/>
        <v/>
      </c>
      <c r="V71" s="100"/>
      <c r="W71" s="101"/>
      <c r="X71" s="101"/>
      <c r="AE71" s="105" t="str">
        <f t="shared" si="0"/>
        <v/>
      </c>
      <c r="AF71" s="105" t="str">
        <f t="shared" si="1"/>
        <v/>
      </c>
      <c r="AH71" s="105">
        <v>62</v>
      </c>
      <c r="AJ71" s="105" t="str">
        <f t="array" ref="AJ71">IFERROR(INDEX($AH$10:$AH$258, MATCH(0, IF(TRUE=$AE$10:$AE$258, COUNTIF($AJ$9:$AJ70, $AH$10:$AH$258), ""), 0)),"")</f>
        <v/>
      </c>
      <c r="AK71" s="105" t="str">
        <f t="array" ref="AK71">IFERROR(INDEX($AH$10:$AH$258, MATCH(0, IF(TRUE=$AF$10:$AF$258, COUNTIF($AK$9:$AK70, $AH$10:$AH$258), ""), 0)),"")</f>
        <v/>
      </c>
      <c r="AL71" s="15" t="str">
        <f>IFERROR(INDEX('G-6 Hedgerow Data'!$BJ$3:$BJ$15,MATCH(D71,'G-6 Hedgerow Data'!$B$3:$B$15,0)),"")</f>
        <v/>
      </c>
    </row>
    <row r="72" spans="2:38" x14ac:dyDescent="0.3">
      <c r="B72" s="92">
        <v>63</v>
      </c>
      <c r="C72" s="141"/>
      <c r="D72" s="141"/>
      <c r="E72" s="102"/>
      <c r="F72" s="335" t="str">
        <f>IF(D72="","",VLOOKUP(D72,'G-6 Hedgerow Data'!$B$2:$AG$15,2,FALSE))</f>
        <v/>
      </c>
      <c r="G72" s="291" t="str">
        <f>IF(D72="","",VLOOKUP(D72,'G-6 Hedgerow Data'!$B$2:$AG$15,3,FALSE))</f>
        <v/>
      </c>
      <c r="H72" s="95"/>
      <c r="I72" s="291" t="str">
        <f>IFERROR(IF(AND(D72&lt;&gt;"",H72=""),"Check data ⚠", IF(H72="","",IF(AND(D72="Non-native and ornamental hedgerow", H72&lt;&gt;"Poor"),"Not possible ▲", (VLOOKUP(H72,'G-1 All Habitats'!$Z$2:$AA$9,2,FALSE))))),"")</f>
        <v/>
      </c>
      <c r="J72" s="95"/>
      <c r="K72" s="298" t="str">
        <f>IF(AND(D72&lt;&gt;"",J72=""),"Check data ⚠", IF(J72="","",IF(VLOOKUP(J72,'G-3 Multipliers'!$L$3:$N$6,2,FALSE)=0,"Spatial Data Missing",VLOOKUP(J72,'G-3 Multipliers'!$L$3:$N$6,2,FALSE))))</f>
        <v/>
      </c>
      <c r="L72" s="296" t="str">
        <f>IF(J72="","",IF(VLOOKUP(J72,'G-3 Multipliers'!$L$3:$N$6,3,FALSE)=0,"Spatial Data Missing ⚠",VLOOKUP(J72,'G-3 Multipliers'!$L$3:$N$6,3,FALSE)))</f>
        <v/>
      </c>
      <c r="M72" s="297" t="str">
        <f>IF(D72="","",VLOOKUP(D72,'G-6 Hedgerow Data'!$B$1:$AH$15,33,FALSE))</f>
        <v/>
      </c>
      <c r="N72" s="304" t="str">
        <f t="shared" si="2"/>
        <v/>
      </c>
      <c r="O72" s="17"/>
      <c r="P72" s="103"/>
      <c r="Q72" s="141"/>
      <c r="R72" s="320" t="str">
        <f t="shared" si="3"/>
        <v/>
      </c>
      <c r="S72" s="320" t="str">
        <f t="shared" si="4"/>
        <v/>
      </c>
      <c r="T72" s="320" t="str">
        <f t="shared" si="5"/>
        <v/>
      </c>
      <c r="U72" s="339" t="str">
        <f t="shared" si="6"/>
        <v/>
      </c>
      <c r="V72" s="100"/>
      <c r="W72" s="101"/>
      <c r="X72" s="101"/>
      <c r="AE72" s="105" t="str">
        <f t="shared" si="0"/>
        <v/>
      </c>
      <c r="AF72" s="105" t="str">
        <f t="shared" si="1"/>
        <v/>
      </c>
      <c r="AH72" s="105">
        <v>63</v>
      </c>
      <c r="AJ72" s="105" t="str">
        <f t="array" ref="AJ72">IFERROR(INDEX($AH$10:$AH$258, MATCH(0, IF(TRUE=$AE$10:$AE$258, COUNTIF($AJ$9:$AJ71, $AH$10:$AH$258), ""), 0)),"")</f>
        <v/>
      </c>
      <c r="AK72" s="105" t="str">
        <f t="array" ref="AK72">IFERROR(INDEX($AH$10:$AH$258, MATCH(0, IF(TRUE=$AF$10:$AF$258, COUNTIF($AK$9:$AK71, $AH$10:$AH$258), ""), 0)),"")</f>
        <v/>
      </c>
      <c r="AL72" s="15" t="str">
        <f>IFERROR(INDEX('G-6 Hedgerow Data'!$BJ$3:$BJ$15,MATCH(D72,'G-6 Hedgerow Data'!$B$3:$B$15,0)),"")</f>
        <v/>
      </c>
    </row>
    <row r="73" spans="2:38" x14ac:dyDescent="0.3">
      <c r="B73" s="92">
        <v>64</v>
      </c>
      <c r="C73" s="141"/>
      <c r="D73" s="141"/>
      <c r="E73" s="102"/>
      <c r="F73" s="335" t="str">
        <f>IF(D73="","",VLOOKUP(D73,'G-6 Hedgerow Data'!$B$2:$AG$15,2,FALSE))</f>
        <v/>
      </c>
      <c r="G73" s="291" t="str">
        <f>IF(D73="","",VLOOKUP(D73,'G-6 Hedgerow Data'!$B$2:$AG$15,3,FALSE))</f>
        <v/>
      </c>
      <c r="H73" s="95"/>
      <c r="I73" s="291" t="str">
        <f>IFERROR(IF(AND(D73&lt;&gt;"",H73=""),"Check data ⚠", IF(H73="","",IF(AND(D73="Non-native and ornamental hedgerow", H73&lt;&gt;"Poor"),"Not possible ▲", (VLOOKUP(H73,'G-1 All Habitats'!$Z$2:$AA$9,2,FALSE))))),"")</f>
        <v/>
      </c>
      <c r="J73" s="95"/>
      <c r="K73" s="298" t="str">
        <f>IF(AND(D73&lt;&gt;"",J73=""),"Check data ⚠", IF(J73="","",IF(VLOOKUP(J73,'G-3 Multipliers'!$L$3:$N$6,2,FALSE)=0,"Spatial Data Missing",VLOOKUP(J73,'G-3 Multipliers'!$L$3:$N$6,2,FALSE))))</f>
        <v/>
      </c>
      <c r="L73" s="296" t="str">
        <f>IF(J73="","",IF(VLOOKUP(J73,'G-3 Multipliers'!$L$3:$N$6,3,FALSE)=0,"Spatial Data Missing ⚠",VLOOKUP(J73,'G-3 Multipliers'!$L$3:$N$6,3,FALSE)))</f>
        <v/>
      </c>
      <c r="M73" s="297" t="str">
        <f>IF(D73="","",VLOOKUP(D73,'G-6 Hedgerow Data'!$B$1:$AH$15,33,FALSE))</f>
        <v/>
      </c>
      <c r="N73" s="304" t="str">
        <f t="shared" si="2"/>
        <v/>
      </c>
      <c r="O73" s="17"/>
      <c r="P73" s="103"/>
      <c r="Q73" s="141"/>
      <c r="R73" s="320" t="str">
        <f t="shared" si="3"/>
        <v/>
      </c>
      <c r="S73" s="320" t="str">
        <f t="shared" si="4"/>
        <v/>
      </c>
      <c r="T73" s="320" t="str">
        <f t="shared" si="5"/>
        <v/>
      </c>
      <c r="U73" s="339" t="str">
        <f t="shared" si="6"/>
        <v/>
      </c>
      <c r="V73" s="100"/>
      <c r="W73" s="101"/>
      <c r="X73" s="101"/>
      <c r="AE73" s="105" t="str">
        <f t="shared" si="0"/>
        <v/>
      </c>
      <c r="AF73" s="105" t="str">
        <f t="shared" si="1"/>
        <v/>
      </c>
      <c r="AH73" s="105">
        <v>64</v>
      </c>
      <c r="AJ73" s="105" t="str">
        <f t="array" ref="AJ73">IFERROR(INDEX($AH$10:$AH$258, MATCH(0, IF(TRUE=$AE$10:$AE$258, COUNTIF($AJ$9:$AJ72, $AH$10:$AH$258), ""), 0)),"")</f>
        <v/>
      </c>
      <c r="AK73" s="105" t="str">
        <f t="array" ref="AK73">IFERROR(INDEX($AH$10:$AH$258, MATCH(0, IF(TRUE=$AF$10:$AF$258, COUNTIF($AK$9:$AK72, $AH$10:$AH$258), ""), 0)),"")</f>
        <v/>
      </c>
      <c r="AL73" s="15" t="str">
        <f>IFERROR(INDEX('G-6 Hedgerow Data'!$BJ$3:$BJ$15,MATCH(D73,'G-6 Hedgerow Data'!$B$3:$B$15,0)),"")</f>
        <v/>
      </c>
    </row>
    <row r="74" spans="2:38" x14ac:dyDescent="0.3">
      <c r="B74" s="92">
        <v>65</v>
      </c>
      <c r="C74" s="141"/>
      <c r="D74" s="141"/>
      <c r="E74" s="102"/>
      <c r="F74" s="335" t="str">
        <f>IF(D74="","",VLOOKUP(D74,'G-6 Hedgerow Data'!$B$2:$AG$15,2,FALSE))</f>
        <v/>
      </c>
      <c r="G74" s="291" t="str">
        <f>IF(D74="","",VLOOKUP(D74,'G-6 Hedgerow Data'!$B$2:$AG$15,3,FALSE))</f>
        <v/>
      </c>
      <c r="H74" s="95"/>
      <c r="I74" s="291" t="str">
        <f>IFERROR(IF(AND(D74&lt;&gt;"",H74=""),"Check data ⚠", IF(H74="","",IF(AND(D74="Non-native and ornamental hedgerow", H74&lt;&gt;"Poor"),"Not possible ▲", (VLOOKUP(H74,'G-1 All Habitats'!$Z$2:$AA$9,2,FALSE))))),"")</f>
        <v/>
      </c>
      <c r="J74" s="95"/>
      <c r="K74" s="298" t="str">
        <f>IF(AND(D74&lt;&gt;"",J74=""),"Check data ⚠", IF(J74="","",IF(VLOOKUP(J74,'G-3 Multipliers'!$L$3:$N$6,2,FALSE)=0,"Spatial Data Missing",VLOOKUP(J74,'G-3 Multipliers'!$L$3:$N$6,2,FALSE))))</f>
        <v/>
      </c>
      <c r="L74" s="296" t="str">
        <f>IF(J74="","",IF(VLOOKUP(J74,'G-3 Multipliers'!$L$3:$N$6,3,FALSE)=0,"Spatial Data Missing ⚠",VLOOKUP(J74,'G-3 Multipliers'!$L$3:$N$6,3,FALSE)))</f>
        <v/>
      </c>
      <c r="M74" s="297" t="str">
        <f>IF(D74="","",VLOOKUP(D74,'G-6 Hedgerow Data'!$B$1:$AH$15,33,FALSE))</f>
        <v/>
      </c>
      <c r="N74" s="304" t="str">
        <f t="shared" si="2"/>
        <v/>
      </c>
      <c r="O74" s="17"/>
      <c r="P74" s="103"/>
      <c r="Q74" s="141"/>
      <c r="R74" s="320" t="str">
        <f t="shared" si="3"/>
        <v/>
      </c>
      <c r="S74" s="320" t="str">
        <f t="shared" si="4"/>
        <v/>
      </c>
      <c r="T74" s="320" t="str">
        <f t="shared" si="5"/>
        <v/>
      </c>
      <c r="U74" s="339" t="str">
        <f t="shared" si="6"/>
        <v/>
      </c>
      <c r="V74" s="100"/>
      <c r="W74" s="101"/>
      <c r="X74" s="101"/>
      <c r="AE74" s="105" t="str">
        <f t="shared" ref="AE74:AE137" si="7">IF(D74="","",IF(P74&gt;0,TRUE,FALSE))</f>
        <v/>
      </c>
      <c r="AF74" s="105" t="str">
        <f t="shared" ref="AF74:AF137" si="8">IF(D74="","",IF(Q74&gt;0,TRUE,FALSE))</f>
        <v/>
      </c>
      <c r="AH74" s="105">
        <v>65</v>
      </c>
      <c r="AJ74" s="105" t="str">
        <f t="array" ref="AJ74">IFERROR(INDEX($AH$10:$AH$258, MATCH(0, IF(TRUE=$AE$10:$AE$258, COUNTIF($AJ$9:$AJ73, $AH$10:$AH$258), ""), 0)),"")</f>
        <v/>
      </c>
      <c r="AK74" s="105" t="str">
        <f t="array" ref="AK74">IFERROR(INDEX($AH$10:$AH$258, MATCH(0, IF(TRUE=$AF$10:$AF$258, COUNTIF($AK$9:$AK73, $AH$10:$AH$258), ""), 0)),"")</f>
        <v/>
      </c>
      <c r="AL74" s="15" t="str">
        <f>IFERROR(INDEX('G-6 Hedgerow Data'!$BJ$3:$BJ$15,MATCH(D74,'G-6 Hedgerow Data'!$B$3:$B$15,0)),"")</f>
        <v/>
      </c>
    </row>
    <row r="75" spans="2:38" x14ac:dyDescent="0.3">
      <c r="B75" s="92">
        <v>66</v>
      </c>
      <c r="C75" s="141"/>
      <c r="D75" s="141"/>
      <c r="E75" s="102"/>
      <c r="F75" s="335" t="str">
        <f>IF(D75="","",VLOOKUP(D75,'G-6 Hedgerow Data'!$B$2:$AG$15,2,FALSE))</f>
        <v/>
      </c>
      <c r="G75" s="291" t="str">
        <f>IF(D75="","",VLOOKUP(D75,'G-6 Hedgerow Data'!$B$2:$AG$15,3,FALSE))</f>
        <v/>
      </c>
      <c r="H75" s="95"/>
      <c r="I75" s="291" t="str">
        <f>IFERROR(IF(AND(D75&lt;&gt;"",H75=""),"Check data ⚠", IF(H75="","",IF(AND(D75="Non-native and ornamental hedgerow", H75&lt;&gt;"Poor"),"Not possible ▲", (VLOOKUP(H75,'G-1 All Habitats'!$Z$2:$AA$9,2,FALSE))))),"")</f>
        <v/>
      </c>
      <c r="J75" s="95"/>
      <c r="K75" s="298" t="str">
        <f>IF(AND(D75&lt;&gt;"",J75=""),"Check data ⚠", IF(J75="","",IF(VLOOKUP(J75,'G-3 Multipliers'!$L$3:$N$6,2,FALSE)=0,"Spatial Data Missing",VLOOKUP(J75,'G-3 Multipliers'!$L$3:$N$6,2,FALSE))))</f>
        <v/>
      </c>
      <c r="L75" s="296" t="str">
        <f>IF(J75="","",IF(VLOOKUP(J75,'G-3 Multipliers'!$L$3:$N$6,3,FALSE)=0,"Spatial Data Missing ⚠",VLOOKUP(J75,'G-3 Multipliers'!$L$3:$N$6,3,FALSE)))</f>
        <v/>
      </c>
      <c r="M75" s="297" t="str">
        <f>IF(D75="","",VLOOKUP(D75,'G-6 Hedgerow Data'!$B$1:$AH$15,33,FALSE))</f>
        <v/>
      </c>
      <c r="N75" s="304" t="str">
        <f t="shared" ref="N75:N138" si="9">IFERROR(IF(OR(K75="Check data ⚠",I75="Check data ⚠"), "Check data ▲", (E75*G75*I75*L75)),"")</f>
        <v/>
      </c>
      <c r="O75" s="17"/>
      <c r="P75" s="103"/>
      <c r="Q75" s="141"/>
      <c r="R75" s="320" t="str">
        <f t="shared" ref="R75:R138" si="10">IFERROR(P75*G75*I75*L75,"")</f>
        <v/>
      </c>
      <c r="S75" s="320" t="str">
        <f t="shared" ref="S75:S138" si="11">IFERROR(Q75*G75*I75*L75,"")</f>
        <v/>
      </c>
      <c r="T75" s="320" t="str">
        <f t="shared" ref="T75:T138" si="12">IF(D75="","",IF(E75-P75-Q75=0&lt;0,"Error in lengths ▲",IF(P75+Q75&gt;E75,"Error in Lengths ▲",E75-P75-Q75)))</f>
        <v/>
      </c>
      <c r="U75" s="339" t="str">
        <f t="shared" ref="U75:U138" si="13">IFERROR(IF(OR(E75="",N75=""),"",IF(E75-P75-Q75=0&lt;0,"Error in Lengths ▲",IF(P75+Q75&gt;E75,"Error in Lengths ▲",N75-R75-S75))),"Check data ⚠")</f>
        <v/>
      </c>
      <c r="V75" s="100"/>
      <c r="W75" s="101"/>
      <c r="X75" s="101"/>
      <c r="AE75" s="105" t="str">
        <f t="shared" si="7"/>
        <v/>
      </c>
      <c r="AF75" s="105" t="str">
        <f t="shared" si="8"/>
        <v/>
      </c>
      <c r="AH75" s="105">
        <v>66</v>
      </c>
      <c r="AJ75" s="105" t="str">
        <f t="array" ref="AJ75">IFERROR(INDEX($AH$10:$AH$258, MATCH(0, IF(TRUE=$AE$10:$AE$258, COUNTIF($AJ$9:$AJ74, $AH$10:$AH$258), ""), 0)),"")</f>
        <v/>
      </c>
      <c r="AK75" s="105" t="str">
        <f t="array" ref="AK75">IFERROR(INDEX($AH$10:$AH$258, MATCH(0, IF(TRUE=$AF$10:$AF$258, COUNTIF($AK$9:$AK74, $AH$10:$AH$258), ""), 0)),"")</f>
        <v/>
      </c>
      <c r="AL75" s="15" t="str">
        <f>IFERROR(INDEX('G-6 Hedgerow Data'!$BJ$3:$BJ$15,MATCH(D75,'G-6 Hedgerow Data'!$B$3:$B$15,0)),"")</f>
        <v/>
      </c>
    </row>
    <row r="76" spans="2:38" x14ac:dyDescent="0.3">
      <c r="B76" s="92">
        <v>67</v>
      </c>
      <c r="C76" s="141"/>
      <c r="D76" s="141"/>
      <c r="E76" s="102"/>
      <c r="F76" s="335" t="str">
        <f>IF(D76="","",VLOOKUP(D76,'G-6 Hedgerow Data'!$B$2:$AG$15,2,FALSE))</f>
        <v/>
      </c>
      <c r="G76" s="291" t="str">
        <f>IF(D76="","",VLOOKUP(D76,'G-6 Hedgerow Data'!$B$2:$AG$15,3,FALSE))</f>
        <v/>
      </c>
      <c r="H76" s="95"/>
      <c r="I76" s="291" t="str">
        <f>IFERROR(IF(AND(D76&lt;&gt;"",H76=""),"Check data ⚠", IF(H76="","",IF(AND(D76="Non-native and ornamental hedgerow", H76&lt;&gt;"Poor"),"Not possible ▲", (VLOOKUP(H76,'G-1 All Habitats'!$Z$2:$AA$9,2,FALSE))))),"")</f>
        <v/>
      </c>
      <c r="J76" s="95"/>
      <c r="K76" s="298" t="str">
        <f>IF(AND(D76&lt;&gt;"",J76=""),"Check data ⚠", IF(J76="","",IF(VLOOKUP(J76,'G-3 Multipliers'!$L$3:$N$6,2,FALSE)=0,"Spatial Data Missing",VLOOKUP(J76,'G-3 Multipliers'!$L$3:$N$6,2,FALSE))))</f>
        <v/>
      </c>
      <c r="L76" s="296" t="str">
        <f>IF(J76="","",IF(VLOOKUP(J76,'G-3 Multipliers'!$L$3:$N$6,3,FALSE)=0,"Spatial Data Missing ⚠",VLOOKUP(J76,'G-3 Multipliers'!$L$3:$N$6,3,FALSE)))</f>
        <v/>
      </c>
      <c r="M76" s="297" t="str">
        <f>IF(D76="","",VLOOKUP(D76,'G-6 Hedgerow Data'!$B$1:$AH$15,33,FALSE))</f>
        <v/>
      </c>
      <c r="N76" s="304" t="str">
        <f t="shared" si="9"/>
        <v/>
      </c>
      <c r="O76" s="17"/>
      <c r="P76" s="103"/>
      <c r="Q76" s="141"/>
      <c r="R76" s="320" t="str">
        <f t="shared" si="10"/>
        <v/>
      </c>
      <c r="S76" s="320" t="str">
        <f t="shared" si="11"/>
        <v/>
      </c>
      <c r="T76" s="320" t="str">
        <f t="shared" si="12"/>
        <v/>
      </c>
      <c r="U76" s="339" t="str">
        <f t="shared" si="13"/>
        <v/>
      </c>
      <c r="V76" s="100"/>
      <c r="W76" s="101"/>
      <c r="X76" s="101"/>
      <c r="AE76" s="105" t="str">
        <f t="shared" si="7"/>
        <v/>
      </c>
      <c r="AF76" s="105" t="str">
        <f t="shared" si="8"/>
        <v/>
      </c>
      <c r="AH76" s="105">
        <v>67</v>
      </c>
      <c r="AJ76" s="105" t="str">
        <f t="array" ref="AJ76">IFERROR(INDEX($AH$10:$AH$258, MATCH(0, IF(TRUE=$AE$10:$AE$258, COUNTIF($AJ$9:$AJ75, $AH$10:$AH$258), ""), 0)),"")</f>
        <v/>
      </c>
      <c r="AK76" s="105" t="str">
        <f t="array" ref="AK76">IFERROR(INDEX($AH$10:$AH$258, MATCH(0, IF(TRUE=$AF$10:$AF$258, COUNTIF($AK$9:$AK75, $AH$10:$AH$258), ""), 0)),"")</f>
        <v/>
      </c>
      <c r="AL76" s="15" t="str">
        <f>IFERROR(INDEX('G-6 Hedgerow Data'!$BJ$3:$BJ$15,MATCH(D76,'G-6 Hedgerow Data'!$B$3:$B$15,0)),"")</f>
        <v/>
      </c>
    </row>
    <row r="77" spans="2:38" x14ac:dyDescent="0.3">
      <c r="B77" s="92">
        <v>68</v>
      </c>
      <c r="C77" s="141"/>
      <c r="D77" s="141"/>
      <c r="E77" s="102"/>
      <c r="F77" s="335" t="str">
        <f>IF(D77="","",VLOOKUP(D77,'G-6 Hedgerow Data'!$B$2:$AG$15,2,FALSE))</f>
        <v/>
      </c>
      <c r="G77" s="291" t="str">
        <f>IF(D77="","",VLOOKUP(D77,'G-6 Hedgerow Data'!$B$2:$AG$15,3,FALSE))</f>
        <v/>
      </c>
      <c r="H77" s="95"/>
      <c r="I77" s="291" t="str">
        <f>IFERROR(IF(AND(D77&lt;&gt;"",H77=""),"Check data ⚠", IF(H77="","",IF(AND(D77="Non-native and ornamental hedgerow", H77&lt;&gt;"Poor"),"Not possible ▲", (VLOOKUP(H77,'G-1 All Habitats'!$Z$2:$AA$9,2,FALSE))))),"")</f>
        <v/>
      </c>
      <c r="J77" s="95"/>
      <c r="K77" s="298" t="str">
        <f>IF(AND(D77&lt;&gt;"",J77=""),"Check data ⚠", IF(J77="","",IF(VLOOKUP(J77,'G-3 Multipliers'!$L$3:$N$6,2,FALSE)=0,"Spatial Data Missing",VLOOKUP(J77,'G-3 Multipliers'!$L$3:$N$6,2,FALSE))))</f>
        <v/>
      </c>
      <c r="L77" s="296" t="str">
        <f>IF(J77="","",IF(VLOOKUP(J77,'G-3 Multipliers'!$L$3:$N$6,3,FALSE)=0,"Spatial Data Missing ⚠",VLOOKUP(J77,'G-3 Multipliers'!$L$3:$N$6,3,FALSE)))</f>
        <v/>
      </c>
      <c r="M77" s="297" t="str">
        <f>IF(D77="","",VLOOKUP(D77,'G-6 Hedgerow Data'!$B$1:$AH$15,33,FALSE))</f>
        <v/>
      </c>
      <c r="N77" s="304" t="str">
        <f t="shared" si="9"/>
        <v/>
      </c>
      <c r="O77" s="17"/>
      <c r="P77" s="103"/>
      <c r="Q77" s="141"/>
      <c r="R77" s="320" t="str">
        <f t="shared" si="10"/>
        <v/>
      </c>
      <c r="S77" s="320" t="str">
        <f t="shared" si="11"/>
        <v/>
      </c>
      <c r="T77" s="320" t="str">
        <f t="shared" si="12"/>
        <v/>
      </c>
      <c r="U77" s="339" t="str">
        <f t="shared" si="13"/>
        <v/>
      </c>
      <c r="V77" s="100"/>
      <c r="W77" s="101"/>
      <c r="X77" s="101"/>
      <c r="AE77" s="105" t="str">
        <f t="shared" si="7"/>
        <v/>
      </c>
      <c r="AF77" s="105" t="str">
        <f t="shared" si="8"/>
        <v/>
      </c>
      <c r="AH77" s="105">
        <v>68</v>
      </c>
      <c r="AJ77" s="105" t="str">
        <f t="array" ref="AJ77">IFERROR(INDEX($AH$10:$AH$258, MATCH(0, IF(TRUE=$AE$10:$AE$258, COUNTIF($AJ$9:$AJ76, $AH$10:$AH$258), ""), 0)),"")</f>
        <v/>
      </c>
      <c r="AK77" s="105" t="str">
        <f t="array" ref="AK77">IFERROR(INDEX($AH$10:$AH$258, MATCH(0, IF(TRUE=$AF$10:$AF$258, COUNTIF($AK$9:$AK76, $AH$10:$AH$258), ""), 0)),"")</f>
        <v/>
      </c>
      <c r="AL77" s="15" t="str">
        <f>IFERROR(INDEX('G-6 Hedgerow Data'!$BJ$3:$BJ$15,MATCH(D77,'G-6 Hedgerow Data'!$B$3:$B$15,0)),"")</f>
        <v/>
      </c>
    </row>
    <row r="78" spans="2:38" x14ac:dyDescent="0.3">
      <c r="B78" s="92">
        <v>69</v>
      </c>
      <c r="C78" s="141"/>
      <c r="D78" s="141"/>
      <c r="E78" s="102"/>
      <c r="F78" s="335" t="str">
        <f>IF(D78="","",VLOOKUP(D78,'G-6 Hedgerow Data'!$B$2:$AG$15,2,FALSE))</f>
        <v/>
      </c>
      <c r="G78" s="291" t="str">
        <f>IF(D78="","",VLOOKUP(D78,'G-6 Hedgerow Data'!$B$2:$AG$15,3,FALSE))</f>
        <v/>
      </c>
      <c r="H78" s="95"/>
      <c r="I78" s="291" t="str">
        <f>IFERROR(IF(AND(D78&lt;&gt;"",H78=""),"Check data ⚠", IF(H78="","",IF(AND(D78="Non-native and ornamental hedgerow", H78&lt;&gt;"Poor"),"Not possible ▲", (VLOOKUP(H78,'G-1 All Habitats'!$Z$2:$AA$9,2,FALSE))))),"")</f>
        <v/>
      </c>
      <c r="J78" s="95"/>
      <c r="K78" s="298" t="str">
        <f>IF(AND(D78&lt;&gt;"",J78=""),"Check data ⚠", IF(J78="","",IF(VLOOKUP(J78,'G-3 Multipliers'!$L$3:$N$6,2,FALSE)=0,"Spatial Data Missing",VLOOKUP(J78,'G-3 Multipliers'!$L$3:$N$6,2,FALSE))))</f>
        <v/>
      </c>
      <c r="L78" s="296" t="str">
        <f>IF(J78="","",IF(VLOOKUP(J78,'G-3 Multipliers'!$L$3:$N$6,3,FALSE)=0,"Spatial Data Missing ⚠",VLOOKUP(J78,'G-3 Multipliers'!$L$3:$N$6,3,FALSE)))</f>
        <v/>
      </c>
      <c r="M78" s="297" t="str">
        <f>IF(D78="","",VLOOKUP(D78,'G-6 Hedgerow Data'!$B$1:$AH$15,33,FALSE))</f>
        <v/>
      </c>
      <c r="N78" s="304" t="str">
        <f t="shared" si="9"/>
        <v/>
      </c>
      <c r="O78" s="17"/>
      <c r="P78" s="103"/>
      <c r="Q78" s="141"/>
      <c r="R78" s="320" t="str">
        <f t="shared" si="10"/>
        <v/>
      </c>
      <c r="S78" s="320" t="str">
        <f t="shared" si="11"/>
        <v/>
      </c>
      <c r="T78" s="320" t="str">
        <f t="shared" si="12"/>
        <v/>
      </c>
      <c r="U78" s="339" t="str">
        <f t="shared" si="13"/>
        <v/>
      </c>
      <c r="V78" s="100"/>
      <c r="W78" s="101"/>
      <c r="X78" s="101"/>
      <c r="AE78" s="105" t="str">
        <f t="shared" si="7"/>
        <v/>
      </c>
      <c r="AF78" s="105" t="str">
        <f t="shared" si="8"/>
        <v/>
      </c>
      <c r="AH78" s="105">
        <v>69</v>
      </c>
      <c r="AJ78" s="105" t="str">
        <f t="array" ref="AJ78">IFERROR(INDEX($AH$10:$AH$258, MATCH(0, IF(TRUE=$AE$10:$AE$258, COUNTIF($AJ$9:$AJ77, $AH$10:$AH$258), ""), 0)),"")</f>
        <v/>
      </c>
      <c r="AK78" s="105" t="str">
        <f t="array" ref="AK78">IFERROR(INDEX($AH$10:$AH$258, MATCH(0, IF(TRUE=$AF$10:$AF$258, COUNTIF($AK$9:$AK77, $AH$10:$AH$258), ""), 0)),"")</f>
        <v/>
      </c>
      <c r="AL78" s="15" t="str">
        <f>IFERROR(INDEX('G-6 Hedgerow Data'!$BJ$3:$BJ$15,MATCH(D78,'G-6 Hedgerow Data'!$B$3:$B$15,0)),"")</f>
        <v/>
      </c>
    </row>
    <row r="79" spans="2:38" x14ac:dyDescent="0.3">
      <c r="B79" s="92">
        <v>70</v>
      </c>
      <c r="C79" s="141"/>
      <c r="D79" s="141"/>
      <c r="E79" s="102"/>
      <c r="F79" s="335" t="str">
        <f>IF(D79="","",VLOOKUP(D79,'G-6 Hedgerow Data'!$B$2:$AG$15,2,FALSE))</f>
        <v/>
      </c>
      <c r="G79" s="291" t="str">
        <f>IF(D79="","",VLOOKUP(D79,'G-6 Hedgerow Data'!$B$2:$AG$15,3,FALSE))</f>
        <v/>
      </c>
      <c r="H79" s="95"/>
      <c r="I79" s="291" t="str">
        <f>IFERROR(IF(AND(D79&lt;&gt;"",H79=""),"Check data ⚠", IF(H79="","",IF(AND(D79="Non-native and ornamental hedgerow", H79&lt;&gt;"Poor"),"Not possible ▲", (VLOOKUP(H79,'G-1 All Habitats'!$Z$2:$AA$9,2,FALSE))))),"")</f>
        <v/>
      </c>
      <c r="J79" s="95"/>
      <c r="K79" s="298" t="str">
        <f>IF(AND(D79&lt;&gt;"",J79=""),"Check data ⚠", IF(J79="","",IF(VLOOKUP(J79,'G-3 Multipliers'!$L$3:$N$6,2,FALSE)=0,"Spatial Data Missing",VLOOKUP(J79,'G-3 Multipliers'!$L$3:$N$6,2,FALSE))))</f>
        <v/>
      </c>
      <c r="L79" s="296" t="str">
        <f>IF(J79="","",IF(VLOOKUP(J79,'G-3 Multipliers'!$L$3:$N$6,3,FALSE)=0,"Spatial Data Missing ⚠",VLOOKUP(J79,'G-3 Multipliers'!$L$3:$N$6,3,FALSE)))</f>
        <v/>
      </c>
      <c r="M79" s="297" t="str">
        <f>IF(D79="","",VLOOKUP(D79,'G-6 Hedgerow Data'!$B$1:$AH$15,33,FALSE))</f>
        <v/>
      </c>
      <c r="N79" s="304" t="str">
        <f t="shared" si="9"/>
        <v/>
      </c>
      <c r="O79" s="17"/>
      <c r="P79" s="103"/>
      <c r="Q79" s="141"/>
      <c r="R79" s="320" t="str">
        <f t="shared" si="10"/>
        <v/>
      </c>
      <c r="S79" s="320" t="str">
        <f t="shared" si="11"/>
        <v/>
      </c>
      <c r="T79" s="320" t="str">
        <f t="shared" si="12"/>
        <v/>
      </c>
      <c r="U79" s="339" t="str">
        <f t="shared" si="13"/>
        <v/>
      </c>
      <c r="V79" s="100"/>
      <c r="W79" s="101"/>
      <c r="X79" s="101"/>
      <c r="AE79" s="105" t="str">
        <f t="shared" si="7"/>
        <v/>
      </c>
      <c r="AF79" s="105" t="str">
        <f t="shared" si="8"/>
        <v/>
      </c>
      <c r="AH79" s="105">
        <v>70</v>
      </c>
      <c r="AJ79" s="105" t="str">
        <f t="array" ref="AJ79">IFERROR(INDEX($AH$10:$AH$258, MATCH(0, IF(TRUE=$AE$10:$AE$258, COUNTIF($AJ$9:$AJ78, $AH$10:$AH$258), ""), 0)),"")</f>
        <v/>
      </c>
      <c r="AK79" s="105" t="str">
        <f t="array" ref="AK79">IFERROR(INDEX($AH$10:$AH$258, MATCH(0, IF(TRUE=$AF$10:$AF$258, COUNTIF($AK$9:$AK78, $AH$10:$AH$258), ""), 0)),"")</f>
        <v/>
      </c>
      <c r="AL79" s="15" t="str">
        <f>IFERROR(INDEX('G-6 Hedgerow Data'!$BJ$3:$BJ$15,MATCH(D79,'G-6 Hedgerow Data'!$B$3:$B$15,0)),"")</f>
        <v/>
      </c>
    </row>
    <row r="80" spans="2:38" x14ac:dyDescent="0.3">
      <c r="B80" s="92">
        <v>71</v>
      </c>
      <c r="C80" s="141"/>
      <c r="D80" s="141"/>
      <c r="E80" s="102"/>
      <c r="F80" s="335" t="str">
        <f>IF(D80="","",VLOOKUP(D80,'G-6 Hedgerow Data'!$B$2:$AG$15,2,FALSE))</f>
        <v/>
      </c>
      <c r="G80" s="291" t="str">
        <f>IF(D80="","",VLOOKUP(D80,'G-6 Hedgerow Data'!$B$2:$AG$15,3,FALSE))</f>
        <v/>
      </c>
      <c r="H80" s="95"/>
      <c r="I80" s="291" t="str">
        <f>IFERROR(IF(AND(D80&lt;&gt;"",H80=""),"Check data ⚠", IF(H80="","",IF(AND(D80="Non-native and ornamental hedgerow", H80&lt;&gt;"Poor"),"Not possible ▲", (VLOOKUP(H80,'G-1 All Habitats'!$Z$2:$AA$9,2,FALSE))))),"")</f>
        <v/>
      </c>
      <c r="J80" s="95"/>
      <c r="K80" s="298" t="str">
        <f>IF(AND(D80&lt;&gt;"",J80=""),"Check data ⚠", IF(J80="","",IF(VLOOKUP(J80,'G-3 Multipliers'!$L$3:$N$6,2,FALSE)=0,"Spatial Data Missing",VLOOKUP(J80,'G-3 Multipliers'!$L$3:$N$6,2,FALSE))))</f>
        <v/>
      </c>
      <c r="L80" s="296" t="str">
        <f>IF(J80="","",IF(VLOOKUP(J80,'G-3 Multipliers'!$L$3:$N$6,3,FALSE)=0,"Spatial Data Missing ⚠",VLOOKUP(J80,'G-3 Multipliers'!$L$3:$N$6,3,FALSE)))</f>
        <v/>
      </c>
      <c r="M80" s="297" t="str">
        <f>IF(D80="","",VLOOKUP(D80,'G-6 Hedgerow Data'!$B$1:$AH$15,33,FALSE))</f>
        <v/>
      </c>
      <c r="N80" s="304" t="str">
        <f t="shared" si="9"/>
        <v/>
      </c>
      <c r="O80" s="17"/>
      <c r="P80" s="103"/>
      <c r="Q80" s="141"/>
      <c r="R80" s="320" t="str">
        <f t="shared" si="10"/>
        <v/>
      </c>
      <c r="S80" s="320" t="str">
        <f t="shared" si="11"/>
        <v/>
      </c>
      <c r="T80" s="320" t="str">
        <f t="shared" si="12"/>
        <v/>
      </c>
      <c r="U80" s="339" t="str">
        <f t="shared" si="13"/>
        <v/>
      </c>
      <c r="V80" s="100"/>
      <c r="W80" s="101"/>
      <c r="X80" s="101"/>
      <c r="AE80" s="105" t="str">
        <f t="shared" si="7"/>
        <v/>
      </c>
      <c r="AF80" s="105" t="str">
        <f t="shared" si="8"/>
        <v/>
      </c>
      <c r="AH80" s="105">
        <v>71</v>
      </c>
      <c r="AJ80" s="105" t="str">
        <f t="array" ref="AJ80">IFERROR(INDEX($AH$10:$AH$258, MATCH(0, IF(TRUE=$AE$10:$AE$258, COUNTIF($AJ$9:$AJ79, $AH$10:$AH$258), ""), 0)),"")</f>
        <v/>
      </c>
      <c r="AK80" s="105" t="str">
        <f t="array" ref="AK80">IFERROR(INDEX($AH$10:$AH$258, MATCH(0, IF(TRUE=$AF$10:$AF$258, COUNTIF($AK$9:$AK79, $AH$10:$AH$258), ""), 0)),"")</f>
        <v/>
      </c>
      <c r="AL80" s="15" t="str">
        <f>IFERROR(INDEX('G-6 Hedgerow Data'!$BJ$3:$BJ$15,MATCH(D80,'G-6 Hedgerow Data'!$B$3:$B$15,0)),"")</f>
        <v/>
      </c>
    </row>
    <row r="81" spans="2:38" x14ac:dyDescent="0.3">
      <c r="B81" s="92">
        <v>72</v>
      </c>
      <c r="C81" s="141"/>
      <c r="D81" s="141"/>
      <c r="E81" s="102"/>
      <c r="F81" s="335" t="str">
        <f>IF(D81="","",VLOOKUP(D81,'G-6 Hedgerow Data'!$B$2:$AG$15,2,FALSE))</f>
        <v/>
      </c>
      <c r="G81" s="291" t="str">
        <f>IF(D81="","",VLOOKUP(D81,'G-6 Hedgerow Data'!$B$2:$AG$15,3,FALSE))</f>
        <v/>
      </c>
      <c r="H81" s="95"/>
      <c r="I81" s="291" t="str">
        <f>IFERROR(IF(AND(D81&lt;&gt;"",H81=""),"Check data ⚠", IF(H81="","",IF(AND(D81="Non-native and ornamental hedgerow", H81&lt;&gt;"Poor"),"Not possible ▲", (VLOOKUP(H81,'G-1 All Habitats'!$Z$2:$AA$9,2,FALSE))))),"")</f>
        <v/>
      </c>
      <c r="J81" s="95"/>
      <c r="K81" s="298" t="str">
        <f>IF(AND(D81&lt;&gt;"",J81=""),"Check data ⚠", IF(J81="","",IF(VLOOKUP(J81,'G-3 Multipliers'!$L$3:$N$6,2,FALSE)=0,"Spatial Data Missing",VLOOKUP(J81,'G-3 Multipliers'!$L$3:$N$6,2,FALSE))))</f>
        <v/>
      </c>
      <c r="L81" s="296" t="str">
        <f>IF(J81="","",IF(VLOOKUP(J81,'G-3 Multipliers'!$L$3:$N$6,3,FALSE)=0,"Spatial Data Missing ⚠",VLOOKUP(J81,'G-3 Multipliers'!$L$3:$N$6,3,FALSE)))</f>
        <v/>
      </c>
      <c r="M81" s="297" t="str">
        <f>IF(D81="","",VLOOKUP(D81,'G-6 Hedgerow Data'!$B$1:$AH$15,33,FALSE))</f>
        <v/>
      </c>
      <c r="N81" s="304" t="str">
        <f t="shared" si="9"/>
        <v/>
      </c>
      <c r="O81" s="17"/>
      <c r="P81" s="103"/>
      <c r="Q81" s="141"/>
      <c r="R81" s="320" t="str">
        <f t="shared" si="10"/>
        <v/>
      </c>
      <c r="S81" s="320" t="str">
        <f t="shared" si="11"/>
        <v/>
      </c>
      <c r="T81" s="320" t="str">
        <f t="shared" si="12"/>
        <v/>
      </c>
      <c r="U81" s="339" t="str">
        <f t="shared" si="13"/>
        <v/>
      </c>
      <c r="V81" s="100"/>
      <c r="W81" s="101"/>
      <c r="X81" s="101"/>
      <c r="AE81" s="105" t="str">
        <f t="shared" si="7"/>
        <v/>
      </c>
      <c r="AF81" s="105" t="str">
        <f t="shared" si="8"/>
        <v/>
      </c>
      <c r="AH81" s="105">
        <v>72</v>
      </c>
      <c r="AJ81" s="105" t="str">
        <f t="array" ref="AJ81">IFERROR(INDEX($AH$10:$AH$258, MATCH(0, IF(TRUE=$AE$10:$AE$258, COUNTIF($AJ$9:$AJ80, $AH$10:$AH$258), ""), 0)),"")</f>
        <v/>
      </c>
      <c r="AK81" s="105" t="str">
        <f t="array" ref="AK81">IFERROR(INDEX($AH$10:$AH$258, MATCH(0, IF(TRUE=$AF$10:$AF$258, COUNTIF($AK$9:$AK80, $AH$10:$AH$258), ""), 0)),"")</f>
        <v/>
      </c>
      <c r="AL81" s="15" t="str">
        <f>IFERROR(INDEX('G-6 Hedgerow Data'!$BJ$3:$BJ$15,MATCH(D81,'G-6 Hedgerow Data'!$B$3:$B$15,0)),"")</f>
        <v/>
      </c>
    </row>
    <row r="82" spans="2:38" x14ac:dyDescent="0.3">
      <c r="B82" s="92">
        <v>73</v>
      </c>
      <c r="C82" s="141"/>
      <c r="D82" s="141"/>
      <c r="E82" s="102"/>
      <c r="F82" s="335" t="str">
        <f>IF(D82="","",VLOOKUP(D82,'G-6 Hedgerow Data'!$B$2:$AG$15,2,FALSE))</f>
        <v/>
      </c>
      <c r="G82" s="291" t="str">
        <f>IF(D82="","",VLOOKUP(D82,'G-6 Hedgerow Data'!$B$2:$AG$15,3,FALSE))</f>
        <v/>
      </c>
      <c r="H82" s="95"/>
      <c r="I82" s="291" t="str">
        <f>IFERROR(IF(AND(D82&lt;&gt;"",H82=""),"Check data ⚠", IF(H82="","",IF(AND(D82="Non-native and ornamental hedgerow", H82&lt;&gt;"Poor"),"Not possible ▲", (VLOOKUP(H82,'G-1 All Habitats'!$Z$2:$AA$9,2,FALSE))))),"")</f>
        <v/>
      </c>
      <c r="J82" s="95"/>
      <c r="K82" s="298" t="str">
        <f>IF(AND(D82&lt;&gt;"",J82=""),"Check data ⚠", IF(J82="","",IF(VLOOKUP(J82,'G-3 Multipliers'!$L$3:$N$6,2,FALSE)=0,"Spatial Data Missing",VLOOKUP(J82,'G-3 Multipliers'!$L$3:$N$6,2,FALSE))))</f>
        <v/>
      </c>
      <c r="L82" s="296" t="str">
        <f>IF(J82="","",IF(VLOOKUP(J82,'G-3 Multipliers'!$L$3:$N$6,3,FALSE)=0,"Spatial Data Missing ⚠",VLOOKUP(J82,'G-3 Multipliers'!$L$3:$N$6,3,FALSE)))</f>
        <v/>
      </c>
      <c r="M82" s="297" t="str">
        <f>IF(D82="","",VLOOKUP(D82,'G-6 Hedgerow Data'!$B$1:$AH$15,33,FALSE))</f>
        <v/>
      </c>
      <c r="N82" s="304" t="str">
        <f t="shared" si="9"/>
        <v/>
      </c>
      <c r="O82" s="17"/>
      <c r="P82" s="103"/>
      <c r="Q82" s="141"/>
      <c r="R82" s="320" t="str">
        <f t="shared" si="10"/>
        <v/>
      </c>
      <c r="S82" s="320" t="str">
        <f t="shared" si="11"/>
        <v/>
      </c>
      <c r="T82" s="320" t="str">
        <f t="shared" si="12"/>
        <v/>
      </c>
      <c r="U82" s="339" t="str">
        <f t="shared" si="13"/>
        <v/>
      </c>
      <c r="V82" s="100"/>
      <c r="W82" s="101"/>
      <c r="X82" s="101"/>
      <c r="AE82" s="105" t="str">
        <f t="shared" si="7"/>
        <v/>
      </c>
      <c r="AF82" s="105" t="str">
        <f t="shared" si="8"/>
        <v/>
      </c>
      <c r="AH82" s="105">
        <v>73</v>
      </c>
      <c r="AJ82" s="105" t="str">
        <f t="array" ref="AJ82">IFERROR(INDEX($AH$10:$AH$258, MATCH(0, IF(TRUE=$AE$10:$AE$258, COUNTIF($AJ$9:$AJ81, $AH$10:$AH$258), ""), 0)),"")</f>
        <v/>
      </c>
      <c r="AK82" s="105" t="str">
        <f t="array" ref="AK82">IFERROR(INDEX($AH$10:$AH$258, MATCH(0, IF(TRUE=$AF$10:$AF$258, COUNTIF($AK$9:$AK81, $AH$10:$AH$258), ""), 0)),"")</f>
        <v/>
      </c>
      <c r="AL82" s="15" t="str">
        <f>IFERROR(INDEX('G-6 Hedgerow Data'!$BJ$3:$BJ$15,MATCH(D82,'G-6 Hedgerow Data'!$B$3:$B$15,0)),"")</f>
        <v/>
      </c>
    </row>
    <row r="83" spans="2:38" x14ac:dyDescent="0.3">
      <c r="B83" s="92">
        <v>74</v>
      </c>
      <c r="C83" s="141"/>
      <c r="D83" s="141"/>
      <c r="E83" s="102"/>
      <c r="F83" s="335" t="str">
        <f>IF(D83="","",VLOOKUP(D83,'G-6 Hedgerow Data'!$B$2:$AG$15,2,FALSE))</f>
        <v/>
      </c>
      <c r="G83" s="291" t="str">
        <f>IF(D83="","",VLOOKUP(D83,'G-6 Hedgerow Data'!$B$2:$AG$15,3,FALSE))</f>
        <v/>
      </c>
      <c r="H83" s="95"/>
      <c r="I83" s="291" t="str">
        <f>IFERROR(IF(AND(D83&lt;&gt;"",H83=""),"Check data ⚠", IF(H83="","",IF(AND(D83="Non-native and ornamental hedgerow", H83&lt;&gt;"Poor"),"Not possible ▲", (VLOOKUP(H83,'G-1 All Habitats'!$Z$2:$AA$9,2,FALSE))))),"")</f>
        <v/>
      </c>
      <c r="J83" s="95"/>
      <c r="K83" s="298" t="str">
        <f>IF(AND(D83&lt;&gt;"",J83=""),"Check data ⚠", IF(J83="","",IF(VLOOKUP(J83,'G-3 Multipliers'!$L$3:$N$6,2,FALSE)=0,"Spatial Data Missing",VLOOKUP(J83,'G-3 Multipliers'!$L$3:$N$6,2,FALSE))))</f>
        <v/>
      </c>
      <c r="L83" s="296" t="str">
        <f>IF(J83="","",IF(VLOOKUP(J83,'G-3 Multipliers'!$L$3:$N$6,3,FALSE)=0,"Spatial Data Missing ⚠",VLOOKUP(J83,'G-3 Multipliers'!$L$3:$N$6,3,FALSE)))</f>
        <v/>
      </c>
      <c r="M83" s="297" t="str">
        <f>IF(D83="","",VLOOKUP(D83,'G-6 Hedgerow Data'!$B$1:$AH$15,33,FALSE))</f>
        <v/>
      </c>
      <c r="N83" s="304" t="str">
        <f t="shared" si="9"/>
        <v/>
      </c>
      <c r="O83" s="17"/>
      <c r="P83" s="103"/>
      <c r="Q83" s="141"/>
      <c r="R83" s="320" t="str">
        <f t="shared" si="10"/>
        <v/>
      </c>
      <c r="S83" s="320" t="str">
        <f t="shared" si="11"/>
        <v/>
      </c>
      <c r="T83" s="320" t="str">
        <f t="shared" si="12"/>
        <v/>
      </c>
      <c r="U83" s="339" t="str">
        <f t="shared" si="13"/>
        <v/>
      </c>
      <c r="V83" s="100"/>
      <c r="W83" s="101"/>
      <c r="X83" s="101"/>
      <c r="AE83" s="105" t="str">
        <f t="shared" si="7"/>
        <v/>
      </c>
      <c r="AF83" s="105" t="str">
        <f t="shared" si="8"/>
        <v/>
      </c>
      <c r="AH83" s="105">
        <v>74</v>
      </c>
      <c r="AJ83" s="105" t="str">
        <f t="array" ref="AJ83">IFERROR(INDEX($AH$10:$AH$258, MATCH(0, IF(TRUE=$AE$10:$AE$258, COUNTIF($AJ$9:$AJ82, $AH$10:$AH$258), ""), 0)),"")</f>
        <v/>
      </c>
      <c r="AK83" s="105" t="str">
        <f t="array" ref="AK83">IFERROR(INDEX($AH$10:$AH$258, MATCH(0, IF(TRUE=$AF$10:$AF$258, COUNTIF($AK$9:$AK82, $AH$10:$AH$258), ""), 0)),"")</f>
        <v/>
      </c>
      <c r="AL83" s="15" t="str">
        <f>IFERROR(INDEX('G-6 Hedgerow Data'!$BJ$3:$BJ$15,MATCH(D83,'G-6 Hedgerow Data'!$B$3:$B$15,0)),"")</f>
        <v/>
      </c>
    </row>
    <row r="84" spans="2:38" x14ac:dyDescent="0.3">
      <c r="B84" s="92">
        <v>75</v>
      </c>
      <c r="C84" s="141"/>
      <c r="D84" s="141"/>
      <c r="E84" s="102"/>
      <c r="F84" s="335" t="str">
        <f>IF(D84="","",VLOOKUP(D84,'G-6 Hedgerow Data'!$B$2:$AG$15,2,FALSE))</f>
        <v/>
      </c>
      <c r="G84" s="291" t="str">
        <f>IF(D84="","",VLOOKUP(D84,'G-6 Hedgerow Data'!$B$2:$AG$15,3,FALSE))</f>
        <v/>
      </c>
      <c r="H84" s="95"/>
      <c r="I84" s="291" t="str">
        <f>IFERROR(IF(AND(D84&lt;&gt;"",H84=""),"Check data ⚠", IF(H84="","",IF(AND(D84="Non-native and ornamental hedgerow", H84&lt;&gt;"Poor"),"Not possible ▲", (VLOOKUP(H84,'G-1 All Habitats'!$Z$2:$AA$9,2,FALSE))))),"")</f>
        <v/>
      </c>
      <c r="J84" s="95"/>
      <c r="K84" s="298" t="str">
        <f>IF(AND(D84&lt;&gt;"",J84=""),"Check data ⚠", IF(J84="","",IF(VLOOKUP(J84,'G-3 Multipliers'!$L$3:$N$6,2,FALSE)=0,"Spatial Data Missing",VLOOKUP(J84,'G-3 Multipliers'!$L$3:$N$6,2,FALSE))))</f>
        <v/>
      </c>
      <c r="L84" s="296" t="str">
        <f>IF(J84="","",IF(VLOOKUP(J84,'G-3 Multipliers'!$L$3:$N$6,3,FALSE)=0,"Spatial Data Missing ⚠",VLOOKUP(J84,'G-3 Multipliers'!$L$3:$N$6,3,FALSE)))</f>
        <v/>
      </c>
      <c r="M84" s="297" t="str">
        <f>IF(D84="","",VLOOKUP(D84,'G-6 Hedgerow Data'!$B$1:$AH$15,33,FALSE))</f>
        <v/>
      </c>
      <c r="N84" s="304" t="str">
        <f t="shared" si="9"/>
        <v/>
      </c>
      <c r="O84" s="17"/>
      <c r="P84" s="103"/>
      <c r="Q84" s="141"/>
      <c r="R84" s="320" t="str">
        <f t="shared" si="10"/>
        <v/>
      </c>
      <c r="S84" s="320" t="str">
        <f t="shared" si="11"/>
        <v/>
      </c>
      <c r="T84" s="320" t="str">
        <f t="shared" si="12"/>
        <v/>
      </c>
      <c r="U84" s="339" t="str">
        <f t="shared" si="13"/>
        <v/>
      </c>
      <c r="V84" s="100"/>
      <c r="W84" s="101"/>
      <c r="X84" s="101"/>
      <c r="AE84" s="105" t="str">
        <f t="shared" si="7"/>
        <v/>
      </c>
      <c r="AF84" s="105" t="str">
        <f t="shared" si="8"/>
        <v/>
      </c>
      <c r="AH84" s="105">
        <v>75</v>
      </c>
      <c r="AJ84" s="105" t="str">
        <f t="array" ref="AJ84">IFERROR(INDEX($AH$10:$AH$258, MATCH(0, IF(TRUE=$AE$10:$AE$258, COUNTIF($AJ$9:$AJ83, $AH$10:$AH$258), ""), 0)),"")</f>
        <v/>
      </c>
      <c r="AK84" s="105" t="str">
        <f t="array" ref="AK84">IFERROR(INDEX($AH$10:$AH$258, MATCH(0, IF(TRUE=$AF$10:$AF$258, COUNTIF($AK$9:$AK83, $AH$10:$AH$258), ""), 0)),"")</f>
        <v/>
      </c>
      <c r="AL84" s="15" t="str">
        <f>IFERROR(INDEX('G-6 Hedgerow Data'!$BJ$3:$BJ$15,MATCH(D84,'G-6 Hedgerow Data'!$B$3:$B$15,0)),"")</f>
        <v/>
      </c>
    </row>
    <row r="85" spans="2:38" x14ac:dyDescent="0.3">
      <c r="B85" s="92">
        <v>76</v>
      </c>
      <c r="C85" s="141"/>
      <c r="D85" s="141"/>
      <c r="E85" s="102"/>
      <c r="F85" s="335" t="str">
        <f>IF(D85="","",VLOOKUP(D85,'G-6 Hedgerow Data'!$B$2:$AG$15,2,FALSE))</f>
        <v/>
      </c>
      <c r="G85" s="291" t="str">
        <f>IF(D85="","",VLOOKUP(D85,'G-6 Hedgerow Data'!$B$2:$AG$15,3,FALSE))</f>
        <v/>
      </c>
      <c r="H85" s="95"/>
      <c r="I85" s="291" t="str">
        <f>IFERROR(IF(AND(D85&lt;&gt;"",H85=""),"Check data ⚠", IF(H85="","",IF(AND(D85="Non-native and ornamental hedgerow", H85&lt;&gt;"Poor"),"Not possible ▲", (VLOOKUP(H85,'G-1 All Habitats'!$Z$2:$AA$9,2,FALSE))))),"")</f>
        <v/>
      </c>
      <c r="J85" s="95"/>
      <c r="K85" s="298" t="str">
        <f>IF(AND(D85&lt;&gt;"",J85=""),"Check data ⚠", IF(J85="","",IF(VLOOKUP(J85,'G-3 Multipliers'!$L$3:$N$6,2,FALSE)=0,"Spatial Data Missing",VLOOKUP(J85,'G-3 Multipliers'!$L$3:$N$6,2,FALSE))))</f>
        <v/>
      </c>
      <c r="L85" s="296" t="str">
        <f>IF(J85="","",IF(VLOOKUP(J85,'G-3 Multipliers'!$L$3:$N$6,3,FALSE)=0,"Spatial Data Missing ⚠",VLOOKUP(J85,'G-3 Multipliers'!$L$3:$N$6,3,FALSE)))</f>
        <v/>
      </c>
      <c r="M85" s="297" t="str">
        <f>IF(D85="","",VLOOKUP(D85,'G-6 Hedgerow Data'!$B$1:$AH$15,33,FALSE))</f>
        <v/>
      </c>
      <c r="N85" s="304" t="str">
        <f t="shared" si="9"/>
        <v/>
      </c>
      <c r="O85" s="17"/>
      <c r="P85" s="103"/>
      <c r="Q85" s="141"/>
      <c r="R85" s="320" t="str">
        <f t="shared" si="10"/>
        <v/>
      </c>
      <c r="S85" s="320" t="str">
        <f t="shared" si="11"/>
        <v/>
      </c>
      <c r="T85" s="320" t="str">
        <f t="shared" si="12"/>
        <v/>
      </c>
      <c r="U85" s="339" t="str">
        <f t="shared" si="13"/>
        <v/>
      </c>
      <c r="V85" s="100"/>
      <c r="W85" s="101"/>
      <c r="X85" s="101"/>
      <c r="AE85" s="105" t="str">
        <f t="shared" si="7"/>
        <v/>
      </c>
      <c r="AF85" s="105" t="str">
        <f t="shared" si="8"/>
        <v/>
      </c>
      <c r="AH85" s="105">
        <v>76</v>
      </c>
      <c r="AJ85" s="105" t="str">
        <f t="array" ref="AJ85">IFERROR(INDEX($AH$10:$AH$258, MATCH(0, IF(TRUE=$AE$10:$AE$258, COUNTIF($AJ$9:$AJ84, $AH$10:$AH$258), ""), 0)),"")</f>
        <v/>
      </c>
      <c r="AK85" s="105" t="str">
        <f t="array" ref="AK85">IFERROR(INDEX($AH$10:$AH$258, MATCH(0, IF(TRUE=$AF$10:$AF$258, COUNTIF($AK$9:$AK84, $AH$10:$AH$258), ""), 0)),"")</f>
        <v/>
      </c>
      <c r="AL85" s="15" t="str">
        <f>IFERROR(INDEX('G-6 Hedgerow Data'!$BJ$3:$BJ$15,MATCH(D85,'G-6 Hedgerow Data'!$B$3:$B$15,0)),"")</f>
        <v/>
      </c>
    </row>
    <row r="86" spans="2:38" x14ac:dyDescent="0.3">
      <c r="B86" s="92">
        <v>77</v>
      </c>
      <c r="C86" s="141"/>
      <c r="D86" s="141"/>
      <c r="E86" s="102"/>
      <c r="F86" s="335" t="str">
        <f>IF(D86="","",VLOOKUP(D86,'G-6 Hedgerow Data'!$B$2:$AG$15,2,FALSE))</f>
        <v/>
      </c>
      <c r="G86" s="291" t="str">
        <f>IF(D86="","",VLOOKUP(D86,'G-6 Hedgerow Data'!$B$2:$AG$15,3,FALSE))</f>
        <v/>
      </c>
      <c r="H86" s="95"/>
      <c r="I86" s="291" t="str">
        <f>IFERROR(IF(AND(D86&lt;&gt;"",H86=""),"Check data ⚠", IF(H86="","",IF(AND(D86="Non-native and ornamental hedgerow", H86&lt;&gt;"Poor"),"Not possible ▲", (VLOOKUP(H86,'G-1 All Habitats'!$Z$2:$AA$9,2,FALSE))))),"")</f>
        <v/>
      </c>
      <c r="J86" s="95"/>
      <c r="K86" s="298" t="str">
        <f>IF(AND(D86&lt;&gt;"",J86=""),"Check data ⚠", IF(J86="","",IF(VLOOKUP(J86,'G-3 Multipliers'!$L$3:$N$6,2,FALSE)=0,"Spatial Data Missing",VLOOKUP(J86,'G-3 Multipliers'!$L$3:$N$6,2,FALSE))))</f>
        <v/>
      </c>
      <c r="L86" s="296" t="str">
        <f>IF(J86="","",IF(VLOOKUP(J86,'G-3 Multipliers'!$L$3:$N$6,3,FALSE)=0,"Spatial Data Missing ⚠",VLOOKUP(J86,'G-3 Multipliers'!$L$3:$N$6,3,FALSE)))</f>
        <v/>
      </c>
      <c r="M86" s="297" t="str">
        <f>IF(D86="","",VLOOKUP(D86,'G-6 Hedgerow Data'!$B$1:$AH$15,33,FALSE))</f>
        <v/>
      </c>
      <c r="N86" s="304" t="str">
        <f t="shared" si="9"/>
        <v/>
      </c>
      <c r="O86" s="17"/>
      <c r="P86" s="103"/>
      <c r="Q86" s="141"/>
      <c r="R86" s="320" t="str">
        <f t="shared" si="10"/>
        <v/>
      </c>
      <c r="S86" s="320" t="str">
        <f t="shared" si="11"/>
        <v/>
      </c>
      <c r="T86" s="320" t="str">
        <f t="shared" si="12"/>
        <v/>
      </c>
      <c r="U86" s="339" t="str">
        <f t="shared" si="13"/>
        <v/>
      </c>
      <c r="V86" s="100"/>
      <c r="W86" s="101"/>
      <c r="X86" s="101"/>
      <c r="AE86" s="105" t="str">
        <f t="shared" si="7"/>
        <v/>
      </c>
      <c r="AF86" s="105" t="str">
        <f t="shared" si="8"/>
        <v/>
      </c>
      <c r="AH86" s="105">
        <v>77</v>
      </c>
      <c r="AJ86" s="105" t="str">
        <f t="array" ref="AJ86">IFERROR(INDEX($AH$10:$AH$258, MATCH(0, IF(TRUE=$AE$10:$AE$258, COUNTIF($AJ$9:$AJ85, $AH$10:$AH$258), ""), 0)),"")</f>
        <v/>
      </c>
      <c r="AK86" s="105" t="str">
        <f t="array" ref="AK86">IFERROR(INDEX($AH$10:$AH$258, MATCH(0, IF(TRUE=$AF$10:$AF$258, COUNTIF($AK$9:$AK85, $AH$10:$AH$258), ""), 0)),"")</f>
        <v/>
      </c>
      <c r="AL86" s="15" t="str">
        <f>IFERROR(INDEX('G-6 Hedgerow Data'!$BJ$3:$BJ$15,MATCH(D86,'G-6 Hedgerow Data'!$B$3:$B$15,0)),"")</f>
        <v/>
      </c>
    </row>
    <row r="87" spans="2:38" x14ac:dyDescent="0.3">
      <c r="B87" s="92">
        <v>78</v>
      </c>
      <c r="C87" s="141"/>
      <c r="D87" s="141"/>
      <c r="E87" s="102"/>
      <c r="F87" s="335" t="str">
        <f>IF(D87="","",VLOOKUP(D87,'G-6 Hedgerow Data'!$B$2:$AG$15,2,FALSE))</f>
        <v/>
      </c>
      <c r="G87" s="291" t="str">
        <f>IF(D87="","",VLOOKUP(D87,'G-6 Hedgerow Data'!$B$2:$AG$15,3,FALSE))</f>
        <v/>
      </c>
      <c r="H87" s="95"/>
      <c r="I87" s="291" t="str">
        <f>IFERROR(IF(AND(D87&lt;&gt;"",H87=""),"Check data ⚠", IF(H87="","",IF(AND(D87="Non-native and ornamental hedgerow", H87&lt;&gt;"Poor"),"Not possible ▲", (VLOOKUP(H87,'G-1 All Habitats'!$Z$2:$AA$9,2,FALSE))))),"")</f>
        <v/>
      </c>
      <c r="J87" s="95"/>
      <c r="K87" s="298" t="str">
        <f>IF(AND(D87&lt;&gt;"",J87=""),"Check data ⚠", IF(J87="","",IF(VLOOKUP(J87,'G-3 Multipliers'!$L$3:$N$6,2,FALSE)=0,"Spatial Data Missing",VLOOKUP(J87,'G-3 Multipliers'!$L$3:$N$6,2,FALSE))))</f>
        <v/>
      </c>
      <c r="L87" s="296" t="str">
        <f>IF(J87="","",IF(VLOOKUP(J87,'G-3 Multipliers'!$L$3:$N$6,3,FALSE)=0,"Spatial Data Missing ⚠",VLOOKUP(J87,'G-3 Multipliers'!$L$3:$N$6,3,FALSE)))</f>
        <v/>
      </c>
      <c r="M87" s="297" t="str">
        <f>IF(D87="","",VLOOKUP(D87,'G-6 Hedgerow Data'!$B$1:$AH$15,33,FALSE))</f>
        <v/>
      </c>
      <c r="N87" s="304" t="str">
        <f t="shared" si="9"/>
        <v/>
      </c>
      <c r="O87" s="17"/>
      <c r="P87" s="103"/>
      <c r="Q87" s="141"/>
      <c r="R87" s="320" t="str">
        <f t="shared" si="10"/>
        <v/>
      </c>
      <c r="S87" s="320" t="str">
        <f t="shared" si="11"/>
        <v/>
      </c>
      <c r="T87" s="320" t="str">
        <f t="shared" si="12"/>
        <v/>
      </c>
      <c r="U87" s="339" t="str">
        <f t="shared" si="13"/>
        <v/>
      </c>
      <c r="V87" s="100"/>
      <c r="W87" s="101"/>
      <c r="X87" s="101"/>
      <c r="AE87" s="105" t="str">
        <f t="shared" si="7"/>
        <v/>
      </c>
      <c r="AF87" s="105" t="str">
        <f t="shared" si="8"/>
        <v/>
      </c>
      <c r="AH87" s="105">
        <v>78</v>
      </c>
      <c r="AJ87" s="105" t="str">
        <f t="array" ref="AJ87">IFERROR(INDEX($AH$10:$AH$258, MATCH(0, IF(TRUE=$AE$10:$AE$258, COUNTIF($AJ$9:$AJ86, $AH$10:$AH$258), ""), 0)),"")</f>
        <v/>
      </c>
      <c r="AK87" s="105" t="str">
        <f t="array" ref="AK87">IFERROR(INDEX($AH$10:$AH$258, MATCH(0, IF(TRUE=$AF$10:$AF$258, COUNTIF($AK$9:$AK86, $AH$10:$AH$258), ""), 0)),"")</f>
        <v/>
      </c>
      <c r="AL87" s="15" t="str">
        <f>IFERROR(INDEX('G-6 Hedgerow Data'!$BJ$3:$BJ$15,MATCH(D87,'G-6 Hedgerow Data'!$B$3:$B$15,0)),"")</f>
        <v/>
      </c>
    </row>
    <row r="88" spans="2:38" x14ac:dyDescent="0.3">
      <c r="B88" s="92">
        <v>79</v>
      </c>
      <c r="C88" s="141"/>
      <c r="D88" s="141"/>
      <c r="E88" s="102"/>
      <c r="F88" s="335" t="str">
        <f>IF(D88="","",VLOOKUP(D88,'G-6 Hedgerow Data'!$B$2:$AG$15,2,FALSE))</f>
        <v/>
      </c>
      <c r="G88" s="291" t="str">
        <f>IF(D88="","",VLOOKUP(D88,'G-6 Hedgerow Data'!$B$2:$AG$15,3,FALSE))</f>
        <v/>
      </c>
      <c r="H88" s="95"/>
      <c r="I88" s="291" t="str">
        <f>IFERROR(IF(AND(D88&lt;&gt;"",H88=""),"Check data ⚠", IF(H88="","",IF(AND(D88="Non-native and ornamental hedgerow", H88&lt;&gt;"Poor"),"Not possible ▲", (VLOOKUP(H88,'G-1 All Habitats'!$Z$2:$AA$9,2,FALSE))))),"")</f>
        <v/>
      </c>
      <c r="J88" s="95"/>
      <c r="K88" s="298" t="str">
        <f>IF(AND(D88&lt;&gt;"",J88=""),"Check data ⚠", IF(J88="","",IF(VLOOKUP(J88,'G-3 Multipliers'!$L$3:$N$6,2,FALSE)=0,"Spatial Data Missing",VLOOKUP(J88,'G-3 Multipliers'!$L$3:$N$6,2,FALSE))))</f>
        <v/>
      </c>
      <c r="L88" s="296" t="str">
        <f>IF(J88="","",IF(VLOOKUP(J88,'G-3 Multipliers'!$L$3:$N$6,3,FALSE)=0,"Spatial Data Missing ⚠",VLOOKUP(J88,'G-3 Multipliers'!$L$3:$N$6,3,FALSE)))</f>
        <v/>
      </c>
      <c r="M88" s="297" t="str">
        <f>IF(D88="","",VLOOKUP(D88,'G-6 Hedgerow Data'!$B$1:$AH$15,33,FALSE))</f>
        <v/>
      </c>
      <c r="N88" s="304" t="str">
        <f t="shared" si="9"/>
        <v/>
      </c>
      <c r="O88" s="17"/>
      <c r="P88" s="103"/>
      <c r="Q88" s="141"/>
      <c r="R88" s="320" t="str">
        <f t="shared" si="10"/>
        <v/>
      </c>
      <c r="S88" s="320" t="str">
        <f t="shared" si="11"/>
        <v/>
      </c>
      <c r="T88" s="320" t="str">
        <f t="shared" si="12"/>
        <v/>
      </c>
      <c r="U88" s="339" t="str">
        <f t="shared" si="13"/>
        <v/>
      </c>
      <c r="V88" s="100"/>
      <c r="W88" s="101"/>
      <c r="X88" s="101"/>
      <c r="AE88" s="105" t="str">
        <f t="shared" si="7"/>
        <v/>
      </c>
      <c r="AF88" s="105" t="str">
        <f t="shared" si="8"/>
        <v/>
      </c>
      <c r="AH88" s="105">
        <v>79</v>
      </c>
      <c r="AJ88" s="105" t="str">
        <f t="array" ref="AJ88">IFERROR(INDEX($AH$10:$AH$258, MATCH(0, IF(TRUE=$AE$10:$AE$258, COUNTIF($AJ$9:$AJ87, $AH$10:$AH$258), ""), 0)),"")</f>
        <v/>
      </c>
      <c r="AK88" s="105" t="str">
        <f t="array" ref="AK88">IFERROR(INDEX($AH$10:$AH$258, MATCH(0, IF(TRUE=$AF$10:$AF$258, COUNTIF($AK$9:$AK87, $AH$10:$AH$258), ""), 0)),"")</f>
        <v/>
      </c>
      <c r="AL88" s="15" t="str">
        <f>IFERROR(INDEX('G-6 Hedgerow Data'!$BJ$3:$BJ$15,MATCH(D88,'G-6 Hedgerow Data'!$B$3:$B$15,0)),"")</f>
        <v/>
      </c>
    </row>
    <row r="89" spans="2:38" x14ac:dyDescent="0.3">
      <c r="B89" s="92">
        <v>80</v>
      </c>
      <c r="C89" s="141"/>
      <c r="D89" s="141"/>
      <c r="E89" s="102"/>
      <c r="F89" s="335" t="str">
        <f>IF(D89="","",VLOOKUP(D89,'G-6 Hedgerow Data'!$B$2:$AG$15,2,FALSE))</f>
        <v/>
      </c>
      <c r="G89" s="291" t="str">
        <f>IF(D89="","",VLOOKUP(D89,'G-6 Hedgerow Data'!$B$2:$AG$15,3,FALSE))</f>
        <v/>
      </c>
      <c r="H89" s="95"/>
      <c r="I89" s="291" t="str">
        <f>IFERROR(IF(AND(D89&lt;&gt;"",H89=""),"Check data ⚠", IF(H89="","",IF(AND(D89="Non-native and ornamental hedgerow", H89&lt;&gt;"Poor"),"Not possible ▲", (VLOOKUP(H89,'G-1 All Habitats'!$Z$2:$AA$9,2,FALSE))))),"")</f>
        <v/>
      </c>
      <c r="J89" s="95"/>
      <c r="K89" s="298" t="str">
        <f>IF(AND(D89&lt;&gt;"",J89=""),"Check data ⚠", IF(J89="","",IF(VLOOKUP(J89,'G-3 Multipliers'!$L$3:$N$6,2,FALSE)=0,"Spatial Data Missing",VLOOKUP(J89,'G-3 Multipliers'!$L$3:$N$6,2,FALSE))))</f>
        <v/>
      </c>
      <c r="L89" s="296" t="str">
        <f>IF(J89="","",IF(VLOOKUP(J89,'G-3 Multipliers'!$L$3:$N$6,3,FALSE)=0,"Spatial Data Missing ⚠",VLOOKUP(J89,'G-3 Multipliers'!$L$3:$N$6,3,FALSE)))</f>
        <v/>
      </c>
      <c r="M89" s="297" t="str">
        <f>IF(D89="","",VLOOKUP(D89,'G-6 Hedgerow Data'!$B$1:$AH$15,33,FALSE))</f>
        <v/>
      </c>
      <c r="N89" s="304" t="str">
        <f t="shared" si="9"/>
        <v/>
      </c>
      <c r="O89" s="17"/>
      <c r="P89" s="103"/>
      <c r="Q89" s="141"/>
      <c r="R89" s="320" t="str">
        <f t="shared" si="10"/>
        <v/>
      </c>
      <c r="S89" s="320" t="str">
        <f t="shared" si="11"/>
        <v/>
      </c>
      <c r="T89" s="320" t="str">
        <f t="shared" si="12"/>
        <v/>
      </c>
      <c r="U89" s="339" t="str">
        <f t="shared" si="13"/>
        <v/>
      </c>
      <c r="V89" s="100"/>
      <c r="W89" s="101"/>
      <c r="X89" s="101"/>
      <c r="AE89" s="105" t="str">
        <f t="shared" si="7"/>
        <v/>
      </c>
      <c r="AF89" s="105" t="str">
        <f t="shared" si="8"/>
        <v/>
      </c>
      <c r="AH89" s="105">
        <v>80</v>
      </c>
      <c r="AJ89" s="105" t="str">
        <f t="array" ref="AJ89">IFERROR(INDEX($AH$10:$AH$258, MATCH(0, IF(TRUE=$AE$10:$AE$258, COUNTIF($AJ$9:$AJ88, $AH$10:$AH$258), ""), 0)),"")</f>
        <v/>
      </c>
      <c r="AK89" s="105" t="str">
        <f t="array" ref="AK89">IFERROR(INDEX($AH$10:$AH$258, MATCH(0, IF(TRUE=$AF$10:$AF$258, COUNTIF($AK$9:$AK88, $AH$10:$AH$258), ""), 0)),"")</f>
        <v/>
      </c>
      <c r="AL89" s="15" t="str">
        <f>IFERROR(INDEX('G-6 Hedgerow Data'!$BJ$3:$BJ$15,MATCH(D89,'G-6 Hedgerow Data'!$B$3:$B$15,0)),"")</f>
        <v/>
      </c>
    </row>
    <row r="90" spans="2:38" x14ac:dyDescent="0.3">
      <c r="B90" s="92">
        <v>81</v>
      </c>
      <c r="C90" s="141"/>
      <c r="D90" s="141"/>
      <c r="E90" s="102"/>
      <c r="F90" s="335" t="str">
        <f>IF(D90="","",VLOOKUP(D90,'G-6 Hedgerow Data'!$B$2:$AG$15,2,FALSE))</f>
        <v/>
      </c>
      <c r="G90" s="291" t="str">
        <f>IF(D90="","",VLOOKUP(D90,'G-6 Hedgerow Data'!$B$2:$AG$15,3,FALSE))</f>
        <v/>
      </c>
      <c r="H90" s="95"/>
      <c r="I90" s="291" t="str">
        <f>IFERROR(IF(AND(D90&lt;&gt;"",H90=""),"Check data ⚠", IF(H90="","",IF(AND(D90="Non-native and ornamental hedgerow", H90&lt;&gt;"Poor"),"Not possible ▲", (VLOOKUP(H90,'G-1 All Habitats'!$Z$2:$AA$9,2,FALSE))))),"")</f>
        <v/>
      </c>
      <c r="J90" s="95"/>
      <c r="K90" s="298" t="str">
        <f>IF(AND(D90&lt;&gt;"",J90=""),"Check data ⚠", IF(J90="","",IF(VLOOKUP(J90,'G-3 Multipliers'!$L$3:$N$6,2,FALSE)=0,"Spatial Data Missing",VLOOKUP(J90,'G-3 Multipliers'!$L$3:$N$6,2,FALSE))))</f>
        <v/>
      </c>
      <c r="L90" s="296" t="str">
        <f>IF(J90="","",IF(VLOOKUP(J90,'G-3 Multipliers'!$L$3:$N$6,3,FALSE)=0,"Spatial Data Missing ⚠",VLOOKUP(J90,'G-3 Multipliers'!$L$3:$N$6,3,FALSE)))</f>
        <v/>
      </c>
      <c r="M90" s="297" t="str">
        <f>IF(D90="","",VLOOKUP(D90,'G-6 Hedgerow Data'!$B$1:$AH$15,33,FALSE))</f>
        <v/>
      </c>
      <c r="N90" s="304" t="str">
        <f t="shared" si="9"/>
        <v/>
      </c>
      <c r="O90" s="17"/>
      <c r="P90" s="103"/>
      <c r="Q90" s="141"/>
      <c r="R90" s="320" t="str">
        <f t="shared" si="10"/>
        <v/>
      </c>
      <c r="S90" s="320" t="str">
        <f t="shared" si="11"/>
        <v/>
      </c>
      <c r="T90" s="320" t="str">
        <f t="shared" si="12"/>
        <v/>
      </c>
      <c r="U90" s="339" t="str">
        <f t="shared" si="13"/>
        <v/>
      </c>
      <c r="V90" s="100"/>
      <c r="W90" s="101"/>
      <c r="X90" s="101"/>
      <c r="AE90" s="105" t="str">
        <f t="shared" si="7"/>
        <v/>
      </c>
      <c r="AF90" s="105" t="str">
        <f t="shared" si="8"/>
        <v/>
      </c>
      <c r="AH90" s="105">
        <v>81</v>
      </c>
      <c r="AJ90" s="105" t="str">
        <f t="array" ref="AJ90">IFERROR(INDEX($AH$10:$AH$258, MATCH(0, IF(TRUE=$AE$10:$AE$258, COUNTIF($AJ$9:$AJ89, $AH$10:$AH$258), ""), 0)),"")</f>
        <v/>
      </c>
      <c r="AK90" s="105" t="str">
        <f t="array" ref="AK90">IFERROR(INDEX($AH$10:$AH$258, MATCH(0, IF(TRUE=$AF$10:$AF$258, COUNTIF($AK$9:$AK89, $AH$10:$AH$258), ""), 0)),"")</f>
        <v/>
      </c>
      <c r="AL90" s="15" t="str">
        <f>IFERROR(INDEX('G-6 Hedgerow Data'!$BJ$3:$BJ$15,MATCH(D90,'G-6 Hedgerow Data'!$B$3:$B$15,0)),"")</f>
        <v/>
      </c>
    </row>
    <row r="91" spans="2:38" x14ac:dyDescent="0.3">
      <c r="B91" s="92">
        <v>82</v>
      </c>
      <c r="C91" s="141"/>
      <c r="D91" s="141"/>
      <c r="E91" s="102"/>
      <c r="F91" s="335" t="str">
        <f>IF(D91="","",VLOOKUP(D91,'G-6 Hedgerow Data'!$B$2:$AG$15,2,FALSE))</f>
        <v/>
      </c>
      <c r="G91" s="291" t="str">
        <f>IF(D91="","",VLOOKUP(D91,'G-6 Hedgerow Data'!$B$2:$AG$15,3,FALSE))</f>
        <v/>
      </c>
      <c r="H91" s="95"/>
      <c r="I91" s="291" t="str">
        <f>IFERROR(IF(AND(D91&lt;&gt;"",H91=""),"Check data ⚠", IF(H91="","",IF(AND(D91="Non-native and ornamental hedgerow", H91&lt;&gt;"Poor"),"Not possible ▲", (VLOOKUP(H91,'G-1 All Habitats'!$Z$2:$AA$9,2,FALSE))))),"")</f>
        <v/>
      </c>
      <c r="J91" s="95"/>
      <c r="K91" s="298" t="str">
        <f>IF(AND(D91&lt;&gt;"",J91=""),"Check data ⚠", IF(J91="","",IF(VLOOKUP(J91,'G-3 Multipliers'!$L$3:$N$6,2,FALSE)=0,"Spatial Data Missing",VLOOKUP(J91,'G-3 Multipliers'!$L$3:$N$6,2,FALSE))))</f>
        <v/>
      </c>
      <c r="L91" s="296" t="str">
        <f>IF(J91="","",IF(VLOOKUP(J91,'G-3 Multipliers'!$L$3:$N$6,3,FALSE)=0,"Spatial Data Missing ⚠",VLOOKUP(J91,'G-3 Multipliers'!$L$3:$N$6,3,FALSE)))</f>
        <v/>
      </c>
      <c r="M91" s="297" t="str">
        <f>IF(D91="","",VLOOKUP(D91,'G-6 Hedgerow Data'!$B$1:$AH$15,33,FALSE))</f>
        <v/>
      </c>
      <c r="N91" s="304" t="str">
        <f t="shared" si="9"/>
        <v/>
      </c>
      <c r="O91" s="17"/>
      <c r="P91" s="103"/>
      <c r="Q91" s="141"/>
      <c r="R91" s="320" t="str">
        <f t="shared" si="10"/>
        <v/>
      </c>
      <c r="S91" s="320" t="str">
        <f t="shared" si="11"/>
        <v/>
      </c>
      <c r="T91" s="320" t="str">
        <f t="shared" si="12"/>
        <v/>
      </c>
      <c r="U91" s="339" t="str">
        <f t="shared" si="13"/>
        <v/>
      </c>
      <c r="V91" s="100"/>
      <c r="W91" s="101"/>
      <c r="X91" s="101"/>
      <c r="AE91" s="105" t="str">
        <f t="shared" si="7"/>
        <v/>
      </c>
      <c r="AF91" s="105" t="str">
        <f t="shared" si="8"/>
        <v/>
      </c>
      <c r="AH91" s="105">
        <v>82</v>
      </c>
      <c r="AJ91" s="105" t="str">
        <f t="array" ref="AJ91">IFERROR(INDEX($AH$10:$AH$258, MATCH(0, IF(TRUE=$AE$10:$AE$258, COUNTIF($AJ$9:$AJ90, $AH$10:$AH$258), ""), 0)),"")</f>
        <v/>
      </c>
      <c r="AK91" s="105" t="str">
        <f t="array" ref="AK91">IFERROR(INDEX($AH$10:$AH$258, MATCH(0, IF(TRUE=$AF$10:$AF$258, COUNTIF($AK$9:$AK90, $AH$10:$AH$258), ""), 0)),"")</f>
        <v/>
      </c>
      <c r="AL91" s="15" t="str">
        <f>IFERROR(INDEX('G-6 Hedgerow Data'!$BJ$3:$BJ$15,MATCH(D91,'G-6 Hedgerow Data'!$B$3:$B$15,0)),"")</f>
        <v/>
      </c>
    </row>
    <row r="92" spans="2:38" x14ac:dyDescent="0.3">
      <c r="B92" s="92">
        <v>83</v>
      </c>
      <c r="C92" s="141"/>
      <c r="D92" s="141"/>
      <c r="E92" s="102"/>
      <c r="F92" s="335" t="str">
        <f>IF(D92="","",VLOOKUP(D92,'G-6 Hedgerow Data'!$B$2:$AG$15,2,FALSE))</f>
        <v/>
      </c>
      <c r="G92" s="291" t="str">
        <f>IF(D92="","",VLOOKUP(D92,'G-6 Hedgerow Data'!$B$2:$AG$15,3,FALSE))</f>
        <v/>
      </c>
      <c r="H92" s="95"/>
      <c r="I92" s="291" t="str">
        <f>IFERROR(IF(AND(D92&lt;&gt;"",H92=""),"Check data ⚠", IF(H92="","",IF(AND(D92="Non-native and ornamental hedgerow", H92&lt;&gt;"Poor"),"Not possible ▲", (VLOOKUP(H92,'G-1 All Habitats'!$Z$2:$AA$9,2,FALSE))))),"")</f>
        <v/>
      </c>
      <c r="J92" s="95"/>
      <c r="K92" s="298" t="str">
        <f>IF(AND(D92&lt;&gt;"",J92=""),"Check data ⚠", IF(J92="","",IF(VLOOKUP(J92,'G-3 Multipliers'!$L$3:$N$6,2,FALSE)=0,"Spatial Data Missing",VLOOKUP(J92,'G-3 Multipliers'!$L$3:$N$6,2,FALSE))))</f>
        <v/>
      </c>
      <c r="L92" s="296" t="str">
        <f>IF(J92="","",IF(VLOOKUP(J92,'G-3 Multipliers'!$L$3:$N$6,3,FALSE)=0,"Spatial Data Missing ⚠",VLOOKUP(J92,'G-3 Multipliers'!$L$3:$N$6,3,FALSE)))</f>
        <v/>
      </c>
      <c r="M92" s="297" t="str">
        <f>IF(D92="","",VLOOKUP(D92,'G-6 Hedgerow Data'!$B$1:$AH$15,33,FALSE))</f>
        <v/>
      </c>
      <c r="N92" s="304" t="str">
        <f t="shared" si="9"/>
        <v/>
      </c>
      <c r="O92" s="17"/>
      <c r="P92" s="103"/>
      <c r="Q92" s="141"/>
      <c r="R92" s="320" t="str">
        <f t="shared" si="10"/>
        <v/>
      </c>
      <c r="S92" s="320" t="str">
        <f t="shared" si="11"/>
        <v/>
      </c>
      <c r="T92" s="320" t="str">
        <f t="shared" si="12"/>
        <v/>
      </c>
      <c r="U92" s="339" t="str">
        <f t="shared" si="13"/>
        <v/>
      </c>
      <c r="V92" s="100"/>
      <c r="W92" s="101"/>
      <c r="X92" s="101"/>
      <c r="AE92" s="105" t="str">
        <f t="shared" si="7"/>
        <v/>
      </c>
      <c r="AF92" s="105" t="str">
        <f t="shared" si="8"/>
        <v/>
      </c>
      <c r="AH92" s="105">
        <v>83</v>
      </c>
      <c r="AJ92" s="105" t="str">
        <f t="array" ref="AJ92">IFERROR(INDEX($AH$10:$AH$258, MATCH(0, IF(TRUE=$AE$10:$AE$258, COUNTIF($AJ$9:$AJ91, $AH$10:$AH$258), ""), 0)),"")</f>
        <v/>
      </c>
      <c r="AK92" s="105" t="str">
        <f t="array" ref="AK92">IFERROR(INDEX($AH$10:$AH$258, MATCH(0, IF(TRUE=$AF$10:$AF$258, COUNTIF($AK$9:$AK91, $AH$10:$AH$258), ""), 0)),"")</f>
        <v/>
      </c>
      <c r="AL92" s="15" t="str">
        <f>IFERROR(INDEX('G-6 Hedgerow Data'!$BJ$3:$BJ$15,MATCH(D92,'G-6 Hedgerow Data'!$B$3:$B$15,0)),"")</f>
        <v/>
      </c>
    </row>
    <row r="93" spans="2:38" x14ac:dyDescent="0.3">
      <c r="B93" s="92">
        <v>84</v>
      </c>
      <c r="C93" s="141"/>
      <c r="D93" s="141"/>
      <c r="E93" s="102"/>
      <c r="F93" s="335" t="str">
        <f>IF(D93="","",VLOOKUP(D93,'G-6 Hedgerow Data'!$B$2:$AG$15,2,FALSE))</f>
        <v/>
      </c>
      <c r="G93" s="291" t="str">
        <f>IF(D93="","",VLOOKUP(D93,'G-6 Hedgerow Data'!$B$2:$AG$15,3,FALSE))</f>
        <v/>
      </c>
      <c r="H93" s="95"/>
      <c r="I93" s="291" t="str">
        <f>IFERROR(IF(AND(D93&lt;&gt;"",H93=""),"Check data ⚠", IF(H93="","",IF(AND(D93="Non-native and ornamental hedgerow", H93&lt;&gt;"Poor"),"Not possible ▲", (VLOOKUP(H93,'G-1 All Habitats'!$Z$2:$AA$9,2,FALSE))))),"")</f>
        <v/>
      </c>
      <c r="J93" s="95"/>
      <c r="K93" s="298" t="str">
        <f>IF(AND(D93&lt;&gt;"",J93=""),"Check data ⚠", IF(J93="","",IF(VLOOKUP(J93,'G-3 Multipliers'!$L$3:$N$6,2,FALSE)=0,"Spatial Data Missing",VLOOKUP(J93,'G-3 Multipliers'!$L$3:$N$6,2,FALSE))))</f>
        <v/>
      </c>
      <c r="L93" s="296" t="str">
        <f>IF(J93="","",IF(VLOOKUP(J93,'G-3 Multipliers'!$L$3:$N$6,3,FALSE)=0,"Spatial Data Missing ⚠",VLOOKUP(J93,'G-3 Multipliers'!$L$3:$N$6,3,FALSE)))</f>
        <v/>
      </c>
      <c r="M93" s="297" t="str">
        <f>IF(D93="","",VLOOKUP(D93,'G-6 Hedgerow Data'!$B$1:$AH$15,33,FALSE))</f>
        <v/>
      </c>
      <c r="N93" s="304" t="str">
        <f t="shared" si="9"/>
        <v/>
      </c>
      <c r="O93" s="17"/>
      <c r="P93" s="103"/>
      <c r="Q93" s="141"/>
      <c r="R93" s="320" t="str">
        <f t="shared" si="10"/>
        <v/>
      </c>
      <c r="S93" s="320" t="str">
        <f t="shared" si="11"/>
        <v/>
      </c>
      <c r="T93" s="320" t="str">
        <f t="shared" si="12"/>
        <v/>
      </c>
      <c r="U93" s="339" t="str">
        <f t="shared" si="13"/>
        <v/>
      </c>
      <c r="V93" s="100"/>
      <c r="W93" s="101"/>
      <c r="X93" s="101"/>
      <c r="AE93" s="105" t="str">
        <f t="shared" si="7"/>
        <v/>
      </c>
      <c r="AF93" s="105" t="str">
        <f t="shared" si="8"/>
        <v/>
      </c>
      <c r="AH93" s="105">
        <v>84</v>
      </c>
      <c r="AJ93" s="105" t="str">
        <f t="array" ref="AJ93">IFERROR(INDEX($AH$10:$AH$258, MATCH(0, IF(TRUE=$AE$10:$AE$258, COUNTIF($AJ$9:$AJ92, $AH$10:$AH$258), ""), 0)),"")</f>
        <v/>
      </c>
      <c r="AK93" s="105" t="str">
        <f t="array" ref="AK93">IFERROR(INDEX($AH$10:$AH$258, MATCH(0, IF(TRUE=$AF$10:$AF$258, COUNTIF($AK$9:$AK92, $AH$10:$AH$258), ""), 0)),"")</f>
        <v/>
      </c>
      <c r="AL93" s="15" t="str">
        <f>IFERROR(INDEX('G-6 Hedgerow Data'!$BJ$3:$BJ$15,MATCH(D93,'G-6 Hedgerow Data'!$B$3:$B$15,0)),"")</f>
        <v/>
      </c>
    </row>
    <row r="94" spans="2:38" x14ac:dyDescent="0.3">
      <c r="B94" s="92">
        <v>85</v>
      </c>
      <c r="C94" s="141"/>
      <c r="D94" s="141"/>
      <c r="E94" s="102"/>
      <c r="F94" s="335" t="str">
        <f>IF(D94="","",VLOOKUP(D94,'G-6 Hedgerow Data'!$B$2:$AG$15,2,FALSE))</f>
        <v/>
      </c>
      <c r="G94" s="291" t="str">
        <f>IF(D94="","",VLOOKUP(D94,'G-6 Hedgerow Data'!$B$2:$AG$15,3,FALSE))</f>
        <v/>
      </c>
      <c r="H94" s="95"/>
      <c r="I94" s="291" t="str">
        <f>IFERROR(IF(AND(D94&lt;&gt;"",H94=""),"Check data ⚠", IF(H94="","",IF(AND(D94="Non-native and ornamental hedgerow", H94&lt;&gt;"Poor"),"Not possible ▲", (VLOOKUP(H94,'G-1 All Habitats'!$Z$2:$AA$9,2,FALSE))))),"")</f>
        <v/>
      </c>
      <c r="J94" s="95"/>
      <c r="K94" s="298" t="str">
        <f>IF(AND(D94&lt;&gt;"",J94=""),"Check data ⚠", IF(J94="","",IF(VLOOKUP(J94,'G-3 Multipliers'!$L$3:$N$6,2,FALSE)=0,"Spatial Data Missing",VLOOKUP(J94,'G-3 Multipliers'!$L$3:$N$6,2,FALSE))))</f>
        <v/>
      </c>
      <c r="L94" s="296" t="str">
        <f>IF(J94="","",IF(VLOOKUP(J94,'G-3 Multipliers'!$L$3:$N$6,3,FALSE)=0,"Spatial Data Missing ⚠",VLOOKUP(J94,'G-3 Multipliers'!$L$3:$N$6,3,FALSE)))</f>
        <v/>
      </c>
      <c r="M94" s="297" t="str">
        <f>IF(D94="","",VLOOKUP(D94,'G-6 Hedgerow Data'!$B$1:$AH$15,33,FALSE))</f>
        <v/>
      </c>
      <c r="N94" s="304" t="str">
        <f t="shared" si="9"/>
        <v/>
      </c>
      <c r="O94" s="17"/>
      <c r="P94" s="103"/>
      <c r="Q94" s="141"/>
      <c r="R94" s="320" t="str">
        <f t="shared" si="10"/>
        <v/>
      </c>
      <c r="S94" s="320" t="str">
        <f t="shared" si="11"/>
        <v/>
      </c>
      <c r="T94" s="320" t="str">
        <f t="shared" si="12"/>
        <v/>
      </c>
      <c r="U94" s="339" t="str">
        <f t="shared" si="13"/>
        <v/>
      </c>
      <c r="V94" s="100"/>
      <c r="W94" s="101"/>
      <c r="X94" s="101"/>
      <c r="AE94" s="105" t="str">
        <f t="shared" si="7"/>
        <v/>
      </c>
      <c r="AF94" s="105" t="str">
        <f t="shared" si="8"/>
        <v/>
      </c>
      <c r="AH94" s="105">
        <v>85</v>
      </c>
      <c r="AJ94" s="105" t="str">
        <f t="array" ref="AJ94">IFERROR(INDEX($AH$10:$AH$258, MATCH(0, IF(TRUE=$AE$10:$AE$258, COUNTIF($AJ$9:$AJ93, $AH$10:$AH$258), ""), 0)),"")</f>
        <v/>
      </c>
      <c r="AK94" s="105" t="str">
        <f t="array" ref="AK94">IFERROR(INDEX($AH$10:$AH$258, MATCH(0, IF(TRUE=$AF$10:$AF$258, COUNTIF($AK$9:$AK93, $AH$10:$AH$258), ""), 0)),"")</f>
        <v/>
      </c>
      <c r="AL94" s="15" t="str">
        <f>IFERROR(INDEX('G-6 Hedgerow Data'!$BJ$3:$BJ$15,MATCH(D94,'G-6 Hedgerow Data'!$B$3:$B$15,0)),"")</f>
        <v/>
      </c>
    </row>
    <row r="95" spans="2:38" x14ac:dyDescent="0.3">
      <c r="B95" s="92">
        <v>86</v>
      </c>
      <c r="C95" s="141"/>
      <c r="D95" s="141"/>
      <c r="E95" s="102"/>
      <c r="F95" s="335" t="str">
        <f>IF(D95="","",VLOOKUP(D95,'G-6 Hedgerow Data'!$B$2:$AG$15,2,FALSE))</f>
        <v/>
      </c>
      <c r="G95" s="291" t="str">
        <f>IF(D95="","",VLOOKUP(D95,'G-6 Hedgerow Data'!$B$2:$AG$15,3,FALSE))</f>
        <v/>
      </c>
      <c r="H95" s="95"/>
      <c r="I95" s="291" t="str">
        <f>IFERROR(IF(AND(D95&lt;&gt;"",H95=""),"Check data ⚠", IF(H95="","",IF(AND(D95="Non-native and ornamental hedgerow", H95&lt;&gt;"Poor"),"Not possible ▲", (VLOOKUP(H95,'G-1 All Habitats'!$Z$2:$AA$9,2,FALSE))))),"")</f>
        <v/>
      </c>
      <c r="J95" s="95"/>
      <c r="K95" s="298" t="str">
        <f>IF(AND(D95&lt;&gt;"",J95=""),"Check data ⚠", IF(J95="","",IF(VLOOKUP(J95,'G-3 Multipliers'!$L$3:$N$6,2,FALSE)=0,"Spatial Data Missing",VLOOKUP(J95,'G-3 Multipliers'!$L$3:$N$6,2,FALSE))))</f>
        <v/>
      </c>
      <c r="L95" s="296" t="str">
        <f>IF(J95="","",IF(VLOOKUP(J95,'G-3 Multipliers'!$L$3:$N$6,3,FALSE)=0,"Spatial Data Missing ⚠",VLOOKUP(J95,'G-3 Multipliers'!$L$3:$N$6,3,FALSE)))</f>
        <v/>
      </c>
      <c r="M95" s="297" t="str">
        <f>IF(D95="","",VLOOKUP(D95,'G-6 Hedgerow Data'!$B$1:$AH$15,33,FALSE))</f>
        <v/>
      </c>
      <c r="N95" s="304" t="str">
        <f t="shared" si="9"/>
        <v/>
      </c>
      <c r="O95" s="17"/>
      <c r="P95" s="103"/>
      <c r="Q95" s="141"/>
      <c r="R95" s="320" t="str">
        <f t="shared" si="10"/>
        <v/>
      </c>
      <c r="S95" s="320" t="str">
        <f t="shared" si="11"/>
        <v/>
      </c>
      <c r="T95" s="320" t="str">
        <f t="shared" si="12"/>
        <v/>
      </c>
      <c r="U95" s="339" t="str">
        <f t="shared" si="13"/>
        <v/>
      </c>
      <c r="V95" s="100"/>
      <c r="W95" s="101"/>
      <c r="X95" s="101"/>
      <c r="AE95" s="105" t="str">
        <f t="shared" si="7"/>
        <v/>
      </c>
      <c r="AF95" s="105" t="str">
        <f t="shared" si="8"/>
        <v/>
      </c>
      <c r="AH95" s="105">
        <v>86</v>
      </c>
      <c r="AJ95" s="105" t="str">
        <f t="array" ref="AJ95">IFERROR(INDEX($AH$10:$AH$258, MATCH(0, IF(TRUE=$AE$10:$AE$258, COUNTIF($AJ$9:$AJ94, $AH$10:$AH$258), ""), 0)),"")</f>
        <v/>
      </c>
      <c r="AK95" s="105" t="str">
        <f t="array" ref="AK95">IFERROR(INDEX($AH$10:$AH$258, MATCH(0, IF(TRUE=$AF$10:$AF$258, COUNTIF($AK$9:$AK94, $AH$10:$AH$258), ""), 0)),"")</f>
        <v/>
      </c>
      <c r="AL95" s="15" t="str">
        <f>IFERROR(INDEX('G-6 Hedgerow Data'!$BJ$3:$BJ$15,MATCH(D95,'G-6 Hedgerow Data'!$B$3:$B$15,0)),"")</f>
        <v/>
      </c>
    </row>
    <row r="96" spans="2:38" x14ac:dyDescent="0.3">
      <c r="B96" s="92">
        <v>87</v>
      </c>
      <c r="C96" s="141"/>
      <c r="D96" s="141"/>
      <c r="E96" s="102"/>
      <c r="F96" s="335" t="str">
        <f>IF(D96="","",VLOOKUP(D96,'G-6 Hedgerow Data'!$B$2:$AG$15,2,FALSE))</f>
        <v/>
      </c>
      <c r="G96" s="291" t="str">
        <f>IF(D96="","",VLOOKUP(D96,'G-6 Hedgerow Data'!$B$2:$AG$15,3,FALSE))</f>
        <v/>
      </c>
      <c r="H96" s="95"/>
      <c r="I96" s="291" t="str">
        <f>IFERROR(IF(AND(D96&lt;&gt;"",H96=""),"Check data ⚠", IF(H96="","",IF(AND(D96="Non-native and ornamental hedgerow", H96&lt;&gt;"Poor"),"Not possible ▲", (VLOOKUP(H96,'G-1 All Habitats'!$Z$2:$AA$9,2,FALSE))))),"")</f>
        <v/>
      </c>
      <c r="J96" s="95"/>
      <c r="K96" s="298" t="str">
        <f>IF(AND(D96&lt;&gt;"",J96=""),"Check data ⚠", IF(J96="","",IF(VLOOKUP(J96,'G-3 Multipliers'!$L$3:$N$6,2,FALSE)=0,"Spatial Data Missing",VLOOKUP(J96,'G-3 Multipliers'!$L$3:$N$6,2,FALSE))))</f>
        <v/>
      </c>
      <c r="L96" s="296" t="str">
        <f>IF(J96="","",IF(VLOOKUP(J96,'G-3 Multipliers'!$L$3:$N$6,3,FALSE)=0,"Spatial Data Missing ⚠",VLOOKUP(J96,'G-3 Multipliers'!$L$3:$N$6,3,FALSE)))</f>
        <v/>
      </c>
      <c r="M96" s="297" t="str">
        <f>IF(D96="","",VLOOKUP(D96,'G-6 Hedgerow Data'!$B$1:$AH$15,33,FALSE))</f>
        <v/>
      </c>
      <c r="N96" s="304" t="str">
        <f t="shared" si="9"/>
        <v/>
      </c>
      <c r="O96" s="17"/>
      <c r="P96" s="103"/>
      <c r="Q96" s="141"/>
      <c r="R96" s="320" t="str">
        <f t="shared" si="10"/>
        <v/>
      </c>
      <c r="S96" s="320" t="str">
        <f t="shared" si="11"/>
        <v/>
      </c>
      <c r="T96" s="320" t="str">
        <f t="shared" si="12"/>
        <v/>
      </c>
      <c r="U96" s="339" t="str">
        <f t="shared" si="13"/>
        <v/>
      </c>
      <c r="V96" s="100"/>
      <c r="W96" s="101"/>
      <c r="X96" s="101"/>
      <c r="AE96" s="105" t="str">
        <f t="shared" si="7"/>
        <v/>
      </c>
      <c r="AF96" s="105" t="str">
        <f t="shared" si="8"/>
        <v/>
      </c>
      <c r="AH96" s="105">
        <v>87</v>
      </c>
      <c r="AJ96" s="105" t="str">
        <f t="array" ref="AJ96">IFERROR(INDEX($AH$10:$AH$258, MATCH(0, IF(TRUE=$AE$10:$AE$258, COUNTIF($AJ$9:$AJ95, $AH$10:$AH$258), ""), 0)),"")</f>
        <v/>
      </c>
      <c r="AK96" s="105" t="str">
        <f t="array" ref="AK96">IFERROR(INDEX($AH$10:$AH$258, MATCH(0, IF(TRUE=$AF$10:$AF$258, COUNTIF($AK$9:$AK95, $AH$10:$AH$258), ""), 0)),"")</f>
        <v/>
      </c>
      <c r="AL96" s="15" t="str">
        <f>IFERROR(INDEX('G-6 Hedgerow Data'!$BJ$3:$BJ$15,MATCH(D96,'G-6 Hedgerow Data'!$B$3:$B$15,0)),"")</f>
        <v/>
      </c>
    </row>
    <row r="97" spans="2:38" x14ac:dyDescent="0.3">
      <c r="B97" s="92">
        <v>88</v>
      </c>
      <c r="C97" s="141"/>
      <c r="D97" s="141"/>
      <c r="E97" s="102"/>
      <c r="F97" s="335" t="str">
        <f>IF(D97="","",VLOOKUP(D97,'G-6 Hedgerow Data'!$B$2:$AG$15,2,FALSE))</f>
        <v/>
      </c>
      <c r="G97" s="291" t="str">
        <f>IF(D97="","",VLOOKUP(D97,'G-6 Hedgerow Data'!$B$2:$AG$15,3,FALSE))</f>
        <v/>
      </c>
      <c r="H97" s="95"/>
      <c r="I97" s="291" t="str">
        <f>IFERROR(IF(AND(D97&lt;&gt;"",H97=""),"Check data ⚠", IF(H97="","",IF(AND(D97="Non-native and ornamental hedgerow", H97&lt;&gt;"Poor"),"Not possible ▲", (VLOOKUP(H97,'G-1 All Habitats'!$Z$2:$AA$9,2,FALSE))))),"")</f>
        <v/>
      </c>
      <c r="J97" s="95"/>
      <c r="K97" s="298" t="str">
        <f>IF(AND(D97&lt;&gt;"",J97=""),"Check data ⚠", IF(J97="","",IF(VLOOKUP(J97,'G-3 Multipliers'!$L$3:$N$6,2,FALSE)=0,"Spatial Data Missing",VLOOKUP(J97,'G-3 Multipliers'!$L$3:$N$6,2,FALSE))))</f>
        <v/>
      </c>
      <c r="L97" s="296" t="str">
        <f>IF(J97="","",IF(VLOOKUP(J97,'G-3 Multipliers'!$L$3:$N$6,3,FALSE)=0,"Spatial Data Missing ⚠",VLOOKUP(J97,'G-3 Multipliers'!$L$3:$N$6,3,FALSE)))</f>
        <v/>
      </c>
      <c r="M97" s="297" t="str">
        <f>IF(D97="","",VLOOKUP(D97,'G-6 Hedgerow Data'!$B$1:$AH$15,33,FALSE))</f>
        <v/>
      </c>
      <c r="N97" s="304" t="str">
        <f t="shared" si="9"/>
        <v/>
      </c>
      <c r="O97" s="17"/>
      <c r="P97" s="103"/>
      <c r="Q97" s="141"/>
      <c r="R97" s="320" t="str">
        <f t="shared" si="10"/>
        <v/>
      </c>
      <c r="S97" s="320" t="str">
        <f t="shared" si="11"/>
        <v/>
      </c>
      <c r="T97" s="320" t="str">
        <f t="shared" si="12"/>
        <v/>
      </c>
      <c r="U97" s="339" t="str">
        <f t="shared" si="13"/>
        <v/>
      </c>
      <c r="V97" s="100"/>
      <c r="W97" s="101"/>
      <c r="X97" s="101"/>
      <c r="AE97" s="105" t="str">
        <f t="shared" si="7"/>
        <v/>
      </c>
      <c r="AF97" s="105" t="str">
        <f t="shared" si="8"/>
        <v/>
      </c>
      <c r="AH97" s="105">
        <v>88</v>
      </c>
      <c r="AJ97" s="105" t="str">
        <f t="array" ref="AJ97">IFERROR(INDEX($AH$10:$AH$258, MATCH(0, IF(TRUE=$AE$10:$AE$258, COUNTIF($AJ$9:$AJ96, $AH$10:$AH$258), ""), 0)),"")</f>
        <v/>
      </c>
      <c r="AK97" s="105" t="str">
        <f t="array" ref="AK97">IFERROR(INDEX($AH$10:$AH$258, MATCH(0, IF(TRUE=$AF$10:$AF$258, COUNTIF($AK$9:$AK96, $AH$10:$AH$258), ""), 0)),"")</f>
        <v/>
      </c>
      <c r="AL97" s="15" t="str">
        <f>IFERROR(INDEX('G-6 Hedgerow Data'!$BJ$3:$BJ$15,MATCH(D97,'G-6 Hedgerow Data'!$B$3:$B$15,0)),"")</f>
        <v/>
      </c>
    </row>
    <row r="98" spans="2:38" x14ac:dyDescent="0.3">
      <c r="B98" s="92">
        <v>89</v>
      </c>
      <c r="C98" s="141"/>
      <c r="D98" s="141"/>
      <c r="E98" s="102"/>
      <c r="F98" s="335" t="str">
        <f>IF(D98="","",VLOOKUP(D98,'G-6 Hedgerow Data'!$B$2:$AG$15,2,FALSE))</f>
        <v/>
      </c>
      <c r="G98" s="291" t="str">
        <f>IF(D98="","",VLOOKUP(D98,'G-6 Hedgerow Data'!$B$2:$AG$15,3,FALSE))</f>
        <v/>
      </c>
      <c r="H98" s="95"/>
      <c r="I98" s="291" t="str">
        <f>IFERROR(IF(AND(D98&lt;&gt;"",H98=""),"Check data ⚠", IF(H98="","",IF(AND(D98="Non-native and ornamental hedgerow", H98&lt;&gt;"Poor"),"Not possible ▲", (VLOOKUP(H98,'G-1 All Habitats'!$Z$2:$AA$9,2,FALSE))))),"")</f>
        <v/>
      </c>
      <c r="J98" s="95"/>
      <c r="K98" s="298" t="str">
        <f>IF(AND(D98&lt;&gt;"",J98=""),"Check data ⚠", IF(J98="","",IF(VLOOKUP(J98,'G-3 Multipliers'!$L$3:$N$6,2,FALSE)=0,"Spatial Data Missing",VLOOKUP(J98,'G-3 Multipliers'!$L$3:$N$6,2,FALSE))))</f>
        <v/>
      </c>
      <c r="L98" s="296" t="str">
        <f>IF(J98="","",IF(VLOOKUP(J98,'G-3 Multipliers'!$L$3:$N$6,3,FALSE)=0,"Spatial Data Missing ⚠",VLOOKUP(J98,'G-3 Multipliers'!$L$3:$N$6,3,FALSE)))</f>
        <v/>
      </c>
      <c r="M98" s="297" t="str">
        <f>IF(D98="","",VLOOKUP(D98,'G-6 Hedgerow Data'!$B$1:$AH$15,33,FALSE))</f>
        <v/>
      </c>
      <c r="N98" s="304" t="str">
        <f t="shared" si="9"/>
        <v/>
      </c>
      <c r="O98" s="17"/>
      <c r="P98" s="103"/>
      <c r="Q98" s="141"/>
      <c r="R98" s="320" t="str">
        <f t="shared" si="10"/>
        <v/>
      </c>
      <c r="S98" s="320" t="str">
        <f t="shared" si="11"/>
        <v/>
      </c>
      <c r="T98" s="320" t="str">
        <f t="shared" si="12"/>
        <v/>
      </c>
      <c r="U98" s="339" t="str">
        <f t="shared" si="13"/>
        <v/>
      </c>
      <c r="V98" s="100"/>
      <c r="W98" s="101"/>
      <c r="X98" s="101"/>
      <c r="AE98" s="105" t="str">
        <f t="shared" si="7"/>
        <v/>
      </c>
      <c r="AF98" s="105" t="str">
        <f t="shared" si="8"/>
        <v/>
      </c>
      <c r="AH98" s="105">
        <v>89</v>
      </c>
      <c r="AJ98" s="105" t="str">
        <f t="array" ref="AJ98">IFERROR(INDEX($AH$10:$AH$258, MATCH(0, IF(TRUE=$AE$10:$AE$258, COUNTIF($AJ$9:$AJ97, $AH$10:$AH$258), ""), 0)),"")</f>
        <v/>
      </c>
      <c r="AK98" s="105" t="str">
        <f t="array" ref="AK98">IFERROR(INDEX($AH$10:$AH$258, MATCH(0, IF(TRUE=$AF$10:$AF$258, COUNTIF($AK$9:$AK97, $AH$10:$AH$258), ""), 0)),"")</f>
        <v/>
      </c>
      <c r="AL98" s="15" t="str">
        <f>IFERROR(INDEX('G-6 Hedgerow Data'!$BJ$3:$BJ$15,MATCH(D98,'G-6 Hedgerow Data'!$B$3:$B$15,0)),"")</f>
        <v/>
      </c>
    </row>
    <row r="99" spans="2:38" x14ac:dyDescent="0.3">
      <c r="B99" s="92">
        <v>90</v>
      </c>
      <c r="C99" s="141"/>
      <c r="D99" s="141"/>
      <c r="E99" s="102"/>
      <c r="F99" s="335" t="str">
        <f>IF(D99="","",VLOOKUP(D99,'G-6 Hedgerow Data'!$B$2:$AG$15,2,FALSE))</f>
        <v/>
      </c>
      <c r="G99" s="291" t="str">
        <f>IF(D99="","",VLOOKUP(D99,'G-6 Hedgerow Data'!$B$2:$AG$15,3,FALSE))</f>
        <v/>
      </c>
      <c r="H99" s="95"/>
      <c r="I99" s="291" t="str">
        <f>IFERROR(IF(AND(D99&lt;&gt;"",H99=""),"Check data ⚠", IF(H99="","",IF(AND(D99="Non-native and ornamental hedgerow", H99&lt;&gt;"Poor"),"Not possible ▲", (VLOOKUP(H99,'G-1 All Habitats'!$Z$2:$AA$9,2,FALSE))))),"")</f>
        <v/>
      </c>
      <c r="J99" s="95"/>
      <c r="K99" s="298" t="str">
        <f>IF(AND(D99&lt;&gt;"",J99=""),"Check data ⚠", IF(J99="","",IF(VLOOKUP(J99,'G-3 Multipliers'!$L$3:$N$6,2,FALSE)=0,"Spatial Data Missing",VLOOKUP(J99,'G-3 Multipliers'!$L$3:$N$6,2,FALSE))))</f>
        <v/>
      </c>
      <c r="L99" s="296" t="str">
        <f>IF(J99="","",IF(VLOOKUP(J99,'G-3 Multipliers'!$L$3:$N$6,3,FALSE)=0,"Spatial Data Missing ⚠",VLOOKUP(J99,'G-3 Multipliers'!$L$3:$N$6,3,FALSE)))</f>
        <v/>
      </c>
      <c r="M99" s="297" t="str">
        <f>IF(D99="","",VLOOKUP(D99,'G-6 Hedgerow Data'!$B$1:$AH$15,33,FALSE))</f>
        <v/>
      </c>
      <c r="N99" s="304" t="str">
        <f t="shared" si="9"/>
        <v/>
      </c>
      <c r="O99" s="17"/>
      <c r="P99" s="103"/>
      <c r="Q99" s="141"/>
      <c r="R99" s="320" t="str">
        <f t="shared" si="10"/>
        <v/>
      </c>
      <c r="S99" s="320" t="str">
        <f t="shared" si="11"/>
        <v/>
      </c>
      <c r="T99" s="320" t="str">
        <f t="shared" si="12"/>
        <v/>
      </c>
      <c r="U99" s="339" t="str">
        <f t="shared" si="13"/>
        <v/>
      </c>
      <c r="V99" s="100"/>
      <c r="W99" s="101"/>
      <c r="X99" s="101"/>
      <c r="AE99" s="105" t="str">
        <f t="shared" si="7"/>
        <v/>
      </c>
      <c r="AF99" s="105" t="str">
        <f t="shared" si="8"/>
        <v/>
      </c>
      <c r="AH99" s="105">
        <v>90</v>
      </c>
      <c r="AJ99" s="105" t="str">
        <f t="array" ref="AJ99">IFERROR(INDEX($AH$10:$AH$258, MATCH(0, IF(TRUE=$AE$10:$AE$258, COUNTIF($AJ$9:$AJ98, $AH$10:$AH$258), ""), 0)),"")</f>
        <v/>
      </c>
      <c r="AK99" s="105" t="str">
        <f t="array" ref="AK99">IFERROR(INDEX($AH$10:$AH$258, MATCH(0, IF(TRUE=$AF$10:$AF$258, COUNTIF($AK$9:$AK98, $AH$10:$AH$258), ""), 0)),"")</f>
        <v/>
      </c>
      <c r="AL99" s="15" t="str">
        <f>IFERROR(INDEX('G-6 Hedgerow Data'!$BJ$3:$BJ$15,MATCH(D99,'G-6 Hedgerow Data'!$B$3:$B$15,0)),"")</f>
        <v/>
      </c>
    </row>
    <row r="100" spans="2:38" x14ac:dyDescent="0.3">
      <c r="B100" s="92">
        <v>91</v>
      </c>
      <c r="C100" s="141"/>
      <c r="D100" s="141"/>
      <c r="E100" s="102"/>
      <c r="F100" s="335" t="str">
        <f>IF(D100="","",VLOOKUP(D100,'G-6 Hedgerow Data'!$B$2:$AG$15,2,FALSE))</f>
        <v/>
      </c>
      <c r="G100" s="291" t="str">
        <f>IF(D100="","",VLOOKUP(D100,'G-6 Hedgerow Data'!$B$2:$AG$15,3,FALSE))</f>
        <v/>
      </c>
      <c r="H100" s="95"/>
      <c r="I100" s="291" t="str">
        <f>IFERROR(IF(AND(D100&lt;&gt;"",H100=""),"Check data ⚠", IF(H100="","",IF(AND(D100="Non-native and ornamental hedgerow", H100&lt;&gt;"Poor"),"Not possible ▲", (VLOOKUP(H100,'G-1 All Habitats'!$Z$2:$AA$9,2,FALSE))))),"")</f>
        <v/>
      </c>
      <c r="J100" s="95"/>
      <c r="K100" s="298" t="str">
        <f>IF(AND(D100&lt;&gt;"",J100=""),"Check data ⚠", IF(J100="","",IF(VLOOKUP(J100,'G-3 Multipliers'!$L$3:$N$6,2,FALSE)=0,"Spatial Data Missing",VLOOKUP(J100,'G-3 Multipliers'!$L$3:$N$6,2,FALSE))))</f>
        <v/>
      </c>
      <c r="L100" s="296" t="str">
        <f>IF(J100="","",IF(VLOOKUP(J100,'G-3 Multipliers'!$L$3:$N$6,3,FALSE)=0,"Spatial Data Missing ⚠",VLOOKUP(J100,'G-3 Multipliers'!$L$3:$N$6,3,FALSE)))</f>
        <v/>
      </c>
      <c r="M100" s="297" t="str">
        <f>IF(D100="","",VLOOKUP(D100,'G-6 Hedgerow Data'!$B$1:$AH$15,33,FALSE))</f>
        <v/>
      </c>
      <c r="N100" s="304" t="str">
        <f t="shared" si="9"/>
        <v/>
      </c>
      <c r="O100" s="17"/>
      <c r="P100" s="103"/>
      <c r="Q100" s="141"/>
      <c r="R100" s="320" t="str">
        <f t="shared" si="10"/>
        <v/>
      </c>
      <c r="S100" s="320" t="str">
        <f t="shared" si="11"/>
        <v/>
      </c>
      <c r="T100" s="320" t="str">
        <f t="shared" si="12"/>
        <v/>
      </c>
      <c r="U100" s="339" t="str">
        <f t="shared" si="13"/>
        <v/>
      </c>
      <c r="V100" s="100"/>
      <c r="W100" s="101"/>
      <c r="X100" s="101"/>
      <c r="AE100" s="105" t="str">
        <f t="shared" si="7"/>
        <v/>
      </c>
      <c r="AF100" s="105" t="str">
        <f t="shared" si="8"/>
        <v/>
      </c>
      <c r="AH100" s="105">
        <v>91</v>
      </c>
      <c r="AJ100" s="105" t="str">
        <f t="array" ref="AJ100">IFERROR(INDEX($AH$10:$AH$258, MATCH(0, IF(TRUE=$AE$10:$AE$258, COUNTIF($AJ$9:$AJ99, $AH$10:$AH$258), ""), 0)),"")</f>
        <v/>
      </c>
      <c r="AK100" s="105" t="str">
        <f t="array" ref="AK100">IFERROR(INDEX($AH$10:$AH$258, MATCH(0, IF(TRUE=$AF$10:$AF$258, COUNTIF($AK$9:$AK99, $AH$10:$AH$258), ""), 0)),"")</f>
        <v/>
      </c>
      <c r="AL100" s="15" t="str">
        <f>IFERROR(INDEX('G-6 Hedgerow Data'!$BJ$3:$BJ$15,MATCH(D100,'G-6 Hedgerow Data'!$B$3:$B$15,0)),"")</f>
        <v/>
      </c>
    </row>
    <row r="101" spans="2:38" x14ac:dyDescent="0.3">
      <c r="B101" s="92">
        <v>92</v>
      </c>
      <c r="C101" s="141"/>
      <c r="D101" s="141"/>
      <c r="E101" s="102"/>
      <c r="F101" s="335" t="str">
        <f>IF(D101="","",VLOOKUP(D101,'G-6 Hedgerow Data'!$B$2:$AG$15,2,FALSE))</f>
        <v/>
      </c>
      <c r="G101" s="291" t="str">
        <f>IF(D101="","",VLOOKUP(D101,'G-6 Hedgerow Data'!$B$2:$AG$15,3,FALSE))</f>
        <v/>
      </c>
      <c r="H101" s="95"/>
      <c r="I101" s="291" t="str">
        <f>IFERROR(IF(AND(D101&lt;&gt;"",H101=""),"Check data ⚠", IF(H101="","",IF(AND(D101="Non-native and ornamental hedgerow", H101&lt;&gt;"Poor"),"Not possible ▲", (VLOOKUP(H101,'G-1 All Habitats'!$Z$2:$AA$9,2,FALSE))))),"")</f>
        <v/>
      </c>
      <c r="J101" s="95"/>
      <c r="K101" s="298" t="str">
        <f>IF(AND(D101&lt;&gt;"",J101=""),"Check data ⚠", IF(J101="","",IF(VLOOKUP(J101,'G-3 Multipliers'!$L$3:$N$6,2,FALSE)=0,"Spatial Data Missing",VLOOKUP(J101,'G-3 Multipliers'!$L$3:$N$6,2,FALSE))))</f>
        <v/>
      </c>
      <c r="L101" s="296" t="str">
        <f>IF(J101="","",IF(VLOOKUP(J101,'G-3 Multipliers'!$L$3:$N$6,3,FALSE)=0,"Spatial Data Missing ⚠",VLOOKUP(J101,'G-3 Multipliers'!$L$3:$N$6,3,FALSE)))</f>
        <v/>
      </c>
      <c r="M101" s="297" t="str">
        <f>IF(D101="","",VLOOKUP(D101,'G-6 Hedgerow Data'!$B$1:$AH$15,33,FALSE))</f>
        <v/>
      </c>
      <c r="N101" s="304" t="str">
        <f t="shared" si="9"/>
        <v/>
      </c>
      <c r="O101" s="17"/>
      <c r="P101" s="103"/>
      <c r="Q101" s="141"/>
      <c r="R101" s="320" t="str">
        <f t="shared" si="10"/>
        <v/>
      </c>
      <c r="S101" s="320" t="str">
        <f t="shared" si="11"/>
        <v/>
      </c>
      <c r="T101" s="320" t="str">
        <f t="shared" si="12"/>
        <v/>
      </c>
      <c r="U101" s="339" t="str">
        <f t="shared" si="13"/>
        <v/>
      </c>
      <c r="V101" s="100"/>
      <c r="W101" s="101"/>
      <c r="X101" s="101"/>
      <c r="AE101" s="105" t="str">
        <f t="shared" si="7"/>
        <v/>
      </c>
      <c r="AF101" s="105" t="str">
        <f t="shared" si="8"/>
        <v/>
      </c>
      <c r="AH101" s="105">
        <v>92</v>
      </c>
      <c r="AJ101" s="105" t="str">
        <f t="array" ref="AJ101">IFERROR(INDEX($AH$10:$AH$258, MATCH(0, IF(TRUE=$AE$10:$AE$258, COUNTIF($AJ$9:$AJ100, $AH$10:$AH$258), ""), 0)),"")</f>
        <v/>
      </c>
      <c r="AK101" s="105" t="str">
        <f t="array" ref="AK101">IFERROR(INDEX($AH$10:$AH$258, MATCH(0, IF(TRUE=$AF$10:$AF$258, COUNTIF($AK$9:$AK100, $AH$10:$AH$258), ""), 0)),"")</f>
        <v/>
      </c>
      <c r="AL101" s="15" t="str">
        <f>IFERROR(INDEX('G-6 Hedgerow Data'!$BJ$3:$BJ$15,MATCH(D101,'G-6 Hedgerow Data'!$B$3:$B$15,0)),"")</f>
        <v/>
      </c>
    </row>
    <row r="102" spans="2:38" x14ac:dyDescent="0.3">
      <c r="B102" s="92">
        <v>93</v>
      </c>
      <c r="C102" s="141"/>
      <c r="D102" s="141"/>
      <c r="E102" s="102"/>
      <c r="F102" s="335" t="str">
        <f>IF(D102="","",VLOOKUP(D102,'G-6 Hedgerow Data'!$B$2:$AG$15,2,FALSE))</f>
        <v/>
      </c>
      <c r="G102" s="291" t="str">
        <f>IF(D102="","",VLOOKUP(D102,'G-6 Hedgerow Data'!$B$2:$AG$15,3,FALSE))</f>
        <v/>
      </c>
      <c r="H102" s="95"/>
      <c r="I102" s="291" t="str">
        <f>IFERROR(IF(AND(D102&lt;&gt;"",H102=""),"Check data ⚠", IF(H102="","",IF(AND(D102="Non-native and ornamental hedgerow", H102&lt;&gt;"Poor"),"Not possible ▲", (VLOOKUP(H102,'G-1 All Habitats'!$Z$2:$AA$9,2,FALSE))))),"")</f>
        <v/>
      </c>
      <c r="J102" s="95"/>
      <c r="K102" s="298" t="str">
        <f>IF(AND(D102&lt;&gt;"",J102=""),"Check data ⚠", IF(J102="","",IF(VLOOKUP(J102,'G-3 Multipliers'!$L$3:$N$6,2,FALSE)=0,"Spatial Data Missing",VLOOKUP(J102,'G-3 Multipliers'!$L$3:$N$6,2,FALSE))))</f>
        <v/>
      </c>
      <c r="L102" s="296" t="str">
        <f>IF(J102="","",IF(VLOOKUP(J102,'G-3 Multipliers'!$L$3:$N$6,3,FALSE)=0,"Spatial Data Missing ⚠",VLOOKUP(J102,'G-3 Multipliers'!$L$3:$N$6,3,FALSE)))</f>
        <v/>
      </c>
      <c r="M102" s="297" t="str">
        <f>IF(D102="","",VLOOKUP(D102,'G-6 Hedgerow Data'!$B$1:$AH$15,33,FALSE))</f>
        <v/>
      </c>
      <c r="N102" s="304" t="str">
        <f t="shared" si="9"/>
        <v/>
      </c>
      <c r="O102" s="17"/>
      <c r="P102" s="103"/>
      <c r="Q102" s="141"/>
      <c r="R102" s="320" t="str">
        <f t="shared" si="10"/>
        <v/>
      </c>
      <c r="S102" s="320" t="str">
        <f t="shared" si="11"/>
        <v/>
      </c>
      <c r="T102" s="320" t="str">
        <f t="shared" si="12"/>
        <v/>
      </c>
      <c r="U102" s="339" t="str">
        <f t="shared" si="13"/>
        <v/>
      </c>
      <c r="V102" s="100"/>
      <c r="W102" s="101"/>
      <c r="X102" s="101"/>
      <c r="AE102" s="105" t="str">
        <f t="shared" si="7"/>
        <v/>
      </c>
      <c r="AF102" s="105" t="str">
        <f t="shared" si="8"/>
        <v/>
      </c>
      <c r="AH102" s="105">
        <v>93</v>
      </c>
      <c r="AJ102" s="105" t="str">
        <f t="array" ref="AJ102">IFERROR(INDEX($AH$10:$AH$258, MATCH(0, IF(TRUE=$AE$10:$AE$258, COUNTIF($AJ$9:$AJ101, $AH$10:$AH$258), ""), 0)),"")</f>
        <v/>
      </c>
      <c r="AK102" s="105" t="str">
        <f t="array" ref="AK102">IFERROR(INDEX($AH$10:$AH$258, MATCH(0, IF(TRUE=$AF$10:$AF$258, COUNTIF($AK$9:$AK101, $AH$10:$AH$258), ""), 0)),"")</f>
        <v/>
      </c>
      <c r="AL102" s="15" t="str">
        <f>IFERROR(INDEX('G-6 Hedgerow Data'!$BJ$3:$BJ$15,MATCH(D102,'G-6 Hedgerow Data'!$B$3:$B$15,0)),"")</f>
        <v/>
      </c>
    </row>
    <row r="103" spans="2:38" x14ac:dyDescent="0.3">
      <c r="B103" s="92">
        <v>94</v>
      </c>
      <c r="C103" s="141"/>
      <c r="D103" s="141"/>
      <c r="E103" s="102"/>
      <c r="F103" s="335" t="str">
        <f>IF(D103="","",VLOOKUP(D103,'G-6 Hedgerow Data'!$B$2:$AG$15,2,FALSE))</f>
        <v/>
      </c>
      <c r="G103" s="291" t="str">
        <f>IF(D103="","",VLOOKUP(D103,'G-6 Hedgerow Data'!$B$2:$AG$15,3,FALSE))</f>
        <v/>
      </c>
      <c r="H103" s="95"/>
      <c r="I103" s="291" t="str">
        <f>IFERROR(IF(AND(D103&lt;&gt;"",H103=""),"Check data ⚠", IF(H103="","",IF(AND(D103="Non-native and ornamental hedgerow", H103&lt;&gt;"Poor"),"Not possible ▲", (VLOOKUP(H103,'G-1 All Habitats'!$Z$2:$AA$9,2,FALSE))))),"")</f>
        <v/>
      </c>
      <c r="J103" s="95"/>
      <c r="K103" s="298" t="str">
        <f>IF(AND(D103&lt;&gt;"",J103=""),"Check data ⚠", IF(J103="","",IF(VLOOKUP(J103,'G-3 Multipliers'!$L$3:$N$6,2,FALSE)=0,"Spatial Data Missing",VLOOKUP(J103,'G-3 Multipliers'!$L$3:$N$6,2,FALSE))))</f>
        <v/>
      </c>
      <c r="L103" s="296" t="str">
        <f>IF(J103="","",IF(VLOOKUP(J103,'G-3 Multipliers'!$L$3:$N$6,3,FALSE)=0,"Spatial Data Missing ⚠",VLOOKUP(J103,'G-3 Multipliers'!$L$3:$N$6,3,FALSE)))</f>
        <v/>
      </c>
      <c r="M103" s="297" t="str">
        <f>IF(D103="","",VLOOKUP(D103,'G-6 Hedgerow Data'!$B$1:$AH$15,33,FALSE))</f>
        <v/>
      </c>
      <c r="N103" s="304" t="str">
        <f t="shared" si="9"/>
        <v/>
      </c>
      <c r="O103" s="17"/>
      <c r="P103" s="103"/>
      <c r="Q103" s="141"/>
      <c r="R103" s="320" t="str">
        <f t="shared" si="10"/>
        <v/>
      </c>
      <c r="S103" s="320" t="str">
        <f t="shared" si="11"/>
        <v/>
      </c>
      <c r="T103" s="320" t="str">
        <f t="shared" si="12"/>
        <v/>
      </c>
      <c r="U103" s="339" t="str">
        <f t="shared" si="13"/>
        <v/>
      </c>
      <c r="V103" s="100"/>
      <c r="W103" s="101"/>
      <c r="X103" s="101"/>
      <c r="AE103" s="105" t="str">
        <f t="shared" si="7"/>
        <v/>
      </c>
      <c r="AF103" s="105" t="str">
        <f t="shared" si="8"/>
        <v/>
      </c>
      <c r="AH103" s="105">
        <v>94</v>
      </c>
      <c r="AJ103" s="105" t="str">
        <f t="array" ref="AJ103">IFERROR(INDEX($AH$10:$AH$258, MATCH(0, IF(TRUE=$AE$10:$AE$258, COUNTIF($AJ$9:$AJ102, $AH$10:$AH$258), ""), 0)),"")</f>
        <v/>
      </c>
      <c r="AK103" s="105" t="str">
        <f t="array" ref="AK103">IFERROR(INDEX($AH$10:$AH$258, MATCH(0, IF(TRUE=$AF$10:$AF$258, COUNTIF($AK$9:$AK102, $AH$10:$AH$258), ""), 0)),"")</f>
        <v/>
      </c>
      <c r="AL103" s="15" t="str">
        <f>IFERROR(INDEX('G-6 Hedgerow Data'!$BJ$3:$BJ$15,MATCH(D103,'G-6 Hedgerow Data'!$B$3:$B$15,0)),"")</f>
        <v/>
      </c>
    </row>
    <row r="104" spans="2:38" x14ac:dyDescent="0.3">
      <c r="B104" s="92">
        <v>95</v>
      </c>
      <c r="C104" s="141"/>
      <c r="D104" s="141"/>
      <c r="E104" s="102"/>
      <c r="F104" s="335" t="str">
        <f>IF(D104="","",VLOOKUP(D104,'G-6 Hedgerow Data'!$B$2:$AG$15,2,FALSE))</f>
        <v/>
      </c>
      <c r="G104" s="291" t="str">
        <f>IF(D104="","",VLOOKUP(D104,'G-6 Hedgerow Data'!$B$2:$AG$15,3,FALSE))</f>
        <v/>
      </c>
      <c r="H104" s="95"/>
      <c r="I104" s="291" t="str">
        <f>IFERROR(IF(AND(D104&lt;&gt;"",H104=""),"Check data ⚠", IF(H104="","",IF(AND(D104="Non-native and ornamental hedgerow", H104&lt;&gt;"Poor"),"Not possible ▲", (VLOOKUP(H104,'G-1 All Habitats'!$Z$2:$AA$9,2,FALSE))))),"")</f>
        <v/>
      </c>
      <c r="J104" s="95"/>
      <c r="K104" s="298" t="str">
        <f>IF(AND(D104&lt;&gt;"",J104=""),"Check data ⚠", IF(J104="","",IF(VLOOKUP(J104,'G-3 Multipliers'!$L$3:$N$6,2,FALSE)=0,"Spatial Data Missing",VLOOKUP(J104,'G-3 Multipliers'!$L$3:$N$6,2,FALSE))))</f>
        <v/>
      </c>
      <c r="L104" s="296" t="str">
        <f>IF(J104="","",IF(VLOOKUP(J104,'G-3 Multipliers'!$L$3:$N$6,3,FALSE)=0,"Spatial Data Missing ⚠",VLOOKUP(J104,'G-3 Multipliers'!$L$3:$N$6,3,FALSE)))</f>
        <v/>
      </c>
      <c r="M104" s="297" t="str">
        <f>IF(D104="","",VLOOKUP(D104,'G-6 Hedgerow Data'!$B$1:$AH$15,33,FALSE))</f>
        <v/>
      </c>
      <c r="N104" s="304" t="str">
        <f t="shared" si="9"/>
        <v/>
      </c>
      <c r="O104" s="17"/>
      <c r="P104" s="103"/>
      <c r="Q104" s="141"/>
      <c r="R104" s="320" t="str">
        <f t="shared" si="10"/>
        <v/>
      </c>
      <c r="S104" s="320" t="str">
        <f t="shared" si="11"/>
        <v/>
      </c>
      <c r="T104" s="320" t="str">
        <f t="shared" si="12"/>
        <v/>
      </c>
      <c r="U104" s="339" t="str">
        <f t="shared" si="13"/>
        <v/>
      </c>
      <c r="V104" s="100"/>
      <c r="W104" s="101"/>
      <c r="X104" s="101"/>
      <c r="AE104" s="105" t="str">
        <f t="shared" si="7"/>
        <v/>
      </c>
      <c r="AF104" s="105" t="str">
        <f t="shared" si="8"/>
        <v/>
      </c>
      <c r="AH104" s="105">
        <v>95</v>
      </c>
      <c r="AJ104" s="105" t="str">
        <f t="array" ref="AJ104">IFERROR(INDEX($AH$10:$AH$258, MATCH(0, IF(TRUE=$AE$10:$AE$258, COUNTIF($AJ$9:$AJ103, $AH$10:$AH$258), ""), 0)),"")</f>
        <v/>
      </c>
      <c r="AK104" s="105" t="str">
        <f t="array" ref="AK104">IFERROR(INDEX($AH$10:$AH$258, MATCH(0, IF(TRUE=$AF$10:$AF$258, COUNTIF($AK$9:$AK103, $AH$10:$AH$258), ""), 0)),"")</f>
        <v/>
      </c>
      <c r="AL104" s="15" t="str">
        <f>IFERROR(INDEX('G-6 Hedgerow Data'!$BJ$3:$BJ$15,MATCH(D104,'G-6 Hedgerow Data'!$B$3:$B$15,0)),"")</f>
        <v/>
      </c>
    </row>
    <row r="105" spans="2:38" x14ac:dyDescent="0.3">
      <c r="B105" s="92">
        <v>96</v>
      </c>
      <c r="C105" s="141"/>
      <c r="D105" s="141"/>
      <c r="E105" s="102"/>
      <c r="F105" s="335" t="str">
        <f>IF(D105="","",VLOOKUP(D105,'G-6 Hedgerow Data'!$B$2:$AG$15,2,FALSE))</f>
        <v/>
      </c>
      <c r="G105" s="291" t="str">
        <f>IF(D105="","",VLOOKUP(D105,'G-6 Hedgerow Data'!$B$2:$AG$15,3,FALSE))</f>
        <v/>
      </c>
      <c r="H105" s="95"/>
      <c r="I105" s="291" t="str">
        <f>IFERROR(IF(AND(D105&lt;&gt;"",H105=""),"Check data ⚠", IF(H105="","",IF(AND(D105="Non-native and ornamental hedgerow", H105&lt;&gt;"Poor"),"Not possible ▲", (VLOOKUP(H105,'G-1 All Habitats'!$Z$2:$AA$9,2,FALSE))))),"")</f>
        <v/>
      </c>
      <c r="J105" s="95"/>
      <c r="K105" s="298" t="str">
        <f>IF(AND(D105&lt;&gt;"",J105=""),"Check data ⚠", IF(J105="","",IF(VLOOKUP(J105,'G-3 Multipliers'!$L$3:$N$6,2,FALSE)=0,"Spatial Data Missing",VLOOKUP(J105,'G-3 Multipliers'!$L$3:$N$6,2,FALSE))))</f>
        <v/>
      </c>
      <c r="L105" s="296" t="str">
        <f>IF(J105="","",IF(VLOOKUP(J105,'G-3 Multipliers'!$L$3:$N$6,3,FALSE)=0,"Spatial Data Missing ⚠",VLOOKUP(J105,'G-3 Multipliers'!$L$3:$N$6,3,FALSE)))</f>
        <v/>
      </c>
      <c r="M105" s="297" t="str">
        <f>IF(D105="","",VLOOKUP(D105,'G-6 Hedgerow Data'!$B$1:$AH$15,33,FALSE))</f>
        <v/>
      </c>
      <c r="N105" s="304" t="str">
        <f t="shared" si="9"/>
        <v/>
      </c>
      <c r="O105" s="17"/>
      <c r="P105" s="103"/>
      <c r="Q105" s="141"/>
      <c r="R105" s="320" t="str">
        <f t="shared" si="10"/>
        <v/>
      </c>
      <c r="S105" s="320" t="str">
        <f t="shared" si="11"/>
        <v/>
      </c>
      <c r="T105" s="320" t="str">
        <f t="shared" si="12"/>
        <v/>
      </c>
      <c r="U105" s="339" t="str">
        <f t="shared" si="13"/>
        <v/>
      </c>
      <c r="V105" s="100"/>
      <c r="W105" s="101"/>
      <c r="X105" s="101"/>
      <c r="AE105" s="105" t="str">
        <f t="shared" si="7"/>
        <v/>
      </c>
      <c r="AF105" s="105" t="str">
        <f t="shared" si="8"/>
        <v/>
      </c>
      <c r="AH105" s="105">
        <v>96</v>
      </c>
      <c r="AJ105" s="105" t="str">
        <f t="array" ref="AJ105">IFERROR(INDEX($AH$10:$AH$258, MATCH(0, IF(TRUE=$AE$10:$AE$258, COUNTIF($AJ$9:$AJ104, $AH$10:$AH$258), ""), 0)),"")</f>
        <v/>
      </c>
      <c r="AK105" s="105" t="str">
        <f t="array" ref="AK105">IFERROR(INDEX($AH$10:$AH$258, MATCH(0, IF(TRUE=$AF$10:$AF$258, COUNTIF($AK$9:$AK104, $AH$10:$AH$258), ""), 0)),"")</f>
        <v/>
      </c>
      <c r="AL105" s="15" t="str">
        <f>IFERROR(INDEX('G-6 Hedgerow Data'!$BJ$3:$BJ$15,MATCH(D105,'G-6 Hedgerow Data'!$B$3:$B$15,0)),"")</f>
        <v/>
      </c>
    </row>
    <row r="106" spans="2:38" x14ac:dyDescent="0.3">
      <c r="B106" s="92">
        <v>97</v>
      </c>
      <c r="C106" s="141"/>
      <c r="D106" s="141"/>
      <c r="E106" s="102"/>
      <c r="F106" s="335" t="str">
        <f>IF(D106="","",VLOOKUP(D106,'G-6 Hedgerow Data'!$B$2:$AG$15,2,FALSE))</f>
        <v/>
      </c>
      <c r="G106" s="291" t="str">
        <f>IF(D106="","",VLOOKUP(D106,'G-6 Hedgerow Data'!$B$2:$AG$15,3,FALSE))</f>
        <v/>
      </c>
      <c r="H106" s="95"/>
      <c r="I106" s="291" t="str">
        <f>IFERROR(IF(AND(D106&lt;&gt;"",H106=""),"Check data ⚠", IF(H106="","",IF(AND(D106="Non-native and ornamental hedgerow", H106&lt;&gt;"Poor"),"Not possible ▲", (VLOOKUP(H106,'G-1 All Habitats'!$Z$2:$AA$9,2,FALSE))))),"")</f>
        <v/>
      </c>
      <c r="J106" s="95"/>
      <c r="K106" s="298" t="str">
        <f>IF(AND(D106&lt;&gt;"",J106=""),"Check data ⚠", IF(J106="","",IF(VLOOKUP(J106,'G-3 Multipliers'!$L$3:$N$6,2,FALSE)=0,"Spatial Data Missing",VLOOKUP(J106,'G-3 Multipliers'!$L$3:$N$6,2,FALSE))))</f>
        <v/>
      </c>
      <c r="L106" s="296" t="str">
        <f>IF(J106="","",IF(VLOOKUP(J106,'G-3 Multipliers'!$L$3:$N$6,3,FALSE)=0,"Spatial Data Missing ⚠",VLOOKUP(J106,'G-3 Multipliers'!$L$3:$N$6,3,FALSE)))</f>
        <v/>
      </c>
      <c r="M106" s="297" t="str">
        <f>IF(D106="","",VLOOKUP(D106,'G-6 Hedgerow Data'!$B$1:$AH$15,33,FALSE))</f>
        <v/>
      </c>
      <c r="N106" s="304" t="str">
        <f t="shared" si="9"/>
        <v/>
      </c>
      <c r="O106" s="17"/>
      <c r="P106" s="103"/>
      <c r="Q106" s="141"/>
      <c r="R106" s="320" t="str">
        <f t="shared" si="10"/>
        <v/>
      </c>
      <c r="S106" s="320" t="str">
        <f t="shared" si="11"/>
        <v/>
      </c>
      <c r="T106" s="320" t="str">
        <f t="shared" si="12"/>
        <v/>
      </c>
      <c r="U106" s="339" t="str">
        <f t="shared" si="13"/>
        <v/>
      </c>
      <c r="V106" s="100"/>
      <c r="W106" s="101"/>
      <c r="X106" s="101"/>
      <c r="AE106" s="105" t="str">
        <f t="shared" si="7"/>
        <v/>
      </c>
      <c r="AF106" s="105" t="str">
        <f t="shared" si="8"/>
        <v/>
      </c>
      <c r="AH106" s="105">
        <v>97</v>
      </c>
      <c r="AJ106" s="105" t="str">
        <f t="array" ref="AJ106">IFERROR(INDEX($AH$10:$AH$258, MATCH(0, IF(TRUE=$AE$10:$AE$258, COUNTIF($AJ$9:$AJ105, $AH$10:$AH$258), ""), 0)),"")</f>
        <v/>
      </c>
      <c r="AK106" s="105" t="str">
        <f t="array" ref="AK106">IFERROR(INDEX($AH$10:$AH$258, MATCH(0, IF(TRUE=$AF$10:$AF$258, COUNTIF($AK$9:$AK105, $AH$10:$AH$258), ""), 0)),"")</f>
        <v/>
      </c>
      <c r="AL106" s="15" t="str">
        <f>IFERROR(INDEX('G-6 Hedgerow Data'!$BJ$3:$BJ$15,MATCH(D106,'G-6 Hedgerow Data'!$B$3:$B$15,0)),"")</f>
        <v/>
      </c>
    </row>
    <row r="107" spans="2:38" x14ac:dyDescent="0.3">
      <c r="B107" s="92">
        <v>98</v>
      </c>
      <c r="C107" s="141"/>
      <c r="D107" s="141"/>
      <c r="E107" s="102"/>
      <c r="F107" s="335" t="str">
        <f>IF(D107="","",VLOOKUP(D107,'G-6 Hedgerow Data'!$B$2:$AG$15,2,FALSE))</f>
        <v/>
      </c>
      <c r="G107" s="291" t="str">
        <f>IF(D107="","",VLOOKUP(D107,'G-6 Hedgerow Data'!$B$2:$AG$15,3,FALSE))</f>
        <v/>
      </c>
      <c r="H107" s="95"/>
      <c r="I107" s="291" t="str">
        <f>IFERROR(IF(AND(D107&lt;&gt;"",H107=""),"Check data ⚠", IF(H107="","",IF(AND(D107="Non-native and ornamental hedgerow", H107&lt;&gt;"Poor"),"Not possible ▲", (VLOOKUP(H107,'G-1 All Habitats'!$Z$2:$AA$9,2,FALSE))))),"")</f>
        <v/>
      </c>
      <c r="J107" s="95"/>
      <c r="K107" s="298" t="str">
        <f>IF(AND(D107&lt;&gt;"",J107=""),"Check data ⚠", IF(J107="","",IF(VLOOKUP(J107,'G-3 Multipliers'!$L$3:$N$6,2,FALSE)=0,"Spatial Data Missing",VLOOKUP(J107,'G-3 Multipliers'!$L$3:$N$6,2,FALSE))))</f>
        <v/>
      </c>
      <c r="L107" s="296" t="str">
        <f>IF(J107="","",IF(VLOOKUP(J107,'G-3 Multipliers'!$L$3:$N$6,3,FALSE)=0,"Spatial Data Missing ⚠",VLOOKUP(J107,'G-3 Multipliers'!$L$3:$N$6,3,FALSE)))</f>
        <v/>
      </c>
      <c r="M107" s="297" t="str">
        <f>IF(D107="","",VLOOKUP(D107,'G-6 Hedgerow Data'!$B$1:$AH$15,33,FALSE))</f>
        <v/>
      </c>
      <c r="N107" s="304" t="str">
        <f t="shared" si="9"/>
        <v/>
      </c>
      <c r="O107" s="17"/>
      <c r="P107" s="103"/>
      <c r="Q107" s="141"/>
      <c r="R107" s="320" t="str">
        <f t="shared" si="10"/>
        <v/>
      </c>
      <c r="S107" s="320" t="str">
        <f t="shared" si="11"/>
        <v/>
      </c>
      <c r="T107" s="320" t="str">
        <f t="shared" si="12"/>
        <v/>
      </c>
      <c r="U107" s="339" t="str">
        <f t="shared" si="13"/>
        <v/>
      </c>
      <c r="V107" s="100"/>
      <c r="W107" s="101"/>
      <c r="X107" s="101"/>
      <c r="AE107" s="105" t="str">
        <f t="shared" si="7"/>
        <v/>
      </c>
      <c r="AF107" s="105" t="str">
        <f t="shared" si="8"/>
        <v/>
      </c>
      <c r="AH107" s="105">
        <v>98</v>
      </c>
      <c r="AJ107" s="105" t="str">
        <f t="array" ref="AJ107">IFERROR(INDEX($AH$10:$AH$258, MATCH(0, IF(TRUE=$AE$10:$AE$258, COUNTIF($AJ$9:$AJ106, $AH$10:$AH$258), ""), 0)),"")</f>
        <v/>
      </c>
      <c r="AK107" s="105" t="str">
        <f t="array" ref="AK107">IFERROR(INDEX($AH$10:$AH$258, MATCH(0, IF(TRUE=$AF$10:$AF$258, COUNTIF($AK$9:$AK106, $AH$10:$AH$258), ""), 0)),"")</f>
        <v/>
      </c>
      <c r="AL107" s="15" t="str">
        <f>IFERROR(INDEX('G-6 Hedgerow Data'!$BJ$3:$BJ$15,MATCH(D107,'G-6 Hedgerow Data'!$B$3:$B$15,0)),"")</f>
        <v/>
      </c>
    </row>
    <row r="108" spans="2:38" x14ac:dyDescent="0.3">
      <c r="B108" s="92">
        <v>99</v>
      </c>
      <c r="C108" s="141"/>
      <c r="D108" s="141"/>
      <c r="E108" s="102"/>
      <c r="F108" s="335" t="str">
        <f>IF(D108="","",VLOOKUP(D108,'G-6 Hedgerow Data'!$B$2:$AG$15,2,FALSE))</f>
        <v/>
      </c>
      <c r="G108" s="291" t="str">
        <f>IF(D108="","",VLOOKUP(D108,'G-6 Hedgerow Data'!$B$2:$AG$15,3,FALSE))</f>
        <v/>
      </c>
      <c r="H108" s="95"/>
      <c r="I108" s="291" t="str">
        <f>IFERROR(IF(AND(D108&lt;&gt;"",H108=""),"Check data ⚠", IF(H108="","",IF(AND(D108="Non-native and ornamental hedgerow", H108&lt;&gt;"Poor"),"Not possible ▲", (VLOOKUP(H108,'G-1 All Habitats'!$Z$2:$AA$9,2,FALSE))))),"")</f>
        <v/>
      </c>
      <c r="J108" s="95"/>
      <c r="K108" s="298" t="str">
        <f>IF(AND(D108&lt;&gt;"",J108=""),"Check data ⚠", IF(J108="","",IF(VLOOKUP(J108,'G-3 Multipliers'!$L$3:$N$6,2,FALSE)=0,"Spatial Data Missing",VLOOKUP(J108,'G-3 Multipliers'!$L$3:$N$6,2,FALSE))))</f>
        <v/>
      </c>
      <c r="L108" s="296" t="str">
        <f>IF(J108="","",IF(VLOOKUP(J108,'G-3 Multipliers'!$L$3:$N$6,3,FALSE)=0,"Spatial Data Missing ⚠",VLOOKUP(J108,'G-3 Multipliers'!$L$3:$N$6,3,FALSE)))</f>
        <v/>
      </c>
      <c r="M108" s="297" t="str">
        <f>IF(D108="","",VLOOKUP(D108,'G-6 Hedgerow Data'!$B$1:$AH$15,33,FALSE))</f>
        <v/>
      </c>
      <c r="N108" s="304" t="str">
        <f t="shared" si="9"/>
        <v/>
      </c>
      <c r="O108" s="17"/>
      <c r="P108" s="103"/>
      <c r="Q108" s="141"/>
      <c r="R108" s="320" t="str">
        <f t="shared" si="10"/>
        <v/>
      </c>
      <c r="S108" s="320" t="str">
        <f t="shared" si="11"/>
        <v/>
      </c>
      <c r="T108" s="320" t="str">
        <f t="shared" si="12"/>
        <v/>
      </c>
      <c r="U108" s="339" t="str">
        <f t="shared" si="13"/>
        <v/>
      </c>
      <c r="V108" s="100"/>
      <c r="W108" s="101"/>
      <c r="X108" s="101"/>
      <c r="AE108" s="105" t="str">
        <f t="shared" si="7"/>
        <v/>
      </c>
      <c r="AF108" s="105" t="str">
        <f t="shared" si="8"/>
        <v/>
      </c>
      <c r="AH108" s="105">
        <v>99</v>
      </c>
      <c r="AJ108" s="105" t="str">
        <f t="array" ref="AJ108">IFERROR(INDEX($AH$10:$AH$258, MATCH(0, IF(TRUE=$AE$10:$AE$258, COUNTIF($AJ$9:$AJ107, $AH$10:$AH$258), ""), 0)),"")</f>
        <v/>
      </c>
      <c r="AK108" s="105" t="str">
        <f t="array" ref="AK108">IFERROR(INDEX($AH$10:$AH$258, MATCH(0, IF(TRUE=$AF$10:$AF$258, COUNTIF($AK$9:$AK107, $AH$10:$AH$258), ""), 0)),"")</f>
        <v/>
      </c>
      <c r="AL108" s="15" t="str">
        <f>IFERROR(INDEX('G-6 Hedgerow Data'!$BJ$3:$BJ$15,MATCH(D108,'G-6 Hedgerow Data'!$B$3:$B$15,0)),"")</f>
        <v/>
      </c>
    </row>
    <row r="109" spans="2:38" x14ac:dyDescent="0.3">
      <c r="B109" s="92">
        <v>100</v>
      </c>
      <c r="C109" s="141"/>
      <c r="D109" s="141"/>
      <c r="E109" s="102"/>
      <c r="F109" s="335" t="str">
        <f>IF(D109="","",VLOOKUP(D109,'G-6 Hedgerow Data'!$B$2:$AG$15,2,FALSE))</f>
        <v/>
      </c>
      <c r="G109" s="291" t="str">
        <f>IF(D109="","",VLOOKUP(D109,'G-6 Hedgerow Data'!$B$2:$AG$15,3,FALSE))</f>
        <v/>
      </c>
      <c r="H109" s="95"/>
      <c r="I109" s="291" t="str">
        <f>IFERROR(IF(AND(D109&lt;&gt;"",H109=""),"Check data ⚠", IF(H109="","",IF(AND(D109="Non-native and ornamental hedgerow", H109&lt;&gt;"Poor"),"Not possible ▲", (VLOOKUP(H109,'G-1 All Habitats'!$Z$2:$AA$9,2,FALSE))))),"")</f>
        <v/>
      </c>
      <c r="J109" s="95"/>
      <c r="K109" s="298" t="str">
        <f>IF(AND(D109&lt;&gt;"",J109=""),"Check data ⚠", IF(J109="","",IF(VLOOKUP(J109,'G-3 Multipliers'!$L$3:$N$6,2,FALSE)=0,"Spatial Data Missing",VLOOKUP(J109,'G-3 Multipliers'!$L$3:$N$6,2,FALSE))))</f>
        <v/>
      </c>
      <c r="L109" s="296" t="str">
        <f>IF(J109="","",IF(VLOOKUP(J109,'G-3 Multipliers'!$L$3:$N$6,3,FALSE)=0,"Spatial Data Missing ⚠",VLOOKUP(J109,'G-3 Multipliers'!$L$3:$N$6,3,FALSE)))</f>
        <v/>
      </c>
      <c r="M109" s="297" t="str">
        <f>IF(D109="","",VLOOKUP(D109,'G-6 Hedgerow Data'!$B$1:$AH$15,33,FALSE))</f>
        <v/>
      </c>
      <c r="N109" s="304" t="str">
        <f t="shared" si="9"/>
        <v/>
      </c>
      <c r="O109" s="17"/>
      <c r="P109" s="103"/>
      <c r="Q109" s="141"/>
      <c r="R109" s="320" t="str">
        <f t="shared" si="10"/>
        <v/>
      </c>
      <c r="S109" s="320" t="str">
        <f t="shared" si="11"/>
        <v/>
      </c>
      <c r="T109" s="320" t="str">
        <f t="shared" si="12"/>
        <v/>
      </c>
      <c r="U109" s="339" t="str">
        <f t="shared" si="13"/>
        <v/>
      </c>
      <c r="V109" s="100"/>
      <c r="W109" s="101"/>
      <c r="X109" s="101"/>
      <c r="AE109" s="105" t="str">
        <f t="shared" si="7"/>
        <v/>
      </c>
      <c r="AF109" s="105" t="str">
        <f t="shared" si="8"/>
        <v/>
      </c>
      <c r="AH109" s="105">
        <v>100</v>
      </c>
      <c r="AJ109" s="105" t="str">
        <f t="array" ref="AJ109">IFERROR(INDEX($AH$10:$AH$258, MATCH(0, IF(TRUE=$AE$10:$AE$258, COUNTIF($AJ$9:$AJ108, $AH$10:$AH$258), ""), 0)),"")</f>
        <v/>
      </c>
      <c r="AK109" s="105" t="str">
        <f t="array" ref="AK109">IFERROR(INDEX($AH$10:$AH$258, MATCH(0, IF(TRUE=$AF$10:$AF$258, COUNTIF($AK$9:$AK108, $AH$10:$AH$258), ""), 0)),"")</f>
        <v/>
      </c>
      <c r="AL109" s="15" t="str">
        <f>IFERROR(INDEX('G-6 Hedgerow Data'!$BJ$3:$BJ$15,MATCH(D109,'G-6 Hedgerow Data'!$B$3:$B$15,0)),"")</f>
        <v/>
      </c>
    </row>
    <row r="110" spans="2:38" x14ac:dyDescent="0.3">
      <c r="B110" s="92">
        <v>101</v>
      </c>
      <c r="C110" s="141"/>
      <c r="D110" s="141"/>
      <c r="E110" s="102"/>
      <c r="F110" s="335" t="str">
        <f>IF(D110="","",VLOOKUP(D110,'G-6 Hedgerow Data'!$B$2:$AG$15,2,FALSE))</f>
        <v/>
      </c>
      <c r="G110" s="291" t="str">
        <f>IF(D110="","",VLOOKUP(D110,'G-6 Hedgerow Data'!$B$2:$AG$15,3,FALSE))</f>
        <v/>
      </c>
      <c r="H110" s="95"/>
      <c r="I110" s="291" t="str">
        <f>IFERROR(IF(AND(D110&lt;&gt;"",H110=""),"Check data ⚠", IF(H110="","",IF(AND(D110="Non-native and ornamental hedgerow", H110&lt;&gt;"Poor"),"Not possible ▲", (VLOOKUP(H110,'G-1 All Habitats'!$Z$2:$AA$9,2,FALSE))))),"")</f>
        <v/>
      </c>
      <c r="J110" s="95"/>
      <c r="K110" s="298" t="str">
        <f>IF(AND(D110&lt;&gt;"",J110=""),"Check data ⚠", IF(J110="","",IF(VLOOKUP(J110,'G-3 Multipliers'!$L$3:$N$6,2,FALSE)=0,"Spatial Data Missing",VLOOKUP(J110,'G-3 Multipliers'!$L$3:$N$6,2,FALSE))))</f>
        <v/>
      </c>
      <c r="L110" s="296" t="str">
        <f>IF(J110="","",IF(VLOOKUP(J110,'G-3 Multipliers'!$L$3:$N$6,3,FALSE)=0,"Spatial Data Missing ⚠",VLOOKUP(J110,'G-3 Multipliers'!$L$3:$N$6,3,FALSE)))</f>
        <v/>
      </c>
      <c r="M110" s="297" t="str">
        <f>IF(D110="","",VLOOKUP(D110,'G-6 Hedgerow Data'!$B$1:$AH$15,33,FALSE))</f>
        <v/>
      </c>
      <c r="N110" s="304" t="str">
        <f t="shared" si="9"/>
        <v/>
      </c>
      <c r="O110" s="17"/>
      <c r="P110" s="103"/>
      <c r="Q110" s="141"/>
      <c r="R110" s="320" t="str">
        <f t="shared" si="10"/>
        <v/>
      </c>
      <c r="S110" s="320" t="str">
        <f t="shared" si="11"/>
        <v/>
      </c>
      <c r="T110" s="320" t="str">
        <f t="shared" si="12"/>
        <v/>
      </c>
      <c r="U110" s="339" t="str">
        <f t="shared" si="13"/>
        <v/>
      </c>
      <c r="V110" s="100"/>
      <c r="W110" s="101"/>
      <c r="X110" s="101"/>
      <c r="AE110" s="105" t="str">
        <f t="shared" si="7"/>
        <v/>
      </c>
      <c r="AF110" s="105" t="str">
        <f t="shared" si="8"/>
        <v/>
      </c>
      <c r="AH110" s="105">
        <v>101</v>
      </c>
      <c r="AJ110" s="105" t="str">
        <f t="array" ref="AJ110">IFERROR(INDEX($AH$10:$AH$258, MATCH(0, IF(TRUE=$AE$10:$AE$258, COUNTIF($AJ$9:$AJ109, $AH$10:$AH$258), ""), 0)),"")</f>
        <v/>
      </c>
      <c r="AK110" s="105" t="str">
        <f t="array" ref="AK110">IFERROR(INDEX($AH$10:$AH$258, MATCH(0, IF(TRUE=$AF$10:$AF$258, COUNTIF($AK$9:$AK109, $AH$10:$AH$258), ""), 0)),"")</f>
        <v/>
      </c>
      <c r="AL110" s="15" t="str">
        <f>IFERROR(INDEX('G-6 Hedgerow Data'!$BJ$3:$BJ$15,MATCH(D110,'G-6 Hedgerow Data'!$B$3:$B$15,0)),"")</f>
        <v/>
      </c>
    </row>
    <row r="111" spans="2:38" x14ac:dyDescent="0.3">
      <c r="B111" s="92">
        <v>102</v>
      </c>
      <c r="C111" s="141"/>
      <c r="D111" s="141"/>
      <c r="E111" s="102"/>
      <c r="F111" s="335" t="str">
        <f>IF(D111="","",VLOOKUP(D111,'G-6 Hedgerow Data'!$B$2:$AG$15,2,FALSE))</f>
        <v/>
      </c>
      <c r="G111" s="291" t="str">
        <f>IF(D111="","",VLOOKUP(D111,'G-6 Hedgerow Data'!$B$2:$AG$15,3,FALSE))</f>
        <v/>
      </c>
      <c r="H111" s="95"/>
      <c r="I111" s="291" t="str">
        <f>IFERROR(IF(AND(D111&lt;&gt;"",H111=""),"Check data ⚠", IF(H111="","",IF(AND(D111="Non-native and ornamental hedgerow", H111&lt;&gt;"Poor"),"Not possible ▲", (VLOOKUP(H111,'G-1 All Habitats'!$Z$2:$AA$9,2,FALSE))))),"")</f>
        <v/>
      </c>
      <c r="J111" s="95"/>
      <c r="K111" s="298" t="str">
        <f>IF(AND(D111&lt;&gt;"",J111=""),"Check data ⚠", IF(J111="","",IF(VLOOKUP(J111,'G-3 Multipliers'!$L$3:$N$6,2,FALSE)=0,"Spatial Data Missing",VLOOKUP(J111,'G-3 Multipliers'!$L$3:$N$6,2,FALSE))))</f>
        <v/>
      </c>
      <c r="L111" s="296" t="str">
        <f>IF(J111="","",IF(VLOOKUP(J111,'G-3 Multipliers'!$L$3:$N$6,3,FALSE)=0,"Spatial Data Missing ⚠",VLOOKUP(J111,'G-3 Multipliers'!$L$3:$N$6,3,FALSE)))</f>
        <v/>
      </c>
      <c r="M111" s="297" t="str">
        <f>IF(D111="","",VLOOKUP(D111,'G-6 Hedgerow Data'!$B$1:$AH$15,33,FALSE))</f>
        <v/>
      </c>
      <c r="N111" s="304" t="str">
        <f t="shared" si="9"/>
        <v/>
      </c>
      <c r="O111" s="17"/>
      <c r="P111" s="103"/>
      <c r="Q111" s="141"/>
      <c r="R111" s="320" t="str">
        <f t="shared" si="10"/>
        <v/>
      </c>
      <c r="S111" s="320" t="str">
        <f t="shared" si="11"/>
        <v/>
      </c>
      <c r="T111" s="320" t="str">
        <f t="shared" si="12"/>
        <v/>
      </c>
      <c r="U111" s="339" t="str">
        <f t="shared" si="13"/>
        <v/>
      </c>
      <c r="V111" s="100"/>
      <c r="W111" s="101"/>
      <c r="X111" s="101"/>
      <c r="AE111" s="105" t="str">
        <f t="shared" si="7"/>
        <v/>
      </c>
      <c r="AF111" s="105" t="str">
        <f t="shared" si="8"/>
        <v/>
      </c>
      <c r="AH111" s="105">
        <v>102</v>
      </c>
      <c r="AJ111" s="105" t="str">
        <f t="array" ref="AJ111">IFERROR(INDEX($AH$10:$AH$258, MATCH(0, IF(TRUE=$AE$10:$AE$258, COUNTIF($AJ$9:$AJ110, $AH$10:$AH$258), ""), 0)),"")</f>
        <v/>
      </c>
      <c r="AK111" s="105" t="str">
        <f t="array" ref="AK111">IFERROR(INDEX($AH$10:$AH$258, MATCH(0, IF(TRUE=$AF$10:$AF$258, COUNTIF($AK$9:$AK110, $AH$10:$AH$258), ""), 0)),"")</f>
        <v/>
      </c>
      <c r="AL111" s="15" t="str">
        <f>IFERROR(INDEX('G-6 Hedgerow Data'!$BJ$3:$BJ$15,MATCH(D111,'G-6 Hedgerow Data'!$B$3:$B$15,0)),"")</f>
        <v/>
      </c>
    </row>
    <row r="112" spans="2:38" x14ac:dyDescent="0.3">
      <c r="B112" s="92">
        <v>103</v>
      </c>
      <c r="C112" s="141"/>
      <c r="D112" s="141"/>
      <c r="E112" s="102"/>
      <c r="F112" s="335" t="str">
        <f>IF(D112="","",VLOOKUP(D112,'G-6 Hedgerow Data'!$B$2:$AG$15,2,FALSE))</f>
        <v/>
      </c>
      <c r="G112" s="291" t="str">
        <f>IF(D112="","",VLOOKUP(D112,'G-6 Hedgerow Data'!$B$2:$AG$15,3,FALSE))</f>
        <v/>
      </c>
      <c r="H112" s="95"/>
      <c r="I112" s="291" t="str">
        <f>IFERROR(IF(AND(D112&lt;&gt;"",H112=""),"Check data ⚠", IF(H112="","",IF(AND(D112="Non-native and ornamental hedgerow", H112&lt;&gt;"Poor"),"Not possible ▲", (VLOOKUP(H112,'G-1 All Habitats'!$Z$2:$AA$9,2,FALSE))))),"")</f>
        <v/>
      </c>
      <c r="J112" s="95"/>
      <c r="K112" s="298" t="str">
        <f>IF(AND(D112&lt;&gt;"",J112=""),"Check data ⚠", IF(J112="","",IF(VLOOKUP(J112,'G-3 Multipliers'!$L$3:$N$6,2,FALSE)=0,"Spatial Data Missing",VLOOKUP(J112,'G-3 Multipliers'!$L$3:$N$6,2,FALSE))))</f>
        <v/>
      </c>
      <c r="L112" s="296" t="str">
        <f>IF(J112="","",IF(VLOOKUP(J112,'G-3 Multipliers'!$L$3:$N$6,3,FALSE)=0,"Spatial Data Missing ⚠",VLOOKUP(J112,'G-3 Multipliers'!$L$3:$N$6,3,FALSE)))</f>
        <v/>
      </c>
      <c r="M112" s="297" t="str">
        <f>IF(D112="","",VLOOKUP(D112,'G-6 Hedgerow Data'!$B$1:$AH$15,33,FALSE))</f>
        <v/>
      </c>
      <c r="N112" s="304" t="str">
        <f t="shared" si="9"/>
        <v/>
      </c>
      <c r="O112" s="17"/>
      <c r="P112" s="103"/>
      <c r="Q112" s="141"/>
      <c r="R112" s="320" t="str">
        <f t="shared" si="10"/>
        <v/>
      </c>
      <c r="S112" s="320" t="str">
        <f t="shared" si="11"/>
        <v/>
      </c>
      <c r="T112" s="320" t="str">
        <f t="shared" si="12"/>
        <v/>
      </c>
      <c r="U112" s="339" t="str">
        <f t="shared" si="13"/>
        <v/>
      </c>
      <c r="V112" s="100"/>
      <c r="W112" s="101"/>
      <c r="X112" s="101"/>
      <c r="AE112" s="105" t="str">
        <f t="shared" si="7"/>
        <v/>
      </c>
      <c r="AF112" s="105" t="str">
        <f t="shared" si="8"/>
        <v/>
      </c>
      <c r="AH112" s="105">
        <v>103</v>
      </c>
      <c r="AJ112" s="105" t="str">
        <f t="array" ref="AJ112">IFERROR(INDEX($AH$10:$AH$258, MATCH(0, IF(TRUE=$AE$10:$AE$258, COUNTIF($AJ$9:$AJ111, $AH$10:$AH$258), ""), 0)),"")</f>
        <v/>
      </c>
      <c r="AK112" s="105" t="str">
        <f t="array" ref="AK112">IFERROR(INDEX($AH$10:$AH$258, MATCH(0, IF(TRUE=$AF$10:$AF$258, COUNTIF($AK$9:$AK111, $AH$10:$AH$258), ""), 0)),"")</f>
        <v/>
      </c>
      <c r="AL112" s="15" t="str">
        <f>IFERROR(INDEX('G-6 Hedgerow Data'!$BJ$3:$BJ$15,MATCH(D112,'G-6 Hedgerow Data'!$B$3:$B$15,0)),"")</f>
        <v/>
      </c>
    </row>
    <row r="113" spans="2:38" x14ac:dyDescent="0.3">
      <c r="B113" s="92">
        <v>104</v>
      </c>
      <c r="C113" s="141"/>
      <c r="D113" s="141"/>
      <c r="E113" s="102"/>
      <c r="F113" s="335" t="str">
        <f>IF(D113="","",VLOOKUP(D113,'G-6 Hedgerow Data'!$B$2:$AG$15,2,FALSE))</f>
        <v/>
      </c>
      <c r="G113" s="291" t="str">
        <f>IF(D113="","",VLOOKUP(D113,'G-6 Hedgerow Data'!$B$2:$AG$15,3,FALSE))</f>
        <v/>
      </c>
      <c r="H113" s="95"/>
      <c r="I113" s="291" t="str">
        <f>IFERROR(IF(AND(D113&lt;&gt;"",H113=""),"Check data ⚠", IF(H113="","",IF(AND(D113="Non-native and ornamental hedgerow", H113&lt;&gt;"Poor"),"Not possible ▲", (VLOOKUP(H113,'G-1 All Habitats'!$Z$2:$AA$9,2,FALSE))))),"")</f>
        <v/>
      </c>
      <c r="J113" s="95"/>
      <c r="K113" s="298" t="str">
        <f>IF(AND(D113&lt;&gt;"",J113=""),"Check data ⚠", IF(J113="","",IF(VLOOKUP(J113,'G-3 Multipliers'!$L$3:$N$6,2,FALSE)=0,"Spatial Data Missing",VLOOKUP(J113,'G-3 Multipliers'!$L$3:$N$6,2,FALSE))))</f>
        <v/>
      </c>
      <c r="L113" s="296" t="str">
        <f>IF(J113="","",IF(VLOOKUP(J113,'G-3 Multipliers'!$L$3:$N$6,3,FALSE)=0,"Spatial Data Missing ⚠",VLOOKUP(J113,'G-3 Multipliers'!$L$3:$N$6,3,FALSE)))</f>
        <v/>
      </c>
      <c r="M113" s="297" t="str">
        <f>IF(D113="","",VLOOKUP(D113,'G-6 Hedgerow Data'!$B$1:$AH$15,33,FALSE))</f>
        <v/>
      </c>
      <c r="N113" s="304" t="str">
        <f t="shared" si="9"/>
        <v/>
      </c>
      <c r="O113" s="17"/>
      <c r="P113" s="103"/>
      <c r="Q113" s="141"/>
      <c r="R113" s="320" t="str">
        <f t="shared" si="10"/>
        <v/>
      </c>
      <c r="S113" s="320" t="str">
        <f t="shared" si="11"/>
        <v/>
      </c>
      <c r="T113" s="320" t="str">
        <f t="shared" si="12"/>
        <v/>
      </c>
      <c r="U113" s="339" t="str">
        <f t="shared" si="13"/>
        <v/>
      </c>
      <c r="V113" s="100"/>
      <c r="W113" s="101"/>
      <c r="X113" s="101"/>
      <c r="AE113" s="105" t="str">
        <f t="shared" si="7"/>
        <v/>
      </c>
      <c r="AF113" s="105" t="str">
        <f t="shared" si="8"/>
        <v/>
      </c>
      <c r="AH113" s="105">
        <v>104</v>
      </c>
      <c r="AJ113" s="105" t="str">
        <f t="array" ref="AJ113">IFERROR(INDEX($AH$10:$AH$258, MATCH(0, IF(TRUE=$AE$10:$AE$258, COUNTIF($AJ$9:$AJ112, $AH$10:$AH$258), ""), 0)),"")</f>
        <v/>
      </c>
      <c r="AK113" s="105" t="str">
        <f t="array" ref="AK113">IFERROR(INDEX($AH$10:$AH$258, MATCH(0, IF(TRUE=$AF$10:$AF$258, COUNTIF($AK$9:$AK112, $AH$10:$AH$258), ""), 0)),"")</f>
        <v/>
      </c>
      <c r="AL113" s="15" t="str">
        <f>IFERROR(INDEX('G-6 Hedgerow Data'!$BJ$3:$BJ$15,MATCH(D113,'G-6 Hedgerow Data'!$B$3:$B$15,0)),"")</f>
        <v/>
      </c>
    </row>
    <row r="114" spans="2:38" x14ac:dyDescent="0.3">
      <c r="B114" s="92">
        <v>105</v>
      </c>
      <c r="C114" s="141"/>
      <c r="D114" s="141"/>
      <c r="E114" s="102"/>
      <c r="F114" s="335" t="str">
        <f>IF(D114="","",VLOOKUP(D114,'G-6 Hedgerow Data'!$B$2:$AG$15,2,FALSE))</f>
        <v/>
      </c>
      <c r="G114" s="291" t="str">
        <f>IF(D114="","",VLOOKUP(D114,'G-6 Hedgerow Data'!$B$2:$AG$15,3,FALSE))</f>
        <v/>
      </c>
      <c r="H114" s="95"/>
      <c r="I114" s="291" t="str">
        <f>IFERROR(IF(AND(D114&lt;&gt;"",H114=""),"Check data ⚠", IF(H114="","",IF(AND(D114="Non-native and ornamental hedgerow", H114&lt;&gt;"Poor"),"Not possible ▲", (VLOOKUP(H114,'G-1 All Habitats'!$Z$2:$AA$9,2,FALSE))))),"")</f>
        <v/>
      </c>
      <c r="J114" s="95"/>
      <c r="K114" s="298" t="str">
        <f>IF(AND(D114&lt;&gt;"",J114=""),"Check data ⚠", IF(J114="","",IF(VLOOKUP(J114,'G-3 Multipliers'!$L$3:$N$6,2,FALSE)=0,"Spatial Data Missing",VLOOKUP(J114,'G-3 Multipliers'!$L$3:$N$6,2,FALSE))))</f>
        <v/>
      </c>
      <c r="L114" s="296" t="str">
        <f>IF(J114="","",IF(VLOOKUP(J114,'G-3 Multipliers'!$L$3:$N$6,3,FALSE)=0,"Spatial Data Missing ⚠",VLOOKUP(J114,'G-3 Multipliers'!$L$3:$N$6,3,FALSE)))</f>
        <v/>
      </c>
      <c r="M114" s="297" t="str">
        <f>IF(D114="","",VLOOKUP(D114,'G-6 Hedgerow Data'!$B$1:$AH$15,33,FALSE))</f>
        <v/>
      </c>
      <c r="N114" s="304" t="str">
        <f t="shared" si="9"/>
        <v/>
      </c>
      <c r="O114" s="17"/>
      <c r="P114" s="103"/>
      <c r="Q114" s="141"/>
      <c r="R114" s="320" t="str">
        <f t="shared" si="10"/>
        <v/>
      </c>
      <c r="S114" s="320" t="str">
        <f t="shared" si="11"/>
        <v/>
      </c>
      <c r="T114" s="320" t="str">
        <f t="shared" si="12"/>
        <v/>
      </c>
      <c r="U114" s="339" t="str">
        <f t="shared" si="13"/>
        <v/>
      </c>
      <c r="V114" s="100"/>
      <c r="W114" s="101"/>
      <c r="X114" s="101"/>
      <c r="AE114" s="105" t="str">
        <f t="shared" si="7"/>
        <v/>
      </c>
      <c r="AF114" s="105" t="str">
        <f t="shared" si="8"/>
        <v/>
      </c>
      <c r="AH114" s="105">
        <v>105</v>
      </c>
      <c r="AJ114" s="105" t="str">
        <f t="array" ref="AJ114">IFERROR(INDEX($AH$10:$AH$258, MATCH(0, IF(TRUE=$AE$10:$AE$258, COUNTIF($AJ$9:$AJ113, $AH$10:$AH$258), ""), 0)),"")</f>
        <v/>
      </c>
      <c r="AK114" s="105" t="str">
        <f t="array" ref="AK114">IFERROR(INDEX($AH$10:$AH$258, MATCH(0, IF(TRUE=$AF$10:$AF$258, COUNTIF($AK$9:$AK113, $AH$10:$AH$258), ""), 0)),"")</f>
        <v/>
      </c>
      <c r="AL114" s="15" t="str">
        <f>IFERROR(INDEX('G-6 Hedgerow Data'!$BJ$3:$BJ$15,MATCH(D114,'G-6 Hedgerow Data'!$B$3:$B$15,0)),"")</f>
        <v/>
      </c>
    </row>
    <row r="115" spans="2:38" x14ac:dyDescent="0.3">
      <c r="B115" s="92">
        <v>106</v>
      </c>
      <c r="C115" s="141"/>
      <c r="D115" s="141"/>
      <c r="E115" s="102"/>
      <c r="F115" s="335" t="str">
        <f>IF(D115="","",VLOOKUP(D115,'G-6 Hedgerow Data'!$B$2:$AG$15,2,FALSE))</f>
        <v/>
      </c>
      <c r="G115" s="291" t="str">
        <f>IF(D115="","",VLOOKUP(D115,'G-6 Hedgerow Data'!$B$2:$AG$15,3,FALSE))</f>
        <v/>
      </c>
      <c r="H115" s="95"/>
      <c r="I115" s="291" t="str">
        <f>IFERROR(IF(AND(D115&lt;&gt;"",H115=""),"Check data ⚠", IF(H115="","",IF(AND(D115="Non-native and ornamental hedgerow", H115&lt;&gt;"Poor"),"Not possible ▲", (VLOOKUP(H115,'G-1 All Habitats'!$Z$2:$AA$9,2,FALSE))))),"")</f>
        <v/>
      </c>
      <c r="J115" s="95"/>
      <c r="K115" s="298" t="str">
        <f>IF(AND(D115&lt;&gt;"",J115=""),"Check data ⚠", IF(J115="","",IF(VLOOKUP(J115,'G-3 Multipliers'!$L$3:$N$6,2,FALSE)=0,"Spatial Data Missing",VLOOKUP(J115,'G-3 Multipliers'!$L$3:$N$6,2,FALSE))))</f>
        <v/>
      </c>
      <c r="L115" s="296" t="str">
        <f>IF(J115="","",IF(VLOOKUP(J115,'G-3 Multipliers'!$L$3:$N$6,3,FALSE)=0,"Spatial Data Missing ⚠",VLOOKUP(J115,'G-3 Multipliers'!$L$3:$N$6,3,FALSE)))</f>
        <v/>
      </c>
      <c r="M115" s="297" t="str">
        <f>IF(D115="","",VLOOKUP(D115,'G-6 Hedgerow Data'!$B$1:$AH$15,33,FALSE))</f>
        <v/>
      </c>
      <c r="N115" s="304" t="str">
        <f t="shared" si="9"/>
        <v/>
      </c>
      <c r="O115" s="17"/>
      <c r="P115" s="103"/>
      <c r="Q115" s="141"/>
      <c r="R115" s="320" t="str">
        <f t="shared" si="10"/>
        <v/>
      </c>
      <c r="S115" s="320" t="str">
        <f t="shared" si="11"/>
        <v/>
      </c>
      <c r="T115" s="320" t="str">
        <f t="shared" si="12"/>
        <v/>
      </c>
      <c r="U115" s="339" t="str">
        <f t="shared" si="13"/>
        <v/>
      </c>
      <c r="V115" s="100"/>
      <c r="W115" s="101"/>
      <c r="X115" s="101"/>
      <c r="AE115" s="105" t="str">
        <f t="shared" si="7"/>
        <v/>
      </c>
      <c r="AF115" s="105" t="str">
        <f t="shared" si="8"/>
        <v/>
      </c>
      <c r="AH115" s="105">
        <v>106</v>
      </c>
      <c r="AJ115" s="105" t="str">
        <f t="array" ref="AJ115">IFERROR(INDEX($AH$10:$AH$258, MATCH(0, IF(TRUE=$AE$10:$AE$258, COUNTIF($AJ$9:$AJ114, $AH$10:$AH$258), ""), 0)),"")</f>
        <v/>
      </c>
      <c r="AK115" s="105" t="str">
        <f t="array" ref="AK115">IFERROR(INDEX($AH$10:$AH$258, MATCH(0, IF(TRUE=$AF$10:$AF$258, COUNTIF($AK$9:$AK114, $AH$10:$AH$258), ""), 0)),"")</f>
        <v/>
      </c>
      <c r="AL115" s="15" t="str">
        <f>IFERROR(INDEX('G-6 Hedgerow Data'!$BJ$3:$BJ$15,MATCH(D115,'G-6 Hedgerow Data'!$B$3:$B$15,0)),"")</f>
        <v/>
      </c>
    </row>
    <row r="116" spans="2:38" x14ac:dyDescent="0.3">
      <c r="B116" s="92">
        <v>107</v>
      </c>
      <c r="C116" s="141"/>
      <c r="D116" s="141"/>
      <c r="E116" s="102"/>
      <c r="F116" s="335" t="str">
        <f>IF(D116="","",VLOOKUP(D116,'G-6 Hedgerow Data'!$B$2:$AG$15,2,FALSE))</f>
        <v/>
      </c>
      <c r="G116" s="291" t="str">
        <f>IF(D116="","",VLOOKUP(D116,'G-6 Hedgerow Data'!$B$2:$AG$15,3,FALSE))</f>
        <v/>
      </c>
      <c r="H116" s="95"/>
      <c r="I116" s="291" t="str">
        <f>IFERROR(IF(AND(D116&lt;&gt;"",H116=""),"Check data ⚠", IF(H116="","",IF(AND(D116="Non-native and ornamental hedgerow", H116&lt;&gt;"Poor"),"Not possible ▲", (VLOOKUP(H116,'G-1 All Habitats'!$Z$2:$AA$9,2,FALSE))))),"")</f>
        <v/>
      </c>
      <c r="J116" s="95"/>
      <c r="K116" s="298" t="str">
        <f>IF(AND(D116&lt;&gt;"",J116=""),"Check data ⚠", IF(J116="","",IF(VLOOKUP(J116,'G-3 Multipliers'!$L$3:$N$6,2,FALSE)=0,"Spatial Data Missing",VLOOKUP(J116,'G-3 Multipliers'!$L$3:$N$6,2,FALSE))))</f>
        <v/>
      </c>
      <c r="L116" s="296" t="str">
        <f>IF(J116="","",IF(VLOOKUP(J116,'G-3 Multipliers'!$L$3:$N$6,3,FALSE)=0,"Spatial Data Missing ⚠",VLOOKUP(J116,'G-3 Multipliers'!$L$3:$N$6,3,FALSE)))</f>
        <v/>
      </c>
      <c r="M116" s="297" t="str">
        <f>IF(D116="","",VLOOKUP(D116,'G-6 Hedgerow Data'!$B$1:$AH$15,33,FALSE))</f>
        <v/>
      </c>
      <c r="N116" s="304" t="str">
        <f t="shared" si="9"/>
        <v/>
      </c>
      <c r="O116" s="17"/>
      <c r="P116" s="103"/>
      <c r="Q116" s="141"/>
      <c r="R116" s="320" t="str">
        <f t="shared" si="10"/>
        <v/>
      </c>
      <c r="S116" s="320" t="str">
        <f t="shared" si="11"/>
        <v/>
      </c>
      <c r="T116" s="320" t="str">
        <f t="shared" si="12"/>
        <v/>
      </c>
      <c r="U116" s="339" t="str">
        <f t="shared" si="13"/>
        <v/>
      </c>
      <c r="V116" s="100"/>
      <c r="W116" s="101"/>
      <c r="X116" s="101"/>
      <c r="AE116" s="105" t="str">
        <f t="shared" si="7"/>
        <v/>
      </c>
      <c r="AF116" s="105" t="str">
        <f t="shared" si="8"/>
        <v/>
      </c>
      <c r="AH116" s="105">
        <v>107</v>
      </c>
      <c r="AJ116" s="105" t="str">
        <f t="array" ref="AJ116">IFERROR(INDEX($AH$10:$AH$258, MATCH(0, IF(TRUE=$AE$10:$AE$258, COUNTIF($AJ$9:$AJ115, $AH$10:$AH$258), ""), 0)),"")</f>
        <v/>
      </c>
      <c r="AK116" s="105" t="str">
        <f t="array" ref="AK116">IFERROR(INDEX($AH$10:$AH$258, MATCH(0, IF(TRUE=$AF$10:$AF$258, COUNTIF($AK$9:$AK115, $AH$10:$AH$258), ""), 0)),"")</f>
        <v/>
      </c>
      <c r="AL116" s="15" t="str">
        <f>IFERROR(INDEX('G-6 Hedgerow Data'!$BJ$3:$BJ$15,MATCH(D116,'G-6 Hedgerow Data'!$B$3:$B$15,0)),"")</f>
        <v/>
      </c>
    </row>
    <row r="117" spans="2:38" x14ac:dyDescent="0.3">
      <c r="B117" s="92">
        <v>108</v>
      </c>
      <c r="C117" s="141"/>
      <c r="D117" s="141"/>
      <c r="E117" s="102"/>
      <c r="F117" s="335" t="str">
        <f>IF(D117="","",VLOOKUP(D117,'G-6 Hedgerow Data'!$B$2:$AG$15,2,FALSE))</f>
        <v/>
      </c>
      <c r="G117" s="291" t="str">
        <f>IF(D117="","",VLOOKUP(D117,'G-6 Hedgerow Data'!$B$2:$AG$15,3,FALSE))</f>
        <v/>
      </c>
      <c r="H117" s="95"/>
      <c r="I117" s="291" t="str">
        <f>IFERROR(IF(AND(D117&lt;&gt;"",H117=""),"Check data ⚠", IF(H117="","",IF(AND(D117="Non-native and ornamental hedgerow", H117&lt;&gt;"Poor"),"Not possible ▲", (VLOOKUP(H117,'G-1 All Habitats'!$Z$2:$AA$9,2,FALSE))))),"")</f>
        <v/>
      </c>
      <c r="J117" s="95"/>
      <c r="K117" s="298" t="str">
        <f>IF(AND(D117&lt;&gt;"",J117=""),"Check data ⚠", IF(J117="","",IF(VLOOKUP(J117,'G-3 Multipliers'!$L$3:$N$6,2,FALSE)=0,"Spatial Data Missing",VLOOKUP(J117,'G-3 Multipliers'!$L$3:$N$6,2,FALSE))))</f>
        <v/>
      </c>
      <c r="L117" s="296" t="str">
        <f>IF(J117="","",IF(VLOOKUP(J117,'G-3 Multipliers'!$L$3:$N$6,3,FALSE)=0,"Spatial Data Missing ⚠",VLOOKUP(J117,'G-3 Multipliers'!$L$3:$N$6,3,FALSE)))</f>
        <v/>
      </c>
      <c r="M117" s="297" t="str">
        <f>IF(D117="","",VLOOKUP(D117,'G-6 Hedgerow Data'!$B$1:$AH$15,33,FALSE))</f>
        <v/>
      </c>
      <c r="N117" s="304" t="str">
        <f t="shared" si="9"/>
        <v/>
      </c>
      <c r="O117" s="17"/>
      <c r="P117" s="103"/>
      <c r="Q117" s="141"/>
      <c r="R117" s="320" t="str">
        <f t="shared" si="10"/>
        <v/>
      </c>
      <c r="S117" s="320" t="str">
        <f t="shared" si="11"/>
        <v/>
      </c>
      <c r="T117" s="320" t="str">
        <f t="shared" si="12"/>
        <v/>
      </c>
      <c r="U117" s="339" t="str">
        <f t="shared" si="13"/>
        <v/>
      </c>
      <c r="V117" s="100"/>
      <c r="W117" s="101"/>
      <c r="X117" s="101"/>
      <c r="AE117" s="105" t="str">
        <f t="shared" si="7"/>
        <v/>
      </c>
      <c r="AF117" s="105" t="str">
        <f t="shared" si="8"/>
        <v/>
      </c>
      <c r="AH117" s="105">
        <v>108</v>
      </c>
      <c r="AJ117" s="105" t="str">
        <f t="array" ref="AJ117">IFERROR(INDEX($AH$10:$AH$258, MATCH(0, IF(TRUE=$AE$10:$AE$258, COUNTIF($AJ$9:$AJ116, $AH$10:$AH$258), ""), 0)),"")</f>
        <v/>
      </c>
      <c r="AK117" s="105" t="str">
        <f t="array" ref="AK117">IFERROR(INDEX($AH$10:$AH$258, MATCH(0, IF(TRUE=$AF$10:$AF$258, COUNTIF($AK$9:$AK116, $AH$10:$AH$258), ""), 0)),"")</f>
        <v/>
      </c>
      <c r="AL117" s="15" t="str">
        <f>IFERROR(INDEX('G-6 Hedgerow Data'!$BJ$3:$BJ$15,MATCH(D117,'G-6 Hedgerow Data'!$B$3:$B$15,0)),"")</f>
        <v/>
      </c>
    </row>
    <row r="118" spans="2:38" x14ac:dyDescent="0.3">
      <c r="B118" s="92">
        <v>109</v>
      </c>
      <c r="C118" s="141"/>
      <c r="D118" s="141"/>
      <c r="E118" s="102"/>
      <c r="F118" s="335" t="str">
        <f>IF(D118="","",VLOOKUP(D118,'G-6 Hedgerow Data'!$B$2:$AG$15,2,FALSE))</f>
        <v/>
      </c>
      <c r="G118" s="291" t="str">
        <f>IF(D118="","",VLOOKUP(D118,'G-6 Hedgerow Data'!$B$2:$AG$15,3,FALSE))</f>
        <v/>
      </c>
      <c r="H118" s="95"/>
      <c r="I118" s="291" t="str">
        <f>IFERROR(IF(AND(D118&lt;&gt;"",H118=""),"Check data ⚠", IF(H118="","",IF(AND(D118="Non-native and ornamental hedgerow", H118&lt;&gt;"Poor"),"Not possible ▲", (VLOOKUP(H118,'G-1 All Habitats'!$Z$2:$AA$9,2,FALSE))))),"")</f>
        <v/>
      </c>
      <c r="J118" s="95"/>
      <c r="K118" s="298" t="str">
        <f>IF(AND(D118&lt;&gt;"",J118=""),"Check data ⚠", IF(J118="","",IF(VLOOKUP(J118,'G-3 Multipliers'!$L$3:$N$6,2,FALSE)=0,"Spatial Data Missing",VLOOKUP(J118,'G-3 Multipliers'!$L$3:$N$6,2,FALSE))))</f>
        <v/>
      </c>
      <c r="L118" s="296" t="str">
        <f>IF(J118="","",IF(VLOOKUP(J118,'G-3 Multipliers'!$L$3:$N$6,3,FALSE)=0,"Spatial Data Missing ⚠",VLOOKUP(J118,'G-3 Multipliers'!$L$3:$N$6,3,FALSE)))</f>
        <v/>
      </c>
      <c r="M118" s="297" t="str">
        <f>IF(D118="","",VLOOKUP(D118,'G-6 Hedgerow Data'!$B$1:$AH$15,33,FALSE))</f>
        <v/>
      </c>
      <c r="N118" s="304" t="str">
        <f t="shared" si="9"/>
        <v/>
      </c>
      <c r="O118" s="17"/>
      <c r="P118" s="103"/>
      <c r="Q118" s="141"/>
      <c r="R118" s="320" t="str">
        <f t="shared" si="10"/>
        <v/>
      </c>
      <c r="S118" s="320" t="str">
        <f t="shared" si="11"/>
        <v/>
      </c>
      <c r="T118" s="320" t="str">
        <f t="shared" si="12"/>
        <v/>
      </c>
      <c r="U118" s="339" t="str">
        <f t="shared" si="13"/>
        <v/>
      </c>
      <c r="V118" s="100"/>
      <c r="W118" s="101"/>
      <c r="X118" s="101"/>
      <c r="AE118" s="105" t="str">
        <f t="shared" si="7"/>
        <v/>
      </c>
      <c r="AF118" s="105" t="str">
        <f t="shared" si="8"/>
        <v/>
      </c>
      <c r="AH118" s="105">
        <v>109</v>
      </c>
      <c r="AJ118" s="105" t="str">
        <f t="array" ref="AJ118">IFERROR(INDEX($AH$10:$AH$258, MATCH(0, IF(TRUE=$AE$10:$AE$258, COUNTIF($AJ$9:$AJ117, $AH$10:$AH$258), ""), 0)),"")</f>
        <v/>
      </c>
      <c r="AK118" s="105" t="str">
        <f t="array" ref="AK118">IFERROR(INDEX($AH$10:$AH$258, MATCH(0, IF(TRUE=$AF$10:$AF$258, COUNTIF($AK$9:$AK117, $AH$10:$AH$258), ""), 0)),"")</f>
        <v/>
      </c>
      <c r="AL118" s="15" t="str">
        <f>IFERROR(INDEX('G-6 Hedgerow Data'!$BJ$3:$BJ$15,MATCH(D118,'G-6 Hedgerow Data'!$B$3:$B$15,0)),"")</f>
        <v/>
      </c>
    </row>
    <row r="119" spans="2:38" x14ac:dyDescent="0.3">
      <c r="B119" s="92">
        <v>110</v>
      </c>
      <c r="C119" s="141"/>
      <c r="D119" s="141"/>
      <c r="E119" s="102"/>
      <c r="F119" s="335" t="str">
        <f>IF(D119="","",VLOOKUP(D119,'G-6 Hedgerow Data'!$B$2:$AG$15,2,FALSE))</f>
        <v/>
      </c>
      <c r="G119" s="291" t="str">
        <f>IF(D119="","",VLOOKUP(D119,'G-6 Hedgerow Data'!$B$2:$AG$15,3,FALSE))</f>
        <v/>
      </c>
      <c r="H119" s="95"/>
      <c r="I119" s="291" t="str">
        <f>IFERROR(IF(AND(D119&lt;&gt;"",H119=""),"Check data ⚠", IF(H119="","",IF(AND(D119="Non-native and ornamental hedgerow", H119&lt;&gt;"Poor"),"Not possible ▲", (VLOOKUP(H119,'G-1 All Habitats'!$Z$2:$AA$9,2,FALSE))))),"")</f>
        <v/>
      </c>
      <c r="J119" s="95"/>
      <c r="K119" s="298" t="str">
        <f>IF(AND(D119&lt;&gt;"",J119=""),"Check data ⚠", IF(J119="","",IF(VLOOKUP(J119,'G-3 Multipliers'!$L$3:$N$6,2,FALSE)=0,"Spatial Data Missing",VLOOKUP(J119,'G-3 Multipliers'!$L$3:$N$6,2,FALSE))))</f>
        <v/>
      </c>
      <c r="L119" s="296" t="str">
        <f>IF(J119="","",IF(VLOOKUP(J119,'G-3 Multipliers'!$L$3:$N$6,3,FALSE)=0,"Spatial Data Missing ⚠",VLOOKUP(J119,'G-3 Multipliers'!$L$3:$N$6,3,FALSE)))</f>
        <v/>
      </c>
      <c r="M119" s="297" t="str">
        <f>IF(D119="","",VLOOKUP(D119,'G-6 Hedgerow Data'!$B$1:$AH$15,33,FALSE))</f>
        <v/>
      </c>
      <c r="N119" s="304" t="str">
        <f t="shared" si="9"/>
        <v/>
      </c>
      <c r="O119" s="17"/>
      <c r="P119" s="103"/>
      <c r="Q119" s="141"/>
      <c r="R119" s="320" t="str">
        <f t="shared" si="10"/>
        <v/>
      </c>
      <c r="S119" s="320" t="str">
        <f t="shared" si="11"/>
        <v/>
      </c>
      <c r="T119" s="320" t="str">
        <f t="shared" si="12"/>
        <v/>
      </c>
      <c r="U119" s="339" t="str">
        <f t="shared" si="13"/>
        <v/>
      </c>
      <c r="V119" s="100"/>
      <c r="W119" s="101"/>
      <c r="X119" s="101"/>
      <c r="AE119" s="105" t="str">
        <f t="shared" si="7"/>
        <v/>
      </c>
      <c r="AF119" s="105" t="str">
        <f t="shared" si="8"/>
        <v/>
      </c>
      <c r="AH119" s="105">
        <v>110</v>
      </c>
      <c r="AJ119" s="105" t="str">
        <f t="array" ref="AJ119">IFERROR(INDEX($AH$10:$AH$258, MATCH(0, IF(TRUE=$AE$10:$AE$258, COUNTIF($AJ$9:$AJ118, $AH$10:$AH$258), ""), 0)),"")</f>
        <v/>
      </c>
      <c r="AK119" s="105" t="str">
        <f t="array" ref="AK119">IFERROR(INDEX($AH$10:$AH$258, MATCH(0, IF(TRUE=$AF$10:$AF$258, COUNTIF($AK$9:$AK118, $AH$10:$AH$258), ""), 0)),"")</f>
        <v/>
      </c>
      <c r="AL119" s="15" t="str">
        <f>IFERROR(INDEX('G-6 Hedgerow Data'!$BJ$3:$BJ$15,MATCH(D119,'G-6 Hedgerow Data'!$B$3:$B$15,0)),"")</f>
        <v/>
      </c>
    </row>
    <row r="120" spans="2:38" x14ac:dyDescent="0.3">
      <c r="B120" s="92">
        <v>111</v>
      </c>
      <c r="C120" s="141"/>
      <c r="D120" s="141"/>
      <c r="E120" s="102"/>
      <c r="F120" s="335" t="str">
        <f>IF(D120="","",VLOOKUP(D120,'G-6 Hedgerow Data'!$B$2:$AG$15,2,FALSE))</f>
        <v/>
      </c>
      <c r="G120" s="291" t="str">
        <f>IF(D120="","",VLOOKUP(D120,'G-6 Hedgerow Data'!$B$2:$AG$15,3,FALSE))</f>
        <v/>
      </c>
      <c r="H120" s="95"/>
      <c r="I120" s="291" t="str">
        <f>IFERROR(IF(AND(D120&lt;&gt;"",H120=""),"Check data ⚠", IF(H120="","",IF(AND(D120="Non-native and ornamental hedgerow", H120&lt;&gt;"Poor"),"Not possible ▲", (VLOOKUP(H120,'G-1 All Habitats'!$Z$2:$AA$9,2,FALSE))))),"")</f>
        <v/>
      </c>
      <c r="J120" s="95"/>
      <c r="K120" s="298" t="str">
        <f>IF(AND(D120&lt;&gt;"",J120=""),"Check data ⚠", IF(J120="","",IF(VLOOKUP(J120,'G-3 Multipliers'!$L$3:$N$6,2,FALSE)=0,"Spatial Data Missing",VLOOKUP(J120,'G-3 Multipliers'!$L$3:$N$6,2,FALSE))))</f>
        <v/>
      </c>
      <c r="L120" s="296" t="str">
        <f>IF(J120="","",IF(VLOOKUP(J120,'G-3 Multipliers'!$L$3:$N$6,3,FALSE)=0,"Spatial Data Missing ⚠",VLOOKUP(J120,'G-3 Multipliers'!$L$3:$N$6,3,FALSE)))</f>
        <v/>
      </c>
      <c r="M120" s="297" t="str">
        <f>IF(D120="","",VLOOKUP(D120,'G-6 Hedgerow Data'!$B$1:$AH$15,33,FALSE))</f>
        <v/>
      </c>
      <c r="N120" s="304" t="str">
        <f t="shared" si="9"/>
        <v/>
      </c>
      <c r="O120" s="17"/>
      <c r="P120" s="103"/>
      <c r="Q120" s="141"/>
      <c r="R120" s="320" t="str">
        <f t="shared" si="10"/>
        <v/>
      </c>
      <c r="S120" s="320" t="str">
        <f t="shared" si="11"/>
        <v/>
      </c>
      <c r="T120" s="320" t="str">
        <f t="shared" si="12"/>
        <v/>
      </c>
      <c r="U120" s="339" t="str">
        <f t="shared" si="13"/>
        <v/>
      </c>
      <c r="V120" s="100"/>
      <c r="W120" s="101"/>
      <c r="X120" s="101"/>
      <c r="AE120" s="105" t="str">
        <f t="shared" si="7"/>
        <v/>
      </c>
      <c r="AF120" s="105" t="str">
        <f t="shared" si="8"/>
        <v/>
      </c>
      <c r="AH120" s="105">
        <v>111</v>
      </c>
      <c r="AJ120" s="105" t="str">
        <f t="array" ref="AJ120">IFERROR(INDEX($AH$10:$AH$258, MATCH(0, IF(TRUE=$AE$10:$AE$258, COUNTIF($AJ$9:$AJ119, $AH$10:$AH$258), ""), 0)),"")</f>
        <v/>
      </c>
      <c r="AK120" s="105" t="str">
        <f t="array" ref="AK120">IFERROR(INDEX($AH$10:$AH$258, MATCH(0, IF(TRUE=$AF$10:$AF$258, COUNTIF($AK$9:$AK119, $AH$10:$AH$258), ""), 0)),"")</f>
        <v/>
      </c>
      <c r="AL120" s="15" t="str">
        <f>IFERROR(INDEX('G-6 Hedgerow Data'!$BJ$3:$BJ$15,MATCH(D120,'G-6 Hedgerow Data'!$B$3:$B$15,0)),"")</f>
        <v/>
      </c>
    </row>
    <row r="121" spans="2:38" x14ac:dyDescent="0.3">
      <c r="B121" s="92">
        <v>112</v>
      </c>
      <c r="C121" s="141"/>
      <c r="D121" s="141"/>
      <c r="E121" s="102"/>
      <c r="F121" s="335" t="str">
        <f>IF(D121="","",VLOOKUP(D121,'G-6 Hedgerow Data'!$B$2:$AG$15,2,FALSE))</f>
        <v/>
      </c>
      <c r="G121" s="291" t="str">
        <f>IF(D121="","",VLOOKUP(D121,'G-6 Hedgerow Data'!$B$2:$AG$15,3,FALSE))</f>
        <v/>
      </c>
      <c r="H121" s="95"/>
      <c r="I121" s="291" t="str">
        <f>IFERROR(IF(AND(D121&lt;&gt;"",H121=""),"Check data ⚠", IF(H121="","",IF(AND(D121="Non-native and ornamental hedgerow", H121&lt;&gt;"Poor"),"Not possible ▲", (VLOOKUP(H121,'G-1 All Habitats'!$Z$2:$AA$9,2,FALSE))))),"")</f>
        <v/>
      </c>
      <c r="J121" s="95"/>
      <c r="K121" s="298" t="str">
        <f>IF(AND(D121&lt;&gt;"",J121=""),"Check data ⚠", IF(J121="","",IF(VLOOKUP(J121,'G-3 Multipliers'!$L$3:$N$6,2,FALSE)=0,"Spatial Data Missing",VLOOKUP(J121,'G-3 Multipliers'!$L$3:$N$6,2,FALSE))))</f>
        <v/>
      </c>
      <c r="L121" s="296" t="str">
        <f>IF(J121="","",IF(VLOOKUP(J121,'G-3 Multipliers'!$L$3:$N$6,3,FALSE)=0,"Spatial Data Missing ⚠",VLOOKUP(J121,'G-3 Multipliers'!$L$3:$N$6,3,FALSE)))</f>
        <v/>
      </c>
      <c r="M121" s="297" t="str">
        <f>IF(D121="","",VLOOKUP(D121,'G-6 Hedgerow Data'!$B$1:$AH$15,33,FALSE))</f>
        <v/>
      </c>
      <c r="N121" s="304" t="str">
        <f t="shared" si="9"/>
        <v/>
      </c>
      <c r="O121" s="17"/>
      <c r="P121" s="103"/>
      <c r="Q121" s="141"/>
      <c r="R121" s="320" t="str">
        <f t="shared" si="10"/>
        <v/>
      </c>
      <c r="S121" s="320" t="str">
        <f t="shared" si="11"/>
        <v/>
      </c>
      <c r="T121" s="320" t="str">
        <f t="shared" si="12"/>
        <v/>
      </c>
      <c r="U121" s="339" t="str">
        <f t="shared" si="13"/>
        <v/>
      </c>
      <c r="V121" s="100"/>
      <c r="W121" s="101"/>
      <c r="X121" s="101"/>
      <c r="AE121" s="105" t="str">
        <f t="shared" si="7"/>
        <v/>
      </c>
      <c r="AF121" s="105" t="str">
        <f t="shared" si="8"/>
        <v/>
      </c>
      <c r="AH121" s="105">
        <v>112</v>
      </c>
      <c r="AJ121" s="105" t="str">
        <f t="array" ref="AJ121">IFERROR(INDEX($AH$10:$AH$258, MATCH(0, IF(TRUE=$AE$10:$AE$258, COUNTIF($AJ$9:$AJ120, $AH$10:$AH$258), ""), 0)),"")</f>
        <v/>
      </c>
      <c r="AK121" s="105" t="str">
        <f t="array" ref="AK121">IFERROR(INDEX($AH$10:$AH$258, MATCH(0, IF(TRUE=$AF$10:$AF$258, COUNTIF($AK$9:$AK120, $AH$10:$AH$258), ""), 0)),"")</f>
        <v/>
      </c>
      <c r="AL121" s="15" t="str">
        <f>IFERROR(INDEX('G-6 Hedgerow Data'!$BJ$3:$BJ$15,MATCH(D121,'G-6 Hedgerow Data'!$B$3:$B$15,0)),"")</f>
        <v/>
      </c>
    </row>
    <row r="122" spans="2:38" x14ac:dyDescent="0.3">
      <c r="B122" s="92">
        <v>113</v>
      </c>
      <c r="C122" s="141"/>
      <c r="D122" s="141"/>
      <c r="E122" s="102"/>
      <c r="F122" s="335" t="str">
        <f>IF(D122="","",VLOOKUP(D122,'G-6 Hedgerow Data'!$B$2:$AG$15,2,FALSE))</f>
        <v/>
      </c>
      <c r="G122" s="291" t="str">
        <f>IF(D122="","",VLOOKUP(D122,'G-6 Hedgerow Data'!$B$2:$AG$15,3,FALSE))</f>
        <v/>
      </c>
      <c r="H122" s="95"/>
      <c r="I122" s="291" t="str">
        <f>IFERROR(IF(AND(D122&lt;&gt;"",H122=""),"Check data ⚠", IF(H122="","",IF(AND(D122="Non-native and ornamental hedgerow", H122&lt;&gt;"Poor"),"Not possible ▲", (VLOOKUP(H122,'G-1 All Habitats'!$Z$2:$AA$9,2,FALSE))))),"")</f>
        <v/>
      </c>
      <c r="J122" s="95"/>
      <c r="K122" s="298" t="str">
        <f>IF(AND(D122&lt;&gt;"",J122=""),"Check data ⚠", IF(J122="","",IF(VLOOKUP(J122,'G-3 Multipliers'!$L$3:$N$6,2,FALSE)=0,"Spatial Data Missing",VLOOKUP(J122,'G-3 Multipliers'!$L$3:$N$6,2,FALSE))))</f>
        <v/>
      </c>
      <c r="L122" s="296" t="str">
        <f>IF(J122="","",IF(VLOOKUP(J122,'G-3 Multipliers'!$L$3:$N$6,3,FALSE)=0,"Spatial Data Missing ⚠",VLOOKUP(J122,'G-3 Multipliers'!$L$3:$N$6,3,FALSE)))</f>
        <v/>
      </c>
      <c r="M122" s="297" t="str">
        <f>IF(D122="","",VLOOKUP(D122,'G-6 Hedgerow Data'!$B$1:$AH$15,33,FALSE))</f>
        <v/>
      </c>
      <c r="N122" s="304" t="str">
        <f t="shared" si="9"/>
        <v/>
      </c>
      <c r="O122" s="17"/>
      <c r="P122" s="103"/>
      <c r="Q122" s="141"/>
      <c r="R122" s="320" t="str">
        <f t="shared" si="10"/>
        <v/>
      </c>
      <c r="S122" s="320" t="str">
        <f t="shared" si="11"/>
        <v/>
      </c>
      <c r="T122" s="320" t="str">
        <f t="shared" si="12"/>
        <v/>
      </c>
      <c r="U122" s="339" t="str">
        <f t="shared" si="13"/>
        <v/>
      </c>
      <c r="V122" s="100"/>
      <c r="W122" s="101"/>
      <c r="X122" s="101"/>
      <c r="AE122" s="105" t="str">
        <f t="shared" si="7"/>
        <v/>
      </c>
      <c r="AF122" s="105" t="str">
        <f t="shared" si="8"/>
        <v/>
      </c>
      <c r="AH122" s="105">
        <v>113</v>
      </c>
      <c r="AJ122" s="105" t="str">
        <f t="array" ref="AJ122">IFERROR(INDEX($AH$10:$AH$258, MATCH(0, IF(TRUE=$AE$10:$AE$258, COUNTIF($AJ$9:$AJ121, $AH$10:$AH$258), ""), 0)),"")</f>
        <v/>
      </c>
      <c r="AK122" s="105" t="str">
        <f t="array" ref="AK122">IFERROR(INDEX($AH$10:$AH$258, MATCH(0, IF(TRUE=$AF$10:$AF$258, COUNTIF($AK$9:$AK121, $AH$10:$AH$258), ""), 0)),"")</f>
        <v/>
      </c>
      <c r="AL122" s="15" t="str">
        <f>IFERROR(INDEX('G-6 Hedgerow Data'!$BJ$3:$BJ$15,MATCH(D122,'G-6 Hedgerow Data'!$B$3:$B$15,0)),"")</f>
        <v/>
      </c>
    </row>
    <row r="123" spans="2:38" x14ac:dyDescent="0.3">
      <c r="B123" s="92">
        <v>114</v>
      </c>
      <c r="C123" s="141"/>
      <c r="D123" s="141"/>
      <c r="E123" s="102"/>
      <c r="F123" s="335" t="str">
        <f>IF(D123="","",VLOOKUP(D123,'G-6 Hedgerow Data'!$B$2:$AG$15,2,FALSE))</f>
        <v/>
      </c>
      <c r="G123" s="291" t="str">
        <f>IF(D123="","",VLOOKUP(D123,'G-6 Hedgerow Data'!$B$2:$AG$15,3,FALSE))</f>
        <v/>
      </c>
      <c r="H123" s="95"/>
      <c r="I123" s="291" t="str">
        <f>IFERROR(IF(AND(D123&lt;&gt;"",H123=""),"Check data ⚠", IF(H123="","",IF(AND(D123="Non-native and ornamental hedgerow", H123&lt;&gt;"Poor"),"Not possible ▲", (VLOOKUP(H123,'G-1 All Habitats'!$Z$2:$AA$9,2,FALSE))))),"")</f>
        <v/>
      </c>
      <c r="J123" s="95"/>
      <c r="K123" s="298" t="str">
        <f>IF(AND(D123&lt;&gt;"",J123=""),"Check data ⚠", IF(J123="","",IF(VLOOKUP(J123,'G-3 Multipliers'!$L$3:$N$6,2,FALSE)=0,"Spatial Data Missing",VLOOKUP(J123,'G-3 Multipliers'!$L$3:$N$6,2,FALSE))))</f>
        <v/>
      </c>
      <c r="L123" s="296" t="str">
        <f>IF(J123="","",IF(VLOOKUP(J123,'G-3 Multipliers'!$L$3:$N$6,3,FALSE)=0,"Spatial Data Missing ⚠",VLOOKUP(J123,'G-3 Multipliers'!$L$3:$N$6,3,FALSE)))</f>
        <v/>
      </c>
      <c r="M123" s="297" t="str">
        <f>IF(D123="","",VLOOKUP(D123,'G-6 Hedgerow Data'!$B$1:$AH$15,33,FALSE))</f>
        <v/>
      </c>
      <c r="N123" s="304" t="str">
        <f t="shared" si="9"/>
        <v/>
      </c>
      <c r="O123" s="17"/>
      <c r="P123" s="103"/>
      <c r="Q123" s="141"/>
      <c r="R123" s="320" t="str">
        <f t="shared" si="10"/>
        <v/>
      </c>
      <c r="S123" s="320" t="str">
        <f t="shared" si="11"/>
        <v/>
      </c>
      <c r="T123" s="320" t="str">
        <f t="shared" si="12"/>
        <v/>
      </c>
      <c r="U123" s="339" t="str">
        <f t="shared" si="13"/>
        <v/>
      </c>
      <c r="V123" s="100"/>
      <c r="W123" s="101"/>
      <c r="X123" s="101"/>
      <c r="AE123" s="105" t="str">
        <f t="shared" si="7"/>
        <v/>
      </c>
      <c r="AF123" s="105" t="str">
        <f t="shared" si="8"/>
        <v/>
      </c>
      <c r="AH123" s="105">
        <v>114</v>
      </c>
      <c r="AJ123" s="105" t="str">
        <f t="array" ref="AJ123">IFERROR(INDEX($AH$10:$AH$258, MATCH(0, IF(TRUE=$AE$10:$AE$258, COUNTIF($AJ$9:$AJ122, $AH$10:$AH$258), ""), 0)),"")</f>
        <v/>
      </c>
      <c r="AK123" s="105" t="str">
        <f t="array" ref="AK123">IFERROR(INDEX($AH$10:$AH$258, MATCH(0, IF(TRUE=$AF$10:$AF$258, COUNTIF($AK$9:$AK122, $AH$10:$AH$258), ""), 0)),"")</f>
        <v/>
      </c>
      <c r="AL123" s="15" t="str">
        <f>IFERROR(INDEX('G-6 Hedgerow Data'!$BJ$3:$BJ$15,MATCH(D123,'G-6 Hedgerow Data'!$B$3:$B$15,0)),"")</f>
        <v/>
      </c>
    </row>
    <row r="124" spans="2:38" x14ac:dyDescent="0.3">
      <c r="B124" s="92">
        <v>115</v>
      </c>
      <c r="C124" s="141"/>
      <c r="D124" s="141"/>
      <c r="E124" s="102"/>
      <c r="F124" s="335" t="str">
        <f>IF(D124="","",VLOOKUP(D124,'G-6 Hedgerow Data'!$B$2:$AG$15,2,FALSE))</f>
        <v/>
      </c>
      <c r="G124" s="291" t="str">
        <f>IF(D124="","",VLOOKUP(D124,'G-6 Hedgerow Data'!$B$2:$AG$15,3,FALSE))</f>
        <v/>
      </c>
      <c r="H124" s="95"/>
      <c r="I124" s="291" t="str">
        <f>IFERROR(IF(AND(D124&lt;&gt;"",H124=""),"Check data ⚠", IF(H124="","",IF(AND(D124="Non-native and ornamental hedgerow", H124&lt;&gt;"Poor"),"Not possible ▲", (VLOOKUP(H124,'G-1 All Habitats'!$Z$2:$AA$9,2,FALSE))))),"")</f>
        <v/>
      </c>
      <c r="J124" s="95"/>
      <c r="K124" s="298" t="str">
        <f>IF(AND(D124&lt;&gt;"",J124=""),"Check data ⚠", IF(J124="","",IF(VLOOKUP(J124,'G-3 Multipliers'!$L$3:$N$6,2,FALSE)=0,"Spatial Data Missing",VLOOKUP(J124,'G-3 Multipliers'!$L$3:$N$6,2,FALSE))))</f>
        <v/>
      </c>
      <c r="L124" s="296" t="str">
        <f>IF(J124="","",IF(VLOOKUP(J124,'G-3 Multipliers'!$L$3:$N$6,3,FALSE)=0,"Spatial Data Missing ⚠",VLOOKUP(J124,'G-3 Multipliers'!$L$3:$N$6,3,FALSE)))</f>
        <v/>
      </c>
      <c r="M124" s="297" t="str">
        <f>IF(D124="","",VLOOKUP(D124,'G-6 Hedgerow Data'!$B$1:$AH$15,33,FALSE))</f>
        <v/>
      </c>
      <c r="N124" s="304" t="str">
        <f t="shared" si="9"/>
        <v/>
      </c>
      <c r="O124" s="17"/>
      <c r="P124" s="103"/>
      <c r="Q124" s="141"/>
      <c r="R124" s="320" t="str">
        <f t="shared" si="10"/>
        <v/>
      </c>
      <c r="S124" s="320" t="str">
        <f t="shared" si="11"/>
        <v/>
      </c>
      <c r="T124" s="320" t="str">
        <f t="shared" si="12"/>
        <v/>
      </c>
      <c r="U124" s="339" t="str">
        <f t="shared" si="13"/>
        <v/>
      </c>
      <c r="V124" s="100"/>
      <c r="W124" s="101"/>
      <c r="X124" s="101"/>
      <c r="AE124" s="105" t="str">
        <f t="shared" si="7"/>
        <v/>
      </c>
      <c r="AF124" s="105" t="str">
        <f t="shared" si="8"/>
        <v/>
      </c>
      <c r="AH124" s="105">
        <v>115</v>
      </c>
      <c r="AJ124" s="105" t="str">
        <f t="array" ref="AJ124">IFERROR(INDEX($AH$10:$AH$258, MATCH(0, IF(TRUE=$AE$10:$AE$258, COUNTIF($AJ$9:$AJ123, $AH$10:$AH$258), ""), 0)),"")</f>
        <v/>
      </c>
      <c r="AK124" s="105" t="str">
        <f t="array" ref="AK124">IFERROR(INDEX($AH$10:$AH$258, MATCH(0, IF(TRUE=$AF$10:$AF$258, COUNTIF($AK$9:$AK123, $AH$10:$AH$258), ""), 0)),"")</f>
        <v/>
      </c>
      <c r="AL124" s="15" t="str">
        <f>IFERROR(INDEX('G-6 Hedgerow Data'!$BJ$3:$BJ$15,MATCH(D124,'G-6 Hedgerow Data'!$B$3:$B$15,0)),"")</f>
        <v/>
      </c>
    </row>
    <row r="125" spans="2:38" x14ac:dyDescent="0.3">
      <c r="B125" s="92">
        <v>116</v>
      </c>
      <c r="C125" s="141"/>
      <c r="D125" s="141"/>
      <c r="E125" s="102"/>
      <c r="F125" s="335" t="str">
        <f>IF(D125="","",VLOOKUP(D125,'G-6 Hedgerow Data'!$B$2:$AG$15,2,FALSE))</f>
        <v/>
      </c>
      <c r="G125" s="291" t="str">
        <f>IF(D125="","",VLOOKUP(D125,'G-6 Hedgerow Data'!$B$2:$AG$15,3,FALSE))</f>
        <v/>
      </c>
      <c r="H125" s="95"/>
      <c r="I125" s="291" t="str">
        <f>IFERROR(IF(AND(D125&lt;&gt;"",H125=""),"Check data ⚠", IF(H125="","",IF(AND(D125="Non-native and ornamental hedgerow", H125&lt;&gt;"Poor"),"Not possible ▲", (VLOOKUP(H125,'G-1 All Habitats'!$Z$2:$AA$9,2,FALSE))))),"")</f>
        <v/>
      </c>
      <c r="J125" s="95"/>
      <c r="K125" s="298" t="str">
        <f>IF(AND(D125&lt;&gt;"",J125=""),"Check data ⚠", IF(J125="","",IF(VLOOKUP(J125,'G-3 Multipliers'!$L$3:$N$6,2,FALSE)=0,"Spatial Data Missing",VLOOKUP(J125,'G-3 Multipliers'!$L$3:$N$6,2,FALSE))))</f>
        <v/>
      </c>
      <c r="L125" s="296" t="str">
        <f>IF(J125="","",IF(VLOOKUP(J125,'G-3 Multipliers'!$L$3:$N$6,3,FALSE)=0,"Spatial Data Missing ⚠",VLOOKUP(J125,'G-3 Multipliers'!$L$3:$N$6,3,FALSE)))</f>
        <v/>
      </c>
      <c r="M125" s="297" t="str">
        <f>IF(D125="","",VLOOKUP(D125,'G-6 Hedgerow Data'!$B$1:$AH$15,33,FALSE))</f>
        <v/>
      </c>
      <c r="N125" s="304" t="str">
        <f t="shared" si="9"/>
        <v/>
      </c>
      <c r="O125" s="17"/>
      <c r="P125" s="103"/>
      <c r="Q125" s="141"/>
      <c r="R125" s="320" t="str">
        <f t="shared" si="10"/>
        <v/>
      </c>
      <c r="S125" s="320" t="str">
        <f t="shared" si="11"/>
        <v/>
      </c>
      <c r="T125" s="320" t="str">
        <f t="shared" si="12"/>
        <v/>
      </c>
      <c r="U125" s="339" t="str">
        <f t="shared" si="13"/>
        <v/>
      </c>
      <c r="V125" s="100"/>
      <c r="W125" s="101"/>
      <c r="X125" s="101"/>
      <c r="AE125" s="105" t="str">
        <f t="shared" si="7"/>
        <v/>
      </c>
      <c r="AF125" s="105" t="str">
        <f t="shared" si="8"/>
        <v/>
      </c>
      <c r="AH125" s="105">
        <v>116</v>
      </c>
      <c r="AJ125" s="105" t="str">
        <f t="array" ref="AJ125">IFERROR(INDEX($AH$10:$AH$258, MATCH(0, IF(TRUE=$AE$10:$AE$258, COUNTIF($AJ$9:$AJ124, $AH$10:$AH$258), ""), 0)),"")</f>
        <v/>
      </c>
      <c r="AK125" s="105" t="str">
        <f t="array" ref="AK125">IFERROR(INDEX($AH$10:$AH$258, MATCH(0, IF(TRUE=$AF$10:$AF$258, COUNTIF($AK$9:$AK124, $AH$10:$AH$258), ""), 0)),"")</f>
        <v/>
      </c>
      <c r="AL125" s="15" t="str">
        <f>IFERROR(INDEX('G-6 Hedgerow Data'!$BJ$3:$BJ$15,MATCH(D125,'G-6 Hedgerow Data'!$B$3:$B$15,0)),"")</f>
        <v/>
      </c>
    </row>
    <row r="126" spans="2:38" x14ac:dyDescent="0.3">
      <c r="B126" s="92">
        <v>117</v>
      </c>
      <c r="C126" s="141"/>
      <c r="D126" s="141"/>
      <c r="E126" s="102"/>
      <c r="F126" s="335" t="str">
        <f>IF(D126="","",VLOOKUP(D126,'G-6 Hedgerow Data'!$B$2:$AG$15,2,FALSE))</f>
        <v/>
      </c>
      <c r="G126" s="291" t="str">
        <f>IF(D126="","",VLOOKUP(D126,'G-6 Hedgerow Data'!$B$2:$AG$15,3,FALSE))</f>
        <v/>
      </c>
      <c r="H126" s="95"/>
      <c r="I126" s="291" t="str">
        <f>IFERROR(IF(AND(D126&lt;&gt;"",H126=""),"Check data ⚠", IF(H126="","",IF(AND(D126="Non-native and ornamental hedgerow", H126&lt;&gt;"Poor"),"Not possible ▲", (VLOOKUP(H126,'G-1 All Habitats'!$Z$2:$AA$9,2,FALSE))))),"")</f>
        <v/>
      </c>
      <c r="J126" s="95"/>
      <c r="K126" s="298" t="str">
        <f>IF(AND(D126&lt;&gt;"",J126=""),"Check data ⚠", IF(J126="","",IF(VLOOKUP(J126,'G-3 Multipliers'!$L$3:$N$6,2,FALSE)=0,"Spatial Data Missing",VLOOKUP(J126,'G-3 Multipliers'!$L$3:$N$6,2,FALSE))))</f>
        <v/>
      </c>
      <c r="L126" s="296" t="str">
        <f>IF(J126="","",IF(VLOOKUP(J126,'G-3 Multipliers'!$L$3:$N$6,3,FALSE)=0,"Spatial Data Missing ⚠",VLOOKUP(J126,'G-3 Multipliers'!$L$3:$N$6,3,FALSE)))</f>
        <v/>
      </c>
      <c r="M126" s="297" t="str">
        <f>IF(D126="","",VLOOKUP(D126,'G-6 Hedgerow Data'!$B$1:$AH$15,33,FALSE))</f>
        <v/>
      </c>
      <c r="N126" s="304" t="str">
        <f t="shared" si="9"/>
        <v/>
      </c>
      <c r="O126" s="17"/>
      <c r="P126" s="103"/>
      <c r="Q126" s="141"/>
      <c r="R126" s="320" t="str">
        <f t="shared" si="10"/>
        <v/>
      </c>
      <c r="S126" s="320" t="str">
        <f t="shared" si="11"/>
        <v/>
      </c>
      <c r="T126" s="320" t="str">
        <f t="shared" si="12"/>
        <v/>
      </c>
      <c r="U126" s="339" t="str">
        <f t="shared" si="13"/>
        <v/>
      </c>
      <c r="V126" s="100"/>
      <c r="W126" s="101"/>
      <c r="X126" s="101"/>
      <c r="AE126" s="105" t="str">
        <f t="shared" si="7"/>
        <v/>
      </c>
      <c r="AF126" s="105" t="str">
        <f t="shared" si="8"/>
        <v/>
      </c>
      <c r="AH126" s="105">
        <v>117</v>
      </c>
      <c r="AJ126" s="105" t="str">
        <f t="array" ref="AJ126">IFERROR(INDEX($AH$10:$AH$258, MATCH(0, IF(TRUE=$AE$10:$AE$258, COUNTIF($AJ$9:$AJ125, $AH$10:$AH$258), ""), 0)),"")</f>
        <v/>
      </c>
      <c r="AK126" s="105" t="str">
        <f t="array" ref="AK126">IFERROR(INDEX($AH$10:$AH$258, MATCH(0, IF(TRUE=$AF$10:$AF$258, COUNTIF($AK$9:$AK125, $AH$10:$AH$258), ""), 0)),"")</f>
        <v/>
      </c>
      <c r="AL126" s="15" t="str">
        <f>IFERROR(INDEX('G-6 Hedgerow Data'!$BJ$3:$BJ$15,MATCH(D126,'G-6 Hedgerow Data'!$B$3:$B$15,0)),"")</f>
        <v/>
      </c>
    </row>
    <row r="127" spans="2:38" x14ac:dyDescent="0.3">
      <c r="B127" s="92">
        <v>118</v>
      </c>
      <c r="C127" s="141"/>
      <c r="D127" s="141"/>
      <c r="E127" s="102"/>
      <c r="F127" s="335" t="str">
        <f>IF(D127="","",VLOOKUP(D127,'G-6 Hedgerow Data'!$B$2:$AG$15,2,FALSE))</f>
        <v/>
      </c>
      <c r="G127" s="291" t="str">
        <f>IF(D127="","",VLOOKUP(D127,'G-6 Hedgerow Data'!$B$2:$AG$15,3,FALSE))</f>
        <v/>
      </c>
      <c r="H127" s="95"/>
      <c r="I127" s="291" t="str">
        <f>IFERROR(IF(AND(D127&lt;&gt;"",H127=""),"Check data ⚠", IF(H127="","",IF(AND(D127="Non-native and ornamental hedgerow", H127&lt;&gt;"Poor"),"Not possible ▲", (VLOOKUP(H127,'G-1 All Habitats'!$Z$2:$AA$9,2,FALSE))))),"")</f>
        <v/>
      </c>
      <c r="J127" s="95"/>
      <c r="K127" s="298" t="str">
        <f>IF(AND(D127&lt;&gt;"",J127=""),"Check data ⚠", IF(J127="","",IF(VLOOKUP(J127,'G-3 Multipliers'!$L$3:$N$6,2,FALSE)=0,"Spatial Data Missing",VLOOKUP(J127,'G-3 Multipliers'!$L$3:$N$6,2,FALSE))))</f>
        <v/>
      </c>
      <c r="L127" s="296" t="str">
        <f>IF(J127="","",IF(VLOOKUP(J127,'G-3 Multipliers'!$L$3:$N$6,3,FALSE)=0,"Spatial Data Missing ⚠",VLOOKUP(J127,'G-3 Multipliers'!$L$3:$N$6,3,FALSE)))</f>
        <v/>
      </c>
      <c r="M127" s="297" t="str">
        <f>IF(D127="","",VLOOKUP(D127,'G-6 Hedgerow Data'!$B$1:$AH$15,33,FALSE))</f>
        <v/>
      </c>
      <c r="N127" s="304" t="str">
        <f t="shared" si="9"/>
        <v/>
      </c>
      <c r="O127" s="17"/>
      <c r="P127" s="103"/>
      <c r="Q127" s="141"/>
      <c r="R127" s="320" t="str">
        <f t="shared" si="10"/>
        <v/>
      </c>
      <c r="S127" s="320" t="str">
        <f t="shared" si="11"/>
        <v/>
      </c>
      <c r="T127" s="320" t="str">
        <f t="shared" si="12"/>
        <v/>
      </c>
      <c r="U127" s="339" t="str">
        <f t="shared" si="13"/>
        <v/>
      </c>
      <c r="V127" s="100"/>
      <c r="W127" s="101"/>
      <c r="X127" s="101"/>
      <c r="AE127" s="105" t="str">
        <f t="shared" si="7"/>
        <v/>
      </c>
      <c r="AF127" s="105" t="str">
        <f t="shared" si="8"/>
        <v/>
      </c>
      <c r="AH127" s="105">
        <v>118</v>
      </c>
      <c r="AJ127" s="105" t="str">
        <f t="array" ref="AJ127">IFERROR(INDEX($AH$10:$AH$258, MATCH(0, IF(TRUE=$AE$10:$AE$258, COUNTIF($AJ$9:$AJ126, $AH$10:$AH$258), ""), 0)),"")</f>
        <v/>
      </c>
      <c r="AK127" s="105" t="str">
        <f t="array" ref="AK127">IFERROR(INDEX($AH$10:$AH$258, MATCH(0, IF(TRUE=$AF$10:$AF$258, COUNTIF($AK$9:$AK126, $AH$10:$AH$258), ""), 0)),"")</f>
        <v/>
      </c>
      <c r="AL127" s="15" t="str">
        <f>IFERROR(INDEX('G-6 Hedgerow Data'!$BJ$3:$BJ$15,MATCH(D127,'G-6 Hedgerow Data'!$B$3:$B$15,0)),"")</f>
        <v/>
      </c>
    </row>
    <row r="128" spans="2:38" x14ac:dyDescent="0.3">
      <c r="B128" s="92">
        <v>119</v>
      </c>
      <c r="C128" s="141"/>
      <c r="D128" s="141"/>
      <c r="E128" s="102"/>
      <c r="F128" s="335" t="str">
        <f>IF(D128="","",VLOOKUP(D128,'G-6 Hedgerow Data'!$B$2:$AG$15,2,FALSE))</f>
        <v/>
      </c>
      <c r="G128" s="291" t="str">
        <f>IF(D128="","",VLOOKUP(D128,'G-6 Hedgerow Data'!$B$2:$AG$15,3,FALSE))</f>
        <v/>
      </c>
      <c r="H128" s="95"/>
      <c r="I128" s="291" t="str">
        <f>IFERROR(IF(AND(D128&lt;&gt;"",H128=""),"Check data ⚠", IF(H128="","",IF(AND(D128="Non-native and ornamental hedgerow", H128&lt;&gt;"Poor"),"Not possible ▲", (VLOOKUP(H128,'G-1 All Habitats'!$Z$2:$AA$9,2,FALSE))))),"")</f>
        <v/>
      </c>
      <c r="J128" s="95"/>
      <c r="K128" s="298" t="str">
        <f>IF(AND(D128&lt;&gt;"",J128=""),"Check data ⚠", IF(J128="","",IF(VLOOKUP(J128,'G-3 Multipliers'!$L$3:$N$6,2,FALSE)=0,"Spatial Data Missing",VLOOKUP(J128,'G-3 Multipliers'!$L$3:$N$6,2,FALSE))))</f>
        <v/>
      </c>
      <c r="L128" s="296" t="str">
        <f>IF(J128="","",IF(VLOOKUP(J128,'G-3 Multipliers'!$L$3:$N$6,3,FALSE)=0,"Spatial Data Missing ⚠",VLOOKUP(J128,'G-3 Multipliers'!$L$3:$N$6,3,FALSE)))</f>
        <v/>
      </c>
      <c r="M128" s="297" t="str">
        <f>IF(D128="","",VLOOKUP(D128,'G-6 Hedgerow Data'!$B$1:$AH$15,33,FALSE))</f>
        <v/>
      </c>
      <c r="N128" s="304" t="str">
        <f t="shared" si="9"/>
        <v/>
      </c>
      <c r="O128" s="17"/>
      <c r="P128" s="103"/>
      <c r="Q128" s="141"/>
      <c r="R128" s="320" t="str">
        <f t="shared" si="10"/>
        <v/>
      </c>
      <c r="S128" s="320" t="str">
        <f t="shared" si="11"/>
        <v/>
      </c>
      <c r="T128" s="320" t="str">
        <f t="shared" si="12"/>
        <v/>
      </c>
      <c r="U128" s="339" t="str">
        <f t="shared" si="13"/>
        <v/>
      </c>
      <c r="V128" s="100"/>
      <c r="W128" s="101"/>
      <c r="X128" s="101"/>
      <c r="AE128" s="105" t="str">
        <f t="shared" si="7"/>
        <v/>
      </c>
      <c r="AF128" s="105" t="str">
        <f t="shared" si="8"/>
        <v/>
      </c>
      <c r="AH128" s="105">
        <v>119</v>
      </c>
      <c r="AJ128" s="105" t="str">
        <f t="array" ref="AJ128">IFERROR(INDEX($AH$10:$AH$258, MATCH(0, IF(TRUE=$AE$10:$AE$258, COUNTIF($AJ$9:$AJ127, $AH$10:$AH$258), ""), 0)),"")</f>
        <v/>
      </c>
      <c r="AK128" s="105" t="str">
        <f t="array" ref="AK128">IFERROR(INDEX($AH$10:$AH$258, MATCH(0, IF(TRUE=$AF$10:$AF$258, COUNTIF($AK$9:$AK127, $AH$10:$AH$258), ""), 0)),"")</f>
        <v/>
      </c>
      <c r="AL128" s="15" t="str">
        <f>IFERROR(INDEX('G-6 Hedgerow Data'!$BJ$3:$BJ$15,MATCH(D128,'G-6 Hedgerow Data'!$B$3:$B$15,0)),"")</f>
        <v/>
      </c>
    </row>
    <row r="129" spans="2:38" x14ac:dyDescent="0.3">
      <c r="B129" s="92">
        <v>120</v>
      </c>
      <c r="C129" s="141"/>
      <c r="D129" s="141"/>
      <c r="E129" s="102"/>
      <c r="F129" s="335" t="str">
        <f>IF(D129="","",VLOOKUP(D129,'G-6 Hedgerow Data'!$B$2:$AG$15,2,FALSE))</f>
        <v/>
      </c>
      <c r="G129" s="291" t="str">
        <f>IF(D129="","",VLOOKUP(D129,'G-6 Hedgerow Data'!$B$2:$AG$15,3,FALSE))</f>
        <v/>
      </c>
      <c r="H129" s="95"/>
      <c r="I129" s="291" t="str">
        <f>IFERROR(IF(AND(D129&lt;&gt;"",H129=""),"Check data ⚠", IF(H129="","",IF(AND(D129="Non-native and ornamental hedgerow", H129&lt;&gt;"Poor"),"Not possible ▲", (VLOOKUP(H129,'G-1 All Habitats'!$Z$2:$AA$9,2,FALSE))))),"")</f>
        <v/>
      </c>
      <c r="J129" s="95"/>
      <c r="K129" s="298" t="str">
        <f>IF(AND(D129&lt;&gt;"",J129=""),"Check data ⚠", IF(J129="","",IF(VLOOKUP(J129,'G-3 Multipliers'!$L$3:$N$6,2,FALSE)=0,"Spatial Data Missing",VLOOKUP(J129,'G-3 Multipliers'!$L$3:$N$6,2,FALSE))))</f>
        <v/>
      </c>
      <c r="L129" s="296" t="str">
        <f>IF(J129="","",IF(VLOOKUP(J129,'G-3 Multipliers'!$L$3:$N$6,3,FALSE)=0,"Spatial Data Missing ⚠",VLOOKUP(J129,'G-3 Multipliers'!$L$3:$N$6,3,FALSE)))</f>
        <v/>
      </c>
      <c r="M129" s="297" t="str">
        <f>IF(D129="","",VLOOKUP(D129,'G-6 Hedgerow Data'!$B$1:$AH$15,33,FALSE))</f>
        <v/>
      </c>
      <c r="N129" s="304" t="str">
        <f t="shared" si="9"/>
        <v/>
      </c>
      <c r="O129" s="17"/>
      <c r="P129" s="103"/>
      <c r="Q129" s="141"/>
      <c r="R129" s="320" t="str">
        <f t="shared" si="10"/>
        <v/>
      </c>
      <c r="S129" s="320" t="str">
        <f t="shared" si="11"/>
        <v/>
      </c>
      <c r="T129" s="320" t="str">
        <f t="shared" si="12"/>
        <v/>
      </c>
      <c r="U129" s="339" t="str">
        <f t="shared" si="13"/>
        <v/>
      </c>
      <c r="V129" s="100"/>
      <c r="W129" s="101"/>
      <c r="X129" s="101"/>
      <c r="AE129" s="105" t="str">
        <f t="shared" si="7"/>
        <v/>
      </c>
      <c r="AF129" s="105" t="str">
        <f t="shared" si="8"/>
        <v/>
      </c>
      <c r="AH129" s="105">
        <v>120</v>
      </c>
      <c r="AJ129" s="105" t="str">
        <f t="array" ref="AJ129">IFERROR(INDEX($AH$10:$AH$258, MATCH(0, IF(TRUE=$AE$10:$AE$258, COUNTIF($AJ$9:$AJ128, $AH$10:$AH$258), ""), 0)),"")</f>
        <v/>
      </c>
      <c r="AK129" s="105" t="str">
        <f t="array" ref="AK129">IFERROR(INDEX($AH$10:$AH$258, MATCH(0, IF(TRUE=$AF$10:$AF$258, COUNTIF($AK$9:$AK128, $AH$10:$AH$258), ""), 0)),"")</f>
        <v/>
      </c>
      <c r="AL129" s="15" t="str">
        <f>IFERROR(INDEX('G-6 Hedgerow Data'!$BJ$3:$BJ$15,MATCH(D129,'G-6 Hedgerow Data'!$B$3:$B$15,0)),"")</f>
        <v/>
      </c>
    </row>
    <row r="130" spans="2:38" x14ac:dyDescent="0.3">
      <c r="B130" s="92">
        <v>121</v>
      </c>
      <c r="C130" s="141"/>
      <c r="D130" s="141"/>
      <c r="E130" s="102"/>
      <c r="F130" s="335" t="str">
        <f>IF(D130="","",VLOOKUP(D130,'G-6 Hedgerow Data'!$B$2:$AG$15,2,FALSE))</f>
        <v/>
      </c>
      <c r="G130" s="291" t="str">
        <f>IF(D130="","",VLOOKUP(D130,'G-6 Hedgerow Data'!$B$2:$AG$15,3,FALSE))</f>
        <v/>
      </c>
      <c r="H130" s="95"/>
      <c r="I130" s="291" t="str">
        <f>IFERROR(IF(AND(D130&lt;&gt;"",H130=""),"Check data ⚠", IF(H130="","",IF(AND(D130="Non-native and ornamental hedgerow", H130&lt;&gt;"Poor"),"Not possible ▲", (VLOOKUP(H130,'G-1 All Habitats'!$Z$2:$AA$9,2,FALSE))))),"")</f>
        <v/>
      </c>
      <c r="J130" s="95"/>
      <c r="K130" s="298" t="str">
        <f>IF(AND(D130&lt;&gt;"",J130=""),"Check data ⚠", IF(J130="","",IF(VLOOKUP(J130,'G-3 Multipliers'!$L$3:$N$6,2,FALSE)=0,"Spatial Data Missing",VLOOKUP(J130,'G-3 Multipliers'!$L$3:$N$6,2,FALSE))))</f>
        <v/>
      </c>
      <c r="L130" s="296" t="str">
        <f>IF(J130="","",IF(VLOOKUP(J130,'G-3 Multipliers'!$L$3:$N$6,3,FALSE)=0,"Spatial Data Missing ⚠",VLOOKUP(J130,'G-3 Multipliers'!$L$3:$N$6,3,FALSE)))</f>
        <v/>
      </c>
      <c r="M130" s="297" t="str">
        <f>IF(D130="","",VLOOKUP(D130,'G-6 Hedgerow Data'!$B$1:$AH$15,33,FALSE))</f>
        <v/>
      </c>
      <c r="N130" s="304" t="str">
        <f t="shared" si="9"/>
        <v/>
      </c>
      <c r="O130" s="17"/>
      <c r="P130" s="103"/>
      <c r="Q130" s="141"/>
      <c r="R130" s="320" t="str">
        <f t="shared" si="10"/>
        <v/>
      </c>
      <c r="S130" s="320" t="str">
        <f t="shared" si="11"/>
        <v/>
      </c>
      <c r="T130" s="320" t="str">
        <f t="shared" si="12"/>
        <v/>
      </c>
      <c r="U130" s="339" t="str">
        <f t="shared" si="13"/>
        <v/>
      </c>
      <c r="V130" s="100"/>
      <c r="W130" s="101"/>
      <c r="X130" s="101"/>
      <c r="AE130" s="105" t="str">
        <f t="shared" si="7"/>
        <v/>
      </c>
      <c r="AF130" s="105" t="str">
        <f t="shared" si="8"/>
        <v/>
      </c>
      <c r="AH130" s="105">
        <v>121</v>
      </c>
      <c r="AJ130" s="105" t="str">
        <f t="array" ref="AJ130">IFERROR(INDEX($AH$10:$AH$258, MATCH(0, IF(TRUE=$AE$10:$AE$258, COUNTIF($AJ$9:$AJ129, $AH$10:$AH$258), ""), 0)),"")</f>
        <v/>
      </c>
      <c r="AK130" s="105" t="str">
        <f t="array" ref="AK130">IFERROR(INDEX($AH$10:$AH$258, MATCH(0, IF(TRUE=$AF$10:$AF$258, COUNTIF($AK$9:$AK129, $AH$10:$AH$258), ""), 0)),"")</f>
        <v/>
      </c>
      <c r="AL130" s="15" t="str">
        <f>IFERROR(INDEX('G-6 Hedgerow Data'!$BJ$3:$BJ$15,MATCH(D130,'G-6 Hedgerow Data'!$B$3:$B$15,0)),"")</f>
        <v/>
      </c>
    </row>
    <row r="131" spans="2:38" x14ac:dyDescent="0.3">
      <c r="B131" s="92">
        <v>122</v>
      </c>
      <c r="C131" s="141"/>
      <c r="D131" s="141"/>
      <c r="E131" s="102"/>
      <c r="F131" s="335" t="str">
        <f>IF(D131="","",VLOOKUP(D131,'G-6 Hedgerow Data'!$B$2:$AG$15,2,FALSE))</f>
        <v/>
      </c>
      <c r="G131" s="291" t="str">
        <f>IF(D131="","",VLOOKUP(D131,'G-6 Hedgerow Data'!$B$2:$AG$15,3,FALSE))</f>
        <v/>
      </c>
      <c r="H131" s="95"/>
      <c r="I131" s="291" t="str">
        <f>IFERROR(IF(AND(D131&lt;&gt;"",H131=""),"Check data ⚠", IF(H131="","",IF(AND(D131="Non-native and ornamental hedgerow", H131&lt;&gt;"Poor"),"Not possible ▲", (VLOOKUP(H131,'G-1 All Habitats'!$Z$2:$AA$9,2,FALSE))))),"")</f>
        <v/>
      </c>
      <c r="J131" s="95"/>
      <c r="K131" s="298" t="str">
        <f>IF(AND(D131&lt;&gt;"",J131=""),"Check data ⚠", IF(J131="","",IF(VLOOKUP(J131,'G-3 Multipliers'!$L$3:$N$6,2,FALSE)=0,"Spatial Data Missing",VLOOKUP(J131,'G-3 Multipliers'!$L$3:$N$6,2,FALSE))))</f>
        <v/>
      </c>
      <c r="L131" s="296" t="str">
        <f>IF(J131="","",IF(VLOOKUP(J131,'G-3 Multipliers'!$L$3:$N$6,3,FALSE)=0,"Spatial Data Missing ⚠",VLOOKUP(J131,'G-3 Multipliers'!$L$3:$N$6,3,FALSE)))</f>
        <v/>
      </c>
      <c r="M131" s="297" t="str">
        <f>IF(D131="","",VLOOKUP(D131,'G-6 Hedgerow Data'!$B$1:$AH$15,33,FALSE))</f>
        <v/>
      </c>
      <c r="N131" s="304" t="str">
        <f t="shared" si="9"/>
        <v/>
      </c>
      <c r="O131" s="17"/>
      <c r="P131" s="103"/>
      <c r="Q131" s="141"/>
      <c r="R131" s="320" t="str">
        <f t="shared" si="10"/>
        <v/>
      </c>
      <c r="S131" s="320" t="str">
        <f t="shared" si="11"/>
        <v/>
      </c>
      <c r="T131" s="320" t="str">
        <f t="shared" si="12"/>
        <v/>
      </c>
      <c r="U131" s="339" t="str">
        <f t="shared" si="13"/>
        <v/>
      </c>
      <c r="V131" s="100"/>
      <c r="W131" s="101"/>
      <c r="X131" s="101"/>
      <c r="AE131" s="105" t="str">
        <f t="shared" si="7"/>
        <v/>
      </c>
      <c r="AF131" s="105" t="str">
        <f t="shared" si="8"/>
        <v/>
      </c>
      <c r="AH131" s="105">
        <v>122</v>
      </c>
      <c r="AJ131" s="105" t="str">
        <f t="array" ref="AJ131">IFERROR(INDEX($AH$10:$AH$258, MATCH(0, IF(TRUE=$AE$10:$AE$258, COUNTIF($AJ$9:$AJ130, $AH$10:$AH$258), ""), 0)),"")</f>
        <v/>
      </c>
      <c r="AK131" s="105" t="str">
        <f t="array" ref="AK131">IFERROR(INDEX($AH$10:$AH$258, MATCH(0, IF(TRUE=$AF$10:$AF$258, COUNTIF($AK$9:$AK130, $AH$10:$AH$258), ""), 0)),"")</f>
        <v/>
      </c>
      <c r="AL131" s="15" t="str">
        <f>IFERROR(INDEX('G-6 Hedgerow Data'!$BJ$3:$BJ$15,MATCH(D131,'G-6 Hedgerow Data'!$B$3:$B$15,0)),"")</f>
        <v/>
      </c>
    </row>
    <row r="132" spans="2:38" x14ac:dyDescent="0.3">
      <c r="B132" s="92">
        <v>123</v>
      </c>
      <c r="C132" s="141"/>
      <c r="D132" s="141"/>
      <c r="E132" s="102"/>
      <c r="F132" s="335" t="str">
        <f>IF(D132="","",VLOOKUP(D132,'G-6 Hedgerow Data'!$B$2:$AG$15,2,FALSE))</f>
        <v/>
      </c>
      <c r="G132" s="291" t="str">
        <f>IF(D132="","",VLOOKUP(D132,'G-6 Hedgerow Data'!$B$2:$AG$15,3,FALSE))</f>
        <v/>
      </c>
      <c r="H132" s="95"/>
      <c r="I132" s="291" t="str">
        <f>IFERROR(IF(AND(D132&lt;&gt;"",H132=""),"Check data ⚠", IF(H132="","",IF(AND(D132="Non-native and ornamental hedgerow", H132&lt;&gt;"Poor"),"Not possible ▲", (VLOOKUP(H132,'G-1 All Habitats'!$Z$2:$AA$9,2,FALSE))))),"")</f>
        <v/>
      </c>
      <c r="J132" s="95"/>
      <c r="K132" s="298" t="str">
        <f>IF(AND(D132&lt;&gt;"",J132=""),"Check data ⚠", IF(J132="","",IF(VLOOKUP(J132,'G-3 Multipliers'!$L$3:$N$6,2,FALSE)=0,"Spatial Data Missing",VLOOKUP(J132,'G-3 Multipliers'!$L$3:$N$6,2,FALSE))))</f>
        <v/>
      </c>
      <c r="L132" s="296" t="str">
        <f>IF(J132="","",IF(VLOOKUP(J132,'G-3 Multipliers'!$L$3:$N$6,3,FALSE)=0,"Spatial Data Missing ⚠",VLOOKUP(J132,'G-3 Multipliers'!$L$3:$N$6,3,FALSE)))</f>
        <v/>
      </c>
      <c r="M132" s="297" t="str">
        <f>IF(D132="","",VLOOKUP(D132,'G-6 Hedgerow Data'!$B$1:$AH$15,33,FALSE))</f>
        <v/>
      </c>
      <c r="N132" s="304" t="str">
        <f t="shared" si="9"/>
        <v/>
      </c>
      <c r="O132" s="17"/>
      <c r="P132" s="103"/>
      <c r="Q132" s="141"/>
      <c r="R132" s="320" t="str">
        <f t="shared" si="10"/>
        <v/>
      </c>
      <c r="S132" s="320" t="str">
        <f t="shared" si="11"/>
        <v/>
      </c>
      <c r="T132" s="320" t="str">
        <f t="shared" si="12"/>
        <v/>
      </c>
      <c r="U132" s="339" t="str">
        <f t="shared" si="13"/>
        <v/>
      </c>
      <c r="V132" s="100"/>
      <c r="W132" s="101"/>
      <c r="X132" s="101"/>
      <c r="AE132" s="105" t="str">
        <f t="shared" si="7"/>
        <v/>
      </c>
      <c r="AF132" s="105" t="str">
        <f t="shared" si="8"/>
        <v/>
      </c>
      <c r="AH132" s="105">
        <v>123</v>
      </c>
      <c r="AJ132" s="105" t="str">
        <f t="array" ref="AJ132">IFERROR(INDEX($AH$10:$AH$258, MATCH(0, IF(TRUE=$AE$10:$AE$258, COUNTIF($AJ$9:$AJ131, $AH$10:$AH$258), ""), 0)),"")</f>
        <v/>
      </c>
      <c r="AK132" s="105" t="str">
        <f t="array" ref="AK132">IFERROR(INDEX($AH$10:$AH$258, MATCH(0, IF(TRUE=$AF$10:$AF$258, COUNTIF($AK$9:$AK131, $AH$10:$AH$258), ""), 0)),"")</f>
        <v/>
      </c>
      <c r="AL132" s="15" t="str">
        <f>IFERROR(INDEX('G-6 Hedgerow Data'!$BJ$3:$BJ$15,MATCH(D132,'G-6 Hedgerow Data'!$B$3:$B$15,0)),"")</f>
        <v/>
      </c>
    </row>
    <row r="133" spans="2:38" x14ac:dyDescent="0.3">
      <c r="B133" s="92">
        <v>124</v>
      </c>
      <c r="C133" s="141"/>
      <c r="D133" s="141"/>
      <c r="E133" s="102"/>
      <c r="F133" s="335" t="str">
        <f>IF(D133="","",VLOOKUP(D133,'G-6 Hedgerow Data'!$B$2:$AG$15,2,FALSE))</f>
        <v/>
      </c>
      <c r="G133" s="291" t="str">
        <f>IF(D133="","",VLOOKUP(D133,'G-6 Hedgerow Data'!$B$2:$AG$15,3,FALSE))</f>
        <v/>
      </c>
      <c r="H133" s="95"/>
      <c r="I133" s="291" t="str">
        <f>IFERROR(IF(AND(D133&lt;&gt;"",H133=""),"Check data ⚠", IF(H133="","",IF(AND(D133="Non-native and ornamental hedgerow", H133&lt;&gt;"Poor"),"Not possible ▲", (VLOOKUP(H133,'G-1 All Habitats'!$Z$2:$AA$9,2,FALSE))))),"")</f>
        <v/>
      </c>
      <c r="J133" s="95"/>
      <c r="K133" s="298" t="str">
        <f>IF(AND(D133&lt;&gt;"",J133=""),"Check data ⚠", IF(J133="","",IF(VLOOKUP(J133,'G-3 Multipliers'!$L$3:$N$6,2,FALSE)=0,"Spatial Data Missing",VLOOKUP(J133,'G-3 Multipliers'!$L$3:$N$6,2,FALSE))))</f>
        <v/>
      </c>
      <c r="L133" s="296" t="str">
        <f>IF(J133="","",IF(VLOOKUP(J133,'G-3 Multipliers'!$L$3:$N$6,3,FALSE)=0,"Spatial Data Missing ⚠",VLOOKUP(J133,'G-3 Multipliers'!$L$3:$N$6,3,FALSE)))</f>
        <v/>
      </c>
      <c r="M133" s="297" t="str">
        <f>IF(D133="","",VLOOKUP(D133,'G-6 Hedgerow Data'!$B$1:$AH$15,33,FALSE))</f>
        <v/>
      </c>
      <c r="N133" s="304" t="str">
        <f t="shared" si="9"/>
        <v/>
      </c>
      <c r="O133" s="17"/>
      <c r="P133" s="103"/>
      <c r="Q133" s="141"/>
      <c r="R133" s="320" t="str">
        <f t="shared" si="10"/>
        <v/>
      </c>
      <c r="S133" s="320" t="str">
        <f t="shared" si="11"/>
        <v/>
      </c>
      <c r="T133" s="320" t="str">
        <f t="shared" si="12"/>
        <v/>
      </c>
      <c r="U133" s="339" t="str">
        <f t="shared" si="13"/>
        <v/>
      </c>
      <c r="V133" s="100"/>
      <c r="W133" s="101"/>
      <c r="X133" s="101"/>
      <c r="AE133" s="105" t="str">
        <f t="shared" si="7"/>
        <v/>
      </c>
      <c r="AF133" s="105" t="str">
        <f t="shared" si="8"/>
        <v/>
      </c>
      <c r="AH133" s="105">
        <v>124</v>
      </c>
      <c r="AJ133" s="105" t="str">
        <f t="array" ref="AJ133">IFERROR(INDEX($AH$10:$AH$258, MATCH(0, IF(TRUE=$AE$10:$AE$258, COUNTIF($AJ$9:$AJ132, $AH$10:$AH$258), ""), 0)),"")</f>
        <v/>
      </c>
      <c r="AK133" s="105" t="str">
        <f t="array" ref="AK133">IFERROR(INDEX($AH$10:$AH$258, MATCH(0, IF(TRUE=$AF$10:$AF$258, COUNTIF($AK$9:$AK132, $AH$10:$AH$258), ""), 0)),"")</f>
        <v/>
      </c>
      <c r="AL133" s="15" t="str">
        <f>IFERROR(INDEX('G-6 Hedgerow Data'!$BJ$3:$BJ$15,MATCH(D133,'G-6 Hedgerow Data'!$B$3:$B$15,0)),"")</f>
        <v/>
      </c>
    </row>
    <row r="134" spans="2:38" x14ac:dyDescent="0.3">
      <c r="B134" s="92">
        <v>125</v>
      </c>
      <c r="C134" s="141"/>
      <c r="D134" s="141"/>
      <c r="E134" s="102"/>
      <c r="F134" s="335" t="str">
        <f>IF(D134="","",VLOOKUP(D134,'G-6 Hedgerow Data'!$B$2:$AG$15,2,FALSE))</f>
        <v/>
      </c>
      <c r="G134" s="291" t="str">
        <f>IF(D134="","",VLOOKUP(D134,'G-6 Hedgerow Data'!$B$2:$AG$15,3,FALSE))</f>
        <v/>
      </c>
      <c r="H134" s="95"/>
      <c r="I134" s="291" t="str">
        <f>IFERROR(IF(AND(D134&lt;&gt;"",H134=""),"Check data ⚠", IF(H134="","",IF(AND(D134="Non-native and ornamental hedgerow", H134&lt;&gt;"Poor"),"Not possible ▲", (VLOOKUP(H134,'G-1 All Habitats'!$Z$2:$AA$9,2,FALSE))))),"")</f>
        <v/>
      </c>
      <c r="J134" s="95"/>
      <c r="K134" s="298" t="str">
        <f>IF(AND(D134&lt;&gt;"",J134=""),"Check data ⚠", IF(J134="","",IF(VLOOKUP(J134,'G-3 Multipliers'!$L$3:$N$6,2,FALSE)=0,"Spatial Data Missing",VLOOKUP(J134,'G-3 Multipliers'!$L$3:$N$6,2,FALSE))))</f>
        <v/>
      </c>
      <c r="L134" s="296" t="str">
        <f>IF(J134="","",IF(VLOOKUP(J134,'G-3 Multipliers'!$L$3:$N$6,3,FALSE)=0,"Spatial Data Missing ⚠",VLOOKUP(J134,'G-3 Multipliers'!$L$3:$N$6,3,FALSE)))</f>
        <v/>
      </c>
      <c r="M134" s="297" t="str">
        <f>IF(D134="","",VLOOKUP(D134,'G-6 Hedgerow Data'!$B$1:$AH$15,33,FALSE))</f>
        <v/>
      </c>
      <c r="N134" s="304" t="str">
        <f t="shared" si="9"/>
        <v/>
      </c>
      <c r="O134" s="17"/>
      <c r="P134" s="103"/>
      <c r="Q134" s="141"/>
      <c r="R134" s="320" t="str">
        <f t="shared" si="10"/>
        <v/>
      </c>
      <c r="S134" s="320" t="str">
        <f t="shared" si="11"/>
        <v/>
      </c>
      <c r="T134" s="320" t="str">
        <f t="shared" si="12"/>
        <v/>
      </c>
      <c r="U134" s="339" t="str">
        <f t="shared" si="13"/>
        <v/>
      </c>
      <c r="V134" s="100"/>
      <c r="W134" s="101"/>
      <c r="X134" s="101"/>
      <c r="AE134" s="105" t="str">
        <f t="shared" si="7"/>
        <v/>
      </c>
      <c r="AF134" s="105" t="str">
        <f t="shared" si="8"/>
        <v/>
      </c>
      <c r="AH134" s="105">
        <v>125</v>
      </c>
      <c r="AJ134" s="105" t="str">
        <f t="array" ref="AJ134">IFERROR(INDEX($AH$10:$AH$258, MATCH(0, IF(TRUE=$AE$10:$AE$258, COUNTIF($AJ$9:$AJ133, $AH$10:$AH$258), ""), 0)),"")</f>
        <v/>
      </c>
      <c r="AK134" s="105" t="str">
        <f t="array" ref="AK134">IFERROR(INDEX($AH$10:$AH$258, MATCH(0, IF(TRUE=$AF$10:$AF$258, COUNTIF($AK$9:$AK133, $AH$10:$AH$258), ""), 0)),"")</f>
        <v/>
      </c>
      <c r="AL134" s="15" t="str">
        <f>IFERROR(INDEX('G-6 Hedgerow Data'!$BJ$3:$BJ$15,MATCH(D134,'G-6 Hedgerow Data'!$B$3:$B$15,0)),"")</f>
        <v/>
      </c>
    </row>
    <row r="135" spans="2:38" x14ac:dyDescent="0.3">
      <c r="B135" s="92">
        <v>126</v>
      </c>
      <c r="C135" s="141"/>
      <c r="D135" s="141"/>
      <c r="E135" s="102"/>
      <c r="F135" s="335" t="str">
        <f>IF(D135="","",VLOOKUP(D135,'G-6 Hedgerow Data'!$B$2:$AG$15,2,FALSE))</f>
        <v/>
      </c>
      <c r="G135" s="291" t="str">
        <f>IF(D135="","",VLOOKUP(D135,'G-6 Hedgerow Data'!$B$2:$AG$15,3,FALSE))</f>
        <v/>
      </c>
      <c r="H135" s="95"/>
      <c r="I135" s="291" t="str">
        <f>IFERROR(IF(AND(D135&lt;&gt;"",H135=""),"Check data ⚠", IF(H135="","",IF(AND(D135="Non-native and ornamental hedgerow", H135&lt;&gt;"Poor"),"Not possible ▲", (VLOOKUP(H135,'G-1 All Habitats'!$Z$2:$AA$9,2,FALSE))))),"")</f>
        <v/>
      </c>
      <c r="J135" s="95"/>
      <c r="K135" s="298" t="str">
        <f>IF(AND(D135&lt;&gt;"",J135=""),"Check data ⚠", IF(J135="","",IF(VLOOKUP(J135,'G-3 Multipliers'!$L$3:$N$6,2,FALSE)=0,"Spatial Data Missing",VLOOKUP(J135,'G-3 Multipliers'!$L$3:$N$6,2,FALSE))))</f>
        <v/>
      </c>
      <c r="L135" s="296" t="str">
        <f>IF(J135="","",IF(VLOOKUP(J135,'G-3 Multipliers'!$L$3:$N$6,3,FALSE)=0,"Spatial Data Missing ⚠",VLOOKUP(J135,'G-3 Multipliers'!$L$3:$N$6,3,FALSE)))</f>
        <v/>
      </c>
      <c r="M135" s="297" t="str">
        <f>IF(D135="","",VLOOKUP(D135,'G-6 Hedgerow Data'!$B$1:$AH$15,33,FALSE))</f>
        <v/>
      </c>
      <c r="N135" s="304" t="str">
        <f t="shared" si="9"/>
        <v/>
      </c>
      <c r="O135" s="17"/>
      <c r="P135" s="103"/>
      <c r="Q135" s="141"/>
      <c r="R135" s="320" t="str">
        <f t="shared" si="10"/>
        <v/>
      </c>
      <c r="S135" s="320" t="str">
        <f t="shared" si="11"/>
        <v/>
      </c>
      <c r="T135" s="320" t="str">
        <f t="shared" si="12"/>
        <v/>
      </c>
      <c r="U135" s="339" t="str">
        <f t="shared" si="13"/>
        <v/>
      </c>
      <c r="V135" s="100"/>
      <c r="W135" s="101"/>
      <c r="X135" s="101"/>
      <c r="AE135" s="105" t="str">
        <f t="shared" si="7"/>
        <v/>
      </c>
      <c r="AF135" s="105" t="str">
        <f t="shared" si="8"/>
        <v/>
      </c>
      <c r="AH135" s="105">
        <v>126</v>
      </c>
      <c r="AJ135" s="105" t="str">
        <f t="array" ref="AJ135">IFERROR(INDEX($AH$10:$AH$258, MATCH(0, IF(TRUE=$AE$10:$AE$258, COUNTIF($AJ$9:$AJ134, $AH$10:$AH$258), ""), 0)),"")</f>
        <v/>
      </c>
      <c r="AK135" s="105" t="str">
        <f t="array" ref="AK135">IFERROR(INDEX($AH$10:$AH$258, MATCH(0, IF(TRUE=$AF$10:$AF$258, COUNTIF($AK$9:$AK134, $AH$10:$AH$258), ""), 0)),"")</f>
        <v/>
      </c>
      <c r="AL135" s="15" t="str">
        <f>IFERROR(INDEX('G-6 Hedgerow Data'!$BJ$3:$BJ$15,MATCH(D135,'G-6 Hedgerow Data'!$B$3:$B$15,0)),"")</f>
        <v/>
      </c>
    </row>
    <row r="136" spans="2:38" x14ac:dyDescent="0.3">
      <c r="B136" s="92">
        <v>127</v>
      </c>
      <c r="C136" s="141"/>
      <c r="D136" s="141"/>
      <c r="E136" s="102"/>
      <c r="F136" s="335" t="str">
        <f>IF(D136="","",VLOOKUP(D136,'G-6 Hedgerow Data'!$B$2:$AG$15,2,FALSE))</f>
        <v/>
      </c>
      <c r="G136" s="291" t="str">
        <f>IF(D136="","",VLOOKUP(D136,'G-6 Hedgerow Data'!$B$2:$AG$15,3,FALSE))</f>
        <v/>
      </c>
      <c r="H136" s="95"/>
      <c r="I136" s="291" t="str">
        <f>IFERROR(IF(AND(D136&lt;&gt;"",H136=""),"Check data ⚠", IF(H136="","",IF(AND(D136="Non-native and ornamental hedgerow", H136&lt;&gt;"Poor"),"Not possible ▲", (VLOOKUP(H136,'G-1 All Habitats'!$Z$2:$AA$9,2,FALSE))))),"")</f>
        <v/>
      </c>
      <c r="J136" s="95"/>
      <c r="K136" s="298" t="str">
        <f>IF(AND(D136&lt;&gt;"",J136=""),"Check data ⚠", IF(J136="","",IF(VLOOKUP(J136,'G-3 Multipliers'!$L$3:$N$6,2,FALSE)=0,"Spatial Data Missing",VLOOKUP(J136,'G-3 Multipliers'!$L$3:$N$6,2,FALSE))))</f>
        <v/>
      </c>
      <c r="L136" s="296" t="str">
        <f>IF(J136="","",IF(VLOOKUP(J136,'G-3 Multipliers'!$L$3:$N$6,3,FALSE)=0,"Spatial Data Missing ⚠",VLOOKUP(J136,'G-3 Multipliers'!$L$3:$N$6,3,FALSE)))</f>
        <v/>
      </c>
      <c r="M136" s="297" t="str">
        <f>IF(D136="","",VLOOKUP(D136,'G-6 Hedgerow Data'!$B$1:$AH$15,33,FALSE))</f>
        <v/>
      </c>
      <c r="N136" s="304" t="str">
        <f t="shared" si="9"/>
        <v/>
      </c>
      <c r="O136" s="17"/>
      <c r="P136" s="103"/>
      <c r="Q136" s="141"/>
      <c r="R136" s="320" t="str">
        <f t="shared" si="10"/>
        <v/>
      </c>
      <c r="S136" s="320" t="str">
        <f t="shared" si="11"/>
        <v/>
      </c>
      <c r="T136" s="320" t="str">
        <f t="shared" si="12"/>
        <v/>
      </c>
      <c r="U136" s="339" t="str">
        <f t="shared" si="13"/>
        <v/>
      </c>
      <c r="V136" s="100"/>
      <c r="W136" s="101"/>
      <c r="X136" s="101"/>
      <c r="AE136" s="105" t="str">
        <f t="shared" si="7"/>
        <v/>
      </c>
      <c r="AF136" s="105" t="str">
        <f t="shared" si="8"/>
        <v/>
      </c>
      <c r="AH136" s="105">
        <v>127</v>
      </c>
      <c r="AJ136" s="105" t="str">
        <f t="array" ref="AJ136">IFERROR(INDEX($AH$10:$AH$258, MATCH(0, IF(TRUE=$AE$10:$AE$258, COUNTIF($AJ$9:$AJ135, $AH$10:$AH$258), ""), 0)),"")</f>
        <v/>
      </c>
      <c r="AK136" s="105" t="str">
        <f t="array" ref="AK136">IFERROR(INDEX($AH$10:$AH$258, MATCH(0, IF(TRUE=$AF$10:$AF$258, COUNTIF($AK$9:$AK135, $AH$10:$AH$258), ""), 0)),"")</f>
        <v/>
      </c>
      <c r="AL136" s="15" t="str">
        <f>IFERROR(INDEX('G-6 Hedgerow Data'!$BJ$3:$BJ$15,MATCH(D136,'G-6 Hedgerow Data'!$B$3:$B$15,0)),"")</f>
        <v/>
      </c>
    </row>
    <row r="137" spans="2:38" x14ac:dyDescent="0.3">
      <c r="B137" s="92">
        <v>128</v>
      </c>
      <c r="C137" s="141"/>
      <c r="D137" s="141"/>
      <c r="E137" s="102"/>
      <c r="F137" s="335" t="str">
        <f>IF(D137="","",VLOOKUP(D137,'G-6 Hedgerow Data'!$B$2:$AG$15,2,FALSE))</f>
        <v/>
      </c>
      <c r="G137" s="291" t="str">
        <f>IF(D137="","",VLOOKUP(D137,'G-6 Hedgerow Data'!$B$2:$AG$15,3,FALSE))</f>
        <v/>
      </c>
      <c r="H137" s="95"/>
      <c r="I137" s="291" t="str">
        <f>IFERROR(IF(AND(D137&lt;&gt;"",H137=""),"Check data ⚠", IF(H137="","",IF(AND(D137="Non-native and ornamental hedgerow", H137&lt;&gt;"Poor"),"Not possible ▲", (VLOOKUP(H137,'G-1 All Habitats'!$Z$2:$AA$9,2,FALSE))))),"")</f>
        <v/>
      </c>
      <c r="J137" s="95"/>
      <c r="K137" s="298" t="str">
        <f>IF(AND(D137&lt;&gt;"",J137=""),"Check data ⚠", IF(J137="","",IF(VLOOKUP(J137,'G-3 Multipliers'!$L$3:$N$6,2,FALSE)=0,"Spatial Data Missing",VLOOKUP(J137,'G-3 Multipliers'!$L$3:$N$6,2,FALSE))))</f>
        <v/>
      </c>
      <c r="L137" s="296" t="str">
        <f>IF(J137="","",IF(VLOOKUP(J137,'G-3 Multipliers'!$L$3:$N$6,3,FALSE)=0,"Spatial Data Missing ⚠",VLOOKUP(J137,'G-3 Multipliers'!$L$3:$N$6,3,FALSE)))</f>
        <v/>
      </c>
      <c r="M137" s="297" t="str">
        <f>IF(D137="","",VLOOKUP(D137,'G-6 Hedgerow Data'!$B$1:$AH$15,33,FALSE))</f>
        <v/>
      </c>
      <c r="N137" s="304" t="str">
        <f t="shared" si="9"/>
        <v/>
      </c>
      <c r="O137" s="17"/>
      <c r="P137" s="103"/>
      <c r="Q137" s="141"/>
      <c r="R137" s="320" t="str">
        <f t="shared" si="10"/>
        <v/>
      </c>
      <c r="S137" s="320" t="str">
        <f t="shared" si="11"/>
        <v/>
      </c>
      <c r="T137" s="320" t="str">
        <f t="shared" si="12"/>
        <v/>
      </c>
      <c r="U137" s="339" t="str">
        <f t="shared" si="13"/>
        <v/>
      </c>
      <c r="V137" s="100"/>
      <c r="W137" s="101"/>
      <c r="X137" s="101"/>
      <c r="AE137" s="105" t="str">
        <f t="shared" si="7"/>
        <v/>
      </c>
      <c r="AF137" s="105" t="str">
        <f t="shared" si="8"/>
        <v/>
      </c>
      <c r="AH137" s="105">
        <v>128</v>
      </c>
      <c r="AJ137" s="105" t="str">
        <f t="array" ref="AJ137">IFERROR(INDEX($AH$10:$AH$258, MATCH(0, IF(TRUE=$AE$10:$AE$258, COUNTIF($AJ$9:$AJ136, $AH$10:$AH$258), ""), 0)),"")</f>
        <v/>
      </c>
      <c r="AK137" s="105" t="str">
        <f t="array" ref="AK137">IFERROR(INDEX($AH$10:$AH$258, MATCH(0, IF(TRUE=$AF$10:$AF$258, COUNTIF($AK$9:$AK136, $AH$10:$AH$258), ""), 0)),"")</f>
        <v/>
      </c>
      <c r="AL137" s="15" t="str">
        <f>IFERROR(INDEX('G-6 Hedgerow Data'!$BJ$3:$BJ$15,MATCH(D137,'G-6 Hedgerow Data'!$B$3:$B$15,0)),"")</f>
        <v/>
      </c>
    </row>
    <row r="138" spans="2:38" x14ac:dyDescent="0.3">
      <c r="B138" s="92">
        <v>129</v>
      </c>
      <c r="C138" s="141"/>
      <c r="D138" s="141"/>
      <c r="E138" s="102"/>
      <c r="F138" s="335" t="str">
        <f>IF(D138="","",VLOOKUP(D138,'G-6 Hedgerow Data'!$B$2:$AG$15,2,FALSE))</f>
        <v/>
      </c>
      <c r="G138" s="291" t="str">
        <f>IF(D138="","",VLOOKUP(D138,'G-6 Hedgerow Data'!$B$2:$AG$15,3,FALSE))</f>
        <v/>
      </c>
      <c r="H138" s="95"/>
      <c r="I138" s="291" t="str">
        <f>IFERROR(IF(AND(D138&lt;&gt;"",H138=""),"Check data ⚠", IF(H138="","",IF(AND(D138="Non-native and ornamental hedgerow", H138&lt;&gt;"Poor"),"Not possible ▲", (VLOOKUP(H138,'G-1 All Habitats'!$Z$2:$AA$9,2,FALSE))))),"")</f>
        <v/>
      </c>
      <c r="J138" s="95"/>
      <c r="K138" s="298" t="str">
        <f>IF(AND(D138&lt;&gt;"",J138=""),"Check data ⚠", IF(J138="","",IF(VLOOKUP(J138,'G-3 Multipliers'!$L$3:$N$6,2,FALSE)=0,"Spatial Data Missing",VLOOKUP(J138,'G-3 Multipliers'!$L$3:$N$6,2,FALSE))))</f>
        <v/>
      </c>
      <c r="L138" s="296" t="str">
        <f>IF(J138="","",IF(VLOOKUP(J138,'G-3 Multipliers'!$L$3:$N$6,3,FALSE)=0,"Spatial Data Missing ⚠",VLOOKUP(J138,'G-3 Multipliers'!$L$3:$N$6,3,FALSE)))</f>
        <v/>
      </c>
      <c r="M138" s="297" t="str">
        <f>IF(D138="","",VLOOKUP(D138,'G-6 Hedgerow Data'!$B$1:$AH$15,33,FALSE))</f>
        <v/>
      </c>
      <c r="N138" s="304" t="str">
        <f t="shared" si="9"/>
        <v/>
      </c>
      <c r="O138" s="17"/>
      <c r="P138" s="103"/>
      <c r="Q138" s="141"/>
      <c r="R138" s="320" t="str">
        <f t="shared" si="10"/>
        <v/>
      </c>
      <c r="S138" s="320" t="str">
        <f t="shared" si="11"/>
        <v/>
      </c>
      <c r="T138" s="320" t="str">
        <f t="shared" si="12"/>
        <v/>
      </c>
      <c r="U138" s="339" t="str">
        <f t="shared" si="13"/>
        <v/>
      </c>
      <c r="V138" s="100"/>
      <c r="W138" s="101"/>
      <c r="X138" s="101"/>
      <c r="AE138" s="105" t="str">
        <f t="shared" ref="AE138:AE201" si="14">IF(D138="","",IF(P138&gt;0,TRUE,FALSE))</f>
        <v/>
      </c>
      <c r="AF138" s="105" t="str">
        <f t="shared" ref="AF138:AF201" si="15">IF(D138="","",IF(Q138&gt;0,TRUE,FALSE))</f>
        <v/>
      </c>
      <c r="AH138" s="105">
        <v>129</v>
      </c>
      <c r="AJ138" s="105" t="str">
        <f t="array" ref="AJ138">IFERROR(INDEX($AH$10:$AH$258, MATCH(0, IF(TRUE=$AE$10:$AE$258, COUNTIF($AJ$9:$AJ137, $AH$10:$AH$258), ""), 0)),"")</f>
        <v/>
      </c>
      <c r="AK138" s="105" t="str">
        <f t="array" ref="AK138">IFERROR(INDEX($AH$10:$AH$258, MATCH(0, IF(TRUE=$AF$10:$AF$258, COUNTIF($AK$9:$AK137, $AH$10:$AH$258), ""), 0)),"")</f>
        <v/>
      </c>
      <c r="AL138" s="15" t="str">
        <f>IFERROR(INDEX('G-6 Hedgerow Data'!$BJ$3:$BJ$15,MATCH(D138,'G-6 Hedgerow Data'!$B$3:$B$15,0)),"")</f>
        <v/>
      </c>
    </row>
    <row r="139" spans="2:38" x14ac:dyDescent="0.3">
      <c r="B139" s="92">
        <v>130</v>
      </c>
      <c r="C139" s="141"/>
      <c r="D139" s="141"/>
      <c r="E139" s="102"/>
      <c r="F139" s="335" t="str">
        <f>IF(D139="","",VLOOKUP(D139,'G-6 Hedgerow Data'!$B$2:$AG$15,2,FALSE))</f>
        <v/>
      </c>
      <c r="G139" s="291" t="str">
        <f>IF(D139="","",VLOOKUP(D139,'G-6 Hedgerow Data'!$B$2:$AG$15,3,FALSE))</f>
        <v/>
      </c>
      <c r="H139" s="95"/>
      <c r="I139" s="291" t="str">
        <f>IFERROR(IF(AND(D139&lt;&gt;"",H139=""),"Check data ⚠", IF(H139="","",IF(AND(D139="Non-native and ornamental hedgerow", H139&lt;&gt;"Poor"),"Not possible ▲", (VLOOKUP(H139,'G-1 All Habitats'!$Z$2:$AA$9,2,FALSE))))),"")</f>
        <v/>
      </c>
      <c r="J139" s="95"/>
      <c r="K139" s="298" t="str">
        <f>IF(AND(D139&lt;&gt;"",J139=""),"Check data ⚠", IF(J139="","",IF(VLOOKUP(J139,'G-3 Multipliers'!$L$3:$N$6,2,FALSE)=0,"Spatial Data Missing",VLOOKUP(J139,'G-3 Multipliers'!$L$3:$N$6,2,FALSE))))</f>
        <v/>
      </c>
      <c r="L139" s="296" t="str">
        <f>IF(J139="","",IF(VLOOKUP(J139,'G-3 Multipliers'!$L$3:$N$6,3,FALSE)=0,"Spatial Data Missing ⚠",VLOOKUP(J139,'G-3 Multipliers'!$L$3:$N$6,3,FALSE)))</f>
        <v/>
      </c>
      <c r="M139" s="297" t="str">
        <f>IF(D139="","",VLOOKUP(D139,'G-6 Hedgerow Data'!$B$1:$AH$15,33,FALSE))</f>
        <v/>
      </c>
      <c r="N139" s="304" t="str">
        <f t="shared" ref="N139:N202" si="16">IFERROR(IF(OR(K139="Check data ⚠",I139="Check data ⚠"), "Check data ▲", (E139*G139*I139*L139)),"")</f>
        <v/>
      </c>
      <c r="O139" s="17"/>
      <c r="P139" s="103"/>
      <c r="Q139" s="141"/>
      <c r="R139" s="320" t="str">
        <f t="shared" ref="R139:R202" si="17">IFERROR(P139*G139*I139*L139,"")</f>
        <v/>
      </c>
      <c r="S139" s="320" t="str">
        <f t="shared" ref="S139:S202" si="18">IFERROR(Q139*G139*I139*L139,"")</f>
        <v/>
      </c>
      <c r="T139" s="320" t="str">
        <f t="shared" ref="T139:T202" si="19">IF(D139="","",IF(E139-P139-Q139=0&lt;0,"Error in lengths ▲",IF(P139+Q139&gt;E139,"Error in Lengths ▲",E139-P139-Q139)))</f>
        <v/>
      </c>
      <c r="U139" s="339" t="str">
        <f t="shared" ref="U139:U202" si="20">IFERROR(IF(OR(E139="",N139=""),"",IF(E139-P139-Q139=0&lt;0,"Error in Lengths ▲",IF(P139+Q139&gt;E139,"Error in Lengths ▲",N139-R139-S139))),"Check data ⚠")</f>
        <v/>
      </c>
      <c r="V139" s="100"/>
      <c r="W139" s="101"/>
      <c r="X139" s="101"/>
      <c r="AE139" s="105" t="str">
        <f t="shared" si="14"/>
        <v/>
      </c>
      <c r="AF139" s="105" t="str">
        <f t="shared" si="15"/>
        <v/>
      </c>
      <c r="AH139" s="105">
        <v>130</v>
      </c>
      <c r="AJ139" s="105" t="str">
        <f t="array" ref="AJ139">IFERROR(INDEX($AH$10:$AH$258, MATCH(0, IF(TRUE=$AE$10:$AE$258, COUNTIF($AJ$9:$AJ138, $AH$10:$AH$258), ""), 0)),"")</f>
        <v/>
      </c>
      <c r="AK139" s="105" t="str">
        <f t="array" ref="AK139">IFERROR(INDEX($AH$10:$AH$258, MATCH(0, IF(TRUE=$AF$10:$AF$258, COUNTIF($AK$9:$AK138, $AH$10:$AH$258), ""), 0)),"")</f>
        <v/>
      </c>
      <c r="AL139" s="15" t="str">
        <f>IFERROR(INDEX('G-6 Hedgerow Data'!$BJ$3:$BJ$15,MATCH(D139,'G-6 Hedgerow Data'!$B$3:$B$15,0)),"")</f>
        <v/>
      </c>
    </row>
    <row r="140" spans="2:38" x14ac:dyDescent="0.3">
      <c r="B140" s="92">
        <v>131</v>
      </c>
      <c r="C140" s="141"/>
      <c r="D140" s="141"/>
      <c r="E140" s="102"/>
      <c r="F140" s="335" t="str">
        <f>IF(D140="","",VLOOKUP(D140,'G-6 Hedgerow Data'!$B$2:$AG$15,2,FALSE))</f>
        <v/>
      </c>
      <c r="G140" s="291" t="str">
        <f>IF(D140="","",VLOOKUP(D140,'G-6 Hedgerow Data'!$B$2:$AG$15,3,FALSE))</f>
        <v/>
      </c>
      <c r="H140" s="95"/>
      <c r="I140" s="291" t="str">
        <f>IFERROR(IF(AND(D140&lt;&gt;"",H140=""),"Check data ⚠", IF(H140="","",IF(AND(D140="Non-native and ornamental hedgerow", H140&lt;&gt;"Poor"),"Not possible ▲", (VLOOKUP(H140,'G-1 All Habitats'!$Z$2:$AA$9,2,FALSE))))),"")</f>
        <v/>
      </c>
      <c r="J140" s="95"/>
      <c r="K140" s="298" t="str">
        <f>IF(AND(D140&lt;&gt;"",J140=""),"Check data ⚠", IF(J140="","",IF(VLOOKUP(J140,'G-3 Multipliers'!$L$3:$N$6,2,FALSE)=0,"Spatial Data Missing",VLOOKUP(J140,'G-3 Multipliers'!$L$3:$N$6,2,FALSE))))</f>
        <v/>
      </c>
      <c r="L140" s="296" t="str">
        <f>IF(J140="","",IF(VLOOKUP(J140,'G-3 Multipliers'!$L$3:$N$6,3,FALSE)=0,"Spatial Data Missing ⚠",VLOOKUP(J140,'G-3 Multipliers'!$L$3:$N$6,3,FALSE)))</f>
        <v/>
      </c>
      <c r="M140" s="297" t="str">
        <f>IF(D140="","",VLOOKUP(D140,'G-6 Hedgerow Data'!$B$1:$AH$15,33,FALSE))</f>
        <v/>
      </c>
      <c r="N140" s="304" t="str">
        <f t="shared" si="16"/>
        <v/>
      </c>
      <c r="O140" s="17"/>
      <c r="P140" s="103"/>
      <c r="Q140" s="141"/>
      <c r="R140" s="320" t="str">
        <f t="shared" si="17"/>
        <v/>
      </c>
      <c r="S140" s="320" t="str">
        <f t="shared" si="18"/>
        <v/>
      </c>
      <c r="T140" s="320" t="str">
        <f t="shared" si="19"/>
        <v/>
      </c>
      <c r="U140" s="339" t="str">
        <f t="shared" si="20"/>
        <v/>
      </c>
      <c r="V140" s="100"/>
      <c r="W140" s="101"/>
      <c r="X140" s="101"/>
      <c r="AE140" s="105" t="str">
        <f t="shared" si="14"/>
        <v/>
      </c>
      <c r="AF140" s="105" t="str">
        <f t="shared" si="15"/>
        <v/>
      </c>
      <c r="AH140" s="105">
        <v>131</v>
      </c>
      <c r="AJ140" s="105" t="str">
        <f t="array" ref="AJ140">IFERROR(INDEX($AH$10:$AH$258, MATCH(0, IF(TRUE=$AE$10:$AE$258, COUNTIF($AJ$9:$AJ139, $AH$10:$AH$258), ""), 0)),"")</f>
        <v/>
      </c>
      <c r="AK140" s="105" t="str">
        <f t="array" ref="AK140">IFERROR(INDEX($AH$10:$AH$258, MATCH(0, IF(TRUE=$AF$10:$AF$258, COUNTIF($AK$9:$AK139, $AH$10:$AH$258), ""), 0)),"")</f>
        <v/>
      </c>
      <c r="AL140" s="15" t="str">
        <f>IFERROR(INDEX('G-6 Hedgerow Data'!$BJ$3:$BJ$15,MATCH(D140,'G-6 Hedgerow Data'!$B$3:$B$15,0)),"")</f>
        <v/>
      </c>
    </row>
    <row r="141" spans="2:38" x14ac:dyDescent="0.3">
      <c r="B141" s="92">
        <v>132</v>
      </c>
      <c r="C141" s="141"/>
      <c r="D141" s="141"/>
      <c r="E141" s="102"/>
      <c r="F141" s="335" t="str">
        <f>IF(D141="","",VLOOKUP(D141,'G-6 Hedgerow Data'!$B$2:$AG$15,2,FALSE))</f>
        <v/>
      </c>
      <c r="G141" s="291" t="str">
        <f>IF(D141="","",VLOOKUP(D141,'G-6 Hedgerow Data'!$B$2:$AG$15,3,FALSE))</f>
        <v/>
      </c>
      <c r="H141" s="95"/>
      <c r="I141" s="291" t="str">
        <f>IFERROR(IF(AND(D141&lt;&gt;"",H141=""),"Check data ⚠", IF(H141="","",IF(AND(D141="Non-native and ornamental hedgerow", H141&lt;&gt;"Poor"),"Not possible ▲", (VLOOKUP(H141,'G-1 All Habitats'!$Z$2:$AA$9,2,FALSE))))),"")</f>
        <v/>
      </c>
      <c r="J141" s="95"/>
      <c r="K141" s="298" t="str">
        <f>IF(AND(D141&lt;&gt;"",J141=""),"Check data ⚠", IF(J141="","",IF(VLOOKUP(J141,'G-3 Multipliers'!$L$3:$N$6,2,FALSE)=0,"Spatial Data Missing",VLOOKUP(J141,'G-3 Multipliers'!$L$3:$N$6,2,FALSE))))</f>
        <v/>
      </c>
      <c r="L141" s="296" t="str">
        <f>IF(J141="","",IF(VLOOKUP(J141,'G-3 Multipliers'!$L$3:$N$6,3,FALSE)=0,"Spatial Data Missing ⚠",VLOOKUP(J141,'G-3 Multipliers'!$L$3:$N$6,3,FALSE)))</f>
        <v/>
      </c>
      <c r="M141" s="297" t="str">
        <f>IF(D141="","",VLOOKUP(D141,'G-6 Hedgerow Data'!$B$1:$AH$15,33,FALSE))</f>
        <v/>
      </c>
      <c r="N141" s="304" t="str">
        <f t="shared" si="16"/>
        <v/>
      </c>
      <c r="O141" s="17"/>
      <c r="P141" s="103"/>
      <c r="Q141" s="141"/>
      <c r="R141" s="320" t="str">
        <f t="shared" si="17"/>
        <v/>
      </c>
      <c r="S141" s="320" t="str">
        <f t="shared" si="18"/>
        <v/>
      </c>
      <c r="T141" s="320" t="str">
        <f t="shared" si="19"/>
        <v/>
      </c>
      <c r="U141" s="339" t="str">
        <f t="shared" si="20"/>
        <v/>
      </c>
      <c r="V141" s="100"/>
      <c r="W141" s="101"/>
      <c r="X141" s="101"/>
      <c r="AE141" s="105" t="str">
        <f t="shared" si="14"/>
        <v/>
      </c>
      <c r="AF141" s="105" t="str">
        <f t="shared" si="15"/>
        <v/>
      </c>
      <c r="AH141" s="105">
        <v>132</v>
      </c>
      <c r="AJ141" s="105" t="str">
        <f t="array" ref="AJ141">IFERROR(INDEX($AH$10:$AH$258, MATCH(0, IF(TRUE=$AE$10:$AE$258, COUNTIF($AJ$9:$AJ140, $AH$10:$AH$258), ""), 0)),"")</f>
        <v/>
      </c>
      <c r="AK141" s="105" t="str">
        <f t="array" ref="AK141">IFERROR(INDEX($AH$10:$AH$258, MATCH(0, IF(TRUE=$AF$10:$AF$258, COUNTIF($AK$9:$AK140, $AH$10:$AH$258), ""), 0)),"")</f>
        <v/>
      </c>
      <c r="AL141" s="15" t="str">
        <f>IFERROR(INDEX('G-6 Hedgerow Data'!$BJ$3:$BJ$15,MATCH(D141,'G-6 Hedgerow Data'!$B$3:$B$15,0)),"")</f>
        <v/>
      </c>
    </row>
    <row r="142" spans="2:38" x14ac:dyDescent="0.3">
      <c r="B142" s="92">
        <v>133</v>
      </c>
      <c r="C142" s="141"/>
      <c r="D142" s="141"/>
      <c r="E142" s="102"/>
      <c r="F142" s="335" t="str">
        <f>IF(D142="","",VLOOKUP(D142,'G-6 Hedgerow Data'!$B$2:$AG$15,2,FALSE))</f>
        <v/>
      </c>
      <c r="G142" s="291" t="str">
        <f>IF(D142="","",VLOOKUP(D142,'G-6 Hedgerow Data'!$B$2:$AG$15,3,FALSE))</f>
        <v/>
      </c>
      <c r="H142" s="95"/>
      <c r="I142" s="291" t="str">
        <f>IFERROR(IF(AND(D142&lt;&gt;"",H142=""),"Check data ⚠", IF(H142="","",IF(AND(D142="Non-native and ornamental hedgerow", H142&lt;&gt;"Poor"),"Not possible ▲", (VLOOKUP(H142,'G-1 All Habitats'!$Z$2:$AA$9,2,FALSE))))),"")</f>
        <v/>
      </c>
      <c r="J142" s="95"/>
      <c r="K142" s="298" t="str">
        <f>IF(AND(D142&lt;&gt;"",J142=""),"Check data ⚠", IF(J142="","",IF(VLOOKUP(J142,'G-3 Multipliers'!$L$3:$N$6,2,FALSE)=0,"Spatial Data Missing",VLOOKUP(J142,'G-3 Multipliers'!$L$3:$N$6,2,FALSE))))</f>
        <v/>
      </c>
      <c r="L142" s="296" t="str">
        <f>IF(J142="","",IF(VLOOKUP(J142,'G-3 Multipliers'!$L$3:$N$6,3,FALSE)=0,"Spatial Data Missing ⚠",VLOOKUP(J142,'G-3 Multipliers'!$L$3:$N$6,3,FALSE)))</f>
        <v/>
      </c>
      <c r="M142" s="297" t="str">
        <f>IF(D142="","",VLOOKUP(D142,'G-6 Hedgerow Data'!$B$1:$AH$15,33,FALSE))</f>
        <v/>
      </c>
      <c r="N142" s="304" t="str">
        <f t="shared" si="16"/>
        <v/>
      </c>
      <c r="O142" s="17"/>
      <c r="P142" s="103"/>
      <c r="Q142" s="141"/>
      <c r="R142" s="320" t="str">
        <f t="shared" si="17"/>
        <v/>
      </c>
      <c r="S142" s="320" t="str">
        <f t="shared" si="18"/>
        <v/>
      </c>
      <c r="T142" s="320" t="str">
        <f t="shared" si="19"/>
        <v/>
      </c>
      <c r="U142" s="339" t="str">
        <f t="shared" si="20"/>
        <v/>
      </c>
      <c r="V142" s="100"/>
      <c r="W142" s="101"/>
      <c r="X142" s="101"/>
      <c r="AE142" s="105" t="str">
        <f t="shared" si="14"/>
        <v/>
      </c>
      <c r="AF142" s="105" t="str">
        <f t="shared" si="15"/>
        <v/>
      </c>
      <c r="AH142" s="105">
        <v>133</v>
      </c>
      <c r="AJ142" s="105" t="str">
        <f t="array" ref="AJ142">IFERROR(INDEX($AH$10:$AH$258, MATCH(0, IF(TRUE=$AE$10:$AE$258, COUNTIF($AJ$9:$AJ141, $AH$10:$AH$258), ""), 0)),"")</f>
        <v/>
      </c>
      <c r="AK142" s="105" t="str">
        <f t="array" ref="AK142">IFERROR(INDEX($AH$10:$AH$258, MATCH(0, IF(TRUE=$AF$10:$AF$258, COUNTIF($AK$9:$AK141, $AH$10:$AH$258), ""), 0)),"")</f>
        <v/>
      </c>
      <c r="AL142" s="15" t="str">
        <f>IFERROR(INDEX('G-6 Hedgerow Data'!$BJ$3:$BJ$15,MATCH(D142,'G-6 Hedgerow Data'!$B$3:$B$15,0)),"")</f>
        <v/>
      </c>
    </row>
    <row r="143" spans="2:38" x14ac:dyDescent="0.3">
      <c r="B143" s="92">
        <v>134</v>
      </c>
      <c r="C143" s="141"/>
      <c r="D143" s="141"/>
      <c r="E143" s="102"/>
      <c r="F143" s="335" t="str">
        <f>IF(D143="","",VLOOKUP(D143,'G-6 Hedgerow Data'!$B$2:$AG$15,2,FALSE))</f>
        <v/>
      </c>
      <c r="G143" s="291" t="str">
        <f>IF(D143="","",VLOOKUP(D143,'G-6 Hedgerow Data'!$B$2:$AG$15,3,FALSE))</f>
        <v/>
      </c>
      <c r="H143" s="95"/>
      <c r="I143" s="291" t="str">
        <f>IFERROR(IF(AND(D143&lt;&gt;"",H143=""),"Check data ⚠", IF(H143="","",IF(AND(D143="Non-native and ornamental hedgerow", H143&lt;&gt;"Poor"),"Not possible ▲", (VLOOKUP(H143,'G-1 All Habitats'!$Z$2:$AA$9,2,FALSE))))),"")</f>
        <v/>
      </c>
      <c r="J143" s="95"/>
      <c r="K143" s="298" t="str">
        <f>IF(AND(D143&lt;&gt;"",J143=""),"Check data ⚠", IF(J143="","",IF(VLOOKUP(J143,'G-3 Multipliers'!$L$3:$N$6,2,FALSE)=0,"Spatial Data Missing",VLOOKUP(J143,'G-3 Multipliers'!$L$3:$N$6,2,FALSE))))</f>
        <v/>
      </c>
      <c r="L143" s="296" t="str">
        <f>IF(J143="","",IF(VLOOKUP(J143,'G-3 Multipliers'!$L$3:$N$6,3,FALSE)=0,"Spatial Data Missing ⚠",VLOOKUP(J143,'G-3 Multipliers'!$L$3:$N$6,3,FALSE)))</f>
        <v/>
      </c>
      <c r="M143" s="297" t="str">
        <f>IF(D143="","",VLOOKUP(D143,'G-6 Hedgerow Data'!$B$1:$AH$15,33,FALSE))</f>
        <v/>
      </c>
      <c r="N143" s="304" t="str">
        <f t="shared" si="16"/>
        <v/>
      </c>
      <c r="O143" s="17"/>
      <c r="P143" s="103"/>
      <c r="Q143" s="141"/>
      <c r="R143" s="320" t="str">
        <f t="shared" si="17"/>
        <v/>
      </c>
      <c r="S143" s="320" t="str">
        <f t="shared" si="18"/>
        <v/>
      </c>
      <c r="T143" s="320" t="str">
        <f t="shared" si="19"/>
        <v/>
      </c>
      <c r="U143" s="339" t="str">
        <f t="shared" si="20"/>
        <v/>
      </c>
      <c r="V143" s="100"/>
      <c r="W143" s="101"/>
      <c r="X143" s="101"/>
      <c r="AE143" s="105" t="str">
        <f t="shared" si="14"/>
        <v/>
      </c>
      <c r="AF143" s="105" t="str">
        <f t="shared" si="15"/>
        <v/>
      </c>
      <c r="AH143" s="105">
        <v>134</v>
      </c>
      <c r="AJ143" s="105" t="str">
        <f t="array" ref="AJ143">IFERROR(INDEX($AH$10:$AH$258, MATCH(0, IF(TRUE=$AE$10:$AE$258, COUNTIF($AJ$9:$AJ142, $AH$10:$AH$258), ""), 0)),"")</f>
        <v/>
      </c>
      <c r="AK143" s="105" t="str">
        <f t="array" ref="AK143">IFERROR(INDEX($AH$10:$AH$258, MATCH(0, IF(TRUE=$AF$10:$AF$258, COUNTIF($AK$9:$AK142, $AH$10:$AH$258), ""), 0)),"")</f>
        <v/>
      </c>
      <c r="AL143" s="15" t="str">
        <f>IFERROR(INDEX('G-6 Hedgerow Data'!$BJ$3:$BJ$15,MATCH(D143,'G-6 Hedgerow Data'!$B$3:$B$15,0)),"")</f>
        <v/>
      </c>
    </row>
    <row r="144" spans="2:38" x14ac:dyDescent="0.3">
      <c r="B144" s="92">
        <v>135</v>
      </c>
      <c r="C144" s="141"/>
      <c r="D144" s="141"/>
      <c r="E144" s="102"/>
      <c r="F144" s="335" t="str">
        <f>IF(D144="","",VLOOKUP(D144,'G-6 Hedgerow Data'!$B$2:$AG$15,2,FALSE))</f>
        <v/>
      </c>
      <c r="G144" s="291" t="str">
        <f>IF(D144="","",VLOOKUP(D144,'G-6 Hedgerow Data'!$B$2:$AG$15,3,FALSE))</f>
        <v/>
      </c>
      <c r="H144" s="95"/>
      <c r="I144" s="291" t="str">
        <f>IFERROR(IF(AND(D144&lt;&gt;"",H144=""),"Check data ⚠", IF(H144="","",IF(AND(D144="Non-native and ornamental hedgerow", H144&lt;&gt;"Poor"),"Not possible ▲", (VLOOKUP(H144,'G-1 All Habitats'!$Z$2:$AA$9,2,FALSE))))),"")</f>
        <v/>
      </c>
      <c r="J144" s="95"/>
      <c r="K144" s="298" t="str">
        <f>IF(AND(D144&lt;&gt;"",J144=""),"Check data ⚠", IF(J144="","",IF(VLOOKUP(J144,'G-3 Multipliers'!$L$3:$N$6,2,FALSE)=0,"Spatial Data Missing",VLOOKUP(J144,'G-3 Multipliers'!$L$3:$N$6,2,FALSE))))</f>
        <v/>
      </c>
      <c r="L144" s="296" t="str">
        <f>IF(J144="","",IF(VLOOKUP(J144,'G-3 Multipliers'!$L$3:$N$6,3,FALSE)=0,"Spatial Data Missing ⚠",VLOOKUP(J144,'G-3 Multipliers'!$L$3:$N$6,3,FALSE)))</f>
        <v/>
      </c>
      <c r="M144" s="297" t="str">
        <f>IF(D144="","",VLOOKUP(D144,'G-6 Hedgerow Data'!$B$1:$AH$15,33,FALSE))</f>
        <v/>
      </c>
      <c r="N144" s="304" t="str">
        <f t="shared" si="16"/>
        <v/>
      </c>
      <c r="O144" s="17"/>
      <c r="P144" s="103"/>
      <c r="Q144" s="141"/>
      <c r="R144" s="320" t="str">
        <f t="shared" si="17"/>
        <v/>
      </c>
      <c r="S144" s="320" t="str">
        <f t="shared" si="18"/>
        <v/>
      </c>
      <c r="T144" s="320" t="str">
        <f t="shared" si="19"/>
        <v/>
      </c>
      <c r="U144" s="339" t="str">
        <f t="shared" si="20"/>
        <v/>
      </c>
      <c r="V144" s="100"/>
      <c r="W144" s="101"/>
      <c r="X144" s="101"/>
      <c r="AE144" s="105" t="str">
        <f t="shared" si="14"/>
        <v/>
      </c>
      <c r="AF144" s="105" t="str">
        <f t="shared" si="15"/>
        <v/>
      </c>
      <c r="AH144" s="105">
        <v>135</v>
      </c>
      <c r="AJ144" s="105" t="str">
        <f t="array" ref="AJ144">IFERROR(INDEX($AH$10:$AH$258, MATCH(0, IF(TRUE=$AE$10:$AE$258, COUNTIF($AJ$9:$AJ143, $AH$10:$AH$258), ""), 0)),"")</f>
        <v/>
      </c>
      <c r="AK144" s="105" t="str">
        <f t="array" ref="AK144">IFERROR(INDEX($AH$10:$AH$258, MATCH(0, IF(TRUE=$AF$10:$AF$258, COUNTIF($AK$9:$AK143, $AH$10:$AH$258), ""), 0)),"")</f>
        <v/>
      </c>
      <c r="AL144" s="15" t="str">
        <f>IFERROR(INDEX('G-6 Hedgerow Data'!$BJ$3:$BJ$15,MATCH(D144,'G-6 Hedgerow Data'!$B$3:$B$15,0)),"")</f>
        <v/>
      </c>
    </row>
    <row r="145" spans="2:38" x14ac:dyDescent="0.3">
      <c r="B145" s="92">
        <v>136</v>
      </c>
      <c r="C145" s="141"/>
      <c r="D145" s="141"/>
      <c r="E145" s="102"/>
      <c r="F145" s="335" t="str">
        <f>IF(D145="","",VLOOKUP(D145,'G-6 Hedgerow Data'!$B$2:$AG$15,2,FALSE))</f>
        <v/>
      </c>
      <c r="G145" s="291" t="str">
        <f>IF(D145="","",VLOOKUP(D145,'G-6 Hedgerow Data'!$B$2:$AG$15,3,FALSE))</f>
        <v/>
      </c>
      <c r="H145" s="95"/>
      <c r="I145" s="291" t="str">
        <f>IFERROR(IF(AND(D145&lt;&gt;"",H145=""),"Check data ⚠", IF(H145="","",IF(AND(D145="Non-native and ornamental hedgerow", H145&lt;&gt;"Poor"),"Not possible ▲", (VLOOKUP(H145,'G-1 All Habitats'!$Z$2:$AA$9,2,FALSE))))),"")</f>
        <v/>
      </c>
      <c r="J145" s="95"/>
      <c r="K145" s="298" t="str">
        <f>IF(AND(D145&lt;&gt;"",J145=""),"Check data ⚠", IF(J145="","",IF(VLOOKUP(J145,'G-3 Multipliers'!$L$3:$N$6,2,FALSE)=0,"Spatial Data Missing",VLOOKUP(J145,'G-3 Multipliers'!$L$3:$N$6,2,FALSE))))</f>
        <v/>
      </c>
      <c r="L145" s="296" t="str">
        <f>IF(J145="","",IF(VLOOKUP(J145,'G-3 Multipliers'!$L$3:$N$6,3,FALSE)=0,"Spatial Data Missing ⚠",VLOOKUP(J145,'G-3 Multipliers'!$L$3:$N$6,3,FALSE)))</f>
        <v/>
      </c>
      <c r="M145" s="297" t="str">
        <f>IF(D145="","",VLOOKUP(D145,'G-6 Hedgerow Data'!$B$1:$AH$15,33,FALSE))</f>
        <v/>
      </c>
      <c r="N145" s="304" t="str">
        <f t="shared" si="16"/>
        <v/>
      </c>
      <c r="O145" s="17"/>
      <c r="P145" s="103"/>
      <c r="Q145" s="141"/>
      <c r="R145" s="320" t="str">
        <f t="shared" si="17"/>
        <v/>
      </c>
      <c r="S145" s="320" t="str">
        <f t="shared" si="18"/>
        <v/>
      </c>
      <c r="T145" s="320" t="str">
        <f t="shared" si="19"/>
        <v/>
      </c>
      <c r="U145" s="339" t="str">
        <f t="shared" si="20"/>
        <v/>
      </c>
      <c r="V145" s="100"/>
      <c r="W145" s="101"/>
      <c r="X145" s="101"/>
      <c r="AE145" s="105" t="str">
        <f t="shared" si="14"/>
        <v/>
      </c>
      <c r="AF145" s="105" t="str">
        <f t="shared" si="15"/>
        <v/>
      </c>
      <c r="AH145" s="105">
        <v>136</v>
      </c>
      <c r="AJ145" s="105" t="str">
        <f t="array" ref="AJ145">IFERROR(INDEX($AH$10:$AH$258, MATCH(0, IF(TRUE=$AE$10:$AE$258, COUNTIF($AJ$9:$AJ144, $AH$10:$AH$258), ""), 0)),"")</f>
        <v/>
      </c>
      <c r="AK145" s="105" t="str">
        <f t="array" ref="AK145">IFERROR(INDEX($AH$10:$AH$258, MATCH(0, IF(TRUE=$AF$10:$AF$258, COUNTIF($AK$9:$AK144, $AH$10:$AH$258), ""), 0)),"")</f>
        <v/>
      </c>
      <c r="AL145" s="15" t="str">
        <f>IFERROR(INDEX('G-6 Hedgerow Data'!$BJ$3:$BJ$15,MATCH(D145,'G-6 Hedgerow Data'!$B$3:$B$15,0)),"")</f>
        <v/>
      </c>
    </row>
    <row r="146" spans="2:38" x14ac:dyDescent="0.3">
      <c r="B146" s="92">
        <v>137</v>
      </c>
      <c r="C146" s="141"/>
      <c r="D146" s="141"/>
      <c r="E146" s="102"/>
      <c r="F146" s="335" t="str">
        <f>IF(D146="","",VLOOKUP(D146,'G-6 Hedgerow Data'!$B$2:$AG$15,2,FALSE))</f>
        <v/>
      </c>
      <c r="G146" s="291" t="str">
        <f>IF(D146="","",VLOOKUP(D146,'G-6 Hedgerow Data'!$B$2:$AG$15,3,FALSE))</f>
        <v/>
      </c>
      <c r="H146" s="95"/>
      <c r="I146" s="291" t="str">
        <f>IFERROR(IF(AND(D146&lt;&gt;"",H146=""),"Check data ⚠", IF(H146="","",IF(AND(D146="Non-native and ornamental hedgerow", H146&lt;&gt;"Poor"),"Not possible ▲", (VLOOKUP(H146,'G-1 All Habitats'!$Z$2:$AA$9,2,FALSE))))),"")</f>
        <v/>
      </c>
      <c r="J146" s="95"/>
      <c r="K146" s="298" t="str">
        <f>IF(AND(D146&lt;&gt;"",J146=""),"Check data ⚠", IF(J146="","",IF(VLOOKUP(J146,'G-3 Multipliers'!$L$3:$N$6,2,FALSE)=0,"Spatial Data Missing",VLOOKUP(J146,'G-3 Multipliers'!$L$3:$N$6,2,FALSE))))</f>
        <v/>
      </c>
      <c r="L146" s="296" t="str">
        <f>IF(J146="","",IF(VLOOKUP(J146,'G-3 Multipliers'!$L$3:$N$6,3,FALSE)=0,"Spatial Data Missing ⚠",VLOOKUP(J146,'G-3 Multipliers'!$L$3:$N$6,3,FALSE)))</f>
        <v/>
      </c>
      <c r="M146" s="297" t="str">
        <f>IF(D146="","",VLOOKUP(D146,'G-6 Hedgerow Data'!$B$1:$AH$15,33,FALSE))</f>
        <v/>
      </c>
      <c r="N146" s="304" t="str">
        <f t="shared" si="16"/>
        <v/>
      </c>
      <c r="O146" s="17"/>
      <c r="P146" s="103"/>
      <c r="Q146" s="141"/>
      <c r="R146" s="320" t="str">
        <f t="shared" si="17"/>
        <v/>
      </c>
      <c r="S146" s="320" t="str">
        <f t="shared" si="18"/>
        <v/>
      </c>
      <c r="T146" s="320" t="str">
        <f t="shared" si="19"/>
        <v/>
      </c>
      <c r="U146" s="339" t="str">
        <f t="shared" si="20"/>
        <v/>
      </c>
      <c r="V146" s="100"/>
      <c r="W146" s="101"/>
      <c r="X146" s="101"/>
      <c r="AE146" s="105" t="str">
        <f t="shared" si="14"/>
        <v/>
      </c>
      <c r="AF146" s="105" t="str">
        <f t="shared" si="15"/>
        <v/>
      </c>
      <c r="AH146" s="105">
        <v>137</v>
      </c>
      <c r="AJ146" s="105" t="str">
        <f t="array" ref="AJ146">IFERROR(INDEX($AH$10:$AH$258, MATCH(0, IF(TRUE=$AE$10:$AE$258, COUNTIF($AJ$9:$AJ145, $AH$10:$AH$258), ""), 0)),"")</f>
        <v/>
      </c>
      <c r="AK146" s="105" t="str">
        <f t="array" ref="AK146">IFERROR(INDEX($AH$10:$AH$258, MATCH(0, IF(TRUE=$AF$10:$AF$258, COUNTIF($AK$9:$AK145, $AH$10:$AH$258), ""), 0)),"")</f>
        <v/>
      </c>
      <c r="AL146" s="15" t="str">
        <f>IFERROR(INDEX('G-6 Hedgerow Data'!$BJ$3:$BJ$15,MATCH(D146,'G-6 Hedgerow Data'!$B$3:$B$15,0)),"")</f>
        <v/>
      </c>
    </row>
    <row r="147" spans="2:38" x14ac:dyDescent="0.3">
      <c r="B147" s="92">
        <v>138</v>
      </c>
      <c r="C147" s="141"/>
      <c r="D147" s="141"/>
      <c r="E147" s="102"/>
      <c r="F147" s="335" t="str">
        <f>IF(D147="","",VLOOKUP(D147,'G-6 Hedgerow Data'!$B$2:$AG$15,2,FALSE))</f>
        <v/>
      </c>
      <c r="G147" s="291" t="str">
        <f>IF(D147="","",VLOOKUP(D147,'G-6 Hedgerow Data'!$B$2:$AG$15,3,FALSE))</f>
        <v/>
      </c>
      <c r="H147" s="95"/>
      <c r="I147" s="291" t="str">
        <f>IFERROR(IF(AND(D147&lt;&gt;"",H147=""),"Check data ⚠", IF(H147="","",IF(AND(D147="Non-native and ornamental hedgerow", H147&lt;&gt;"Poor"),"Not possible ▲", (VLOOKUP(H147,'G-1 All Habitats'!$Z$2:$AA$9,2,FALSE))))),"")</f>
        <v/>
      </c>
      <c r="J147" s="95"/>
      <c r="K147" s="298" t="str">
        <f>IF(AND(D147&lt;&gt;"",J147=""),"Check data ⚠", IF(J147="","",IF(VLOOKUP(J147,'G-3 Multipliers'!$L$3:$N$6,2,FALSE)=0,"Spatial Data Missing",VLOOKUP(J147,'G-3 Multipliers'!$L$3:$N$6,2,FALSE))))</f>
        <v/>
      </c>
      <c r="L147" s="296" t="str">
        <f>IF(J147="","",IF(VLOOKUP(J147,'G-3 Multipliers'!$L$3:$N$6,3,FALSE)=0,"Spatial Data Missing ⚠",VLOOKUP(J147,'G-3 Multipliers'!$L$3:$N$6,3,FALSE)))</f>
        <v/>
      </c>
      <c r="M147" s="297" t="str">
        <f>IF(D147="","",VLOOKUP(D147,'G-6 Hedgerow Data'!$B$1:$AH$15,33,FALSE))</f>
        <v/>
      </c>
      <c r="N147" s="304" t="str">
        <f t="shared" si="16"/>
        <v/>
      </c>
      <c r="O147" s="17"/>
      <c r="P147" s="103"/>
      <c r="Q147" s="141"/>
      <c r="R147" s="320" t="str">
        <f t="shared" si="17"/>
        <v/>
      </c>
      <c r="S147" s="320" t="str">
        <f t="shared" si="18"/>
        <v/>
      </c>
      <c r="T147" s="320" t="str">
        <f t="shared" si="19"/>
        <v/>
      </c>
      <c r="U147" s="339" t="str">
        <f t="shared" si="20"/>
        <v/>
      </c>
      <c r="V147" s="100"/>
      <c r="W147" s="101"/>
      <c r="X147" s="101"/>
      <c r="AE147" s="105" t="str">
        <f t="shared" si="14"/>
        <v/>
      </c>
      <c r="AF147" s="105" t="str">
        <f t="shared" si="15"/>
        <v/>
      </c>
      <c r="AH147" s="105">
        <v>138</v>
      </c>
      <c r="AJ147" s="105" t="str">
        <f t="array" ref="AJ147">IFERROR(INDEX($AH$10:$AH$258, MATCH(0, IF(TRUE=$AE$10:$AE$258, COUNTIF($AJ$9:$AJ146, $AH$10:$AH$258), ""), 0)),"")</f>
        <v/>
      </c>
      <c r="AK147" s="105" t="str">
        <f t="array" ref="AK147">IFERROR(INDEX($AH$10:$AH$258, MATCH(0, IF(TRUE=$AF$10:$AF$258, COUNTIF($AK$9:$AK146, $AH$10:$AH$258), ""), 0)),"")</f>
        <v/>
      </c>
      <c r="AL147" s="15" t="str">
        <f>IFERROR(INDEX('G-6 Hedgerow Data'!$BJ$3:$BJ$15,MATCH(D147,'G-6 Hedgerow Data'!$B$3:$B$15,0)),"")</f>
        <v/>
      </c>
    </row>
    <row r="148" spans="2:38" x14ac:dyDescent="0.3">
      <c r="B148" s="92">
        <v>139</v>
      </c>
      <c r="C148" s="141"/>
      <c r="D148" s="141"/>
      <c r="E148" s="102"/>
      <c r="F148" s="335" t="str">
        <f>IF(D148="","",VLOOKUP(D148,'G-6 Hedgerow Data'!$B$2:$AG$15,2,FALSE))</f>
        <v/>
      </c>
      <c r="G148" s="291" t="str">
        <f>IF(D148="","",VLOOKUP(D148,'G-6 Hedgerow Data'!$B$2:$AG$15,3,FALSE))</f>
        <v/>
      </c>
      <c r="H148" s="95"/>
      <c r="I148" s="291" t="str">
        <f>IFERROR(IF(AND(D148&lt;&gt;"",H148=""),"Check data ⚠", IF(H148="","",IF(AND(D148="Non-native and ornamental hedgerow", H148&lt;&gt;"Poor"),"Not possible ▲", (VLOOKUP(H148,'G-1 All Habitats'!$Z$2:$AA$9,2,FALSE))))),"")</f>
        <v/>
      </c>
      <c r="J148" s="95"/>
      <c r="K148" s="298" t="str">
        <f>IF(AND(D148&lt;&gt;"",J148=""),"Check data ⚠", IF(J148="","",IF(VLOOKUP(J148,'G-3 Multipliers'!$L$3:$N$6,2,FALSE)=0,"Spatial Data Missing",VLOOKUP(J148,'G-3 Multipliers'!$L$3:$N$6,2,FALSE))))</f>
        <v/>
      </c>
      <c r="L148" s="296" t="str">
        <f>IF(J148="","",IF(VLOOKUP(J148,'G-3 Multipliers'!$L$3:$N$6,3,FALSE)=0,"Spatial Data Missing ⚠",VLOOKUP(J148,'G-3 Multipliers'!$L$3:$N$6,3,FALSE)))</f>
        <v/>
      </c>
      <c r="M148" s="297" t="str">
        <f>IF(D148="","",VLOOKUP(D148,'G-6 Hedgerow Data'!$B$1:$AH$15,33,FALSE))</f>
        <v/>
      </c>
      <c r="N148" s="304" t="str">
        <f t="shared" si="16"/>
        <v/>
      </c>
      <c r="O148" s="17"/>
      <c r="P148" s="103"/>
      <c r="Q148" s="141"/>
      <c r="R148" s="320" t="str">
        <f t="shared" si="17"/>
        <v/>
      </c>
      <c r="S148" s="320" t="str">
        <f t="shared" si="18"/>
        <v/>
      </c>
      <c r="T148" s="320" t="str">
        <f t="shared" si="19"/>
        <v/>
      </c>
      <c r="U148" s="339" t="str">
        <f t="shared" si="20"/>
        <v/>
      </c>
      <c r="V148" s="100"/>
      <c r="W148" s="101"/>
      <c r="X148" s="101"/>
      <c r="AE148" s="105" t="str">
        <f t="shared" si="14"/>
        <v/>
      </c>
      <c r="AF148" s="105" t="str">
        <f t="shared" si="15"/>
        <v/>
      </c>
      <c r="AH148" s="105">
        <v>139</v>
      </c>
      <c r="AJ148" s="105" t="str">
        <f t="array" ref="AJ148">IFERROR(INDEX($AH$10:$AH$258, MATCH(0, IF(TRUE=$AE$10:$AE$258, COUNTIF($AJ$9:$AJ147, $AH$10:$AH$258), ""), 0)),"")</f>
        <v/>
      </c>
      <c r="AK148" s="105" t="str">
        <f t="array" ref="AK148">IFERROR(INDEX($AH$10:$AH$258, MATCH(0, IF(TRUE=$AF$10:$AF$258, COUNTIF($AK$9:$AK147, $AH$10:$AH$258), ""), 0)),"")</f>
        <v/>
      </c>
      <c r="AL148" s="15" t="str">
        <f>IFERROR(INDEX('G-6 Hedgerow Data'!$BJ$3:$BJ$15,MATCH(D148,'G-6 Hedgerow Data'!$B$3:$B$15,0)),"")</f>
        <v/>
      </c>
    </row>
    <row r="149" spans="2:38" x14ac:dyDescent="0.3">
      <c r="B149" s="92">
        <v>140</v>
      </c>
      <c r="C149" s="141"/>
      <c r="D149" s="141"/>
      <c r="E149" s="102"/>
      <c r="F149" s="335" t="str">
        <f>IF(D149="","",VLOOKUP(D149,'G-6 Hedgerow Data'!$B$2:$AG$15,2,FALSE))</f>
        <v/>
      </c>
      <c r="G149" s="291" t="str">
        <f>IF(D149="","",VLOOKUP(D149,'G-6 Hedgerow Data'!$B$2:$AG$15,3,FALSE))</f>
        <v/>
      </c>
      <c r="H149" s="95"/>
      <c r="I149" s="291" t="str">
        <f>IFERROR(IF(AND(D149&lt;&gt;"",H149=""),"Check data ⚠", IF(H149="","",IF(AND(D149="Non-native and ornamental hedgerow", H149&lt;&gt;"Poor"),"Not possible ▲", (VLOOKUP(H149,'G-1 All Habitats'!$Z$2:$AA$9,2,FALSE))))),"")</f>
        <v/>
      </c>
      <c r="J149" s="95"/>
      <c r="K149" s="298" t="str">
        <f>IF(AND(D149&lt;&gt;"",J149=""),"Check data ⚠", IF(J149="","",IF(VLOOKUP(J149,'G-3 Multipliers'!$L$3:$N$6,2,FALSE)=0,"Spatial Data Missing",VLOOKUP(J149,'G-3 Multipliers'!$L$3:$N$6,2,FALSE))))</f>
        <v/>
      </c>
      <c r="L149" s="296" t="str">
        <f>IF(J149="","",IF(VLOOKUP(J149,'G-3 Multipliers'!$L$3:$N$6,3,FALSE)=0,"Spatial Data Missing ⚠",VLOOKUP(J149,'G-3 Multipliers'!$L$3:$N$6,3,FALSE)))</f>
        <v/>
      </c>
      <c r="M149" s="297" t="str">
        <f>IF(D149="","",VLOOKUP(D149,'G-6 Hedgerow Data'!$B$1:$AH$15,33,FALSE))</f>
        <v/>
      </c>
      <c r="N149" s="304" t="str">
        <f t="shared" si="16"/>
        <v/>
      </c>
      <c r="O149" s="17"/>
      <c r="P149" s="103"/>
      <c r="Q149" s="141"/>
      <c r="R149" s="320" t="str">
        <f t="shared" si="17"/>
        <v/>
      </c>
      <c r="S149" s="320" t="str">
        <f t="shared" si="18"/>
        <v/>
      </c>
      <c r="T149" s="320" t="str">
        <f t="shared" si="19"/>
        <v/>
      </c>
      <c r="U149" s="339" t="str">
        <f t="shared" si="20"/>
        <v/>
      </c>
      <c r="V149" s="100"/>
      <c r="W149" s="101"/>
      <c r="X149" s="101"/>
      <c r="AE149" s="105" t="str">
        <f t="shared" si="14"/>
        <v/>
      </c>
      <c r="AF149" s="105" t="str">
        <f t="shared" si="15"/>
        <v/>
      </c>
      <c r="AH149" s="105">
        <v>140</v>
      </c>
      <c r="AJ149" s="105" t="str">
        <f t="array" ref="AJ149">IFERROR(INDEX($AH$10:$AH$258, MATCH(0, IF(TRUE=$AE$10:$AE$258, COUNTIF($AJ$9:$AJ148, $AH$10:$AH$258), ""), 0)),"")</f>
        <v/>
      </c>
      <c r="AK149" s="105" t="str">
        <f t="array" ref="AK149">IFERROR(INDEX($AH$10:$AH$258, MATCH(0, IF(TRUE=$AF$10:$AF$258, COUNTIF($AK$9:$AK148, $AH$10:$AH$258), ""), 0)),"")</f>
        <v/>
      </c>
      <c r="AL149" s="15" t="str">
        <f>IFERROR(INDEX('G-6 Hedgerow Data'!$BJ$3:$BJ$15,MATCH(D149,'G-6 Hedgerow Data'!$B$3:$B$15,0)),"")</f>
        <v/>
      </c>
    </row>
    <row r="150" spans="2:38" x14ac:dyDescent="0.3">
      <c r="B150" s="92">
        <v>141</v>
      </c>
      <c r="C150" s="141"/>
      <c r="D150" s="141"/>
      <c r="E150" s="102"/>
      <c r="F150" s="335" t="str">
        <f>IF(D150="","",VLOOKUP(D150,'G-6 Hedgerow Data'!$B$2:$AG$15,2,FALSE))</f>
        <v/>
      </c>
      <c r="G150" s="291" t="str">
        <f>IF(D150="","",VLOOKUP(D150,'G-6 Hedgerow Data'!$B$2:$AG$15,3,FALSE))</f>
        <v/>
      </c>
      <c r="H150" s="95"/>
      <c r="I150" s="291" t="str">
        <f>IFERROR(IF(AND(D150&lt;&gt;"",H150=""),"Check data ⚠", IF(H150="","",IF(AND(D150="Non-native and ornamental hedgerow", H150&lt;&gt;"Poor"),"Not possible ▲", (VLOOKUP(H150,'G-1 All Habitats'!$Z$2:$AA$9,2,FALSE))))),"")</f>
        <v/>
      </c>
      <c r="J150" s="95"/>
      <c r="K150" s="298" t="str">
        <f>IF(AND(D150&lt;&gt;"",J150=""),"Check data ⚠", IF(J150="","",IF(VLOOKUP(J150,'G-3 Multipliers'!$L$3:$N$6,2,FALSE)=0,"Spatial Data Missing",VLOOKUP(J150,'G-3 Multipliers'!$L$3:$N$6,2,FALSE))))</f>
        <v/>
      </c>
      <c r="L150" s="296" t="str">
        <f>IF(J150="","",IF(VLOOKUP(J150,'G-3 Multipliers'!$L$3:$N$6,3,FALSE)=0,"Spatial Data Missing ⚠",VLOOKUP(J150,'G-3 Multipliers'!$L$3:$N$6,3,FALSE)))</f>
        <v/>
      </c>
      <c r="M150" s="297" t="str">
        <f>IF(D150="","",VLOOKUP(D150,'G-6 Hedgerow Data'!$B$1:$AH$15,33,FALSE))</f>
        <v/>
      </c>
      <c r="N150" s="304" t="str">
        <f t="shared" si="16"/>
        <v/>
      </c>
      <c r="O150" s="17"/>
      <c r="P150" s="103"/>
      <c r="Q150" s="141"/>
      <c r="R150" s="320" t="str">
        <f t="shared" si="17"/>
        <v/>
      </c>
      <c r="S150" s="320" t="str">
        <f t="shared" si="18"/>
        <v/>
      </c>
      <c r="T150" s="320" t="str">
        <f t="shared" si="19"/>
        <v/>
      </c>
      <c r="U150" s="339" t="str">
        <f t="shared" si="20"/>
        <v/>
      </c>
      <c r="V150" s="100"/>
      <c r="W150" s="101"/>
      <c r="X150" s="101"/>
      <c r="AE150" s="105" t="str">
        <f t="shared" si="14"/>
        <v/>
      </c>
      <c r="AF150" s="105" t="str">
        <f t="shared" si="15"/>
        <v/>
      </c>
      <c r="AH150" s="105">
        <v>141</v>
      </c>
      <c r="AJ150" s="105" t="str">
        <f t="array" ref="AJ150">IFERROR(INDEX($AH$10:$AH$258, MATCH(0, IF(TRUE=$AE$10:$AE$258, COUNTIF($AJ$9:$AJ149, $AH$10:$AH$258), ""), 0)),"")</f>
        <v/>
      </c>
      <c r="AK150" s="105" t="str">
        <f t="array" ref="AK150">IFERROR(INDEX($AH$10:$AH$258, MATCH(0, IF(TRUE=$AF$10:$AF$258, COUNTIF($AK$9:$AK149, $AH$10:$AH$258), ""), 0)),"")</f>
        <v/>
      </c>
      <c r="AL150" s="15" t="str">
        <f>IFERROR(INDEX('G-6 Hedgerow Data'!$BJ$3:$BJ$15,MATCH(D150,'G-6 Hedgerow Data'!$B$3:$B$15,0)),"")</f>
        <v/>
      </c>
    </row>
    <row r="151" spans="2:38" x14ac:dyDescent="0.3">
      <c r="B151" s="92">
        <v>142</v>
      </c>
      <c r="C151" s="141"/>
      <c r="D151" s="141"/>
      <c r="E151" s="102"/>
      <c r="F151" s="335" t="str">
        <f>IF(D151="","",VLOOKUP(D151,'G-6 Hedgerow Data'!$B$2:$AG$15,2,FALSE))</f>
        <v/>
      </c>
      <c r="G151" s="291" t="str">
        <f>IF(D151="","",VLOOKUP(D151,'G-6 Hedgerow Data'!$B$2:$AG$15,3,FALSE))</f>
        <v/>
      </c>
      <c r="H151" s="95"/>
      <c r="I151" s="291" t="str">
        <f>IFERROR(IF(AND(D151&lt;&gt;"",H151=""),"Check data ⚠", IF(H151="","",IF(AND(D151="Non-native and ornamental hedgerow", H151&lt;&gt;"Poor"),"Not possible ▲", (VLOOKUP(H151,'G-1 All Habitats'!$Z$2:$AA$9,2,FALSE))))),"")</f>
        <v/>
      </c>
      <c r="J151" s="95"/>
      <c r="K151" s="298" t="str">
        <f>IF(AND(D151&lt;&gt;"",J151=""),"Check data ⚠", IF(J151="","",IF(VLOOKUP(J151,'G-3 Multipliers'!$L$3:$N$6,2,FALSE)=0,"Spatial Data Missing",VLOOKUP(J151,'G-3 Multipliers'!$L$3:$N$6,2,FALSE))))</f>
        <v/>
      </c>
      <c r="L151" s="296" t="str">
        <f>IF(J151="","",IF(VLOOKUP(J151,'G-3 Multipliers'!$L$3:$N$6,3,FALSE)=0,"Spatial Data Missing ⚠",VLOOKUP(J151,'G-3 Multipliers'!$L$3:$N$6,3,FALSE)))</f>
        <v/>
      </c>
      <c r="M151" s="297" t="str">
        <f>IF(D151="","",VLOOKUP(D151,'G-6 Hedgerow Data'!$B$1:$AH$15,33,FALSE))</f>
        <v/>
      </c>
      <c r="N151" s="304" t="str">
        <f t="shared" si="16"/>
        <v/>
      </c>
      <c r="O151" s="17"/>
      <c r="P151" s="103"/>
      <c r="Q151" s="141"/>
      <c r="R151" s="320" t="str">
        <f t="shared" si="17"/>
        <v/>
      </c>
      <c r="S151" s="320" t="str">
        <f t="shared" si="18"/>
        <v/>
      </c>
      <c r="T151" s="320" t="str">
        <f t="shared" si="19"/>
        <v/>
      </c>
      <c r="U151" s="339" t="str">
        <f t="shared" si="20"/>
        <v/>
      </c>
      <c r="V151" s="100"/>
      <c r="W151" s="101"/>
      <c r="X151" s="101"/>
      <c r="AE151" s="105" t="str">
        <f t="shared" si="14"/>
        <v/>
      </c>
      <c r="AF151" s="105" t="str">
        <f t="shared" si="15"/>
        <v/>
      </c>
      <c r="AH151" s="105">
        <v>142</v>
      </c>
      <c r="AJ151" s="105" t="str">
        <f t="array" ref="AJ151">IFERROR(INDEX($AH$10:$AH$258, MATCH(0, IF(TRUE=$AE$10:$AE$258, COUNTIF($AJ$9:$AJ150, $AH$10:$AH$258), ""), 0)),"")</f>
        <v/>
      </c>
      <c r="AK151" s="105" t="str">
        <f t="array" ref="AK151">IFERROR(INDEX($AH$10:$AH$258, MATCH(0, IF(TRUE=$AF$10:$AF$258, COUNTIF($AK$9:$AK150, $AH$10:$AH$258), ""), 0)),"")</f>
        <v/>
      </c>
      <c r="AL151" s="15" t="str">
        <f>IFERROR(INDEX('G-6 Hedgerow Data'!$BJ$3:$BJ$15,MATCH(D151,'G-6 Hedgerow Data'!$B$3:$B$15,0)),"")</f>
        <v/>
      </c>
    </row>
    <row r="152" spans="2:38" x14ac:dyDescent="0.3">
      <c r="B152" s="92">
        <v>143</v>
      </c>
      <c r="C152" s="141"/>
      <c r="D152" s="141"/>
      <c r="E152" s="102"/>
      <c r="F152" s="335" t="str">
        <f>IF(D152="","",VLOOKUP(D152,'G-6 Hedgerow Data'!$B$2:$AG$15,2,FALSE))</f>
        <v/>
      </c>
      <c r="G152" s="291" t="str">
        <f>IF(D152="","",VLOOKUP(D152,'G-6 Hedgerow Data'!$B$2:$AG$15,3,FALSE))</f>
        <v/>
      </c>
      <c r="H152" s="95"/>
      <c r="I152" s="291" t="str">
        <f>IFERROR(IF(AND(D152&lt;&gt;"",H152=""),"Check data ⚠", IF(H152="","",IF(AND(D152="Non-native and ornamental hedgerow", H152&lt;&gt;"Poor"),"Not possible ▲", (VLOOKUP(H152,'G-1 All Habitats'!$Z$2:$AA$9,2,FALSE))))),"")</f>
        <v/>
      </c>
      <c r="J152" s="95"/>
      <c r="K152" s="298" t="str">
        <f>IF(AND(D152&lt;&gt;"",J152=""),"Check data ⚠", IF(J152="","",IF(VLOOKUP(J152,'G-3 Multipliers'!$L$3:$N$6,2,FALSE)=0,"Spatial Data Missing",VLOOKUP(J152,'G-3 Multipliers'!$L$3:$N$6,2,FALSE))))</f>
        <v/>
      </c>
      <c r="L152" s="296" t="str">
        <f>IF(J152="","",IF(VLOOKUP(J152,'G-3 Multipliers'!$L$3:$N$6,3,FALSE)=0,"Spatial Data Missing ⚠",VLOOKUP(J152,'G-3 Multipliers'!$L$3:$N$6,3,FALSE)))</f>
        <v/>
      </c>
      <c r="M152" s="297" t="str">
        <f>IF(D152="","",VLOOKUP(D152,'G-6 Hedgerow Data'!$B$1:$AH$15,33,FALSE))</f>
        <v/>
      </c>
      <c r="N152" s="304" t="str">
        <f t="shared" si="16"/>
        <v/>
      </c>
      <c r="O152" s="17"/>
      <c r="P152" s="103"/>
      <c r="Q152" s="141"/>
      <c r="R152" s="320" t="str">
        <f t="shared" si="17"/>
        <v/>
      </c>
      <c r="S152" s="320" t="str">
        <f t="shared" si="18"/>
        <v/>
      </c>
      <c r="T152" s="320" t="str">
        <f t="shared" si="19"/>
        <v/>
      </c>
      <c r="U152" s="339" t="str">
        <f t="shared" si="20"/>
        <v/>
      </c>
      <c r="V152" s="100"/>
      <c r="W152" s="101"/>
      <c r="X152" s="101"/>
      <c r="AE152" s="105" t="str">
        <f t="shared" si="14"/>
        <v/>
      </c>
      <c r="AF152" s="105" t="str">
        <f t="shared" si="15"/>
        <v/>
      </c>
      <c r="AH152" s="105">
        <v>143</v>
      </c>
      <c r="AJ152" s="105" t="str">
        <f t="array" ref="AJ152">IFERROR(INDEX($AH$10:$AH$258, MATCH(0, IF(TRUE=$AE$10:$AE$258, COUNTIF($AJ$9:$AJ151, $AH$10:$AH$258), ""), 0)),"")</f>
        <v/>
      </c>
      <c r="AK152" s="105" t="str">
        <f t="array" ref="AK152">IFERROR(INDEX($AH$10:$AH$258, MATCH(0, IF(TRUE=$AF$10:$AF$258, COUNTIF($AK$9:$AK151, $AH$10:$AH$258), ""), 0)),"")</f>
        <v/>
      </c>
      <c r="AL152" s="15" t="str">
        <f>IFERROR(INDEX('G-6 Hedgerow Data'!$BJ$3:$BJ$15,MATCH(D152,'G-6 Hedgerow Data'!$B$3:$B$15,0)),"")</f>
        <v/>
      </c>
    </row>
    <row r="153" spans="2:38" x14ac:dyDescent="0.3">
      <c r="B153" s="92">
        <v>144</v>
      </c>
      <c r="C153" s="141"/>
      <c r="D153" s="141"/>
      <c r="E153" s="102"/>
      <c r="F153" s="335" t="str">
        <f>IF(D153="","",VLOOKUP(D153,'G-6 Hedgerow Data'!$B$2:$AG$15,2,FALSE))</f>
        <v/>
      </c>
      <c r="G153" s="291" t="str">
        <f>IF(D153="","",VLOOKUP(D153,'G-6 Hedgerow Data'!$B$2:$AG$15,3,FALSE))</f>
        <v/>
      </c>
      <c r="H153" s="95"/>
      <c r="I153" s="291" t="str">
        <f>IFERROR(IF(AND(D153&lt;&gt;"",H153=""),"Check data ⚠", IF(H153="","",IF(AND(D153="Non-native and ornamental hedgerow", H153&lt;&gt;"Poor"),"Not possible ▲", (VLOOKUP(H153,'G-1 All Habitats'!$Z$2:$AA$9,2,FALSE))))),"")</f>
        <v/>
      </c>
      <c r="J153" s="95"/>
      <c r="K153" s="298" t="str">
        <f>IF(AND(D153&lt;&gt;"",J153=""),"Check data ⚠", IF(J153="","",IF(VLOOKUP(J153,'G-3 Multipliers'!$L$3:$N$6,2,FALSE)=0,"Spatial Data Missing",VLOOKUP(J153,'G-3 Multipliers'!$L$3:$N$6,2,FALSE))))</f>
        <v/>
      </c>
      <c r="L153" s="296" t="str">
        <f>IF(J153="","",IF(VLOOKUP(J153,'G-3 Multipliers'!$L$3:$N$6,3,FALSE)=0,"Spatial Data Missing ⚠",VLOOKUP(J153,'G-3 Multipliers'!$L$3:$N$6,3,FALSE)))</f>
        <v/>
      </c>
      <c r="M153" s="297" t="str">
        <f>IF(D153="","",VLOOKUP(D153,'G-6 Hedgerow Data'!$B$1:$AH$15,33,FALSE))</f>
        <v/>
      </c>
      <c r="N153" s="304" t="str">
        <f t="shared" si="16"/>
        <v/>
      </c>
      <c r="O153" s="17"/>
      <c r="P153" s="103"/>
      <c r="Q153" s="141"/>
      <c r="R153" s="320" t="str">
        <f t="shared" si="17"/>
        <v/>
      </c>
      <c r="S153" s="320" t="str">
        <f t="shared" si="18"/>
        <v/>
      </c>
      <c r="T153" s="320" t="str">
        <f t="shared" si="19"/>
        <v/>
      </c>
      <c r="U153" s="339" t="str">
        <f t="shared" si="20"/>
        <v/>
      </c>
      <c r="V153" s="100"/>
      <c r="W153" s="101"/>
      <c r="X153" s="101"/>
      <c r="AE153" s="105" t="str">
        <f t="shared" si="14"/>
        <v/>
      </c>
      <c r="AF153" s="105" t="str">
        <f t="shared" si="15"/>
        <v/>
      </c>
      <c r="AH153" s="105">
        <v>144</v>
      </c>
      <c r="AJ153" s="105" t="str">
        <f t="array" ref="AJ153">IFERROR(INDEX($AH$10:$AH$258, MATCH(0, IF(TRUE=$AE$10:$AE$258, COUNTIF($AJ$9:$AJ152, $AH$10:$AH$258), ""), 0)),"")</f>
        <v/>
      </c>
      <c r="AK153" s="105" t="str">
        <f t="array" ref="AK153">IFERROR(INDEX($AH$10:$AH$258, MATCH(0, IF(TRUE=$AF$10:$AF$258, COUNTIF($AK$9:$AK152, $AH$10:$AH$258), ""), 0)),"")</f>
        <v/>
      </c>
      <c r="AL153" s="15" t="str">
        <f>IFERROR(INDEX('G-6 Hedgerow Data'!$BJ$3:$BJ$15,MATCH(D153,'G-6 Hedgerow Data'!$B$3:$B$15,0)),"")</f>
        <v/>
      </c>
    </row>
    <row r="154" spans="2:38" x14ac:dyDescent="0.3">
      <c r="B154" s="92">
        <v>145</v>
      </c>
      <c r="C154" s="141"/>
      <c r="D154" s="141"/>
      <c r="E154" s="102"/>
      <c r="F154" s="335" t="str">
        <f>IF(D154="","",VLOOKUP(D154,'G-6 Hedgerow Data'!$B$2:$AG$15,2,FALSE))</f>
        <v/>
      </c>
      <c r="G154" s="291" t="str">
        <f>IF(D154="","",VLOOKUP(D154,'G-6 Hedgerow Data'!$B$2:$AG$15,3,FALSE))</f>
        <v/>
      </c>
      <c r="H154" s="95"/>
      <c r="I154" s="291" t="str">
        <f>IFERROR(IF(AND(D154&lt;&gt;"",H154=""),"Check data ⚠", IF(H154="","",IF(AND(D154="Non-native and ornamental hedgerow", H154&lt;&gt;"Poor"),"Not possible ▲", (VLOOKUP(H154,'G-1 All Habitats'!$Z$2:$AA$9,2,FALSE))))),"")</f>
        <v/>
      </c>
      <c r="J154" s="95"/>
      <c r="K154" s="298" t="str">
        <f>IF(AND(D154&lt;&gt;"",J154=""),"Check data ⚠", IF(J154="","",IF(VLOOKUP(J154,'G-3 Multipliers'!$L$3:$N$6,2,FALSE)=0,"Spatial Data Missing",VLOOKUP(J154,'G-3 Multipliers'!$L$3:$N$6,2,FALSE))))</f>
        <v/>
      </c>
      <c r="L154" s="296" t="str">
        <f>IF(J154="","",IF(VLOOKUP(J154,'G-3 Multipliers'!$L$3:$N$6,3,FALSE)=0,"Spatial Data Missing ⚠",VLOOKUP(J154,'G-3 Multipliers'!$L$3:$N$6,3,FALSE)))</f>
        <v/>
      </c>
      <c r="M154" s="297" t="str">
        <f>IF(D154="","",VLOOKUP(D154,'G-6 Hedgerow Data'!$B$1:$AH$15,33,FALSE))</f>
        <v/>
      </c>
      <c r="N154" s="304" t="str">
        <f t="shared" si="16"/>
        <v/>
      </c>
      <c r="O154" s="17"/>
      <c r="P154" s="103"/>
      <c r="Q154" s="141"/>
      <c r="R154" s="320" t="str">
        <f t="shared" si="17"/>
        <v/>
      </c>
      <c r="S154" s="320" t="str">
        <f t="shared" si="18"/>
        <v/>
      </c>
      <c r="T154" s="320" t="str">
        <f t="shared" si="19"/>
        <v/>
      </c>
      <c r="U154" s="339" t="str">
        <f t="shared" si="20"/>
        <v/>
      </c>
      <c r="V154" s="100"/>
      <c r="W154" s="101"/>
      <c r="X154" s="101"/>
      <c r="AE154" s="105" t="str">
        <f t="shared" si="14"/>
        <v/>
      </c>
      <c r="AF154" s="105" t="str">
        <f t="shared" si="15"/>
        <v/>
      </c>
      <c r="AH154" s="105">
        <v>145</v>
      </c>
      <c r="AJ154" s="105" t="str">
        <f t="array" ref="AJ154">IFERROR(INDEX($AH$10:$AH$258, MATCH(0, IF(TRUE=$AE$10:$AE$258, COUNTIF($AJ$9:$AJ153, $AH$10:$AH$258), ""), 0)),"")</f>
        <v/>
      </c>
      <c r="AK154" s="105" t="str">
        <f t="array" ref="AK154">IFERROR(INDEX($AH$10:$AH$258, MATCH(0, IF(TRUE=$AF$10:$AF$258, COUNTIF($AK$9:$AK153, $AH$10:$AH$258), ""), 0)),"")</f>
        <v/>
      </c>
      <c r="AL154" s="15" t="str">
        <f>IFERROR(INDEX('G-6 Hedgerow Data'!$BJ$3:$BJ$15,MATCH(D154,'G-6 Hedgerow Data'!$B$3:$B$15,0)),"")</f>
        <v/>
      </c>
    </row>
    <row r="155" spans="2:38" x14ac:dyDescent="0.3">
      <c r="B155" s="92">
        <v>146</v>
      </c>
      <c r="C155" s="141"/>
      <c r="D155" s="141"/>
      <c r="E155" s="102"/>
      <c r="F155" s="335" t="str">
        <f>IF(D155="","",VLOOKUP(D155,'G-6 Hedgerow Data'!$B$2:$AG$15,2,FALSE))</f>
        <v/>
      </c>
      <c r="G155" s="291" t="str">
        <f>IF(D155="","",VLOOKUP(D155,'G-6 Hedgerow Data'!$B$2:$AG$15,3,FALSE))</f>
        <v/>
      </c>
      <c r="H155" s="95"/>
      <c r="I155" s="291" t="str">
        <f>IFERROR(IF(AND(D155&lt;&gt;"",H155=""),"Check data ⚠", IF(H155="","",IF(AND(D155="Non-native and ornamental hedgerow", H155&lt;&gt;"Poor"),"Not possible ▲", (VLOOKUP(H155,'G-1 All Habitats'!$Z$2:$AA$9,2,FALSE))))),"")</f>
        <v/>
      </c>
      <c r="J155" s="95"/>
      <c r="K155" s="298" t="str">
        <f>IF(AND(D155&lt;&gt;"",J155=""),"Check data ⚠", IF(J155="","",IF(VLOOKUP(J155,'G-3 Multipliers'!$L$3:$N$6,2,FALSE)=0,"Spatial Data Missing",VLOOKUP(J155,'G-3 Multipliers'!$L$3:$N$6,2,FALSE))))</f>
        <v/>
      </c>
      <c r="L155" s="296" t="str">
        <f>IF(J155="","",IF(VLOOKUP(J155,'G-3 Multipliers'!$L$3:$N$6,3,FALSE)=0,"Spatial Data Missing ⚠",VLOOKUP(J155,'G-3 Multipliers'!$L$3:$N$6,3,FALSE)))</f>
        <v/>
      </c>
      <c r="M155" s="297" t="str">
        <f>IF(D155="","",VLOOKUP(D155,'G-6 Hedgerow Data'!$B$1:$AH$15,33,FALSE))</f>
        <v/>
      </c>
      <c r="N155" s="304" t="str">
        <f t="shared" si="16"/>
        <v/>
      </c>
      <c r="O155" s="17"/>
      <c r="P155" s="103"/>
      <c r="Q155" s="141"/>
      <c r="R155" s="320" t="str">
        <f t="shared" si="17"/>
        <v/>
      </c>
      <c r="S155" s="320" t="str">
        <f t="shared" si="18"/>
        <v/>
      </c>
      <c r="T155" s="320" t="str">
        <f t="shared" si="19"/>
        <v/>
      </c>
      <c r="U155" s="339" t="str">
        <f t="shared" si="20"/>
        <v/>
      </c>
      <c r="V155" s="100"/>
      <c r="W155" s="101"/>
      <c r="X155" s="101"/>
      <c r="AE155" s="105" t="str">
        <f t="shared" si="14"/>
        <v/>
      </c>
      <c r="AF155" s="105" t="str">
        <f t="shared" si="15"/>
        <v/>
      </c>
      <c r="AH155" s="105">
        <v>146</v>
      </c>
      <c r="AJ155" s="105" t="str">
        <f t="array" ref="AJ155">IFERROR(INDEX($AH$10:$AH$258, MATCH(0, IF(TRUE=$AE$10:$AE$258, COUNTIF($AJ$9:$AJ154, $AH$10:$AH$258), ""), 0)),"")</f>
        <v/>
      </c>
      <c r="AK155" s="105" t="str">
        <f t="array" ref="AK155">IFERROR(INDEX($AH$10:$AH$258, MATCH(0, IF(TRUE=$AF$10:$AF$258, COUNTIF($AK$9:$AK154, $AH$10:$AH$258), ""), 0)),"")</f>
        <v/>
      </c>
      <c r="AL155" s="15" t="str">
        <f>IFERROR(INDEX('G-6 Hedgerow Data'!$BJ$3:$BJ$15,MATCH(D155,'G-6 Hedgerow Data'!$B$3:$B$15,0)),"")</f>
        <v/>
      </c>
    </row>
    <row r="156" spans="2:38" x14ac:dyDescent="0.3">
      <c r="B156" s="92">
        <v>147</v>
      </c>
      <c r="C156" s="141"/>
      <c r="D156" s="141"/>
      <c r="E156" s="102"/>
      <c r="F156" s="335" t="str">
        <f>IF(D156="","",VLOOKUP(D156,'G-6 Hedgerow Data'!$B$2:$AG$15,2,FALSE))</f>
        <v/>
      </c>
      <c r="G156" s="291" t="str">
        <f>IF(D156="","",VLOOKUP(D156,'G-6 Hedgerow Data'!$B$2:$AG$15,3,FALSE))</f>
        <v/>
      </c>
      <c r="H156" s="95"/>
      <c r="I156" s="291" t="str">
        <f>IFERROR(IF(AND(D156&lt;&gt;"",H156=""),"Check data ⚠", IF(H156="","",IF(AND(D156="Non-native and ornamental hedgerow", H156&lt;&gt;"Poor"),"Not possible ▲", (VLOOKUP(H156,'G-1 All Habitats'!$Z$2:$AA$9,2,FALSE))))),"")</f>
        <v/>
      </c>
      <c r="J156" s="95"/>
      <c r="K156" s="298" t="str">
        <f>IF(AND(D156&lt;&gt;"",J156=""),"Check data ⚠", IF(J156="","",IF(VLOOKUP(J156,'G-3 Multipliers'!$L$3:$N$6,2,FALSE)=0,"Spatial Data Missing",VLOOKUP(J156,'G-3 Multipliers'!$L$3:$N$6,2,FALSE))))</f>
        <v/>
      </c>
      <c r="L156" s="296" t="str">
        <f>IF(J156="","",IF(VLOOKUP(J156,'G-3 Multipliers'!$L$3:$N$6,3,FALSE)=0,"Spatial Data Missing ⚠",VLOOKUP(J156,'G-3 Multipliers'!$L$3:$N$6,3,FALSE)))</f>
        <v/>
      </c>
      <c r="M156" s="297" t="str">
        <f>IF(D156="","",VLOOKUP(D156,'G-6 Hedgerow Data'!$B$1:$AH$15,33,FALSE))</f>
        <v/>
      </c>
      <c r="N156" s="304" t="str">
        <f t="shared" si="16"/>
        <v/>
      </c>
      <c r="O156" s="17"/>
      <c r="P156" s="103"/>
      <c r="Q156" s="141"/>
      <c r="R156" s="320" t="str">
        <f t="shared" si="17"/>
        <v/>
      </c>
      <c r="S156" s="320" t="str">
        <f t="shared" si="18"/>
        <v/>
      </c>
      <c r="T156" s="320" t="str">
        <f t="shared" si="19"/>
        <v/>
      </c>
      <c r="U156" s="339" t="str">
        <f t="shared" si="20"/>
        <v/>
      </c>
      <c r="V156" s="100"/>
      <c r="W156" s="101"/>
      <c r="X156" s="101"/>
      <c r="AE156" s="105" t="str">
        <f t="shared" si="14"/>
        <v/>
      </c>
      <c r="AF156" s="105" t="str">
        <f t="shared" si="15"/>
        <v/>
      </c>
      <c r="AH156" s="105">
        <v>147</v>
      </c>
      <c r="AJ156" s="105" t="str">
        <f t="array" ref="AJ156">IFERROR(INDEX($AH$10:$AH$258, MATCH(0, IF(TRUE=$AE$10:$AE$258, COUNTIF($AJ$9:$AJ155, $AH$10:$AH$258), ""), 0)),"")</f>
        <v/>
      </c>
      <c r="AK156" s="105" t="str">
        <f t="array" ref="AK156">IFERROR(INDEX($AH$10:$AH$258, MATCH(0, IF(TRUE=$AF$10:$AF$258, COUNTIF($AK$9:$AK155, $AH$10:$AH$258), ""), 0)),"")</f>
        <v/>
      </c>
      <c r="AL156" s="15" t="str">
        <f>IFERROR(INDEX('G-6 Hedgerow Data'!$BJ$3:$BJ$15,MATCH(D156,'G-6 Hedgerow Data'!$B$3:$B$15,0)),"")</f>
        <v/>
      </c>
    </row>
    <row r="157" spans="2:38" x14ac:dyDescent="0.3">
      <c r="B157" s="92">
        <v>148</v>
      </c>
      <c r="C157" s="141"/>
      <c r="D157" s="141"/>
      <c r="E157" s="102"/>
      <c r="F157" s="335" t="str">
        <f>IF(D157="","",VLOOKUP(D157,'G-6 Hedgerow Data'!$B$2:$AG$15,2,FALSE))</f>
        <v/>
      </c>
      <c r="G157" s="291" t="str">
        <f>IF(D157="","",VLOOKUP(D157,'G-6 Hedgerow Data'!$B$2:$AG$15,3,FALSE))</f>
        <v/>
      </c>
      <c r="H157" s="95"/>
      <c r="I157" s="291" t="str">
        <f>IFERROR(IF(AND(D157&lt;&gt;"",H157=""),"Check data ⚠", IF(H157="","",IF(AND(D157="Non-native and ornamental hedgerow", H157&lt;&gt;"Poor"),"Not possible ▲", (VLOOKUP(H157,'G-1 All Habitats'!$Z$2:$AA$9,2,FALSE))))),"")</f>
        <v/>
      </c>
      <c r="J157" s="95"/>
      <c r="K157" s="298" t="str">
        <f>IF(AND(D157&lt;&gt;"",J157=""),"Check data ⚠", IF(J157="","",IF(VLOOKUP(J157,'G-3 Multipliers'!$L$3:$N$6,2,FALSE)=0,"Spatial Data Missing",VLOOKUP(J157,'G-3 Multipliers'!$L$3:$N$6,2,FALSE))))</f>
        <v/>
      </c>
      <c r="L157" s="296" t="str">
        <f>IF(J157="","",IF(VLOOKUP(J157,'G-3 Multipliers'!$L$3:$N$6,3,FALSE)=0,"Spatial Data Missing ⚠",VLOOKUP(J157,'G-3 Multipliers'!$L$3:$N$6,3,FALSE)))</f>
        <v/>
      </c>
      <c r="M157" s="297" t="str">
        <f>IF(D157="","",VLOOKUP(D157,'G-6 Hedgerow Data'!$B$1:$AH$15,33,FALSE))</f>
        <v/>
      </c>
      <c r="N157" s="304" t="str">
        <f t="shared" si="16"/>
        <v/>
      </c>
      <c r="O157" s="17"/>
      <c r="P157" s="103"/>
      <c r="Q157" s="141"/>
      <c r="R157" s="320" t="str">
        <f t="shared" si="17"/>
        <v/>
      </c>
      <c r="S157" s="320" t="str">
        <f t="shared" si="18"/>
        <v/>
      </c>
      <c r="T157" s="320" t="str">
        <f t="shared" si="19"/>
        <v/>
      </c>
      <c r="U157" s="339" t="str">
        <f t="shared" si="20"/>
        <v/>
      </c>
      <c r="V157" s="100"/>
      <c r="W157" s="101"/>
      <c r="X157" s="101"/>
      <c r="AE157" s="105" t="str">
        <f t="shared" si="14"/>
        <v/>
      </c>
      <c r="AF157" s="105" t="str">
        <f t="shared" si="15"/>
        <v/>
      </c>
      <c r="AH157" s="105">
        <v>148</v>
      </c>
      <c r="AJ157" s="105" t="str">
        <f t="array" ref="AJ157">IFERROR(INDEX($AH$10:$AH$258, MATCH(0, IF(TRUE=$AE$10:$AE$258, COUNTIF($AJ$9:$AJ156, $AH$10:$AH$258), ""), 0)),"")</f>
        <v/>
      </c>
      <c r="AK157" s="105" t="str">
        <f t="array" ref="AK157">IFERROR(INDEX($AH$10:$AH$258, MATCH(0, IF(TRUE=$AF$10:$AF$258, COUNTIF($AK$9:$AK156, $AH$10:$AH$258), ""), 0)),"")</f>
        <v/>
      </c>
      <c r="AL157" s="15" t="str">
        <f>IFERROR(INDEX('G-6 Hedgerow Data'!$BJ$3:$BJ$15,MATCH(D157,'G-6 Hedgerow Data'!$B$3:$B$15,0)),"")</f>
        <v/>
      </c>
    </row>
    <row r="158" spans="2:38" x14ac:dyDescent="0.3">
      <c r="B158" s="92">
        <v>149</v>
      </c>
      <c r="C158" s="141"/>
      <c r="D158" s="141"/>
      <c r="E158" s="102"/>
      <c r="F158" s="335" t="str">
        <f>IF(D158="","",VLOOKUP(D158,'G-6 Hedgerow Data'!$B$2:$AG$15,2,FALSE))</f>
        <v/>
      </c>
      <c r="G158" s="291" t="str">
        <f>IF(D158="","",VLOOKUP(D158,'G-6 Hedgerow Data'!$B$2:$AG$15,3,FALSE))</f>
        <v/>
      </c>
      <c r="H158" s="95"/>
      <c r="I158" s="291" t="str">
        <f>IFERROR(IF(AND(D158&lt;&gt;"",H158=""),"Check data ⚠", IF(H158="","",IF(AND(D158="Non-native and ornamental hedgerow", H158&lt;&gt;"Poor"),"Not possible ▲", (VLOOKUP(H158,'G-1 All Habitats'!$Z$2:$AA$9,2,FALSE))))),"")</f>
        <v/>
      </c>
      <c r="J158" s="95"/>
      <c r="K158" s="298" t="str">
        <f>IF(AND(D158&lt;&gt;"",J158=""),"Check data ⚠", IF(J158="","",IF(VLOOKUP(J158,'G-3 Multipliers'!$L$3:$N$6,2,FALSE)=0,"Spatial Data Missing",VLOOKUP(J158,'G-3 Multipliers'!$L$3:$N$6,2,FALSE))))</f>
        <v/>
      </c>
      <c r="L158" s="296" t="str">
        <f>IF(J158="","",IF(VLOOKUP(J158,'G-3 Multipliers'!$L$3:$N$6,3,FALSE)=0,"Spatial Data Missing ⚠",VLOOKUP(J158,'G-3 Multipliers'!$L$3:$N$6,3,FALSE)))</f>
        <v/>
      </c>
      <c r="M158" s="297" t="str">
        <f>IF(D158="","",VLOOKUP(D158,'G-6 Hedgerow Data'!$B$1:$AH$15,33,FALSE))</f>
        <v/>
      </c>
      <c r="N158" s="304" t="str">
        <f t="shared" si="16"/>
        <v/>
      </c>
      <c r="O158" s="17"/>
      <c r="P158" s="103"/>
      <c r="Q158" s="141"/>
      <c r="R158" s="320" t="str">
        <f t="shared" si="17"/>
        <v/>
      </c>
      <c r="S158" s="320" t="str">
        <f t="shared" si="18"/>
        <v/>
      </c>
      <c r="T158" s="320" t="str">
        <f t="shared" si="19"/>
        <v/>
      </c>
      <c r="U158" s="339" t="str">
        <f t="shared" si="20"/>
        <v/>
      </c>
      <c r="V158" s="100"/>
      <c r="W158" s="101"/>
      <c r="X158" s="101"/>
      <c r="AE158" s="105" t="str">
        <f t="shared" si="14"/>
        <v/>
      </c>
      <c r="AF158" s="105" t="str">
        <f t="shared" si="15"/>
        <v/>
      </c>
      <c r="AH158" s="105">
        <v>149</v>
      </c>
      <c r="AJ158" s="105" t="str">
        <f t="array" ref="AJ158">IFERROR(INDEX($AH$10:$AH$258, MATCH(0, IF(TRUE=$AE$10:$AE$258, COUNTIF($AJ$9:$AJ157, $AH$10:$AH$258), ""), 0)),"")</f>
        <v/>
      </c>
      <c r="AK158" s="105" t="str">
        <f t="array" ref="AK158">IFERROR(INDEX($AH$10:$AH$258, MATCH(0, IF(TRUE=$AF$10:$AF$258, COUNTIF($AK$9:$AK157, $AH$10:$AH$258), ""), 0)),"")</f>
        <v/>
      </c>
      <c r="AL158" s="15" t="str">
        <f>IFERROR(INDEX('G-6 Hedgerow Data'!$BJ$3:$BJ$15,MATCH(D158,'G-6 Hedgerow Data'!$B$3:$B$15,0)),"")</f>
        <v/>
      </c>
    </row>
    <row r="159" spans="2:38" x14ac:dyDescent="0.3">
      <c r="B159" s="92">
        <v>150</v>
      </c>
      <c r="C159" s="141"/>
      <c r="D159" s="141"/>
      <c r="E159" s="102"/>
      <c r="F159" s="335" t="str">
        <f>IF(D159="","",VLOOKUP(D159,'G-6 Hedgerow Data'!$B$2:$AG$15,2,FALSE))</f>
        <v/>
      </c>
      <c r="G159" s="291" t="str">
        <f>IF(D159="","",VLOOKUP(D159,'G-6 Hedgerow Data'!$B$2:$AG$15,3,FALSE))</f>
        <v/>
      </c>
      <c r="H159" s="95"/>
      <c r="I159" s="291" t="str">
        <f>IFERROR(IF(AND(D159&lt;&gt;"",H159=""),"Check data ⚠", IF(H159="","",IF(AND(D159="Non-native and ornamental hedgerow", H159&lt;&gt;"Poor"),"Not possible ▲", (VLOOKUP(H159,'G-1 All Habitats'!$Z$2:$AA$9,2,FALSE))))),"")</f>
        <v/>
      </c>
      <c r="J159" s="95"/>
      <c r="K159" s="298" t="str">
        <f>IF(AND(D159&lt;&gt;"",J159=""),"Check data ⚠", IF(J159="","",IF(VLOOKUP(J159,'G-3 Multipliers'!$L$3:$N$6,2,FALSE)=0,"Spatial Data Missing",VLOOKUP(J159,'G-3 Multipliers'!$L$3:$N$6,2,FALSE))))</f>
        <v/>
      </c>
      <c r="L159" s="296" t="str">
        <f>IF(J159="","",IF(VLOOKUP(J159,'G-3 Multipliers'!$L$3:$N$6,3,FALSE)=0,"Spatial Data Missing ⚠",VLOOKUP(J159,'G-3 Multipliers'!$L$3:$N$6,3,FALSE)))</f>
        <v/>
      </c>
      <c r="M159" s="297" t="str">
        <f>IF(D159="","",VLOOKUP(D159,'G-6 Hedgerow Data'!$B$1:$AH$15,33,FALSE))</f>
        <v/>
      </c>
      <c r="N159" s="304" t="str">
        <f t="shared" si="16"/>
        <v/>
      </c>
      <c r="O159" s="17"/>
      <c r="P159" s="103"/>
      <c r="Q159" s="141"/>
      <c r="R159" s="320" t="str">
        <f t="shared" si="17"/>
        <v/>
      </c>
      <c r="S159" s="320" t="str">
        <f t="shared" si="18"/>
        <v/>
      </c>
      <c r="T159" s="320" t="str">
        <f t="shared" si="19"/>
        <v/>
      </c>
      <c r="U159" s="339" t="str">
        <f t="shared" si="20"/>
        <v/>
      </c>
      <c r="V159" s="100"/>
      <c r="W159" s="101"/>
      <c r="X159" s="101"/>
      <c r="AE159" s="105" t="str">
        <f t="shared" si="14"/>
        <v/>
      </c>
      <c r="AF159" s="105" t="str">
        <f t="shared" si="15"/>
        <v/>
      </c>
      <c r="AH159" s="105">
        <v>150</v>
      </c>
      <c r="AJ159" s="105" t="str">
        <f t="array" ref="AJ159">IFERROR(INDEX($AH$10:$AH$258, MATCH(0, IF(TRUE=$AE$10:$AE$258, COUNTIF($AJ$9:$AJ158, $AH$10:$AH$258), ""), 0)),"")</f>
        <v/>
      </c>
      <c r="AK159" s="105" t="str">
        <f t="array" ref="AK159">IFERROR(INDEX($AH$10:$AH$258, MATCH(0, IF(TRUE=$AF$10:$AF$258, COUNTIF($AK$9:$AK158, $AH$10:$AH$258), ""), 0)),"")</f>
        <v/>
      </c>
      <c r="AL159" s="15" t="str">
        <f>IFERROR(INDEX('G-6 Hedgerow Data'!$BJ$3:$BJ$15,MATCH(D159,'G-6 Hedgerow Data'!$B$3:$B$15,0)),"")</f>
        <v/>
      </c>
    </row>
    <row r="160" spans="2:38" x14ac:dyDescent="0.3">
      <c r="B160" s="92">
        <v>151</v>
      </c>
      <c r="C160" s="141"/>
      <c r="D160" s="141"/>
      <c r="E160" s="102"/>
      <c r="F160" s="335" t="str">
        <f>IF(D160="","",VLOOKUP(D160,'G-6 Hedgerow Data'!$B$2:$AG$15,2,FALSE))</f>
        <v/>
      </c>
      <c r="G160" s="291" t="str">
        <f>IF(D160="","",VLOOKUP(D160,'G-6 Hedgerow Data'!$B$2:$AG$15,3,FALSE))</f>
        <v/>
      </c>
      <c r="H160" s="95"/>
      <c r="I160" s="291" t="str">
        <f>IFERROR(IF(AND(D160&lt;&gt;"",H160=""),"Check data ⚠", IF(H160="","",IF(AND(D160="Non-native and ornamental hedgerow", H160&lt;&gt;"Poor"),"Not possible ▲", (VLOOKUP(H160,'G-1 All Habitats'!$Z$2:$AA$9,2,FALSE))))),"")</f>
        <v/>
      </c>
      <c r="J160" s="95"/>
      <c r="K160" s="298" t="str">
        <f>IF(AND(D160&lt;&gt;"",J160=""),"Check data ⚠", IF(J160="","",IF(VLOOKUP(J160,'G-3 Multipliers'!$L$3:$N$6,2,FALSE)=0,"Spatial Data Missing",VLOOKUP(J160,'G-3 Multipliers'!$L$3:$N$6,2,FALSE))))</f>
        <v/>
      </c>
      <c r="L160" s="296" t="str">
        <f>IF(J160="","",IF(VLOOKUP(J160,'G-3 Multipliers'!$L$3:$N$6,3,FALSE)=0,"Spatial Data Missing ⚠",VLOOKUP(J160,'G-3 Multipliers'!$L$3:$N$6,3,FALSE)))</f>
        <v/>
      </c>
      <c r="M160" s="297" t="str">
        <f>IF(D160="","",VLOOKUP(D160,'G-6 Hedgerow Data'!$B$1:$AH$15,33,FALSE))</f>
        <v/>
      </c>
      <c r="N160" s="304" t="str">
        <f t="shared" si="16"/>
        <v/>
      </c>
      <c r="O160" s="17"/>
      <c r="P160" s="103"/>
      <c r="Q160" s="141"/>
      <c r="R160" s="320" t="str">
        <f t="shared" si="17"/>
        <v/>
      </c>
      <c r="S160" s="320" t="str">
        <f t="shared" si="18"/>
        <v/>
      </c>
      <c r="T160" s="320" t="str">
        <f t="shared" si="19"/>
        <v/>
      </c>
      <c r="U160" s="339" t="str">
        <f t="shared" si="20"/>
        <v/>
      </c>
      <c r="V160" s="100"/>
      <c r="W160" s="101"/>
      <c r="X160" s="101"/>
      <c r="AE160" s="105" t="str">
        <f t="shared" si="14"/>
        <v/>
      </c>
      <c r="AF160" s="105" t="str">
        <f t="shared" si="15"/>
        <v/>
      </c>
      <c r="AH160" s="105">
        <v>151</v>
      </c>
      <c r="AJ160" s="105" t="str">
        <f t="array" ref="AJ160">IFERROR(INDEX($AH$10:$AH$258, MATCH(0, IF(TRUE=$AE$10:$AE$258, COUNTIF($AJ$9:$AJ159, $AH$10:$AH$258), ""), 0)),"")</f>
        <v/>
      </c>
      <c r="AK160" s="105" t="str">
        <f t="array" ref="AK160">IFERROR(INDEX($AH$10:$AH$258, MATCH(0, IF(TRUE=$AF$10:$AF$258, COUNTIF($AK$9:$AK159, $AH$10:$AH$258), ""), 0)),"")</f>
        <v/>
      </c>
      <c r="AL160" s="15" t="str">
        <f>IFERROR(INDEX('G-6 Hedgerow Data'!$BJ$3:$BJ$15,MATCH(D160,'G-6 Hedgerow Data'!$B$3:$B$15,0)),"")</f>
        <v/>
      </c>
    </row>
    <row r="161" spans="2:38" x14ac:dyDescent="0.3">
      <c r="B161" s="92">
        <v>152</v>
      </c>
      <c r="C161" s="141"/>
      <c r="D161" s="141"/>
      <c r="E161" s="102"/>
      <c r="F161" s="335" t="str">
        <f>IF(D161="","",VLOOKUP(D161,'G-6 Hedgerow Data'!$B$2:$AG$15,2,FALSE))</f>
        <v/>
      </c>
      <c r="G161" s="291" t="str">
        <f>IF(D161="","",VLOOKUP(D161,'G-6 Hedgerow Data'!$B$2:$AG$15,3,FALSE))</f>
        <v/>
      </c>
      <c r="H161" s="95"/>
      <c r="I161" s="291" t="str">
        <f>IFERROR(IF(AND(D161&lt;&gt;"",H161=""),"Check data ⚠", IF(H161="","",IF(AND(D161="Non-native and ornamental hedgerow", H161&lt;&gt;"Poor"),"Not possible ▲", (VLOOKUP(H161,'G-1 All Habitats'!$Z$2:$AA$9,2,FALSE))))),"")</f>
        <v/>
      </c>
      <c r="J161" s="95"/>
      <c r="K161" s="298" t="str">
        <f>IF(AND(D161&lt;&gt;"",J161=""),"Check data ⚠", IF(J161="","",IF(VLOOKUP(J161,'G-3 Multipliers'!$L$3:$N$6,2,FALSE)=0,"Spatial Data Missing",VLOOKUP(J161,'G-3 Multipliers'!$L$3:$N$6,2,FALSE))))</f>
        <v/>
      </c>
      <c r="L161" s="296" t="str">
        <f>IF(J161="","",IF(VLOOKUP(J161,'G-3 Multipliers'!$L$3:$N$6,3,FALSE)=0,"Spatial Data Missing ⚠",VLOOKUP(J161,'G-3 Multipliers'!$L$3:$N$6,3,FALSE)))</f>
        <v/>
      </c>
      <c r="M161" s="297" t="str">
        <f>IF(D161="","",VLOOKUP(D161,'G-6 Hedgerow Data'!$B$1:$AH$15,33,FALSE))</f>
        <v/>
      </c>
      <c r="N161" s="304" t="str">
        <f t="shared" si="16"/>
        <v/>
      </c>
      <c r="O161" s="17"/>
      <c r="P161" s="103"/>
      <c r="Q161" s="141"/>
      <c r="R161" s="320" t="str">
        <f t="shared" si="17"/>
        <v/>
      </c>
      <c r="S161" s="320" t="str">
        <f t="shared" si="18"/>
        <v/>
      </c>
      <c r="T161" s="320" t="str">
        <f t="shared" si="19"/>
        <v/>
      </c>
      <c r="U161" s="339" t="str">
        <f t="shared" si="20"/>
        <v/>
      </c>
      <c r="V161" s="100"/>
      <c r="W161" s="101"/>
      <c r="X161" s="101"/>
      <c r="AE161" s="105" t="str">
        <f t="shared" si="14"/>
        <v/>
      </c>
      <c r="AF161" s="105" t="str">
        <f t="shared" si="15"/>
        <v/>
      </c>
      <c r="AH161" s="105">
        <v>152</v>
      </c>
      <c r="AJ161" s="105" t="str">
        <f t="array" ref="AJ161">IFERROR(INDEX($AH$10:$AH$258, MATCH(0, IF(TRUE=$AE$10:$AE$258, COUNTIF($AJ$9:$AJ160, $AH$10:$AH$258), ""), 0)),"")</f>
        <v/>
      </c>
      <c r="AK161" s="105" t="str">
        <f t="array" ref="AK161">IFERROR(INDEX($AH$10:$AH$258, MATCH(0, IF(TRUE=$AF$10:$AF$258, COUNTIF($AK$9:$AK160, $AH$10:$AH$258), ""), 0)),"")</f>
        <v/>
      </c>
      <c r="AL161" s="15" t="str">
        <f>IFERROR(INDEX('G-6 Hedgerow Data'!$BJ$3:$BJ$15,MATCH(D161,'G-6 Hedgerow Data'!$B$3:$B$15,0)),"")</f>
        <v/>
      </c>
    </row>
    <row r="162" spans="2:38" x14ac:dyDescent="0.3">
      <c r="B162" s="92">
        <v>153</v>
      </c>
      <c r="C162" s="141"/>
      <c r="D162" s="141"/>
      <c r="E162" s="102"/>
      <c r="F162" s="335" t="str">
        <f>IF(D162="","",VLOOKUP(D162,'G-6 Hedgerow Data'!$B$2:$AG$15,2,FALSE))</f>
        <v/>
      </c>
      <c r="G162" s="291" t="str">
        <f>IF(D162="","",VLOOKUP(D162,'G-6 Hedgerow Data'!$B$2:$AG$15,3,FALSE))</f>
        <v/>
      </c>
      <c r="H162" s="95"/>
      <c r="I162" s="291" t="str">
        <f>IFERROR(IF(AND(D162&lt;&gt;"",H162=""),"Check data ⚠", IF(H162="","",IF(AND(D162="Non-native and ornamental hedgerow", H162&lt;&gt;"Poor"),"Not possible ▲", (VLOOKUP(H162,'G-1 All Habitats'!$Z$2:$AA$9,2,FALSE))))),"")</f>
        <v/>
      </c>
      <c r="J162" s="95"/>
      <c r="K162" s="298" t="str">
        <f>IF(AND(D162&lt;&gt;"",J162=""),"Check data ⚠", IF(J162="","",IF(VLOOKUP(J162,'G-3 Multipliers'!$L$3:$N$6,2,FALSE)=0,"Spatial Data Missing",VLOOKUP(J162,'G-3 Multipliers'!$L$3:$N$6,2,FALSE))))</f>
        <v/>
      </c>
      <c r="L162" s="296" t="str">
        <f>IF(J162="","",IF(VLOOKUP(J162,'G-3 Multipliers'!$L$3:$N$6,3,FALSE)=0,"Spatial Data Missing ⚠",VLOOKUP(J162,'G-3 Multipliers'!$L$3:$N$6,3,FALSE)))</f>
        <v/>
      </c>
      <c r="M162" s="297" t="str">
        <f>IF(D162="","",VLOOKUP(D162,'G-6 Hedgerow Data'!$B$1:$AH$15,33,FALSE))</f>
        <v/>
      </c>
      <c r="N162" s="304" t="str">
        <f t="shared" si="16"/>
        <v/>
      </c>
      <c r="O162" s="17"/>
      <c r="P162" s="103"/>
      <c r="Q162" s="141"/>
      <c r="R162" s="320" t="str">
        <f t="shared" si="17"/>
        <v/>
      </c>
      <c r="S162" s="320" t="str">
        <f t="shared" si="18"/>
        <v/>
      </c>
      <c r="T162" s="320" t="str">
        <f t="shared" si="19"/>
        <v/>
      </c>
      <c r="U162" s="339" t="str">
        <f t="shared" si="20"/>
        <v/>
      </c>
      <c r="V162" s="100"/>
      <c r="W162" s="101"/>
      <c r="X162" s="101"/>
      <c r="AE162" s="105" t="str">
        <f t="shared" si="14"/>
        <v/>
      </c>
      <c r="AF162" s="105" t="str">
        <f t="shared" si="15"/>
        <v/>
      </c>
      <c r="AH162" s="105">
        <v>153</v>
      </c>
      <c r="AJ162" s="105" t="str">
        <f t="array" ref="AJ162">IFERROR(INDEX($AH$10:$AH$258, MATCH(0, IF(TRUE=$AE$10:$AE$258, COUNTIF($AJ$9:$AJ161, $AH$10:$AH$258), ""), 0)),"")</f>
        <v/>
      </c>
      <c r="AK162" s="105" t="str">
        <f t="array" ref="AK162">IFERROR(INDEX($AH$10:$AH$258, MATCH(0, IF(TRUE=$AF$10:$AF$258, COUNTIF($AK$9:$AK161, $AH$10:$AH$258), ""), 0)),"")</f>
        <v/>
      </c>
      <c r="AL162" s="15" t="str">
        <f>IFERROR(INDEX('G-6 Hedgerow Data'!$BJ$3:$BJ$15,MATCH(D162,'G-6 Hedgerow Data'!$B$3:$B$15,0)),"")</f>
        <v/>
      </c>
    </row>
    <row r="163" spans="2:38" x14ac:dyDescent="0.3">
      <c r="B163" s="92">
        <v>154</v>
      </c>
      <c r="C163" s="141"/>
      <c r="D163" s="141"/>
      <c r="E163" s="102"/>
      <c r="F163" s="335" t="str">
        <f>IF(D163="","",VLOOKUP(D163,'G-6 Hedgerow Data'!$B$2:$AG$15,2,FALSE))</f>
        <v/>
      </c>
      <c r="G163" s="291" t="str">
        <f>IF(D163="","",VLOOKUP(D163,'G-6 Hedgerow Data'!$B$2:$AG$15,3,FALSE))</f>
        <v/>
      </c>
      <c r="H163" s="95"/>
      <c r="I163" s="291" t="str">
        <f>IFERROR(IF(AND(D163&lt;&gt;"",H163=""),"Check data ⚠", IF(H163="","",IF(AND(D163="Non-native and ornamental hedgerow", H163&lt;&gt;"Poor"),"Not possible ▲", (VLOOKUP(H163,'G-1 All Habitats'!$Z$2:$AA$9,2,FALSE))))),"")</f>
        <v/>
      </c>
      <c r="J163" s="95"/>
      <c r="K163" s="298" t="str">
        <f>IF(AND(D163&lt;&gt;"",J163=""),"Check data ⚠", IF(J163="","",IF(VLOOKUP(J163,'G-3 Multipliers'!$L$3:$N$6,2,FALSE)=0,"Spatial Data Missing",VLOOKUP(J163,'G-3 Multipliers'!$L$3:$N$6,2,FALSE))))</f>
        <v/>
      </c>
      <c r="L163" s="296" t="str">
        <f>IF(J163="","",IF(VLOOKUP(J163,'G-3 Multipliers'!$L$3:$N$6,3,FALSE)=0,"Spatial Data Missing ⚠",VLOOKUP(J163,'G-3 Multipliers'!$L$3:$N$6,3,FALSE)))</f>
        <v/>
      </c>
      <c r="M163" s="297" t="str">
        <f>IF(D163="","",VLOOKUP(D163,'G-6 Hedgerow Data'!$B$1:$AH$15,33,FALSE))</f>
        <v/>
      </c>
      <c r="N163" s="304" t="str">
        <f t="shared" si="16"/>
        <v/>
      </c>
      <c r="O163" s="17"/>
      <c r="P163" s="103"/>
      <c r="Q163" s="141"/>
      <c r="R163" s="320" t="str">
        <f t="shared" si="17"/>
        <v/>
      </c>
      <c r="S163" s="320" t="str">
        <f t="shared" si="18"/>
        <v/>
      </c>
      <c r="T163" s="320" t="str">
        <f t="shared" si="19"/>
        <v/>
      </c>
      <c r="U163" s="339" t="str">
        <f t="shared" si="20"/>
        <v/>
      </c>
      <c r="V163" s="100"/>
      <c r="W163" s="101"/>
      <c r="X163" s="101"/>
      <c r="AE163" s="105" t="str">
        <f t="shared" si="14"/>
        <v/>
      </c>
      <c r="AF163" s="105" t="str">
        <f t="shared" si="15"/>
        <v/>
      </c>
      <c r="AH163" s="105">
        <v>154</v>
      </c>
      <c r="AJ163" s="105" t="str">
        <f t="array" ref="AJ163">IFERROR(INDEX($AH$10:$AH$258, MATCH(0, IF(TRUE=$AE$10:$AE$258, COUNTIF($AJ$9:$AJ162, $AH$10:$AH$258), ""), 0)),"")</f>
        <v/>
      </c>
      <c r="AK163" s="105" t="str">
        <f t="array" ref="AK163">IFERROR(INDEX($AH$10:$AH$258, MATCH(0, IF(TRUE=$AF$10:$AF$258, COUNTIF($AK$9:$AK162, $AH$10:$AH$258), ""), 0)),"")</f>
        <v/>
      </c>
      <c r="AL163" s="15" t="str">
        <f>IFERROR(INDEX('G-6 Hedgerow Data'!$BJ$3:$BJ$15,MATCH(D163,'G-6 Hedgerow Data'!$B$3:$B$15,0)),"")</f>
        <v/>
      </c>
    </row>
    <row r="164" spans="2:38" x14ac:dyDescent="0.3">
      <c r="B164" s="92">
        <v>155</v>
      </c>
      <c r="C164" s="141"/>
      <c r="D164" s="141"/>
      <c r="E164" s="102"/>
      <c r="F164" s="335" t="str">
        <f>IF(D164="","",VLOOKUP(D164,'G-6 Hedgerow Data'!$B$2:$AG$15,2,FALSE))</f>
        <v/>
      </c>
      <c r="G164" s="291" t="str">
        <f>IF(D164="","",VLOOKUP(D164,'G-6 Hedgerow Data'!$B$2:$AG$15,3,FALSE))</f>
        <v/>
      </c>
      <c r="H164" s="95"/>
      <c r="I164" s="291" t="str">
        <f>IFERROR(IF(AND(D164&lt;&gt;"",H164=""),"Check data ⚠", IF(H164="","",IF(AND(D164="Non-native and ornamental hedgerow", H164&lt;&gt;"Poor"),"Not possible ▲", (VLOOKUP(H164,'G-1 All Habitats'!$Z$2:$AA$9,2,FALSE))))),"")</f>
        <v/>
      </c>
      <c r="J164" s="95"/>
      <c r="K164" s="298" t="str">
        <f>IF(AND(D164&lt;&gt;"",J164=""),"Check data ⚠", IF(J164="","",IF(VLOOKUP(J164,'G-3 Multipliers'!$L$3:$N$6,2,FALSE)=0,"Spatial Data Missing",VLOOKUP(J164,'G-3 Multipliers'!$L$3:$N$6,2,FALSE))))</f>
        <v/>
      </c>
      <c r="L164" s="296" t="str">
        <f>IF(J164="","",IF(VLOOKUP(J164,'G-3 Multipliers'!$L$3:$N$6,3,FALSE)=0,"Spatial Data Missing ⚠",VLOOKUP(J164,'G-3 Multipliers'!$L$3:$N$6,3,FALSE)))</f>
        <v/>
      </c>
      <c r="M164" s="297" t="str">
        <f>IF(D164="","",VLOOKUP(D164,'G-6 Hedgerow Data'!$B$1:$AH$15,33,FALSE))</f>
        <v/>
      </c>
      <c r="N164" s="304" t="str">
        <f t="shared" si="16"/>
        <v/>
      </c>
      <c r="O164" s="17"/>
      <c r="P164" s="103"/>
      <c r="Q164" s="141"/>
      <c r="R164" s="320" t="str">
        <f t="shared" si="17"/>
        <v/>
      </c>
      <c r="S164" s="320" t="str">
        <f t="shared" si="18"/>
        <v/>
      </c>
      <c r="T164" s="320" t="str">
        <f t="shared" si="19"/>
        <v/>
      </c>
      <c r="U164" s="339" t="str">
        <f t="shared" si="20"/>
        <v/>
      </c>
      <c r="V164" s="100"/>
      <c r="W164" s="101"/>
      <c r="X164" s="101"/>
      <c r="AE164" s="105" t="str">
        <f t="shared" si="14"/>
        <v/>
      </c>
      <c r="AF164" s="105" t="str">
        <f t="shared" si="15"/>
        <v/>
      </c>
      <c r="AH164" s="105">
        <v>155</v>
      </c>
      <c r="AJ164" s="105" t="str">
        <f t="array" ref="AJ164">IFERROR(INDEX($AH$10:$AH$258, MATCH(0, IF(TRUE=$AE$10:$AE$258, COUNTIF($AJ$9:$AJ163, $AH$10:$AH$258), ""), 0)),"")</f>
        <v/>
      </c>
      <c r="AK164" s="105" t="str">
        <f t="array" ref="AK164">IFERROR(INDEX($AH$10:$AH$258, MATCH(0, IF(TRUE=$AF$10:$AF$258, COUNTIF($AK$9:$AK163, $AH$10:$AH$258), ""), 0)),"")</f>
        <v/>
      </c>
      <c r="AL164" s="15" t="str">
        <f>IFERROR(INDEX('G-6 Hedgerow Data'!$BJ$3:$BJ$15,MATCH(D164,'G-6 Hedgerow Data'!$B$3:$B$15,0)),"")</f>
        <v/>
      </c>
    </row>
    <row r="165" spans="2:38" x14ac:dyDescent="0.3">
      <c r="B165" s="92">
        <v>156</v>
      </c>
      <c r="C165" s="141"/>
      <c r="D165" s="141"/>
      <c r="E165" s="102"/>
      <c r="F165" s="335" t="str">
        <f>IF(D165="","",VLOOKUP(D165,'G-6 Hedgerow Data'!$B$2:$AG$15,2,FALSE))</f>
        <v/>
      </c>
      <c r="G165" s="291" t="str">
        <f>IF(D165="","",VLOOKUP(D165,'G-6 Hedgerow Data'!$B$2:$AG$15,3,FALSE))</f>
        <v/>
      </c>
      <c r="H165" s="95"/>
      <c r="I165" s="291" t="str">
        <f>IFERROR(IF(AND(D165&lt;&gt;"",H165=""),"Check data ⚠", IF(H165="","",IF(AND(D165="Non-native and ornamental hedgerow", H165&lt;&gt;"Poor"),"Not possible ▲", (VLOOKUP(H165,'G-1 All Habitats'!$Z$2:$AA$9,2,FALSE))))),"")</f>
        <v/>
      </c>
      <c r="J165" s="95"/>
      <c r="K165" s="298" t="str">
        <f>IF(AND(D165&lt;&gt;"",J165=""),"Check data ⚠", IF(J165="","",IF(VLOOKUP(J165,'G-3 Multipliers'!$L$3:$N$6,2,FALSE)=0,"Spatial Data Missing",VLOOKUP(J165,'G-3 Multipliers'!$L$3:$N$6,2,FALSE))))</f>
        <v/>
      </c>
      <c r="L165" s="296" t="str">
        <f>IF(J165="","",IF(VLOOKUP(J165,'G-3 Multipliers'!$L$3:$N$6,3,FALSE)=0,"Spatial Data Missing ⚠",VLOOKUP(J165,'G-3 Multipliers'!$L$3:$N$6,3,FALSE)))</f>
        <v/>
      </c>
      <c r="M165" s="297" t="str">
        <f>IF(D165="","",VLOOKUP(D165,'G-6 Hedgerow Data'!$B$1:$AH$15,33,FALSE))</f>
        <v/>
      </c>
      <c r="N165" s="304" t="str">
        <f t="shared" si="16"/>
        <v/>
      </c>
      <c r="O165" s="17"/>
      <c r="P165" s="103"/>
      <c r="Q165" s="141"/>
      <c r="R165" s="320" t="str">
        <f t="shared" si="17"/>
        <v/>
      </c>
      <c r="S165" s="320" t="str">
        <f t="shared" si="18"/>
        <v/>
      </c>
      <c r="T165" s="320" t="str">
        <f t="shared" si="19"/>
        <v/>
      </c>
      <c r="U165" s="339" t="str">
        <f t="shared" si="20"/>
        <v/>
      </c>
      <c r="V165" s="100"/>
      <c r="W165" s="101"/>
      <c r="X165" s="101"/>
      <c r="AE165" s="105" t="str">
        <f t="shared" si="14"/>
        <v/>
      </c>
      <c r="AF165" s="105" t="str">
        <f t="shared" si="15"/>
        <v/>
      </c>
      <c r="AH165" s="105">
        <v>156</v>
      </c>
      <c r="AJ165" s="105" t="str">
        <f t="array" ref="AJ165">IFERROR(INDEX($AH$10:$AH$258, MATCH(0, IF(TRUE=$AE$10:$AE$258, COUNTIF($AJ$9:$AJ164, $AH$10:$AH$258), ""), 0)),"")</f>
        <v/>
      </c>
      <c r="AK165" s="105" t="str">
        <f t="array" ref="AK165">IFERROR(INDEX($AH$10:$AH$258, MATCH(0, IF(TRUE=$AF$10:$AF$258, COUNTIF($AK$9:$AK164, $AH$10:$AH$258), ""), 0)),"")</f>
        <v/>
      </c>
      <c r="AL165" s="15" t="str">
        <f>IFERROR(INDEX('G-6 Hedgerow Data'!$BJ$3:$BJ$15,MATCH(D165,'G-6 Hedgerow Data'!$B$3:$B$15,0)),"")</f>
        <v/>
      </c>
    </row>
    <row r="166" spans="2:38" x14ac:dyDescent="0.3">
      <c r="B166" s="92">
        <v>157</v>
      </c>
      <c r="C166" s="141"/>
      <c r="D166" s="141"/>
      <c r="E166" s="102"/>
      <c r="F166" s="335" t="str">
        <f>IF(D166="","",VLOOKUP(D166,'G-6 Hedgerow Data'!$B$2:$AG$15,2,FALSE))</f>
        <v/>
      </c>
      <c r="G166" s="291" t="str">
        <f>IF(D166="","",VLOOKUP(D166,'G-6 Hedgerow Data'!$B$2:$AG$15,3,FALSE))</f>
        <v/>
      </c>
      <c r="H166" s="95"/>
      <c r="I166" s="291" t="str">
        <f>IFERROR(IF(AND(D166&lt;&gt;"",H166=""),"Check data ⚠", IF(H166="","",IF(AND(D166="Non-native and ornamental hedgerow", H166&lt;&gt;"Poor"),"Not possible ▲", (VLOOKUP(H166,'G-1 All Habitats'!$Z$2:$AA$9,2,FALSE))))),"")</f>
        <v/>
      </c>
      <c r="J166" s="95"/>
      <c r="K166" s="298" t="str">
        <f>IF(AND(D166&lt;&gt;"",J166=""),"Check data ⚠", IF(J166="","",IF(VLOOKUP(J166,'G-3 Multipliers'!$L$3:$N$6,2,FALSE)=0,"Spatial Data Missing",VLOOKUP(J166,'G-3 Multipliers'!$L$3:$N$6,2,FALSE))))</f>
        <v/>
      </c>
      <c r="L166" s="296" t="str">
        <f>IF(J166="","",IF(VLOOKUP(J166,'G-3 Multipliers'!$L$3:$N$6,3,FALSE)=0,"Spatial Data Missing ⚠",VLOOKUP(J166,'G-3 Multipliers'!$L$3:$N$6,3,FALSE)))</f>
        <v/>
      </c>
      <c r="M166" s="297" t="str">
        <f>IF(D166="","",VLOOKUP(D166,'G-6 Hedgerow Data'!$B$1:$AH$15,33,FALSE))</f>
        <v/>
      </c>
      <c r="N166" s="304" t="str">
        <f t="shared" si="16"/>
        <v/>
      </c>
      <c r="O166" s="17"/>
      <c r="P166" s="103"/>
      <c r="Q166" s="141"/>
      <c r="R166" s="320" t="str">
        <f t="shared" si="17"/>
        <v/>
      </c>
      <c r="S166" s="320" t="str">
        <f t="shared" si="18"/>
        <v/>
      </c>
      <c r="T166" s="320" t="str">
        <f t="shared" si="19"/>
        <v/>
      </c>
      <c r="U166" s="339" t="str">
        <f t="shared" si="20"/>
        <v/>
      </c>
      <c r="V166" s="100"/>
      <c r="W166" s="101"/>
      <c r="X166" s="101"/>
      <c r="AE166" s="105" t="str">
        <f t="shared" si="14"/>
        <v/>
      </c>
      <c r="AF166" s="105" t="str">
        <f t="shared" si="15"/>
        <v/>
      </c>
      <c r="AH166" s="105">
        <v>157</v>
      </c>
      <c r="AJ166" s="105" t="str">
        <f t="array" ref="AJ166">IFERROR(INDEX($AH$10:$AH$258, MATCH(0, IF(TRUE=$AE$10:$AE$258, COUNTIF($AJ$9:$AJ165, $AH$10:$AH$258), ""), 0)),"")</f>
        <v/>
      </c>
      <c r="AK166" s="105" t="str">
        <f t="array" ref="AK166">IFERROR(INDEX($AH$10:$AH$258, MATCH(0, IF(TRUE=$AF$10:$AF$258, COUNTIF($AK$9:$AK165, $AH$10:$AH$258), ""), 0)),"")</f>
        <v/>
      </c>
      <c r="AL166" s="15" t="str">
        <f>IFERROR(INDEX('G-6 Hedgerow Data'!$BJ$3:$BJ$15,MATCH(D166,'G-6 Hedgerow Data'!$B$3:$B$15,0)),"")</f>
        <v/>
      </c>
    </row>
    <row r="167" spans="2:38" x14ac:dyDescent="0.3">
      <c r="B167" s="92">
        <v>158</v>
      </c>
      <c r="C167" s="141"/>
      <c r="D167" s="141"/>
      <c r="E167" s="102"/>
      <c r="F167" s="335" t="str">
        <f>IF(D167="","",VLOOKUP(D167,'G-6 Hedgerow Data'!$B$2:$AG$15,2,FALSE))</f>
        <v/>
      </c>
      <c r="G167" s="291" t="str">
        <f>IF(D167="","",VLOOKUP(D167,'G-6 Hedgerow Data'!$B$2:$AG$15,3,FALSE))</f>
        <v/>
      </c>
      <c r="H167" s="95"/>
      <c r="I167" s="291" t="str">
        <f>IFERROR(IF(AND(D167&lt;&gt;"",H167=""),"Check data ⚠", IF(H167="","",IF(AND(D167="Non-native and ornamental hedgerow", H167&lt;&gt;"Poor"),"Not possible ▲", (VLOOKUP(H167,'G-1 All Habitats'!$Z$2:$AA$9,2,FALSE))))),"")</f>
        <v/>
      </c>
      <c r="J167" s="95"/>
      <c r="K167" s="298" t="str">
        <f>IF(AND(D167&lt;&gt;"",J167=""),"Check data ⚠", IF(J167="","",IF(VLOOKUP(J167,'G-3 Multipliers'!$L$3:$N$6,2,FALSE)=0,"Spatial Data Missing",VLOOKUP(J167,'G-3 Multipliers'!$L$3:$N$6,2,FALSE))))</f>
        <v/>
      </c>
      <c r="L167" s="296" t="str">
        <f>IF(J167="","",IF(VLOOKUP(J167,'G-3 Multipliers'!$L$3:$N$6,3,FALSE)=0,"Spatial Data Missing ⚠",VLOOKUP(J167,'G-3 Multipliers'!$L$3:$N$6,3,FALSE)))</f>
        <v/>
      </c>
      <c r="M167" s="297" t="str">
        <f>IF(D167="","",VLOOKUP(D167,'G-6 Hedgerow Data'!$B$1:$AH$15,33,FALSE))</f>
        <v/>
      </c>
      <c r="N167" s="304" t="str">
        <f t="shared" si="16"/>
        <v/>
      </c>
      <c r="O167" s="17"/>
      <c r="P167" s="103"/>
      <c r="Q167" s="141"/>
      <c r="R167" s="320" t="str">
        <f t="shared" si="17"/>
        <v/>
      </c>
      <c r="S167" s="320" t="str">
        <f t="shared" si="18"/>
        <v/>
      </c>
      <c r="T167" s="320" t="str">
        <f t="shared" si="19"/>
        <v/>
      </c>
      <c r="U167" s="339" t="str">
        <f t="shared" si="20"/>
        <v/>
      </c>
      <c r="V167" s="100"/>
      <c r="W167" s="101"/>
      <c r="X167" s="101"/>
      <c r="AE167" s="105" t="str">
        <f t="shared" si="14"/>
        <v/>
      </c>
      <c r="AF167" s="105" t="str">
        <f t="shared" si="15"/>
        <v/>
      </c>
      <c r="AH167" s="105">
        <v>158</v>
      </c>
      <c r="AJ167" s="105" t="str">
        <f t="array" ref="AJ167">IFERROR(INDEX($AH$10:$AH$258, MATCH(0, IF(TRUE=$AE$10:$AE$258, COUNTIF($AJ$9:$AJ166, $AH$10:$AH$258), ""), 0)),"")</f>
        <v/>
      </c>
      <c r="AK167" s="105" t="str">
        <f t="array" ref="AK167">IFERROR(INDEX($AH$10:$AH$258, MATCH(0, IF(TRUE=$AF$10:$AF$258, COUNTIF($AK$9:$AK166, $AH$10:$AH$258), ""), 0)),"")</f>
        <v/>
      </c>
      <c r="AL167" s="15" t="str">
        <f>IFERROR(INDEX('G-6 Hedgerow Data'!$BJ$3:$BJ$15,MATCH(D167,'G-6 Hedgerow Data'!$B$3:$B$15,0)),"")</f>
        <v/>
      </c>
    </row>
    <row r="168" spans="2:38" x14ac:dyDescent="0.3">
      <c r="B168" s="92">
        <v>159</v>
      </c>
      <c r="C168" s="141"/>
      <c r="D168" s="141"/>
      <c r="E168" s="102"/>
      <c r="F168" s="335" t="str">
        <f>IF(D168="","",VLOOKUP(D168,'G-6 Hedgerow Data'!$B$2:$AG$15,2,FALSE))</f>
        <v/>
      </c>
      <c r="G168" s="291" t="str">
        <f>IF(D168="","",VLOOKUP(D168,'G-6 Hedgerow Data'!$B$2:$AG$15,3,FALSE))</f>
        <v/>
      </c>
      <c r="H168" s="95"/>
      <c r="I168" s="291" t="str">
        <f>IFERROR(IF(AND(D168&lt;&gt;"",H168=""),"Check data ⚠", IF(H168="","",IF(AND(D168="Non-native and ornamental hedgerow", H168&lt;&gt;"Poor"),"Not possible ▲", (VLOOKUP(H168,'G-1 All Habitats'!$Z$2:$AA$9,2,FALSE))))),"")</f>
        <v/>
      </c>
      <c r="J168" s="95"/>
      <c r="K168" s="298" t="str">
        <f>IF(AND(D168&lt;&gt;"",J168=""),"Check data ⚠", IF(J168="","",IF(VLOOKUP(J168,'G-3 Multipliers'!$L$3:$N$6,2,FALSE)=0,"Spatial Data Missing",VLOOKUP(J168,'G-3 Multipliers'!$L$3:$N$6,2,FALSE))))</f>
        <v/>
      </c>
      <c r="L168" s="296" t="str">
        <f>IF(J168="","",IF(VLOOKUP(J168,'G-3 Multipliers'!$L$3:$N$6,3,FALSE)=0,"Spatial Data Missing ⚠",VLOOKUP(J168,'G-3 Multipliers'!$L$3:$N$6,3,FALSE)))</f>
        <v/>
      </c>
      <c r="M168" s="297" t="str">
        <f>IF(D168="","",VLOOKUP(D168,'G-6 Hedgerow Data'!$B$1:$AH$15,33,FALSE))</f>
        <v/>
      </c>
      <c r="N168" s="304" t="str">
        <f t="shared" si="16"/>
        <v/>
      </c>
      <c r="O168" s="17"/>
      <c r="P168" s="103"/>
      <c r="Q168" s="141"/>
      <c r="R168" s="320" t="str">
        <f t="shared" si="17"/>
        <v/>
      </c>
      <c r="S168" s="320" t="str">
        <f t="shared" si="18"/>
        <v/>
      </c>
      <c r="T168" s="320" t="str">
        <f t="shared" si="19"/>
        <v/>
      </c>
      <c r="U168" s="339" t="str">
        <f t="shared" si="20"/>
        <v/>
      </c>
      <c r="V168" s="100"/>
      <c r="W168" s="101"/>
      <c r="X168" s="101"/>
      <c r="AE168" s="105" t="str">
        <f t="shared" si="14"/>
        <v/>
      </c>
      <c r="AF168" s="105" t="str">
        <f t="shared" si="15"/>
        <v/>
      </c>
      <c r="AH168" s="105">
        <v>159</v>
      </c>
      <c r="AJ168" s="105" t="str">
        <f t="array" ref="AJ168">IFERROR(INDEX($AH$10:$AH$258, MATCH(0, IF(TRUE=$AE$10:$AE$258, COUNTIF($AJ$9:$AJ167, $AH$10:$AH$258), ""), 0)),"")</f>
        <v/>
      </c>
      <c r="AK168" s="105" t="str">
        <f t="array" ref="AK168">IFERROR(INDEX($AH$10:$AH$258, MATCH(0, IF(TRUE=$AF$10:$AF$258, COUNTIF($AK$9:$AK167, $AH$10:$AH$258), ""), 0)),"")</f>
        <v/>
      </c>
      <c r="AL168" s="15" t="str">
        <f>IFERROR(INDEX('G-6 Hedgerow Data'!$BJ$3:$BJ$15,MATCH(D168,'G-6 Hedgerow Data'!$B$3:$B$15,0)),"")</f>
        <v/>
      </c>
    </row>
    <row r="169" spans="2:38" x14ac:dyDescent="0.3">
      <c r="B169" s="92">
        <v>160</v>
      </c>
      <c r="C169" s="141"/>
      <c r="D169" s="141"/>
      <c r="E169" s="102"/>
      <c r="F169" s="335" t="str">
        <f>IF(D169="","",VLOOKUP(D169,'G-6 Hedgerow Data'!$B$2:$AG$15,2,FALSE))</f>
        <v/>
      </c>
      <c r="G169" s="291" t="str">
        <f>IF(D169="","",VLOOKUP(D169,'G-6 Hedgerow Data'!$B$2:$AG$15,3,FALSE))</f>
        <v/>
      </c>
      <c r="H169" s="95"/>
      <c r="I169" s="291" t="str">
        <f>IFERROR(IF(AND(D169&lt;&gt;"",H169=""),"Check data ⚠", IF(H169="","",IF(AND(D169="Non-native and ornamental hedgerow", H169&lt;&gt;"Poor"),"Not possible ▲", (VLOOKUP(H169,'G-1 All Habitats'!$Z$2:$AA$9,2,FALSE))))),"")</f>
        <v/>
      </c>
      <c r="J169" s="95"/>
      <c r="K169" s="298" t="str">
        <f>IF(AND(D169&lt;&gt;"",J169=""),"Check data ⚠", IF(J169="","",IF(VLOOKUP(J169,'G-3 Multipliers'!$L$3:$N$6,2,FALSE)=0,"Spatial Data Missing",VLOOKUP(J169,'G-3 Multipliers'!$L$3:$N$6,2,FALSE))))</f>
        <v/>
      </c>
      <c r="L169" s="296" t="str">
        <f>IF(J169="","",IF(VLOOKUP(J169,'G-3 Multipliers'!$L$3:$N$6,3,FALSE)=0,"Spatial Data Missing ⚠",VLOOKUP(J169,'G-3 Multipliers'!$L$3:$N$6,3,FALSE)))</f>
        <v/>
      </c>
      <c r="M169" s="297" t="str">
        <f>IF(D169="","",VLOOKUP(D169,'G-6 Hedgerow Data'!$B$1:$AH$15,33,FALSE))</f>
        <v/>
      </c>
      <c r="N169" s="304" t="str">
        <f t="shared" si="16"/>
        <v/>
      </c>
      <c r="O169" s="17"/>
      <c r="P169" s="103"/>
      <c r="Q169" s="141"/>
      <c r="R169" s="320" t="str">
        <f t="shared" si="17"/>
        <v/>
      </c>
      <c r="S169" s="320" t="str">
        <f t="shared" si="18"/>
        <v/>
      </c>
      <c r="T169" s="320" t="str">
        <f t="shared" si="19"/>
        <v/>
      </c>
      <c r="U169" s="339" t="str">
        <f t="shared" si="20"/>
        <v/>
      </c>
      <c r="V169" s="100"/>
      <c r="W169" s="101"/>
      <c r="X169" s="101"/>
      <c r="AE169" s="105" t="str">
        <f t="shared" si="14"/>
        <v/>
      </c>
      <c r="AF169" s="105" t="str">
        <f t="shared" si="15"/>
        <v/>
      </c>
      <c r="AH169" s="105">
        <v>160</v>
      </c>
      <c r="AJ169" s="105" t="str">
        <f t="array" ref="AJ169">IFERROR(INDEX($AH$10:$AH$258, MATCH(0, IF(TRUE=$AE$10:$AE$258, COUNTIF($AJ$9:$AJ168, $AH$10:$AH$258), ""), 0)),"")</f>
        <v/>
      </c>
      <c r="AK169" s="105" t="str">
        <f t="array" ref="AK169">IFERROR(INDEX($AH$10:$AH$258, MATCH(0, IF(TRUE=$AF$10:$AF$258, COUNTIF($AK$9:$AK168, $AH$10:$AH$258), ""), 0)),"")</f>
        <v/>
      </c>
      <c r="AL169" s="15" t="str">
        <f>IFERROR(INDEX('G-6 Hedgerow Data'!$BJ$3:$BJ$15,MATCH(D169,'G-6 Hedgerow Data'!$B$3:$B$15,0)),"")</f>
        <v/>
      </c>
    </row>
    <row r="170" spans="2:38" x14ac:dyDescent="0.3">
      <c r="B170" s="92">
        <v>161</v>
      </c>
      <c r="C170" s="141"/>
      <c r="D170" s="141"/>
      <c r="E170" s="102"/>
      <c r="F170" s="335" t="str">
        <f>IF(D170="","",VLOOKUP(D170,'G-6 Hedgerow Data'!$B$2:$AG$15,2,FALSE))</f>
        <v/>
      </c>
      <c r="G170" s="291" t="str">
        <f>IF(D170="","",VLOOKUP(D170,'G-6 Hedgerow Data'!$B$2:$AG$15,3,FALSE))</f>
        <v/>
      </c>
      <c r="H170" s="95"/>
      <c r="I170" s="291" t="str">
        <f>IFERROR(IF(AND(D170&lt;&gt;"",H170=""),"Check data ⚠", IF(H170="","",IF(AND(D170="Non-native and ornamental hedgerow", H170&lt;&gt;"Poor"),"Not possible ▲", (VLOOKUP(H170,'G-1 All Habitats'!$Z$2:$AA$9,2,FALSE))))),"")</f>
        <v/>
      </c>
      <c r="J170" s="95"/>
      <c r="K170" s="298" t="str">
        <f>IF(AND(D170&lt;&gt;"",J170=""),"Check data ⚠", IF(J170="","",IF(VLOOKUP(J170,'G-3 Multipliers'!$L$3:$N$6,2,FALSE)=0,"Spatial Data Missing",VLOOKUP(J170,'G-3 Multipliers'!$L$3:$N$6,2,FALSE))))</f>
        <v/>
      </c>
      <c r="L170" s="296" t="str">
        <f>IF(J170="","",IF(VLOOKUP(J170,'G-3 Multipliers'!$L$3:$N$6,3,FALSE)=0,"Spatial Data Missing ⚠",VLOOKUP(J170,'G-3 Multipliers'!$L$3:$N$6,3,FALSE)))</f>
        <v/>
      </c>
      <c r="M170" s="297" t="str">
        <f>IF(D170="","",VLOOKUP(D170,'G-6 Hedgerow Data'!$B$1:$AH$15,33,FALSE))</f>
        <v/>
      </c>
      <c r="N170" s="304" t="str">
        <f t="shared" si="16"/>
        <v/>
      </c>
      <c r="O170" s="17"/>
      <c r="P170" s="103"/>
      <c r="Q170" s="141"/>
      <c r="R170" s="320" t="str">
        <f t="shared" si="17"/>
        <v/>
      </c>
      <c r="S170" s="320" t="str">
        <f t="shared" si="18"/>
        <v/>
      </c>
      <c r="T170" s="320" t="str">
        <f t="shared" si="19"/>
        <v/>
      </c>
      <c r="U170" s="339" t="str">
        <f t="shared" si="20"/>
        <v/>
      </c>
      <c r="V170" s="100"/>
      <c r="W170" s="101"/>
      <c r="X170" s="101"/>
      <c r="AE170" s="105" t="str">
        <f t="shared" si="14"/>
        <v/>
      </c>
      <c r="AF170" s="105" t="str">
        <f t="shared" si="15"/>
        <v/>
      </c>
      <c r="AH170" s="105">
        <v>161</v>
      </c>
      <c r="AJ170" s="105" t="str">
        <f t="array" ref="AJ170">IFERROR(INDEX($AH$10:$AH$258, MATCH(0, IF(TRUE=$AE$10:$AE$258, COUNTIF($AJ$9:$AJ169, $AH$10:$AH$258), ""), 0)),"")</f>
        <v/>
      </c>
      <c r="AK170" s="105" t="str">
        <f t="array" ref="AK170">IFERROR(INDEX($AH$10:$AH$258, MATCH(0, IF(TRUE=$AF$10:$AF$258, COUNTIF($AK$9:$AK169, $AH$10:$AH$258), ""), 0)),"")</f>
        <v/>
      </c>
      <c r="AL170" s="15" t="str">
        <f>IFERROR(INDEX('G-6 Hedgerow Data'!$BJ$3:$BJ$15,MATCH(D170,'G-6 Hedgerow Data'!$B$3:$B$15,0)),"")</f>
        <v/>
      </c>
    </row>
    <row r="171" spans="2:38" x14ac:dyDescent="0.3">
      <c r="B171" s="92">
        <v>162</v>
      </c>
      <c r="C171" s="141"/>
      <c r="D171" s="141"/>
      <c r="E171" s="102"/>
      <c r="F171" s="335" t="str">
        <f>IF(D171="","",VLOOKUP(D171,'G-6 Hedgerow Data'!$B$2:$AG$15,2,FALSE))</f>
        <v/>
      </c>
      <c r="G171" s="291" t="str">
        <f>IF(D171="","",VLOOKUP(D171,'G-6 Hedgerow Data'!$B$2:$AG$15,3,FALSE))</f>
        <v/>
      </c>
      <c r="H171" s="95"/>
      <c r="I171" s="291" t="str">
        <f>IFERROR(IF(AND(D171&lt;&gt;"",H171=""),"Check data ⚠", IF(H171="","",IF(AND(D171="Non-native and ornamental hedgerow", H171&lt;&gt;"Poor"),"Not possible ▲", (VLOOKUP(H171,'G-1 All Habitats'!$Z$2:$AA$9,2,FALSE))))),"")</f>
        <v/>
      </c>
      <c r="J171" s="95"/>
      <c r="K171" s="298" t="str">
        <f>IF(AND(D171&lt;&gt;"",J171=""),"Check data ⚠", IF(J171="","",IF(VLOOKUP(J171,'G-3 Multipliers'!$L$3:$N$6,2,FALSE)=0,"Spatial Data Missing",VLOOKUP(J171,'G-3 Multipliers'!$L$3:$N$6,2,FALSE))))</f>
        <v/>
      </c>
      <c r="L171" s="296" t="str">
        <f>IF(J171="","",IF(VLOOKUP(J171,'G-3 Multipliers'!$L$3:$N$6,3,FALSE)=0,"Spatial Data Missing ⚠",VLOOKUP(J171,'G-3 Multipliers'!$L$3:$N$6,3,FALSE)))</f>
        <v/>
      </c>
      <c r="M171" s="297" t="str">
        <f>IF(D171="","",VLOOKUP(D171,'G-6 Hedgerow Data'!$B$1:$AH$15,33,FALSE))</f>
        <v/>
      </c>
      <c r="N171" s="304" t="str">
        <f t="shared" si="16"/>
        <v/>
      </c>
      <c r="O171" s="17"/>
      <c r="P171" s="103"/>
      <c r="Q171" s="141"/>
      <c r="R171" s="320" t="str">
        <f t="shared" si="17"/>
        <v/>
      </c>
      <c r="S171" s="320" t="str">
        <f t="shared" si="18"/>
        <v/>
      </c>
      <c r="T171" s="320" t="str">
        <f t="shared" si="19"/>
        <v/>
      </c>
      <c r="U171" s="339" t="str">
        <f t="shared" si="20"/>
        <v/>
      </c>
      <c r="V171" s="100"/>
      <c r="W171" s="101"/>
      <c r="X171" s="101"/>
      <c r="AE171" s="105" t="str">
        <f t="shared" si="14"/>
        <v/>
      </c>
      <c r="AF171" s="105" t="str">
        <f t="shared" si="15"/>
        <v/>
      </c>
      <c r="AH171" s="105">
        <v>162</v>
      </c>
      <c r="AJ171" s="105" t="str">
        <f t="array" ref="AJ171">IFERROR(INDEX($AH$10:$AH$258, MATCH(0, IF(TRUE=$AE$10:$AE$258, COUNTIF($AJ$9:$AJ170, $AH$10:$AH$258), ""), 0)),"")</f>
        <v/>
      </c>
      <c r="AK171" s="105" t="str">
        <f t="array" ref="AK171">IFERROR(INDEX($AH$10:$AH$258, MATCH(0, IF(TRUE=$AF$10:$AF$258, COUNTIF($AK$9:$AK170, $AH$10:$AH$258), ""), 0)),"")</f>
        <v/>
      </c>
      <c r="AL171" s="15" t="str">
        <f>IFERROR(INDEX('G-6 Hedgerow Data'!$BJ$3:$BJ$15,MATCH(D171,'G-6 Hedgerow Data'!$B$3:$B$15,0)),"")</f>
        <v/>
      </c>
    </row>
    <row r="172" spans="2:38" x14ac:dyDescent="0.3">
      <c r="B172" s="92">
        <v>163</v>
      </c>
      <c r="C172" s="141"/>
      <c r="D172" s="141"/>
      <c r="E172" s="102"/>
      <c r="F172" s="335" t="str">
        <f>IF(D172="","",VLOOKUP(D172,'G-6 Hedgerow Data'!$B$2:$AG$15,2,FALSE))</f>
        <v/>
      </c>
      <c r="G172" s="291" t="str">
        <f>IF(D172="","",VLOOKUP(D172,'G-6 Hedgerow Data'!$B$2:$AG$15,3,FALSE))</f>
        <v/>
      </c>
      <c r="H172" s="95"/>
      <c r="I172" s="291" t="str">
        <f>IFERROR(IF(AND(D172&lt;&gt;"",H172=""),"Check data ⚠", IF(H172="","",IF(AND(D172="Non-native and ornamental hedgerow", H172&lt;&gt;"Poor"),"Not possible ▲", (VLOOKUP(H172,'G-1 All Habitats'!$Z$2:$AA$9,2,FALSE))))),"")</f>
        <v/>
      </c>
      <c r="J172" s="95"/>
      <c r="K172" s="298" t="str">
        <f>IF(AND(D172&lt;&gt;"",J172=""),"Check data ⚠", IF(J172="","",IF(VLOOKUP(J172,'G-3 Multipliers'!$L$3:$N$6,2,FALSE)=0,"Spatial Data Missing",VLOOKUP(J172,'G-3 Multipliers'!$L$3:$N$6,2,FALSE))))</f>
        <v/>
      </c>
      <c r="L172" s="296" t="str">
        <f>IF(J172="","",IF(VLOOKUP(J172,'G-3 Multipliers'!$L$3:$N$6,3,FALSE)=0,"Spatial Data Missing ⚠",VLOOKUP(J172,'G-3 Multipliers'!$L$3:$N$6,3,FALSE)))</f>
        <v/>
      </c>
      <c r="M172" s="297" t="str">
        <f>IF(D172="","",VLOOKUP(D172,'G-6 Hedgerow Data'!$B$1:$AH$15,33,FALSE))</f>
        <v/>
      </c>
      <c r="N172" s="304" t="str">
        <f t="shared" si="16"/>
        <v/>
      </c>
      <c r="O172" s="17"/>
      <c r="P172" s="103"/>
      <c r="Q172" s="141"/>
      <c r="R172" s="320" t="str">
        <f t="shared" si="17"/>
        <v/>
      </c>
      <c r="S172" s="320" t="str">
        <f t="shared" si="18"/>
        <v/>
      </c>
      <c r="T172" s="320" t="str">
        <f t="shared" si="19"/>
        <v/>
      </c>
      <c r="U172" s="339" t="str">
        <f t="shared" si="20"/>
        <v/>
      </c>
      <c r="V172" s="100"/>
      <c r="W172" s="101"/>
      <c r="X172" s="101"/>
      <c r="AE172" s="105" t="str">
        <f t="shared" si="14"/>
        <v/>
      </c>
      <c r="AF172" s="105" t="str">
        <f t="shared" si="15"/>
        <v/>
      </c>
      <c r="AH172" s="105">
        <v>163</v>
      </c>
      <c r="AJ172" s="105" t="str">
        <f t="array" ref="AJ172">IFERROR(INDEX($AH$10:$AH$258, MATCH(0, IF(TRUE=$AE$10:$AE$258, COUNTIF($AJ$9:$AJ171, $AH$10:$AH$258), ""), 0)),"")</f>
        <v/>
      </c>
      <c r="AK172" s="105" t="str">
        <f t="array" ref="AK172">IFERROR(INDEX($AH$10:$AH$258, MATCH(0, IF(TRUE=$AF$10:$AF$258, COUNTIF($AK$9:$AK171, $AH$10:$AH$258), ""), 0)),"")</f>
        <v/>
      </c>
      <c r="AL172" s="15" t="str">
        <f>IFERROR(INDEX('G-6 Hedgerow Data'!$BJ$3:$BJ$15,MATCH(D172,'G-6 Hedgerow Data'!$B$3:$B$15,0)),"")</f>
        <v/>
      </c>
    </row>
    <row r="173" spans="2:38" x14ac:dyDescent="0.3">
      <c r="B173" s="92">
        <v>164</v>
      </c>
      <c r="C173" s="141"/>
      <c r="D173" s="141"/>
      <c r="E173" s="102"/>
      <c r="F173" s="335" t="str">
        <f>IF(D173="","",VLOOKUP(D173,'G-6 Hedgerow Data'!$B$2:$AG$15,2,FALSE))</f>
        <v/>
      </c>
      <c r="G173" s="291" t="str">
        <f>IF(D173="","",VLOOKUP(D173,'G-6 Hedgerow Data'!$B$2:$AG$15,3,FALSE))</f>
        <v/>
      </c>
      <c r="H173" s="95"/>
      <c r="I173" s="291" t="str">
        <f>IFERROR(IF(AND(D173&lt;&gt;"",H173=""),"Check data ⚠", IF(H173="","",IF(AND(D173="Non-native and ornamental hedgerow", H173&lt;&gt;"Poor"),"Not possible ▲", (VLOOKUP(H173,'G-1 All Habitats'!$Z$2:$AA$9,2,FALSE))))),"")</f>
        <v/>
      </c>
      <c r="J173" s="95"/>
      <c r="K173" s="298" t="str">
        <f>IF(AND(D173&lt;&gt;"",J173=""),"Check data ⚠", IF(J173="","",IF(VLOOKUP(J173,'G-3 Multipliers'!$L$3:$N$6,2,FALSE)=0,"Spatial Data Missing",VLOOKUP(J173,'G-3 Multipliers'!$L$3:$N$6,2,FALSE))))</f>
        <v/>
      </c>
      <c r="L173" s="296" t="str">
        <f>IF(J173="","",IF(VLOOKUP(J173,'G-3 Multipliers'!$L$3:$N$6,3,FALSE)=0,"Spatial Data Missing ⚠",VLOOKUP(J173,'G-3 Multipliers'!$L$3:$N$6,3,FALSE)))</f>
        <v/>
      </c>
      <c r="M173" s="297" t="str">
        <f>IF(D173="","",VLOOKUP(D173,'G-6 Hedgerow Data'!$B$1:$AH$15,33,FALSE))</f>
        <v/>
      </c>
      <c r="N173" s="304" t="str">
        <f t="shared" si="16"/>
        <v/>
      </c>
      <c r="O173" s="17"/>
      <c r="P173" s="103"/>
      <c r="Q173" s="141"/>
      <c r="R173" s="320" t="str">
        <f t="shared" si="17"/>
        <v/>
      </c>
      <c r="S173" s="320" t="str">
        <f t="shared" si="18"/>
        <v/>
      </c>
      <c r="T173" s="320" t="str">
        <f t="shared" si="19"/>
        <v/>
      </c>
      <c r="U173" s="339" t="str">
        <f t="shared" si="20"/>
        <v/>
      </c>
      <c r="V173" s="100"/>
      <c r="W173" s="101"/>
      <c r="X173" s="101"/>
      <c r="AE173" s="105" t="str">
        <f t="shared" si="14"/>
        <v/>
      </c>
      <c r="AF173" s="105" t="str">
        <f t="shared" si="15"/>
        <v/>
      </c>
      <c r="AH173" s="105">
        <v>164</v>
      </c>
      <c r="AJ173" s="105" t="str">
        <f t="array" ref="AJ173">IFERROR(INDEX($AH$10:$AH$258, MATCH(0, IF(TRUE=$AE$10:$AE$258, COUNTIF($AJ$9:$AJ172, $AH$10:$AH$258), ""), 0)),"")</f>
        <v/>
      </c>
      <c r="AK173" s="105" t="str">
        <f t="array" ref="AK173">IFERROR(INDEX($AH$10:$AH$258, MATCH(0, IF(TRUE=$AF$10:$AF$258, COUNTIF($AK$9:$AK172, $AH$10:$AH$258), ""), 0)),"")</f>
        <v/>
      </c>
      <c r="AL173" s="15" t="str">
        <f>IFERROR(INDEX('G-6 Hedgerow Data'!$BJ$3:$BJ$15,MATCH(D173,'G-6 Hedgerow Data'!$B$3:$B$15,0)),"")</f>
        <v/>
      </c>
    </row>
    <row r="174" spans="2:38" x14ac:dyDescent="0.3">
      <c r="B174" s="92">
        <v>165</v>
      </c>
      <c r="C174" s="141"/>
      <c r="D174" s="141"/>
      <c r="E174" s="102"/>
      <c r="F174" s="335" t="str">
        <f>IF(D174="","",VLOOKUP(D174,'G-6 Hedgerow Data'!$B$2:$AG$15,2,FALSE))</f>
        <v/>
      </c>
      <c r="G174" s="291" t="str">
        <f>IF(D174="","",VLOOKUP(D174,'G-6 Hedgerow Data'!$B$2:$AG$15,3,FALSE))</f>
        <v/>
      </c>
      <c r="H174" s="95"/>
      <c r="I174" s="291" t="str">
        <f>IFERROR(IF(AND(D174&lt;&gt;"",H174=""),"Check data ⚠", IF(H174="","",IF(AND(D174="Non-native and ornamental hedgerow", H174&lt;&gt;"Poor"),"Not possible ▲", (VLOOKUP(H174,'G-1 All Habitats'!$Z$2:$AA$9,2,FALSE))))),"")</f>
        <v/>
      </c>
      <c r="J174" s="95"/>
      <c r="K174" s="298" t="str">
        <f>IF(AND(D174&lt;&gt;"",J174=""),"Check data ⚠", IF(J174="","",IF(VLOOKUP(J174,'G-3 Multipliers'!$L$3:$N$6,2,FALSE)=0,"Spatial Data Missing",VLOOKUP(J174,'G-3 Multipliers'!$L$3:$N$6,2,FALSE))))</f>
        <v/>
      </c>
      <c r="L174" s="296" t="str">
        <f>IF(J174="","",IF(VLOOKUP(J174,'G-3 Multipliers'!$L$3:$N$6,3,FALSE)=0,"Spatial Data Missing ⚠",VLOOKUP(J174,'G-3 Multipliers'!$L$3:$N$6,3,FALSE)))</f>
        <v/>
      </c>
      <c r="M174" s="297" t="str">
        <f>IF(D174="","",VLOOKUP(D174,'G-6 Hedgerow Data'!$B$1:$AH$15,33,FALSE))</f>
        <v/>
      </c>
      <c r="N174" s="304" t="str">
        <f t="shared" si="16"/>
        <v/>
      </c>
      <c r="O174" s="17"/>
      <c r="P174" s="103"/>
      <c r="Q174" s="141"/>
      <c r="R174" s="320" t="str">
        <f t="shared" si="17"/>
        <v/>
      </c>
      <c r="S174" s="320" t="str">
        <f t="shared" si="18"/>
        <v/>
      </c>
      <c r="T174" s="320" t="str">
        <f t="shared" si="19"/>
        <v/>
      </c>
      <c r="U174" s="339" t="str">
        <f t="shared" si="20"/>
        <v/>
      </c>
      <c r="V174" s="100"/>
      <c r="W174" s="101"/>
      <c r="X174" s="101"/>
      <c r="AE174" s="105" t="str">
        <f t="shared" si="14"/>
        <v/>
      </c>
      <c r="AF174" s="105" t="str">
        <f t="shared" si="15"/>
        <v/>
      </c>
      <c r="AH174" s="105">
        <v>165</v>
      </c>
      <c r="AJ174" s="105" t="str">
        <f t="array" ref="AJ174">IFERROR(INDEX($AH$10:$AH$258, MATCH(0, IF(TRUE=$AE$10:$AE$258, COUNTIF($AJ$9:$AJ173, $AH$10:$AH$258), ""), 0)),"")</f>
        <v/>
      </c>
      <c r="AK174" s="105" t="str">
        <f t="array" ref="AK174">IFERROR(INDEX($AH$10:$AH$258, MATCH(0, IF(TRUE=$AF$10:$AF$258, COUNTIF($AK$9:$AK173, $AH$10:$AH$258), ""), 0)),"")</f>
        <v/>
      </c>
      <c r="AL174" s="15" t="str">
        <f>IFERROR(INDEX('G-6 Hedgerow Data'!$BJ$3:$BJ$15,MATCH(D174,'G-6 Hedgerow Data'!$B$3:$B$15,0)),"")</f>
        <v/>
      </c>
    </row>
    <row r="175" spans="2:38" x14ac:dyDescent="0.3">
      <c r="B175" s="92">
        <v>166</v>
      </c>
      <c r="C175" s="141"/>
      <c r="D175" s="141"/>
      <c r="E175" s="102"/>
      <c r="F175" s="335" t="str">
        <f>IF(D175="","",VLOOKUP(D175,'G-6 Hedgerow Data'!$B$2:$AG$15,2,FALSE))</f>
        <v/>
      </c>
      <c r="G175" s="291" t="str">
        <f>IF(D175="","",VLOOKUP(D175,'G-6 Hedgerow Data'!$B$2:$AG$15,3,FALSE))</f>
        <v/>
      </c>
      <c r="H175" s="95"/>
      <c r="I175" s="291" t="str">
        <f>IFERROR(IF(AND(D175&lt;&gt;"",H175=""),"Check data ⚠", IF(H175="","",IF(AND(D175="Non-native and ornamental hedgerow", H175&lt;&gt;"Poor"),"Not possible ▲", (VLOOKUP(H175,'G-1 All Habitats'!$Z$2:$AA$9,2,FALSE))))),"")</f>
        <v/>
      </c>
      <c r="J175" s="95"/>
      <c r="K175" s="298" t="str">
        <f>IF(AND(D175&lt;&gt;"",J175=""),"Check data ⚠", IF(J175="","",IF(VLOOKUP(J175,'G-3 Multipliers'!$L$3:$N$6,2,FALSE)=0,"Spatial Data Missing",VLOOKUP(J175,'G-3 Multipliers'!$L$3:$N$6,2,FALSE))))</f>
        <v/>
      </c>
      <c r="L175" s="296" t="str">
        <f>IF(J175="","",IF(VLOOKUP(J175,'G-3 Multipliers'!$L$3:$N$6,3,FALSE)=0,"Spatial Data Missing ⚠",VLOOKUP(J175,'G-3 Multipliers'!$L$3:$N$6,3,FALSE)))</f>
        <v/>
      </c>
      <c r="M175" s="297" t="str">
        <f>IF(D175="","",VLOOKUP(D175,'G-6 Hedgerow Data'!$B$1:$AH$15,33,FALSE))</f>
        <v/>
      </c>
      <c r="N175" s="304" t="str">
        <f t="shared" si="16"/>
        <v/>
      </c>
      <c r="O175" s="17"/>
      <c r="P175" s="103"/>
      <c r="Q175" s="141"/>
      <c r="R175" s="320" t="str">
        <f t="shared" si="17"/>
        <v/>
      </c>
      <c r="S175" s="320" t="str">
        <f t="shared" si="18"/>
        <v/>
      </c>
      <c r="T175" s="320" t="str">
        <f t="shared" si="19"/>
        <v/>
      </c>
      <c r="U175" s="339" t="str">
        <f t="shared" si="20"/>
        <v/>
      </c>
      <c r="V175" s="100"/>
      <c r="W175" s="101"/>
      <c r="X175" s="101"/>
      <c r="AE175" s="105" t="str">
        <f t="shared" si="14"/>
        <v/>
      </c>
      <c r="AF175" s="105" t="str">
        <f t="shared" si="15"/>
        <v/>
      </c>
      <c r="AH175" s="105">
        <v>166</v>
      </c>
      <c r="AJ175" s="105" t="str">
        <f t="array" ref="AJ175">IFERROR(INDEX($AH$10:$AH$258, MATCH(0, IF(TRUE=$AE$10:$AE$258, COUNTIF($AJ$9:$AJ174, $AH$10:$AH$258), ""), 0)),"")</f>
        <v/>
      </c>
      <c r="AK175" s="105" t="str">
        <f t="array" ref="AK175">IFERROR(INDEX($AH$10:$AH$258, MATCH(0, IF(TRUE=$AF$10:$AF$258, COUNTIF($AK$9:$AK174, $AH$10:$AH$258), ""), 0)),"")</f>
        <v/>
      </c>
      <c r="AL175" s="15" t="str">
        <f>IFERROR(INDEX('G-6 Hedgerow Data'!$BJ$3:$BJ$15,MATCH(D175,'G-6 Hedgerow Data'!$B$3:$B$15,0)),"")</f>
        <v/>
      </c>
    </row>
    <row r="176" spans="2:38" x14ac:dyDescent="0.3">
      <c r="B176" s="92">
        <v>167</v>
      </c>
      <c r="C176" s="141"/>
      <c r="D176" s="141"/>
      <c r="E176" s="102"/>
      <c r="F176" s="335" t="str">
        <f>IF(D176="","",VLOOKUP(D176,'G-6 Hedgerow Data'!$B$2:$AG$15,2,FALSE))</f>
        <v/>
      </c>
      <c r="G176" s="291" t="str">
        <f>IF(D176="","",VLOOKUP(D176,'G-6 Hedgerow Data'!$B$2:$AG$15,3,FALSE))</f>
        <v/>
      </c>
      <c r="H176" s="95"/>
      <c r="I176" s="291" t="str">
        <f>IFERROR(IF(AND(D176&lt;&gt;"",H176=""),"Check data ⚠", IF(H176="","",IF(AND(D176="Non-native and ornamental hedgerow", H176&lt;&gt;"Poor"),"Not possible ▲", (VLOOKUP(H176,'G-1 All Habitats'!$Z$2:$AA$9,2,FALSE))))),"")</f>
        <v/>
      </c>
      <c r="J176" s="95"/>
      <c r="K176" s="298" t="str">
        <f>IF(AND(D176&lt;&gt;"",J176=""),"Check data ⚠", IF(J176="","",IF(VLOOKUP(J176,'G-3 Multipliers'!$L$3:$N$6,2,FALSE)=0,"Spatial Data Missing",VLOOKUP(J176,'G-3 Multipliers'!$L$3:$N$6,2,FALSE))))</f>
        <v/>
      </c>
      <c r="L176" s="296" t="str">
        <f>IF(J176="","",IF(VLOOKUP(J176,'G-3 Multipliers'!$L$3:$N$6,3,FALSE)=0,"Spatial Data Missing ⚠",VLOOKUP(J176,'G-3 Multipliers'!$L$3:$N$6,3,FALSE)))</f>
        <v/>
      </c>
      <c r="M176" s="297" t="str">
        <f>IF(D176="","",VLOOKUP(D176,'G-6 Hedgerow Data'!$B$1:$AH$15,33,FALSE))</f>
        <v/>
      </c>
      <c r="N176" s="304" t="str">
        <f t="shared" si="16"/>
        <v/>
      </c>
      <c r="O176" s="17"/>
      <c r="P176" s="103"/>
      <c r="Q176" s="141"/>
      <c r="R176" s="320" t="str">
        <f t="shared" si="17"/>
        <v/>
      </c>
      <c r="S176" s="320" t="str">
        <f t="shared" si="18"/>
        <v/>
      </c>
      <c r="T176" s="320" t="str">
        <f t="shared" si="19"/>
        <v/>
      </c>
      <c r="U176" s="339" t="str">
        <f t="shared" si="20"/>
        <v/>
      </c>
      <c r="V176" s="100"/>
      <c r="W176" s="101"/>
      <c r="X176" s="101"/>
      <c r="AE176" s="105" t="str">
        <f t="shared" si="14"/>
        <v/>
      </c>
      <c r="AF176" s="105" t="str">
        <f t="shared" si="15"/>
        <v/>
      </c>
      <c r="AH176" s="105">
        <v>167</v>
      </c>
      <c r="AJ176" s="105" t="str">
        <f t="array" ref="AJ176">IFERROR(INDEX($AH$10:$AH$258, MATCH(0, IF(TRUE=$AE$10:$AE$258, COUNTIF($AJ$9:$AJ175, $AH$10:$AH$258), ""), 0)),"")</f>
        <v/>
      </c>
      <c r="AK176" s="105" t="str">
        <f t="array" ref="AK176">IFERROR(INDEX($AH$10:$AH$258, MATCH(0, IF(TRUE=$AF$10:$AF$258, COUNTIF($AK$9:$AK175, $AH$10:$AH$258), ""), 0)),"")</f>
        <v/>
      </c>
      <c r="AL176" s="15" t="str">
        <f>IFERROR(INDEX('G-6 Hedgerow Data'!$BJ$3:$BJ$15,MATCH(D176,'G-6 Hedgerow Data'!$B$3:$B$15,0)),"")</f>
        <v/>
      </c>
    </row>
    <row r="177" spans="2:38" x14ac:dyDescent="0.3">
      <c r="B177" s="92">
        <v>168</v>
      </c>
      <c r="C177" s="141"/>
      <c r="D177" s="141"/>
      <c r="E177" s="102"/>
      <c r="F177" s="335" t="str">
        <f>IF(D177="","",VLOOKUP(D177,'G-6 Hedgerow Data'!$B$2:$AG$15,2,FALSE))</f>
        <v/>
      </c>
      <c r="G177" s="291" t="str">
        <f>IF(D177="","",VLOOKUP(D177,'G-6 Hedgerow Data'!$B$2:$AG$15,3,FALSE))</f>
        <v/>
      </c>
      <c r="H177" s="95"/>
      <c r="I177" s="291" t="str">
        <f>IFERROR(IF(AND(D177&lt;&gt;"",H177=""),"Check data ⚠", IF(H177="","",IF(AND(D177="Non-native and ornamental hedgerow", H177&lt;&gt;"Poor"),"Not possible ▲", (VLOOKUP(H177,'G-1 All Habitats'!$Z$2:$AA$9,2,FALSE))))),"")</f>
        <v/>
      </c>
      <c r="J177" s="95"/>
      <c r="K177" s="298" t="str">
        <f>IF(AND(D177&lt;&gt;"",J177=""),"Check data ⚠", IF(J177="","",IF(VLOOKUP(J177,'G-3 Multipliers'!$L$3:$N$6,2,FALSE)=0,"Spatial Data Missing",VLOOKUP(J177,'G-3 Multipliers'!$L$3:$N$6,2,FALSE))))</f>
        <v/>
      </c>
      <c r="L177" s="296" t="str">
        <f>IF(J177="","",IF(VLOOKUP(J177,'G-3 Multipliers'!$L$3:$N$6,3,FALSE)=0,"Spatial Data Missing ⚠",VLOOKUP(J177,'G-3 Multipliers'!$L$3:$N$6,3,FALSE)))</f>
        <v/>
      </c>
      <c r="M177" s="297" t="str">
        <f>IF(D177="","",VLOOKUP(D177,'G-6 Hedgerow Data'!$B$1:$AH$15,33,FALSE))</f>
        <v/>
      </c>
      <c r="N177" s="304" t="str">
        <f t="shared" si="16"/>
        <v/>
      </c>
      <c r="O177" s="17"/>
      <c r="P177" s="103"/>
      <c r="Q177" s="141"/>
      <c r="R177" s="320" t="str">
        <f t="shared" si="17"/>
        <v/>
      </c>
      <c r="S177" s="320" t="str">
        <f t="shared" si="18"/>
        <v/>
      </c>
      <c r="T177" s="320" t="str">
        <f t="shared" si="19"/>
        <v/>
      </c>
      <c r="U177" s="339" t="str">
        <f t="shared" si="20"/>
        <v/>
      </c>
      <c r="V177" s="100"/>
      <c r="W177" s="101"/>
      <c r="X177" s="101"/>
      <c r="AE177" s="105" t="str">
        <f t="shared" si="14"/>
        <v/>
      </c>
      <c r="AF177" s="105" t="str">
        <f t="shared" si="15"/>
        <v/>
      </c>
      <c r="AH177" s="105">
        <v>168</v>
      </c>
      <c r="AJ177" s="105" t="str">
        <f t="array" ref="AJ177">IFERROR(INDEX($AH$10:$AH$258, MATCH(0, IF(TRUE=$AE$10:$AE$258, COUNTIF($AJ$9:$AJ176, $AH$10:$AH$258), ""), 0)),"")</f>
        <v/>
      </c>
      <c r="AK177" s="105" t="str">
        <f t="array" ref="AK177">IFERROR(INDEX($AH$10:$AH$258, MATCH(0, IF(TRUE=$AF$10:$AF$258, COUNTIF($AK$9:$AK176, $AH$10:$AH$258), ""), 0)),"")</f>
        <v/>
      </c>
      <c r="AL177" s="15" t="str">
        <f>IFERROR(INDEX('G-6 Hedgerow Data'!$BJ$3:$BJ$15,MATCH(D177,'G-6 Hedgerow Data'!$B$3:$B$15,0)),"")</f>
        <v/>
      </c>
    </row>
    <row r="178" spans="2:38" x14ac:dyDescent="0.3">
      <c r="B178" s="92">
        <v>169</v>
      </c>
      <c r="C178" s="141"/>
      <c r="D178" s="141"/>
      <c r="E178" s="102"/>
      <c r="F178" s="335" t="str">
        <f>IF(D178="","",VLOOKUP(D178,'G-6 Hedgerow Data'!$B$2:$AG$15,2,FALSE))</f>
        <v/>
      </c>
      <c r="G178" s="291" t="str">
        <f>IF(D178="","",VLOOKUP(D178,'G-6 Hedgerow Data'!$B$2:$AG$15,3,FALSE))</f>
        <v/>
      </c>
      <c r="H178" s="95"/>
      <c r="I178" s="291" t="str">
        <f>IFERROR(IF(AND(D178&lt;&gt;"",H178=""),"Check data ⚠", IF(H178="","",IF(AND(D178="Non-native and ornamental hedgerow", H178&lt;&gt;"Poor"),"Not possible ▲", (VLOOKUP(H178,'G-1 All Habitats'!$Z$2:$AA$9,2,FALSE))))),"")</f>
        <v/>
      </c>
      <c r="J178" s="95"/>
      <c r="K178" s="298" t="str">
        <f>IF(AND(D178&lt;&gt;"",J178=""),"Check data ⚠", IF(J178="","",IF(VLOOKUP(J178,'G-3 Multipliers'!$L$3:$N$6,2,FALSE)=0,"Spatial Data Missing",VLOOKUP(J178,'G-3 Multipliers'!$L$3:$N$6,2,FALSE))))</f>
        <v/>
      </c>
      <c r="L178" s="296" t="str">
        <f>IF(J178="","",IF(VLOOKUP(J178,'G-3 Multipliers'!$L$3:$N$6,3,FALSE)=0,"Spatial Data Missing ⚠",VLOOKUP(J178,'G-3 Multipliers'!$L$3:$N$6,3,FALSE)))</f>
        <v/>
      </c>
      <c r="M178" s="297" t="str">
        <f>IF(D178="","",VLOOKUP(D178,'G-6 Hedgerow Data'!$B$1:$AH$15,33,FALSE))</f>
        <v/>
      </c>
      <c r="N178" s="304" t="str">
        <f t="shared" si="16"/>
        <v/>
      </c>
      <c r="O178" s="17"/>
      <c r="P178" s="103"/>
      <c r="Q178" s="141"/>
      <c r="R178" s="320" t="str">
        <f t="shared" si="17"/>
        <v/>
      </c>
      <c r="S178" s="320" t="str">
        <f t="shared" si="18"/>
        <v/>
      </c>
      <c r="T178" s="320" t="str">
        <f t="shared" si="19"/>
        <v/>
      </c>
      <c r="U178" s="339" t="str">
        <f t="shared" si="20"/>
        <v/>
      </c>
      <c r="V178" s="100"/>
      <c r="W178" s="101"/>
      <c r="X178" s="101"/>
      <c r="AE178" s="105" t="str">
        <f t="shared" si="14"/>
        <v/>
      </c>
      <c r="AF178" s="105" t="str">
        <f t="shared" si="15"/>
        <v/>
      </c>
      <c r="AH178" s="105">
        <v>169</v>
      </c>
      <c r="AJ178" s="105" t="str">
        <f t="array" ref="AJ178">IFERROR(INDEX($AH$10:$AH$258, MATCH(0, IF(TRUE=$AE$10:$AE$258, COUNTIF($AJ$9:$AJ177, $AH$10:$AH$258), ""), 0)),"")</f>
        <v/>
      </c>
      <c r="AK178" s="105" t="str">
        <f t="array" ref="AK178">IFERROR(INDEX($AH$10:$AH$258, MATCH(0, IF(TRUE=$AF$10:$AF$258, COUNTIF($AK$9:$AK177, $AH$10:$AH$258), ""), 0)),"")</f>
        <v/>
      </c>
      <c r="AL178" s="15" t="str">
        <f>IFERROR(INDEX('G-6 Hedgerow Data'!$BJ$3:$BJ$15,MATCH(D178,'G-6 Hedgerow Data'!$B$3:$B$15,0)),"")</f>
        <v/>
      </c>
    </row>
    <row r="179" spans="2:38" x14ac:dyDescent="0.3">
      <c r="B179" s="92">
        <v>170</v>
      </c>
      <c r="C179" s="141"/>
      <c r="D179" s="141"/>
      <c r="E179" s="102"/>
      <c r="F179" s="335" t="str">
        <f>IF(D179="","",VLOOKUP(D179,'G-6 Hedgerow Data'!$B$2:$AG$15,2,FALSE))</f>
        <v/>
      </c>
      <c r="G179" s="291" t="str">
        <f>IF(D179="","",VLOOKUP(D179,'G-6 Hedgerow Data'!$B$2:$AG$15,3,FALSE))</f>
        <v/>
      </c>
      <c r="H179" s="95"/>
      <c r="I179" s="291" t="str">
        <f>IFERROR(IF(AND(D179&lt;&gt;"",H179=""),"Check data ⚠", IF(H179="","",IF(AND(D179="Non-native and ornamental hedgerow", H179&lt;&gt;"Poor"),"Not possible ▲", (VLOOKUP(H179,'G-1 All Habitats'!$Z$2:$AA$9,2,FALSE))))),"")</f>
        <v/>
      </c>
      <c r="J179" s="95"/>
      <c r="K179" s="298" t="str">
        <f>IF(AND(D179&lt;&gt;"",J179=""),"Check data ⚠", IF(J179="","",IF(VLOOKUP(J179,'G-3 Multipliers'!$L$3:$N$6,2,FALSE)=0,"Spatial Data Missing",VLOOKUP(J179,'G-3 Multipliers'!$L$3:$N$6,2,FALSE))))</f>
        <v/>
      </c>
      <c r="L179" s="296" t="str">
        <f>IF(J179="","",IF(VLOOKUP(J179,'G-3 Multipliers'!$L$3:$N$6,3,FALSE)=0,"Spatial Data Missing ⚠",VLOOKUP(J179,'G-3 Multipliers'!$L$3:$N$6,3,FALSE)))</f>
        <v/>
      </c>
      <c r="M179" s="297" t="str">
        <f>IF(D179="","",VLOOKUP(D179,'G-6 Hedgerow Data'!$B$1:$AH$15,33,FALSE))</f>
        <v/>
      </c>
      <c r="N179" s="304" t="str">
        <f t="shared" si="16"/>
        <v/>
      </c>
      <c r="O179" s="17"/>
      <c r="P179" s="103"/>
      <c r="Q179" s="141"/>
      <c r="R179" s="320" t="str">
        <f t="shared" si="17"/>
        <v/>
      </c>
      <c r="S179" s="320" t="str">
        <f t="shared" si="18"/>
        <v/>
      </c>
      <c r="T179" s="320" t="str">
        <f t="shared" si="19"/>
        <v/>
      </c>
      <c r="U179" s="339" t="str">
        <f t="shared" si="20"/>
        <v/>
      </c>
      <c r="V179" s="100"/>
      <c r="W179" s="101"/>
      <c r="X179" s="101"/>
      <c r="AE179" s="105" t="str">
        <f t="shared" si="14"/>
        <v/>
      </c>
      <c r="AF179" s="105" t="str">
        <f t="shared" si="15"/>
        <v/>
      </c>
      <c r="AH179" s="105">
        <v>170</v>
      </c>
      <c r="AJ179" s="105" t="str">
        <f t="array" ref="AJ179">IFERROR(INDEX($AH$10:$AH$258, MATCH(0, IF(TRUE=$AE$10:$AE$258, COUNTIF($AJ$9:$AJ178, $AH$10:$AH$258), ""), 0)),"")</f>
        <v/>
      </c>
      <c r="AK179" s="105" t="str">
        <f t="array" ref="AK179">IFERROR(INDEX($AH$10:$AH$258, MATCH(0, IF(TRUE=$AF$10:$AF$258, COUNTIF($AK$9:$AK178, $AH$10:$AH$258), ""), 0)),"")</f>
        <v/>
      </c>
      <c r="AL179" s="15" t="str">
        <f>IFERROR(INDEX('G-6 Hedgerow Data'!$BJ$3:$BJ$15,MATCH(D179,'G-6 Hedgerow Data'!$B$3:$B$15,0)),"")</f>
        <v/>
      </c>
    </row>
    <row r="180" spans="2:38" x14ac:dyDescent="0.3">
      <c r="B180" s="92">
        <v>171</v>
      </c>
      <c r="C180" s="141"/>
      <c r="D180" s="141"/>
      <c r="E180" s="102"/>
      <c r="F180" s="335" t="str">
        <f>IF(D180="","",VLOOKUP(D180,'G-6 Hedgerow Data'!$B$2:$AG$15,2,FALSE))</f>
        <v/>
      </c>
      <c r="G180" s="291" t="str">
        <f>IF(D180="","",VLOOKUP(D180,'G-6 Hedgerow Data'!$B$2:$AG$15,3,FALSE))</f>
        <v/>
      </c>
      <c r="H180" s="95"/>
      <c r="I180" s="291" t="str">
        <f>IFERROR(IF(AND(D180&lt;&gt;"",H180=""),"Check data ⚠", IF(H180="","",IF(AND(D180="Non-native and ornamental hedgerow", H180&lt;&gt;"Poor"),"Not possible ▲", (VLOOKUP(H180,'G-1 All Habitats'!$Z$2:$AA$9,2,FALSE))))),"")</f>
        <v/>
      </c>
      <c r="J180" s="95"/>
      <c r="K180" s="298" t="str">
        <f>IF(AND(D180&lt;&gt;"",J180=""),"Check data ⚠", IF(J180="","",IF(VLOOKUP(J180,'G-3 Multipliers'!$L$3:$N$6,2,FALSE)=0,"Spatial Data Missing",VLOOKUP(J180,'G-3 Multipliers'!$L$3:$N$6,2,FALSE))))</f>
        <v/>
      </c>
      <c r="L180" s="296" t="str">
        <f>IF(J180="","",IF(VLOOKUP(J180,'G-3 Multipliers'!$L$3:$N$6,3,FALSE)=0,"Spatial Data Missing ⚠",VLOOKUP(J180,'G-3 Multipliers'!$L$3:$N$6,3,FALSE)))</f>
        <v/>
      </c>
      <c r="M180" s="297" t="str">
        <f>IF(D180="","",VLOOKUP(D180,'G-6 Hedgerow Data'!$B$1:$AH$15,33,FALSE))</f>
        <v/>
      </c>
      <c r="N180" s="304" t="str">
        <f t="shared" si="16"/>
        <v/>
      </c>
      <c r="O180" s="17"/>
      <c r="P180" s="103"/>
      <c r="Q180" s="141"/>
      <c r="R180" s="320" t="str">
        <f t="shared" si="17"/>
        <v/>
      </c>
      <c r="S180" s="320" t="str">
        <f t="shared" si="18"/>
        <v/>
      </c>
      <c r="T180" s="320" t="str">
        <f t="shared" si="19"/>
        <v/>
      </c>
      <c r="U180" s="339" t="str">
        <f t="shared" si="20"/>
        <v/>
      </c>
      <c r="V180" s="100"/>
      <c r="W180" s="101"/>
      <c r="X180" s="101"/>
      <c r="AE180" s="105" t="str">
        <f t="shared" si="14"/>
        <v/>
      </c>
      <c r="AF180" s="105" t="str">
        <f t="shared" si="15"/>
        <v/>
      </c>
      <c r="AH180" s="105">
        <v>171</v>
      </c>
      <c r="AJ180" s="105" t="str">
        <f t="array" ref="AJ180">IFERROR(INDEX($AH$10:$AH$258, MATCH(0, IF(TRUE=$AE$10:$AE$258, COUNTIF($AJ$9:$AJ179, $AH$10:$AH$258), ""), 0)),"")</f>
        <v/>
      </c>
      <c r="AK180" s="105" t="str">
        <f t="array" ref="AK180">IFERROR(INDEX($AH$10:$AH$258, MATCH(0, IF(TRUE=$AF$10:$AF$258, COUNTIF($AK$9:$AK179, $AH$10:$AH$258), ""), 0)),"")</f>
        <v/>
      </c>
      <c r="AL180" s="15" t="str">
        <f>IFERROR(INDEX('G-6 Hedgerow Data'!$BJ$3:$BJ$15,MATCH(D180,'G-6 Hedgerow Data'!$B$3:$B$15,0)),"")</f>
        <v/>
      </c>
    </row>
    <row r="181" spans="2:38" x14ac:dyDescent="0.3">
      <c r="B181" s="92">
        <v>172</v>
      </c>
      <c r="C181" s="141"/>
      <c r="D181" s="141"/>
      <c r="E181" s="102"/>
      <c r="F181" s="335" t="str">
        <f>IF(D181="","",VLOOKUP(D181,'G-6 Hedgerow Data'!$B$2:$AG$15,2,FALSE))</f>
        <v/>
      </c>
      <c r="G181" s="291" t="str">
        <f>IF(D181="","",VLOOKUP(D181,'G-6 Hedgerow Data'!$B$2:$AG$15,3,FALSE))</f>
        <v/>
      </c>
      <c r="H181" s="95"/>
      <c r="I181" s="291" t="str">
        <f>IFERROR(IF(AND(D181&lt;&gt;"",H181=""),"Check data ⚠", IF(H181="","",IF(AND(D181="Non-native and ornamental hedgerow", H181&lt;&gt;"Poor"),"Not possible ▲", (VLOOKUP(H181,'G-1 All Habitats'!$Z$2:$AA$9,2,FALSE))))),"")</f>
        <v/>
      </c>
      <c r="J181" s="95"/>
      <c r="K181" s="298" t="str">
        <f>IF(AND(D181&lt;&gt;"",J181=""),"Check data ⚠", IF(J181="","",IF(VLOOKUP(J181,'G-3 Multipliers'!$L$3:$N$6,2,FALSE)=0,"Spatial Data Missing",VLOOKUP(J181,'G-3 Multipliers'!$L$3:$N$6,2,FALSE))))</f>
        <v/>
      </c>
      <c r="L181" s="296" t="str">
        <f>IF(J181="","",IF(VLOOKUP(J181,'G-3 Multipliers'!$L$3:$N$6,3,FALSE)=0,"Spatial Data Missing ⚠",VLOOKUP(J181,'G-3 Multipliers'!$L$3:$N$6,3,FALSE)))</f>
        <v/>
      </c>
      <c r="M181" s="297" t="str">
        <f>IF(D181="","",VLOOKUP(D181,'G-6 Hedgerow Data'!$B$1:$AH$15,33,FALSE))</f>
        <v/>
      </c>
      <c r="N181" s="304" t="str">
        <f t="shared" si="16"/>
        <v/>
      </c>
      <c r="O181" s="17"/>
      <c r="P181" s="103"/>
      <c r="Q181" s="141"/>
      <c r="R181" s="320" t="str">
        <f t="shared" si="17"/>
        <v/>
      </c>
      <c r="S181" s="320" t="str">
        <f t="shared" si="18"/>
        <v/>
      </c>
      <c r="T181" s="320" t="str">
        <f t="shared" si="19"/>
        <v/>
      </c>
      <c r="U181" s="339" t="str">
        <f t="shared" si="20"/>
        <v/>
      </c>
      <c r="V181" s="100"/>
      <c r="W181" s="101"/>
      <c r="X181" s="101"/>
      <c r="AE181" s="105" t="str">
        <f t="shared" si="14"/>
        <v/>
      </c>
      <c r="AF181" s="105" t="str">
        <f t="shared" si="15"/>
        <v/>
      </c>
      <c r="AH181" s="105">
        <v>172</v>
      </c>
      <c r="AJ181" s="105" t="str">
        <f t="array" ref="AJ181">IFERROR(INDEX($AH$10:$AH$258, MATCH(0, IF(TRUE=$AE$10:$AE$258, COUNTIF($AJ$9:$AJ180, $AH$10:$AH$258), ""), 0)),"")</f>
        <v/>
      </c>
      <c r="AK181" s="105" t="str">
        <f t="array" ref="AK181">IFERROR(INDEX($AH$10:$AH$258, MATCH(0, IF(TRUE=$AF$10:$AF$258, COUNTIF($AK$9:$AK180, $AH$10:$AH$258), ""), 0)),"")</f>
        <v/>
      </c>
      <c r="AL181" s="15" t="str">
        <f>IFERROR(INDEX('G-6 Hedgerow Data'!$BJ$3:$BJ$15,MATCH(D181,'G-6 Hedgerow Data'!$B$3:$B$15,0)),"")</f>
        <v/>
      </c>
    </row>
    <row r="182" spans="2:38" x14ac:dyDescent="0.3">
      <c r="B182" s="92">
        <v>173</v>
      </c>
      <c r="C182" s="141"/>
      <c r="D182" s="141"/>
      <c r="E182" s="102"/>
      <c r="F182" s="335" t="str">
        <f>IF(D182="","",VLOOKUP(D182,'G-6 Hedgerow Data'!$B$2:$AG$15,2,FALSE))</f>
        <v/>
      </c>
      <c r="G182" s="291" t="str">
        <f>IF(D182="","",VLOOKUP(D182,'G-6 Hedgerow Data'!$B$2:$AG$15,3,FALSE))</f>
        <v/>
      </c>
      <c r="H182" s="95"/>
      <c r="I182" s="291" t="str">
        <f>IFERROR(IF(AND(D182&lt;&gt;"",H182=""),"Check data ⚠", IF(H182="","",IF(AND(D182="Non-native and ornamental hedgerow", H182&lt;&gt;"Poor"),"Not possible ▲", (VLOOKUP(H182,'G-1 All Habitats'!$Z$2:$AA$9,2,FALSE))))),"")</f>
        <v/>
      </c>
      <c r="J182" s="95"/>
      <c r="K182" s="298" t="str">
        <f>IF(AND(D182&lt;&gt;"",J182=""),"Check data ⚠", IF(J182="","",IF(VLOOKUP(J182,'G-3 Multipliers'!$L$3:$N$6,2,FALSE)=0,"Spatial Data Missing",VLOOKUP(J182,'G-3 Multipliers'!$L$3:$N$6,2,FALSE))))</f>
        <v/>
      </c>
      <c r="L182" s="296" t="str">
        <f>IF(J182="","",IF(VLOOKUP(J182,'G-3 Multipliers'!$L$3:$N$6,3,FALSE)=0,"Spatial Data Missing ⚠",VLOOKUP(J182,'G-3 Multipliers'!$L$3:$N$6,3,FALSE)))</f>
        <v/>
      </c>
      <c r="M182" s="297" t="str">
        <f>IF(D182="","",VLOOKUP(D182,'G-6 Hedgerow Data'!$B$1:$AH$15,33,FALSE))</f>
        <v/>
      </c>
      <c r="N182" s="304" t="str">
        <f t="shared" si="16"/>
        <v/>
      </c>
      <c r="O182" s="17"/>
      <c r="P182" s="103"/>
      <c r="Q182" s="141"/>
      <c r="R182" s="320" t="str">
        <f t="shared" si="17"/>
        <v/>
      </c>
      <c r="S182" s="320" t="str">
        <f t="shared" si="18"/>
        <v/>
      </c>
      <c r="T182" s="320" t="str">
        <f t="shared" si="19"/>
        <v/>
      </c>
      <c r="U182" s="339" t="str">
        <f t="shared" si="20"/>
        <v/>
      </c>
      <c r="V182" s="100"/>
      <c r="W182" s="101"/>
      <c r="X182" s="101"/>
      <c r="AE182" s="105" t="str">
        <f t="shared" si="14"/>
        <v/>
      </c>
      <c r="AF182" s="105" t="str">
        <f t="shared" si="15"/>
        <v/>
      </c>
      <c r="AH182" s="105">
        <v>173</v>
      </c>
      <c r="AJ182" s="105" t="str">
        <f t="array" ref="AJ182">IFERROR(INDEX($AH$10:$AH$258, MATCH(0, IF(TRUE=$AE$10:$AE$258, COUNTIF($AJ$9:$AJ181, $AH$10:$AH$258), ""), 0)),"")</f>
        <v/>
      </c>
      <c r="AK182" s="105" t="str">
        <f t="array" ref="AK182">IFERROR(INDEX($AH$10:$AH$258, MATCH(0, IF(TRUE=$AF$10:$AF$258, COUNTIF($AK$9:$AK181, $AH$10:$AH$258), ""), 0)),"")</f>
        <v/>
      </c>
      <c r="AL182" s="15" t="str">
        <f>IFERROR(INDEX('G-6 Hedgerow Data'!$BJ$3:$BJ$15,MATCH(D182,'G-6 Hedgerow Data'!$B$3:$B$15,0)),"")</f>
        <v/>
      </c>
    </row>
    <row r="183" spans="2:38" x14ac:dyDescent="0.3">
      <c r="B183" s="92">
        <v>174</v>
      </c>
      <c r="C183" s="141"/>
      <c r="D183" s="141"/>
      <c r="E183" s="102"/>
      <c r="F183" s="335" t="str">
        <f>IF(D183="","",VLOOKUP(D183,'G-6 Hedgerow Data'!$B$2:$AG$15,2,FALSE))</f>
        <v/>
      </c>
      <c r="G183" s="291" t="str">
        <f>IF(D183="","",VLOOKUP(D183,'G-6 Hedgerow Data'!$B$2:$AG$15,3,FALSE))</f>
        <v/>
      </c>
      <c r="H183" s="95"/>
      <c r="I183" s="291" t="str">
        <f>IFERROR(IF(AND(D183&lt;&gt;"",H183=""),"Check data ⚠", IF(H183="","",IF(AND(D183="Non-native and ornamental hedgerow", H183&lt;&gt;"Poor"),"Not possible ▲", (VLOOKUP(H183,'G-1 All Habitats'!$Z$2:$AA$9,2,FALSE))))),"")</f>
        <v/>
      </c>
      <c r="J183" s="95"/>
      <c r="K183" s="298" t="str">
        <f>IF(AND(D183&lt;&gt;"",J183=""),"Check data ⚠", IF(J183="","",IF(VLOOKUP(J183,'G-3 Multipliers'!$L$3:$N$6,2,FALSE)=0,"Spatial Data Missing",VLOOKUP(J183,'G-3 Multipliers'!$L$3:$N$6,2,FALSE))))</f>
        <v/>
      </c>
      <c r="L183" s="296" t="str">
        <f>IF(J183="","",IF(VLOOKUP(J183,'G-3 Multipliers'!$L$3:$N$6,3,FALSE)=0,"Spatial Data Missing ⚠",VLOOKUP(J183,'G-3 Multipliers'!$L$3:$N$6,3,FALSE)))</f>
        <v/>
      </c>
      <c r="M183" s="297" t="str">
        <f>IF(D183="","",VLOOKUP(D183,'G-6 Hedgerow Data'!$B$1:$AH$15,33,FALSE))</f>
        <v/>
      </c>
      <c r="N183" s="304" t="str">
        <f t="shared" si="16"/>
        <v/>
      </c>
      <c r="O183" s="17"/>
      <c r="P183" s="103"/>
      <c r="Q183" s="141"/>
      <c r="R183" s="320" t="str">
        <f t="shared" si="17"/>
        <v/>
      </c>
      <c r="S183" s="320" t="str">
        <f t="shared" si="18"/>
        <v/>
      </c>
      <c r="T183" s="320" t="str">
        <f t="shared" si="19"/>
        <v/>
      </c>
      <c r="U183" s="339" t="str">
        <f t="shared" si="20"/>
        <v/>
      </c>
      <c r="V183" s="100"/>
      <c r="W183" s="101"/>
      <c r="X183" s="101"/>
      <c r="AE183" s="105" t="str">
        <f t="shared" si="14"/>
        <v/>
      </c>
      <c r="AF183" s="105" t="str">
        <f t="shared" si="15"/>
        <v/>
      </c>
      <c r="AH183" s="105">
        <v>174</v>
      </c>
      <c r="AJ183" s="105" t="str">
        <f t="array" ref="AJ183">IFERROR(INDEX($AH$10:$AH$258, MATCH(0, IF(TRUE=$AE$10:$AE$258, COUNTIF($AJ$9:$AJ182, $AH$10:$AH$258), ""), 0)),"")</f>
        <v/>
      </c>
      <c r="AK183" s="105" t="str">
        <f t="array" ref="AK183">IFERROR(INDEX($AH$10:$AH$258, MATCH(0, IF(TRUE=$AF$10:$AF$258, COUNTIF($AK$9:$AK182, $AH$10:$AH$258), ""), 0)),"")</f>
        <v/>
      </c>
      <c r="AL183" s="15" t="str">
        <f>IFERROR(INDEX('G-6 Hedgerow Data'!$BJ$3:$BJ$15,MATCH(D183,'G-6 Hedgerow Data'!$B$3:$B$15,0)),"")</f>
        <v/>
      </c>
    </row>
    <row r="184" spans="2:38" x14ac:dyDescent="0.3">
      <c r="B184" s="92">
        <v>175</v>
      </c>
      <c r="C184" s="141"/>
      <c r="D184" s="141"/>
      <c r="E184" s="102"/>
      <c r="F184" s="335" t="str">
        <f>IF(D184="","",VLOOKUP(D184,'G-6 Hedgerow Data'!$B$2:$AG$15,2,FALSE))</f>
        <v/>
      </c>
      <c r="G184" s="291" t="str">
        <f>IF(D184="","",VLOOKUP(D184,'G-6 Hedgerow Data'!$B$2:$AG$15,3,FALSE))</f>
        <v/>
      </c>
      <c r="H184" s="95"/>
      <c r="I184" s="291" t="str">
        <f>IFERROR(IF(AND(D184&lt;&gt;"",H184=""),"Check data ⚠", IF(H184="","",IF(AND(D184="Non-native and ornamental hedgerow", H184&lt;&gt;"Poor"),"Not possible ▲", (VLOOKUP(H184,'G-1 All Habitats'!$Z$2:$AA$9,2,FALSE))))),"")</f>
        <v/>
      </c>
      <c r="J184" s="95"/>
      <c r="K184" s="298" t="str">
        <f>IF(AND(D184&lt;&gt;"",J184=""),"Check data ⚠", IF(J184="","",IF(VLOOKUP(J184,'G-3 Multipliers'!$L$3:$N$6,2,FALSE)=0,"Spatial Data Missing",VLOOKUP(J184,'G-3 Multipliers'!$L$3:$N$6,2,FALSE))))</f>
        <v/>
      </c>
      <c r="L184" s="296" t="str">
        <f>IF(J184="","",IF(VLOOKUP(J184,'G-3 Multipliers'!$L$3:$N$6,3,FALSE)=0,"Spatial Data Missing ⚠",VLOOKUP(J184,'G-3 Multipliers'!$L$3:$N$6,3,FALSE)))</f>
        <v/>
      </c>
      <c r="M184" s="297" t="str">
        <f>IF(D184="","",VLOOKUP(D184,'G-6 Hedgerow Data'!$B$1:$AH$15,33,FALSE))</f>
        <v/>
      </c>
      <c r="N184" s="304" t="str">
        <f t="shared" si="16"/>
        <v/>
      </c>
      <c r="O184" s="17"/>
      <c r="P184" s="103"/>
      <c r="Q184" s="141"/>
      <c r="R184" s="320" t="str">
        <f t="shared" si="17"/>
        <v/>
      </c>
      <c r="S184" s="320" t="str">
        <f t="shared" si="18"/>
        <v/>
      </c>
      <c r="T184" s="320" t="str">
        <f t="shared" si="19"/>
        <v/>
      </c>
      <c r="U184" s="339" t="str">
        <f t="shared" si="20"/>
        <v/>
      </c>
      <c r="V184" s="100"/>
      <c r="W184" s="101"/>
      <c r="X184" s="101"/>
      <c r="AE184" s="105" t="str">
        <f t="shared" si="14"/>
        <v/>
      </c>
      <c r="AF184" s="105" t="str">
        <f t="shared" si="15"/>
        <v/>
      </c>
      <c r="AH184" s="105">
        <v>175</v>
      </c>
      <c r="AJ184" s="105" t="str">
        <f t="array" ref="AJ184">IFERROR(INDEX($AH$10:$AH$258, MATCH(0, IF(TRUE=$AE$10:$AE$258, COUNTIF($AJ$9:$AJ183, $AH$10:$AH$258), ""), 0)),"")</f>
        <v/>
      </c>
      <c r="AK184" s="105" t="str">
        <f t="array" ref="AK184">IFERROR(INDEX($AH$10:$AH$258, MATCH(0, IF(TRUE=$AF$10:$AF$258, COUNTIF($AK$9:$AK183, $AH$10:$AH$258), ""), 0)),"")</f>
        <v/>
      </c>
      <c r="AL184" s="15" t="str">
        <f>IFERROR(INDEX('G-6 Hedgerow Data'!$BJ$3:$BJ$15,MATCH(D184,'G-6 Hedgerow Data'!$B$3:$B$15,0)),"")</f>
        <v/>
      </c>
    </row>
    <row r="185" spans="2:38" x14ac:dyDescent="0.3">
      <c r="B185" s="92">
        <v>176</v>
      </c>
      <c r="C185" s="141"/>
      <c r="D185" s="141"/>
      <c r="E185" s="102"/>
      <c r="F185" s="335" t="str">
        <f>IF(D185="","",VLOOKUP(D185,'G-6 Hedgerow Data'!$B$2:$AG$15,2,FALSE))</f>
        <v/>
      </c>
      <c r="G185" s="291" t="str">
        <f>IF(D185="","",VLOOKUP(D185,'G-6 Hedgerow Data'!$B$2:$AG$15,3,FALSE))</f>
        <v/>
      </c>
      <c r="H185" s="95"/>
      <c r="I185" s="291" t="str">
        <f>IFERROR(IF(AND(D185&lt;&gt;"",H185=""),"Check data ⚠", IF(H185="","",IF(AND(D185="Non-native and ornamental hedgerow", H185&lt;&gt;"Poor"),"Not possible ▲", (VLOOKUP(H185,'G-1 All Habitats'!$Z$2:$AA$9,2,FALSE))))),"")</f>
        <v/>
      </c>
      <c r="J185" s="95"/>
      <c r="K185" s="298" t="str">
        <f>IF(AND(D185&lt;&gt;"",J185=""),"Check data ⚠", IF(J185="","",IF(VLOOKUP(J185,'G-3 Multipliers'!$L$3:$N$6,2,FALSE)=0,"Spatial Data Missing",VLOOKUP(J185,'G-3 Multipliers'!$L$3:$N$6,2,FALSE))))</f>
        <v/>
      </c>
      <c r="L185" s="296" t="str">
        <f>IF(J185="","",IF(VLOOKUP(J185,'G-3 Multipliers'!$L$3:$N$6,3,FALSE)=0,"Spatial Data Missing ⚠",VLOOKUP(J185,'G-3 Multipliers'!$L$3:$N$6,3,FALSE)))</f>
        <v/>
      </c>
      <c r="M185" s="297" t="str">
        <f>IF(D185="","",VLOOKUP(D185,'G-6 Hedgerow Data'!$B$1:$AH$15,33,FALSE))</f>
        <v/>
      </c>
      <c r="N185" s="304" t="str">
        <f t="shared" si="16"/>
        <v/>
      </c>
      <c r="O185" s="17"/>
      <c r="P185" s="103"/>
      <c r="Q185" s="141"/>
      <c r="R185" s="320" t="str">
        <f t="shared" si="17"/>
        <v/>
      </c>
      <c r="S185" s="320" t="str">
        <f t="shared" si="18"/>
        <v/>
      </c>
      <c r="T185" s="320" t="str">
        <f t="shared" si="19"/>
        <v/>
      </c>
      <c r="U185" s="339" t="str">
        <f t="shared" si="20"/>
        <v/>
      </c>
      <c r="V185" s="100"/>
      <c r="W185" s="101"/>
      <c r="X185" s="101"/>
      <c r="AE185" s="105" t="str">
        <f t="shared" si="14"/>
        <v/>
      </c>
      <c r="AF185" s="105" t="str">
        <f t="shared" si="15"/>
        <v/>
      </c>
      <c r="AH185" s="105">
        <v>176</v>
      </c>
      <c r="AJ185" s="105" t="str">
        <f t="array" ref="AJ185">IFERROR(INDEX($AH$10:$AH$258, MATCH(0, IF(TRUE=$AE$10:$AE$258, COUNTIF($AJ$9:$AJ184, $AH$10:$AH$258), ""), 0)),"")</f>
        <v/>
      </c>
      <c r="AK185" s="105" t="str">
        <f t="array" ref="AK185">IFERROR(INDEX($AH$10:$AH$258, MATCH(0, IF(TRUE=$AF$10:$AF$258, COUNTIF($AK$9:$AK184, $AH$10:$AH$258), ""), 0)),"")</f>
        <v/>
      </c>
      <c r="AL185" s="15" t="str">
        <f>IFERROR(INDEX('G-6 Hedgerow Data'!$BJ$3:$BJ$15,MATCH(D185,'G-6 Hedgerow Data'!$B$3:$B$15,0)),"")</f>
        <v/>
      </c>
    </row>
    <row r="186" spans="2:38" x14ac:dyDescent="0.3">
      <c r="B186" s="92">
        <v>177</v>
      </c>
      <c r="C186" s="141"/>
      <c r="D186" s="141"/>
      <c r="E186" s="102"/>
      <c r="F186" s="335" t="str">
        <f>IF(D186="","",VLOOKUP(D186,'G-6 Hedgerow Data'!$B$2:$AG$15,2,FALSE))</f>
        <v/>
      </c>
      <c r="G186" s="291" t="str">
        <f>IF(D186="","",VLOOKUP(D186,'G-6 Hedgerow Data'!$B$2:$AG$15,3,FALSE))</f>
        <v/>
      </c>
      <c r="H186" s="95"/>
      <c r="I186" s="291" t="str">
        <f>IFERROR(IF(AND(D186&lt;&gt;"",H186=""),"Check data ⚠", IF(H186="","",IF(AND(D186="Non-native and ornamental hedgerow", H186&lt;&gt;"Poor"),"Not possible ▲", (VLOOKUP(H186,'G-1 All Habitats'!$Z$2:$AA$9,2,FALSE))))),"")</f>
        <v/>
      </c>
      <c r="J186" s="95"/>
      <c r="K186" s="298" t="str">
        <f>IF(AND(D186&lt;&gt;"",J186=""),"Check data ⚠", IF(J186="","",IF(VLOOKUP(J186,'G-3 Multipliers'!$L$3:$N$6,2,FALSE)=0,"Spatial Data Missing",VLOOKUP(J186,'G-3 Multipliers'!$L$3:$N$6,2,FALSE))))</f>
        <v/>
      </c>
      <c r="L186" s="296" t="str">
        <f>IF(J186="","",IF(VLOOKUP(J186,'G-3 Multipliers'!$L$3:$N$6,3,FALSE)=0,"Spatial Data Missing ⚠",VLOOKUP(J186,'G-3 Multipliers'!$L$3:$N$6,3,FALSE)))</f>
        <v/>
      </c>
      <c r="M186" s="297" t="str">
        <f>IF(D186="","",VLOOKUP(D186,'G-6 Hedgerow Data'!$B$1:$AH$15,33,FALSE))</f>
        <v/>
      </c>
      <c r="N186" s="304" t="str">
        <f t="shared" si="16"/>
        <v/>
      </c>
      <c r="O186" s="17"/>
      <c r="P186" s="103"/>
      <c r="Q186" s="141"/>
      <c r="R186" s="320" t="str">
        <f t="shared" si="17"/>
        <v/>
      </c>
      <c r="S186" s="320" t="str">
        <f t="shared" si="18"/>
        <v/>
      </c>
      <c r="T186" s="320" t="str">
        <f t="shared" si="19"/>
        <v/>
      </c>
      <c r="U186" s="339" t="str">
        <f t="shared" si="20"/>
        <v/>
      </c>
      <c r="V186" s="100"/>
      <c r="W186" s="101"/>
      <c r="X186" s="101"/>
      <c r="AE186" s="105" t="str">
        <f t="shared" si="14"/>
        <v/>
      </c>
      <c r="AF186" s="105" t="str">
        <f t="shared" si="15"/>
        <v/>
      </c>
      <c r="AH186" s="105">
        <v>177</v>
      </c>
      <c r="AJ186" s="105" t="str">
        <f t="array" ref="AJ186">IFERROR(INDEX($AH$10:$AH$258, MATCH(0, IF(TRUE=$AE$10:$AE$258, COUNTIF($AJ$9:$AJ185, $AH$10:$AH$258), ""), 0)),"")</f>
        <v/>
      </c>
      <c r="AK186" s="105" t="str">
        <f t="array" ref="AK186">IFERROR(INDEX($AH$10:$AH$258, MATCH(0, IF(TRUE=$AF$10:$AF$258, COUNTIF($AK$9:$AK185, $AH$10:$AH$258), ""), 0)),"")</f>
        <v/>
      </c>
      <c r="AL186" s="15" t="str">
        <f>IFERROR(INDEX('G-6 Hedgerow Data'!$BJ$3:$BJ$15,MATCH(D186,'G-6 Hedgerow Data'!$B$3:$B$15,0)),"")</f>
        <v/>
      </c>
    </row>
    <row r="187" spans="2:38" x14ac:dyDescent="0.3">
      <c r="B187" s="92">
        <v>178</v>
      </c>
      <c r="C187" s="141"/>
      <c r="D187" s="141"/>
      <c r="E187" s="102"/>
      <c r="F187" s="335" t="str">
        <f>IF(D187="","",VLOOKUP(D187,'G-6 Hedgerow Data'!$B$2:$AG$15,2,FALSE))</f>
        <v/>
      </c>
      <c r="G187" s="291" t="str">
        <f>IF(D187="","",VLOOKUP(D187,'G-6 Hedgerow Data'!$B$2:$AG$15,3,FALSE))</f>
        <v/>
      </c>
      <c r="H187" s="95"/>
      <c r="I187" s="291" t="str">
        <f>IFERROR(IF(AND(D187&lt;&gt;"",H187=""),"Check data ⚠", IF(H187="","",IF(AND(D187="Non-native and ornamental hedgerow", H187&lt;&gt;"Poor"),"Not possible ▲", (VLOOKUP(H187,'G-1 All Habitats'!$Z$2:$AA$9,2,FALSE))))),"")</f>
        <v/>
      </c>
      <c r="J187" s="95"/>
      <c r="K187" s="298" t="str">
        <f>IF(AND(D187&lt;&gt;"",J187=""),"Check data ⚠", IF(J187="","",IF(VLOOKUP(J187,'G-3 Multipliers'!$L$3:$N$6,2,FALSE)=0,"Spatial Data Missing",VLOOKUP(J187,'G-3 Multipliers'!$L$3:$N$6,2,FALSE))))</f>
        <v/>
      </c>
      <c r="L187" s="296" t="str">
        <f>IF(J187="","",IF(VLOOKUP(J187,'G-3 Multipliers'!$L$3:$N$6,3,FALSE)=0,"Spatial Data Missing ⚠",VLOOKUP(J187,'G-3 Multipliers'!$L$3:$N$6,3,FALSE)))</f>
        <v/>
      </c>
      <c r="M187" s="297" t="str">
        <f>IF(D187="","",VLOOKUP(D187,'G-6 Hedgerow Data'!$B$1:$AH$15,33,FALSE))</f>
        <v/>
      </c>
      <c r="N187" s="304" t="str">
        <f t="shared" si="16"/>
        <v/>
      </c>
      <c r="O187" s="17"/>
      <c r="P187" s="103"/>
      <c r="Q187" s="141"/>
      <c r="R187" s="320" t="str">
        <f t="shared" si="17"/>
        <v/>
      </c>
      <c r="S187" s="320" t="str">
        <f t="shared" si="18"/>
        <v/>
      </c>
      <c r="T187" s="320" t="str">
        <f t="shared" si="19"/>
        <v/>
      </c>
      <c r="U187" s="339" t="str">
        <f t="shared" si="20"/>
        <v/>
      </c>
      <c r="V187" s="100"/>
      <c r="W187" s="101"/>
      <c r="X187" s="101"/>
      <c r="AE187" s="105" t="str">
        <f t="shared" si="14"/>
        <v/>
      </c>
      <c r="AF187" s="105" t="str">
        <f t="shared" si="15"/>
        <v/>
      </c>
      <c r="AH187" s="105">
        <v>178</v>
      </c>
      <c r="AJ187" s="105" t="str">
        <f t="array" ref="AJ187">IFERROR(INDEX($AH$10:$AH$258, MATCH(0, IF(TRUE=$AE$10:$AE$258, COUNTIF($AJ$9:$AJ186, $AH$10:$AH$258), ""), 0)),"")</f>
        <v/>
      </c>
      <c r="AK187" s="105" t="str">
        <f t="array" ref="AK187">IFERROR(INDEX($AH$10:$AH$258, MATCH(0, IF(TRUE=$AF$10:$AF$258, COUNTIF($AK$9:$AK186, $AH$10:$AH$258), ""), 0)),"")</f>
        <v/>
      </c>
      <c r="AL187" s="15" t="str">
        <f>IFERROR(INDEX('G-6 Hedgerow Data'!$BJ$3:$BJ$15,MATCH(D187,'G-6 Hedgerow Data'!$B$3:$B$15,0)),"")</f>
        <v/>
      </c>
    </row>
    <row r="188" spans="2:38" x14ac:dyDescent="0.3">
      <c r="B188" s="92">
        <v>179</v>
      </c>
      <c r="C188" s="141"/>
      <c r="D188" s="141"/>
      <c r="E188" s="102"/>
      <c r="F188" s="335" t="str">
        <f>IF(D188="","",VLOOKUP(D188,'G-6 Hedgerow Data'!$B$2:$AG$15,2,FALSE))</f>
        <v/>
      </c>
      <c r="G188" s="291" t="str">
        <f>IF(D188="","",VLOOKUP(D188,'G-6 Hedgerow Data'!$B$2:$AG$15,3,FALSE))</f>
        <v/>
      </c>
      <c r="H188" s="95"/>
      <c r="I188" s="291" t="str">
        <f>IFERROR(IF(AND(D188&lt;&gt;"",H188=""),"Check data ⚠", IF(H188="","",IF(AND(D188="Non-native and ornamental hedgerow", H188&lt;&gt;"Poor"),"Not possible ▲", (VLOOKUP(H188,'G-1 All Habitats'!$Z$2:$AA$9,2,FALSE))))),"")</f>
        <v/>
      </c>
      <c r="J188" s="95"/>
      <c r="K188" s="298" t="str">
        <f>IF(AND(D188&lt;&gt;"",J188=""),"Check data ⚠", IF(J188="","",IF(VLOOKUP(J188,'G-3 Multipliers'!$L$3:$N$6,2,FALSE)=0,"Spatial Data Missing",VLOOKUP(J188,'G-3 Multipliers'!$L$3:$N$6,2,FALSE))))</f>
        <v/>
      </c>
      <c r="L188" s="296" t="str">
        <f>IF(J188="","",IF(VLOOKUP(J188,'G-3 Multipliers'!$L$3:$N$6,3,FALSE)=0,"Spatial Data Missing ⚠",VLOOKUP(J188,'G-3 Multipliers'!$L$3:$N$6,3,FALSE)))</f>
        <v/>
      </c>
      <c r="M188" s="297" t="str">
        <f>IF(D188="","",VLOOKUP(D188,'G-6 Hedgerow Data'!$B$1:$AH$15,33,FALSE))</f>
        <v/>
      </c>
      <c r="N188" s="304" t="str">
        <f t="shared" si="16"/>
        <v/>
      </c>
      <c r="O188" s="17"/>
      <c r="P188" s="103"/>
      <c r="Q188" s="141"/>
      <c r="R188" s="320" t="str">
        <f t="shared" si="17"/>
        <v/>
      </c>
      <c r="S188" s="320" t="str">
        <f t="shared" si="18"/>
        <v/>
      </c>
      <c r="T188" s="320" t="str">
        <f t="shared" si="19"/>
        <v/>
      </c>
      <c r="U188" s="339" t="str">
        <f t="shared" si="20"/>
        <v/>
      </c>
      <c r="V188" s="100"/>
      <c r="W188" s="101"/>
      <c r="X188" s="101"/>
      <c r="AE188" s="105" t="str">
        <f t="shared" si="14"/>
        <v/>
      </c>
      <c r="AF188" s="105" t="str">
        <f t="shared" si="15"/>
        <v/>
      </c>
      <c r="AH188" s="105">
        <v>179</v>
      </c>
      <c r="AJ188" s="105" t="str">
        <f t="array" ref="AJ188">IFERROR(INDEX($AH$10:$AH$258, MATCH(0, IF(TRUE=$AE$10:$AE$258, COUNTIF($AJ$9:$AJ187, $AH$10:$AH$258), ""), 0)),"")</f>
        <v/>
      </c>
      <c r="AK188" s="105" t="str">
        <f t="array" ref="AK188">IFERROR(INDEX($AH$10:$AH$258, MATCH(0, IF(TRUE=$AF$10:$AF$258, COUNTIF($AK$9:$AK187, $AH$10:$AH$258), ""), 0)),"")</f>
        <v/>
      </c>
      <c r="AL188" s="15" t="str">
        <f>IFERROR(INDEX('G-6 Hedgerow Data'!$BJ$3:$BJ$15,MATCH(D188,'G-6 Hedgerow Data'!$B$3:$B$15,0)),"")</f>
        <v/>
      </c>
    </row>
    <row r="189" spans="2:38" x14ac:dyDescent="0.3">
      <c r="B189" s="92">
        <v>180</v>
      </c>
      <c r="C189" s="141"/>
      <c r="D189" s="141"/>
      <c r="E189" s="102"/>
      <c r="F189" s="335" t="str">
        <f>IF(D189="","",VLOOKUP(D189,'G-6 Hedgerow Data'!$B$2:$AG$15,2,FALSE))</f>
        <v/>
      </c>
      <c r="G189" s="291" t="str">
        <f>IF(D189="","",VLOOKUP(D189,'G-6 Hedgerow Data'!$B$2:$AG$15,3,FALSE))</f>
        <v/>
      </c>
      <c r="H189" s="95"/>
      <c r="I189" s="291" t="str">
        <f>IFERROR(IF(AND(D189&lt;&gt;"",H189=""),"Check data ⚠", IF(H189="","",IF(AND(D189="Non-native and ornamental hedgerow", H189&lt;&gt;"Poor"),"Not possible ▲", (VLOOKUP(H189,'G-1 All Habitats'!$Z$2:$AA$9,2,FALSE))))),"")</f>
        <v/>
      </c>
      <c r="J189" s="95"/>
      <c r="K189" s="298" t="str">
        <f>IF(AND(D189&lt;&gt;"",J189=""),"Check data ⚠", IF(J189="","",IF(VLOOKUP(J189,'G-3 Multipliers'!$L$3:$N$6,2,FALSE)=0,"Spatial Data Missing",VLOOKUP(J189,'G-3 Multipliers'!$L$3:$N$6,2,FALSE))))</f>
        <v/>
      </c>
      <c r="L189" s="296" t="str">
        <f>IF(J189="","",IF(VLOOKUP(J189,'G-3 Multipliers'!$L$3:$N$6,3,FALSE)=0,"Spatial Data Missing ⚠",VLOOKUP(J189,'G-3 Multipliers'!$L$3:$N$6,3,FALSE)))</f>
        <v/>
      </c>
      <c r="M189" s="297" t="str">
        <f>IF(D189="","",VLOOKUP(D189,'G-6 Hedgerow Data'!$B$1:$AH$15,33,FALSE))</f>
        <v/>
      </c>
      <c r="N189" s="304" t="str">
        <f t="shared" si="16"/>
        <v/>
      </c>
      <c r="O189" s="17"/>
      <c r="P189" s="103"/>
      <c r="Q189" s="141"/>
      <c r="R189" s="320" t="str">
        <f t="shared" si="17"/>
        <v/>
      </c>
      <c r="S189" s="320" t="str">
        <f t="shared" si="18"/>
        <v/>
      </c>
      <c r="T189" s="320" t="str">
        <f t="shared" si="19"/>
        <v/>
      </c>
      <c r="U189" s="339" t="str">
        <f t="shared" si="20"/>
        <v/>
      </c>
      <c r="V189" s="100"/>
      <c r="W189" s="101"/>
      <c r="X189" s="101"/>
      <c r="AE189" s="105" t="str">
        <f t="shared" si="14"/>
        <v/>
      </c>
      <c r="AF189" s="105" t="str">
        <f t="shared" si="15"/>
        <v/>
      </c>
      <c r="AH189" s="105">
        <v>180</v>
      </c>
      <c r="AJ189" s="105" t="str">
        <f t="array" ref="AJ189">IFERROR(INDEX($AH$10:$AH$258, MATCH(0, IF(TRUE=$AE$10:$AE$258, COUNTIF($AJ$9:$AJ188, $AH$10:$AH$258), ""), 0)),"")</f>
        <v/>
      </c>
      <c r="AK189" s="105" t="str">
        <f t="array" ref="AK189">IFERROR(INDEX($AH$10:$AH$258, MATCH(0, IF(TRUE=$AF$10:$AF$258, COUNTIF($AK$9:$AK188, $AH$10:$AH$258), ""), 0)),"")</f>
        <v/>
      </c>
      <c r="AL189" s="15" t="str">
        <f>IFERROR(INDEX('G-6 Hedgerow Data'!$BJ$3:$BJ$15,MATCH(D189,'G-6 Hedgerow Data'!$B$3:$B$15,0)),"")</f>
        <v/>
      </c>
    </row>
    <row r="190" spans="2:38" x14ac:dyDescent="0.3">
      <c r="B190" s="92">
        <v>181</v>
      </c>
      <c r="C190" s="141"/>
      <c r="D190" s="141"/>
      <c r="E190" s="102"/>
      <c r="F190" s="335" t="str">
        <f>IF(D190="","",VLOOKUP(D190,'G-6 Hedgerow Data'!$B$2:$AG$15,2,FALSE))</f>
        <v/>
      </c>
      <c r="G190" s="291" t="str">
        <f>IF(D190="","",VLOOKUP(D190,'G-6 Hedgerow Data'!$B$2:$AG$15,3,FALSE))</f>
        <v/>
      </c>
      <c r="H190" s="95"/>
      <c r="I190" s="291" t="str">
        <f>IFERROR(IF(AND(D190&lt;&gt;"",H190=""),"Check data ⚠", IF(H190="","",IF(AND(D190="Non-native and ornamental hedgerow", H190&lt;&gt;"Poor"),"Not possible ▲", (VLOOKUP(H190,'G-1 All Habitats'!$Z$2:$AA$9,2,FALSE))))),"")</f>
        <v/>
      </c>
      <c r="J190" s="95"/>
      <c r="K190" s="298" t="str">
        <f>IF(AND(D190&lt;&gt;"",J190=""),"Check data ⚠", IF(J190="","",IF(VLOOKUP(J190,'G-3 Multipliers'!$L$3:$N$6,2,FALSE)=0,"Spatial Data Missing",VLOOKUP(J190,'G-3 Multipliers'!$L$3:$N$6,2,FALSE))))</f>
        <v/>
      </c>
      <c r="L190" s="296" t="str">
        <f>IF(J190="","",IF(VLOOKUP(J190,'G-3 Multipliers'!$L$3:$N$6,3,FALSE)=0,"Spatial Data Missing ⚠",VLOOKUP(J190,'G-3 Multipliers'!$L$3:$N$6,3,FALSE)))</f>
        <v/>
      </c>
      <c r="M190" s="297" t="str">
        <f>IF(D190="","",VLOOKUP(D190,'G-6 Hedgerow Data'!$B$1:$AH$15,33,FALSE))</f>
        <v/>
      </c>
      <c r="N190" s="304" t="str">
        <f t="shared" si="16"/>
        <v/>
      </c>
      <c r="O190" s="17"/>
      <c r="P190" s="103"/>
      <c r="Q190" s="141"/>
      <c r="R190" s="320" t="str">
        <f t="shared" si="17"/>
        <v/>
      </c>
      <c r="S190" s="320" t="str">
        <f t="shared" si="18"/>
        <v/>
      </c>
      <c r="T190" s="320" t="str">
        <f t="shared" si="19"/>
        <v/>
      </c>
      <c r="U190" s="339" t="str">
        <f t="shared" si="20"/>
        <v/>
      </c>
      <c r="V190" s="100"/>
      <c r="W190" s="101"/>
      <c r="X190" s="101"/>
      <c r="AE190" s="105" t="str">
        <f t="shared" si="14"/>
        <v/>
      </c>
      <c r="AF190" s="105" t="str">
        <f t="shared" si="15"/>
        <v/>
      </c>
      <c r="AH190" s="105">
        <v>181</v>
      </c>
      <c r="AJ190" s="105" t="str">
        <f t="array" ref="AJ190">IFERROR(INDEX($AH$10:$AH$258, MATCH(0, IF(TRUE=$AE$10:$AE$258, COUNTIF($AJ$9:$AJ189, $AH$10:$AH$258), ""), 0)),"")</f>
        <v/>
      </c>
      <c r="AK190" s="105" t="str">
        <f t="array" ref="AK190">IFERROR(INDEX($AH$10:$AH$258, MATCH(0, IF(TRUE=$AF$10:$AF$258, COUNTIF($AK$9:$AK189, $AH$10:$AH$258), ""), 0)),"")</f>
        <v/>
      </c>
      <c r="AL190" s="15" t="str">
        <f>IFERROR(INDEX('G-6 Hedgerow Data'!$BJ$3:$BJ$15,MATCH(D190,'G-6 Hedgerow Data'!$B$3:$B$15,0)),"")</f>
        <v/>
      </c>
    </row>
    <row r="191" spans="2:38" x14ac:dyDescent="0.3">
      <c r="B191" s="92">
        <v>182</v>
      </c>
      <c r="C191" s="141"/>
      <c r="D191" s="141"/>
      <c r="E191" s="102"/>
      <c r="F191" s="335" t="str">
        <f>IF(D191="","",VLOOKUP(D191,'G-6 Hedgerow Data'!$B$2:$AG$15,2,FALSE))</f>
        <v/>
      </c>
      <c r="G191" s="291" t="str">
        <f>IF(D191="","",VLOOKUP(D191,'G-6 Hedgerow Data'!$B$2:$AG$15,3,FALSE))</f>
        <v/>
      </c>
      <c r="H191" s="95"/>
      <c r="I191" s="291" t="str">
        <f>IFERROR(IF(AND(D191&lt;&gt;"",H191=""),"Check data ⚠", IF(H191="","",IF(AND(D191="Non-native and ornamental hedgerow", H191&lt;&gt;"Poor"),"Not possible ▲", (VLOOKUP(H191,'G-1 All Habitats'!$Z$2:$AA$9,2,FALSE))))),"")</f>
        <v/>
      </c>
      <c r="J191" s="95"/>
      <c r="K191" s="298" t="str">
        <f>IF(AND(D191&lt;&gt;"",J191=""),"Check data ⚠", IF(J191="","",IF(VLOOKUP(J191,'G-3 Multipliers'!$L$3:$N$6,2,FALSE)=0,"Spatial Data Missing",VLOOKUP(J191,'G-3 Multipliers'!$L$3:$N$6,2,FALSE))))</f>
        <v/>
      </c>
      <c r="L191" s="296" t="str">
        <f>IF(J191="","",IF(VLOOKUP(J191,'G-3 Multipliers'!$L$3:$N$6,3,FALSE)=0,"Spatial Data Missing ⚠",VLOOKUP(J191,'G-3 Multipliers'!$L$3:$N$6,3,FALSE)))</f>
        <v/>
      </c>
      <c r="M191" s="297" t="str">
        <f>IF(D191="","",VLOOKUP(D191,'G-6 Hedgerow Data'!$B$1:$AH$15,33,FALSE))</f>
        <v/>
      </c>
      <c r="N191" s="304" t="str">
        <f t="shared" si="16"/>
        <v/>
      </c>
      <c r="O191" s="17"/>
      <c r="P191" s="103"/>
      <c r="Q191" s="141"/>
      <c r="R191" s="320" t="str">
        <f t="shared" si="17"/>
        <v/>
      </c>
      <c r="S191" s="320" t="str">
        <f t="shared" si="18"/>
        <v/>
      </c>
      <c r="T191" s="320" t="str">
        <f t="shared" si="19"/>
        <v/>
      </c>
      <c r="U191" s="339" t="str">
        <f t="shared" si="20"/>
        <v/>
      </c>
      <c r="V191" s="100"/>
      <c r="W191" s="101"/>
      <c r="X191" s="101"/>
      <c r="AE191" s="105" t="str">
        <f t="shared" si="14"/>
        <v/>
      </c>
      <c r="AF191" s="105" t="str">
        <f t="shared" si="15"/>
        <v/>
      </c>
      <c r="AH191" s="105">
        <v>182</v>
      </c>
      <c r="AJ191" s="105" t="str">
        <f t="array" ref="AJ191">IFERROR(INDEX($AH$10:$AH$258, MATCH(0, IF(TRUE=$AE$10:$AE$258, COUNTIF($AJ$9:$AJ190, $AH$10:$AH$258), ""), 0)),"")</f>
        <v/>
      </c>
      <c r="AK191" s="105" t="str">
        <f t="array" ref="AK191">IFERROR(INDEX($AH$10:$AH$258, MATCH(0, IF(TRUE=$AF$10:$AF$258, COUNTIF($AK$9:$AK190, $AH$10:$AH$258), ""), 0)),"")</f>
        <v/>
      </c>
      <c r="AL191" s="15" t="str">
        <f>IFERROR(INDEX('G-6 Hedgerow Data'!$BJ$3:$BJ$15,MATCH(D191,'G-6 Hedgerow Data'!$B$3:$B$15,0)),"")</f>
        <v/>
      </c>
    </row>
    <row r="192" spans="2:38" x14ac:dyDescent="0.3">
      <c r="B192" s="92">
        <v>183</v>
      </c>
      <c r="C192" s="141"/>
      <c r="D192" s="141"/>
      <c r="E192" s="102"/>
      <c r="F192" s="335" t="str">
        <f>IF(D192="","",VLOOKUP(D192,'G-6 Hedgerow Data'!$B$2:$AG$15,2,FALSE))</f>
        <v/>
      </c>
      <c r="G192" s="291" t="str">
        <f>IF(D192="","",VLOOKUP(D192,'G-6 Hedgerow Data'!$B$2:$AG$15,3,FALSE))</f>
        <v/>
      </c>
      <c r="H192" s="95"/>
      <c r="I192" s="291" t="str">
        <f>IFERROR(IF(AND(D192&lt;&gt;"",H192=""),"Check data ⚠", IF(H192="","",IF(AND(D192="Non-native and ornamental hedgerow", H192&lt;&gt;"Poor"),"Not possible ▲", (VLOOKUP(H192,'G-1 All Habitats'!$Z$2:$AA$9,2,FALSE))))),"")</f>
        <v/>
      </c>
      <c r="J192" s="95"/>
      <c r="K192" s="298" t="str">
        <f>IF(AND(D192&lt;&gt;"",J192=""),"Check data ⚠", IF(J192="","",IF(VLOOKUP(J192,'G-3 Multipliers'!$L$3:$N$6,2,FALSE)=0,"Spatial Data Missing",VLOOKUP(J192,'G-3 Multipliers'!$L$3:$N$6,2,FALSE))))</f>
        <v/>
      </c>
      <c r="L192" s="296" t="str">
        <f>IF(J192="","",IF(VLOOKUP(J192,'G-3 Multipliers'!$L$3:$N$6,3,FALSE)=0,"Spatial Data Missing ⚠",VLOOKUP(J192,'G-3 Multipliers'!$L$3:$N$6,3,FALSE)))</f>
        <v/>
      </c>
      <c r="M192" s="297" t="str">
        <f>IF(D192="","",VLOOKUP(D192,'G-6 Hedgerow Data'!$B$1:$AH$15,33,FALSE))</f>
        <v/>
      </c>
      <c r="N192" s="304" t="str">
        <f t="shared" si="16"/>
        <v/>
      </c>
      <c r="O192" s="17"/>
      <c r="P192" s="103"/>
      <c r="Q192" s="141"/>
      <c r="R192" s="320" t="str">
        <f t="shared" si="17"/>
        <v/>
      </c>
      <c r="S192" s="320" t="str">
        <f t="shared" si="18"/>
        <v/>
      </c>
      <c r="T192" s="320" t="str">
        <f t="shared" si="19"/>
        <v/>
      </c>
      <c r="U192" s="339" t="str">
        <f t="shared" si="20"/>
        <v/>
      </c>
      <c r="V192" s="100"/>
      <c r="W192" s="101"/>
      <c r="X192" s="101"/>
      <c r="AE192" s="105" t="str">
        <f t="shared" si="14"/>
        <v/>
      </c>
      <c r="AF192" s="105" t="str">
        <f t="shared" si="15"/>
        <v/>
      </c>
      <c r="AH192" s="105">
        <v>183</v>
      </c>
      <c r="AJ192" s="105" t="str">
        <f t="array" ref="AJ192">IFERROR(INDEX($AH$10:$AH$258, MATCH(0, IF(TRUE=$AE$10:$AE$258, COUNTIF($AJ$9:$AJ191, $AH$10:$AH$258), ""), 0)),"")</f>
        <v/>
      </c>
      <c r="AK192" s="105" t="str">
        <f t="array" ref="AK192">IFERROR(INDEX($AH$10:$AH$258, MATCH(0, IF(TRUE=$AF$10:$AF$258, COUNTIF($AK$9:$AK191, $AH$10:$AH$258), ""), 0)),"")</f>
        <v/>
      </c>
      <c r="AL192" s="15" t="str">
        <f>IFERROR(INDEX('G-6 Hedgerow Data'!$BJ$3:$BJ$15,MATCH(D192,'G-6 Hedgerow Data'!$B$3:$B$15,0)),"")</f>
        <v/>
      </c>
    </row>
    <row r="193" spans="2:38" x14ac:dyDescent="0.3">
      <c r="B193" s="92">
        <v>184</v>
      </c>
      <c r="C193" s="141"/>
      <c r="D193" s="141"/>
      <c r="E193" s="102"/>
      <c r="F193" s="335" t="str">
        <f>IF(D193="","",VLOOKUP(D193,'G-6 Hedgerow Data'!$B$2:$AG$15,2,FALSE))</f>
        <v/>
      </c>
      <c r="G193" s="291" t="str">
        <f>IF(D193="","",VLOOKUP(D193,'G-6 Hedgerow Data'!$B$2:$AG$15,3,FALSE))</f>
        <v/>
      </c>
      <c r="H193" s="95"/>
      <c r="I193" s="291" t="str">
        <f>IFERROR(IF(AND(D193&lt;&gt;"",H193=""),"Check data ⚠", IF(H193="","",IF(AND(D193="Non-native and ornamental hedgerow", H193&lt;&gt;"Poor"),"Not possible ▲", (VLOOKUP(H193,'G-1 All Habitats'!$Z$2:$AA$9,2,FALSE))))),"")</f>
        <v/>
      </c>
      <c r="J193" s="95"/>
      <c r="K193" s="298" t="str">
        <f>IF(AND(D193&lt;&gt;"",J193=""),"Check data ⚠", IF(J193="","",IF(VLOOKUP(J193,'G-3 Multipliers'!$L$3:$N$6,2,FALSE)=0,"Spatial Data Missing",VLOOKUP(J193,'G-3 Multipliers'!$L$3:$N$6,2,FALSE))))</f>
        <v/>
      </c>
      <c r="L193" s="296" t="str">
        <f>IF(J193="","",IF(VLOOKUP(J193,'G-3 Multipliers'!$L$3:$N$6,3,FALSE)=0,"Spatial Data Missing ⚠",VLOOKUP(J193,'G-3 Multipliers'!$L$3:$N$6,3,FALSE)))</f>
        <v/>
      </c>
      <c r="M193" s="297" t="str">
        <f>IF(D193="","",VLOOKUP(D193,'G-6 Hedgerow Data'!$B$1:$AH$15,33,FALSE))</f>
        <v/>
      </c>
      <c r="N193" s="304" t="str">
        <f t="shared" si="16"/>
        <v/>
      </c>
      <c r="O193" s="17"/>
      <c r="P193" s="103"/>
      <c r="Q193" s="141"/>
      <c r="R193" s="320" t="str">
        <f t="shared" si="17"/>
        <v/>
      </c>
      <c r="S193" s="320" t="str">
        <f t="shared" si="18"/>
        <v/>
      </c>
      <c r="T193" s="320" t="str">
        <f t="shared" si="19"/>
        <v/>
      </c>
      <c r="U193" s="339" t="str">
        <f t="shared" si="20"/>
        <v/>
      </c>
      <c r="V193" s="100"/>
      <c r="W193" s="101"/>
      <c r="X193" s="101"/>
      <c r="AE193" s="105" t="str">
        <f t="shared" si="14"/>
        <v/>
      </c>
      <c r="AF193" s="105" t="str">
        <f t="shared" si="15"/>
        <v/>
      </c>
      <c r="AH193" s="105">
        <v>184</v>
      </c>
      <c r="AJ193" s="105" t="str">
        <f t="array" ref="AJ193">IFERROR(INDEX($AH$10:$AH$258, MATCH(0, IF(TRUE=$AE$10:$AE$258, COUNTIF($AJ$9:$AJ192, $AH$10:$AH$258), ""), 0)),"")</f>
        <v/>
      </c>
      <c r="AK193" s="105" t="str">
        <f t="array" ref="AK193">IFERROR(INDEX($AH$10:$AH$258, MATCH(0, IF(TRUE=$AF$10:$AF$258, COUNTIF($AK$9:$AK192, $AH$10:$AH$258), ""), 0)),"")</f>
        <v/>
      </c>
      <c r="AL193" s="15" t="str">
        <f>IFERROR(INDEX('G-6 Hedgerow Data'!$BJ$3:$BJ$15,MATCH(D193,'G-6 Hedgerow Data'!$B$3:$B$15,0)),"")</f>
        <v/>
      </c>
    </row>
    <row r="194" spans="2:38" x14ac:dyDescent="0.3">
      <c r="B194" s="92">
        <v>185</v>
      </c>
      <c r="C194" s="141"/>
      <c r="D194" s="141"/>
      <c r="E194" s="102"/>
      <c r="F194" s="335" t="str">
        <f>IF(D194="","",VLOOKUP(D194,'G-6 Hedgerow Data'!$B$2:$AG$15,2,FALSE))</f>
        <v/>
      </c>
      <c r="G194" s="291" t="str">
        <f>IF(D194="","",VLOOKUP(D194,'G-6 Hedgerow Data'!$B$2:$AG$15,3,FALSE))</f>
        <v/>
      </c>
      <c r="H194" s="95"/>
      <c r="I194" s="291" t="str">
        <f>IFERROR(IF(AND(D194&lt;&gt;"",H194=""),"Check data ⚠", IF(H194="","",IF(AND(D194="Non-native and ornamental hedgerow", H194&lt;&gt;"Poor"),"Not possible ▲", (VLOOKUP(H194,'G-1 All Habitats'!$Z$2:$AA$9,2,FALSE))))),"")</f>
        <v/>
      </c>
      <c r="J194" s="95"/>
      <c r="K194" s="298" t="str">
        <f>IF(AND(D194&lt;&gt;"",J194=""),"Check data ⚠", IF(J194="","",IF(VLOOKUP(J194,'G-3 Multipliers'!$L$3:$N$6,2,FALSE)=0,"Spatial Data Missing",VLOOKUP(J194,'G-3 Multipliers'!$L$3:$N$6,2,FALSE))))</f>
        <v/>
      </c>
      <c r="L194" s="296" t="str">
        <f>IF(J194="","",IF(VLOOKUP(J194,'G-3 Multipliers'!$L$3:$N$6,3,FALSE)=0,"Spatial Data Missing ⚠",VLOOKUP(J194,'G-3 Multipliers'!$L$3:$N$6,3,FALSE)))</f>
        <v/>
      </c>
      <c r="M194" s="297" t="str">
        <f>IF(D194="","",VLOOKUP(D194,'G-6 Hedgerow Data'!$B$1:$AH$15,33,FALSE))</f>
        <v/>
      </c>
      <c r="N194" s="304" t="str">
        <f t="shared" si="16"/>
        <v/>
      </c>
      <c r="O194" s="17"/>
      <c r="P194" s="103"/>
      <c r="Q194" s="141"/>
      <c r="R194" s="320" t="str">
        <f t="shared" si="17"/>
        <v/>
      </c>
      <c r="S194" s="320" t="str">
        <f t="shared" si="18"/>
        <v/>
      </c>
      <c r="T194" s="320" t="str">
        <f t="shared" si="19"/>
        <v/>
      </c>
      <c r="U194" s="339" t="str">
        <f t="shared" si="20"/>
        <v/>
      </c>
      <c r="V194" s="100"/>
      <c r="W194" s="101"/>
      <c r="X194" s="101"/>
      <c r="AE194" s="105" t="str">
        <f t="shared" si="14"/>
        <v/>
      </c>
      <c r="AF194" s="105" t="str">
        <f t="shared" si="15"/>
        <v/>
      </c>
      <c r="AH194" s="105">
        <v>185</v>
      </c>
      <c r="AJ194" s="105" t="str">
        <f t="array" ref="AJ194">IFERROR(INDEX($AH$10:$AH$258, MATCH(0, IF(TRUE=$AE$10:$AE$258, COUNTIF($AJ$9:$AJ193, $AH$10:$AH$258), ""), 0)),"")</f>
        <v/>
      </c>
      <c r="AK194" s="105" t="str">
        <f t="array" ref="AK194">IFERROR(INDEX($AH$10:$AH$258, MATCH(0, IF(TRUE=$AF$10:$AF$258, COUNTIF($AK$9:$AK193, $AH$10:$AH$258), ""), 0)),"")</f>
        <v/>
      </c>
      <c r="AL194" s="15" t="str">
        <f>IFERROR(INDEX('G-6 Hedgerow Data'!$BJ$3:$BJ$15,MATCH(D194,'G-6 Hedgerow Data'!$B$3:$B$15,0)),"")</f>
        <v/>
      </c>
    </row>
    <row r="195" spans="2:38" x14ac:dyDescent="0.3">
      <c r="B195" s="92">
        <v>186</v>
      </c>
      <c r="C195" s="141"/>
      <c r="D195" s="141"/>
      <c r="E195" s="102"/>
      <c r="F195" s="335" t="str">
        <f>IF(D195="","",VLOOKUP(D195,'G-6 Hedgerow Data'!$B$2:$AG$15,2,FALSE))</f>
        <v/>
      </c>
      <c r="G195" s="291" t="str">
        <f>IF(D195="","",VLOOKUP(D195,'G-6 Hedgerow Data'!$B$2:$AG$15,3,FALSE))</f>
        <v/>
      </c>
      <c r="H195" s="95"/>
      <c r="I195" s="291" t="str">
        <f>IFERROR(IF(AND(D195&lt;&gt;"",H195=""),"Check data ⚠", IF(H195="","",IF(AND(D195="Non-native and ornamental hedgerow", H195&lt;&gt;"Poor"),"Not possible ▲", (VLOOKUP(H195,'G-1 All Habitats'!$Z$2:$AA$9,2,FALSE))))),"")</f>
        <v/>
      </c>
      <c r="J195" s="95"/>
      <c r="K195" s="298" t="str">
        <f>IF(AND(D195&lt;&gt;"",J195=""),"Check data ⚠", IF(J195="","",IF(VLOOKUP(J195,'G-3 Multipliers'!$L$3:$N$6,2,FALSE)=0,"Spatial Data Missing",VLOOKUP(J195,'G-3 Multipliers'!$L$3:$N$6,2,FALSE))))</f>
        <v/>
      </c>
      <c r="L195" s="296" t="str">
        <f>IF(J195="","",IF(VLOOKUP(J195,'G-3 Multipliers'!$L$3:$N$6,3,FALSE)=0,"Spatial Data Missing ⚠",VLOOKUP(J195,'G-3 Multipliers'!$L$3:$N$6,3,FALSE)))</f>
        <v/>
      </c>
      <c r="M195" s="297" t="str">
        <f>IF(D195="","",VLOOKUP(D195,'G-6 Hedgerow Data'!$B$1:$AH$15,33,FALSE))</f>
        <v/>
      </c>
      <c r="N195" s="304" t="str">
        <f t="shared" si="16"/>
        <v/>
      </c>
      <c r="O195" s="17"/>
      <c r="P195" s="103"/>
      <c r="Q195" s="141"/>
      <c r="R195" s="320" t="str">
        <f t="shared" si="17"/>
        <v/>
      </c>
      <c r="S195" s="320" t="str">
        <f t="shared" si="18"/>
        <v/>
      </c>
      <c r="T195" s="320" t="str">
        <f t="shared" si="19"/>
        <v/>
      </c>
      <c r="U195" s="339" t="str">
        <f t="shared" si="20"/>
        <v/>
      </c>
      <c r="V195" s="100"/>
      <c r="W195" s="101"/>
      <c r="X195" s="101"/>
      <c r="AE195" s="105" t="str">
        <f t="shared" si="14"/>
        <v/>
      </c>
      <c r="AF195" s="105" t="str">
        <f t="shared" si="15"/>
        <v/>
      </c>
      <c r="AH195" s="105">
        <v>186</v>
      </c>
      <c r="AJ195" s="105" t="str">
        <f t="array" ref="AJ195">IFERROR(INDEX($AH$10:$AH$258, MATCH(0, IF(TRUE=$AE$10:$AE$258, COUNTIF($AJ$9:$AJ194, $AH$10:$AH$258), ""), 0)),"")</f>
        <v/>
      </c>
      <c r="AK195" s="105" t="str">
        <f t="array" ref="AK195">IFERROR(INDEX($AH$10:$AH$258, MATCH(0, IF(TRUE=$AF$10:$AF$258, COUNTIF($AK$9:$AK194, $AH$10:$AH$258), ""), 0)),"")</f>
        <v/>
      </c>
      <c r="AL195" s="15" t="str">
        <f>IFERROR(INDEX('G-6 Hedgerow Data'!$BJ$3:$BJ$15,MATCH(D195,'G-6 Hedgerow Data'!$B$3:$B$15,0)),"")</f>
        <v/>
      </c>
    </row>
    <row r="196" spans="2:38" x14ac:dyDescent="0.3">
      <c r="B196" s="92">
        <v>187</v>
      </c>
      <c r="C196" s="141"/>
      <c r="D196" s="141"/>
      <c r="E196" s="102"/>
      <c r="F196" s="335" t="str">
        <f>IF(D196="","",VLOOKUP(D196,'G-6 Hedgerow Data'!$B$2:$AG$15,2,FALSE))</f>
        <v/>
      </c>
      <c r="G196" s="291" t="str">
        <f>IF(D196="","",VLOOKUP(D196,'G-6 Hedgerow Data'!$B$2:$AG$15,3,FALSE))</f>
        <v/>
      </c>
      <c r="H196" s="95"/>
      <c r="I196" s="291" t="str">
        <f>IFERROR(IF(AND(D196&lt;&gt;"",H196=""),"Check data ⚠", IF(H196="","",IF(AND(D196="Non-native and ornamental hedgerow", H196&lt;&gt;"Poor"),"Not possible ▲", (VLOOKUP(H196,'G-1 All Habitats'!$Z$2:$AA$9,2,FALSE))))),"")</f>
        <v/>
      </c>
      <c r="J196" s="95"/>
      <c r="K196" s="298" t="str">
        <f>IF(AND(D196&lt;&gt;"",J196=""),"Check data ⚠", IF(J196="","",IF(VLOOKUP(J196,'G-3 Multipliers'!$L$3:$N$6,2,FALSE)=0,"Spatial Data Missing",VLOOKUP(J196,'G-3 Multipliers'!$L$3:$N$6,2,FALSE))))</f>
        <v/>
      </c>
      <c r="L196" s="296" t="str">
        <f>IF(J196="","",IF(VLOOKUP(J196,'G-3 Multipliers'!$L$3:$N$6,3,FALSE)=0,"Spatial Data Missing ⚠",VLOOKUP(J196,'G-3 Multipliers'!$L$3:$N$6,3,FALSE)))</f>
        <v/>
      </c>
      <c r="M196" s="297" t="str">
        <f>IF(D196="","",VLOOKUP(D196,'G-6 Hedgerow Data'!$B$1:$AH$15,33,FALSE))</f>
        <v/>
      </c>
      <c r="N196" s="304" t="str">
        <f t="shared" si="16"/>
        <v/>
      </c>
      <c r="O196" s="17"/>
      <c r="P196" s="103"/>
      <c r="Q196" s="141"/>
      <c r="R196" s="320" t="str">
        <f t="shared" si="17"/>
        <v/>
      </c>
      <c r="S196" s="320" t="str">
        <f t="shared" si="18"/>
        <v/>
      </c>
      <c r="T196" s="320" t="str">
        <f t="shared" si="19"/>
        <v/>
      </c>
      <c r="U196" s="339" t="str">
        <f t="shared" si="20"/>
        <v/>
      </c>
      <c r="V196" s="100"/>
      <c r="W196" s="101"/>
      <c r="X196" s="101"/>
      <c r="AE196" s="105" t="str">
        <f t="shared" si="14"/>
        <v/>
      </c>
      <c r="AF196" s="105" t="str">
        <f t="shared" si="15"/>
        <v/>
      </c>
      <c r="AH196" s="105">
        <v>187</v>
      </c>
      <c r="AJ196" s="105" t="str">
        <f t="array" ref="AJ196">IFERROR(INDEX($AH$10:$AH$258, MATCH(0, IF(TRUE=$AE$10:$AE$258, COUNTIF($AJ$9:$AJ195, $AH$10:$AH$258), ""), 0)),"")</f>
        <v/>
      </c>
      <c r="AK196" s="105" t="str">
        <f t="array" ref="AK196">IFERROR(INDEX($AH$10:$AH$258, MATCH(0, IF(TRUE=$AF$10:$AF$258, COUNTIF($AK$9:$AK195, $AH$10:$AH$258), ""), 0)),"")</f>
        <v/>
      </c>
      <c r="AL196" s="15" t="str">
        <f>IFERROR(INDEX('G-6 Hedgerow Data'!$BJ$3:$BJ$15,MATCH(D196,'G-6 Hedgerow Data'!$B$3:$B$15,0)),"")</f>
        <v/>
      </c>
    </row>
    <row r="197" spans="2:38" x14ac:dyDescent="0.3">
      <c r="B197" s="92">
        <v>188</v>
      </c>
      <c r="C197" s="141"/>
      <c r="D197" s="141"/>
      <c r="E197" s="102"/>
      <c r="F197" s="335" t="str">
        <f>IF(D197="","",VLOOKUP(D197,'G-6 Hedgerow Data'!$B$2:$AG$15,2,FALSE))</f>
        <v/>
      </c>
      <c r="G197" s="291" t="str">
        <f>IF(D197="","",VLOOKUP(D197,'G-6 Hedgerow Data'!$B$2:$AG$15,3,FALSE))</f>
        <v/>
      </c>
      <c r="H197" s="95"/>
      <c r="I197" s="291" t="str">
        <f>IFERROR(IF(AND(D197&lt;&gt;"",H197=""),"Check data ⚠", IF(H197="","",IF(AND(D197="Non-native and ornamental hedgerow", H197&lt;&gt;"Poor"),"Not possible ▲", (VLOOKUP(H197,'G-1 All Habitats'!$Z$2:$AA$9,2,FALSE))))),"")</f>
        <v/>
      </c>
      <c r="J197" s="95"/>
      <c r="K197" s="298" t="str">
        <f>IF(AND(D197&lt;&gt;"",J197=""),"Check data ⚠", IF(J197="","",IF(VLOOKUP(J197,'G-3 Multipliers'!$L$3:$N$6,2,FALSE)=0,"Spatial Data Missing",VLOOKUP(J197,'G-3 Multipliers'!$L$3:$N$6,2,FALSE))))</f>
        <v/>
      </c>
      <c r="L197" s="296" t="str">
        <f>IF(J197="","",IF(VLOOKUP(J197,'G-3 Multipliers'!$L$3:$N$6,3,FALSE)=0,"Spatial Data Missing ⚠",VLOOKUP(J197,'G-3 Multipliers'!$L$3:$N$6,3,FALSE)))</f>
        <v/>
      </c>
      <c r="M197" s="297" t="str">
        <f>IF(D197="","",VLOOKUP(D197,'G-6 Hedgerow Data'!$B$1:$AH$15,33,FALSE))</f>
        <v/>
      </c>
      <c r="N197" s="304" t="str">
        <f t="shared" si="16"/>
        <v/>
      </c>
      <c r="O197" s="17"/>
      <c r="P197" s="103"/>
      <c r="Q197" s="141"/>
      <c r="R197" s="320" t="str">
        <f t="shared" si="17"/>
        <v/>
      </c>
      <c r="S197" s="320" t="str">
        <f t="shared" si="18"/>
        <v/>
      </c>
      <c r="T197" s="320" t="str">
        <f t="shared" si="19"/>
        <v/>
      </c>
      <c r="U197" s="339" t="str">
        <f t="shared" si="20"/>
        <v/>
      </c>
      <c r="V197" s="100"/>
      <c r="W197" s="101"/>
      <c r="X197" s="101"/>
      <c r="AE197" s="105" t="str">
        <f t="shared" si="14"/>
        <v/>
      </c>
      <c r="AF197" s="105" t="str">
        <f t="shared" si="15"/>
        <v/>
      </c>
      <c r="AH197" s="105">
        <v>188</v>
      </c>
      <c r="AJ197" s="105" t="str">
        <f t="array" ref="AJ197">IFERROR(INDEX($AH$10:$AH$258, MATCH(0, IF(TRUE=$AE$10:$AE$258, COUNTIF($AJ$9:$AJ196, $AH$10:$AH$258), ""), 0)),"")</f>
        <v/>
      </c>
      <c r="AK197" s="105" t="str">
        <f t="array" ref="AK197">IFERROR(INDEX($AH$10:$AH$258, MATCH(0, IF(TRUE=$AF$10:$AF$258, COUNTIF($AK$9:$AK196, $AH$10:$AH$258), ""), 0)),"")</f>
        <v/>
      </c>
      <c r="AL197" s="15" t="str">
        <f>IFERROR(INDEX('G-6 Hedgerow Data'!$BJ$3:$BJ$15,MATCH(D197,'G-6 Hedgerow Data'!$B$3:$B$15,0)),"")</f>
        <v/>
      </c>
    </row>
    <row r="198" spans="2:38" x14ac:dyDescent="0.3">
      <c r="B198" s="92">
        <v>189</v>
      </c>
      <c r="C198" s="141"/>
      <c r="D198" s="141"/>
      <c r="E198" s="102"/>
      <c r="F198" s="335" t="str">
        <f>IF(D198="","",VLOOKUP(D198,'G-6 Hedgerow Data'!$B$2:$AG$15,2,FALSE))</f>
        <v/>
      </c>
      <c r="G198" s="291" t="str">
        <f>IF(D198="","",VLOOKUP(D198,'G-6 Hedgerow Data'!$B$2:$AG$15,3,FALSE))</f>
        <v/>
      </c>
      <c r="H198" s="95"/>
      <c r="I198" s="291" t="str">
        <f>IFERROR(IF(AND(D198&lt;&gt;"",H198=""),"Check data ⚠", IF(H198="","",IF(AND(D198="Non-native and ornamental hedgerow", H198&lt;&gt;"Poor"),"Not possible ▲", (VLOOKUP(H198,'G-1 All Habitats'!$Z$2:$AA$9,2,FALSE))))),"")</f>
        <v/>
      </c>
      <c r="J198" s="95"/>
      <c r="K198" s="298" t="str">
        <f>IF(AND(D198&lt;&gt;"",J198=""),"Check data ⚠", IF(J198="","",IF(VLOOKUP(J198,'G-3 Multipliers'!$L$3:$N$6,2,FALSE)=0,"Spatial Data Missing",VLOOKUP(J198,'G-3 Multipliers'!$L$3:$N$6,2,FALSE))))</f>
        <v/>
      </c>
      <c r="L198" s="296" t="str">
        <f>IF(J198="","",IF(VLOOKUP(J198,'G-3 Multipliers'!$L$3:$N$6,3,FALSE)=0,"Spatial Data Missing ⚠",VLOOKUP(J198,'G-3 Multipliers'!$L$3:$N$6,3,FALSE)))</f>
        <v/>
      </c>
      <c r="M198" s="297" t="str">
        <f>IF(D198="","",VLOOKUP(D198,'G-6 Hedgerow Data'!$B$1:$AH$15,33,FALSE))</f>
        <v/>
      </c>
      <c r="N198" s="304" t="str">
        <f t="shared" si="16"/>
        <v/>
      </c>
      <c r="O198" s="17"/>
      <c r="P198" s="103"/>
      <c r="Q198" s="141"/>
      <c r="R198" s="320" t="str">
        <f t="shared" si="17"/>
        <v/>
      </c>
      <c r="S198" s="320" t="str">
        <f t="shared" si="18"/>
        <v/>
      </c>
      <c r="T198" s="320" t="str">
        <f t="shared" si="19"/>
        <v/>
      </c>
      <c r="U198" s="339" t="str">
        <f t="shared" si="20"/>
        <v/>
      </c>
      <c r="V198" s="100"/>
      <c r="W198" s="101"/>
      <c r="X198" s="101"/>
      <c r="AE198" s="105" t="str">
        <f t="shared" si="14"/>
        <v/>
      </c>
      <c r="AF198" s="105" t="str">
        <f t="shared" si="15"/>
        <v/>
      </c>
      <c r="AH198" s="105">
        <v>189</v>
      </c>
      <c r="AJ198" s="105" t="str">
        <f t="array" ref="AJ198">IFERROR(INDEX($AH$10:$AH$258, MATCH(0, IF(TRUE=$AE$10:$AE$258, COUNTIF($AJ$9:$AJ197, $AH$10:$AH$258), ""), 0)),"")</f>
        <v/>
      </c>
      <c r="AK198" s="105" t="str">
        <f t="array" ref="AK198">IFERROR(INDEX($AH$10:$AH$258, MATCH(0, IF(TRUE=$AF$10:$AF$258, COUNTIF($AK$9:$AK197, $AH$10:$AH$258), ""), 0)),"")</f>
        <v/>
      </c>
      <c r="AL198" s="15" t="str">
        <f>IFERROR(INDEX('G-6 Hedgerow Data'!$BJ$3:$BJ$15,MATCH(D198,'G-6 Hedgerow Data'!$B$3:$B$15,0)),"")</f>
        <v/>
      </c>
    </row>
    <row r="199" spans="2:38" x14ac:dyDescent="0.3">
      <c r="B199" s="92">
        <v>190</v>
      </c>
      <c r="C199" s="141"/>
      <c r="D199" s="141"/>
      <c r="E199" s="102"/>
      <c r="F199" s="335" t="str">
        <f>IF(D199="","",VLOOKUP(D199,'G-6 Hedgerow Data'!$B$2:$AG$15,2,FALSE))</f>
        <v/>
      </c>
      <c r="G199" s="291" t="str">
        <f>IF(D199="","",VLOOKUP(D199,'G-6 Hedgerow Data'!$B$2:$AG$15,3,FALSE))</f>
        <v/>
      </c>
      <c r="H199" s="95"/>
      <c r="I199" s="291" t="str">
        <f>IFERROR(IF(AND(D199&lt;&gt;"",H199=""),"Check data ⚠", IF(H199="","",IF(AND(D199="Non-native and ornamental hedgerow", H199&lt;&gt;"Poor"),"Not possible ▲", (VLOOKUP(H199,'G-1 All Habitats'!$Z$2:$AA$9,2,FALSE))))),"")</f>
        <v/>
      </c>
      <c r="J199" s="95"/>
      <c r="K199" s="298" t="str">
        <f>IF(AND(D199&lt;&gt;"",J199=""),"Check data ⚠", IF(J199="","",IF(VLOOKUP(J199,'G-3 Multipliers'!$L$3:$N$6,2,FALSE)=0,"Spatial Data Missing",VLOOKUP(J199,'G-3 Multipliers'!$L$3:$N$6,2,FALSE))))</f>
        <v/>
      </c>
      <c r="L199" s="296" t="str">
        <f>IF(J199="","",IF(VLOOKUP(J199,'G-3 Multipliers'!$L$3:$N$6,3,FALSE)=0,"Spatial Data Missing ⚠",VLOOKUP(J199,'G-3 Multipliers'!$L$3:$N$6,3,FALSE)))</f>
        <v/>
      </c>
      <c r="M199" s="297" t="str">
        <f>IF(D199="","",VLOOKUP(D199,'G-6 Hedgerow Data'!$B$1:$AH$15,33,FALSE))</f>
        <v/>
      </c>
      <c r="N199" s="304" t="str">
        <f t="shared" si="16"/>
        <v/>
      </c>
      <c r="O199" s="17"/>
      <c r="P199" s="103"/>
      <c r="Q199" s="141"/>
      <c r="R199" s="320" t="str">
        <f t="shared" si="17"/>
        <v/>
      </c>
      <c r="S199" s="320" t="str">
        <f t="shared" si="18"/>
        <v/>
      </c>
      <c r="T199" s="320" t="str">
        <f t="shared" si="19"/>
        <v/>
      </c>
      <c r="U199" s="339" t="str">
        <f t="shared" si="20"/>
        <v/>
      </c>
      <c r="V199" s="100"/>
      <c r="W199" s="101"/>
      <c r="X199" s="101"/>
      <c r="AE199" s="105" t="str">
        <f t="shared" si="14"/>
        <v/>
      </c>
      <c r="AF199" s="105" t="str">
        <f t="shared" si="15"/>
        <v/>
      </c>
      <c r="AH199" s="105">
        <v>190</v>
      </c>
      <c r="AJ199" s="105" t="str">
        <f t="array" ref="AJ199">IFERROR(INDEX($AH$10:$AH$258, MATCH(0, IF(TRUE=$AE$10:$AE$258, COUNTIF($AJ$9:$AJ198, $AH$10:$AH$258), ""), 0)),"")</f>
        <v/>
      </c>
      <c r="AK199" s="105" t="str">
        <f t="array" ref="AK199">IFERROR(INDEX($AH$10:$AH$258, MATCH(0, IF(TRUE=$AF$10:$AF$258, COUNTIF($AK$9:$AK198, $AH$10:$AH$258), ""), 0)),"")</f>
        <v/>
      </c>
      <c r="AL199" s="15" t="str">
        <f>IFERROR(INDEX('G-6 Hedgerow Data'!$BJ$3:$BJ$15,MATCH(D199,'G-6 Hedgerow Data'!$B$3:$B$15,0)),"")</f>
        <v/>
      </c>
    </row>
    <row r="200" spans="2:38" x14ac:dyDescent="0.3">
      <c r="B200" s="92">
        <v>191</v>
      </c>
      <c r="C200" s="141"/>
      <c r="D200" s="141"/>
      <c r="E200" s="102"/>
      <c r="F200" s="335" t="str">
        <f>IF(D200="","",VLOOKUP(D200,'G-6 Hedgerow Data'!$B$2:$AG$15,2,FALSE))</f>
        <v/>
      </c>
      <c r="G200" s="291" t="str">
        <f>IF(D200="","",VLOOKUP(D200,'G-6 Hedgerow Data'!$B$2:$AG$15,3,FALSE))</f>
        <v/>
      </c>
      <c r="H200" s="95"/>
      <c r="I200" s="291" t="str">
        <f>IFERROR(IF(AND(D200&lt;&gt;"",H200=""),"Check data ⚠", IF(H200="","",IF(AND(D200="Non-native and ornamental hedgerow", H200&lt;&gt;"Poor"),"Not possible ▲", (VLOOKUP(H200,'G-1 All Habitats'!$Z$2:$AA$9,2,FALSE))))),"")</f>
        <v/>
      </c>
      <c r="J200" s="95"/>
      <c r="K200" s="298" t="str">
        <f>IF(AND(D200&lt;&gt;"",J200=""),"Check data ⚠", IF(J200="","",IF(VLOOKUP(J200,'G-3 Multipliers'!$L$3:$N$6,2,FALSE)=0,"Spatial Data Missing",VLOOKUP(J200,'G-3 Multipliers'!$L$3:$N$6,2,FALSE))))</f>
        <v/>
      </c>
      <c r="L200" s="296" t="str">
        <f>IF(J200="","",IF(VLOOKUP(J200,'G-3 Multipliers'!$L$3:$N$6,3,FALSE)=0,"Spatial Data Missing ⚠",VLOOKUP(J200,'G-3 Multipliers'!$L$3:$N$6,3,FALSE)))</f>
        <v/>
      </c>
      <c r="M200" s="297" t="str">
        <f>IF(D200="","",VLOOKUP(D200,'G-6 Hedgerow Data'!$B$1:$AH$15,33,FALSE))</f>
        <v/>
      </c>
      <c r="N200" s="304" t="str">
        <f t="shared" si="16"/>
        <v/>
      </c>
      <c r="O200" s="17"/>
      <c r="P200" s="103"/>
      <c r="Q200" s="141"/>
      <c r="R200" s="320" t="str">
        <f t="shared" si="17"/>
        <v/>
      </c>
      <c r="S200" s="320" t="str">
        <f t="shared" si="18"/>
        <v/>
      </c>
      <c r="T200" s="320" t="str">
        <f t="shared" si="19"/>
        <v/>
      </c>
      <c r="U200" s="339" t="str">
        <f t="shared" si="20"/>
        <v/>
      </c>
      <c r="V200" s="100"/>
      <c r="W200" s="101"/>
      <c r="X200" s="101"/>
      <c r="AE200" s="105" t="str">
        <f t="shared" si="14"/>
        <v/>
      </c>
      <c r="AF200" s="105" t="str">
        <f t="shared" si="15"/>
        <v/>
      </c>
      <c r="AH200" s="105">
        <v>191</v>
      </c>
      <c r="AJ200" s="105" t="str">
        <f t="array" ref="AJ200">IFERROR(INDEX($AH$10:$AH$258, MATCH(0, IF(TRUE=$AE$10:$AE$258, COUNTIF($AJ$9:$AJ199, $AH$10:$AH$258), ""), 0)),"")</f>
        <v/>
      </c>
      <c r="AK200" s="105" t="str">
        <f t="array" ref="AK200">IFERROR(INDEX($AH$10:$AH$258, MATCH(0, IF(TRUE=$AF$10:$AF$258, COUNTIF($AK$9:$AK199, $AH$10:$AH$258), ""), 0)),"")</f>
        <v/>
      </c>
      <c r="AL200" s="15" t="str">
        <f>IFERROR(INDEX('G-6 Hedgerow Data'!$BJ$3:$BJ$15,MATCH(D200,'G-6 Hedgerow Data'!$B$3:$B$15,0)),"")</f>
        <v/>
      </c>
    </row>
    <row r="201" spans="2:38" x14ac:dyDescent="0.3">
      <c r="B201" s="92">
        <v>192</v>
      </c>
      <c r="C201" s="141"/>
      <c r="D201" s="141"/>
      <c r="E201" s="102"/>
      <c r="F201" s="335" t="str">
        <f>IF(D201="","",VLOOKUP(D201,'G-6 Hedgerow Data'!$B$2:$AG$15,2,FALSE))</f>
        <v/>
      </c>
      <c r="G201" s="291" t="str">
        <f>IF(D201="","",VLOOKUP(D201,'G-6 Hedgerow Data'!$B$2:$AG$15,3,FALSE))</f>
        <v/>
      </c>
      <c r="H201" s="95"/>
      <c r="I201" s="291" t="str">
        <f>IFERROR(IF(AND(D201&lt;&gt;"",H201=""),"Check data ⚠", IF(H201="","",IF(AND(D201="Non-native and ornamental hedgerow", H201&lt;&gt;"Poor"),"Not possible ▲", (VLOOKUP(H201,'G-1 All Habitats'!$Z$2:$AA$9,2,FALSE))))),"")</f>
        <v/>
      </c>
      <c r="J201" s="95"/>
      <c r="K201" s="298" t="str">
        <f>IF(AND(D201&lt;&gt;"",J201=""),"Check data ⚠", IF(J201="","",IF(VLOOKUP(J201,'G-3 Multipliers'!$L$3:$N$6,2,FALSE)=0,"Spatial Data Missing",VLOOKUP(J201,'G-3 Multipliers'!$L$3:$N$6,2,FALSE))))</f>
        <v/>
      </c>
      <c r="L201" s="296" t="str">
        <f>IF(J201="","",IF(VLOOKUP(J201,'G-3 Multipliers'!$L$3:$N$6,3,FALSE)=0,"Spatial Data Missing ⚠",VLOOKUP(J201,'G-3 Multipliers'!$L$3:$N$6,3,FALSE)))</f>
        <v/>
      </c>
      <c r="M201" s="297" t="str">
        <f>IF(D201="","",VLOOKUP(D201,'G-6 Hedgerow Data'!$B$1:$AH$15,33,FALSE))</f>
        <v/>
      </c>
      <c r="N201" s="304" t="str">
        <f t="shared" si="16"/>
        <v/>
      </c>
      <c r="O201" s="17"/>
      <c r="P201" s="103"/>
      <c r="Q201" s="141"/>
      <c r="R201" s="320" t="str">
        <f t="shared" si="17"/>
        <v/>
      </c>
      <c r="S201" s="320" t="str">
        <f t="shared" si="18"/>
        <v/>
      </c>
      <c r="T201" s="320" t="str">
        <f t="shared" si="19"/>
        <v/>
      </c>
      <c r="U201" s="339" t="str">
        <f t="shared" si="20"/>
        <v/>
      </c>
      <c r="V201" s="100"/>
      <c r="W201" s="101"/>
      <c r="X201" s="101"/>
      <c r="AE201" s="105" t="str">
        <f t="shared" si="14"/>
        <v/>
      </c>
      <c r="AF201" s="105" t="str">
        <f t="shared" si="15"/>
        <v/>
      </c>
      <c r="AH201" s="105">
        <v>192</v>
      </c>
      <c r="AJ201" s="105" t="str">
        <f t="array" ref="AJ201">IFERROR(INDEX($AH$10:$AH$258, MATCH(0, IF(TRUE=$AE$10:$AE$258, COUNTIF($AJ$9:$AJ200, $AH$10:$AH$258), ""), 0)),"")</f>
        <v/>
      </c>
      <c r="AK201" s="105" t="str">
        <f t="array" ref="AK201">IFERROR(INDEX($AH$10:$AH$258, MATCH(0, IF(TRUE=$AF$10:$AF$258, COUNTIF($AK$9:$AK200, $AH$10:$AH$258), ""), 0)),"")</f>
        <v/>
      </c>
      <c r="AL201" s="15" t="str">
        <f>IFERROR(INDEX('G-6 Hedgerow Data'!$BJ$3:$BJ$15,MATCH(D201,'G-6 Hedgerow Data'!$B$3:$B$15,0)),"")</f>
        <v/>
      </c>
    </row>
    <row r="202" spans="2:38" x14ac:dyDescent="0.3">
      <c r="B202" s="92">
        <v>193</v>
      </c>
      <c r="C202" s="141"/>
      <c r="D202" s="141"/>
      <c r="E202" s="102"/>
      <c r="F202" s="335" t="str">
        <f>IF(D202="","",VLOOKUP(D202,'G-6 Hedgerow Data'!$B$2:$AG$15,2,FALSE))</f>
        <v/>
      </c>
      <c r="G202" s="291" t="str">
        <f>IF(D202="","",VLOOKUP(D202,'G-6 Hedgerow Data'!$B$2:$AG$15,3,FALSE))</f>
        <v/>
      </c>
      <c r="H202" s="95"/>
      <c r="I202" s="291" t="str">
        <f>IFERROR(IF(AND(D202&lt;&gt;"",H202=""),"Check data ⚠", IF(H202="","",IF(AND(D202="Non-native and ornamental hedgerow", H202&lt;&gt;"Poor"),"Not possible ▲", (VLOOKUP(H202,'G-1 All Habitats'!$Z$2:$AA$9,2,FALSE))))),"")</f>
        <v/>
      </c>
      <c r="J202" s="95"/>
      <c r="K202" s="298" t="str">
        <f>IF(AND(D202&lt;&gt;"",J202=""),"Check data ⚠", IF(J202="","",IF(VLOOKUP(J202,'G-3 Multipliers'!$L$3:$N$6,2,FALSE)=0,"Spatial Data Missing",VLOOKUP(J202,'G-3 Multipliers'!$L$3:$N$6,2,FALSE))))</f>
        <v/>
      </c>
      <c r="L202" s="296" t="str">
        <f>IF(J202="","",IF(VLOOKUP(J202,'G-3 Multipliers'!$L$3:$N$6,3,FALSE)=0,"Spatial Data Missing ⚠",VLOOKUP(J202,'G-3 Multipliers'!$L$3:$N$6,3,FALSE)))</f>
        <v/>
      </c>
      <c r="M202" s="297" t="str">
        <f>IF(D202="","",VLOOKUP(D202,'G-6 Hedgerow Data'!$B$1:$AH$15,33,FALSE))</f>
        <v/>
      </c>
      <c r="N202" s="304" t="str">
        <f t="shared" si="16"/>
        <v/>
      </c>
      <c r="O202" s="17"/>
      <c r="P202" s="103"/>
      <c r="Q202" s="141"/>
      <c r="R202" s="320" t="str">
        <f t="shared" si="17"/>
        <v/>
      </c>
      <c r="S202" s="320" t="str">
        <f t="shared" si="18"/>
        <v/>
      </c>
      <c r="T202" s="320" t="str">
        <f t="shared" si="19"/>
        <v/>
      </c>
      <c r="U202" s="339" t="str">
        <f t="shared" si="20"/>
        <v/>
      </c>
      <c r="V202" s="100"/>
      <c r="W202" s="101"/>
      <c r="X202" s="101"/>
      <c r="AE202" s="105" t="str">
        <f t="shared" ref="AE202:AE257" si="21">IF(D202="","",IF(P202&gt;0,TRUE,FALSE))</f>
        <v/>
      </c>
      <c r="AF202" s="105" t="str">
        <f t="shared" ref="AF202:AF257" si="22">IF(D202="","",IF(Q202&gt;0,TRUE,FALSE))</f>
        <v/>
      </c>
      <c r="AH202" s="105">
        <v>193</v>
      </c>
      <c r="AJ202" s="105" t="str">
        <f t="array" ref="AJ202">IFERROR(INDEX($AH$10:$AH$258, MATCH(0, IF(TRUE=$AE$10:$AE$258, COUNTIF($AJ$9:$AJ201, $AH$10:$AH$258), ""), 0)),"")</f>
        <v/>
      </c>
      <c r="AK202" s="105" t="str">
        <f t="array" ref="AK202">IFERROR(INDEX($AH$10:$AH$258, MATCH(0, IF(TRUE=$AF$10:$AF$258, COUNTIF($AK$9:$AK201, $AH$10:$AH$258), ""), 0)),"")</f>
        <v/>
      </c>
      <c r="AL202" s="15" t="str">
        <f>IFERROR(INDEX('G-6 Hedgerow Data'!$BJ$3:$BJ$15,MATCH(D202,'G-6 Hedgerow Data'!$B$3:$B$15,0)),"")</f>
        <v/>
      </c>
    </row>
    <row r="203" spans="2:38" x14ac:dyDescent="0.3">
      <c r="B203" s="92">
        <v>194</v>
      </c>
      <c r="C203" s="141"/>
      <c r="D203" s="141"/>
      <c r="E203" s="102"/>
      <c r="F203" s="335" t="str">
        <f>IF(D203="","",VLOOKUP(D203,'G-6 Hedgerow Data'!$B$2:$AG$15,2,FALSE))</f>
        <v/>
      </c>
      <c r="G203" s="291" t="str">
        <f>IF(D203="","",VLOOKUP(D203,'G-6 Hedgerow Data'!$B$2:$AG$15,3,FALSE))</f>
        <v/>
      </c>
      <c r="H203" s="95"/>
      <c r="I203" s="291" t="str">
        <f>IFERROR(IF(AND(D203&lt;&gt;"",H203=""),"Check data ⚠", IF(H203="","",IF(AND(D203="Non-native and ornamental hedgerow", H203&lt;&gt;"Poor"),"Not possible ▲", (VLOOKUP(H203,'G-1 All Habitats'!$Z$2:$AA$9,2,FALSE))))),"")</f>
        <v/>
      </c>
      <c r="J203" s="95"/>
      <c r="K203" s="298" t="str">
        <f>IF(AND(D203&lt;&gt;"",J203=""),"Check data ⚠", IF(J203="","",IF(VLOOKUP(J203,'G-3 Multipliers'!$L$3:$N$6,2,FALSE)=0,"Spatial Data Missing",VLOOKUP(J203,'G-3 Multipliers'!$L$3:$N$6,2,FALSE))))</f>
        <v/>
      </c>
      <c r="L203" s="296" t="str">
        <f>IF(J203="","",IF(VLOOKUP(J203,'G-3 Multipliers'!$L$3:$N$6,3,FALSE)=0,"Spatial Data Missing ⚠",VLOOKUP(J203,'G-3 Multipliers'!$L$3:$N$6,3,FALSE)))</f>
        <v/>
      </c>
      <c r="M203" s="297" t="str">
        <f>IF(D203="","",VLOOKUP(D203,'G-6 Hedgerow Data'!$B$1:$AH$15,33,FALSE))</f>
        <v/>
      </c>
      <c r="N203" s="304" t="str">
        <f t="shared" ref="N203:N257" si="23">IFERROR(IF(OR(K203="Check data ⚠",I203="Check data ⚠"), "Check data ▲", (E203*G203*I203*L203)),"")</f>
        <v/>
      </c>
      <c r="O203" s="17"/>
      <c r="P203" s="103"/>
      <c r="Q203" s="141"/>
      <c r="R203" s="320" t="str">
        <f t="shared" ref="R203:R257" si="24">IFERROR(P203*G203*I203*L203,"")</f>
        <v/>
      </c>
      <c r="S203" s="320" t="str">
        <f t="shared" ref="S203:S257" si="25">IFERROR(Q203*G203*I203*L203,"")</f>
        <v/>
      </c>
      <c r="T203" s="320" t="str">
        <f t="shared" ref="T203:T257" si="26">IF(D203="","",IF(E203-P203-Q203=0&lt;0,"Error in lengths ▲",IF(P203+Q203&gt;E203,"Error in Lengths ▲",E203-P203-Q203)))</f>
        <v/>
      </c>
      <c r="U203" s="339" t="str">
        <f t="shared" ref="U203:U257" si="27">IFERROR(IF(OR(E203="",N203=""),"",IF(E203-P203-Q203=0&lt;0,"Error in Lengths ▲",IF(P203+Q203&gt;E203,"Error in Lengths ▲",N203-R203-S203))),"Check data ⚠")</f>
        <v/>
      </c>
      <c r="V203" s="100"/>
      <c r="W203" s="101"/>
      <c r="X203" s="101"/>
      <c r="AE203" s="105" t="str">
        <f t="shared" si="21"/>
        <v/>
      </c>
      <c r="AF203" s="105" t="str">
        <f t="shared" si="22"/>
        <v/>
      </c>
      <c r="AH203" s="105">
        <v>194</v>
      </c>
      <c r="AJ203" s="105" t="str">
        <f t="array" ref="AJ203">IFERROR(INDEX($AH$10:$AH$258, MATCH(0, IF(TRUE=$AE$10:$AE$258, COUNTIF($AJ$9:$AJ202, $AH$10:$AH$258), ""), 0)),"")</f>
        <v/>
      </c>
      <c r="AK203" s="105" t="str">
        <f t="array" ref="AK203">IFERROR(INDEX($AH$10:$AH$258, MATCH(0, IF(TRUE=$AF$10:$AF$258, COUNTIF($AK$9:$AK202, $AH$10:$AH$258), ""), 0)),"")</f>
        <v/>
      </c>
      <c r="AL203" s="15" t="str">
        <f>IFERROR(INDEX('G-6 Hedgerow Data'!$BJ$3:$BJ$15,MATCH(D203,'G-6 Hedgerow Data'!$B$3:$B$15,0)),"")</f>
        <v/>
      </c>
    </row>
    <row r="204" spans="2:38" x14ac:dyDescent="0.3">
      <c r="B204" s="92">
        <v>195</v>
      </c>
      <c r="C204" s="141"/>
      <c r="D204" s="141"/>
      <c r="E204" s="102"/>
      <c r="F204" s="335" t="str">
        <f>IF(D204="","",VLOOKUP(D204,'G-6 Hedgerow Data'!$B$2:$AG$15,2,FALSE))</f>
        <v/>
      </c>
      <c r="G204" s="291" t="str">
        <f>IF(D204="","",VLOOKUP(D204,'G-6 Hedgerow Data'!$B$2:$AG$15,3,FALSE))</f>
        <v/>
      </c>
      <c r="H204" s="95"/>
      <c r="I204" s="291" t="str">
        <f>IFERROR(IF(AND(D204&lt;&gt;"",H204=""),"Check data ⚠", IF(H204="","",IF(AND(D204="Non-native and ornamental hedgerow", H204&lt;&gt;"Poor"),"Not possible ▲", (VLOOKUP(H204,'G-1 All Habitats'!$Z$2:$AA$9,2,FALSE))))),"")</f>
        <v/>
      </c>
      <c r="J204" s="95"/>
      <c r="K204" s="298" t="str">
        <f>IF(AND(D204&lt;&gt;"",J204=""),"Check data ⚠", IF(J204="","",IF(VLOOKUP(J204,'G-3 Multipliers'!$L$3:$N$6,2,FALSE)=0,"Spatial Data Missing",VLOOKUP(J204,'G-3 Multipliers'!$L$3:$N$6,2,FALSE))))</f>
        <v/>
      </c>
      <c r="L204" s="296" t="str">
        <f>IF(J204="","",IF(VLOOKUP(J204,'G-3 Multipliers'!$L$3:$N$6,3,FALSE)=0,"Spatial Data Missing ⚠",VLOOKUP(J204,'G-3 Multipliers'!$L$3:$N$6,3,FALSE)))</f>
        <v/>
      </c>
      <c r="M204" s="297" t="str">
        <f>IF(D204="","",VLOOKUP(D204,'G-6 Hedgerow Data'!$B$1:$AH$15,33,FALSE))</f>
        <v/>
      </c>
      <c r="N204" s="304" t="str">
        <f t="shared" si="23"/>
        <v/>
      </c>
      <c r="O204" s="17"/>
      <c r="P204" s="103"/>
      <c r="Q204" s="141"/>
      <c r="R204" s="320" t="str">
        <f t="shared" si="24"/>
        <v/>
      </c>
      <c r="S204" s="320" t="str">
        <f t="shared" si="25"/>
        <v/>
      </c>
      <c r="T204" s="320" t="str">
        <f t="shared" si="26"/>
        <v/>
      </c>
      <c r="U204" s="339" t="str">
        <f t="shared" si="27"/>
        <v/>
      </c>
      <c r="V204" s="100"/>
      <c r="W204" s="101"/>
      <c r="X204" s="101"/>
      <c r="AE204" s="105" t="str">
        <f t="shared" si="21"/>
        <v/>
      </c>
      <c r="AF204" s="105" t="str">
        <f t="shared" si="22"/>
        <v/>
      </c>
      <c r="AH204" s="105">
        <v>195</v>
      </c>
      <c r="AJ204" s="105" t="str">
        <f t="array" ref="AJ204">IFERROR(INDEX($AH$10:$AH$258, MATCH(0, IF(TRUE=$AE$10:$AE$258, COUNTIF($AJ$9:$AJ203, $AH$10:$AH$258), ""), 0)),"")</f>
        <v/>
      </c>
      <c r="AK204" s="105" t="str">
        <f t="array" ref="AK204">IFERROR(INDEX($AH$10:$AH$258, MATCH(0, IF(TRUE=$AF$10:$AF$258, COUNTIF($AK$9:$AK203, $AH$10:$AH$258), ""), 0)),"")</f>
        <v/>
      </c>
      <c r="AL204" s="15" t="str">
        <f>IFERROR(INDEX('G-6 Hedgerow Data'!$BJ$3:$BJ$15,MATCH(D204,'G-6 Hedgerow Data'!$B$3:$B$15,0)),"")</f>
        <v/>
      </c>
    </row>
    <row r="205" spans="2:38" x14ac:dyDescent="0.3">
      <c r="B205" s="92">
        <v>196</v>
      </c>
      <c r="C205" s="141"/>
      <c r="D205" s="141"/>
      <c r="E205" s="102"/>
      <c r="F205" s="335" t="str">
        <f>IF(D205="","",VLOOKUP(D205,'G-6 Hedgerow Data'!$B$2:$AG$15,2,FALSE))</f>
        <v/>
      </c>
      <c r="G205" s="291" t="str">
        <f>IF(D205="","",VLOOKUP(D205,'G-6 Hedgerow Data'!$B$2:$AG$15,3,FALSE))</f>
        <v/>
      </c>
      <c r="H205" s="95"/>
      <c r="I205" s="291" t="str">
        <f>IFERROR(IF(AND(D205&lt;&gt;"",H205=""),"Check data ⚠", IF(H205="","",IF(AND(D205="Non-native and ornamental hedgerow", H205&lt;&gt;"Poor"),"Not possible ▲", (VLOOKUP(H205,'G-1 All Habitats'!$Z$2:$AA$9,2,FALSE))))),"")</f>
        <v/>
      </c>
      <c r="J205" s="95"/>
      <c r="K205" s="298" t="str">
        <f>IF(AND(D205&lt;&gt;"",J205=""),"Check data ⚠", IF(J205="","",IF(VLOOKUP(J205,'G-3 Multipliers'!$L$3:$N$6,2,FALSE)=0,"Spatial Data Missing",VLOOKUP(J205,'G-3 Multipliers'!$L$3:$N$6,2,FALSE))))</f>
        <v/>
      </c>
      <c r="L205" s="296" t="str">
        <f>IF(J205="","",IF(VLOOKUP(J205,'G-3 Multipliers'!$L$3:$N$6,3,FALSE)=0,"Spatial Data Missing ⚠",VLOOKUP(J205,'G-3 Multipliers'!$L$3:$N$6,3,FALSE)))</f>
        <v/>
      </c>
      <c r="M205" s="297" t="str">
        <f>IF(D205="","",VLOOKUP(D205,'G-6 Hedgerow Data'!$B$1:$AH$15,33,FALSE))</f>
        <v/>
      </c>
      <c r="N205" s="304" t="str">
        <f t="shared" si="23"/>
        <v/>
      </c>
      <c r="O205" s="17"/>
      <c r="P205" s="103"/>
      <c r="Q205" s="141"/>
      <c r="R205" s="320" t="str">
        <f t="shared" si="24"/>
        <v/>
      </c>
      <c r="S205" s="320" t="str">
        <f t="shared" si="25"/>
        <v/>
      </c>
      <c r="T205" s="320" t="str">
        <f t="shared" si="26"/>
        <v/>
      </c>
      <c r="U205" s="339" t="str">
        <f t="shared" si="27"/>
        <v/>
      </c>
      <c r="V205" s="100"/>
      <c r="W205" s="101"/>
      <c r="X205" s="101"/>
      <c r="AE205" s="105" t="str">
        <f t="shared" si="21"/>
        <v/>
      </c>
      <c r="AF205" s="105" t="str">
        <f t="shared" si="22"/>
        <v/>
      </c>
      <c r="AH205" s="105">
        <v>196</v>
      </c>
      <c r="AJ205" s="105" t="str">
        <f t="array" ref="AJ205">IFERROR(INDEX($AH$10:$AH$258, MATCH(0, IF(TRUE=$AE$10:$AE$258, COUNTIF($AJ$9:$AJ204, $AH$10:$AH$258), ""), 0)),"")</f>
        <v/>
      </c>
      <c r="AK205" s="105" t="str">
        <f t="array" ref="AK205">IFERROR(INDEX($AH$10:$AH$258, MATCH(0, IF(TRUE=$AF$10:$AF$258, COUNTIF($AK$9:$AK204, $AH$10:$AH$258), ""), 0)),"")</f>
        <v/>
      </c>
      <c r="AL205" s="15" t="str">
        <f>IFERROR(INDEX('G-6 Hedgerow Data'!$BJ$3:$BJ$15,MATCH(D205,'G-6 Hedgerow Data'!$B$3:$B$15,0)),"")</f>
        <v/>
      </c>
    </row>
    <row r="206" spans="2:38" x14ac:dyDescent="0.3">
      <c r="B206" s="92">
        <v>197</v>
      </c>
      <c r="C206" s="141"/>
      <c r="D206" s="141"/>
      <c r="E206" s="102"/>
      <c r="F206" s="335" t="str">
        <f>IF(D206="","",VLOOKUP(D206,'G-6 Hedgerow Data'!$B$2:$AG$15,2,FALSE))</f>
        <v/>
      </c>
      <c r="G206" s="291" t="str">
        <f>IF(D206="","",VLOOKUP(D206,'G-6 Hedgerow Data'!$B$2:$AG$15,3,FALSE))</f>
        <v/>
      </c>
      <c r="H206" s="95"/>
      <c r="I206" s="291" t="str">
        <f>IFERROR(IF(AND(D206&lt;&gt;"",H206=""),"Check data ⚠", IF(H206="","",IF(AND(D206="Non-native and ornamental hedgerow", H206&lt;&gt;"Poor"),"Not possible ▲", (VLOOKUP(H206,'G-1 All Habitats'!$Z$2:$AA$9,2,FALSE))))),"")</f>
        <v/>
      </c>
      <c r="J206" s="95"/>
      <c r="K206" s="298" t="str">
        <f>IF(AND(D206&lt;&gt;"",J206=""),"Check data ⚠", IF(J206="","",IF(VLOOKUP(J206,'G-3 Multipliers'!$L$3:$N$6,2,FALSE)=0,"Spatial Data Missing",VLOOKUP(J206,'G-3 Multipliers'!$L$3:$N$6,2,FALSE))))</f>
        <v/>
      </c>
      <c r="L206" s="296" t="str">
        <f>IF(J206="","",IF(VLOOKUP(J206,'G-3 Multipliers'!$L$3:$N$6,3,FALSE)=0,"Spatial Data Missing ⚠",VLOOKUP(J206,'G-3 Multipliers'!$L$3:$N$6,3,FALSE)))</f>
        <v/>
      </c>
      <c r="M206" s="297" t="str">
        <f>IF(D206="","",VLOOKUP(D206,'G-6 Hedgerow Data'!$B$1:$AH$15,33,FALSE))</f>
        <v/>
      </c>
      <c r="N206" s="304" t="str">
        <f t="shared" si="23"/>
        <v/>
      </c>
      <c r="O206" s="17"/>
      <c r="P206" s="103"/>
      <c r="Q206" s="141"/>
      <c r="R206" s="320" t="str">
        <f t="shared" si="24"/>
        <v/>
      </c>
      <c r="S206" s="320" t="str">
        <f t="shared" si="25"/>
        <v/>
      </c>
      <c r="T206" s="320" t="str">
        <f t="shared" si="26"/>
        <v/>
      </c>
      <c r="U206" s="339" t="str">
        <f t="shared" si="27"/>
        <v/>
      </c>
      <c r="V206" s="100"/>
      <c r="W206" s="101"/>
      <c r="X206" s="101"/>
      <c r="AE206" s="105" t="str">
        <f t="shared" si="21"/>
        <v/>
      </c>
      <c r="AF206" s="105" t="str">
        <f t="shared" si="22"/>
        <v/>
      </c>
      <c r="AH206" s="105">
        <v>197</v>
      </c>
      <c r="AJ206" s="105" t="str">
        <f t="array" ref="AJ206">IFERROR(INDEX($AH$10:$AH$258, MATCH(0, IF(TRUE=$AE$10:$AE$258, COUNTIF($AJ$9:$AJ205, $AH$10:$AH$258), ""), 0)),"")</f>
        <v/>
      </c>
      <c r="AK206" s="105" t="str">
        <f t="array" ref="AK206">IFERROR(INDEX($AH$10:$AH$258, MATCH(0, IF(TRUE=$AF$10:$AF$258, COUNTIF($AK$9:$AK205, $AH$10:$AH$258), ""), 0)),"")</f>
        <v/>
      </c>
      <c r="AL206" s="15" t="str">
        <f>IFERROR(INDEX('G-6 Hedgerow Data'!$BJ$3:$BJ$15,MATCH(D206,'G-6 Hedgerow Data'!$B$3:$B$15,0)),"")</f>
        <v/>
      </c>
    </row>
    <row r="207" spans="2:38" x14ac:dyDescent="0.3">
      <c r="B207" s="92">
        <v>198</v>
      </c>
      <c r="C207" s="141"/>
      <c r="D207" s="141"/>
      <c r="E207" s="102"/>
      <c r="F207" s="335" t="str">
        <f>IF(D207="","",VLOOKUP(D207,'G-6 Hedgerow Data'!$B$2:$AG$15,2,FALSE))</f>
        <v/>
      </c>
      <c r="G207" s="291" t="str">
        <f>IF(D207="","",VLOOKUP(D207,'G-6 Hedgerow Data'!$B$2:$AG$15,3,FALSE))</f>
        <v/>
      </c>
      <c r="H207" s="95"/>
      <c r="I207" s="291" t="str">
        <f>IFERROR(IF(AND(D207&lt;&gt;"",H207=""),"Check data ⚠", IF(H207="","",IF(AND(D207="Non-native and ornamental hedgerow", H207&lt;&gt;"Poor"),"Not possible ▲", (VLOOKUP(H207,'G-1 All Habitats'!$Z$2:$AA$9,2,FALSE))))),"")</f>
        <v/>
      </c>
      <c r="J207" s="95"/>
      <c r="K207" s="298" t="str">
        <f>IF(AND(D207&lt;&gt;"",J207=""),"Check data ⚠", IF(J207="","",IF(VLOOKUP(J207,'G-3 Multipliers'!$L$3:$N$6,2,FALSE)=0,"Spatial Data Missing",VLOOKUP(J207,'G-3 Multipliers'!$L$3:$N$6,2,FALSE))))</f>
        <v/>
      </c>
      <c r="L207" s="296" t="str">
        <f>IF(J207="","",IF(VLOOKUP(J207,'G-3 Multipliers'!$L$3:$N$6,3,FALSE)=0,"Spatial Data Missing ⚠",VLOOKUP(J207,'G-3 Multipliers'!$L$3:$N$6,3,FALSE)))</f>
        <v/>
      </c>
      <c r="M207" s="297" t="str">
        <f>IF(D207="","",VLOOKUP(D207,'G-6 Hedgerow Data'!$B$1:$AH$15,33,FALSE))</f>
        <v/>
      </c>
      <c r="N207" s="304" t="str">
        <f t="shared" si="23"/>
        <v/>
      </c>
      <c r="O207" s="17"/>
      <c r="P207" s="103"/>
      <c r="Q207" s="141"/>
      <c r="R207" s="320" t="str">
        <f t="shared" si="24"/>
        <v/>
      </c>
      <c r="S207" s="320" t="str">
        <f t="shared" si="25"/>
        <v/>
      </c>
      <c r="T207" s="320" t="str">
        <f t="shared" si="26"/>
        <v/>
      </c>
      <c r="U207" s="339" t="str">
        <f t="shared" si="27"/>
        <v/>
      </c>
      <c r="V207" s="100"/>
      <c r="W207" s="101"/>
      <c r="X207" s="101"/>
      <c r="AE207" s="105" t="str">
        <f t="shared" si="21"/>
        <v/>
      </c>
      <c r="AF207" s="105" t="str">
        <f t="shared" si="22"/>
        <v/>
      </c>
      <c r="AH207" s="105">
        <v>198</v>
      </c>
      <c r="AJ207" s="105" t="str">
        <f t="array" ref="AJ207">IFERROR(INDEX($AH$10:$AH$258, MATCH(0, IF(TRUE=$AE$10:$AE$258, COUNTIF($AJ$9:$AJ206, $AH$10:$AH$258), ""), 0)),"")</f>
        <v/>
      </c>
      <c r="AK207" s="105" t="str">
        <f t="array" ref="AK207">IFERROR(INDEX($AH$10:$AH$258, MATCH(0, IF(TRUE=$AF$10:$AF$258, COUNTIF($AK$9:$AK206, $AH$10:$AH$258), ""), 0)),"")</f>
        <v/>
      </c>
      <c r="AL207" s="15" t="str">
        <f>IFERROR(INDEX('G-6 Hedgerow Data'!$BJ$3:$BJ$15,MATCH(D207,'G-6 Hedgerow Data'!$B$3:$B$15,0)),"")</f>
        <v/>
      </c>
    </row>
    <row r="208" spans="2:38" x14ac:dyDescent="0.3">
      <c r="B208" s="92">
        <v>199</v>
      </c>
      <c r="C208" s="141"/>
      <c r="D208" s="141"/>
      <c r="E208" s="102"/>
      <c r="F208" s="335" t="str">
        <f>IF(D208="","",VLOOKUP(D208,'G-6 Hedgerow Data'!$B$2:$AG$15,2,FALSE))</f>
        <v/>
      </c>
      <c r="G208" s="291" t="str">
        <f>IF(D208="","",VLOOKUP(D208,'G-6 Hedgerow Data'!$B$2:$AG$15,3,FALSE))</f>
        <v/>
      </c>
      <c r="H208" s="95"/>
      <c r="I208" s="291" t="str">
        <f>IFERROR(IF(AND(D208&lt;&gt;"",H208=""),"Check data ⚠", IF(H208="","",IF(AND(D208="Non-native and ornamental hedgerow", H208&lt;&gt;"Poor"),"Not possible ▲", (VLOOKUP(H208,'G-1 All Habitats'!$Z$2:$AA$9,2,FALSE))))),"")</f>
        <v/>
      </c>
      <c r="J208" s="95"/>
      <c r="K208" s="298" t="str">
        <f>IF(AND(D208&lt;&gt;"",J208=""),"Check data ⚠", IF(J208="","",IF(VLOOKUP(J208,'G-3 Multipliers'!$L$3:$N$6,2,FALSE)=0,"Spatial Data Missing",VLOOKUP(J208,'G-3 Multipliers'!$L$3:$N$6,2,FALSE))))</f>
        <v/>
      </c>
      <c r="L208" s="296" t="str">
        <f>IF(J208="","",IF(VLOOKUP(J208,'G-3 Multipliers'!$L$3:$N$6,3,FALSE)=0,"Spatial Data Missing ⚠",VLOOKUP(J208,'G-3 Multipliers'!$L$3:$N$6,3,FALSE)))</f>
        <v/>
      </c>
      <c r="M208" s="297" t="str">
        <f>IF(D208="","",VLOOKUP(D208,'G-6 Hedgerow Data'!$B$1:$AH$15,33,FALSE))</f>
        <v/>
      </c>
      <c r="N208" s="304" t="str">
        <f t="shared" si="23"/>
        <v/>
      </c>
      <c r="O208" s="17"/>
      <c r="P208" s="103"/>
      <c r="Q208" s="141"/>
      <c r="R208" s="320" t="str">
        <f t="shared" si="24"/>
        <v/>
      </c>
      <c r="S208" s="320" t="str">
        <f t="shared" si="25"/>
        <v/>
      </c>
      <c r="T208" s="320" t="str">
        <f t="shared" si="26"/>
        <v/>
      </c>
      <c r="U208" s="339" t="str">
        <f t="shared" si="27"/>
        <v/>
      </c>
      <c r="V208" s="100"/>
      <c r="W208" s="101"/>
      <c r="X208" s="101"/>
      <c r="AE208" s="105" t="str">
        <f t="shared" si="21"/>
        <v/>
      </c>
      <c r="AF208" s="105" t="str">
        <f t="shared" si="22"/>
        <v/>
      </c>
      <c r="AH208" s="105">
        <v>199</v>
      </c>
      <c r="AJ208" s="105" t="str">
        <f t="array" ref="AJ208">IFERROR(INDEX($AH$10:$AH$258, MATCH(0, IF(TRUE=$AE$10:$AE$258, COUNTIF($AJ$9:$AJ207, $AH$10:$AH$258), ""), 0)),"")</f>
        <v/>
      </c>
      <c r="AK208" s="105" t="str">
        <f t="array" ref="AK208">IFERROR(INDEX($AH$10:$AH$258, MATCH(0, IF(TRUE=$AF$10:$AF$258, COUNTIF($AK$9:$AK207, $AH$10:$AH$258), ""), 0)),"")</f>
        <v/>
      </c>
      <c r="AL208" s="15" t="str">
        <f>IFERROR(INDEX('G-6 Hedgerow Data'!$BJ$3:$BJ$15,MATCH(D208,'G-6 Hedgerow Data'!$B$3:$B$15,0)),"")</f>
        <v/>
      </c>
    </row>
    <row r="209" spans="2:38" x14ac:dyDescent="0.3">
      <c r="B209" s="92">
        <v>200</v>
      </c>
      <c r="C209" s="141"/>
      <c r="D209" s="141"/>
      <c r="E209" s="102"/>
      <c r="F209" s="335" t="str">
        <f>IF(D209="","",VLOOKUP(D209,'G-6 Hedgerow Data'!$B$2:$AG$15,2,FALSE))</f>
        <v/>
      </c>
      <c r="G209" s="291" t="str">
        <f>IF(D209="","",VLOOKUP(D209,'G-6 Hedgerow Data'!$B$2:$AG$15,3,FALSE))</f>
        <v/>
      </c>
      <c r="H209" s="95"/>
      <c r="I209" s="291" t="str">
        <f>IFERROR(IF(AND(D209&lt;&gt;"",H209=""),"Check data ⚠", IF(H209="","",IF(AND(D209="Non-native and ornamental hedgerow", H209&lt;&gt;"Poor"),"Not possible ▲", (VLOOKUP(H209,'G-1 All Habitats'!$Z$2:$AA$9,2,FALSE))))),"")</f>
        <v/>
      </c>
      <c r="J209" s="95"/>
      <c r="K209" s="298" t="str">
        <f>IF(AND(D209&lt;&gt;"",J209=""),"Check data ⚠", IF(J209="","",IF(VLOOKUP(J209,'G-3 Multipliers'!$L$3:$N$6,2,FALSE)=0,"Spatial Data Missing",VLOOKUP(J209,'G-3 Multipliers'!$L$3:$N$6,2,FALSE))))</f>
        <v/>
      </c>
      <c r="L209" s="296" t="str">
        <f>IF(J209="","",IF(VLOOKUP(J209,'G-3 Multipliers'!$L$3:$N$6,3,FALSE)=0,"Spatial Data Missing ⚠",VLOOKUP(J209,'G-3 Multipliers'!$L$3:$N$6,3,FALSE)))</f>
        <v/>
      </c>
      <c r="M209" s="297" t="str">
        <f>IF(D209="","",VLOOKUP(D209,'G-6 Hedgerow Data'!$B$1:$AH$15,33,FALSE))</f>
        <v/>
      </c>
      <c r="N209" s="304" t="str">
        <f t="shared" si="23"/>
        <v/>
      </c>
      <c r="O209" s="17"/>
      <c r="P209" s="103"/>
      <c r="Q209" s="141"/>
      <c r="R209" s="320" t="str">
        <f t="shared" si="24"/>
        <v/>
      </c>
      <c r="S209" s="320" t="str">
        <f t="shared" si="25"/>
        <v/>
      </c>
      <c r="T209" s="320" t="str">
        <f t="shared" si="26"/>
        <v/>
      </c>
      <c r="U209" s="339" t="str">
        <f t="shared" si="27"/>
        <v/>
      </c>
      <c r="V209" s="100"/>
      <c r="W209" s="101"/>
      <c r="X209" s="101"/>
      <c r="AE209" s="105" t="str">
        <f t="shared" si="21"/>
        <v/>
      </c>
      <c r="AF209" s="105" t="str">
        <f t="shared" si="22"/>
        <v/>
      </c>
      <c r="AH209" s="105">
        <v>200</v>
      </c>
      <c r="AJ209" s="105" t="str">
        <f t="array" ref="AJ209">IFERROR(INDEX($AH$10:$AH$258, MATCH(0, IF(TRUE=$AE$10:$AE$258, COUNTIF($AJ$9:$AJ208, $AH$10:$AH$258), ""), 0)),"")</f>
        <v/>
      </c>
      <c r="AK209" s="105" t="str">
        <f t="array" ref="AK209">IFERROR(INDEX($AH$10:$AH$258, MATCH(0, IF(TRUE=$AF$10:$AF$258, COUNTIF($AK$9:$AK208, $AH$10:$AH$258), ""), 0)),"")</f>
        <v/>
      </c>
      <c r="AL209" s="15" t="str">
        <f>IFERROR(INDEX('G-6 Hedgerow Data'!$BJ$3:$BJ$15,MATCH(D209,'G-6 Hedgerow Data'!$B$3:$B$15,0)),"")</f>
        <v/>
      </c>
    </row>
    <row r="210" spans="2:38" x14ac:dyDescent="0.3">
      <c r="B210" s="92">
        <v>201</v>
      </c>
      <c r="C210" s="141"/>
      <c r="D210" s="141"/>
      <c r="E210" s="102"/>
      <c r="F210" s="335" t="str">
        <f>IF(D210="","",VLOOKUP(D210,'G-6 Hedgerow Data'!$B$2:$AG$15,2,FALSE))</f>
        <v/>
      </c>
      <c r="G210" s="291" t="str">
        <f>IF(D210="","",VLOOKUP(D210,'G-6 Hedgerow Data'!$B$2:$AG$15,3,FALSE))</f>
        <v/>
      </c>
      <c r="H210" s="95"/>
      <c r="I210" s="291" t="str">
        <f>IFERROR(IF(AND(D210&lt;&gt;"",H210=""),"Check data ⚠", IF(H210="","",IF(AND(D210="Non-native and ornamental hedgerow", H210&lt;&gt;"Poor"),"Not possible ▲", (VLOOKUP(H210,'G-1 All Habitats'!$Z$2:$AA$9,2,FALSE))))),"")</f>
        <v/>
      </c>
      <c r="J210" s="95"/>
      <c r="K210" s="298" t="str">
        <f>IF(AND(D210&lt;&gt;"",J210=""),"Check data ⚠", IF(J210="","",IF(VLOOKUP(J210,'G-3 Multipliers'!$L$3:$N$6,2,FALSE)=0,"Spatial Data Missing",VLOOKUP(J210,'G-3 Multipliers'!$L$3:$N$6,2,FALSE))))</f>
        <v/>
      </c>
      <c r="L210" s="296" t="str">
        <f>IF(J210="","",IF(VLOOKUP(J210,'G-3 Multipliers'!$L$3:$N$6,3,FALSE)=0,"Spatial Data Missing ⚠",VLOOKUP(J210,'G-3 Multipliers'!$L$3:$N$6,3,FALSE)))</f>
        <v/>
      </c>
      <c r="M210" s="297" t="str">
        <f>IF(D210="","",VLOOKUP(D210,'G-6 Hedgerow Data'!$B$1:$AH$15,33,FALSE))</f>
        <v/>
      </c>
      <c r="N210" s="304" t="str">
        <f t="shared" si="23"/>
        <v/>
      </c>
      <c r="O210" s="17"/>
      <c r="P210" s="103"/>
      <c r="Q210" s="141"/>
      <c r="R210" s="320" t="str">
        <f t="shared" si="24"/>
        <v/>
      </c>
      <c r="S210" s="320" t="str">
        <f t="shared" si="25"/>
        <v/>
      </c>
      <c r="T210" s="320" t="str">
        <f t="shared" si="26"/>
        <v/>
      </c>
      <c r="U210" s="339" t="str">
        <f t="shared" si="27"/>
        <v/>
      </c>
      <c r="V210" s="100"/>
      <c r="W210" s="101"/>
      <c r="X210" s="101"/>
      <c r="AE210" s="105" t="str">
        <f t="shared" si="21"/>
        <v/>
      </c>
      <c r="AF210" s="105" t="str">
        <f t="shared" si="22"/>
        <v/>
      </c>
      <c r="AH210" s="105">
        <v>201</v>
      </c>
      <c r="AJ210" s="105" t="str">
        <f t="array" ref="AJ210">IFERROR(INDEX($AH$10:$AH$258, MATCH(0, IF(TRUE=$AE$10:$AE$258, COUNTIF($AJ$9:$AJ209, $AH$10:$AH$258), ""), 0)),"")</f>
        <v/>
      </c>
      <c r="AK210" s="105" t="str">
        <f t="array" ref="AK210">IFERROR(INDEX($AH$10:$AH$258, MATCH(0, IF(TRUE=$AF$10:$AF$258, COUNTIF($AK$9:$AK209, $AH$10:$AH$258), ""), 0)),"")</f>
        <v/>
      </c>
      <c r="AL210" s="15" t="str">
        <f>IFERROR(INDEX('G-6 Hedgerow Data'!$BJ$3:$BJ$15,MATCH(D210,'G-6 Hedgerow Data'!$B$3:$B$15,0)),"")</f>
        <v/>
      </c>
    </row>
    <row r="211" spans="2:38" x14ac:dyDescent="0.3">
      <c r="B211" s="92">
        <v>202</v>
      </c>
      <c r="C211" s="141"/>
      <c r="D211" s="141"/>
      <c r="E211" s="102"/>
      <c r="F211" s="335" t="str">
        <f>IF(D211="","",VLOOKUP(D211,'G-6 Hedgerow Data'!$B$2:$AG$15,2,FALSE))</f>
        <v/>
      </c>
      <c r="G211" s="291" t="str">
        <f>IF(D211="","",VLOOKUP(D211,'G-6 Hedgerow Data'!$B$2:$AG$15,3,FALSE))</f>
        <v/>
      </c>
      <c r="H211" s="95"/>
      <c r="I211" s="291" t="str">
        <f>IFERROR(IF(AND(D211&lt;&gt;"",H211=""),"Check data ⚠", IF(H211="","",IF(AND(D211="Non-native and ornamental hedgerow", H211&lt;&gt;"Poor"),"Not possible ▲", (VLOOKUP(H211,'G-1 All Habitats'!$Z$2:$AA$9,2,FALSE))))),"")</f>
        <v/>
      </c>
      <c r="J211" s="95"/>
      <c r="K211" s="298" t="str">
        <f>IF(AND(D211&lt;&gt;"",J211=""),"Check data ⚠", IF(J211="","",IF(VLOOKUP(J211,'G-3 Multipliers'!$L$3:$N$6,2,FALSE)=0,"Spatial Data Missing",VLOOKUP(J211,'G-3 Multipliers'!$L$3:$N$6,2,FALSE))))</f>
        <v/>
      </c>
      <c r="L211" s="296" t="str">
        <f>IF(J211="","",IF(VLOOKUP(J211,'G-3 Multipliers'!$L$3:$N$6,3,FALSE)=0,"Spatial Data Missing ⚠",VLOOKUP(J211,'G-3 Multipliers'!$L$3:$N$6,3,FALSE)))</f>
        <v/>
      </c>
      <c r="M211" s="297" t="str">
        <f>IF(D211="","",VLOOKUP(D211,'G-6 Hedgerow Data'!$B$1:$AH$15,33,FALSE))</f>
        <v/>
      </c>
      <c r="N211" s="304" t="str">
        <f t="shared" si="23"/>
        <v/>
      </c>
      <c r="O211" s="17"/>
      <c r="P211" s="103"/>
      <c r="Q211" s="141"/>
      <c r="R211" s="320" t="str">
        <f t="shared" si="24"/>
        <v/>
      </c>
      <c r="S211" s="320" t="str">
        <f t="shared" si="25"/>
        <v/>
      </c>
      <c r="T211" s="320" t="str">
        <f t="shared" si="26"/>
        <v/>
      </c>
      <c r="U211" s="339" t="str">
        <f t="shared" si="27"/>
        <v/>
      </c>
      <c r="V211" s="100"/>
      <c r="W211" s="101"/>
      <c r="X211" s="101"/>
      <c r="AE211" s="105" t="str">
        <f t="shared" si="21"/>
        <v/>
      </c>
      <c r="AF211" s="105" t="str">
        <f t="shared" si="22"/>
        <v/>
      </c>
      <c r="AH211" s="105">
        <v>202</v>
      </c>
      <c r="AJ211" s="105" t="str">
        <f t="array" ref="AJ211">IFERROR(INDEX($AH$10:$AH$258, MATCH(0, IF(TRUE=$AE$10:$AE$258, COUNTIF($AJ$9:$AJ210, $AH$10:$AH$258), ""), 0)),"")</f>
        <v/>
      </c>
      <c r="AK211" s="105" t="str">
        <f t="array" ref="AK211">IFERROR(INDEX($AH$10:$AH$258, MATCH(0, IF(TRUE=$AF$10:$AF$258, COUNTIF($AK$9:$AK210, $AH$10:$AH$258), ""), 0)),"")</f>
        <v/>
      </c>
      <c r="AL211" s="15" t="str">
        <f>IFERROR(INDEX('G-6 Hedgerow Data'!$BJ$3:$BJ$15,MATCH(D211,'G-6 Hedgerow Data'!$B$3:$B$15,0)),"")</f>
        <v/>
      </c>
    </row>
    <row r="212" spans="2:38" x14ac:dyDescent="0.3">
      <c r="B212" s="92">
        <v>203</v>
      </c>
      <c r="C212" s="141"/>
      <c r="D212" s="141"/>
      <c r="E212" s="102"/>
      <c r="F212" s="335" t="str">
        <f>IF(D212="","",VLOOKUP(D212,'G-6 Hedgerow Data'!$B$2:$AG$15,2,FALSE))</f>
        <v/>
      </c>
      <c r="G212" s="291" t="str">
        <f>IF(D212="","",VLOOKUP(D212,'G-6 Hedgerow Data'!$B$2:$AG$15,3,FALSE))</f>
        <v/>
      </c>
      <c r="H212" s="95"/>
      <c r="I212" s="291" t="str">
        <f>IFERROR(IF(AND(D212&lt;&gt;"",H212=""),"Check data ⚠", IF(H212="","",IF(AND(D212="Non-native and ornamental hedgerow", H212&lt;&gt;"Poor"),"Not possible ▲", (VLOOKUP(H212,'G-1 All Habitats'!$Z$2:$AA$9,2,FALSE))))),"")</f>
        <v/>
      </c>
      <c r="J212" s="95"/>
      <c r="K212" s="298" t="str">
        <f>IF(AND(D212&lt;&gt;"",J212=""),"Check data ⚠", IF(J212="","",IF(VLOOKUP(J212,'G-3 Multipliers'!$L$3:$N$6,2,FALSE)=0,"Spatial Data Missing",VLOOKUP(J212,'G-3 Multipliers'!$L$3:$N$6,2,FALSE))))</f>
        <v/>
      </c>
      <c r="L212" s="296" t="str">
        <f>IF(J212="","",IF(VLOOKUP(J212,'G-3 Multipliers'!$L$3:$N$6,3,FALSE)=0,"Spatial Data Missing ⚠",VLOOKUP(J212,'G-3 Multipliers'!$L$3:$N$6,3,FALSE)))</f>
        <v/>
      </c>
      <c r="M212" s="297" t="str">
        <f>IF(D212="","",VLOOKUP(D212,'G-6 Hedgerow Data'!$B$1:$AH$15,33,FALSE))</f>
        <v/>
      </c>
      <c r="N212" s="304" t="str">
        <f t="shared" si="23"/>
        <v/>
      </c>
      <c r="O212" s="17"/>
      <c r="P212" s="103"/>
      <c r="Q212" s="141"/>
      <c r="R212" s="320" t="str">
        <f t="shared" si="24"/>
        <v/>
      </c>
      <c r="S212" s="320" t="str">
        <f t="shared" si="25"/>
        <v/>
      </c>
      <c r="T212" s="320" t="str">
        <f t="shared" si="26"/>
        <v/>
      </c>
      <c r="U212" s="339" t="str">
        <f t="shared" si="27"/>
        <v/>
      </c>
      <c r="V212" s="100"/>
      <c r="W212" s="101"/>
      <c r="X212" s="101"/>
      <c r="AE212" s="105" t="str">
        <f t="shared" si="21"/>
        <v/>
      </c>
      <c r="AF212" s="105" t="str">
        <f t="shared" si="22"/>
        <v/>
      </c>
      <c r="AH212" s="105">
        <v>203</v>
      </c>
      <c r="AJ212" s="105" t="str">
        <f t="array" ref="AJ212">IFERROR(INDEX($AH$10:$AH$258, MATCH(0, IF(TRUE=$AE$10:$AE$258, COUNTIF($AJ$9:$AJ211, $AH$10:$AH$258), ""), 0)),"")</f>
        <v/>
      </c>
      <c r="AK212" s="105" t="str">
        <f t="array" ref="AK212">IFERROR(INDEX($AH$10:$AH$258, MATCH(0, IF(TRUE=$AF$10:$AF$258, COUNTIF($AK$9:$AK211, $AH$10:$AH$258), ""), 0)),"")</f>
        <v/>
      </c>
      <c r="AL212" s="15" t="str">
        <f>IFERROR(INDEX('G-6 Hedgerow Data'!$BJ$3:$BJ$15,MATCH(D212,'G-6 Hedgerow Data'!$B$3:$B$15,0)),"")</f>
        <v/>
      </c>
    </row>
    <row r="213" spans="2:38" x14ac:dyDescent="0.3">
      <c r="B213" s="92">
        <v>204</v>
      </c>
      <c r="C213" s="141"/>
      <c r="D213" s="141"/>
      <c r="E213" s="102"/>
      <c r="F213" s="335" t="str">
        <f>IF(D213="","",VLOOKUP(D213,'G-6 Hedgerow Data'!$B$2:$AG$15,2,FALSE))</f>
        <v/>
      </c>
      <c r="G213" s="291" t="str">
        <f>IF(D213="","",VLOOKUP(D213,'G-6 Hedgerow Data'!$B$2:$AG$15,3,FALSE))</f>
        <v/>
      </c>
      <c r="H213" s="95"/>
      <c r="I213" s="291" t="str">
        <f>IFERROR(IF(AND(D213&lt;&gt;"",H213=""),"Check data ⚠", IF(H213="","",IF(AND(D213="Non-native and ornamental hedgerow", H213&lt;&gt;"Poor"),"Not possible ▲", (VLOOKUP(H213,'G-1 All Habitats'!$Z$2:$AA$9,2,FALSE))))),"")</f>
        <v/>
      </c>
      <c r="J213" s="95"/>
      <c r="K213" s="298" t="str">
        <f>IF(AND(D213&lt;&gt;"",J213=""),"Check data ⚠", IF(J213="","",IF(VLOOKUP(J213,'G-3 Multipliers'!$L$3:$N$6,2,FALSE)=0,"Spatial Data Missing",VLOOKUP(J213,'G-3 Multipliers'!$L$3:$N$6,2,FALSE))))</f>
        <v/>
      </c>
      <c r="L213" s="296" t="str">
        <f>IF(J213="","",IF(VLOOKUP(J213,'G-3 Multipliers'!$L$3:$N$6,3,FALSE)=0,"Spatial Data Missing ⚠",VLOOKUP(J213,'G-3 Multipliers'!$L$3:$N$6,3,FALSE)))</f>
        <v/>
      </c>
      <c r="M213" s="297" t="str">
        <f>IF(D213="","",VLOOKUP(D213,'G-6 Hedgerow Data'!$B$1:$AH$15,33,FALSE))</f>
        <v/>
      </c>
      <c r="N213" s="304" t="str">
        <f t="shared" si="23"/>
        <v/>
      </c>
      <c r="O213" s="17"/>
      <c r="P213" s="103"/>
      <c r="Q213" s="141"/>
      <c r="R213" s="320" t="str">
        <f t="shared" si="24"/>
        <v/>
      </c>
      <c r="S213" s="320" t="str">
        <f t="shared" si="25"/>
        <v/>
      </c>
      <c r="T213" s="320" t="str">
        <f t="shared" si="26"/>
        <v/>
      </c>
      <c r="U213" s="339" t="str">
        <f t="shared" si="27"/>
        <v/>
      </c>
      <c r="V213" s="100"/>
      <c r="W213" s="101"/>
      <c r="X213" s="101"/>
      <c r="AE213" s="105" t="str">
        <f t="shared" si="21"/>
        <v/>
      </c>
      <c r="AF213" s="105" t="str">
        <f t="shared" si="22"/>
        <v/>
      </c>
      <c r="AH213" s="105">
        <v>204</v>
      </c>
      <c r="AJ213" s="105" t="str">
        <f t="array" ref="AJ213">IFERROR(INDEX($AH$10:$AH$258, MATCH(0, IF(TRUE=$AE$10:$AE$258, COUNTIF($AJ$9:$AJ212, $AH$10:$AH$258), ""), 0)),"")</f>
        <v/>
      </c>
      <c r="AK213" s="105" t="str">
        <f t="array" ref="AK213">IFERROR(INDEX($AH$10:$AH$258, MATCH(0, IF(TRUE=$AF$10:$AF$258, COUNTIF($AK$9:$AK212, $AH$10:$AH$258), ""), 0)),"")</f>
        <v/>
      </c>
      <c r="AL213" s="15" t="str">
        <f>IFERROR(INDEX('G-6 Hedgerow Data'!$BJ$3:$BJ$15,MATCH(D213,'G-6 Hedgerow Data'!$B$3:$B$15,0)),"")</f>
        <v/>
      </c>
    </row>
    <row r="214" spans="2:38" x14ac:dyDescent="0.3">
      <c r="B214" s="92">
        <v>205</v>
      </c>
      <c r="C214" s="141"/>
      <c r="D214" s="141"/>
      <c r="E214" s="102"/>
      <c r="F214" s="335" t="str">
        <f>IF(D214="","",VLOOKUP(D214,'G-6 Hedgerow Data'!$B$2:$AG$15,2,FALSE))</f>
        <v/>
      </c>
      <c r="G214" s="291" t="str">
        <f>IF(D214="","",VLOOKUP(D214,'G-6 Hedgerow Data'!$B$2:$AG$15,3,FALSE))</f>
        <v/>
      </c>
      <c r="H214" s="95"/>
      <c r="I214" s="291" t="str">
        <f>IFERROR(IF(AND(D214&lt;&gt;"",H214=""),"Check data ⚠", IF(H214="","",IF(AND(D214="Non-native and ornamental hedgerow", H214&lt;&gt;"Poor"),"Not possible ▲", (VLOOKUP(H214,'G-1 All Habitats'!$Z$2:$AA$9,2,FALSE))))),"")</f>
        <v/>
      </c>
      <c r="J214" s="95"/>
      <c r="K214" s="298" t="str">
        <f>IF(AND(D214&lt;&gt;"",J214=""),"Check data ⚠", IF(J214="","",IF(VLOOKUP(J214,'G-3 Multipliers'!$L$3:$N$6,2,FALSE)=0,"Spatial Data Missing",VLOOKUP(J214,'G-3 Multipliers'!$L$3:$N$6,2,FALSE))))</f>
        <v/>
      </c>
      <c r="L214" s="296" t="str">
        <f>IF(J214="","",IF(VLOOKUP(J214,'G-3 Multipliers'!$L$3:$N$6,3,FALSE)=0,"Spatial Data Missing ⚠",VLOOKUP(J214,'G-3 Multipliers'!$L$3:$N$6,3,FALSE)))</f>
        <v/>
      </c>
      <c r="M214" s="297" t="str">
        <f>IF(D214="","",VLOOKUP(D214,'G-6 Hedgerow Data'!$B$1:$AH$15,33,FALSE))</f>
        <v/>
      </c>
      <c r="N214" s="304" t="str">
        <f t="shared" si="23"/>
        <v/>
      </c>
      <c r="O214" s="17"/>
      <c r="P214" s="103"/>
      <c r="Q214" s="141"/>
      <c r="R214" s="320" t="str">
        <f t="shared" si="24"/>
        <v/>
      </c>
      <c r="S214" s="320" t="str">
        <f t="shared" si="25"/>
        <v/>
      </c>
      <c r="T214" s="320" t="str">
        <f t="shared" si="26"/>
        <v/>
      </c>
      <c r="U214" s="339" t="str">
        <f t="shared" si="27"/>
        <v/>
      </c>
      <c r="V214" s="100"/>
      <c r="W214" s="101"/>
      <c r="X214" s="101"/>
      <c r="AE214" s="105" t="str">
        <f t="shared" si="21"/>
        <v/>
      </c>
      <c r="AF214" s="105" t="str">
        <f t="shared" si="22"/>
        <v/>
      </c>
      <c r="AH214" s="105">
        <v>205</v>
      </c>
      <c r="AJ214" s="105" t="str">
        <f t="array" ref="AJ214">IFERROR(INDEX($AH$10:$AH$258, MATCH(0, IF(TRUE=$AE$10:$AE$258, COUNTIF($AJ$9:$AJ213, $AH$10:$AH$258), ""), 0)),"")</f>
        <v/>
      </c>
      <c r="AK214" s="105" t="str">
        <f t="array" ref="AK214">IFERROR(INDEX($AH$10:$AH$258, MATCH(0, IF(TRUE=$AF$10:$AF$258, COUNTIF($AK$9:$AK213, $AH$10:$AH$258), ""), 0)),"")</f>
        <v/>
      </c>
      <c r="AL214" s="15" t="str">
        <f>IFERROR(INDEX('G-6 Hedgerow Data'!$BJ$3:$BJ$15,MATCH(D214,'G-6 Hedgerow Data'!$B$3:$B$15,0)),"")</f>
        <v/>
      </c>
    </row>
    <row r="215" spans="2:38" x14ac:dyDescent="0.3">
      <c r="B215" s="92">
        <v>206</v>
      </c>
      <c r="C215" s="141"/>
      <c r="D215" s="141"/>
      <c r="E215" s="102"/>
      <c r="F215" s="335" t="str">
        <f>IF(D215="","",VLOOKUP(D215,'G-6 Hedgerow Data'!$B$2:$AG$15,2,FALSE))</f>
        <v/>
      </c>
      <c r="G215" s="291" t="str">
        <f>IF(D215="","",VLOOKUP(D215,'G-6 Hedgerow Data'!$B$2:$AG$15,3,FALSE))</f>
        <v/>
      </c>
      <c r="H215" s="95"/>
      <c r="I215" s="291" t="str">
        <f>IFERROR(IF(AND(D215&lt;&gt;"",H215=""),"Check data ⚠", IF(H215="","",IF(AND(D215="Non-native and ornamental hedgerow", H215&lt;&gt;"Poor"),"Not possible ▲", (VLOOKUP(H215,'G-1 All Habitats'!$Z$2:$AA$9,2,FALSE))))),"")</f>
        <v/>
      </c>
      <c r="J215" s="95"/>
      <c r="K215" s="298" t="str">
        <f>IF(AND(D215&lt;&gt;"",J215=""),"Check data ⚠", IF(J215="","",IF(VLOOKUP(J215,'G-3 Multipliers'!$L$3:$N$6,2,FALSE)=0,"Spatial Data Missing",VLOOKUP(J215,'G-3 Multipliers'!$L$3:$N$6,2,FALSE))))</f>
        <v/>
      </c>
      <c r="L215" s="296" t="str">
        <f>IF(J215="","",IF(VLOOKUP(J215,'G-3 Multipliers'!$L$3:$N$6,3,FALSE)=0,"Spatial Data Missing ⚠",VLOOKUP(J215,'G-3 Multipliers'!$L$3:$N$6,3,FALSE)))</f>
        <v/>
      </c>
      <c r="M215" s="297" t="str">
        <f>IF(D215="","",VLOOKUP(D215,'G-6 Hedgerow Data'!$B$1:$AH$15,33,FALSE))</f>
        <v/>
      </c>
      <c r="N215" s="304" t="str">
        <f t="shared" si="23"/>
        <v/>
      </c>
      <c r="O215" s="17"/>
      <c r="P215" s="103"/>
      <c r="Q215" s="141"/>
      <c r="R215" s="320" t="str">
        <f t="shared" si="24"/>
        <v/>
      </c>
      <c r="S215" s="320" t="str">
        <f t="shared" si="25"/>
        <v/>
      </c>
      <c r="T215" s="320" t="str">
        <f t="shared" si="26"/>
        <v/>
      </c>
      <c r="U215" s="339" t="str">
        <f t="shared" si="27"/>
        <v/>
      </c>
      <c r="V215" s="100"/>
      <c r="W215" s="101"/>
      <c r="X215" s="101"/>
      <c r="AE215" s="105" t="str">
        <f t="shared" si="21"/>
        <v/>
      </c>
      <c r="AF215" s="105" t="str">
        <f t="shared" si="22"/>
        <v/>
      </c>
      <c r="AH215" s="105">
        <v>206</v>
      </c>
      <c r="AJ215" s="105" t="str">
        <f t="array" ref="AJ215">IFERROR(INDEX($AH$10:$AH$258, MATCH(0, IF(TRUE=$AE$10:$AE$258, COUNTIF($AJ$9:$AJ214, $AH$10:$AH$258), ""), 0)),"")</f>
        <v/>
      </c>
      <c r="AK215" s="105" t="str">
        <f t="array" ref="AK215">IFERROR(INDEX($AH$10:$AH$258, MATCH(0, IF(TRUE=$AF$10:$AF$258, COUNTIF($AK$9:$AK214, $AH$10:$AH$258), ""), 0)),"")</f>
        <v/>
      </c>
      <c r="AL215" s="15" t="str">
        <f>IFERROR(INDEX('G-6 Hedgerow Data'!$BJ$3:$BJ$15,MATCH(D215,'G-6 Hedgerow Data'!$B$3:$B$15,0)),"")</f>
        <v/>
      </c>
    </row>
    <row r="216" spans="2:38" x14ac:dyDescent="0.3">
      <c r="B216" s="92">
        <v>207</v>
      </c>
      <c r="C216" s="141"/>
      <c r="D216" s="141"/>
      <c r="E216" s="102"/>
      <c r="F216" s="335" t="str">
        <f>IF(D216="","",VLOOKUP(D216,'G-6 Hedgerow Data'!$B$2:$AG$15,2,FALSE))</f>
        <v/>
      </c>
      <c r="G216" s="291" t="str">
        <f>IF(D216="","",VLOOKUP(D216,'G-6 Hedgerow Data'!$B$2:$AG$15,3,FALSE))</f>
        <v/>
      </c>
      <c r="H216" s="95"/>
      <c r="I216" s="291" t="str">
        <f>IFERROR(IF(AND(D216&lt;&gt;"",H216=""),"Check data ⚠", IF(H216="","",IF(AND(D216="Non-native and ornamental hedgerow", H216&lt;&gt;"Poor"),"Not possible ▲", (VLOOKUP(H216,'G-1 All Habitats'!$Z$2:$AA$9,2,FALSE))))),"")</f>
        <v/>
      </c>
      <c r="J216" s="95"/>
      <c r="K216" s="298" t="str">
        <f>IF(AND(D216&lt;&gt;"",J216=""),"Check data ⚠", IF(J216="","",IF(VLOOKUP(J216,'G-3 Multipliers'!$L$3:$N$6,2,FALSE)=0,"Spatial Data Missing",VLOOKUP(J216,'G-3 Multipliers'!$L$3:$N$6,2,FALSE))))</f>
        <v/>
      </c>
      <c r="L216" s="296" t="str">
        <f>IF(J216="","",IF(VLOOKUP(J216,'G-3 Multipliers'!$L$3:$N$6,3,FALSE)=0,"Spatial Data Missing ⚠",VLOOKUP(J216,'G-3 Multipliers'!$L$3:$N$6,3,FALSE)))</f>
        <v/>
      </c>
      <c r="M216" s="297" t="str">
        <f>IF(D216="","",VLOOKUP(D216,'G-6 Hedgerow Data'!$B$1:$AH$15,33,FALSE))</f>
        <v/>
      </c>
      <c r="N216" s="304" t="str">
        <f t="shared" si="23"/>
        <v/>
      </c>
      <c r="O216" s="17"/>
      <c r="P216" s="103"/>
      <c r="Q216" s="141"/>
      <c r="R216" s="320" t="str">
        <f t="shared" si="24"/>
        <v/>
      </c>
      <c r="S216" s="320" t="str">
        <f t="shared" si="25"/>
        <v/>
      </c>
      <c r="T216" s="320" t="str">
        <f t="shared" si="26"/>
        <v/>
      </c>
      <c r="U216" s="339" t="str">
        <f t="shared" si="27"/>
        <v/>
      </c>
      <c r="V216" s="100"/>
      <c r="W216" s="101"/>
      <c r="X216" s="101"/>
      <c r="AE216" s="105" t="str">
        <f t="shared" si="21"/>
        <v/>
      </c>
      <c r="AF216" s="105" t="str">
        <f t="shared" si="22"/>
        <v/>
      </c>
      <c r="AH216" s="105">
        <v>207</v>
      </c>
      <c r="AJ216" s="105" t="str">
        <f t="array" ref="AJ216">IFERROR(INDEX($AH$10:$AH$258, MATCH(0, IF(TRUE=$AE$10:$AE$258, COUNTIF($AJ$9:$AJ215, $AH$10:$AH$258), ""), 0)),"")</f>
        <v/>
      </c>
      <c r="AK216" s="105" t="str">
        <f t="array" ref="AK216">IFERROR(INDEX($AH$10:$AH$258, MATCH(0, IF(TRUE=$AF$10:$AF$258, COUNTIF($AK$9:$AK215, $AH$10:$AH$258), ""), 0)),"")</f>
        <v/>
      </c>
      <c r="AL216" s="15" t="str">
        <f>IFERROR(INDEX('G-6 Hedgerow Data'!$BJ$3:$BJ$15,MATCH(D216,'G-6 Hedgerow Data'!$B$3:$B$15,0)),"")</f>
        <v/>
      </c>
    </row>
    <row r="217" spans="2:38" x14ac:dyDescent="0.3">
      <c r="B217" s="92">
        <v>208</v>
      </c>
      <c r="C217" s="141"/>
      <c r="D217" s="141"/>
      <c r="E217" s="102"/>
      <c r="F217" s="335" t="str">
        <f>IF(D217="","",VLOOKUP(D217,'G-6 Hedgerow Data'!$B$2:$AG$15,2,FALSE))</f>
        <v/>
      </c>
      <c r="G217" s="291" t="str">
        <f>IF(D217="","",VLOOKUP(D217,'G-6 Hedgerow Data'!$B$2:$AG$15,3,FALSE))</f>
        <v/>
      </c>
      <c r="H217" s="95"/>
      <c r="I217" s="291" t="str">
        <f>IFERROR(IF(AND(D217&lt;&gt;"",H217=""),"Check data ⚠", IF(H217="","",IF(AND(D217="Non-native and ornamental hedgerow", H217&lt;&gt;"Poor"),"Not possible ▲", (VLOOKUP(H217,'G-1 All Habitats'!$Z$2:$AA$9,2,FALSE))))),"")</f>
        <v/>
      </c>
      <c r="J217" s="95"/>
      <c r="K217" s="298" t="str">
        <f>IF(AND(D217&lt;&gt;"",J217=""),"Check data ⚠", IF(J217="","",IF(VLOOKUP(J217,'G-3 Multipliers'!$L$3:$N$6,2,FALSE)=0,"Spatial Data Missing",VLOOKUP(J217,'G-3 Multipliers'!$L$3:$N$6,2,FALSE))))</f>
        <v/>
      </c>
      <c r="L217" s="296" t="str">
        <f>IF(J217="","",IF(VLOOKUP(J217,'G-3 Multipliers'!$L$3:$N$6,3,FALSE)=0,"Spatial Data Missing ⚠",VLOOKUP(J217,'G-3 Multipliers'!$L$3:$N$6,3,FALSE)))</f>
        <v/>
      </c>
      <c r="M217" s="297" t="str">
        <f>IF(D217="","",VLOOKUP(D217,'G-6 Hedgerow Data'!$B$1:$AH$15,33,FALSE))</f>
        <v/>
      </c>
      <c r="N217" s="304" t="str">
        <f t="shared" si="23"/>
        <v/>
      </c>
      <c r="O217" s="17"/>
      <c r="P217" s="103"/>
      <c r="Q217" s="141"/>
      <c r="R217" s="320" t="str">
        <f t="shared" si="24"/>
        <v/>
      </c>
      <c r="S217" s="320" t="str">
        <f t="shared" si="25"/>
        <v/>
      </c>
      <c r="T217" s="320" t="str">
        <f t="shared" si="26"/>
        <v/>
      </c>
      <c r="U217" s="339" t="str">
        <f t="shared" si="27"/>
        <v/>
      </c>
      <c r="V217" s="100"/>
      <c r="W217" s="101"/>
      <c r="X217" s="101"/>
      <c r="AE217" s="105" t="str">
        <f t="shared" si="21"/>
        <v/>
      </c>
      <c r="AF217" s="105" t="str">
        <f t="shared" si="22"/>
        <v/>
      </c>
      <c r="AH217" s="105">
        <v>208</v>
      </c>
      <c r="AJ217" s="105" t="str">
        <f t="array" ref="AJ217">IFERROR(INDEX($AH$10:$AH$258, MATCH(0, IF(TRUE=$AE$10:$AE$258, COUNTIF($AJ$9:$AJ216, $AH$10:$AH$258), ""), 0)),"")</f>
        <v/>
      </c>
      <c r="AK217" s="105" t="str">
        <f t="array" ref="AK217">IFERROR(INDEX($AH$10:$AH$258, MATCH(0, IF(TRUE=$AF$10:$AF$258, COUNTIF($AK$9:$AK216, $AH$10:$AH$258), ""), 0)),"")</f>
        <v/>
      </c>
      <c r="AL217" s="15" t="str">
        <f>IFERROR(INDEX('G-6 Hedgerow Data'!$BJ$3:$BJ$15,MATCH(D217,'G-6 Hedgerow Data'!$B$3:$B$15,0)),"")</f>
        <v/>
      </c>
    </row>
    <row r="218" spans="2:38" x14ac:dyDescent="0.3">
      <c r="B218" s="92">
        <v>209</v>
      </c>
      <c r="C218" s="141"/>
      <c r="D218" s="141"/>
      <c r="E218" s="102"/>
      <c r="F218" s="335" t="str">
        <f>IF(D218="","",VLOOKUP(D218,'G-6 Hedgerow Data'!$B$2:$AG$15,2,FALSE))</f>
        <v/>
      </c>
      <c r="G218" s="291" t="str">
        <f>IF(D218="","",VLOOKUP(D218,'G-6 Hedgerow Data'!$B$2:$AG$15,3,FALSE))</f>
        <v/>
      </c>
      <c r="H218" s="95"/>
      <c r="I218" s="291" t="str">
        <f>IFERROR(IF(AND(D218&lt;&gt;"",H218=""),"Check data ⚠", IF(H218="","",IF(AND(D218="Non-native and ornamental hedgerow", H218&lt;&gt;"Poor"),"Not possible ▲", (VLOOKUP(H218,'G-1 All Habitats'!$Z$2:$AA$9,2,FALSE))))),"")</f>
        <v/>
      </c>
      <c r="J218" s="95"/>
      <c r="K218" s="298" t="str">
        <f>IF(AND(D218&lt;&gt;"",J218=""),"Check data ⚠", IF(J218="","",IF(VLOOKUP(J218,'G-3 Multipliers'!$L$3:$N$6,2,FALSE)=0,"Spatial Data Missing",VLOOKUP(J218,'G-3 Multipliers'!$L$3:$N$6,2,FALSE))))</f>
        <v/>
      </c>
      <c r="L218" s="296" t="str">
        <f>IF(J218="","",IF(VLOOKUP(J218,'G-3 Multipliers'!$L$3:$N$6,3,FALSE)=0,"Spatial Data Missing ⚠",VLOOKUP(J218,'G-3 Multipliers'!$L$3:$N$6,3,FALSE)))</f>
        <v/>
      </c>
      <c r="M218" s="297" t="str">
        <f>IF(D218="","",VLOOKUP(D218,'G-6 Hedgerow Data'!$B$1:$AH$15,33,FALSE))</f>
        <v/>
      </c>
      <c r="N218" s="304" t="str">
        <f t="shared" si="23"/>
        <v/>
      </c>
      <c r="O218" s="17"/>
      <c r="P218" s="103"/>
      <c r="Q218" s="141"/>
      <c r="R218" s="320" t="str">
        <f t="shared" si="24"/>
        <v/>
      </c>
      <c r="S218" s="320" t="str">
        <f t="shared" si="25"/>
        <v/>
      </c>
      <c r="T218" s="320" t="str">
        <f t="shared" si="26"/>
        <v/>
      </c>
      <c r="U218" s="339" t="str">
        <f t="shared" si="27"/>
        <v/>
      </c>
      <c r="V218" s="100"/>
      <c r="W218" s="101"/>
      <c r="X218" s="101"/>
      <c r="AE218" s="105" t="str">
        <f t="shared" si="21"/>
        <v/>
      </c>
      <c r="AF218" s="105" t="str">
        <f t="shared" si="22"/>
        <v/>
      </c>
      <c r="AH218" s="105">
        <v>209</v>
      </c>
      <c r="AJ218" s="105" t="str">
        <f t="array" ref="AJ218">IFERROR(INDEX($AH$10:$AH$258, MATCH(0, IF(TRUE=$AE$10:$AE$258, COUNTIF($AJ$9:$AJ217, $AH$10:$AH$258), ""), 0)),"")</f>
        <v/>
      </c>
      <c r="AK218" s="105" t="str">
        <f t="array" ref="AK218">IFERROR(INDEX($AH$10:$AH$258, MATCH(0, IF(TRUE=$AF$10:$AF$258, COUNTIF($AK$9:$AK217, $AH$10:$AH$258), ""), 0)),"")</f>
        <v/>
      </c>
      <c r="AL218" s="15" t="str">
        <f>IFERROR(INDEX('G-6 Hedgerow Data'!$BJ$3:$BJ$15,MATCH(D218,'G-6 Hedgerow Data'!$B$3:$B$15,0)),"")</f>
        <v/>
      </c>
    </row>
    <row r="219" spans="2:38" x14ac:dyDescent="0.3">
      <c r="B219" s="92">
        <v>210</v>
      </c>
      <c r="C219" s="141"/>
      <c r="D219" s="141"/>
      <c r="E219" s="102"/>
      <c r="F219" s="335" t="str">
        <f>IF(D219="","",VLOOKUP(D219,'G-6 Hedgerow Data'!$B$2:$AG$15,2,FALSE))</f>
        <v/>
      </c>
      <c r="G219" s="291" t="str">
        <f>IF(D219="","",VLOOKUP(D219,'G-6 Hedgerow Data'!$B$2:$AG$15,3,FALSE))</f>
        <v/>
      </c>
      <c r="H219" s="95"/>
      <c r="I219" s="291" t="str">
        <f>IFERROR(IF(AND(D219&lt;&gt;"",H219=""),"Check data ⚠", IF(H219="","",IF(AND(D219="Non-native and ornamental hedgerow", H219&lt;&gt;"Poor"),"Not possible ▲", (VLOOKUP(H219,'G-1 All Habitats'!$Z$2:$AA$9,2,FALSE))))),"")</f>
        <v/>
      </c>
      <c r="J219" s="95"/>
      <c r="K219" s="298" t="str">
        <f>IF(AND(D219&lt;&gt;"",J219=""),"Check data ⚠", IF(J219="","",IF(VLOOKUP(J219,'G-3 Multipliers'!$L$3:$N$6,2,FALSE)=0,"Spatial Data Missing",VLOOKUP(J219,'G-3 Multipliers'!$L$3:$N$6,2,FALSE))))</f>
        <v/>
      </c>
      <c r="L219" s="296" t="str">
        <f>IF(J219="","",IF(VLOOKUP(J219,'G-3 Multipliers'!$L$3:$N$6,3,FALSE)=0,"Spatial Data Missing ⚠",VLOOKUP(J219,'G-3 Multipliers'!$L$3:$N$6,3,FALSE)))</f>
        <v/>
      </c>
      <c r="M219" s="297" t="str">
        <f>IF(D219="","",VLOOKUP(D219,'G-6 Hedgerow Data'!$B$1:$AH$15,33,FALSE))</f>
        <v/>
      </c>
      <c r="N219" s="304" t="str">
        <f t="shared" si="23"/>
        <v/>
      </c>
      <c r="O219" s="17"/>
      <c r="P219" s="103"/>
      <c r="Q219" s="141"/>
      <c r="R219" s="320" t="str">
        <f t="shared" si="24"/>
        <v/>
      </c>
      <c r="S219" s="320" t="str">
        <f t="shared" si="25"/>
        <v/>
      </c>
      <c r="T219" s="320" t="str">
        <f t="shared" si="26"/>
        <v/>
      </c>
      <c r="U219" s="339" t="str">
        <f t="shared" si="27"/>
        <v/>
      </c>
      <c r="V219" s="100"/>
      <c r="W219" s="101"/>
      <c r="X219" s="101"/>
      <c r="AE219" s="105" t="str">
        <f t="shared" si="21"/>
        <v/>
      </c>
      <c r="AF219" s="105" t="str">
        <f t="shared" si="22"/>
        <v/>
      </c>
      <c r="AH219" s="105">
        <v>210</v>
      </c>
      <c r="AJ219" s="105" t="str">
        <f t="array" ref="AJ219">IFERROR(INDEX($AH$10:$AH$258, MATCH(0, IF(TRUE=$AE$10:$AE$258, COUNTIF($AJ$9:$AJ218, $AH$10:$AH$258), ""), 0)),"")</f>
        <v/>
      </c>
      <c r="AK219" s="105" t="str">
        <f t="array" ref="AK219">IFERROR(INDEX($AH$10:$AH$258, MATCH(0, IF(TRUE=$AF$10:$AF$258, COUNTIF($AK$9:$AK218, $AH$10:$AH$258), ""), 0)),"")</f>
        <v/>
      </c>
      <c r="AL219" s="15" t="str">
        <f>IFERROR(INDEX('G-6 Hedgerow Data'!$BJ$3:$BJ$15,MATCH(D219,'G-6 Hedgerow Data'!$B$3:$B$15,0)),"")</f>
        <v/>
      </c>
    </row>
    <row r="220" spans="2:38" x14ac:dyDescent="0.3">
      <c r="B220" s="92">
        <v>211</v>
      </c>
      <c r="C220" s="141"/>
      <c r="D220" s="141"/>
      <c r="E220" s="102"/>
      <c r="F220" s="335" t="str">
        <f>IF(D220="","",VLOOKUP(D220,'G-6 Hedgerow Data'!$B$2:$AG$15,2,FALSE))</f>
        <v/>
      </c>
      <c r="G220" s="291" t="str">
        <f>IF(D220="","",VLOOKUP(D220,'G-6 Hedgerow Data'!$B$2:$AG$15,3,FALSE))</f>
        <v/>
      </c>
      <c r="H220" s="95"/>
      <c r="I220" s="291" t="str">
        <f>IFERROR(IF(AND(D220&lt;&gt;"",H220=""),"Check data ⚠", IF(H220="","",IF(AND(D220="Non-native and ornamental hedgerow", H220&lt;&gt;"Poor"),"Not possible ▲", (VLOOKUP(H220,'G-1 All Habitats'!$Z$2:$AA$9,2,FALSE))))),"")</f>
        <v/>
      </c>
      <c r="J220" s="95"/>
      <c r="K220" s="298" t="str">
        <f>IF(AND(D220&lt;&gt;"",J220=""),"Check data ⚠", IF(J220="","",IF(VLOOKUP(J220,'G-3 Multipliers'!$L$3:$N$6,2,FALSE)=0,"Spatial Data Missing",VLOOKUP(J220,'G-3 Multipliers'!$L$3:$N$6,2,FALSE))))</f>
        <v/>
      </c>
      <c r="L220" s="296" t="str">
        <f>IF(J220="","",IF(VLOOKUP(J220,'G-3 Multipliers'!$L$3:$N$6,3,FALSE)=0,"Spatial Data Missing ⚠",VLOOKUP(J220,'G-3 Multipliers'!$L$3:$N$6,3,FALSE)))</f>
        <v/>
      </c>
      <c r="M220" s="297" t="str">
        <f>IF(D220="","",VLOOKUP(D220,'G-6 Hedgerow Data'!$B$1:$AH$15,33,FALSE))</f>
        <v/>
      </c>
      <c r="N220" s="304" t="str">
        <f t="shared" si="23"/>
        <v/>
      </c>
      <c r="O220" s="17"/>
      <c r="P220" s="103"/>
      <c r="Q220" s="141"/>
      <c r="R220" s="320" t="str">
        <f t="shared" si="24"/>
        <v/>
      </c>
      <c r="S220" s="320" t="str">
        <f t="shared" si="25"/>
        <v/>
      </c>
      <c r="T220" s="320" t="str">
        <f t="shared" si="26"/>
        <v/>
      </c>
      <c r="U220" s="339" t="str">
        <f t="shared" si="27"/>
        <v/>
      </c>
      <c r="V220" s="100"/>
      <c r="W220" s="101"/>
      <c r="X220" s="101"/>
      <c r="AE220" s="105" t="str">
        <f t="shared" si="21"/>
        <v/>
      </c>
      <c r="AF220" s="105" t="str">
        <f t="shared" si="22"/>
        <v/>
      </c>
      <c r="AH220" s="105">
        <v>211</v>
      </c>
      <c r="AJ220" s="105" t="str">
        <f t="array" ref="AJ220">IFERROR(INDEX($AH$10:$AH$258, MATCH(0, IF(TRUE=$AE$10:$AE$258, COUNTIF($AJ$9:$AJ219, $AH$10:$AH$258), ""), 0)),"")</f>
        <v/>
      </c>
      <c r="AK220" s="105" t="str">
        <f t="array" ref="AK220">IFERROR(INDEX($AH$10:$AH$258, MATCH(0, IF(TRUE=$AF$10:$AF$258, COUNTIF($AK$9:$AK219, $AH$10:$AH$258), ""), 0)),"")</f>
        <v/>
      </c>
      <c r="AL220" s="15" t="str">
        <f>IFERROR(INDEX('G-6 Hedgerow Data'!$BJ$3:$BJ$15,MATCH(D220,'G-6 Hedgerow Data'!$B$3:$B$15,0)),"")</f>
        <v/>
      </c>
    </row>
    <row r="221" spans="2:38" x14ac:dyDescent="0.3">
      <c r="B221" s="92">
        <v>212</v>
      </c>
      <c r="C221" s="141"/>
      <c r="D221" s="141"/>
      <c r="E221" s="102"/>
      <c r="F221" s="335" t="str">
        <f>IF(D221="","",VLOOKUP(D221,'G-6 Hedgerow Data'!$B$2:$AG$15,2,FALSE))</f>
        <v/>
      </c>
      <c r="G221" s="291" t="str">
        <f>IF(D221="","",VLOOKUP(D221,'G-6 Hedgerow Data'!$B$2:$AG$15,3,FALSE))</f>
        <v/>
      </c>
      <c r="H221" s="95"/>
      <c r="I221" s="291" t="str">
        <f>IFERROR(IF(AND(D221&lt;&gt;"",H221=""),"Check data ⚠", IF(H221="","",IF(AND(D221="Non-native and ornamental hedgerow", H221&lt;&gt;"Poor"),"Not possible ▲", (VLOOKUP(H221,'G-1 All Habitats'!$Z$2:$AA$9,2,FALSE))))),"")</f>
        <v/>
      </c>
      <c r="J221" s="95"/>
      <c r="K221" s="298" t="str">
        <f>IF(AND(D221&lt;&gt;"",J221=""),"Check data ⚠", IF(J221="","",IF(VLOOKUP(J221,'G-3 Multipliers'!$L$3:$N$6,2,FALSE)=0,"Spatial Data Missing",VLOOKUP(J221,'G-3 Multipliers'!$L$3:$N$6,2,FALSE))))</f>
        <v/>
      </c>
      <c r="L221" s="296" t="str">
        <f>IF(J221="","",IF(VLOOKUP(J221,'G-3 Multipliers'!$L$3:$N$6,3,FALSE)=0,"Spatial Data Missing ⚠",VLOOKUP(J221,'G-3 Multipliers'!$L$3:$N$6,3,FALSE)))</f>
        <v/>
      </c>
      <c r="M221" s="297" t="str">
        <f>IF(D221="","",VLOOKUP(D221,'G-6 Hedgerow Data'!$B$1:$AH$15,33,FALSE))</f>
        <v/>
      </c>
      <c r="N221" s="304" t="str">
        <f t="shared" si="23"/>
        <v/>
      </c>
      <c r="O221" s="17"/>
      <c r="P221" s="103"/>
      <c r="Q221" s="141"/>
      <c r="R221" s="320" t="str">
        <f t="shared" si="24"/>
        <v/>
      </c>
      <c r="S221" s="320" t="str">
        <f t="shared" si="25"/>
        <v/>
      </c>
      <c r="T221" s="320" t="str">
        <f t="shared" si="26"/>
        <v/>
      </c>
      <c r="U221" s="339" t="str">
        <f t="shared" si="27"/>
        <v/>
      </c>
      <c r="V221" s="100"/>
      <c r="W221" s="101"/>
      <c r="X221" s="101"/>
      <c r="AE221" s="105" t="str">
        <f t="shared" si="21"/>
        <v/>
      </c>
      <c r="AF221" s="105" t="str">
        <f t="shared" si="22"/>
        <v/>
      </c>
      <c r="AH221" s="105">
        <v>212</v>
      </c>
      <c r="AJ221" s="105" t="str">
        <f t="array" ref="AJ221">IFERROR(INDEX($AH$10:$AH$258, MATCH(0, IF(TRUE=$AE$10:$AE$258, COUNTIF($AJ$9:$AJ220, $AH$10:$AH$258), ""), 0)),"")</f>
        <v/>
      </c>
      <c r="AK221" s="105" t="str">
        <f t="array" ref="AK221">IFERROR(INDEX($AH$10:$AH$258, MATCH(0, IF(TRUE=$AF$10:$AF$258, COUNTIF($AK$9:$AK220, $AH$10:$AH$258), ""), 0)),"")</f>
        <v/>
      </c>
      <c r="AL221" s="15" t="str">
        <f>IFERROR(INDEX('G-6 Hedgerow Data'!$BJ$3:$BJ$15,MATCH(D221,'G-6 Hedgerow Data'!$B$3:$B$15,0)),"")</f>
        <v/>
      </c>
    </row>
    <row r="222" spans="2:38" x14ac:dyDescent="0.3">
      <c r="B222" s="92">
        <v>213</v>
      </c>
      <c r="C222" s="141"/>
      <c r="D222" s="141"/>
      <c r="E222" s="102"/>
      <c r="F222" s="335" t="str">
        <f>IF(D222="","",VLOOKUP(D222,'G-6 Hedgerow Data'!$B$2:$AG$15,2,FALSE))</f>
        <v/>
      </c>
      <c r="G222" s="291" t="str">
        <f>IF(D222="","",VLOOKUP(D222,'G-6 Hedgerow Data'!$B$2:$AG$15,3,FALSE))</f>
        <v/>
      </c>
      <c r="H222" s="95"/>
      <c r="I222" s="291" t="str">
        <f>IFERROR(IF(AND(D222&lt;&gt;"",H222=""),"Check data ⚠", IF(H222="","",IF(AND(D222="Non-native and ornamental hedgerow", H222&lt;&gt;"Poor"),"Not possible ▲", (VLOOKUP(H222,'G-1 All Habitats'!$Z$2:$AA$9,2,FALSE))))),"")</f>
        <v/>
      </c>
      <c r="J222" s="95"/>
      <c r="K222" s="298" t="str">
        <f>IF(AND(D222&lt;&gt;"",J222=""),"Check data ⚠", IF(J222="","",IF(VLOOKUP(J222,'G-3 Multipliers'!$L$3:$N$6,2,FALSE)=0,"Spatial Data Missing",VLOOKUP(J222,'G-3 Multipliers'!$L$3:$N$6,2,FALSE))))</f>
        <v/>
      </c>
      <c r="L222" s="296" t="str">
        <f>IF(J222="","",IF(VLOOKUP(J222,'G-3 Multipliers'!$L$3:$N$6,3,FALSE)=0,"Spatial Data Missing ⚠",VLOOKUP(J222,'G-3 Multipliers'!$L$3:$N$6,3,FALSE)))</f>
        <v/>
      </c>
      <c r="M222" s="297" t="str">
        <f>IF(D222="","",VLOOKUP(D222,'G-6 Hedgerow Data'!$B$1:$AH$15,33,FALSE))</f>
        <v/>
      </c>
      <c r="N222" s="304" t="str">
        <f t="shared" si="23"/>
        <v/>
      </c>
      <c r="O222" s="17"/>
      <c r="P222" s="103"/>
      <c r="Q222" s="141"/>
      <c r="R222" s="320" t="str">
        <f t="shared" si="24"/>
        <v/>
      </c>
      <c r="S222" s="320" t="str">
        <f t="shared" si="25"/>
        <v/>
      </c>
      <c r="T222" s="320" t="str">
        <f t="shared" si="26"/>
        <v/>
      </c>
      <c r="U222" s="339" t="str">
        <f t="shared" si="27"/>
        <v/>
      </c>
      <c r="V222" s="100"/>
      <c r="W222" s="101"/>
      <c r="X222" s="101"/>
      <c r="AE222" s="105" t="str">
        <f t="shared" si="21"/>
        <v/>
      </c>
      <c r="AF222" s="105" t="str">
        <f t="shared" si="22"/>
        <v/>
      </c>
      <c r="AH222" s="105">
        <v>213</v>
      </c>
      <c r="AJ222" s="105" t="str">
        <f t="array" ref="AJ222">IFERROR(INDEX($AH$10:$AH$258, MATCH(0, IF(TRUE=$AE$10:$AE$258, COUNTIF($AJ$9:$AJ221, $AH$10:$AH$258), ""), 0)),"")</f>
        <v/>
      </c>
      <c r="AK222" s="105" t="str">
        <f t="array" ref="AK222">IFERROR(INDEX($AH$10:$AH$258, MATCH(0, IF(TRUE=$AF$10:$AF$258, COUNTIF($AK$9:$AK221, $AH$10:$AH$258), ""), 0)),"")</f>
        <v/>
      </c>
      <c r="AL222" s="15" t="str">
        <f>IFERROR(INDEX('G-6 Hedgerow Data'!$BJ$3:$BJ$15,MATCH(D222,'G-6 Hedgerow Data'!$B$3:$B$15,0)),"")</f>
        <v/>
      </c>
    </row>
    <row r="223" spans="2:38" x14ac:dyDescent="0.3">
      <c r="B223" s="92">
        <v>214</v>
      </c>
      <c r="C223" s="141"/>
      <c r="D223" s="141"/>
      <c r="E223" s="102"/>
      <c r="F223" s="335" t="str">
        <f>IF(D223="","",VLOOKUP(D223,'G-6 Hedgerow Data'!$B$2:$AG$15,2,FALSE))</f>
        <v/>
      </c>
      <c r="G223" s="291" t="str">
        <f>IF(D223="","",VLOOKUP(D223,'G-6 Hedgerow Data'!$B$2:$AG$15,3,FALSE))</f>
        <v/>
      </c>
      <c r="H223" s="95"/>
      <c r="I223" s="291" t="str">
        <f>IFERROR(IF(AND(D223&lt;&gt;"",H223=""),"Check data ⚠", IF(H223="","",IF(AND(D223="Non-native and ornamental hedgerow", H223&lt;&gt;"Poor"),"Not possible ▲", (VLOOKUP(H223,'G-1 All Habitats'!$Z$2:$AA$9,2,FALSE))))),"")</f>
        <v/>
      </c>
      <c r="J223" s="95"/>
      <c r="K223" s="298" t="str">
        <f>IF(AND(D223&lt;&gt;"",J223=""),"Check data ⚠", IF(J223="","",IF(VLOOKUP(J223,'G-3 Multipliers'!$L$3:$N$6,2,FALSE)=0,"Spatial Data Missing",VLOOKUP(J223,'G-3 Multipliers'!$L$3:$N$6,2,FALSE))))</f>
        <v/>
      </c>
      <c r="L223" s="296" t="str">
        <f>IF(J223="","",IF(VLOOKUP(J223,'G-3 Multipliers'!$L$3:$N$6,3,FALSE)=0,"Spatial Data Missing ⚠",VLOOKUP(J223,'G-3 Multipliers'!$L$3:$N$6,3,FALSE)))</f>
        <v/>
      </c>
      <c r="M223" s="297" t="str">
        <f>IF(D223="","",VLOOKUP(D223,'G-6 Hedgerow Data'!$B$1:$AH$15,33,FALSE))</f>
        <v/>
      </c>
      <c r="N223" s="304" t="str">
        <f t="shared" si="23"/>
        <v/>
      </c>
      <c r="O223" s="17"/>
      <c r="P223" s="103"/>
      <c r="Q223" s="141"/>
      <c r="R223" s="320" t="str">
        <f t="shared" si="24"/>
        <v/>
      </c>
      <c r="S223" s="320" t="str">
        <f t="shared" si="25"/>
        <v/>
      </c>
      <c r="T223" s="320" t="str">
        <f t="shared" si="26"/>
        <v/>
      </c>
      <c r="U223" s="339" t="str">
        <f t="shared" si="27"/>
        <v/>
      </c>
      <c r="V223" s="100"/>
      <c r="W223" s="101"/>
      <c r="X223" s="101"/>
      <c r="AE223" s="105" t="str">
        <f t="shared" si="21"/>
        <v/>
      </c>
      <c r="AF223" s="105" t="str">
        <f t="shared" si="22"/>
        <v/>
      </c>
      <c r="AH223" s="105">
        <v>214</v>
      </c>
      <c r="AJ223" s="105" t="str">
        <f t="array" ref="AJ223">IFERROR(INDEX($AH$10:$AH$258, MATCH(0, IF(TRUE=$AE$10:$AE$258, COUNTIF($AJ$9:$AJ222, $AH$10:$AH$258), ""), 0)),"")</f>
        <v/>
      </c>
      <c r="AK223" s="105" t="str">
        <f t="array" ref="AK223">IFERROR(INDEX($AH$10:$AH$258, MATCH(0, IF(TRUE=$AF$10:$AF$258, COUNTIF($AK$9:$AK222, $AH$10:$AH$258), ""), 0)),"")</f>
        <v/>
      </c>
      <c r="AL223" s="15" t="str">
        <f>IFERROR(INDEX('G-6 Hedgerow Data'!$BJ$3:$BJ$15,MATCH(D223,'G-6 Hedgerow Data'!$B$3:$B$15,0)),"")</f>
        <v/>
      </c>
    </row>
    <row r="224" spans="2:38" x14ac:dyDescent="0.3">
      <c r="B224" s="92">
        <v>215</v>
      </c>
      <c r="C224" s="141"/>
      <c r="D224" s="141"/>
      <c r="E224" s="102"/>
      <c r="F224" s="335" t="str">
        <f>IF(D224="","",VLOOKUP(D224,'G-6 Hedgerow Data'!$B$2:$AG$15,2,FALSE))</f>
        <v/>
      </c>
      <c r="G224" s="291" t="str">
        <f>IF(D224="","",VLOOKUP(D224,'G-6 Hedgerow Data'!$B$2:$AG$15,3,FALSE))</f>
        <v/>
      </c>
      <c r="H224" s="95"/>
      <c r="I224" s="291" t="str">
        <f>IFERROR(IF(AND(D224&lt;&gt;"",H224=""),"Check data ⚠", IF(H224="","",IF(AND(D224="Non-native and ornamental hedgerow", H224&lt;&gt;"Poor"),"Not possible ▲", (VLOOKUP(H224,'G-1 All Habitats'!$Z$2:$AA$9,2,FALSE))))),"")</f>
        <v/>
      </c>
      <c r="J224" s="95"/>
      <c r="K224" s="298" t="str">
        <f>IF(AND(D224&lt;&gt;"",J224=""),"Check data ⚠", IF(J224="","",IF(VLOOKUP(J224,'G-3 Multipliers'!$L$3:$N$6,2,FALSE)=0,"Spatial Data Missing",VLOOKUP(J224,'G-3 Multipliers'!$L$3:$N$6,2,FALSE))))</f>
        <v/>
      </c>
      <c r="L224" s="296" t="str">
        <f>IF(J224="","",IF(VLOOKUP(J224,'G-3 Multipliers'!$L$3:$N$6,3,FALSE)=0,"Spatial Data Missing ⚠",VLOOKUP(J224,'G-3 Multipliers'!$L$3:$N$6,3,FALSE)))</f>
        <v/>
      </c>
      <c r="M224" s="297" t="str">
        <f>IF(D224="","",VLOOKUP(D224,'G-6 Hedgerow Data'!$B$1:$AH$15,33,FALSE))</f>
        <v/>
      </c>
      <c r="N224" s="304" t="str">
        <f t="shared" si="23"/>
        <v/>
      </c>
      <c r="O224" s="17"/>
      <c r="P224" s="103"/>
      <c r="Q224" s="141"/>
      <c r="R224" s="320" t="str">
        <f t="shared" si="24"/>
        <v/>
      </c>
      <c r="S224" s="320" t="str">
        <f t="shared" si="25"/>
        <v/>
      </c>
      <c r="T224" s="320" t="str">
        <f t="shared" si="26"/>
        <v/>
      </c>
      <c r="U224" s="339" t="str">
        <f t="shared" si="27"/>
        <v/>
      </c>
      <c r="V224" s="100"/>
      <c r="W224" s="101"/>
      <c r="X224" s="101"/>
      <c r="AE224" s="105" t="str">
        <f t="shared" si="21"/>
        <v/>
      </c>
      <c r="AF224" s="105" t="str">
        <f t="shared" si="22"/>
        <v/>
      </c>
      <c r="AH224" s="105">
        <v>215</v>
      </c>
      <c r="AJ224" s="105" t="str">
        <f t="array" ref="AJ224">IFERROR(INDEX($AH$10:$AH$258, MATCH(0, IF(TRUE=$AE$10:$AE$258, COUNTIF($AJ$9:$AJ223, $AH$10:$AH$258), ""), 0)),"")</f>
        <v/>
      </c>
      <c r="AK224" s="105" t="str">
        <f t="array" ref="AK224">IFERROR(INDEX($AH$10:$AH$258, MATCH(0, IF(TRUE=$AF$10:$AF$258, COUNTIF($AK$9:$AK223, $AH$10:$AH$258), ""), 0)),"")</f>
        <v/>
      </c>
      <c r="AL224" s="15" t="str">
        <f>IFERROR(INDEX('G-6 Hedgerow Data'!$BJ$3:$BJ$15,MATCH(D224,'G-6 Hedgerow Data'!$B$3:$B$15,0)),"")</f>
        <v/>
      </c>
    </row>
    <row r="225" spans="2:38" x14ac:dyDescent="0.3">
      <c r="B225" s="92">
        <v>216</v>
      </c>
      <c r="C225" s="141"/>
      <c r="D225" s="141"/>
      <c r="E225" s="102"/>
      <c r="F225" s="335" t="str">
        <f>IF(D225="","",VLOOKUP(D225,'G-6 Hedgerow Data'!$B$2:$AG$15,2,FALSE))</f>
        <v/>
      </c>
      <c r="G225" s="291" t="str">
        <f>IF(D225="","",VLOOKUP(D225,'G-6 Hedgerow Data'!$B$2:$AG$15,3,FALSE))</f>
        <v/>
      </c>
      <c r="H225" s="95"/>
      <c r="I225" s="291" t="str">
        <f>IFERROR(IF(AND(D225&lt;&gt;"",H225=""),"Check data ⚠", IF(H225="","",IF(AND(D225="Non-native and ornamental hedgerow", H225&lt;&gt;"Poor"),"Not possible ▲", (VLOOKUP(H225,'G-1 All Habitats'!$Z$2:$AA$9,2,FALSE))))),"")</f>
        <v/>
      </c>
      <c r="J225" s="95"/>
      <c r="K225" s="298" t="str">
        <f>IF(AND(D225&lt;&gt;"",J225=""),"Check data ⚠", IF(J225="","",IF(VLOOKUP(J225,'G-3 Multipliers'!$L$3:$N$6,2,FALSE)=0,"Spatial Data Missing",VLOOKUP(J225,'G-3 Multipliers'!$L$3:$N$6,2,FALSE))))</f>
        <v/>
      </c>
      <c r="L225" s="296" t="str">
        <f>IF(J225="","",IF(VLOOKUP(J225,'G-3 Multipliers'!$L$3:$N$6,3,FALSE)=0,"Spatial Data Missing ⚠",VLOOKUP(J225,'G-3 Multipliers'!$L$3:$N$6,3,FALSE)))</f>
        <v/>
      </c>
      <c r="M225" s="297" t="str">
        <f>IF(D225="","",VLOOKUP(D225,'G-6 Hedgerow Data'!$B$1:$AH$15,33,FALSE))</f>
        <v/>
      </c>
      <c r="N225" s="304" t="str">
        <f t="shared" si="23"/>
        <v/>
      </c>
      <c r="O225" s="17"/>
      <c r="P225" s="103"/>
      <c r="Q225" s="141"/>
      <c r="R225" s="320" t="str">
        <f t="shared" si="24"/>
        <v/>
      </c>
      <c r="S225" s="320" t="str">
        <f t="shared" si="25"/>
        <v/>
      </c>
      <c r="T225" s="320" t="str">
        <f t="shared" si="26"/>
        <v/>
      </c>
      <c r="U225" s="339" t="str">
        <f t="shared" si="27"/>
        <v/>
      </c>
      <c r="V225" s="100"/>
      <c r="W225" s="101"/>
      <c r="X225" s="101"/>
      <c r="AE225" s="105" t="str">
        <f t="shared" si="21"/>
        <v/>
      </c>
      <c r="AF225" s="105" t="str">
        <f t="shared" si="22"/>
        <v/>
      </c>
      <c r="AH225" s="105">
        <v>216</v>
      </c>
      <c r="AJ225" s="105" t="str">
        <f t="array" ref="AJ225">IFERROR(INDEX($AH$10:$AH$258, MATCH(0, IF(TRUE=$AE$10:$AE$258, COUNTIF($AJ$9:$AJ224, $AH$10:$AH$258), ""), 0)),"")</f>
        <v/>
      </c>
      <c r="AK225" s="105" t="str">
        <f t="array" ref="AK225">IFERROR(INDEX($AH$10:$AH$258, MATCH(0, IF(TRUE=$AF$10:$AF$258, COUNTIF($AK$9:$AK224, $AH$10:$AH$258), ""), 0)),"")</f>
        <v/>
      </c>
      <c r="AL225" s="15" t="str">
        <f>IFERROR(INDEX('G-6 Hedgerow Data'!$BJ$3:$BJ$15,MATCH(D225,'G-6 Hedgerow Data'!$B$3:$B$15,0)),"")</f>
        <v/>
      </c>
    </row>
    <row r="226" spans="2:38" x14ac:dyDescent="0.3">
      <c r="B226" s="92">
        <v>217</v>
      </c>
      <c r="C226" s="141"/>
      <c r="D226" s="141"/>
      <c r="E226" s="102"/>
      <c r="F226" s="335" t="str">
        <f>IF(D226="","",VLOOKUP(D226,'G-6 Hedgerow Data'!$B$2:$AG$15,2,FALSE))</f>
        <v/>
      </c>
      <c r="G226" s="291" t="str">
        <f>IF(D226="","",VLOOKUP(D226,'G-6 Hedgerow Data'!$B$2:$AG$15,3,FALSE))</f>
        <v/>
      </c>
      <c r="H226" s="95"/>
      <c r="I226" s="291" t="str">
        <f>IFERROR(IF(AND(D226&lt;&gt;"",H226=""),"Check data ⚠", IF(H226="","",IF(AND(D226="Non-native and ornamental hedgerow", H226&lt;&gt;"Poor"),"Not possible ▲", (VLOOKUP(H226,'G-1 All Habitats'!$Z$2:$AA$9,2,FALSE))))),"")</f>
        <v/>
      </c>
      <c r="J226" s="95"/>
      <c r="K226" s="298" t="str">
        <f>IF(AND(D226&lt;&gt;"",J226=""),"Check data ⚠", IF(J226="","",IF(VLOOKUP(J226,'G-3 Multipliers'!$L$3:$N$6,2,FALSE)=0,"Spatial Data Missing",VLOOKUP(J226,'G-3 Multipliers'!$L$3:$N$6,2,FALSE))))</f>
        <v/>
      </c>
      <c r="L226" s="296" t="str">
        <f>IF(J226="","",IF(VLOOKUP(J226,'G-3 Multipliers'!$L$3:$N$6,3,FALSE)=0,"Spatial Data Missing ⚠",VLOOKUP(J226,'G-3 Multipliers'!$L$3:$N$6,3,FALSE)))</f>
        <v/>
      </c>
      <c r="M226" s="297" t="str">
        <f>IF(D226="","",VLOOKUP(D226,'G-6 Hedgerow Data'!$B$1:$AH$15,33,FALSE))</f>
        <v/>
      </c>
      <c r="N226" s="304" t="str">
        <f t="shared" si="23"/>
        <v/>
      </c>
      <c r="O226" s="17"/>
      <c r="P226" s="103"/>
      <c r="Q226" s="141"/>
      <c r="R226" s="320" t="str">
        <f t="shared" si="24"/>
        <v/>
      </c>
      <c r="S226" s="320" t="str">
        <f t="shared" si="25"/>
        <v/>
      </c>
      <c r="T226" s="320" t="str">
        <f t="shared" si="26"/>
        <v/>
      </c>
      <c r="U226" s="339" t="str">
        <f t="shared" si="27"/>
        <v/>
      </c>
      <c r="V226" s="100"/>
      <c r="W226" s="101"/>
      <c r="X226" s="101"/>
      <c r="AE226" s="105" t="str">
        <f t="shared" si="21"/>
        <v/>
      </c>
      <c r="AF226" s="105" t="str">
        <f t="shared" si="22"/>
        <v/>
      </c>
      <c r="AH226" s="105">
        <v>217</v>
      </c>
      <c r="AJ226" s="105" t="str">
        <f t="array" ref="AJ226">IFERROR(INDEX($AH$10:$AH$258, MATCH(0, IF(TRUE=$AE$10:$AE$258, COUNTIF($AJ$9:$AJ225, $AH$10:$AH$258), ""), 0)),"")</f>
        <v/>
      </c>
      <c r="AK226" s="105" t="str">
        <f t="array" ref="AK226">IFERROR(INDEX($AH$10:$AH$258, MATCH(0, IF(TRUE=$AF$10:$AF$258, COUNTIF($AK$9:$AK225, $AH$10:$AH$258), ""), 0)),"")</f>
        <v/>
      </c>
      <c r="AL226" s="15" t="str">
        <f>IFERROR(INDEX('G-6 Hedgerow Data'!$BJ$3:$BJ$15,MATCH(D226,'G-6 Hedgerow Data'!$B$3:$B$15,0)),"")</f>
        <v/>
      </c>
    </row>
    <row r="227" spans="2:38" x14ac:dyDescent="0.3">
      <c r="B227" s="92">
        <v>218</v>
      </c>
      <c r="C227" s="141"/>
      <c r="D227" s="141"/>
      <c r="E227" s="102"/>
      <c r="F227" s="335" t="str">
        <f>IF(D227="","",VLOOKUP(D227,'G-6 Hedgerow Data'!$B$2:$AG$15,2,FALSE))</f>
        <v/>
      </c>
      <c r="G227" s="291" t="str">
        <f>IF(D227="","",VLOOKUP(D227,'G-6 Hedgerow Data'!$B$2:$AG$15,3,FALSE))</f>
        <v/>
      </c>
      <c r="H227" s="95"/>
      <c r="I227" s="291" t="str">
        <f>IFERROR(IF(AND(D227&lt;&gt;"",H227=""),"Check data ⚠", IF(H227="","",IF(AND(D227="Non-native and ornamental hedgerow", H227&lt;&gt;"Poor"),"Not possible ▲", (VLOOKUP(H227,'G-1 All Habitats'!$Z$2:$AA$9,2,FALSE))))),"")</f>
        <v/>
      </c>
      <c r="J227" s="95"/>
      <c r="K227" s="298" t="str">
        <f>IF(AND(D227&lt;&gt;"",J227=""),"Check data ⚠", IF(J227="","",IF(VLOOKUP(J227,'G-3 Multipliers'!$L$3:$N$6,2,FALSE)=0,"Spatial Data Missing",VLOOKUP(J227,'G-3 Multipliers'!$L$3:$N$6,2,FALSE))))</f>
        <v/>
      </c>
      <c r="L227" s="296" t="str">
        <f>IF(J227="","",IF(VLOOKUP(J227,'G-3 Multipliers'!$L$3:$N$6,3,FALSE)=0,"Spatial Data Missing ⚠",VLOOKUP(J227,'G-3 Multipliers'!$L$3:$N$6,3,FALSE)))</f>
        <v/>
      </c>
      <c r="M227" s="297" t="str">
        <f>IF(D227="","",VLOOKUP(D227,'G-6 Hedgerow Data'!$B$1:$AH$15,33,FALSE))</f>
        <v/>
      </c>
      <c r="N227" s="304" t="str">
        <f t="shared" si="23"/>
        <v/>
      </c>
      <c r="O227" s="17"/>
      <c r="P227" s="103"/>
      <c r="Q227" s="141"/>
      <c r="R227" s="320" t="str">
        <f t="shared" si="24"/>
        <v/>
      </c>
      <c r="S227" s="320" t="str">
        <f t="shared" si="25"/>
        <v/>
      </c>
      <c r="T227" s="320" t="str">
        <f t="shared" si="26"/>
        <v/>
      </c>
      <c r="U227" s="339" t="str">
        <f t="shared" si="27"/>
        <v/>
      </c>
      <c r="V227" s="100"/>
      <c r="W227" s="101"/>
      <c r="X227" s="101"/>
      <c r="AE227" s="105" t="str">
        <f t="shared" si="21"/>
        <v/>
      </c>
      <c r="AF227" s="105" t="str">
        <f t="shared" si="22"/>
        <v/>
      </c>
      <c r="AH227" s="105">
        <v>218</v>
      </c>
      <c r="AJ227" s="105" t="str">
        <f t="array" ref="AJ227">IFERROR(INDEX($AH$10:$AH$258, MATCH(0, IF(TRUE=$AE$10:$AE$258, COUNTIF($AJ$9:$AJ226, $AH$10:$AH$258), ""), 0)),"")</f>
        <v/>
      </c>
      <c r="AK227" s="105" t="str">
        <f t="array" ref="AK227">IFERROR(INDEX($AH$10:$AH$258, MATCH(0, IF(TRUE=$AF$10:$AF$258, COUNTIF($AK$9:$AK226, $AH$10:$AH$258), ""), 0)),"")</f>
        <v/>
      </c>
      <c r="AL227" s="15" t="str">
        <f>IFERROR(INDEX('G-6 Hedgerow Data'!$BJ$3:$BJ$15,MATCH(D227,'G-6 Hedgerow Data'!$B$3:$B$15,0)),"")</f>
        <v/>
      </c>
    </row>
    <row r="228" spans="2:38" x14ac:dyDescent="0.3">
      <c r="B228" s="92">
        <v>219</v>
      </c>
      <c r="C228" s="141"/>
      <c r="D228" s="141"/>
      <c r="E228" s="102"/>
      <c r="F228" s="335" t="str">
        <f>IF(D228="","",VLOOKUP(D228,'G-6 Hedgerow Data'!$B$2:$AG$15,2,FALSE))</f>
        <v/>
      </c>
      <c r="G228" s="291" t="str">
        <f>IF(D228="","",VLOOKUP(D228,'G-6 Hedgerow Data'!$B$2:$AG$15,3,FALSE))</f>
        <v/>
      </c>
      <c r="H228" s="95"/>
      <c r="I228" s="291" t="str">
        <f>IFERROR(IF(AND(D228&lt;&gt;"",H228=""),"Check data ⚠", IF(H228="","",IF(AND(D228="Non-native and ornamental hedgerow", H228&lt;&gt;"Poor"),"Not possible ▲", (VLOOKUP(H228,'G-1 All Habitats'!$Z$2:$AA$9,2,FALSE))))),"")</f>
        <v/>
      </c>
      <c r="J228" s="95"/>
      <c r="K228" s="298" t="str">
        <f>IF(AND(D228&lt;&gt;"",J228=""),"Check data ⚠", IF(J228="","",IF(VLOOKUP(J228,'G-3 Multipliers'!$L$3:$N$6,2,FALSE)=0,"Spatial Data Missing",VLOOKUP(J228,'G-3 Multipliers'!$L$3:$N$6,2,FALSE))))</f>
        <v/>
      </c>
      <c r="L228" s="296" t="str">
        <f>IF(J228="","",IF(VLOOKUP(J228,'G-3 Multipliers'!$L$3:$N$6,3,FALSE)=0,"Spatial Data Missing ⚠",VLOOKUP(J228,'G-3 Multipliers'!$L$3:$N$6,3,FALSE)))</f>
        <v/>
      </c>
      <c r="M228" s="297" t="str">
        <f>IF(D228="","",VLOOKUP(D228,'G-6 Hedgerow Data'!$B$1:$AH$15,33,FALSE))</f>
        <v/>
      </c>
      <c r="N228" s="304" t="str">
        <f t="shared" si="23"/>
        <v/>
      </c>
      <c r="O228" s="17"/>
      <c r="P228" s="103"/>
      <c r="Q228" s="141"/>
      <c r="R228" s="320" t="str">
        <f t="shared" si="24"/>
        <v/>
      </c>
      <c r="S228" s="320" t="str">
        <f t="shared" si="25"/>
        <v/>
      </c>
      <c r="T228" s="320" t="str">
        <f t="shared" si="26"/>
        <v/>
      </c>
      <c r="U228" s="339" t="str">
        <f t="shared" si="27"/>
        <v/>
      </c>
      <c r="V228" s="100"/>
      <c r="W228" s="101"/>
      <c r="X228" s="101"/>
      <c r="AE228" s="105" t="str">
        <f t="shared" si="21"/>
        <v/>
      </c>
      <c r="AF228" s="105" t="str">
        <f t="shared" si="22"/>
        <v/>
      </c>
      <c r="AH228" s="105">
        <v>219</v>
      </c>
      <c r="AJ228" s="105" t="str">
        <f t="array" ref="AJ228">IFERROR(INDEX($AH$10:$AH$258, MATCH(0, IF(TRUE=$AE$10:$AE$258, COUNTIF($AJ$9:$AJ227, $AH$10:$AH$258), ""), 0)),"")</f>
        <v/>
      </c>
      <c r="AK228" s="105" t="str">
        <f t="array" ref="AK228">IFERROR(INDEX($AH$10:$AH$258, MATCH(0, IF(TRUE=$AF$10:$AF$258, COUNTIF($AK$9:$AK227, $AH$10:$AH$258), ""), 0)),"")</f>
        <v/>
      </c>
      <c r="AL228" s="15" t="str">
        <f>IFERROR(INDEX('G-6 Hedgerow Data'!$BJ$3:$BJ$15,MATCH(D228,'G-6 Hedgerow Data'!$B$3:$B$15,0)),"")</f>
        <v/>
      </c>
    </row>
    <row r="229" spans="2:38" x14ac:dyDescent="0.3">
      <c r="B229" s="92">
        <v>220</v>
      </c>
      <c r="C229" s="141"/>
      <c r="D229" s="141"/>
      <c r="E229" s="102"/>
      <c r="F229" s="335" t="str">
        <f>IF(D229="","",VLOOKUP(D229,'G-6 Hedgerow Data'!$B$2:$AG$15,2,FALSE))</f>
        <v/>
      </c>
      <c r="G229" s="291" t="str">
        <f>IF(D229="","",VLOOKUP(D229,'G-6 Hedgerow Data'!$B$2:$AG$15,3,FALSE))</f>
        <v/>
      </c>
      <c r="H229" s="95"/>
      <c r="I229" s="291" t="str">
        <f>IFERROR(IF(AND(D229&lt;&gt;"",H229=""),"Check data ⚠", IF(H229="","",IF(AND(D229="Non-native and ornamental hedgerow", H229&lt;&gt;"Poor"),"Not possible ▲", (VLOOKUP(H229,'G-1 All Habitats'!$Z$2:$AA$9,2,FALSE))))),"")</f>
        <v/>
      </c>
      <c r="J229" s="95"/>
      <c r="K229" s="298" t="str">
        <f>IF(AND(D229&lt;&gt;"",J229=""),"Check data ⚠", IF(J229="","",IF(VLOOKUP(J229,'G-3 Multipliers'!$L$3:$N$6,2,FALSE)=0,"Spatial Data Missing",VLOOKUP(J229,'G-3 Multipliers'!$L$3:$N$6,2,FALSE))))</f>
        <v/>
      </c>
      <c r="L229" s="296" t="str">
        <f>IF(J229="","",IF(VLOOKUP(J229,'G-3 Multipliers'!$L$3:$N$6,3,FALSE)=0,"Spatial Data Missing ⚠",VLOOKUP(J229,'G-3 Multipliers'!$L$3:$N$6,3,FALSE)))</f>
        <v/>
      </c>
      <c r="M229" s="297" t="str">
        <f>IF(D229="","",VLOOKUP(D229,'G-6 Hedgerow Data'!$B$1:$AH$15,33,FALSE))</f>
        <v/>
      </c>
      <c r="N229" s="304" t="str">
        <f t="shared" si="23"/>
        <v/>
      </c>
      <c r="O229" s="17"/>
      <c r="P229" s="103"/>
      <c r="Q229" s="141"/>
      <c r="R229" s="320" t="str">
        <f t="shared" si="24"/>
        <v/>
      </c>
      <c r="S229" s="320" t="str">
        <f t="shared" si="25"/>
        <v/>
      </c>
      <c r="T229" s="320" t="str">
        <f t="shared" si="26"/>
        <v/>
      </c>
      <c r="U229" s="339" t="str">
        <f t="shared" si="27"/>
        <v/>
      </c>
      <c r="V229" s="100"/>
      <c r="W229" s="101"/>
      <c r="X229" s="101"/>
      <c r="AE229" s="105" t="str">
        <f t="shared" si="21"/>
        <v/>
      </c>
      <c r="AF229" s="105" t="str">
        <f t="shared" si="22"/>
        <v/>
      </c>
      <c r="AH229" s="105">
        <v>220</v>
      </c>
      <c r="AJ229" s="105" t="str">
        <f t="array" ref="AJ229">IFERROR(INDEX($AH$10:$AH$258, MATCH(0, IF(TRUE=$AE$10:$AE$258, COUNTIF($AJ$9:$AJ228, $AH$10:$AH$258), ""), 0)),"")</f>
        <v/>
      </c>
      <c r="AK229" s="105" t="str">
        <f t="array" ref="AK229">IFERROR(INDEX($AH$10:$AH$258, MATCH(0, IF(TRUE=$AF$10:$AF$258, COUNTIF($AK$9:$AK228, $AH$10:$AH$258), ""), 0)),"")</f>
        <v/>
      </c>
      <c r="AL229" s="15" t="str">
        <f>IFERROR(INDEX('G-6 Hedgerow Data'!$BJ$3:$BJ$15,MATCH(D229,'G-6 Hedgerow Data'!$B$3:$B$15,0)),"")</f>
        <v/>
      </c>
    </row>
    <row r="230" spans="2:38" x14ac:dyDescent="0.3">
      <c r="B230" s="92">
        <v>221</v>
      </c>
      <c r="C230" s="141"/>
      <c r="D230" s="141"/>
      <c r="E230" s="102"/>
      <c r="F230" s="335" t="str">
        <f>IF(D230="","",VLOOKUP(D230,'G-6 Hedgerow Data'!$B$2:$AG$15,2,FALSE))</f>
        <v/>
      </c>
      <c r="G230" s="291" t="str">
        <f>IF(D230="","",VLOOKUP(D230,'G-6 Hedgerow Data'!$B$2:$AG$15,3,FALSE))</f>
        <v/>
      </c>
      <c r="H230" s="95"/>
      <c r="I230" s="291" t="str">
        <f>IFERROR(IF(AND(D230&lt;&gt;"",H230=""),"Check data ⚠", IF(H230="","",IF(AND(D230="Non-native and ornamental hedgerow", H230&lt;&gt;"Poor"),"Not possible ▲", (VLOOKUP(H230,'G-1 All Habitats'!$Z$2:$AA$9,2,FALSE))))),"")</f>
        <v/>
      </c>
      <c r="J230" s="95"/>
      <c r="K230" s="298" t="str">
        <f>IF(AND(D230&lt;&gt;"",J230=""),"Check data ⚠", IF(J230="","",IF(VLOOKUP(J230,'G-3 Multipliers'!$L$3:$N$6,2,FALSE)=0,"Spatial Data Missing",VLOOKUP(J230,'G-3 Multipliers'!$L$3:$N$6,2,FALSE))))</f>
        <v/>
      </c>
      <c r="L230" s="296" t="str">
        <f>IF(J230="","",IF(VLOOKUP(J230,'G-3 Multipliers'!$L$3:$N$6,3,FALSE)=0,"Spatial Data Missing ⚠",VLOOKUP(J230,'G-3 Multipliers'!$L$3:$N$6,3,FALSE)))</f>
        <v/>
      </c>
      <c r="M230" s="297" t="str">
        <f>IF(D230="","",VLOOKUP(D230,'G-6 Hedgerow Data'!$B$1:$AH$15,33,FALSE))</f>
        <v/>
      </c>
      <c r="N230" s="304" t="str">
        <f t="shared" si="23"/>
        <v/>
      </c>
      <c r="O230" s="17"/>
      <c r="P230" s="103"/>
      <c r="Q230" s="141"/>
      <c r="R230" s="320" t="str">
        <f t="shared" si="24"/>
        <v/>
      </c>
      <c r="S230" s="320" t="str">
        <f t="shared" si="25"/>
        <v/>
      </c>
      <c r="T230" s="320" t="str">
        <f t="shared" si="26"/>
        <v/>
      </c>
      <c r="U230" s="339" t="str">
        <f t="shared" si="27"/>
        <v/>
      </c>
      <c r="V230" s="100"/>
      <c r="W230" s="101"/>
      <c r="X230" s="101"/>
      <c r="AE230" s="105" t="str">
        <f t="shared" si="21"/>
        <v/>
      </c>
      <c r="AF230" s="105" t="str">
        <f t="shared" si="22"/>
        <v/>
      </c>
      <c r="AH230" s="105">
        <v>221</v>
      </c>
      <c r="AJ230" s="105" t="str">
        <f t="array" ref="AJ230">IFERROR(INDEX($AH$10:$AH$258, MATCH(0, IF(TRUE=$AE$10:$AE$258, COUNTIF($AJ$9:$AJ229, $AH$10:$AH$258), ""), 0)),"")</f>
        <v/>
      </c>
      <c r="AK230" s="105" t="str">
        <f t="array" ref="AK230">IFERROR(INDEX($AH$10:$AH$258, MATCH(0, IF(TRUE=$AF$10:$AF$258, COUNTIF($AK$9:$AK229, $AH$10:$AH$258), ""), 0)),"")</f>
        <v/>
      </c>
      <c r="AL230" s="15" t="str">
        <f>IFERROR(INDEX('G-6 Hedgerow Data'!$BJ$3:$BJ$15,MATCH(D230,'G-6 Hedgerow Data'!$B$3:$B$15,0)),"")</f>
        <v/>
      </c>
    </row>
    <row r="231" spans="2:38" x14ac:dyDescent="0.3">
      <c r="B231" s="92">
        <v>222</v>
      </c>
      <c r="C231" s="141"/>
      <c r="D231" s="141"/>
      <c r="E231" s="102"/>
      <c r="F231" s="335" t="str">
        <f>IF(D231="","",VLOOKUP(D231,'G-6 Hedgerow Data'!$B$2:$AG$15,2,FALSE))</f>
        <v/>
      </c>
      <c r="G231" s="291" t="str">
        <f>IF(D231="","",VLOOKUP(D231,'G-6 Hedgerow Data'!$B$2:$AG$15,3,FALSE))</f>
        <v/>
      </c>
      <c r="H231" s="95"/>
      <c r="I231" s="291" t="str">
        <f>IFERROR(IF(AND(D231&lt;&gt;"",H231=""),"Check data ⚠", IF(H231="","",IF(AND(D231="Non-native and ornamental hedgerow", H231&lt;&gt;"Poor"),"Not possible ▲", (VLOOKUP(H231,'G-1 All Habitats'!$Z$2:$AA$9,2,FALSE))))),"")</f>
        <v/>
      </c>
      <c r="J231" s="95"/>
      <c r="K231" s="298" t="str">
        <f>IF(AND(D231&lt;&gt;"",J231=""),"Check data ⚠", IF(J231="","",IF(VLOOKUP(J231,'G-3 Multipliers'!$L$3:$N$6,2,FALSE)=0,"Spatial Data Missing",VLOOKUP(J231,'G-3 Multipliers'!$L$3:$N$6,2,FALSE))))</f>
        <v/>
      </c>
      <c r="L231" s="296" t="str">
        <f>IF(J231="","",IF(VLOOKUP(J231,'G-3 Multipliers'!$L$3:$N$6,3,FALSE)=0,"Spatial Data Missing ⚠",VLOOKUP(J231,'G-3 Multipliers'!$L$3:$N$6,3,FALSE)))</f>
        <v/>
      </c>
      <c r="M231" s="297" t="str">
        <f>IF(D231="","",VLOOKUP(D231,'G-6 Hedgerow Data'!$B$1:$AH$15,33,FALSE))</f>
        <v/>
      </c>
      <c r="N231" s="304" t="str">
        <f t="shared" si="23"/>
        <v/>
      </c>
      <c r="O231" s="17"/>
      <c r="P231" s="103"/>
      <c r="Q231" s="141"/>
      <c r="R231" s="320" t="str">
        <f t="shared" si="24"/>
        <v/>
      </c>
      <c r="S231" s="320" t="str">
        <f t="shared" si="25"/>
        <v/>
      </c>
      <c r="T231" s="320" t="str">
        <f t="shared" si="26"/>
        <v/>
      </c>
      <c r="U231" s="339" t="str">
        <f t="shared" si="27"/>
        <v/>
      </c>
      <c r="V231" s="100"/>
      <c r="W231" s="101"/>
      <c r="X231" s="101"/>
      <c r="AE231" s="105" t="str">
        <f t="shared" si="21"/>
        <v/>
      </c>
      <c r="AF231" s="105" t="str">
        <f t="shared" si="22"/>
        <v/>
      </c>
      <c r="AH231" s="105">
        <v>222</v>
      </c>
      <c r="AJ231" s="105" t="str">
        <f t="array" ref="AJ231">IFERROR(INDEX($AH$10:$AH$258, MATCH(0, IF(TRUE=$AE$10:$AE$258, COUNTIF($AJ$9:$AJ230, $AH$10:$AH$258), ""), 0)),"")</f>
        <v/>
      </c>
      <c r="AK231" s="105" t="str">
        <f t="array" ref="AK231">IFERROR(INDEX($AH$10:$AH$258, MATCH(0, IF(TRUE=$AF$10:$AF$258, COUNTIF($AK$9:$AK230, $AH$10:$AH$258), ""), 0)),"")</f>
        <v/>
      </c>
      <c r="AL231" s="15" t="str">
        <f>IFERROR(INDEX('G-6 Hedgerow Data'!$BJ$3:$BJ$15,MATCH(D231,'G-6 Hedgerow Data'!$B$3:$B$15,0)),"")</f>
        <v/>
      </c>
    </row>
    <row r="232" spans="2:38" x14ac:dyDescent="0.3">
      <c r="B232" s="92">
        <v>223</v>
      </c>
      <c r="C232" s="141"/>
      <c r="D232" s="141"/>
      <c r="E232" s="102"/>
      <c r="F232" s="335" t="str">
        <f>IF(D232="","",VLOOKUP(D232,'G-6 Hedgerow Data'!$B$2:$AG$15,2,FALSE))</f>
        <v/>
      </c>
      <c r="G232" s="291" t="str">
        <f>IF(D232="","",VLOOKUP(D232,'G-6 Hedgerow Data'!$B$2:$AG$15,3,FALSE))</f>
        <v/>
      </c>
      <c r="H232" s="95"/>
      <c r="I232" s="291" t="str">
        <f>IFERROR(IF(AND(D232&lt;&gt;"",H232=""),"Check data ⚠", IF(H232="","",IF(AND(D232="Non-native and ornamental hedgerow", H232&lt;&gt;"Poor"),"Not possible ▲", (VLOOKUP(H232,'G-1 All Habitats'!$Z$2:$AA$9,2,FALSE))))),"")</f>
        <v/>
      </c>
      <c r="J232" s="95"/>
      <c r="K232" s="298" t="str">
        <f>IF(AND(D232&lt;&gt;"",J232=""),"Check data ⚠", IF(J232="","",IF(VLOOKUP(J232,'G-3 Multipliers'!$L$3:$N$6,2,FALSE)=0,"Spatial Data Missing",VLOOKUP(J232,'G-3 Multipliers'!$L$3:$N$6,2,FALSE))))</f>
        <v/>
      </c>
      <c r="L232" s="296" t="str">
        <f>IF(J232="","",IF(VLOOKUP(J232,'G-3 Multipliers'!$L$3:$N$6,3,FALSE)=0,"Spatial Data Missing ⚠",VLOOKUP(J232,'G-3 Multipliers'!$L$3:$N$6,3,FALSE)))</f>
        <v/>
      </c>
      <c r="M232" s="297" t="str">
        <f>IF(D232="","",VLOOKUP(D232,'G-6 Hedgerow Data'!$B$1:$AH$15,33,FALSE))</f>
        <v/>
      </c>
      <c r="N232" s="304" t="str">
        <f t="shared" si="23"/>
        <v/>
      </c>
      <c r="O232" s="17"/>
      <c r="P232" s="103"/>
      <c r="Q232" s="141"/>
      <c r="R232" s="320" t="str">
        <f t="shared" si="24"/>
        <v/>
      </c>
      <c r="S232" s="320" t="str">
        <f t="shared" si="25"/>
        <v/>
      </c>
      <c r="T232" s="320" t="str">
        <f t="shared" si="26"/>
        <v/>
      </c>
      <c r="U232" s="339" t="str">
        <f t="shared" si="27"/>
        <v/>
      </c>
      <c r="V232" s="100"/>
      <c r="W232" s="101"/>
      <c r="X232" s="101"/>
      <c r="AE232" s="105" t="str">
        <f t="shared" si="21"/>
        <v/>
      </c>
      <c r="AF232" s="105" t="str">
        <f t="shared" si="22"/>
        <v/>
      </c>
      <c r="AH232" s="105">
        <v>223</v>
      </c>
      <c r="AJ232" s="105" t="str">
        <f t="array" ref="AJ232">IFERROR(INDEX($AH$10:$AH$258, MATCH(0, IF(TRUE=$AE$10:$AE$258, COUNTIF($AJ$9:$AJ231, $AH$10:$AH$258), ""), 0)),"")</f>
        <v/>
      </c>
      <c r="AK232" s="105" t="str">
        <f t="array" ref="AK232">IFERROR(INDEX($AH$10:$AH$258, MATCH(0, IF(TRUE=$AF$10:$AF$258, COUNTIF($AK$9:$AK231, $AH$10:$AH$258), ""), 0)),"")</f>
        <v/>
      </c>
      <c r="AL232" s="15" t="str">
        <f>IFERROR(INDEX('G-6 Hedgerow Data'!$BJ$3:$BJ$15,MATCH(D232,'G-6 Hedgerow Data'!$B$3:$B$15,0)),"")</f>
        <v/>
      </c>
    </row>
    <row r="233" spans="2:38" x14ac:dyDescent="0.3">
      <c r="B233" s="92">
        <v>224</v>
      </c>
      <c r="C233" s="141"/>
      <c r="D233" s="141"/>
      <c r="E233" s="102"/>
      <c r="F233" s="335" t="str">
        <f>IF(D233="","",VLOOKUP(D233,'G-6 Hedgerow Data'!$B$2:$AG$15,2,FALSE))</f>
        <v/>
      </c>
      <c r="G233" s="291" t="str">
        <f>IF(D233="","",VLOOKUP(D233,'G-6 Hedgerow Data'!$B$2:$AG$15,3,FALSE))</f>
        <v/>
      </c>
      <c r="H233" s="95"/>
      <c r="I233" s="291" t="str">
        <f>IFERROR(IF(AND(D233&lt;&gt;"",H233=""),"Check data ⚠", IF(H233="","",IF(AND(D233="Non-native and ornamental hedgerow", H233&lt;&gt;"Poor"),"Not possible ▲", (VLOOKUP(H233,'G-1 All Habitats'!$Z$2:$AA$9,2,FALSE))))),"")</f>
        <v/>
      </c>
      <c r="J233" s="95"/>
      <c r="K233" s="298" t="str">
        <f>IF(AND(D233&lt;&gt;"",J233=""),"Check data ⚠", IF(J233="","",IF(VLOOKUP(J233,'G-3 Multipliers'!$L$3:$N$6,2,FALSE)=0,"Spatial Data Missing",VLOOKUP(J233,'G-3 Multipliers'!$L$3:$N$6,2,FALSE))))</f>
        <v/>
      </c>
      <c r="L233" s="296" t="str">
        <f>IF(J233="","",IF(VLOOKUP(J233,'G-3 Multipliers'!$L$3:$N$6,3,FALSE)=0,"Spatial Data Missing ⚠",VLOOKUP(J233,'G-3 Multipliers'!$L$3:$N$6,3,FALSE)))</f>
        <v/>
      </c>
      <c r="M233" s="297" t="str">
        <f>IF(D233="","",VLOOKUP(D233,'G-6 Hedgerow Data'!$B$1:$AH$15,33,FALSE))</f>
        <v/>
      </c>
      <c r="N233" s="304" t="str">
        <f t="shared" si="23"/>
        <v/>
      </c>
      <c r="O233" s="17"/>
      <c r="P233" s="103"/>
      <c r="Q233" s="141"/>
      <c r="R233" s="320" t="str">
        <f t="shared" si="24"/>
        <v/>
      </c>
      <c r="S233" s="320" t="str">
        <f t="shared" si="25"/>
        <v/>
      </c>
      <c r="T233" s="320" t="str">
        <f t="shared" si="26"/>
        <v/>
      </c>
      <c r="U233" s="339" t="str">
        <f t="shared" si="27"/>
        <v/>
      </c>
      <c r="V233" s="100"/>
      <c r="W233" s="101"/>
      <c r="X233" s="101"/>
      <c r="AE233" s="105" t="str">
        <f t="shared" si="21"/>
        <v/>
      </c>
      <c r="AF233" s="105" t="str">
        <f t="shared" si="22"/>
        <v/>
      </c>
      <c r="AH233" s="105">
        <v>224</v>
      </c>
      <c r="AJ233" s="105" t="str">
        <f t="array" ref="AJ233">IFERROR(INDEX($AH$10:$AH$258, MATCH(0, IF(TRUE=$AE$10:$AE$258, COUNTIF($AJ$9:$AJ232, $AH$10:$AH$258), ""), 0)),"")</f>
        <v/>
      </c>
      <c r="AK233" s="105" t="str">
        <f t="array" ref="AK233">IFERROR(INDEX($AH$10:$AH$258, MATCH(0, IF(TRUE=$AF$10:$AF$258, COUNTIF($AK$9:$AK232, $AH$10:$AH$258), ""), 0)),"")</f>
        <v/>
      </c>
      <c r="AL233" s="15" t="str">
        <f>IFERROR(INDEX('G-6 Hedgerow Data'!$BJ$3:$BJ$15,MATCH(D233,'G-6 Hedgerow Data'!$B$3:$B$15,0)),"")</f>
        <v/>
      </c>
    </row>
    <row r="234" spans="2:38" x14ac:dyDescent="0.3">
      <c r="B234" s="92">
        <v>225</v>
      </c>
      <c r="C234" s="141"/>
      <c r="D234" s="141"/>
      <c r="E234" s="102"/>
      <c r="F234" s="335" t="str">
        <f>IF(D234="","",VLOOKUP(D234,'G-6 Hedgerow Data'!$B$2:$AG$15,2,FALSE))</f>
        <v/>
      </c>
      <c r="G234" s="291" t="str">
        <f>IF(D234="","",VLOOKUP(D234,'G-6 Hedgerow Data'!$B$2:$AG$15,3,FALSE))</f>
        <v/>
      </c>
      <c r="H234" s="95"/>
      <c r="I234" s="291" t="str">
        <f>IFERROR(IF(AND(D234&lt;&gt;"",H234=""),"Check data ⚠", IF(H234="","",IF(AND(D234="Non-native and ornamental hedgerow", H234&lt;&gt;"Poor"),"Not possible ▲", (VLOOKUP(H234,'G-1 All Habitats'!$Z$2:$AA$9,2,FALSE))))),"")</f>
        <v/>
      </c>
      <c r="J234" s="95"/>
      <c r="K234" s="298" t="str">
        <f>IF(AND(D234&lt;&gt;"",J234=""),"Check data ⚠", IF(J234="","",IF(VLOOKUP(J234,'G-3 Multipliers'!$L$3:$N$6,2,FALSE)=0,"Spatial Data Missing",VLOOKUP(J234,'G-3 Multipliers'!$L$3:$N$6,2,FALSE))))</f>
        <v/>
      </c>
      <c r="L234" s="296" t="str">
        <f>IF(J234="","",IF(VLOOKUP(J234,'G-3 Multipliers'!$L$3:$N$6,3,FALSE)=0,"Spatial Data Missing ⚠",VLOOKUP(J234,'G-3 Multipliers'!$L$3:$N$6,3,FALSE)))</f>
        <v/>
      </c>
      <c r="M234" s="297" t="str">
        <f>IF(D234="","",VLOOKUP(D234,'G-6 Hedgerow Data'!$B$1:$AH$15,33,FALSE))</f>
        <v/>
      </c>
      <c r="N234" s="304" t="str">
        <f t="shared" si="23"/>
        <v/>
      </c>
      <c r="O234" s="17"/>
      <c r="P234" s="103"/>
      <c r="Q234" s="141"/>
      <c r="R234" s="320" t="str">
        <f t="shared" si="24"/>
        <v/>
      </c>
      <c r="S234" s="320" t="str">
        <f t="shared" si="25"/>
        <v/>
      </c>
      <c r="T234" s="320" t="str">
        <f t="shared" si="26"/>
        <v/>
      </c>
      <c r="U234" s="339" t="str">
        <f t="shared" si="27"/>
        <v/>
      </c>
      <c r="V234" s="100"/>
      <c r="W234" s="101"/>
      <c r="X234" s="101"/>
      <c r="AE234" s="105" t="str">
        <f t="shared" si="21"/>
        <v/>
      </c>
      <c r="AF234" s="105" t="str">
        <f t="shared" si="22"/>
        <v/>
      </c>
      <c r="AH234" s="105">
        <v>225</v>
      </c>
      <c r="AJ234" s="105" t="str">
        <f t="array" ref="AJ234">IFERROR(INDEX($AH$10:$AH$258, MATCH(0, IF(TRUE=$AE$10:$AE$258, COUNTIF($AJ$9:$AJ233, $AH$10:$AH$258), ""), 0)),"")</f>
        <v/>
      </c>
      <c r="AK234" s="105" t="str">
        <f t="array" ref="AK234">IFERROR(INDEX($AH$10:$AH$258, MATCH(0, IF(TRUE=$AF$10:$AF$258, COUNTIF($AK$9:$AK233, $AH$10:$AH$258), ""), 0)),"")</f>
        <v/>
      </c>
      <c r="AL234" s="15" t="str">
        <f>IFERROR(INDEX('G-6 Hedgerow Data'!$BJ$3:$BJ$15,MATCH(D234,'G-6 Hedgerow Data'!$B$3:$B$15,0)),"")</f>
        <v/>
      </c>
    </row>
    <row r="235" spans="2:38" x14ac:dyDescent="0.3">
      <c r="B235" s="92">
        <v>226</v>
      </c>
      <c r="C235" s="141"/>
      <c r="D235" s="141"/>
      <c r="E235" s="102"/>
      <c r="F235" s="335" t="str">
        <f>IF(D235="","",VLOOKUP(D235,'G-6 Hedgerow Data'!$B$2:$AG$15,2,FALSE))</f>
        <v/>
      </c>
      <c r="G235" s="291" t="str">
        <f>IF(D235="","",VLOOKUP(D235,'G-6 Hedgerow Data'!$B$2:$AG$15,3,FALSE))</f>
        <v/>
      </c>
      <c r="H235" s="95"/>
      <c r="I235" s="291" t="str">
        <f>IFERROR(IF(AND(D235&lt;&gt;"",H235=""),"Check data ⚠", IF(H235="","",IF(AND(D235="Non-native and ornamental hedgerow", H235&lt;&gt;"Poor"),"Not possible ▲", (VLOOKUP(H235,'G-1 All Habitats'!$Z$2:$AA$9,2,FALSE))))),"")</f>
        <v/>
      </c>
      <c r="J235" s="95"/>
      <c r="K235" s="298" t="str">
        <f>IF(AND(D235&lt;&gt;"",J235=""),"Check data ⚠", IF(J235="","",IF(VLOOKUP(J235,'G-3 Multipliers'!$L$3:$N$6,2,FALSE)=0,"Spatial Data Missing",VLOOKUP(J235,'G-3 Multipliers'!$L$3:$N$6,2,FALSE))))</f>
        <v/>
      </c>
      <c r="L235" s="296" t="str">
        <f>IF(J235="","",IF(VLOOKUP(J235,'G-3 Multipliers'!$L$3:$N$6,3,FALSE)=0,"Spatial Data Missing ⚠",VLOOKUP(J235,'G-3 Multipliers'!$L$3:$N$6,3,FALSE)))</f>
        <v/>
      </c>
      <c r="M235" s="297" t="str">
        <f>IF(D235="","",VLOOKUP(D235,'G-6 Hedgerow Data'!$B$1:$AH$15,33,FALSE))</f>
        <v/>
      </c>
      <c r="N235" s="304" t="str">
        <f t="shared" si="23"/>
        <v/>
      </c>
      <c r="O235" s="17"/>
      <c r="P235" s="103"/>
      <c r="Q235" s="141"/>
      <c r="R235" s="320" t="str">
        <f t="shared" si="24"/>
        <v/>
      </c>
      <c r="S235" s="320" t="str">
        <f t="shared" si="25"/>
        <v/>
      </c>
      <c r="T235" s="320" t="str">
        <f t="shared" si="26"/>
        <v/>
      </c>
      <c r="U235" s="339" t="str">
        <f t="shared" si="27"/>
        <v/>
      </c>
      <c r="V235" s="100"/>
      <c r="W235" s="101"/>
      <c r="X235" s="101"/>
      <c r="AE235" s="105" t="str">
        <f t="shared" si="21"/>
        <v/>
      </c>
      <c r="AF235" s="105" t="str">
        <f t="shared" si="22"/>
        <v/>
      </c>
      <c r="AH235" s="105">
        <v>226</v>
      </c>
      <c r="AJ235" s="105" t="str">
        <f t="array" ref="AJ235">IFERROR(INDEX($AH$10:$AH$258, MATCH(0, IF(TRUE=$AE$10:$AE$258, COUNTIF($AJ$9:$AJ234, $AH$10:$AH$258), ""), 0)),"")</f>
        <v/>
      </c>
      <c r="AK235" s="105" t="str">
        <f t="array" ref="AK235">IFERROR(INDEX($AH$10:$AH$258, MATCH(0, IF(TRUE=$AF$10:$AF$258, COUNTIF($AK$9:$AK234, $AH$10:$AH$258), ""), 0)),"")</f>
        <v/>
      </c>
      <c r="AL235" s="15" t="str">
        <f>IFERROR(INDEX('G-6 Hedgerow Data'!$BJ$3:$BJ$15,MATCH(D235,'G-6 Hedgerow Data'!$B$3:$B$15,0)),"")</f>
        <v/>
      </c>
    </row>
    <row r="236" spans="2:38" x14ac:dyDescent="0.3">
      <c r="B236" s="92">
        <v>227</v>
      </c>
      <c r="C236" s="141"/>
      <c r="D236" s="141"/>
      <c r="E236" s="102"/>
      <c r="F236" s="335" t="str">
        <f>IF(D236="","",VLOOKUP(D236,'G-6 Hedgerow Data'!$B$2:$AG$15,2,FALSE))</f>
        <v/>
      </c>
      <c r="G236" s="291" t="str">
        <f>IF(D236="","",VLOOKUP(D236,'G-6 Hedgerow Data'!$B$2:$AG$15,3,FALSE))</f>
        <v/>
      </c>
      <c r="H236" s="95"/>
      <c r="I236" s="291" t="str">
        <f>IFERROR(IF(AND(D236&lt;&gt;"",H236=""),"Check data ⚠", IF(H236="","",IF(AND(D236="Non-native and ornamental hedgerow", H236&lt;&gt;"Poor"),"Not possible ▲", (VLOOKUP(H236,'G-1 All Habitats'!$Z$2:$AA$9,2,FALSE))))),"")</f>
        <v/>
      </c>
      <c r="J236" s="95"/>
      <c r="K236" s="298" t="str">
        <f>IF(AND(D236&lt;&gt;"",J236=""),"Check data ⚠", IF(J236="","",IF(VLOOKUP(J236,'G-3 Multipliers'!$L$3:$N$6,2,FALSE)=0,"Spatial Data Missing",VLOOKUP(J236,'G-3 Multipliers'!$L$3:$N$6,2,FALSE))))</f>
        <v/>
      </c>
      <c r="L236" s="296" t="str">
        <f>IF(J236="","",IF(VLOOKUP(J236,'G-3 Multipliers'!$L$3:$N$6,3,FALSE)=0,"Spatial Data Missing ⚠",VLOOKUP(J236,'G-3 Multipliers'!$L$3:$N$6,3,FALSE)))</f>
        <v/>
      </c>
      <c r="M236" s="297" t="str">
        <f>IF(D236="","",VLOOKUP(D236,'G-6 Hedgerow Data'!$B$1:$AH$15,33,FALSE))</f>
        <v/>
      </c>
      <c r="N236" s="304" t="str">
        <f t="shared" si="23"/>
        <v/>
      </c>
      <c r="O236" s="17"/>
      <c r="P236" s="103"/>
      <c r="Q236" s="141"/>
      <c r="R236" s="320" t="str">
        <f t="shared" si="24"/>
        <v/>
      </c>
      <c r="S236" s="320" t="str">
        <f t="shared" si="25"/>
        <v/>
      </c>
      <c r="T236" s="320" t="str">
        <f t="shared" si="26"/>
        <v/>
      </c>
      <c r="U236" s="339" t="str">
        <f t="shared" si="27"/>
        <v/>
      </c>
      <c r="V236" s="100"/>
      <c r="W236" s="101"/>
      <c r="X236" s="101"/>
      <c r="AE236" s="105" t="str">
        <f t="shared" si="21"/>
        <v/>
      </c>
      <c r="AF236" s="105" t="str">
        <f t="shared" si="22"/>
        <v/>
      </c>
      <c r="AH236" s="105">
        <v>227</v>
      </c>
      <c r="AJ236" s="105" t="str">
        <f t="array" ref="AJ236">IFERROR(INDEX($AH$10:$AH$258, MATCH(0, IF(TRUE=$AE$10:$AE$258, COUNTIF($AJ$9:$AJ235, $AH$10:$AH$258), ""), 0)),"")</f>
        <v/>
      </c>
      <c r="AK236" s="105" t="str">
        <f t="array" ref="AK236">IFERROR(INDEX($AH$10:$AH$258, MATCH(0, IF(TRUE=$AF$10:$AF$258, COUNTIF($AK$9:$AK235, $AH$10:$AH$258), ""), 0)),"")</f>
        <v/>
      </c>
      <c r="AL236" s="15" t="str">
        <f>IFERROR(INDEX('G-6 Hedgerow Data'!$BJ$3:$BJ$15,MATCH(D236,'G-6 Hedgerow Data'!$B$3:$B$15,0)),"")</f>
        <v/>
      </c>
    </row>
    <row r="237" spans="2:38" x14ac:dyDescent="0.3">
      <c r="B237" s="92">
        <v>228</v>
      </c>
      <c r="C237" s="141"/>
      <c r="D237" s="141"/>
      <c r="E237" s="102"/>
      <c r="F237" s="335" t="str">
        <f>IF(D237="","",VLOOKUP(D237,'G-6 Hedgerow Data'!$B$2:$AG$15,2,FALSE))</f>
        <v/>
      </c>
      <c r="G237" s="291" t="str">
        <f>IF(D237="","",VLOOKUP(D237,'G-6 Hedgerow Data'!$B$2:$AG$15,3,FALSE))</f>
        <v/>
      </c>
      <c r="H237" s="95"/>
      <c r="I237" s="291" t="str">
        <f>IFERROR(IF(AND(D237&lt;&gt;"",H237=""),"Check data ⚠", IF(H237="","",IF(AND(D237="Non-native and ornamental hedgerow", H237&lt;&gt;"Poor"),"Not possible ▲", (VLOOKUP(H237,'G-1 All Habitats'!$Z$2:$AA$9,2,FALSE))))),"")</f>
        <v/>
      </c>
      <c r="J237" s="95"/>
      <c r="K237" s="298" t="str">
        <f>IF(AND(D237&lt;&gt;"",J237=""),"Check data ⚠", IF(J237="","",IF(VLOOKUP(J237,'G-3 Multipliers'!$L$3:$N$6,2,FALSE)=0,"Spatial Data Missing",VLOOKUP(J237,'G-3 Multipliers'!$L$3:$N$6,2,FALSE))))</f>
        <v/>
      </c>
      <c r="L237" s="296" t="str">
        <f>IF(J237="","",IF(VLOOKUP(J237,'G-3 Multipliers'!$L$3:$N$6,3,FALSE)=0,"Spatial Data Missing ⚠",VLOOKUP(J237,'G-3 Multipliers'!$L$3:$N$6,3,FALSE)))</f>
        <v/>
      </c>
      <c r="M237" s="297" t="str">
        <f>IF(D237="","",VLOOKUP(D237,'G-6 Hedgerow Data'!$B$1:$AH$15,33,FALSE))</f>
        <v/>
      </c>
      <c r="N237" s="304" t="str">
        <f t="shared" si="23"/>
        <v/>
      </c>
      <c r="O237" s="17"/>
      <c r="P237" s="103"/>
      <c r="Q237" s="141"/>
      <c r="R237" s="320" t="str">
        <f t="shared" si="24"/>
        <v/>
      </c>
      <c r="S237" s="320" t="str">
        <f t="shared" si="25"/>
        <v/>
      </c>
      <c r="T237" s="320" t="str">
        <f t="shared" si="26"/>
        <v/>
      </c>
      <c r="U237" s="339" t="str">
        <f t="shared" si="27"/>
        <v/>
      </c>
      <c r="V237" s="100"/>
      <c r="W237" s="101"/>
      <c r="X237" s="101"/>
      <c r="AE237" s="105" t="str">
        <f t="shared" si="21"/>
        <v/>
      </c>
      <c r="AF237" s="105" t="str">
        <f t="shared" si="22"/>
        <v/>
      </c>
      <c r="AH237" s="105">
        <v>228</v>
      </c>
      <c r="AJ237" s="105" t="str">
        <f t="array" ref="AJ237">IFERROR(INDEX($AH$10:$AH$258, MATCH(0, IF(TRUE=$AE$10:$AE$258, COUNTIF($AJ$9:$AJ236, $AH$10:$AH$258), ""), 0)),"")</f>
        <v/>
      </c>
      <c r="AK237" s="105" t="str">
        <f t="array" ref="AK237">IFERROR(INDEX($AH$10:$AH$258, MATCH(0, IF(TRUE=$AF$10:$AF$258, COUNTIF($AK$9:$AK236, $AH$10:$AH$258), ""), 0)),"")</f>
        <v/>
      </c>
      <c r="AL237" s="15" t="str">
        <f>IFERROR(INDEX('G-6 Hedgerow Data'!$BJ$3:$BJ$15,MATCH(D237,'G-6 Hedgerow Data'!$B$3:$B$15,0)),"")</f>
        <v/>
      </c>
    </row>
    <row r="238" spans="2:38" x14ac:dyDescent="0.3">
      <c r="B238" s="92">
        <v>229</v>
      </c>
      <c r="C238" s="141"/>
      <c r="D238" s="141"/>
      <c r="E238" s="102"/>
      <c r="F238" s="335" t="str">
        <f>IF(D238="","",VLOOKUP(D238,'G-6 Hedgerow Data'!$B$2:$AG$15,2,FALSE))</f>
        <v/>
      </c>
      <c r="G238" s="291" t="str">
        <f>IF(D238="","",VLOOKUP(D238,'G-6 Hedgerow Data'!$B$2:$AG$15,3,FALSE))</f>
        <v/>
      </c>
      <c r="H238" s="95"/>
      <c r="I238" s="291" t="str">
        <f>IFERROR(IF(AND(D238&lt;&gt;"",H238=""),"Check data ⚠", IF(H238="","",IF(AND(D238="Non-native and ornamental hedgerow", H238&lt;&gt;"Poor"),"Not possible ▲", (VLOOKUP(H238,'G-1 All Habitats'!$Z$2:$AA$9,2,FALSE))))),"")</f>
        <v/>
      </c>
      <c r="J238" s="95"/>
      <c r="K238" s="298" t="str">
        <f>IF(AND(D238&lt;&gt;"",J238=""),"Check data ⚠", IF(J238="","",IF(VLOOKUP(J238,'G-3 Multipliers'!$L$3:$N$6,2,FALSE)=0,"Spatial Data Missing",VLOOKUP(J238,'G-3 Multipliers'!$L$3:$N$6,2,FALSE))))</f>
        <v/>
      </c>
      <c r="L238" s="296" t="str">
        <f>IF(J238="","",IF(VLOOKUP(J238,'G-3 Multipliers'!$L$3:$N$6,3,FALSE)=0,"Spatial Data Missing ⚠",VLOOKUP(J238,'G-3 Multipliers'!$L$3:$N$6,3,FALSE)))</f>
        <v/>
      </c>
      <c r="M238" s="297" t="str">
        <f>IF(D238="","",VLOOKUP(D238,'G-6 Hedgerow Data'!$B$1:$AH$15,33,FALSE))</f>
        <v/>
      </c>
      <c r="N238" s="304" t="str">
        <f t="shared" si="23"/>
        <v/>
      </c>
      <c r="O238" s="17"/>
      <c r="P238" s="103"/>
      <c r="Q238" s="141"/>
      <c r="R238" s="320" t="str">
        <f t="shared" si="24"/>
        <v/>
      </c>
      <c r="S238" s="320" t="str">
        <f t="shared" si="25"/>
        <v/>
      </c>
      <c r="T238" s="320" t="str">
        <f t="shared" si="26"/>
        <v/>
      </c>
      <c r="U238" s="339" t="str">
        <f t="shared" si="27"/>
        <v/>
      </c>
      <c r="V238" s="100"/>
      <c r="W238" s="101"/>
      <c r="X238" s="101"/>
      <c r="AE238" s="105" t="str">
        <f t="shared" si="21"/>
        <v/>
      </c>
      <c r="AF238" s="105" t="str">
        <f t="shared" si="22"/>
        <v/>
      </c>
      <c r="AH238" s="105">
        <v>229</v>
      </c>
      <c r="AJ238" s="105" t="str">
        <f t="array" ref="AJ238">IFERROR(INDEX($AH$10:$AH$258, MATCH(0, IF(TRUE=$AE$10:$AE$258, COUNTIF($AJ$9:$AJ237, $AH$10:$AH$258), ""), 0)),"")</f>
        <v/>
      </c>
      <c r="AK238" s="105" t="str">
        <f t="array" ref="AK238">IFERROR(INDEX($AH$10:$AH$258, MATCH(0, IF(TRUE=$AF$10:$AF$258, COUNTIF($AK$9:$AK237, $AH$10:$AH$258), ""), 0)),"")</f>
        <v/>
      </c>
      <c r="AL238" s="15" t="str">
        <f>IFERROR(INDEX('G-6 Hedgerow Data'!$BJ$3:$BJ$15,MATCH(D238,'G-6 Hedgerow Data'!$B$3:$B$15,0)),"")</f>
        <v/>
      </c>
    </row>
    <row r="239" spans="2:38" x14ac:dyDescent="0.3">
      <c r="B239" s="92">
        <v>230</v>
      </c>
      <c r="C239" s="141"/>
      <c r="D239" s="141"/>
      <c r="E239" s="102"/>
      <c r="F239" s="335" t="str">
        <f>IF(D239="","",VLOOKUP(D239,'G-6 Hedgerow Data'!$B$2:$AG$15,2,FALSE))</f>
        <v/>
      </c>
      <c r="G239" s="291" t="str">
        <f>IF(D239="","",VLOOKUP(D239,'G-6 Hedgerow Data'!$B$2:$AG$15,3,FALSE))</f>
        <v/>
      </c>
      <c r="H239" s="95"/>
      <c r="I239" s="291" t="str">
        <f>IFERROR(IF(AND(D239&lt;&gt;"",H239=""),"Check data ⚠", IF(H239="","",IF(AND(D239="Non-native and ornamental hedgerow", H239&lt;&gt;"Poor"),"Not possible ▲", (VLOOKUP(H239,'G-1 All Habitats'!$Z$2:$AA$9,2,FALSE))))),"")</f>
        <v/>
      </c>
      <c r="J239" s="95"/>
      <c r="K239" s="298" t="str">
        <f>IF(AND(D239&lt;&gt;"",J239=""),"Check data ⚠", IF(J239="","",IF(VLOOKUP(J239,'G-3 Multipliers'!$L$3:$N$6,2,FALSE)=0,"Spatial Data Missing",VLOOKUP(J239,'G-3 Multipliers'!$L$3:$N$6,2,FALSE))))</f>
        <v/>
      </c>
      <c r="L239" s="296" t="str">
        <f>IF(J239="","",IF(VLOOKUP(J239,'G-3 Multipliers'!$L$3:$N$6,3,FALSE)=0,"Spatial Data Missing ⚠",VLOOKUP(J239,'G-3 Multipliers'!$L$3:$N$6,3,FALSE)))</f>
        <v/>
      </c>
      <c r="M239" s="297" t="str">
        <f>IF(D239="","",VLOOKUP(D239,'G-6 Hedgerow Data'!$B$1:$AH$15,33,FALSE))</f>
        <v/>
      </c>
      <c r="N239" s="304" t="str">
        <f t="shared" si="23"/>
        <v/>
      </c>
      <c r="O239" s="17"/>
      <c r="P239" s="103"/>
      <c r="Q239" s="141"/>
      <c r="R239" s="320" t="str">
        <f t="shared" si="24"/>
        <v/>
      </c>
      <c r="S239" s="320" t="str">
        <f t="shared" si="25"/>
        <v/>
      </c>
      <c r="T239" s="320" t="str">
        <f t="shared" si="26"/>
        <v/>
      </c>
      <c r="U239" s="339" t="str">
        <f t="shared" si="27"/>
        <v/>
      </c>
      <c r="V239" s="100"/>
      <c r="W239" s="101"/>
      <c r="X239" s="101"/>
      <c r="AE239" s="105" t="str">
        <f t="shared" si="21"/>
        <v/>
      </c>
      <c r="AF239" s="105" t="str">
        <f t="shared" si="22"/>
        <v/>
      </c>
      <c r="AH239" s="105">
        <v>230</v>
      </c>
      <c r="AJ239" s="105" t="str">
        <f t="array" ref="AJ239">IFERROR(INDEX($AH$10:$AH$258, MATCH(0, IF(TRUE=$AE$10:$AE$258, COUNTIF($AJ$9:$AJ238, $AH$10:$AH$258), ""), 0)),"")</f>
        <v/>
      </c>
      <c r="AK239" s="105" t="str">
        <f t="array" ref="AK239">IFERROR(INDEX($AH$10:$AH$258, MATCH(0, IF(TRUE=$AF$10:$AF$258, COUNTIF($AK$9:$AK238, $AH$10:$AH$258), ""), 0)),"")</f>
        <v/>
      </c>
      <c r="AL239" s="15" t="str">
        <f>IFERROR(INDEX('G-6 Hedgerow Data'!$BJ$3:$BJ$15,MATCH(D239,'G-6 Hedgerow Data'!$B$3:$B$15,0)),"")</f>
        <v/>
      </c>
    </row>
    <row r="240" spans="2:38" x14ac:dyDescent="0.3">
      <c r="B240" s="92">
        <v>231</v>
      </c>
      <c r="C240" s="141"/>
      <c r="D240" s="141"/>
      <c r="E240" s="102"/>
      <c r="F240" s="335" t="str">
        <f>IF(D240="","",VLOOKUP(D240,'G-6 Hedgerow Data'!$B$2:$AG$15,2,FALSE))</f>
        <v/>
      </c>
      <c r="G240" s="291" t="str">
        <f>IF(D240="","",VLOOKUP(D240,'G-6 Hedgerow Data'!$B$2:$AG$15,3,FALSE))</f>
        <v/>
      </c>
      <c r="H240" s="95"/>
      <c r="I240" s="291" t="str">
        <f>IFERROR(IF(AND(D240&lt;&gt;"",H240=""),"Check data ⚠", IF(H240="","",IF(AND(D240="Non-native and ornamental hedgerow", H240&lt;&gt;"Poor"),"Not possible ▲", (VLOOKUP(H240,'G-1 All Habitats'!$Z$2:$AA$9,2,FALSE))))),"")</f>
        <v/>
      </c>
      <c r="J240" s="95"/>
      <c r="K240" s="298" t="str">
        <f>IF(AND(D240&lt;&gt;"",J240=""),"Check data ⚠", IF(J240="","",IF(VLOOKUP(J240,'G-3 Multipliers'!$L$3:$N$6,2,FALSE)=0,"Spatial Data Missing",VLOOKUP(J240,'G-3 Multipliers'!$L$3:$N$6,2,FALSE))))</f>
        <v/>
      </c>
      <c r="L240" s="296" t="str">
        <f>IF(J240="","",IF(VLOOKUP(J240,'G-3 Multipliers'!$L$3:$N$6,3,FALSE)=0,"Spatial Data Missing ⚠",VLOOKUP(J240,'G-3 Multipliers'!$L$3:$N$6,3,FALSE)))</f>
        <v/>
      </c>
      <c r="M240" s="297" t="str">
        <f>IF(D240="","",VLOOKUP(D240,'G-6 Hedgerow Data'!$B$1:$AH$15,33,FALSE))</f>
        <v/>
      </c>
      <c r="N240" s="304" t="str">
        <f t="shared" si="23"/>
        <v/>
      </c>
      <c r="O240" s="17"/>
      <c r="P240" s="103"/>
      <c r="Q240" s="141"/>
      <c r="R240" s="320" t="str">
        <f t="shared" si="24"/>
        <v/>
      </c>
      <c r="S240" s="320" t="str">
        <f t="shared" si="25"/>
        <v/>
      </c>
      <c r="T240" s="320" t="str">
        <f t="shared" si="26"/>
        <v/>
      </c>
      <c r="U240" s="339" t="str">
        <f t="shared" si="27"/>
        <v/>
      </c>
      <c r="V240" s="100"/>
      <c r="W240" s="101"/>
      <c r="X240" s="101"/>
      <c r="AE240" s="105" t="str">
        <f t="shared" si="21"/>
        <v/>
      </c>
      <c r="AF240" s="105" t="str">
        <f t="shared" si="22"/>
        <v/>
      </c>
      <c r="AH240" s="105">
        <v>231</v>
      </c>
      <c r="AJ240" s="105" t="str">
        <f t="array" ref="AJ240">IFERROR(INDEX($AH$10:$AH$258, MATCH(0, IF(TRUE=$AE$10:$AE$258, COUNTIF($AJ$9:$AJ239, $AH$10:$AH$258), ""), 0)),"")</f>
        <v/>
      </c>
      <c r="AK240" s="105" t="str">
        <f t="array" ref="AK240">IFERROR(INDEX($AH$10:$AH$258, MATCH(0, IF(TRUE=$AF$10:$AF$258, COUNTIF($AK$9:$AK239, $AH$10:$AH$258), ""), 0)),"")</f>
        <v/>
      </c>
      <c r="AL240" s="15" t="str">
        <f>IFERROR(INDEX('G-6 Hedgerow Data'!$BJ$3:$BJ$15,MATCH(D240,'G-6 Hedgerow Data'!$B$3:$B$15,0)),"")</f>
        <v/>
      </c>
    </row>
    <row r="241" spans="2:38" x14ac:dyDescent="0.3">
      <c r="B241" s="92">
        <v>232</v>
      </c>
      <c r="C241" s="141"/>
      <c r="D241" s="141"/>
      <c r="E241" s="102"/>
      <c r="F241" s="335" t="str">
        <f>IF(D241="","",VLOOKUP(D241,'G-6 Hedgerow Data'!$B$2:$AG$15,2,FALSE))</f>
        <v/>
      </c>
      <c r="G241" s="291" t="str">
        <f>IF(D241="","",VLOOKUP(D241,'G-6 Hedgerow Data'!$B$2:$AG$15,3,FALSE))</f>
        <v/>
      </c>
      <c r="H241" s="95"/>
      <c r="I241" s="291" t="str">
        <f>IFERROR(IF(AND(D241&lt;&gt;"",H241=""),"Check data ⚠", IF(H241="","",IF(AND(D241="Non-native and ornamental hedgerow", H241&lt;&gt;"Poor"),"Not possible ▲", (VLOOKUP(H241,'G-1 All Habitats'!$Z$2:$AA$9,2,FALSE))))),"")</f>
        <v/>
      </c>
      <c r="J241" s="95"/>
      <c r="K241" s="298" t="str">
        <f>IF(AND(D241&lt;&gt;"",J241=""),"Check data ⚠", IF(J241="","",IF(VLOOKUP(J241,'G-3 Multipliers'!$L$3:$N$6,2,FALSE)=0,"Spatial Data Missing",VLOOKUP(J241,'G-3 Multipliers'!$L$3:$N$6,2,FALSE))))</f>
        <v/>
      </c>
      <c r="L241" s="296" t="str">
        <f>IF(J241="","",IF(VLOOKUP(J241,'G-3 Multipliers'!$L$3:$N$6,3,FALSE)=0,"Spatial Data Missing ⚠",VLOOKUP(J241,'G-3 Multipliers'!$L$3:$N$6,3,FALSE)))</f>
        <v/>
      </c>
      <c r="M241" s="297" t="str">
        <f>IF(D241="","",VLOOKUP(D241,'G-6 Hedgerow Data'!$B$1:$AH$15,33,FALSE))</f>
        <v/>
      </c>
      <c r="N241" s="304" t="str">
        <f t="shared" si="23"/>
        <v/>
      </c>
      <c r="O241" s="17"/>
      <c r="P241" s="103"/>
      <c r="Q241" s="141"/>
      <c r="R241" s="320" t="str">
        <f t="shared" si="24"/>
        <v/>
      </c>
      <c r="S241" s="320" t="str">
        <f t="shared" si="25"/>
        <v/>
      </c>
      <c r="T241" s="320" t="str">
        <f t="shared" si="26"/>
        <v/>
      </c>
      <c r="U241" s="339" t="str">
        <f t="shared" si="27"/>
        <v/>
      </c>
      <c r="V241" s="100"/>
      <c r="W241" s="101"/>
      <c r="X241" s="101"/>
      <c r="AE241" s="105" t="str">
        <f t="shared" si="21"/>
        <v/>
      </c>
      <c r="AF241" s="105" t="str">
        <f t="shared" si="22"/>
        <v/>
      </c>
      <c r="AH241" s="105">
        <v>232</v>
      </c>
      <c r="AJ241" s="105" t="str">
        <f t="array" ref="AJ241">IFERROR(INDEX($AH$10:$AH$258, MATCH(0, IF(TRUE=$AE$10:$AE$258, COUNTIF($AJ$9:$AJ240, $AH$10:$AH$258), ""), 0)),"")</f>
        <v/>
      </c>
      <c r="AK241" s="105" t="str">
        <f t="array" ref="AK241">IFERROR(INDEX($AH$10:$AH$258, MATCH(0, IF(TRUE=$AF$10:$AF$258, COUNTIF($AK$9:$AK240, $AH$10:$AH$258), ""), 0)),"")</f>
        <v/>
      </c>
      <c r="AL241" s="15" t="str">
        <f>IFERROR(INDEX('G-6 Hedgerow Data'!$BJ$3:$BJ$15,MATCH(D241,'G-6 Hedgerow Data'!$B$3:$B$15,0)),"")</f>
        <v/>
      </c>
    </row>
    <row r="242" spans="2:38" x14ac:dyDescent="0.3">
      <c r="B242" s="92">
        <v>233</v>
      </c>
      <c r="C242" s="141"/>
      <c r="D242" s="141"/>
      <c r="E242" s="102"/>
      <c r="F242" s="335" t="str">
        <f>IF(D242="","",VLOOKUP(D242,'G-6 Hedgerow Data'!$B$2:$AG$15,2,FALSE))</f>
        <v/>
      </c>
      <c r="G242" s="291" t="str">
        <f>IF(D242="","",VLOOKUP(D242,'G-6 Hedgerow Data'!$B$2:$AG$15,3,FALSE))</f>
        <v/>
      </c>
      <c r="H242" s="95"/>
      <c r="I242" s="291" t="str">
        <f>IFERROR(IF(AND(D242&lt;&gt;"",H242=""),"Check data ⚠", IF(H242="","",IF(AND(D242="Non-native and ornamental hedgerow", H242&lt;&gt;"Poor"),"Not possible ▲", (VLOOKUP(H242,'G-1 All Habitats'!$Z$2:$AA$9,2,FALSE))))),"")</f>
        <v/>
      </c>
      <c r="J242" s="95"/>
      <c r="K242" s="298" t="str">
        <f>IF(AND(D242&lt;&gt;"",J242=""),"Check data ⚠", IF(J242="","",IF(VLOOKUP(J242,'G-3 Multipliers'!$L$3:$N$6,2,FALSE)=0,"Spatial Data Missing",VLOOKUP(J242,'G-3 Multipliers'!$L$3:$N$6,2,FALSE))))</f>
        <v/>
      </c>
      <c r="L242" s="296" t="str">
        <f>IF(J242="","",IF(VLOOKUP(J242,'G-3 Multipliers'!$L$3:$N$6,3,FALSE)=0,"Spatial Data Missing ⚠",VLOOKUP(J242,'G-3 Multipliers'!$L$3:$N$6,3,FALSE)))</f>
        <v/>
      </c>
      <c r="M242" s="297" t="str">
        <f>IF(D242="","",VLOOKUP(D242,'G-6 Hedgerow Data'!$B$1:$AH$15,33,FALSE))</f>
        <v/>
      </c>
      <c r="N242" s="304" t="str">
        <f t="shared" si="23"/>
        <v/>
      </c>
      <c r="O242" s="17"/>
      <c r="P242" s="103"/>
      <c r="Q242" s="141"/>
      <c r="R242" s="320" t="str">
        <f t="shared" si="24"/>
        <v/>
      </c>
      <c r="S242" s="320" t="str">
        <f t="shared" si="25"/>
        <v/>
      </c>
      <c r="T242" s="320" t="str">
        <f t="shared" si="26"/>
        <v/>
      </c>
      <c r="U242" s="339" t="str">
        <f t="shared" si="27"/>
        <v/>
      </c>
      <c r="V242" s="100"/>
      <c r="W242" s="101"/>
      <c r="X242" s="101"/>
      <c r="AE242" s="105" t="str">
        <f t="shared" si="21"/>
        <v/>
      </c>
      <c r="AF242" s="105" t="str">
        <f t="shared" si="22"/>
        <v/>
      </c>
      <c r="AH242" s="105">
        <v>233</v>
      </c>
      <c r="AJ242" s="105" t="str">
        <f t="array" ref="AJ242">IFERROR(INDEX($AH$10:$AH$258, MATCH(0, IF(TRUE=$AE$10:$AE$258, COUNTIF($AJ$9:$AJ241, $AH$10:$AH$258), ""), 0)),"")</f>
        <v/>
      </c>
      <c r="AK242" s="105" t="str">
        <f t="array" ref="AK242">IFERROR(INDEX($AH$10:$AH$258, MATCH(0, IF(TRUE=$AF$10:$AF$258, COUNTIF($AK$9:$AK241, $AH$10:$AH$258), ""), 0)),"")</f>
        <v/>
      </c>
      <c r="AL242" s="15" t="str">
        <f>IFERROR(INDEX('G-6 Hedgerow Data'!$BJ$3:$BJ$15,MATCH(D242,'G-6 Hedgerow Data'!$B$3:$B$15,0)),"")</f>
        <v/>
      </c>
    </row>
    <row r="243" spans="2:38" x14ac:dyDescent="0.3">
      <c r="B243" s="92">
        <v>234</v>
      </c>
      <c r="C243" s="141"/>
      <c r="D243" s="141"/>
      <c r="E243" s="102"/>
      <c r="F243" s="335" t="str">
        <f>IF(D243="","",VLOOKUP(D243,'G-6 Hedgerow Data'!$B$2:$AG$15,2,FALSE))</f>
        <v/>
      </c>
      <c r="G243" s="291" t="str">
        <f>IF(D243="","",VLOOKUP(D243,'G-6 Hedgerow Data'!$B$2:$AG$15,3,FALSE))</f>
        <v/>
      </c>
      <c r="H243" s="95"/>
      <c r="I243" s="291" t="str">
        <f>IFERROR(IF(AND(D243&lt;&gt;"",H243=""),"Check data ⚠", IF(H243="","",IF(AND(D243="Non-native and ornamental hedgerow", H243&lt;&gt;"Poor"),"Not possible ▲", (VLOOKUP(H243,'G-1 All Habitats'!$Z$2:$AA$9,2,FALSE))))),"")</f>
        <v/>
      </c>
      <c r="J243" s="95"/>
      <c r="K243" s="298" t="str">
        <f>IF(AND(D243&lt;&gt;"",J243=""),"Check data ⚠", IF(J243="","",IF(VLOOKUP(J243,'G-3 Multipliers'!$L$3:$N$6,2,FALSE)=0,"Spatial Data Missing",VLOOKUP(J243,'G-3 Multipliers'!$L$3:$N$6,2,FALSE))))</f>
        <v/>
      </c>
      <c r="L243" s="296" t="str">
        <f>IF(J243="","",IF(VLOOKUP(J243,'G-3 Multipliers'!$L$3:$N$6,3,FALSE)=0,"Spatial Data Missing ⚠",VLOOKUP(J243,'G-3 Multipliers'!$L$3:$N$6,3,FALSE)))</f>
        <v/>
      </c>
      <c r="M243" s="297" t="str">
        <f>IF(D243="","",VLOOKUP(D243,'G-6 Hedgerow Data'!$B$1:$AH$15,33,FALSE))</f>
        <v/>
      </c>
      <c r="N243" s="304" t="str">
        <f t="shared" si="23"/>
        <v/>
      </c>
      <c r="O243" s="17"/>
      <c r="P243" s="103"/>
      <c r="Q243" s="141"/>
      <c r="R243" s="320" t="str">
        <f t="shared" si="24"/>
        <v/>
      </c>
      <c r="S243" s="320" t="str">
        <f t="shared" si="25"/>
        <v/>
      </c>
      <c r="T243" s="320" t="str">
        <f t="shared" si="26"/>
        <v/>
      </c>
      <c r="U243" s="339" t="str">
        <f t="shared" si="27"/>
        <v/>
      </c>
      <c r="V243" s="100"/>
      <c r="W243" s="101"/>
      <c r="X243" s="101"/>
      <c r="AE243" s="105" t="str">
        <f t="shared" si="21"/>
        <v/>
      </c>
      <c r="AF243" s="105" t="str">
        <f t="shared" si="22"/>
        <v/>
      </c>
      <c r="AH243" s="105">
        <v>234</v>
      </c>
      <c r="AJ243" s="105" t="str">
        <f t="array" ref="AJ243">IFERROR(INDEX($AH$10:$AH$258, MATCH(0, IF(TRUE=$AE$10:$AE$258, COUNTIF($AJ$9:$AJ242, $AH$10:$AH$258), ""), 0)),"")</f>
        <v/>
      </c>
      <c r="AK243" s="105" t="str">
        <f t="array" ref="AK243">IFERROR(INDEX($AH$10:$AH$258, MATCH(0, IF(TRUE=$AF$10:$AF$258, COUNTIF($AK$9:$AK242, $AH$10:$AH$258), ""), 0)),"")</f>
        <v/>
      </c>
      <c r="AL243" s="15" t="str">
        <f>IFERROR(INDEX('G-6 Hedgerow Data'!$BJ$3:$BJ$15,MATCH(D243,'G-6 Hedgerow Data'!$B$3:$B$15,0)),"")</f>
        <v/>
      </c>
    </row>
    <row r="244" spans="2:38" x14ac:dyDescent="0.3">
      <c r="B244" s="92">
        <v>235</v>
      </c>
      <c r="C244" s="141"/>
      <c r="D244" s="141"/>
      <c r="E244" s="102"/>
      <c r="F244" s="335" t="str">
        <f>IF(D244="","",VLOOKUP(D244,'G-6 Hedgerow Data'!$B$2:$AG$15,2,FALSE))</f>
        <v/>
      </c>
      <c r="G244" s="291" t="str">
        <f>IF(D244="","",VLOOKUP(D244,'G-6 Hedgerow Data'!$B$2:$AG$15,3,FALSE))</f>
        <v/>
      </c>
      <c r="H244" s="95"/>
      <c r="I244" s="291" t="str">
        <f>IFERROR(IF(AND(D244&lt;&gt;"",H244=""),"Check data ⚠", IF(H244="","",IF(AND(D244="Non-native and ornamental hedgerow", H244&lt;&gt;"Poor"),"Not possible ▲", (VLOOKUP(H244,'G-1 All Habitats'!$Z$2:$AA$9,2,FALSE))))),"")</f>
        <v/>
      </c>
      <c r="J244" s="95"/>
      <c r="K244" s="298" t="str">
        <f>IF(AND(D244&lt;&gt;"",J244=""),"Check data ⚠", IF(J244="","",IF(VLOOKUP(J244,'G-3 Multipliers'!$L$3:$N$6,2,FALSE)=0,"Spatial Data Missing",VLOOKUP(J244,'G-3 Multipliers'!$L$3:$N$6,2,FALSE))))</f>
        <v/>
      </c>
      <c r="L244" s="296" t="str">
        <f>IF(J244="","",IF(VLOOKUP(J244,'G-3 Multipliers'!$L$3:$N$6,3,FALSE)=0,"Spatial Data Missing ⚠",VLOOKUP(J244,'G-3 Multipliers'!$L$3:$N$6,3,FALSE)))</f>
        <v/>
      </c>
      <c r="M244" s="297" t="str">
        <f>IF(D244="","",VLOOKUP(D244,'G-6 Hedgerow Data'!$B$1:$AH$15,33,FALSE))</f>
        <v/>
      </c>
      <c r="N244" s="304" t="str">
        <f t="shared" si="23"/>
        <v/>
      </c>
      <c r="O244" s="17"/>
      <c r="P244" s="103"/>
      <c r="Q244" s="141"/>
      <c r="R244" s="320" t="str">
        <f t="shared" si="24"/>
        <v/>
      </c>
      <c r="S244" s="320" t="str">
        <f t="shared" si="25"/>
        <v/>
      </c>
      <c r="T244" s="320" t="str">
        <f t="shared" si="26"/>
        <v/>
      </c>
      <c r="U244" s="339" t="str">
        <f t="shared" si="27"/>
        <v/>
      </c>
      <c r="V244" s="100"/>
      <c r="W244" s="101"/>
      <c r="X244" s="101"/>
      <c r="AE244" s="105" t="str">
        <f t="shared" si="21"/>
        <v/>
      </c>
      <c r="AF244" s="105" t="str">
        <f t="shared" si="22"/>
        <v/>
      </c>
      <c r="AH244" s="105">
        <v>235</v>
      </c>
      <c r="AJ244" s="105" t="str">
        <f t="array" ref="AJ244">IFERROR(INDEX($AH$10:$AH$258, MATCH(0, IF(TRUE=$AE$10:$AE$258, COUNTIF($AJ$9:$AJ243, $AH$10:$AH$258), ""), 0)),"")</f>
        <v/>
      </c>
      <c r="AK244" s="105" t="str">
        <f t="array" ref="AK244">IFERROR(INDEX($AH$10:$AH$258, MATCH(0, IF(TRUE=$AF$10:$AF$258, COUNTIF($AK$9:$AK243, $AH$10:$AH$258), ""), 0)),"")</f>
        <v/>
      </c>
      <c r="AL244" s="15" t="str">
        <f>IFERROR(INDEX('G-6 Hedgerow Data'!$BJ$3:$BJ$15,MATCH(D244,'G-6 Hedgerow Data'!$B$3:$B$15,0)),"")</f>
        <v/>
      </c>
    </row>
    <row r="245" spans="2:38" x14ac:dyDescent="0.3">
      <c r="B245" s="92">
        <v>236</v>
      </c>
      <c r="C245" s="141"/>
      <c r="D245" s="141"/>
      <c r="E245" s="102"/>
      <c r="F245" s="335" t="str">
        <f>IF(D245="","",VLOOKUP(D245,'G-6 Hedgerow Data'!$B$2:$AG$15,2,FALSE))</f>
        <v/>
      </c>
      <c r="G245" s="291" t="str">
        <f>IF(D245="","",VLOOKUP(D245,'G-6 Hedgerow Data'!$B$2:$AG$15,3,FALSE))</f>
        <v/>
      </c>
      <c r="H245" s="95"/>
      <c r="I245" s="291" t="str">
        <f>IFERROR(IF(AND(D245&lt;&gt;"",H245=""),"Check data ⚠", IF(H245="","",IF(AND(D245="Non-native and ornamental hedgerow", H245&lt;&gt;"Poor"),"Not possible ▲", (VLOOKUP(H245,'G-1 All Habitats'!$Z$2:$AA$9,2,FALSE))))),"")</f>
        <v/>
      </c>
      <c r="J245" s="95"/>
      <c r="K245" s="298" t="str">
        <f>IF(AND(D245&lt;&gt;"",J245=""),"Check data ⚠", IF(J245="","",IF(VLOOKUP(J245,'G-3 Multipliers'!$L$3:$N$6,2,FALSE)=0,"Spatial Data Missing",VLOOKUP(J245,'G-3 Multipliers'!$L$3:$N$6,2,FALSE))))</f>
        <v/>
      </c>
      <c r="L245" s="296" t="str">
        <f>IF(J245="","",IF(VLOOKUP(J245,'G-3 Multipliers'!$L$3:$N$6,3,FALSE)=0,"Spatial Data Missing ⚠",VLOOKUP(J245,'G-3 Multipliers'!$L$3:$N$6,3,FALSE)))</f>
        <v/>
      </c>
      <c r="M245" s="297" t="str">
        <f>IF(D245="","",VLOOKUP(D245,'G-6 Hedgerow Data'!$B$1:$AH$15,33,FALSE))</f>
        <v/>
      </c>
      <c r="N245" s="304" t="str">
        <f t="shared" si="23"/>
        <v/>
      </c>
      <c r="O245" s="17"/>
      <c r="P245" s="103"/>
      <c r="Q245" s="141"/>
      <c r="R245" s="320" t="str">
        <f t="shared" si="24"/>
        <v/>
      </c>
      <c r="S245" s="320" t="str">
        <f t="shared" si="25"/>
        <v/>
      </c>
      <c r="T245" s="320" t="str">
        <f t="shared" si="26"/>
        <v/>
      </c>
      <c r="U245" s="339" t="str">
        <f t="shared" si="27"/>
        <v/>
      </c>
      <c r="V245" s="100"/>
      <c r="W245" s="101"/>
      <c r="X245" s="101"/>
      <c r="AE245" s="105" t="str">
        <f t="shared" si="21"/>
        <v/>
      </c>
      <c r="AF245" s="105" t="str">
        <f t="shared" si="22"/>
        <v/>
      </c>
      <c r="AH245" s="105">
        <v>236</v>
      </c>
      <c r="AJ245" s="105" t="str">
        <f t="array" ref="AJ245">IFERROR(INDEX($AH$10:$AH$258, MATCH(0, IF(TRUE=$AE$10:$AE$258, COUNTIF($AJ$9:$AJ244, $AH$10:$AH$258), ""), 0)),"")</f>
        <v/>
      </c>
      <c r="AK245" s="105" t="str">
        <f t="array" ref="AK245">IFERROR(INDEX($AH$10:$AH$258, MATCH(0, IF(TRUE=$AF$10:$AF$258, COUNTIF($AK$9:$AK244, $AH$10:$AH$258), ""), 0)),"")</f>
        <v/>
      </c>
      <c r="AL245" s="15" t="str">
        <f>IFERROR(INDEX('G-6 Hedgerow Data'!$BJ$3:$BJ$15,MATCH(D245,'G-6 Hedgerow Data'!$B$3:$B$15,0)),"")</f>
        <v/>
      </c>
    </row>
    <row r="246" spans="2:38" x14ac:dyDescent="0.3">
      <c r="B246" s="92">
        <v>237</v>
      </c>
      <c r="C246" s="141"/>
      <c r="D246" s="141"/>
      <c r="E246" s="102"/>
      <c r="F246" s="335" t="str">
        <f>IF(D246="","",VLOOKUP(D246,'G-6 Hedgerow Data'!$B$2:$AG$15,2,FALSE))</f>
        <v/>
      </c>
      <c r="G246" s="291" t="str">
        <f>IF(D246="","",VLOOKUP(D246,'G-6 Hedgerow Data'!$B$2:$AG$15,3,FALSE))</f>
        <v/>
      </c>
      <c r="H246" s="95"/>
      <c r="I246" s="291" t="str">
        <f>IFERROR(IF(AND(D246&lt;&gt;"",H246=""),"Check data ⚠", IF(H246="","",IF(AND(D246="Non-native and ornamental hedgerow", H246&lt;&gt;"Poor"),"Not possible ▲", (VLOOKUP(H246,'G-1 All Habitats'!$Z$2:$AA$9,2,FALSE))))),"")</f>
        <v/>
      </c>
      <c r="J246" s="95"/>
      <c r="K246" s="298" t="str">
        <f>IF(AND(D246&lt;&gt;"",J246=""),"Check data ⚠", IF(J246="","",IF(VLOOKUP(J246,'G-3 Multipliers'!$L$3:$N$6,2,FALSE)=0,"Spatial Data Missing",VLOOKUP(J246,'G-3 Multipliers'!$L$3:$N$6,2,FALSE))))</f>
        <v/>
      </c>
      <c r="L246" s="296" t="str">
        <f>IF(J246="","",IF(VLOOKUP(J246,'G-3 Multipliers'!$L$3:$N$6,3,FALSE)=0,"Spatial Data Missing ⚠",VLOOKUP(J246,'G-3 Multipliers'!$L$3:$N$6,3,FALSE)))</f>
        <v/>
      </c>
      <c r="M246" s="297" t="str">
        <f>IF(D246="","",VLOOKUP(D246,'G-6 Hedgerow Data'!$B$1:$AH$15,33,FALSE))</f>
        <v/>
      </c>
      <c r="N246" s="304" t="str">
        <f t="shared" si="23"/>
        <v/>
      </c>
      <c r="O246" s="17"/>
      <c r="P246" s="103"/>
      <c r="Q246" s="141"/>
      <c r="R246" s="320" t="str">
        <f t="shared" si="24"/>
        <v/>
      </c>
      <c r="S246" s="320" t="str">
        <f t="shared" si="25"/>
        <v/>
      </c>
      <c r="T246" s="320" t="str">
        <f t="shared" si="26"/>
        <v/>
      </c>
      <c r="U246" s="339" t="str">
        <f t="shared" si="27"/>
        <v/>
      </c>
      <c r="V246" s="100"/>
      <c r="W246" s="101"/>
      <c r="X246" s="101"/>
      <c r="AE246" s="105" t="str">
        <f t="shared" si="21"/>
        <v/>
      </c>
      <c r="AF246" s="105" t="str">
        <f t="shared" si="22"/>
        <v/>
      </c>
      <c r="AH246" s="105">
        <v>237</v>
      </c>
      <c r="AJ246" s="105" t="str">
        <f t="array" ref="AJ246">IFERROR(INDEX($AH$10:$AH$258, MATCH(0, IF(TRUE=$AE$10:$AE$258, COUNTIF($AJ$9:$AJ245, $AH$10:$AH$258), ""), 0)),"")</f>
        <v/>
      </c>
      <c r="AK246" s="105" t="str">
        <f t="array" ref="AK246">IFERROR(INDEX($AH$10:$AH$258, MATCH(0, IF(TRUE=$AF$10:$AF$258, COUNTIF($AK$9:$AK245, $AH$10:$AH$258), ""), 0)),"")</f>
        <v/>
      </c>
      <c r="AL246" s="15" t="str">
        <f>IFERROR(INDEX('G-6 Hedgerow Data'!$BJ$3:$BJ$15,MATCH(D246,'G-6 Hedgerow Data'!$B$3:$B$15,0)),"")</f>
        <v/>
      </c>
    </row>
    <row r="247" spans="2:38" x14ac:dyDescent="0.3">
      <c r="B247" s="92">
        <v>238</v>
      </c>
      <c r="C247" s="141"/>
      <c r="D247" s="141"/>
      <c r="E247" s="102"/>
      <c r="F247" s="335" t="str">
        <f>IF(D247="","",VLOOKUP(D247,'G-6 Hedgerow Data'!$B$2:$AG$15,2,FALSE))</f>
        <v/>
      </c>
      <c r="G247" s="291" t="str">
        <f>IF(D247="","",VLOOKUP(D247,'G-6 Hedgerow Data'!$B$2:$AG$15,3,FALSE))</f>
        <v/>
      </c>
      <c r="H247" s="95"/>
      <c r="I247" s="291" t="str">
        <f>IFERROR(IF(AND(D247&lt;&gt;"",H247=""),"Check data ⚠", IF(H247="","",IF(AND(D247="Non-native and ornamental hedgerow", H247&lt;&gt;"Poor"),"Not possible ▲", (VLOOKUP(H247,'G-1 All Habitats'!$Z$2:$AA$9,2,FALSE))))),"")</f>
        <v/>
      </c>
      <c r="J247" s="95"/>
      <c r="K247" s="298" t="str">
        <f>IF(AND(D247&lt;&gt;"",J247=""),"Check data ⚠", IF(J247="","",IF(VLOOKUP(J247,'G-3 Multipliers'!$L$3:$N$6,2,FALSE)=0,"Spatial Data Missing",VLOOKUP(J247,'G-3 Multipliers'!$L$3:$N$6,2,FALSE))))</f>
        <v/>
      </c>
      <c r="L247" s="296" t="str">
        <f>IF(J247="","",IF(VLOOKUP(J247,'G-3 Multipliers'!$L$3:$N$6,3,FALSE)=0,"Spatial Data Missing ⚠",VLOOKUP(J247,'G-3 Multipliers'!$L$3:$N$6,3,FALSE)))</f>
        <v/>
      </c>
      <c r="M247" s="297" t="str">
        <f>IF(D247="","",VLOOKUP(D247,'G-6 Hedgerow Data'!$B$1:$AH$15,33,FALSE))</f>
        <v/>
      </c>
      <c r="N247" s="304" t="str">
        <f t="shared" si="23"/>
        <v/>
      </c>
      <c r="O247" s="17"/>
      <c r="P247" s="103"/>
      <c r="Q247" s="141"/>
      <c r="R247" s="320" t="str">
        <f t="shared" si="24"/>
        <v/>
      </c>
      <c r="S247" s="320" t="str">
        <f t="shared" si="25"/>
        <v/>
      </c>
      <c r="T247" s="320" t="str">
        <f t="shared" si="26"/>
        <v/>
      </c>
      <c r="U247" s="339" t="str">
        <f t="shared" si="27"/>
        <v/>
      </c>
      <c r="V247" s="100"/>
      <c r="W247" s="101"/>
      <c r="X247" s="101"/>
      <c r="AE247" s="105" t="str">
        <f t="shared" si="21"/>
        <v/>
      </c>
      <c r="AF247" s="105" t="str">
        <f t="shared" si="22"/>
        <v/>
      </c>
      <c r="AH247" s="105">
        <v>238</v>
      </c>
      <c r="AJ247" s="105" t="str">
        <f t="array" ref="AJ247">IFERROR(INDEX($AH$10:$AH$258, MATCH(0, IF(TRUE=$AE$10:$AE$258, COUNTIF($AJ$9:$AJ246, $AH$10:$AH$258), ""), 0)),"")</f>
        <v/>
      </c>
      <c r="AK247" s="105" t="str">
        <f t="array" ref="AK247">IFERROR(INDEX($AH$10:$AH$258, MATCH(0, IF(TRUE=$AF$10:$AF$258, COUNTIF($AK$9:$AK246, $AH$10:$AH$258), ""), 0)),"")</f>
        <v/>
      </c>
      <c r="AL247" s="15" t="str">
        <f>IFERROR(INDEX('G-6 Hedgerow Data'!$BJ$3:$BJ$15,MATCH(D247,'G-6 Hedgerow Data'!$B$3:$B$15,0)),"")</f>
        <v/>
      </c>
    </row>
    <row r="248" spans="2:38" x14ac:dyDescent="0.3">
      <c r="B248" s="92">
        <v>239</v>
      </c>
      <c r="C248" s="141"/>
      <c r="D248" s="141"/>
      <c r="E248" s="102"/>
      <c r="F248" s="335" t="str">
        <f>IF(D248="","",VLOOKUP(D248,'G-6 Hedgerow Data'!$B$2:$AG$15,2,FALSE))</f>
        <v/>
      </c>
      <c r="G248" s="291" t="str">
        <f>IF(D248="","",VLOOKUP(D248,'G-6 Hedgerow Data'!$B$2:$AG$15,3,FALSE))</f>
        <v/>
      </c>
      <c r="H248" s="95"/>
      <c r="I248" s="291" t="str">
        <f>IFERROR(IF(AND(D248&lt;&gt;"",H248=""),"Check data ⚠", IF(H248="","",IF(AND(D248="Non-native and ornamental hedgerow", H248&lt;&gt;"Poor"),"Not possible ▲", (VLOOKUP(H248,'G-1 All Habitats'!$Z$2:$AA$9,2,FALSE))))),"")</f>
        <v/>
      </c>
      <c r="J248" s="95"/>
      <c r="K248" s="298" t="str">
        <f>IF(AND(D248&lt;&gt;"",J248=""),"Check data ⚠", IF(J248="","",IF(VLOOKUP(J248,'G-3 Multipliers'!$L$3:$N$6,2,FALSE)=0,"Spatial Data Missing",VLOOKUP(J248,'G-3 Multipliers'!$L$3:$N$6,2,FALSE))))</f>
        <v/>
      </c>
      <c r="L248" s="296" t="str">
        <f>IF(J248="","",IF(VLOOKUP(J248,'G-3 Multipliers'!$L$3:$N$6,3,FALSE)=0,"Spatial Data Missing ⚠",VLOOKUP(J248,'G-3 Multipliers'!$L$3:$N$6,3,FALSE)))</f>
        <v/>
      </c>
      <c r="M248" s="297" t="str">
        <f>IF(D248="","",VLOOKUP(D248,'G-6 Hedgerow Data'!$B$1:$AH$15,33,FALSE))</f>
        <v/>
      </c>
      <c r="N248" s="304" t="str">
        <f t="shared" si="23"/>
        <v/>
      </c>
      <c r="O248" s="17"/>
      <c r="P248" s="103"/>
      <c r="Q248" s="141"/>
      <c r="R248" s="320" t="str">
        <f t="shared" si="24"/>
        <v/>
      </c>
      <c r="S248" s="320" t="str">
        <f t="shared" si="25"/>
        <v/>
      </c>
      <c r="T248" s="320" t="str">
        <f t="shared" si="26"/>
        <v/>
      </c>
      <c r="U248" s="339" t="str">
        <f t="shared" si="27"/>
        <v/>
      </c>
      <c r="V248" s="100"/>
      <c r="W248" s="101"/>
      <c r="X248" s="101"/>
      <c r="AE248" s="105" t="str">
        <f t="shared" si="21"/>
        <v/>
      </c>
      <c r="AF248" s="105" t="str">
        <f t="shared" si="22"/>
        <v/>
      </c>
      <c r="AH248" s="105">
        <v>239</v>
      </c>
      <c r="AJ248" s="105" t="str">
        <f t="array" ref="AJ248">IFERROR(INDEX($AH$10:$AH$258, MATCH(0, IF(TRUE=$AE$10:$AE$258, COUNTIF($AJ$9:$AJ247, $AH$10:$AH$258), ""), 0)),"")</f>
        <v/>
      </c>
      <c r="AK248" s="105" t="str">
        <f t="array" ref="AK248">IFERROR(INDEX($AH$10:$AH$258, MATCH(0, IF(TRUE=$AF$10:$AF$258, COUNTIF($AK$9:$AK247, $AH$10:$AH$258), ""), 0)),"")</f>
        <v/>
      </c>
      <c r="AL248" s="15" t="str">
        <f>IFERROR(INDEX('G-6 Hedgerow Data'!$BJ$3:$BJ$15,MATCH(D248,'G-6 Hedgerow Data'!$B$3:$B$15,0)),"")</f>
        <v/>
      </c>
    </row>
    <row r="249" spans="2:38" x14ac:dyDescent="0.3">
      <c r="B249" s="92">
        <v>240</v>
      </c>
      <c r="C249" s="141"/>
      <c r="D249" s="141"/>
      <c r="E249" s="102"/>
      <c r="F249" s="335" t="str">
        <f>IF(D249="","",VLOOKUP(D249,'G-6 Hedgerow Data'!$B$2:$AG$15,2,FALSE))</f>
        <v/>
      </c>
      <c r="G249" s="291" t="str">
        <f>IF(D249="","",VLOOKUP(D249,'G-6 Hedgerow Data'!$B$2:$AG$15,3,FALSE))</f>
        <v/>
      </c>
      <c r="H249" s="95"/>
      <c r="I249" s="291" t="str">
        <f>IFERROR(IF(AND(D249&lt;&gt;"",H249=""),"Check data ⚠", IF(H249="","",IF(AND(D249="Non-native and ornamental hedgerow", H249&lt;&gt;"Poor"),"Not possible ▲", (VLOOKUP(H249,'G-1 All Habitats'!$Z$2:$AA$9,2,FALSE))))),"")</f>
        <v/>
      </c>
      <c r="J249" s="95"/>
      <c r="K249" s="298" t="str">
        <f>IF(AND(D249&lt;&gt;"",J249=""),"Check data ⚠", IF(J249="","",IF(VLOOKUP(J249,'G-3 Multipliers'!$L$3:$N$6,2,FALSE)=0,"Spatial Data Missing",VLOOKUP(J249,'G-3 Multipliers'!$L$3:$N$6,2,FALSE))))</f>
        <v/>
      </c>
      <c r="L249" s="296" t="str">
        <f>IF(J249="","",IF(VLOOKUP(J249,'G-3 Multipliers'!$L$3:$N$6,3,FALSE)=0,"Spatial Data Missing ⚠",VLOOKUP(J249,'G-3 Multipliers'!$L$3:$N$6,3,FALSE)))</f>
        <v/>
      </c>
      <c r="M249" s="297" t="str">
        <f>IF(D249="","",VLOOKUP(D249,'G-6 Hedgerow Data'!$B$1:$AH$15,33,FALSE))</f>
        <v/>
      </c>
      <c r="N249" s="304" t="str">
        <f t="shared" si="23"/>
        <v/>
      </c>
      <c r="O249" s="17"/>
      <c r="P249" s="103"/>
      <c r="Q249" s="141"/>
      <c r="R249" s="320" t="str">
        <f t="shared" si="24"/>
        <v/>
      </c>
      <c r="S249" s="320" t="str">
        <f t="shared" si="25"/>
        <v/>
      </c>
      <c r="T249" s="320" t="str">
        <f t="shared" si="26"/>
        <v/>
      </c>
      <c r="U249" s="339" t="str">
        <f t="shared" si="27"/>
        <v/>
      </c>
      <c r="V249" s="100"/>
      <c r="W249" s="101"/>
      <c r="X249" s="101"/>
      <c r="AE249" s="105" t="str">
        <f t="shared" si="21"/>
        <v/>
      </c>
      <c r="AF249" s="105" t="str">
        <f t="shared" si="22"/>
        <v/>
      </c>
      <c r="AH249" s="105">
        <v>240</v>
      </c>
      <c r="AJ249" s="105" t="str">
        <f t="array" ref="AJ249">IFERROR(INDEX($AH$10:$AH$258, MATCH(0, IF(TRUE=$AE$10:$AE$258, COUNTIF($AJ$9:$AJ248, $AH$10:$AH$258), ""), 0)),"")</f>
        <v/>
      </c>
      <c r="AK249" s="105" t="str">
        <f t="array" ref="AK249">IFERROR(INDEX($AH$10:$AH$258, MATCH(0, IF(TRUE=$AF$10:$AF$258, COUNTIF($AK$9:$AK248, $AH$10:$AH$258), ""), 0)),"")</f>
        <v/>
      </c>
      <c r="AL249" s="15" t="str">
        <f>IFERROR(INDEX('G-6 Hedgerow Data'!$BJ$3:$BJ$15,MATCH(D249,'G-6 Hedgerow Data'!$B$3:$B$15,0)),"")</f>
        <v/>
      </c>
    </row>
    <row r="250" spans="2:38" x14ac:dyDescent="0.3">
      <c r="B250" s="92">
        <v>241</v>
      </c>
      <c r="C250" s="141"/>
      <c r="D250" s="141"/>
      <c r="E250" s="102"/>
      <c r="F250" s="335" t="str">
        <f>IF(D250="","",VLOOKUP(D250,'G-6 Hedgerow Data'!$B$2:$AG$15,2,FALSE))</f>
        <v/>
      </c>
      <c r="G250" s="291" t="str">
        <f>IF(D250="","",VLOOKUP(D250,'G-6 Hedgerow Data'!$B$2:$AG$15,3,FALSE))</f>
        <v/>
      </c>
      <c r="H250" s="95"/>
      <c r="I250" s="291" t="str">
        <f>IFERROR(IF(AND(D250&lt;&gt;"",H250=""),"Check data ⚠", IF(H250="","",IF(AND(D250="Non-native and ornamental hedgerow", H250&lt;&gt;"Poor"),"Not possible ▲", (VLOOKUP(H250,'G-1 All Habitats'!$Z$2:$AA$9,2,FALSE))))),"")</f>
        <v/>
      </c>
      <c r="J250" s="95"/>
      <c r="K250" s="298" t="str">
        <f>IF(AND(D250&lt;&gt;"",J250=""),"Check data ⚠", IF(J250="","",IF(VLOOKUP(J250,'G-3 Multipliers'!$L$3:$N$6,2,FALSE)=0,"Spatial Data Missing",VLOOKUP(J250,'G-3 Multipliers'!$L$3:$N$6,2,FALSE))))</f>
        <v/>
      </c>
      <c r="L250" s="296" t="str">
        <f>IF(J250="","",IF(VLOOKUP(J250,'G-3 Multipliers'!$L$3:$N$6,3,FALSE)=0,"Spatial Data Missing ⚠",VLOOKUP(J250,'G-3 Multipliers'!$L$3:$N$6,3,FALSE)))</f>
        <v/>
      </c>
      <c r="M250" s="297" t="str">
        <f>IF(D250="","",VLOOKUP(D250,'G-6 Hedgerow Data'!$B$1:$AH$15,33,FALSE))</f>
        <v/>
      </c>
      <c r="N250" s="304" t="str">
        <f t="shared" si="23"/>
        <v/>
      </c>
      <c r="O250" s="17"/>
      <c r="P250" s="103"/>
      <c r="Q250" s="141"/>
      <c r="R250" s="320" t="str">
        <f t="shared" si="24"/>
        <v/>
      </c>
      <c r="S250" s="320" t="str">
        <f t="shared" si="25"/>
        <v/>
      </c>
      <c r="T250" s="320" t="str">
        <f t="shared" si="26"/>
        <v/>
      </c>
      <c r="U250" s="339" t="str">
        <f t="shared" si="27"/>
        <v/>
      </c>
      <c r="V250" s="100"/>
      <c r="W250" s="101"/>
      <c r="X250" s="101"/>
      <c r="AE250" s="105" t="str">
        <f t="shared" si="21"/>
        <v/>
      </c>
      <c r="AF250" s="105" t="str">
        <f t="shared" si="22"/>
        <v/>
      </c>
      <c r="AH250" s="105">
        <v>241</v>
      </c>
      <c r="AJ250" s="105" t="str">
        <f t="array" ref="AJ250">IFERROR(INDEX($AH$10:$AH$258, MATCH(0, IF(TRUE=$AE$10:$AE$258, COUNTIF($AJ$9:$AJ249, $AH$10:$AH$258), ""), 0)),"")</f>
        <v/>
      </c>
      <c r="AK250" s="105" t="str">
        <f t="array" ref="AK250">IFERROR(INDEX($AH$10:$AH$258, MATCH(0, IF(TRUE=$AF$10:$AF$258, COUNTIF($AK$9:$AK249, $AH$10:$AH$258), ""), 0)),"")</f>
        <v/>
      </c>
      <c r="AL250" s="15" t="str">
        <f>IFERROR(INDEX('G-6 Hedgerow Data'!$BJ$3:$BJ$15,MATCH(D250,'G-6 Hedgerow Data'!$B$3:$B$15,0)),"")</f>
        <v/>
      </c>
    </row>
    <row r="251" spans="2:38" x14ac:dyDescent="0.3">
      <c r="B251" s="92">
        <v>242</v>
      </c>
      <c r="C251" s="141"/>
      <c r="D251" s="141"/>
      <c r="E251" s="102"/>
      <c r="F251" s="335" t="str">
        <f>IF(D251="","",VLOOKUP(D251,'G-6 Hedgerow Data'!$B$2:$AG$15,2,FALSE))</f>
        <v/>
      </c>
      <c r="G251" s="291" t="str">
        <f>IF(D251="","",VLOOKUP(D251,'G-6 Hedgerow Data'!$B$2:$AG$15,3,FALSE))</f>
        <v/>
      </c>
      <c r="H251" s="95"/>
      <c r="I251" s="291" t="str">
        <f>IFERROR(IF(AND(D251&lt;&gt;"",H251=""),"Check data ⚠", IF(H251="","",IF(AND(D251="Non-native and ornamental hedgerow", H251&lt;&gt;"Poor"),"Not possible ▲", (VLOOKUP(H251,'G-1 All Habitats'!$Z$2:$AA$9,2,FALSE))))),"")</f>
        <v/>
      </c>
      <c r="J251" s="95"/>
      <c r="K251" s="298" t="str">
        <f>IF(AND(D251&lt;&gt;"",J251=""),"Check data ⚠", IF(J251="","",IF(VLOOKUP(J251,'G-3 Multipliers'!$L$3:$N$6,2,FALSE)=0,"Spatial Data Missing",VLOOKUP(J251,'G-3 Multipliers'!$L$3:$N$6,2,FALSE))))</f>
        <v/>
      </c>
      <c r="L251" s="296" t="str">
        <f>IF(J251="","",IF(VLOOKUP(J251,'G-3 Multipliers'!$L$3:$N$6,3,FALSE)=0,"Spatial Data Missing ⚠",VLOOKUP(J251,'G-3 Multipliers'!$L$3:$N$6,3,FALSE)))</f>
        <v/>
      </c>
      <c r="M251" s="297" t="str">
        <f>IF(D251="","",VLOOKUP(D251,'G-6 Hedgerow Data'!$B$1:$AH$15,33,FALSE))</f>
        <v/>
      </c>
      <c r="N251" s="304" t="str">
        <f t="shared" si="23"/>
        <v/>
      </c>
      <c r="O251" s="17"/>
      <c r="P251" s="103"/>
      <c r="Q251" s="141"/>
      <c r="R251" s="320" t="str">
        <f t="shared" si="24"/>
        <v/>
      </c>
      <c r="S251" s="320" t="str">
        <f t="shared" si="25"/>
        <v/>
      </c>
      <c r="T251" s="320" t="str">
        <f t="shared" si="26"/>
        <v/>
      </c>
      <c r="U251" s="339" t="str">
        <f t="shared" si="27"/>
        <v/>
      </c>
      <c r="V251" s="100"/>
      <c r="W251" s="101"/>
      <c r="X251" s="101"/>
      <c r="AE251" s="105" t="str">
        <f t="shared" si="21"/>
        <v/>
      </c>
      <c r="AF251" s="105" t="str">
        <f t="shared" si="22"/>
        <v/>
      </c>
      <c r="AH251" s="105">
        <v>242</v>
      </c>
      <c r="AJ251" s="105" t="str">
        <f t="array" ref="AJ251">IFERROR(INDEX($AH$10:$AH$258, MATCH(0, IF(TRUE=$AE$10:$AE$258, COUNTIF($AJ$9:$AJ250, $AH$10:$AH$258), ""), 0)),"")</f>
        <v/>
      </c>
      <c r="AK251" s="105" t="str">
        <f t="array" ref="AK251">IFERROR(INDEX($AH$10:$AH$258, MATCH(0, IF(TRUE=$AF$10:$AF$258, COUNTIF($AK$9:$AK250, $AH$10:$AH$258), ""), 0)),"")</f>
        <v/>
      </c>
      <c r="AL251" s="15" t="str">
        <f>IFERROR(INDEX('G-6 Hedgerow Data'!$BJ$3:$BJ$15,MATCH(D251,'G-6 Hedgerow Data'!$B$3:$B$15,0)),"")</f>
        <v/>
      </c>
    </row>
    <row r="252" spans="2:38" x14ac:dyDescent="0.3">
      <c r="B252" s="92">
        <v>243</v>
      </c>
      <c r="C252" s="141"/>
      <c r="D252" s="141"/>
      <c r="E252" s="102"/>
      <c r="F252" s="335" t="str">
        <f>IF(D252="","",VLOOKUP(D252,'G-6 Hedgerow Data'!$B$2:$AG$15,2,FALSE))</f>
        <v/>
      </c>
      <c r="G252" s="291" t="str">
        <f>IF(D252="","",VLOOKUP(D252,'G-6 Hedgerow Data'!$B$2:$AG$15,3,FALSE))</f>
        <v/>
      </c>
      <c r="H252" s="95"/>
      <c r="I252" s="291" t="str">
        <f>IFERROR(IF(AND(D252&lt;&gt;"",H252=""),"Check data ⚠", IF(H252="","",IF(AND(D252="Non-native and ornamental hedgerow", H252&lt;&gt;"Poor"),"Not possible ▲", (VLOOKUP(H252,'G-1 All Habitats'!$Z$2:$AA$9,2,FALSE))))),"")</f>
        <v/>
      </c>
      <c r="J252" s="95"/>
      <c r="K252" s="298" t="str">
        <f>IF(AND(D252&lt;&gt;"",J252=""),"Check data ⚠", IF(J252="","",IF(VLOOKUP(J252,'G-3 Multipliers'!$L$3:$N$6,2,FALSE)=0,"Spatial Data Missing",VLOOKUP(J252,'G-3 Multipliers'!$L$3:$N$6,2,FALSE))))</f>
        <v/>
      </c>
      <c r="L252" s="296" t="str">
        <f>IF(J252="","",IF(VLOOKUP(J252,'G-3 Multipliers'!$L$3:$N$6,3,FALSE)=0,"Spatial Data Missing ⚠",VLOOKUP(J252,'G-3 Multipliers'!$L$3:$N$6,3,FALSE)))</f>
        <v/>
      </c>
      <c r="M252" s="297" t="str">
        <f>IF(D252="","",VLOOKUP(D252,'G-6 Hedgerow Data'!$B$1:$AH$15,33,FALSE))</f>
        <v/>
      </c>
      <c r="N252" s="304" t="str">
        <f t="shared" si="23"/>
        <v/>
      </c>
      <c r="O252" s="17"/>
      <c r="P252" s="103"/>
      <c r="Q252" s="141"/>
      <c r="R252" s="320" t="str">
        <f t="shared" si="24"/>
        <v/>
      </c>
      <c r="S252" s="320" t="str">
        <f t="shared" si="25"/>
        <v/>
      </c>
      <c r="T252" s="320" t="str">
        <f t="shared" si="26"/>
        <v/>
      </c>
      <c r="U252" s="339" t="str">
        <f t="shared" si="27"/>
        <v/>
      </c>
      <c r="V252" s="100"/>
      <c r="W252" s="101"/>
      <c r="X252" s="101"/>
      <c r="AE252" s="105" t="str">
        <f t="shared" si="21"/>
        <v/>
      </c>
      <c r="AF252" s="105" t="str">
        <f t="shared" si="22"/>
        <v/>
      </c>
      <c r="AH252" s="105">
        <v>243</v>
      </c>
      <c r="AJ252" s="105" t="str">
        <f t="array" ref="AJ252">IFERROR(INDEX($AH$10:$AH$258, MATCH(0, IF(TRUE=$AE$10:$AE$258, COUNTIF($AJ$9:$AJ251, $AH$10:$AH$258), ""), 0)),"")</f>
        <v/>
      </c>
      <c r="AK252" s="105" t="str">
        <f t="array" ref="AK252">IFERROR(INDEX($AH$10:$AH$258, MATCH(0, IF(TRUE=$AF$10:$AF$258, COUNTIF($AK$9:$AK251, $AH$10:$AH$258), ""), 0)),"")</f>
        <v/>
      </c>
      <c r="AL252" s="15" t="str">
        <f>IFERROR(INDEX('G-6 Hedgerow Data'!$BJ$3:$BJ$15,MATCH(D252,'G-6 Hedgerow Data'!$B$3:$B$15,0)),"")</f>
        <v/>
      </c>
    </row>
    <row r="253" spans="2:38" x14ac:dyDescent="0.3">
      <c r="B253" s="92">
        <v>244</v>
      </c>
      <c r="C253" s="141"/>
      <c r="D253" s="141"/>
      <c r="E253" s="102"/>
      <c r="F253" s="335" t="str">
        <f>IF(D253="","",VLOOKUP(D253,'G-6 Hedgerow Data'!$B$2:$AG$15,2,FALSE))</f>
        <v/>
      </c>
      <c r="G253" s="291" t="str">
        <f>IF(D253="","",VLOOKUP(D253,'G-6 Hedgerow Data'!$B$2:$AG$15,3,FALSE))</f>
        <v/>
      </c>
      <c r="H253" s="95"/>
      <c r="I253" s="291" t="str">
        <f>IFERROR(IF(AND(D253&lt;&gt;"",H253=""),"Check data ⚠", IF(H253="","",IF(AND(D253="Non-native and ornamental hedgerow", H253&lt;&gt;"Poor"),"Not possible ▲", (VLOOKUP(H253,'G-1 All Habitats'!$Z$2:$AA$9,2,FALSE))))),"")</f>
        <v/>
      </c>
      <c r="J253" s="95"/>
      <c r="K253" s="298" t="str">
        <f>IF(AND(D253&lt;&gt;"",J253=""),"Check data ⚠", IF(J253="","",IF(VLOOKUP(J253,'G-3 Multipliers'!$L$3:$N$6,2,FALSE)=0,"Spatial Data Missing",VLOOKUP(J253,'G-3 Multipliers'!$L$3:$N$6,2,FALSE))))</f>
        <v/>
      </c>
      <c r="L253" s="296" t="str">
        <f>IF(J253="","",IF(VLOOKUP(J253,'G-3 Multipliers'!$L$3:$N$6,3,FALSE)=0,"Spatial Data Missing ⚠",VLOOKUP(J253,'G-3 Multipliers'!$L$3:$N$6,3,FALSE)))</f>
        <v/>
      </c>
      <c r="M253" s="297" t="str">
        <f>IF(D253="","",VLOOKUP(D253,'G-6 Hedgerow Data'!$B$1:$AH$15,33,FALSE))</f>
        <v/>
      </c>
      <c r="N253" s="304" t="str">
        <f t="shared" si="23"/>
        <v/>
      </c>
      <c r="O253" s="17"/>
      <c r="P253" s="103"/>
      <c r="Q253" s="141"/>
      <c r="R253" s="320" t="str">
        <f t="shared" si="24"/>
        <v/>
      </c>
      <c r="S253" s="320" t="str">
        <f t="shared" si="25"/>
        <v/>
      </c>
      <c r="T253" s="320" t="str">
        <f t="shared" si="26"/>
        <v/>
      </c>
      <c r="U253" s="339" t="str">
        <f t="shared" si="27"/>
        <v/>
      </c>
      <c r="V253" s="100"/>
      <c r="W253" s="101"/>
      <c r="X253" s="101"/>
      <c r="AE253" s="105" t="str">
        <f t="shared" si="21"/>
        <v/>
      </c>
      <c r="AF253" s="105" t="str">
        <f t="shared" si="22"/>
        <v/>
      </c>
      <c r="AH253" s="105">
        <v>244</v>
      </c>
      <c r="AJ253" s="105" t="str">
        <f t="array" ref="AJ253">IFERROR(INDEX($AH$10:$AH$258, MATCH(0, IF(TRUE=$AE$10:$AE$258, COUNTIF($AJ$9:$AJ252, $AH$10:$AH$258), ""), 0)),"")</f>
        <v/>
      </c>
      <c r="AK253" s="105" t="str">
        <f t="array" ref="AK253">IFERROR(INDEX($AH$10:$AH$258, MATCH(0, IF(TRUE=$AF$10:$AF$258, COUNTIF($AK$9:$AK252, $AH$10:$AH$258), ""), 0)),"")</f>
        <v/>
      </c>
      <c r="AL253" s="15" t="str">
        <f>IFERROR(INDEX('G-6 Hedgerow Data'!$BJ$3:$BJ$15,MATCH(D253,'G-6 Hedgerow Data'!$B$3:$B$15,0)),"")</f>
        <v/>
      </c>
    </row>
    <row r="254" spans="2:38" x14ac:dyDescent="0.3">
      <c r="B254" s="92">
        <v>245</v>
      </c>
      <c r="C254" s="141"/>
      <c r="D254" s="141"/>
      <c r="E254" s="102"/>
      <c r="F254" s="335" t="str">
        <f>IF(D254="","",VLOOKUP(D254,'G-6 Hedgerow Data'!$B$2:$AG$15,2,FALSE))</f>
        <v/>
      </c>
      <c r="G254" s="291" t="str">
        <f>IF(D254="","",VLOOKUP(D254,'G-6 Hedgerow Data'!$B$2:$AG$15,3,FALSE))</f>
        <v/>
      </c>
      <c r="H254" s="95"/>
      <c r="I254" s="291" t="str">
        <f>IFERROR(IF(AND(D254&lt;&gt;"",H254=""),"Check data ⚠", IF(H254="","",IF(AND(D254="Non-native and ornamental hedgerow", H254&lt;&gt;"Poor"),"Not possible ▲", (VLOOKUP(H254,'G-1 All Habitats'!$Z$2:$AA$9,2,FALSE))))),"")</f>
        <v/>
      </c>
      <c r="J254" s="95"/>
      <c r="K254" s="298" t="str">
        <f>IF(AND(D254&lt;&gt;"",J254=""),"Check data ⚠", IF(J254="","",IF(VLOOKUP(J254,'G-3 Multipliers'!$L$3:$N$6,2,FALSE)=0,"Spatial Data Missing",VLOOKUP(J254,'G-3 Multipliers'!$L$3:$N$6,2,FALSE))))</f>
        <v/>
      </c>
      <c r="L254" s="296" t="str">
        <f>IF(J254="","",IF(VLOOKUP(J254,'G-3 Multipliers'!$L$3:$N$6,3,FALSE)=0,"Spatial Data Missing ⚠",VLOOKUP(J254,'G-3 Multipliers'!$L$3:$N$6,3,FALSE)))</f>
        <v/>
      </c>
      <c r="M254" s="297" t="str">
        <f>IF(D254="","",VLOOKUP(D254,'G-6 Hedgerow Data'!$B$1:$AH$15,33,FALSE))</f>
        <v/>
      </c>
      <c r="N254" s="304" t="str">
        <f t="shared" si="23"/>
        <v/>
      </c>
      <c r="O254" s="17"/>
      <c r="P254" s="103"/>
      <c r="Q254" s="141"/>
      <c r="R254" s="320" t="str">
        <f t="shared" si="24"/>
        <v/>
      </c>
      <c r="S254" s="320" t="str">
        <f t="shared" si="25"/>
        <v/>
      </c>
      <c r="T254" s="320" t="str">
        <f t="shared" si="26"/>
        <v/>
      </c>
      <c r="U254" s="339" t="str">
        <f t="shared" si="27"/>
        <v/>
      </c>
      <c r="V254" s="100"/>
      <c r="W254" s="101"/>
      <c r="X254" s="101"/>
      <c r="AE254" s="105" t="str">
        <f t="shared" si="21"/>
        <v/>
      </c>
      <c r="AF254" s="105" t="str">
        <f t="shared" si="22"/>
        <v/>
      </c>
      <c r="AH254" s="105">
        <v>245</v>
      </c>
      <c r="AJ254" s="105" t="str">
        <f t="array" ref="AJ254">IFERROR(INDEX($AH$10:$AH$258, MATCH(0, IF(TRUE=$AE$10:$AE$258, COUNTIF($AJ$9:$AJ253, $AH$10:$AH$258), ""), 0)),"")</f>
        <v/>
      </c>
      <c r="AK254" s="105" t="str">
        <f t="array" ref="AK254">IFERROR(INDEX($AH$10:$AH$258, MATCH(0, IF(TRUE=$AF$10:$AF$258, COUNTIF($AK$9:$AK253, $AH$10:$AH$258), ""), 0)),"")</f>
        <v/>
      </c>
      <c r="AL254" s="15" t="str">
        <f>IFERROR(INDEX('G-6 Hedgerow Data'!$BJ$3:$BJ$15,MATCH(D254,'G-6 Hedgerow Data'!$B$3:$B$15,0)),"")</f>
        <v/>
      </c>
    </row>
    <row r="255" spans="2:38" x14ac:dyDescent="0.3">
      <c r="B255" s="92">
        <v>246</v>
      </c>
      <c r="C255" s="141"/>
      <c r="D255" s="141"/>
      <c r="E255" s="102"/>
      <c r="F255" s="335" t="str">
        <f>IF(D255="","",VLOOKUP(D255,'G-6 Hedgerow Data'!$B$2:$AG$15,2,FALSE))</f>
        <v/>
      </c>
      <c r="G255" s="291" t="str">
        <f>IF(D255="","",VLOOKUP(D255,'G-6 Hedgerow Data'!$B$2:$AG$15,3,FALSE))</f>
        <v/>
      </c>
      <c r="H255" s="95"/>
      <c r="I255" s="291" t="str">
        <f>IFERROR(IF(AND(D255&lt;&gt;"",H255=""),"Check data ⚠", IF(H255="","",IF(AND(D255="Non-native and ornamental hedgerow", H255&lt;&gt;"Poor"),"Not possible ▲", (VLOOKUP(H255,'G-1 All Habitats'!$Z$2:$AA$9,2,FALSE))))),"")</f>
        <v/>
      </c>
      <c r="J255" s="95"/>
      <c r="K255" s="298" t="str">
        <f>IF(AND(D255&lt;&gt;"",J255=""),"Check data ⚠", IF(J255="","",IF(VLOOKUP(J255,'G-3 Multipliers'!$L$3:$N$6,2,FALSE)=0,"Spatial Data Missing",VLOOKUP(J255,'G-3 Multipliers'!$L$3:$N$6,2,FALSE))))</f>
        <v/>
      </c>
      <c r="L255" s="296" t="str">
        <f>IF(J255="","",IF(VLOOKUP(J255,'G-3 Multipliers'!$L$3:$N$6,3,FALSE)=0,"Spatial Data Missing ⚠",VLOOKUP(J255,'G-3 Multipliers'!$L$3:$N$6,3,FALSE)))</f>
        <v/>
      </c>
      <c r="M255" s="297" t="str">
        <f>IF(D255="","",VLOOKUP(D255,'G-6 Hedgerow Data'!$B$1:$AH$15,33,FALSE))</f>
        <v/>
      </c>
      <c r="N255" s="304" t="str">
        <f t="shared" si="23"/>
        <v/>
      </c>
      <c r="O255" s="17"/>
      <c r="P255" s="103"/>
      <c r="Q255" s="141"/>
      <c r="R255" s="320" t="str">
        <f t="shared" si="24"/>
        <v/>
      </c>
      <c r="S255" s="320" t="str">
        <f t="shared" si="25"/>
        <v/>
      </c>
      <c r="T255" s="320" t="str">
        <f t="shared" si="26"/>
        <v/>
      </c>
      <c r="U255" s="339" t="str">
        <f t="shared" si="27"/>
        <v/>
      </c>
      <c r="V255" s="100"/>
      <c r="W255" s="101"/>
      <c r="X255" s="101"/>
      <c r="AE255" s="105" t="str">
        <f t="shared" si="21"/>
        <v/>
      </c>
      <c r="AF255" s="105" t="str">
        <f t="shared" si="22"/>
        <v/>
      </c>
      <c r="AH255" s="105">
        <v>246</v>
      </c>
      <c r="AJ255" s="105" t="str">
        <f t="array" ref="AJ255">IFERROR(INDEX($AH$10:$AH$258, MATCH(0, IF(TRUE=$AE$10:$AE$258, COUNTIF($AJ$9:$AJ254, $AH$10:$AH$258), ""), 0)),"")</f>
        <v/>
      </c>
      <c r="AK255" s="105" t="str">
        <f t="array" ref="AK255">IFERROR(INDEX($AH$10:$AH$258, MATCH(0, IF(TRUE=$AF$10:$AF$258, COUNTIF($AK$9:$AK254, $AH$10:$AH$258), ""), 0)),"")</f>
        <v/>
      </c>
      <c r="AL255" s="15" t="str">
        <f>IFERROR(INDEX('G-6 Hedgerow Data'!$BJ$3:$BJ$15,MATCH(D255,'G-6 Hedgerow Data'!$B$3:$B$15,0)),"")</f>
        <v/>
      </c>
    </row>
    <row r="256" spans="2:38" x14ac:dyDescent="0.3">
      <c r="B256" s="92">
        <v>247</v>
      </c>
      <c r="C256" s="141"/>
      <c r="D256" s="141"/>
      <c r="E256" s="102"/>
      <c r="F256" s="335" t="str">
        <f>IF(D256="","",VLOOKUP(D256,'G-6 Hedgerow Data'!$B$2:$AG$15,2,FALSE))</f>
        <v/>
      </c>
      <c r="G256" s="291" t="str">
        <f>IF(D256="","",VLOOKUP(D256,'G-6 Hedgerow Data'!$B$2:$AG$15,3,FALSE))</f>
        <v/>
      </c>
      <c r="H256" s="95"/>
      <c r="I256" s="291" t="str">
        <f>IFERROR(IF(AND(D256&lt;&gt;"",H256=""),"Check data ⚠", IF(H256="","",IF(AND(D256="Non-native and ornamental hedgerow", H256&lt;&gt;"Poor"),"Not possible ▲", (VLOOKUP(H256,'G-1 All Habitats'!$Z$2:$AA$9,2,FALSE))))),"")</f>
        <v/>
      </c>
      <c r="J256" s="95"/>
      <c r="K256" s="298" t="str">
        <f>IF(AND(D256&lt;&gt;"",J256=""),"Check data ⚠", IF(J256="","",IF(VLOOKUP(J256,'G-3 Multipliers'!$L$3:$N$6,2,FALSE)=0,"Spatial Data Missing",VLOOKUP(J256,'G-3 Multipliers'!$L$3:$N$6,2,FALSE))))</f>
        <v/>
      </c>
      <c r="L256" s="296" t="str">
        <f>IF(J256="","",IF(VLOOKUP(J256,'G-3 Multipliers'!$L$3:$N$6,3,FALSE)=0,"Spatial Data Missing ⚠",VLOOKUP(J256,'G-3 Multipliers'!$L$3:$N$6,3,FALSE)))</f>
        <v/>
      </c>
      <c r="M256" s="297" t="str">
        <f>IF(D256="","",VLOOKUP(D256,'G-6 Hedgerow Data'!$B$1:$AH$15,33,FALSE))</f>
        <v/>
      </c>
      <c r="N256" s="304" t="str">
        <f t="shared" si="23"/>
        <v/>
      </c>
      <c r="O256" s="17"/>
      <c r="P256" s="103"/>
      <c r="Q256" s="141"/>
      <c r="R256" s="320" t="str">
        <f t="shared" si="24"/>
        <v/>
      </c>
      <c r="S256" s="320" t="str">
        <f t="shared" si="25"/>
        <v/>
      </c>
      <c r="T256" s="320" t="str">
        <f t="shared" si="26"/>
        <v/>
      </c>
      <c r="U256" s="339" t="str">
        <f t="shared" si="27"/>
        <v/>
      </c>
      <c r="V256" s="100"/>
      <c r="W256" s="101"/>
      <c r="X256" s="101"/>
      <c r="AE256" s="105" t="str">
        <f t="shared" si="21"/>
        <v/>
      </c>
      <c r="AF256" s="105" t="str">
        <f t="shared" si="22"/>
        <v/>
      </c>
      <c r="AH256" s="105">
        <v>247</v>
      </c>
      <c r="AJ256" s="105" t="str">
        <f t="array" ref="AJ256">IFERROR(INDEX($AH$10:$AH$258, MATCH(0, IF(TRUE=$AE$10:$AE$258, COUNTIF($AJ$9:$AJ255, $AH$10:$AH$258), ""), 0)),"")</f>
        <v/>
      </c>
      <c r="AK256" s="105" t="str">
        <f t="array" ref="AK256">IFERROR(INDEX($AH$10:$AH$258, MATCH(0, IF(TRUE=$AF$10:$AF$258, COUNTIF($AK$9:$AK255, $AH$10:$AH$258), ""), 0)),"")</f>
        <v/>
      </c>
      <c r="AL256" s="15" t="str">
        <f>IFERROR(INDEX('G-6 Hedgerow Data'!$BJ$3:$BJ$15,MATCH(D256,'G-6 Hedgerow Data'!$B$3:$B$15,0)),"")</f>
        <v/>
      </c>
    </row>
    <row r="257" spans="2:38" ht="14.5" thickBot="1" x14ac:dyDescent="0.35">
      <c r="B257" s="107">
        <v>248</v>
      </c>
      <c r="C257" s="144"/>
      <c r="D257" s="144"/>
      <c r="E257" s="109"/>
      <c r="F257" s="316" t="str">
        <f>IF(D257="","",VLOOKUP(D257,'G-6 Hedgerow Data'!$B$2:$AG$15,2,FALSE))</f>
        <v/>
      </c>
      <c r="G257" s="548" t="str">
        <f>IF(D257="","",VLOOKUP(D257,'G-6 Hedgerow Data'!$B$2:$AG$15,3,FALSE))</f>
        <v/>
      </c>
      <c r="H257" s="110"/>
      <c r="I257" s="548" t="str">
        <f>IFERROR(IF(AND(D257&lt;&gt;"",H257=""),"Check data ⚠", IF(H257="","",IF(AND(D257="Non-native and ornamental hedgerow", H257&lt;&gt;"Poor"),"Not possible ▲", (VLOOKUP(H257,'G-1 All Habitats'!$Z$2:$AA$9,2,FALSE))))),"")</f>
        <v/>
      </c>
      <c r="J257" s="110"/>
      <c r="K257" s="299" t="str">
        <f>IF(AND(D257&lt;&gt;"",J257=""),"Check data ⚠", IF(J257="","",IF(VLOOKUP(J257,'G-3 Multipliers'!$L$3:$N$6,2,FALSE)=0,"Spatial Data Missing",VLOOKUP(J257,'G-3 Multipliers'!$L$3:$N$6,2,FALSE))))</f>
        <v/>
      </c>
      <c r="L257" s="300" t="str">
        <f>IF(J257="","",IF(VLOOKUP(J257,'G-3 Multipliers'!$L$3:$N$6,3,FALSE)=0,"Spatial Data Missing ⚠",VLOOKUP(J257,'G-3 Multipliers'!$L$3:$N$6,3,FALSE)))</f>
        <v/>
      </c>
      <c r="M257" s="301" t="str">
        <f>IF(D257="","",VLOOKUP(D257,'G-6 Hedgerow Data'!$B$1:$AH$15,33,FALSE))</f>
        <v/>
      </c>
      <c r="N257" s="337" t="str">
        <f t="shared" si="23"/>
        <v/>
      </c>
      <c r="O257" s="17"/>
      <c r="P257" s="146"/>
      <c r="Q257" s="147"/>
      <c r="R257" s="323" t="str">
        <f t="shared" si="24"/>
        <v/>
      </c>
      <c r="S257" s="323" t="str">
        <f t="shared" si="25"/>
        <v/>
      </c>
      <c r="T257" s="320" t="str">
        <f t="shared" si="26"/>
        <v/>
      </c>
      <c r="U257" s="339" t="str">
        <f t="shared" si="27"/>
        <v/>
      </c>
      <c r="V257" s="111"/>
      <c r="W257" s="112"/>
      <c r="X257" s="112"/>
      <c r="AE257" s="105" t="str">
        <f t="shared" si="21"/>
        <v/>
      </c>
      <c r="AF257" s="105" t="str">
        <f t="shared" si="22"/>
        <v/>
      </c>
      <c r="AH257" s="105">
        <v>248</v>
      </c>
      <c r="AJ257" s="105" t="str">
        <f t="array" ref="AJ257">IFERROR(INDEX($AH$10:$AH$258, MATCH(0, IF(TRUE=$AE$10:$AE$258, COUNTIF($AJ$9:$AJ256, $AH$10:$AH$258), ""), 0)),"")</f>
        <v/>
      </c>
      <c r="AK257" s="105" t="str">
        <f t="array" ref="AK257">IFERROR(INDEX($AH$10:$AH$258, MATCH(0, IF(TRUE=$AF$10:$AF$258, COUNTIF($AK$9:$AK256, $AH$10:$AH$258), ""), 0)),"")</f>
        <v/>
      </c>
      <c r="AL257" s="15" t="str">
        <f>IFERROR(INDEX('G-6 Hedgerow Data'!$BJ$3:$BJ$15,MATCH(D257,'G-6 Hedgerow Data'!$B$3:$B$15,0)),"")</f>
        <v/>
      </c>
    </row>
    <row r="258" spans="2:38" ht="14.5" thickBot="1" x14ac:dyDescent="0.35">
      <c r="D258" s="578"/>
      <c r="E258" s="336">
        <f>SUM(E10:E257)</f>
        <v>0</v>
      </c>
      <c r="M258" s="578"/>
      <c r="N258" s="338">
        <f>SUM(N10:N257)</f>
        <v>0</v>
      </c>
      <c r="O258" s="114"/>
      <c r="P258" s="307">
        <f t="shared" ref="P258:U258" si="28">SUM(P10:P257)</f>
        <v>0</v>
      </c>
      <c r="Q258" s="308">
        <f t="shared" si="28"/>
        <v>0</v>
      </c>
      <c r="R258" s="308" cm="1">
        <f t="array" ref="R258">IF(OR(T10:T257="Error in Lengths ▲", R10:R27 = "Error"), "Error ▲", SUM(R10:R257))</f>
        <v>0</v>
      </c>
      <c r="S258" s="308" cm="1">
        <f t="array" ref="S258">IF(OR(T10:T257="Error in lengths ▲",S10:S257="Error"),"Error ▲",SUM(S10:S257))</f>
        <v>0</v>
      </c>
      <c r="T258" s="308">
        <f t="shared" si="28"/>
        <v>0</v>
      </c>
      <c r="U258" s="305">
        <f t="shared" si="28"/>
        <v>0</v>
      </c>
    </row>
    <row r="259" spans="2:38" x14ac:dyDescent="0.3">
      <c r="O259" s="114"/>
      <c r="P259" s="114"/>
      <c r="Q259" s="114"/>
      <c r="R259" s="114"/>
      <c r="S259" s="114"/>
      <c r="T259" s="114"/>
      <c r="U259" s="114"/>
    </row>
    <row r="260" spans="2:38" x14ac:dyDescent="0.3">
      <c r="B260" s="86"/>
      <c r="C260" s="86"/>
    </row>
    <row r="261" spans="2:38" x14ac:dyDescent="0.3">
      <c r="B261" s="86"/>
      <c r="C261" s="86"/>
    </row>
    <row r="262" spans="2:38" x14ac:dyDescent="0.3">
      <c r="B262" s="86"/>
      <c r="C262" s="86"/>
    </row>
    <row r="263" spans="2:38" x14ac:dyDescent="0.3">
      <c r="B263" s="86"/>
      <c r="C263" s="86"/>
    </row>
    <row r="264" spans="2:38" x14ac:dyDescent="0.3">
      <c r="B264" s="86"/>
      <c r="C264" s="86"/>
    </row>
  </sheetData>
  <sheetProtection algorithmName="SHA-512" hashValue="seJRm/pJcKco6QAPP5s6jXNqyy0m07h5fPtz+q/bmB6T2btGR1o+EzWU1JnoDbF9UySLvtjUzsglJtlfYK0AoA==" saltValue="Afea1e2l413wnECGrpw4fA==" spinCount="100000" sheet="1" objects="1" scenarios="1"/>
  <customSheetViews>
    <customSheetView guid="{8BDA793C-C9C5-4FC6-A0A5-F1109F6D4F22}" state="hidden">
      <pane ySplit="9" topLeftCell="A10" activePane="bottomLeft" state="frozen"/>
      <selection pane="bottomLeft" activeCell="D14" sqref="D14"/>
    </customSheetView>
  </customSheetViews>
  <mergeCells count="13">
    <mergeCell ref="V8:X8"/>
    <mergeCell ref="J8:L8"/>
    <mergeCell ref="P8:U8"/>
    <mergeCell ref="M8:M9"/>
    <mergeCell ref="B3:D4"/>
    <mergeCell ref="C8:E8"/>
    <mergeCell ref="F8:G8"/>
    <mergeCell ref="H8:I8"/>
    <mergeCell ref="F2:J2"/>
    <mergeCell ref="F4:I4"/>
    <mergeCell ref="F5:I5"/>
    <mergeCell ref="F3:I3"/>
    <mergeCell ref="B2:D2"/>
  </mergeCells>
  <conditionalFormatting sqref="M10:M257">
    <cfRule type="cellIs" dxfId="230" priority="31" operator="equal">
      <formula>"Like for like or better"</formula>
    </cfRule>
    <cfRule type="cellIs" dxfId="229" priority="32" operator="equal">
      <formula>"Like for like"</formula>
    </cfRule>
    <cfRule type="containsText" dxfId="228" priority="33" operator="containsText" text="Same distinctiveness">
      <formula>NOT(ISERROR(SEARCH("Same distinctiveness",M10)))</formula>
    </cfRule>
  </conditionalFormatting>
  <conditionalFormatting sqref="K10:K257">
    <cfRule type="containsText" dxfId="227" priority="29" operator="containsText" text="Spatial">
      <formula>NOT(ISERROR(SEARCH("Spatial",K10)))</formula>
    </cfRule>
  </conditionalFormatting>
  <conditionalFormatting sqref="L10:L257">
    <cfRule type="containsText" dxfId="226" priority="28" operator="containsText" text="Spatial">
      <formula>NOT(ISERROR(SEARCH("Spatial",L10)))</formula>
    </cfRule>
  </conditionalFormatting>
  <conditionalFormatting sqref="T10:T257">
    <cfRule type="containsText" dxfId="225" priority="27" operator="containsText" text="Error">
      <formula>NOT(ISERROR(SEARCH("Error",T10)))</formula>
    </cfRule>
  </conditionalFormatting>
  <conditionalFormatting sqref="U10:U257">
    <cfRule type="containsText" dxfId="224" priority="26" operator="containsText" text="Error">
      <formula>NOT(ISERROR(SEARCH("Error",U10)))</formula>
    </cfRule>
  </conditionalFormatting>
  <conditionalFormatting sqref="J3">
    <cfRule type="containsText" dxfId="223" priority="20" operator="containsText" text="Error">
      <formula>NOT(ISERROR(SEARCH("Error",J3)))</formula>
    </cfRule>
    <cfRule type="containsText" dxfId="222" priority="21" operator="containsText" text="Check">
      <formula>NOT(ISERROR(SEARCH("Check",J3)))</formula>
    </cfRule>
  </conditionalFormatting>
  <conditionalFormatting sqref="J4">
    <cfRule type="containsText" dxfId="221" priority="9" operator="containsText" text="Error">
      <formula>NOT(ISERROR(SEARCH("Error",J4)))</formula>
    </cfRule>
    <cfRule type="containsText" dxfId="220" priority="10" operator="containsText" text="Check">
      <formula>NOT(ISERROR(SEARCH("Check",J4)))</formula>
    </cfRule>
    <cfRule type="cellIs" dxfId="219" priority="11" operator="equal">
      <formula>0</formula>
    </cfRule>
    <cfRule type="cellIs" dxfId="218" priority="440" operator="lessThan">
      <formula>0</formula>
    </cfRule>
  </conditionalFormatting>
  <conditionalFormatting sqref="J5">
    <cfRule type="containsText" dxfId="217" priority="14" operator="containsText" text="No">
      <formula>NOT(ISERROR(SEARCH("No",J5)))</formula>
    </cfRule>
    <cfRule type="containsText" dxfId="216" priority="15" operator="containsText" text="Yes">
      <formula>NOT(ISERROR(SEARCH("Yes",J5)))</formula>
    </cfRule>
  </conditionalFormatting>
  <conditionalFormatting sqref="I10:I257">
    <cfRule type="containsText" dxfId="215" priority="13" operator="containsText" text="Not possible">
      <formula>NOT(ISERROR(SEARCH("Not possible",I10)))</formula>
    </cfRule>
  </conditionalFormatting>
  <conditionalFormatting sqref="R258:S258">
    <cfRule type="containsText" dxfId="214" priority="12" operator="containsText" text="Error">
      <formula>NOT(ISERROR(SEARCH("Error",R258)))</formula>
    </cfRule>
  </conditionalFormatting>
  <conditionalFormatting sqref="J3:J5">
    <cfRule type="containsText" dxfId="213" priority="8" operator="containsText" text="N/A">
      <formula>NOT(ISERROR(SEARCH("N/A",J3)))</formula>
    </cfRule>
  </conditionalFormatting>
  <conditionalFormatting sqref="K1:K1048576">
    <cfRule type="containsText" dxfId="212" priority="6" operator="containsText" text="Check">
      <formula>NOT(ISERROR(SEARCH("Check",K1)))</formula>
    </cfRule>
  </conditionalFormatting>
  <conditionalFormatting sqref="I1:I1048576">
    <cfRule type="containsText" dxfId="211" priority="5" operator="containsText" text="Check">
      <formula>NOT(ISERROR(SEARCH("Check",I1)))</formula>
    </cfRule>
  </conditionalFormatting>
  <conditionalFormatting sqref="N1:N1048576">
    <cfRule type="containsText" dxfId="210" priority="1" operator="containsText" text="▲">
      <formula>NOT(ISERROR(SEARCH("▲",N1)))</formula>
    </cfRule>
    <cfRule type="containsText" dxfId="209" priority="4" operator="containsText" text="Check">
      <formula>NOT(ISERROR(SEARCH("Check",N1)))</formula>
    </cfRule>
  </conditionalFormatting>
  <conditionalFormatting sqref="U1:U1048576">
    <cfRule type="containsText" dxfId="208" priority="3" operator="containsText" text="Check">
      <formula>NOT(ISERROR(SEARCH("Check",U1)))</formula>
    </cfRule>
  </conditionalFormatting>
  <dataValidations count="1">
    <dataValidation type="list" allowBlank="1" showInputMessage="1" showErrorMessage="1" sqref="H10:H257" xr:uid="{00000000-0002-0000-1000-000000000000}">
      <formula1>INDIRECT(AL10)</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2" id="{254FF72C-9F39-4571-A7BA-7A2B3ED9FDF3}">
            <xm:f>#REF!=0</xm:f>
            <x14:dxf>
              <font>
                <color auto="1"/>
              </font>
              <fill>
                <patternFill>
                  <bgColor rgb="FFE0DCD3"/>
                </patternFill>
              </fill>
            </x14:dxf>
          </x14:cfRule>
          <xm:sqref>J4</xm:sqref>
        </x14:conditionalFormatting>
        <x14:conditionalFormatting xmlns:xm="http://schemas.microsoft.com/office/excel/2006/main">
          <x14:cfRule type="cellIs" priority="7" operator="lessThan" id="{B1ACE558-59E3-4CD1-B5A8-4EB8AA7004D8}">
            <xm:f>Start!$F$22</xm:f>
            <x14:dxf>
              <font>
                <color rgb="FF383745"/>
              </font>
              <fill>
                <patternFill>
                  <bgColor rgb="FFFFC000"/>
                </patternFill>
              </fill>
            </x14:dxf>
          </x14:cfRule>
          <x14:cfRule type="cellIs" priority="441" operator="greaterThanOrEqual" id="{54F98FF7-171C-4306-A7B7-2D668F630A35}">
            <xm:f>Start!$F$22</xm:f>
            <x14:dxf>
              <font>
                <color rgb="FF383745"/>
              </font>
              <fill>
                <patternFill>
                  <bgColor rgb="FF92D050"/>
                </patternFill>
              </fill>
            </x14:dxf>
          </x14:cfRule>
          <xm:sqref>J4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1000000}">
          <x14:formula1>
            <xm:f>'G-6 Hedgerow Data'!$B$3:$B$15</xm:f>
          </x14:formula1>
          <xm:sqref>D10:D257</xm:sqref>
        </x14:dataValidation>
        <x14:dataValidation type="list" allowBlank="1" showErrorMessage="1" prompt=" _x000a_" xr:uid="{00000000-0002-0000-1000-000002000000}">
          <x14:formula1>
            <xm:f>'G-3 Multipliers'!$L$4:$L$6</xm:f>
          </x14:formula1>
          <xm:sqref>J10:J257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663300"/>
  </sheetPr>
  <dimension ref="A1:AG268"/>
  <sheetViews>
    <sheetView topLeftCell="K1" zoomScaleNormal="80" workbookViewId="0">
      <pane ySplit="11" topLeftCell="A12" activePane="bottomLeft" state="frozen"/>
      <selection activeCell="U12" sqref="U12"/>
      <selection pane="bottomLeft" activeCell="U12" sqref="U12"/>
    </sheetView>
  </sheetViews>
  <sheetFormatPr defaultColWidth="0" defaultRowHeight="0" customHeight="1" zeroHeight="1" x14ac:dyDescent="0.3"/>
  <cols>
    <col min="1" max="1" width="2.81640625" style="15" customWidth="1"/>
    <col min="2" max="2" width="14.1796875" style="15" customWidth="1"/>
    <col min="3" max="3" width="10.54296875" style="15" customWidth="1"/>
    <col min="4" max="4" width="62.7265625" style="15" customWidth="1"/>
    <col min="5" max="5" width="10.453125" style="15" customWidth="1"/>
    <col min="6" max="6" width="18.81640625" style="15" customWidth="1"/>
    <col min="7" max="7" width="10.54296875" style="15" customWidth="1"/>
    <col min="8" max="8" width="12.54296875" style="15" bestFit="1" customWidth="1"/>
    <col min="9" max="9" width="8.7265625" style="15" customWidth="1"/>
    <col min="10" max="10" width="41.7265625" style="15" customWidth="1"/>
    <col min="11" max="11" width="16.81640625" style="15" customWidth="1"/>
    <col min="12" max="12" width="12.81640625" style="15" customWidth="1"/>
    <col min="13" max="13" width="19.453125" style="15" customWidth="1"/>
    <col min="14" max="14" width="16.453125" style="15" customWidth="1"/>
    <col min="15" max="15" width="21.81640625" style="15" customWidth="1"/>
    <col min="16" max="16" width="33.26953125" style="15" customWidth="1"/>
    <col min="17" max="17" width="19.1796875" style="15" customWidth="1"/>
    <col min="18" max="18" width="15.26953125" style="15" customWidth="1"/>
    <col min="19" max="19" width="13.453125" style="15" customWidth="1"/>
    <col min="20" max="20" width="18.453125" style="15" customWidth="1"/>
    <col min="21" max="21" width="13.7265625" style="15" customWidth="1"/>
    <col min="22" max="22" width="11.81640625" style="15" customWidth="1"/>
    <col min="23" max="23" width="12.7265625" style="15" customWidth="1"/>
    <col min="24" max="24" width="42.453125" style="15" customWidth="1"/>
    <col min="25" max="25" width="43.1796875" style="15" customWidth="1"/>
    <col min="26" max="26" width="12.81640625" style="15" customWidth="1"/>
    <col min="27" max="28" width="8.81640625" style="15" customWidth="1"/>
    <col min="29" max="32" width="8.81640625" style="15" hidden="1" customWidth="1"/>
    <col min="33" max="33" width="15.81640625" style="15" hidden="1" customWidth="1"/>
    <col min="34" max="16384" width="8.81640625" style="15" hidden="1"/>
  </cols>
  <sheetData>
    <row r="1" spans="2:33" ht="15.75" customHeight="1" thickBot="1" x14ac:dyDescent="0.35"/>
    <row r="2" spans="2:33" ht="21.65" customHeight="1" thickBot="1" x14ac:dyDescent="0.4">
      <c r="B2" s="1245" t="str">
        <f>CONCATENATE("Project Name:", " ", Start!F12, "     ", "Map Reference:", " ", Start!K55)</f>
        <v xml:space="preserve">Project Name: Gain Site 2 for Digital     Map Reference: </v>
      </c>
      <c r="C2" s="1246"/>
      <c r="D2" s="1247"/>
      <c r="F2" s="1118" t="s">
        <v>226</v>
      </c>
      <c r="G2" s="1119"/>
      <c r="H2" s="1119"/>
      <c r="I2" s="1119"/>
      <c r="J2" s="1120"/>
    </row>
    <row r="3" spans="2:33" ht="15" customHeight="1" x14ac:dyDescent="0.3">
      <c r="B3" s="1221" t="str">
        <f ca="1">MID(CELL("filename",A1),FIND("]",CELL("filename",A1))+1,256)</f>
        <v>B-2 On-Site Hedge Creation</v>
      </c>
      <c r="C3" s="1222"/>
      <c r="D3" s="1223"/>
      <c r="F3" s="1217" t="s">
        <v>131</v>
      </c>
      <c r="G3" s="908"/>
      <c r="H3" s="908"/>
      <c r="I3" s="1212" t="e">
        <f>#REF!</f>
        <v>#REF!</v>
      </c>
      <c r="J3" s="1213"/>
      <c r="M3" s="1171" t="str">
        <f>IF(OR(COUNTIF($M$12:M259,"*30+*")&gt;0,COUNTIF($Q$12:Q259,"*30+*")&gt;0),"Note; Habitat selected has a time to target condition greater than 30 years. Non standard agreement may be required. ⚠","")</f>
        <v/>
      </c>
      <c r="N3" s="1171"/>
      <c r="O3" s="1171"/>
      <c r="P3" s="1171"/>
      <c r="Q3" s="1171"/>
      <c r="R3" s="1171"/>
    </row>
    <row r="4" spans="2:33" ht="15.75" customHeight="1" thickBot="1" x14ac:dyDescent="0.35">
      <c r="B4" s="1224"/>
      <c r="C4" s="1225"/>
      <c r="D4" s="1226"/>
      <c r="F4" s="1260" t="s">
        <v>133</v>
      </c>
      <c r="G4" s="909"/>
      <c r="H4" s="909"/>
      <c r="I4" s="1257" t="e">
        <f>#REF!</f>
        <v>#REF!</v>
      </c>
      <c r="J4" s="1258"/>
      <c r="M4" s="1171"/>
      <c r="N4" s="1171"/>
      <c r="O4" s="1171"/>
      <c r="P4" s="1171"/>
      <c r="Q4" s="1171"/>
      <c r="R4" s="1171"/>
    </row>
    <row r="5" spans="2:33" ht="15.75" customHeight="1" thickBot="1" x14ac:dyDescent="0.35">
      <c r="F5" s="1261" t="s">
        <v>135</v>
      </c>
      <c r="G5" s="917"/>
      <c r="H5" s="917"/>
      <c r="I5" s="917" t="e" cm="1">
        <f t="array" ref="I5">IF(OR('Trading Summary Hedgerows'!G5:H9="No ▲"), "No - check trading summary ▲", "Yes ✓")</f>
        <v>#REF!</v>
      </c>
      <c r="J5" s="1259"/>
      <c r="M5" s="1171"/>
      <c r="N5" s="1171"/>
      <c r="O5" s="1171"/>
      <c r="P5" s="1171"/>
      <c r="Q5" s="1171"/>
      <c r="R5" s="1171"/>
    </row>
    <row r="6" spans="2:33" ht="15.75" customHeight="1" x14ac:dyDescent="0.3">
      <c r="M6" s="256"/>
      <c r="N6" s="256"/>
      <c r="O6" s="256"/>
      <c r="P6" s="256"/>
      <c r="Q6" s="256"/>
    </row>
    <row r="7" spans="2:33" ht="15.75" customHeight="1" x14ac:dyDescent="0.3">
      <c r="B7" s="86"/>
      <c r="C7" s="86"/>
      <c r="M7" s="256"/>
      <c r="N7" s="256"/>
      <c r="O7" s="256"/>
      <c r="P7" s="256"/>
      <c r="Q7" s="256"/>
    </row>
    <row r="8" spans="2:33" ht="14" x14ac:dyDescent="0.3"/>
    <row r="9" spans="2:33" ht="19.899999999999999" customHeight="1" thickBot="1" x14ac:dyDescent="0.35"/>
    <row r="10" spans="2:33" ht="44.15" customHeight="1" thickBot="1" x14ac:dyDescent="0.35">
      <c r="B10" s="86"/>
      <c r="C10" s="86"/>
      <c r="D10" s="1252" t="s">
        <v>235</v>
      </c>
      <c r="E10" s="1254"/>
      <c r="F10" s="1252" t="s">
        <v>137</v>
      </c>
      <c r="G10" s="1254"/>
      <c r="H10" s="1252" t="s">
        <v>222</v>
      </c>
      <c r="I10" s="1254"/>
      <c r="J10" s="1252" t="s">
        <v>139</v>
      </c>
      <c r="K10" s="1253"/>
      <c r="L10" s="1254"/>
      <c r="M10" s="1252" t="s">
        <v>180</v>
      </c>
      <c r="N10" s="1253"/>
      <c r="O10" s="1253"/>
      <c r="P10" s="1253"/>
      <c r="Q10" s="1253"/>
      <c r="R10" s="1254"/>
      <c r="S10" s="1252" t="s">
        <v>202</v>
      </c>
      <c r="T10" s="1253"/>
      <c r="U10" s="1253"/>
      <c r="V10" s="1254"/>
      <c r="W10" s="1232" t="s">
        <v>236</v>
      </c>
      <c r="X10" s="1236" t="s">
        <v>144</v>
      </c>
      <c r="Y10" s="1237"/>
      <c r="Z10" s="1238"/>
    </row>
    <row r="11" spans="2:33" ht="56.5" thickBot="1" x14ac:dyDescent="0.35">
      <c r="B11" s="121" t="s">
        <v>204</v>
      </c>
      <c r="C11" s="125" t="s">
        <v>237</v>
      </c>
      <c r="D11" s="113" t="s">
        <v>27</v>
      </c>
      <c r="E11" s="580" t="s">
        <v>28</v>
      </c>
      <c r="F11" s="581" t="s">
        <v>137</v>
      </c>
      <c r="G11" s="507" t="s">
        <v>154</v>
      </c>
      <c r="H11" s="113" t="s">
        <v>138</v>
      </c>
      <c r="I11" s="507" t="s">
        <v>154</v>
      </c>
      <c r="J11" s="113" t="s">
        <v>139</v>
      </c>
      <c r="K11" s="562" t="s">
        <v>139</v>
      </c>
      <c r="L11" s="507" t="s">
        <v>183</v>
      </c>
      <c r="M11" s="113" t="s">
        <v>238</v>
      </c>
      <c r="N11" s="562" t="s">
        <v>185</v>
      </c>
      <c r="O11" s="562" t="s">
        <v>186</v>
      </c>
      <c r="P11" s="562" t="s">
        <v>187</v>
      </c>
      <c r="Q11" s="562" t="s">
        <v>188</v>
      </c>
      <c r="R11" s="507" t="s">
        <v>189</v>
      </c>
      <c r="S11" s="113" t="s">
        <v>190</v>
      </c>
      <c r="T11" s="562" t="s">
        <v>1491</v>
      </c>
      <c r="U11" s="562" t="s">
        <v>192</v>
      </c>
      <c r="V11" s="507" t="s">
        <v>193</v>
      </c>
      <c r="W11" s="1251"/>
      <c r="X11" s="682" t="s">
        <v>163</v>
      </c>
      <c r="Y11" s="680" t="s">
        <v>164</v>
      </c>
      <c r="Z11" s="586" t="s">
        <v>1539</v>
      </c>
      <c r="AG11" s="85" t="s">
        <v>148</v>
      </c>
    </row>
    <row r="12" spans="2:33" ht="14" x14ac:dyDescent="0.3">
      <c r="B12" s="242">
        <v>1</v>
      </c>
      <c r="C12" s="142"/>
      <c r="D12" s="47"/>
      <c r="E12" s="37"/>
      <c r="F12" s="335" t="str">
        <f>IF(D12="","",VLOOKUP(D12,'G-6 Hedgerow Data'!$B$2:$AG$15,2,FALSE))</f>
        <v/>
      </c>
      <c r="G12" s="291" t="str">
        <f>IF(D12="","",VLOOKUP(D12,'G-6 Hedgerow Data'!$B$2:$AG$15,3,FALSE))</f>
        <v/>
      </c>
      <c r="H12" s="95"/>
      <c r="I12" s="291" t="str">
        <f>IFERROR(IF(H12="","",IF(AND(D12="Non-native and ornamental hedgerow", H12&lt;&gt;"Poor"),"Not possible ▲", (VLOOKUP(H12,'G-1 All Habitats'!$Z$2:$AA$9,2,FALSE)))),"")</f>
        <v/>
      </c>
      <c r="J12" s="95"/>
      <c r="K12" s="298" t="str">
        <f>IF(J12="","",IF(VLOOKUP(J12,'G-3 Multipliers'!$L$3:$N$6,2,FALSE)=0,"Spatial Data Missing ⚠",VLOOKUP(J12,'G-3 Multipliers'!$L$3:$N$6,2,FALSE)))</f>
        <v/>
      </c>
      <c r="L12" s="296" t="str">
        <f>IF(J12="","",IF(VLOOKUP(J12,'G-3 Multipliers'!$L$3:$N$6,3,FALSE)=0,"Spatial Data Missing ⚠",VLOOKUP(J12,'G-3 Multipliers'!$L$3:$N$6,3,FALSE)))</f>
        <v/>
      </c>
      <c r="M12" s="290" t="str">
        <f>IF(OR(D12="",H12=""),"",(INDEX('G-6 Hedgerow Data'!$E$3:$I$15,MATCH(D12,'G-6 Hedgerow Data'!$B$3:$B$15,0),MATCH(H12,'G-6 Hedgerow Data'!$E$2:$I$2,0))))</f>
        <v/>
      </c>
      <c r="N12" s="138"/>
      <c r="O12" s="138"/>
      <c r="P12" s="298" t="str">
        <f>IF(M12="","",IF(AND(N12&gt;0,O12&gt;0),"Error -both advance and delayed habitat creation ▲",IF(AND(OR(N12="Habitat already in target condition",M12&lt;=N12),O12=0),"Check details - Is there evidence that habitat has reached target condition? ⚠",IF(M12="","",IF(N12&gt;0,"Check details - Is there evidence habitat creation started/in place? ⚠",IF(O12&gt;0,"Check details- Delay in starting habitat in required condition? ⚠","Standard time to target condition applied"))))))</f>
        <v/>
      </c>
      <c r="Q12" s="311" t="str">
        <f>IF(M12="","",IF(P12="Error -both advance and delayed habitat creation ▲","Check Data ⚠",IF(OR(N12="30+",N12="Habitat already in target condition"),0,IF(O12="30+","30+",IF(AND(M12="30+",OR(N12="",N12=0)),"30+",IF(AND(M12="30+",N12&gt;0),30-N12,IF(M12+O12&gt;30,"30+",IF(M12+O12-N12&gt;0,M12+O12-N12,IF(M12-N12&lt;0,0,M12+O12-N12)))))))))</f>
        <v/>
      </c>
      <c r="R12" s="312" t="str">
        <f t="shared" ref="R12:R75" si="0">IF(M12="","",IF(Q12="Check Data ⚠","Check Data ⚠",VLOOKUP(Q12,TemporalMultipliers,3,FALSE)))</f>
        <v/>
      </c>
      <c r="S12" s="290" t="str">
        <f>IF(D12="","",VLOOKUP(D12,'G-6 Hedgerow Data'!$B$3:$AG$15,31,FALSE))</f>
        <v/>
      </c>
      <c r="T12" s="298" t="str">
        <f>IF(D12="","",IF(Q12="Check Data ⚠","Check Data ⚠",IF(H12="","",IF($P12="Check details - Is there evidence that habitat has reached target condition? ⚠","Low Difficulty - only applicable if all habitat created before losses ⚠","Standard difficulty applied"))))</f>
        <v/>
      </c>
      <c r="U12" s="298" t="str">
        <f>(IF(AND(T12="Standard difficulty applied",M12&gt;N12),S12,IF(AND(T12="Low Difficulty - only applicable if all habitat created before losses ⚠",Q12&lt;=0),"Low",S12)))</f>
        <v/>
      </c>
      <c r="V12" s="291" t="str">
        <f>IF(D12="","",VLOOKUP(S12,'G-3 Multipliers'!$P$3:$Q$6,2,FALSE))</f>
        <v/>
      </c>
      <c r="W12" s="317" t="str">
        <f>IFERROR(E12*G12*I12*L12*R12*V12,"")</f>
        <v/>
      </c>
      <c r="X12" s="98"/>
      <c r="Y12" s="99"/>
      <c r="Z12" s="99"/>
      <c r="AG12" s="15" t="str">
        <f>IFERROR(INDEX('G-6 Hedgerow Data'!$BJ$3:$BJ$15,MATCH(D12,'G-6 Hedgerow Data'!$B$3:$B$15,0)),"")</f>
        <v/>
      </c>
    </row>
    <row r="13" spans="2:33" ht="14" x14ac:dyDescent="0.3">
      <c r="B13" s="92">
        <v>2</v>
      </c>
      <c r="C13" s="142"/>
      <c r="D13" s="47"/>
      <c r="E13" s="37"/>
      <c r="F13" s="335" t="str">
        <f>IF(D13="","",VLOOKUP(D13,'G-6 Hedgerow Data'!$B$2:$AG$15,2,FALSE))</f>
        <v/>
      </c>
      <c r="G13" s="291" t="str">
        <f>IF(D13="","",VLOOKUP(D13,'G-6 Hedgerow Data'!$B$2:$AG$15,3,FALSE))</f>
        <v/>
      </c>
      <c r="H13" s="95"/>
      <c r="I13" s="291" t="str">
        <f>IFERROR(IF(H13="","",IF(AND(D13="Non-native and ornamental hedgerow", H13&lt;&gt;"Poor"),"Not possible ▲", (VLOOKUP(H13,'G-1 All Habitats'!$Z$2:$AA$9,2,FALSE)))),"")</f>
        <v/>
      </c>
      <c r="J13" s="95"/>
      <c r="K13" s="310" t="str">
        <f>IF(J13="","",IF(VLOOKUP(J13,'G-3 Multipliers'!$L$3:$N$6,2,FALSE)=0,"Spatial Data Missing ⚠",VLOOKUP(J13,'G-3 Multipliers'!$L$3:$N$6,2,FALSE)))</f>
        <v/>
      </c>
      <c r="L13" s="296" t="str">
        <f>IF(J13="","",IF(VLOOKUP(J13,'G-3 Multipliers'!$L$3:$N$6,3,FALSE)=0,"Spatial Data Missing ⚠",VLOOKUP(J13,'G-3 Multipliers'!$L$3:$N$6,3,FALSE)))</f>
        <v/>
      </c>
      <c r="M13" s="290" t="str">
        <f>IF(OR(D13="",H13=""),"",(INDEX('G-6 Hedgerow Data'!$E$3:$I$15,MATCH(D13,'G-6 Hedgerow Data'!$B$3:$B$15,0),MATCH(H13,'G-6 Hedgerow Data'!$E$2:$I$2,0))))</f>
        <v/>
      </c>
      <c r="N13" s="138"/>
      <c r="O13" s="138"/>
      <c r="P13" s="298" t="str">
        <f t="shared" ref="P13:P76" si="1">IF(M13="","",IF(AND(N13&gt;0,O13&gt;0),"Error -both advance and delayed habitat creation ▲",IF(AND(OR(N13="Habitat already in target condition",M13&lt;=N13),O13=0),"Check details - Is there evidence that habitat has reached target condition? ⚠",IF(M13="","",IF(N13&gt;0,"Check details - Is there evidence habitat creation started/in place? ⚠",IF(O13&gt;0,"Check details- Delay in starting habitat in required condition? ⚠","Standard time to target condition applied"))))))</f>
        <v/>
      </c>
      <c r="Q13" s="311" t="str">
        <f t="shared" ref="Q13:Q76" si="2">IF(M13="","",IF(P13="Error -both advance and delayed habitat creation ▲","Check Data ⚠",IF(OR(N13="30+",N13="Habitat already in target condition"),0,IF(O13="30+","30+",IF(AND(M13="30+",OR(N13="",N13=0)),"30+",IF(AND(M13="30+",N13&gt;0),30-N13,IF(M13+O13&gt;30,"30+",IF(M13+O13-N13&gt;0,M13+O13-N13,IF(M13-N13&lt;0,0,M13+O13-N13)))))))))</f>
        <v/>
      </c>
      <c r="R13" s="312" t="str">
        <f t="shared" si="0"/>
        <v/>
      </c>
      <c r="S13" s="325" t="str">
        <f>IF(D13="","",VLOOKUP(D13,'G-6 Hedgerow Data'!$B$3:$AG$15,31,FALSE))</f>
        <v/>
      </c>
      <c r="T13" s="298" t="str">
        <f t="shared" ref="T13:T76" si="3">IF(D13="","",IF(Q13="Check Data ⚠","Check Data ⚠",IF(H13="","",IF($P13="Check details - Is there evidence that habitat has reached target condition? ⚠","Low Difficulty - only applicable if all habitat created before losses ⚠","Standard difficulty applied"))))</f>
        <v/>
      </c>
      <c r="U13" s="298" t="str">
        <f t="shared" ref="U13:U76" si="4">(IF(AND(T13="Standard difficulty applied",M13&gt;N13),S13,IF(AND(T13="Low Difficulty - only applicable if all habitat created before losses ⚠",Q13&lt;=0),"Low",S13)))</f>
        <v/>
      </c>
      <c r="V13" s="314" t="str">
        <f>IF(D13="","",VLOOKUP(S13,'G-3 Multipliers'!$P$3:$Q$6,2,FALSE))</f>
        <v/>
      </c>
      <c r="W13" s="317" t="str">
        <f t="shared" ref="W13:W76" si="5">IFERROR(E13*G13*I13*L13*R13*V13,"")</f>
        <v/>
      </c>
      <c r="X13" s="98"/>
      <c r="Y13" s="99"/>
      <c r="Z13" s="101"/>
      <c r="AG13" s="15" t="str">
        <f>IFERROR(INDEX('G-6 Hedgerow Data'!$BJ$3:$BJ$15,MATCH(D13,'G-6 Hedgerow Data'!$B$3:$B$15,0)),"")</f>
        <v/>
      </c>
    </row>
    <row r="14" spans="2:33" ht="14" x14ac:dyDescent="0.3">
      <c r="B14" s="92">
        <v>3</v>
      </c>
      <c r="C14" s="142"/>
      <c r="D14" s="47"/>
      <c r="E14" s="37"/>
      <c r="F14" s="335" t="str">
        <f>IF(D14="","",VLOOKUP(D14,'G-6 Hedgerow Data'!$B$2:$AG$15,2,FALSE))</f>
        <v/>
      </c>
      <c r="G14" s="291" t="str">
        <f>IF(D14="","",VLOOKUP(D14,'G-6 Hedgerow Data'!$B$2:$AG$15,3,FALSE))</f>
        <v/>
      </c>
      <c r="H14" s="95"/>
      <c r="I14" s="291" t="str">
        <f>IFERROR(IF(H14="","",IF(AND(D14="Non-native and ornamental hedgerow", H14&lt;&gt;"Poor"),"Not possible ▲", (VLOOKUP(H14,'G-1 All Habitats'!$Z$2:$AA$9,2,FALSE)))),"")</f>
        <v/>
      </c>
      <c r="J14" s="95"/>
      <c r="K14" s="310" t="str">
        <f>IF(J14="","",IF(VLOOKUP(J14,'G-3 Multipliers'!$L$3:$N$6,2,FALSE)=0,"Spatial Data Missing ⚠",VLOOKUP(J14,'G-3 Multipliers'!$L$3:$N$6,2,FALSE)))</f>
        <v/>
      </c>
      <c r="L14" s="296" t="str">
        <f>IF(J14="","",IF(VLOOKUP(J14,'G-3 Multipliers'!$L$3:$N$6,3,FALSE)=0,"Spatial Data Missing ⚠",VLOOKUP(J14,'G-3 Multipliers'!$L$3:$N$6,3,FALSE)))</f>
        <v/>
      </c>
      <c r="M14" s="290" t="str">
        <f>IF(OR(D14="",H14=""),"",(INDEX('G-6 Hedgerow Data'!$E$3:$I$15,MATCH(D14,'G-6 Hedgerow Data'!$B$3:$B$15,0),MATCH(H14,'G-6 Hedgerow Data'!$E$2:$I$2,0))))</f>
        <v/>
      </c>
      <c r="N14" s="138"/>
      <c r="O14" s="138"/>
      <c r="P14" s="298" t="str">
        <f t="shared" si="1"/>
        <v/>
      </c>
      <c r="Q14" s="311" t="str">
        <f t="shared" si="2"/>
        <v/>
      </c>
      <c r="R14" s="312" t="str">
        <f t="shared" si="0"/>
        <v/>
      </c>
      <c r="S14" s="325" t="str">
        <f>IF(D14="","",VLOOKUP(D14,'G-6 Hedgerow Data'!$B$3:$AG$15,31,FALSE))</f>
        <v/>
      </c>
      <c r="T14" s="298" t="str">
        <f t="shared" si="3"/>
        <v/>
      </c>
      <c r="U14" s="298" t="str">
        <f t="shared" si="4"/>
        <v/>
      </c>
      <c r="V14" s="314" t="str">
        <f>IF(D14="","",VLOOKUP(S14,'G-3 Multipliers'!$P$3:$Q$6,2,FALSE))</f>
        <v/>
      </c>
      <c r="W14" s="317" t="str">
        <f t="shared" si="5"/>
        <v/>
      </c>
      <c r="X14" s="98"/>
      <c r="Y14" s="99"/>
      <c r="Z14" s="101"/>
      <c r="AG14" s="15" t="str">
        <f>IFERROR(INDEX('G-6 Hedgerow Data'!$BJ$3:$BJ$15,MATCH(D14,'G-6 Hedgerow Data'!$B$3:$B$15,0)),"")</f>
        <v/>
      </c>
    </row>
    <row r="15" spans="2:33" ht="14" x14ac:dyDescent="0.3">
      <c r="B15" s="92">
        <v>4</v>
      </c>
      <c r="C15" s="142"/>
      <c r="D15" s="47"/>
      <c r="E15" s="37"/>
      <c r="F15" s="335" t="str">
        <f>IF(D15="","",VLOOKUP(D15,'G-6 Hedgerow Data'!$B$2:$AG$15,2,FALSE))</f>
        <v/>
      </c>
      <c r="G15" s="291" t="str">
        <f>IF(D15="","",VLOOKUP(D15,'G-6 Hedgerow Data'!$B$2:$AG$15,3,FALSE))</f>
        <v/>
      </c>
      <c r="H15" s="95"/>
      <c r="I15" s="291" t="str">
        <f>IFERROR(IF(H15="","",IF(AND(D15="Non-native and ornamental hedgerow", H15&lt;&gt;"Poor"),"Not possible ▲", (VLOOKUP(H15,'G-1 All Habitats'!$Z$2:$AA$9,2,FALSE)))),"")</f>
        <v/>
      </c>
      <c r="J15" s="95"/>
      <c r="K15" s="310" t="str">
        <f>IF(J15="","",IF(VLOOKUP(J15,'G-3 Multipliers'!$L$3:$N$6,2,FALSE)=0,"Spatial Data Missing ⚠",VLOOKUP(J15,'G-3 Multipliers'!$L$3:$N$6,2,FALSE)))</f>
        <v/>
      </c>
      <c r="L15" s="296" t="str">
        <f>IF(J15="","",IF(VLOOKUP(J15,'G-3 Multipliers'!$L$3:$N$6,3,FALSE)=0,"Spatial Data Missing ⚠",VLOOKUP(J15,'G-3 Multipliers'!$L$3:$N$6,3,FALSE)))</f>
        <v/>
      </c>
      <c r="M15" s="290" t="str">
        <f>IF(OR(D15="",H15=""),"",(INDEX('G-6 Hedgerow Data'!$E$3:$I$15,MATCH(D15,'G-6 Hedgerow Data'!$B$3:$B$15,0),MATCH(H15,'G-6 Hedgerow Data'!$E$2:$I$2,0))))</f>
        <v/>
      </c>
      <c r="N15" s="138"/>
      <c r="O15" s="138"/>
      <c r="P15" s="298" t="str">
        <f t="shared" si="1"/>
        <v/>
      </c>
      <c r="Q15" s="311" t="str">
        <f t="shared" si="2"/>
        <v/>
      </c>
      <c r="R15" s="312" t="str">
        <f t="shared" si="0"/>
        <v/>
      </c>
      <c r="S15" s="325" t="str">
        <f>IF(D15="","",VLOOKUP(D15,'G-6 Hedgerow Data'!$B$3:$AG$15,31,FALSE))</f>
        <v/>
      </c>
      <c r="T15" s="298" t="str">
        <f t="shared" si="3"/>
        <v/>
      </c>
      <c r="U15" s="298" t="str">
        <f t="shared" si="4"/>
        <v/>
      </c>
      <c r="V15" s="314" t="str">
        <f>IF(D15="","",VLOOKUP(S15,'G-3 Multipliers'!$P$3:$Q$6,2,FALSE))</f>
        <v/>
      </c>
      <c r="W15" s="317" t="str">
        <f t="shared" si="5"/>
        <v/>
      </c>
      <c r="X15" s="98"/>
      <c r="Y15" s="99"/>
      <c r="Z15" s="101"/>
      <c r="AG15" s="15" t="str">
        <f>IFERROR(INDEX('G-6 Hedgerow Data'!$BJ$3:$BJ$15,MATCH(D15,'G-6 Hedgerow Data'!$B$3:$B$15,0)),"")</f>
        <v/>
      </c>
    </row>
    <row r="16" spans="2:33" ht="14" x14ac:dyDescent="0.3">
      <c r="B16" s="92">
        <v>5</v>
      </c>
      <c r="C16" s="143"/>
      <c r="D16" s="138"/>
      <c r="E16" s="120"/>
      <c r="F16" s="335" t="str">
        <f>IF(D16="","",VLOOKUP(D16,'G-6 Hedgerow Data'!$B$2:$AG$15,2,FALSE))</f>
        <v/>
      </c>
      <c r="G16" s="291" t="str">
        <f>IF(D16="","",VLOOKUP(D16,'G-6 Hedgerow Data'!$B$2:$AG$15,3,FALSE))</f>
        <v/>
      </c>
      <c r="H16" s="103"/>
      <c r="I16" s="291" t="str">
        <f>IFERROR(IF(H16="","",IF(AND(D16="Non-native and ornamental hedgerow", H16&lt;&gt;"Poor"),"Not possible ▲", (VLOOKUP(H16,'G-1 All Habitats'!$Z$2:$AA$9,2,FALSE)))),"")</f>
        <v/>
      </c>
      <c r="J16" s="95"/>
      <c r="K16" s="310" t="str">
        <f>IF(J16="","",IF(VLOOKUP(J16,'G-3 Multipliers'!$L$3:$N$6,2,FALSE)=0,"Spatial Data Missing ⚠",VLOOKUP(J16,'G-3 Multipliers'!$L$3:$N$6,2,FALSE)))</f>
        <v/>
      </c>
      <c r="L16" s="296" t="str">
        <f>IF(J16="","",IF(VLOOKUP(J16,'G-3 Multipliers'!$L$3:$N$6,3,FALSE)=0,"Spatial Data Missing ⚠",VLOOKUP(J16,'G-3 Multipliers'!$L$3:$N$6,3,FALSE)))</f>
        <v/>
      </c>
      <c r="M16" s="290" t="str">
        <f>IF(OR(D16="",H16=""),"",(INDEX('G-6 Hedgerow Data'!$E$3:$I$15,MATCH(D16,'G-6 Hedgerow Data'!$B$3:$B$15,0),MATCH(H16,'G-6 Hedgerow Data'!$E$2:$I$2,0))))</f>
        <v/>
      </c>
      <c r="N16" s="138"/>
      <c r="O16" s="138"/>
      <c r="P16" s="298" t="str">
        <f t="shared" si="1"/>
        <v/>
      </c>
      <c r="Q16" s="311" t="str">
        <f t="shared" si="2"/>
        <v/>
      </c>
      <c r="R16" s="312" t="str">
        <f t="shared" si="0"/>
        <v/>
      </c>
      <c r="S16" s="325" t="str">
        <f>IF(D16="","",VLOOKUP(D16,'G-6 Hedgerow Data'!$B$3:$AG$15,31,FALSE))</f>
        <v/>
      </c>
      <c r="T16" s="298" t="str">
        <f t="shared" si="3"/>
        <v/>
      </c>
      <c r="U16" s="298" t="str">
        <f t="shared" si="4"/>
        <v/>
      </c>
      <c r="V16" s="314" t="str">
        <f>IF(D16="","",VLOOKUP(S16,'G-3 Multipliers'!$P$3:$Q$6,2,FALSE))</f>
        <v/>
      </c>
      <c r="W16" s="317" t="str">
        <f t="shared" si="5"/>
        <v/>
      </c>
      <c r="X16" s="98"/>
      <c r="Y16" s="99"/>
      <c r="Z16" s="101"/>
      <c r="AG16" s="15" t="str">
        <f>IFERROR(INDEX('G-6 Hedgerow Data'!$BJ$3:$BJ$15,MATCH(D16,'G-6 Hedgerow Data'!$B$3:$B$15,0)),"")</f>
        <v/>
      </c>
    </row>
    <row r="17" spans="2:33" ht="14" x14ac:dyDescent="0.3">
      <c r="B17" s="92">
        <v>6</v>
      </c>
      <c r="C17" s="143"/>
      <c r="D17" s="138"/>
      <c r="E17" s="120"/>
      <c r="F17" s="325" t="str">
        <f>IF(D17="","",VLOOKUP(D17,'G-6 Hedgerow Data'!$B$2:$AG$15,2,FALSE))</f>
        <v/>
      </c>
      <c r="G17" s="296" t="str">
        <f>IF(D17="","",VLOOKUP(D17,'G-6 Hedgerow Data'!$B$2:$AG$15,3,FALSE))</f>
        <v/>
      </c>
      <c r="H17" s="38"/>
      <c r="I17" s="291" t="str">
        <f>IFERROR(IF(H17="","",IF(AND(D17="Non-native and ornamental hedgerow", H17&lt;&gt;"Poor"),"Not possible ▲", (VLOOKUP(H17,'G-1 All Habitats'!$Z$2:$AA$9,2,FALSE)))),"")</f>
        <v/>
      </c>
      <c r="J17" s="95"/>
      <c r="K17" s="310" t="str">
        <f>IF(J17="","",IF(VLOOKUP(J17,'G-3 Multipliers'!$L$3:$N$6,2,FALSE)=0,"Spatial Data Missing ⚠",VLOOKUP(J17,'G-3 Multipliers'!$L$3:$N$6,2,FALSE)))</f>
        <v/>
      </c>
      <c r="L17" s="296" t="str">
        <f>IF(J17="","",IF(VLOOKUP(J17,'G-3 Multipliers'!$L$3:$N$6,3,FALSE)=0,"Spatial Data Missing ⚠",VLOOKUP(J17,'G-3 Multipliers'!$L$3:$N$6,3,FALSE)))</f>
        <v/>
      </c>
      <c r="M17" s="290" t="str">
        <f>IF(OR(D17="",H17=""),"",(INDEX('G-6 Hedgerow Data'!$E$3:$I$15,MATCH(D17,'G-6 Hedgerow Data'!$B$3:$B$15,0),MATCH(H17,'G-6 Hedgerow Data'!$E$2:$I$2,0))))</f>
        <v/>
      </c>
      <c r="N17" s="138"/>
      <c r="O17" s="138"/>
      <c r="P17" s="298" t="str">
        <f t="shared" si="1"/>
        <v/>
      </c>
      <c r="Q17" s="311" t="str">
        <f t="shared" si="2"/>
        <v/>
      </c>
      <c r="R17" s="312" t="str">
        <f t="shared" si="0"/>
        <v/>
      </c>
      <c r="S17" s="325" t="str">
        <f>IF(D17="","",VLOOKUP(D17,'G-6 Hedgerow Data'!$B$3:$AG$15,31,FALSE))</f>
        <v/>
      </c>
      <c r="T17" s="298" t="str">
        <f t="shared" si="3"/>
        <v/>
      </c>
      <c r="U17" s="298" t="str">
        <f t="shared" si="4"/>
        <v/>
      </c>
      <c r="V17" s="314" t="str">
        <f>IF(D17="","",VLOOKUP(S17,'G-3 Multipliers'!$P$3:$Q$6,2,FALSE))</f>
        <v/>
      </c>
      <c r="W17" s="317" t="str">
        <f t="shared" si="5"/>
        <v/>
      </c>
      <c r="X17" s="98"/>
      <c r="Y17" s="99"/>
      <c r="Z17" s="101"/>
      <c r="AG17" s="15" t="str">
        <f>IFERROR(INDEX('G-6 Hedgerow Data'!$BJ$3:$BJ$15,MATCH(D17,'G-6 Hedgerow Data'!$B$3:$B$15,0)),"")</f>
        <v/>
      </c>
    </row>
    <row r="18" spans="2:33" ht="14" x14ac:dyDescent="0.3">
      <c r="B18" s="92">
        <v>7</v>
      </c>
      <c r="C18" s="143"/>
      <c r="D18" s="138"/>
      <c r="E18" s="120"/>
      <c r="F18" s="290" t="str">
        <f>IF(D18="","",VLOOKUP(D18,'G-6 Hedgerow Data'!$B$2:$AG$15,2,FALSE))</f>
        <v/>
      </c>
      <c r="G18" s="296" t="str">
        <f>IF(D18="","",VLOOKUP(D18,'G-6 Hedgerow Data'!$B$2:$AG$15,3,FALSE))</f>
        <v/>
      </c>
      <c r="H18" s="38"/>
      <c r="I18" s="291" t="str">
        <f>IFERROR(IF(H18="","",IF(AND(D18="Non-native and ornamental hedgerow", H18&lt;&gt;"Poor"),"Not possible ▲", (VLOOKUP(H18,'G-1 All Habitats'!$Z$2:$AA$9,2,FALSE)))),"")</f>
        <v/>
      </c>
      <c r="J18" s="95"/>
      <c r="K18" s="310" t="str">
        <f>IF(J18="","",IF(VLOOKUP(J18,'G-3 Multipliers'!$L$3:$N$6,2,FALSE)=0,"Spatial Data Missing ⚠",VLOOKUP(J18,'G-3 Multipliers'!$L$3:$N$6,2,FALSE)))</f>
        <v/>
      </c>
      <c r="L18" s="296" t="str">
        <f>IF(J18="","",IF(VLOOKUP(J18,'G-3 Multipliers'!$L$3:$N$6,3,FALSE)=0,"Spatial Data Missing ⚠",VLOOKUP(J18,'G-3 Multipliers'!$L$3:$N$6,3,FALSE)))</f>
        <v/>
      </c>
      <c r="M18" s="290" t="str">
        <f>IF(OR(D18="",H18=""),"",(INDEX('G-6 Hedgerow Data'!$E$3:$I$15,MATCH(D18,'G-6 Hedgerow Data'!$B$3:$B$15,0),MATCH(H18,'G-6 Hedgerow Data'!$E$2:$I$2,0))))</f>
        <v/>
      </c>
      <c r="N18" s="138"/>
      <c r="O18" s="138"/>
      <c r="P18" s="298" t="str">
        <f t="shared" si="1"/>
        <v/>
      </c>
      <c r="Q18" s="311" t="str">
        <f t="shared" si="2"/>
        <v/>
      </c>
      <c r="R18" s="312" t="str">
        <f t="shared" si="0"/>
        <v/>
      </c>
      <c r="S18" s="325" t="str">
        <f>IF(D18="","",VLOOKUP(D18,'G-6 Hedgerow Data'!$B$3:$AG$15,31,FALSE))</f>
        <v/>
      </c>
      <c r="T18" s="298" t="str">
        <f t="shared" si="3"/>
        <v/>
      </c>
      <c r="U18" s="298" t="str">
        <f t="shared" si="4"/>
        <v/>
      </c>
      <c r="V18" s="314" t="str">
        <f>IF(D18="","",VLOOKUP(S18,'G-3 Multipliers'!$P$3:$Q$6,2,FALSE))</f>
        <v/>
      </c>
      <c r="W18" s="317" t="str">
        <f t="shared" si="5"/>
        <v/>
      </c>
      <c r="X18" s="98"/>
      <c r="Y18" s="99"/>
      <c r="Z18" s="101"/>
      <c r="AG18" s="15" t="str">
        <f>IFERROR(INDEX('G-6 Hedgerow Data'!$BJ$3:$BJ$15,MATCH(D18,'G-6 Hedgerow Data'!$B$3:$B$15,0)),"")</f>
        <v/>
      </c>
    </row>
    <row r="19" spans="2:33" ht="14" x14ac:dyDescent="0.3">
      <c r="B19" s="92">
        <v>8</v>
      </c>
      <c r="C19" s="143"/>
      <c r="D19" s="138"/>
      <c r="E19" s="120"/>
      <c r="F19" s="290" t="str">
        <f>IF(D19="","",VLOOKUP(D19,'G-6 Hedgerow Data'!$B$2:$AG$15,2,FALSE))</f>
        <v/>
      </c>
      <c r="G19" s="296" t="str">
        <f>IF(D19="","",VLOOKUP(D19,'G-6 Hedgerow Data'!$B$2:$AG$15,3,FALSE))</f>
        <v/>
      </c>
      <c r="H19" s="38"/>
      <c r="I19" s="291" t="str">
        <f>IFERROR(IF(H19="","",IF(AND(D19="Non-native and ornamental hedgerow", H19&lt;&gt;"Poor"),"Not possible ▲", (VLOOKUP(H19,'G-1 All Habitats'!$Z$2:$AA$9,2,FALSE)))),"")</f>
        <v/>
      </c>
      <c r="J19" s="95"/>
      <c r="K19" s="310" t="str">
        <f>IF(J19="","",IF(VLOOKUP(J19,'G-3 Multipliers'!$L$3:$N$6,2,FALSE)=0,"Spatial Data Missing ⚠",VLOOKUP(J19,'G-3 Multipliers'!$L$3:$N$6,2,FALSE)))</f>
        <v/>
      </c>
      <c r="L19" s="296" t="str">
        <f>IF(J19="","",IF(VLOOKUP(J19,'G-3 Multipliers'!$L$3:$N$6,3,FALSE)=0,"Spatial Data Missing ⚠",VLOOKUP(J19,'G-3 Multipliers'!$L$3:$N$6,3,FALSE)))</f>
        <v/>
      </c>
      <c r="M19" s="290" t="str">
        <f>IF(OR(D19="",H19=""),"",(INDEX('G-6 Hedgerow Data'!$E$3:$I$15,MATCH(D19,'G-6 Hedgerow Data'!$B$3:$B$15,0),MATCH(H19,'G-6 Hedgerow Data'!$E$2:$I$2,0))))</f>
        <v/>
      </c>
      <c r="N19" s="138"/>
      <c r="O19" s="138"/>
      <c r="P19" s="298" t="str">
        <f t="shared" si="1"/>
        <v/>
      </c>
      <c r="Q19" s="311" t="str">
        <f t="shared" si="2"/>
        <v/>
      </c>
      <c r="R19" s="312" t="str">
        <f t="shared" si="0"/>
        <v/>
      </c>
      <c r="S19" s="325" t="str">
        <f>IF(D19="","",VLOOKUP(D19,'G-6 Hedgerow Data'!$B$3:$AG$15,31,FALSE))</f>
        <v/>
      </c>
      <c r="T19" s="298" t="str">
        <f t="shared" si="3"/>
        <v/>
      </c>
      <c r="U19" s="298" t="str">
        <f t="shared" si="4"/>
        <v/>
      </c>
      <c r="V19" s="314" t="str">
        <f>IF(D19="","",VLOOKUP(S19,'G-3 Multipliers'!$P$3:$Q$6,2,FALSE))</f>
        <v/>
      </c>
      <c r="W19" s="317" t="str">
        <f t="shared" si="5"/>
        <v/>
      </c>
      <c r="X19" s="98"/>
      <c r="Y19" s="99"/>
      <c r="Z19" s="101"/>
      <c r="AG19" s="15" t="str">
        <f>IFERROR(INDEX('G-6 Hedgerow Data'!$BJ$3:$BJ$15,MATCH(D19,'G-6 Hedgerow Data'!$B$3:$B$15,0)),"")</f>
        <v/>
      </c>
    </row>
    <row r="20" spans="2:33" ht="14" x14ac:dyDescent="0.3">
      <c r="B20" s="92">
        <v>9</v>
      </c>
      <c r="C20" s="143"/>
      <c r="D20" s="138"/>
      <c r="E20" s="120"/>
      <c r="F20" s="290" t="str">
        <f>IF(D20="","",VLOOKUP(D20,'G-6 Hedgerow Data'!$B$2:$AG$15,2,FALSE))</f>
        <v/>
      </c>
      <c r="G20" s="296" t="str">
        <f>IF(D20="","",VLOOKUP(D20,'G-6 Hedgerow Data'!$B$2:$AG$15,3,FALSE))</f>
        <v/>
      </c>
      <c r="H20" s="38"/>
      <c r="I20" s="291" t="str">
        <f>IFERROR(IF(H20="","",IF(AND(D20="Non-native and ornamental hedgerow", H20&lt;&gt;"Poor"),"Not possible ▲", (VLOOKUP(H20,'G-1 All Habitats'!$Z$2:$AA$9,2,FALSE)))),"")</f>
        <v/>
      </c>
      <c r="J20" s="95"/>
      <c r="K20" s="310" t="str">
        <f>IF(J20="","",IF(VLOOKUP(J20,'G-3 Multipliers'!$L$3:$N$6,2,FALSE)=0,"Spatial Data Missing ⚠",VLOOKUP(J20,'G-3 Multipliers'!$L$3:$N$6,2,FALSE)))</f>
        <v/>
      </c>
      <c r="L20" s="296" t="str">
        <f>IF(J20="","",IF(VLOOKUP(J20,'G-3 Multipliers'!$L$3:$N$6,3,FALSE)=0,"Spatial Data Missing ⚠",VLOOKUP(J20,'G-3 Multipliers'!$L$3:$N$6,3,FALSE)))</f>
        <v/>
      </c>
      <c r="M20" s="290" t="str">
        <f>IF(OR(D20="",H20=""),"",(INDEX('G-6 Hedgerow Data'!$E$3:$I$15,MATCH(D20,'G-6 Hedgerow Data'!$B$3:$B$15,0),MATCH(H20,'G-6 Hedgerow Data'!$E$2:$I$2,0))))</f>
        <v/>
      </c>
      <c r="N20" s="138"/>
      <c r="O20" s="138"/>
      <c r="P20" s="298" t="str">
        <f t="shared" si="1"/>
        <v/>
      </c>
      <c r="Q20" s="311" t="str">
        <f t="shared" si="2"/>
        <v/>
      </c>
      <c r="R20" s="312" t="str">
        <f t="shared" si="0"/>
        <v/>
      </c>
      <c r="S20" s="325" t="str">
        <f>IF(D20="","",VLOOKUP(D20,'G-6 Hedgerow Data'!$B$3:$AG$15,31,FALSE))</f>
        <v/>
      </c>
      <c r="T20" s="298" t="str">
        <f t="shared" si="3"/>
        <v/>
      </c>
      <c r="U20" s="298" t="str">
        <f t="shared" si="4"/>
        <v/>
      </c>
      <c r="V20" s="314" t="str">
        <f>IF(D20="","",VLOOKUP(S20,'G-3 Multipliers'!$P$3:$Q$6,2,FALSE))</f>
        <v/>
      </c>
      <c r="W20" s="317" t="str">
        <f t="shared" si="5"/>
        <v/>
      </c>
      <c r="X20" s="98"/>
      <c r="Y20" s="99"/>
      <c r="Z20" s="101"/>
      <c r="AG20" s="15" t="str">
        <f>IFERROR(INDEX('G-6 Hedgerow Data'!$BJ$3:$BJ$15,MATCH(D20,'G-6 Hedgerow Data'!$B$3:$B$15,0)),"")</f>
        <v/>
      </c>
    </row>
    <row r="21" spans="2:33" ht="14" x14ac:dyDescent="0.3">
      <c r="B21" s="92">
        <v>10</v>
      </c>
      <c r="C21" s="143"/>
      <c r="D21" s="138"/>
      <c r="E21" s="120"/>
      <c r="F21" s="290" t="str">
        <f>IF(D21="","",VLOOKUP(D21,'G-6 Hedgerow Data'!$B$2:$AG$15,2,FALSE))</f>
        <v/>
      </c>
      <c r="G21" s="296" t="str">
        <f>IF(D21="","",VLOOKUP(D21,'G-6 Hedgerow Data'!$B$2:$AG$15,3,FALSE))</f>
        <v/>
      </c>
      <c r="H21" s="38"/>
      <c r="I21" s="291" t="str">
        <f>IFERROR(IF(H21="","",IF(AND(D21="Non-native and ornamental hedgerow", H21&lt;&gt;"Poor"),"Not possible ▲", (VLOOKUP(H21,'G-1 All Habitats'!$Z$2:$AA$9,2,FALSE)))),"")</f>
        <v/>
      </c>
      <c r="J21" s="95"/>
      <c r="K21" s="310" t="str">
        <f>IF(J21="","",IF(VLOOKUP(J21,'G-3 Multipliers'!$L$3:$N$6,2,FALSE)=0,"Spatial Data Missing ⚠",VLOOKUP(J21,'G-3 Multipliers'!$L$3:$N$6,2,FALSE)))</f>
        <v/>
      </c>
      <c r="L21" s="296" t="str">
        <f>IF(J21="","",IF(VLOOKUP(J21,'G-3 Multipliers'!$L$3:$N$6,3,FALSE)=0,"Spatial Data Missing ⚠",VLOOKUP(J21,'G-3 Multipliers'!$L$3:$N$6,3,FALSE)))</f>
        <v/>
      </c>
      <c r="M21" s="290" t="str">
        <f>IF(OR(D21="",H21=""),"",(INDEX('G-6 Hedgerow Data'!$E$3:$I$15,MATCH(D21,'G-6 Hedgerow Data'!$B$3:$B$15,0),MATCH(H21,'G-6 Hedgerow Data'!$E$2:$I$2,0))))</f>
        <v/>
      </c>
      <c r="N21" s="138"/>
      <c r="O21" s="138"/>
      <c r="P21" s="298" t="str">
        <f t="shared" si="1"/>
        <v/>
      </c>
      <c r="Q21" s="311" t="str">
        <f t="shared" si="2"/>
        <v/>
      </c>
      <c r="R21" s="312" t="str">
        <f t="shared" si="0"/>
        <v/>
      </c>
      <c r="S21" s="325" t="str">
        <f>IF(D21="","",VLOOKUP(D21,'G-6 Hedgerow Data'!$B$3:$AG$15,31,FALSE))</f>
        <v/>
      </c>
      <c r="T21" s="298" t="str">
        <f t="shared" si="3"/>
        <v/>
      </c>
      <c r="U21" s="298" t="str">
        <f t="shared" si="4"/>
        <v/>
      </c>
      <c r="V21" s="314" t="str">
        <f>IF(D21="","",VLOOKUP(S21,'G-3 Multipliers'!$P$3:$Q$6,2,FALSE))</f>
        <v/>
      </c>
      <c r="W21" s="317" t="str">
        <f t="shared" si="5"/>
        <v/>
      </c>
      <c r="X21" s="98"/>
      <c r="Y21" s="99"/>
      <c r="Z21" s="101"/>
      <c r="AG21" s="15" t="str">
        <f>IFERROR(INDEX('G-6 Hedgerow Data'!$BJ$3:$BJ$15,MATCH(D21,'G-6 Hedgerow Data'!$B$3:$B$15,0)),"")</f>
        <v/>
      </c>
    </row>
    <row r="22" spans="2:33" ht="14" x14ac:dyDescent="0.3">
      <c r="B22" s="92">
        <v>11</v>
      </c>
      <c r="C22" s="143"/>
      <c r="D22" s="138"/>
      <c r="E22" s="120"/>
      <c r="F22" s="290" t="str">
        <f>IF(D22="","",VLOOKUP(D22,'G-6 Hedgerow Data'!$B$2:$AG$15,2,FALSE))</f>
        <v/>
      </c>
      <c r="G22" s="296" t="str">
        <f>IF(D22="","",VLOOKUP(D22,'G-6 Hedgerow Data'!$B$2:$AG$15,3,FALSE))</f>
        <v/>
      </c>
      <c r="H22" s="38"/>
      <c r="I22" s="291" t="str">
        <f>IFERROR(IF(H22="","",IF(AND(D22="Non-native and ornamental hedgerow", H22&lt;&gt;"Poor"),"Not possible ▲", (VLOOKUP(H22,'G-1 All Habitats'!$Z$2:$AA$9,2,FALSE)))),"")</f>
        <v/>
      </c>
      <c r="J22" s="95"/>
      <c r="K22" s="310" t="str">
        <f>IF(J22="","",IF(VLOOKUP(J22,'G-3 Multipliers'!$L$3:$N$6,2,FALSE)=0,"Spatial Data Missing ⚠",VLOOKUP(J22,'G-3 Multipliers'!$L$3:$N$6,2,FALSE)))</f>
        <v/>
      </c>
      <c r="L22" s="296" t="str">
        <f>IF(J22="","",IF(VLOOKUP(J22,'G-3 Multipliers'!$L$3:$N$6,3,FALSE)=0,"Spatial Data Missing ⚠",VLOOKUP(J22,'G-3 Multipliers'!$L$3:$N$6,3,FALSE)))</f>
        <v/>
      </c>
      <c r="M22" s="290" t="str">
        <f>IF(OR(D22="",H22=""),"",(INDEX('G-6 Hedgerow Data'!$E$3:$I$15,MATCH(D22,'G-6 Hedgerow Data'!$B$3:$B$15,0),MATCH(H22,'G-6 Hedgerow Data'!$E$2:$I$2,0))))</f>
        <v/>
      </c>
      <c r="N22" s="138"/>
      <c r="O22" s="138"/>
      <c r="P22" s="298" t="str">
        <f t="shared" si="1"/>
        <v/>
      </c>
      <c r="Q22" s="311" t="str">
        <f t="shared" si="2"/>
        <v/>
      </c>
      <c r="R22" s="312" t="str">
        <f t="shared" si="0"/>
        <v/>
      </c>
      <c r="S22" s="325" t="str">
        <f>IF(D22="","",VLOOKUP(D22,'G-6 Hedgerow Data'!$B$3:$AG$15,31,FALSE))</f>
        <v/>
      </c>
      <c r="T22" s="298" t="str">
        <f t="shared" si="3"/>
        <v/>
      </c>
      <c r="U22" s="298" t="str">
        <f t="shared" si="4"/>
        <v/>
      </c>
      <c r="V22" s="314" t="str">
        <f>IF(D22="","",VLOOKUP(S22,'G-3 Multipliers'!$P$3:$Q$6,2,FALSE))</f>
        <v/>
      </c>
      <c r="W22" s="317" t="str">
        <f t="shared" si="5"/>
        <v/>
      </c>
      <c r="X22" s="98"/>
      <c r="Y22" s="99"/>
      <c r="Z22" s="101"/>
      <c r="AG22" s="15" t="str">
        <f>IFERROR(INDEX('G-6 Hedgerow Data'!$BJ$3:$BJ$15,MATCH(D22,'G-6 Hedgerow Data'!$B$3:$B$15,0)),"")</f>
        <v/>
      </c>
    </row>
    <row r="23" spans="2:33" ht="14" x14ac:dyDescent="0.3">
      <c r="B23" s="92">
        <v>12</v>
      </c>
      <c r="C23" s="143"/>
      <c r="D23" s="138"/>
      <c r="E23" s="120"/>
      <c r="F23" s="290" t="str">
        <f>IF(D23="","",VLOOKUP(D23,'G-6 Hedgerow Data'!$B$2:$AG$15,2,FALSE))</f>
        <v/>
      </c>
      <c r="G23" s="296" t="str">
        <f>IF(D23="","",VLOOKUP(D23,'G-6 Hedgerow Data'!$B$2:$AG$15,3,FALSE))</f>
        <v/>
      </c>
      <c r="H23" s="38"/>
      <c r="I23" s="291" t="str">
        <f>IFERROR(IF(H23="","",IF(AND(D23="Non-native and ornamental hedgerow", H23&lt;&gt;"Poor"),"Not possible ▲", (VLOOKUP(H23,'G-1 All Habitats'!$Z$2:$AA$9,2,FALSE)))),"")</f>
        <v/>
      </c>
      <c r="J23" s="95"/>
      <c r="K23" s="310" t="str">
        <f>IF(J23="","",IF(VLOOKUP(J23,'G-3 Multipliers'!$L$3:$N$6,2,FALSE)=0,"Spatial Data Missing ⚠",VLOOKUP(J23,'G-3 Multipliers'!$L$3:$N$6,2,FALSE)))</f>
        <v/>
      </c>
      <c r="L23" s="296" t="str">
        <f>IF(J23="","",IF(VLOOKUP(J23,'G-3 Multipliers'!$L$3:$N$6,3,FALSE)=0,"Spatial Data Missing ⚠",VLOOKUP(J23,'G-3 Multipliers'!$L$3:$N$6,3,FALSE)))</f>
        <v/>
      </c>
      <c r="M23" s="290" t="str">
        <f>IF(OR(D23="",H23=""),"",(INDEX('G-6 Hedgerow Data'!$E$3:$I$15,MATCH(D23,'G-6 Hedgerow Data'!$B$3:$B$15,0),MATCH(H23,'G-6 Hedgerow Data'!$E$2:$I$2,0))))</f>
        <v/>
      </c>
      <c r="N23" s="138"/>
      <c r="O23" s="138"/>
      <c r="P23" s="298" t="str">
        <f t="shared" si="1"/>
        <v/>
      </c>
      <c r="Q23" s="311" t="str">
        <f t="shared" si="2"/>
        <v/>
      </c>
      <c r="R23" s="312" t="str">
        <f t="shared" si="0"/>
        <v/>
      </c>
      <c r="S23" s="325" t="str">
        <f>IF(D23="","",VLOOKUP(D23,'G-6 Hedgerow Data'!$B$3:$AG$15,31,FALSE))</f>
        <v/>
      </c>
      <c r="T23" s="298" t="str">
        <f t="shared" si="3"/>
        <v/>
      </c>
      <c r="U23" s="298" t="str">
        <f t="shared" si="4"/>
        <v/>
      </c>
      <c r="V23" s="314" t="str">
        <f>IF(D23="","",VLOOKUP(S23,'G-3 Multipliers'!$P$3:$Q$6,2,FALSE))</f>
        <v/>
      </c>
      <c r="W23" s="317" t="str">
        <f t="shared" si="5"/>
        <v/>
      </c>
      <c r="X23" s="98"/>
      <c r="Y23" s="99"/>
      <c r="Z23" s="101"/>
      <c r="AG23" s="15" t="str">
        <f>IFERROR(INDEX('G-6 Hedgerow Data'!$BJ$3:$BJ$15,MATCH(D23,'G-6 Hedgerow Data'!$B$3:$B$15,0)),"")</f>
        <v/>
      </c>
    </row>
    <row r="24" spans="2:33" ht="14" x14ac:dyDescent="0.3">
      <c r="B24" s="92">
        <v>13</v>
      </c>
      <c r="C24" s="143"/>
      <c r="D24" s="138"/>
      <c r="E24" s="120"/>
      <c r="F24" s="290" t="str">
        <f>IF(D24="","",VLOOKUP(D24,'G-6 Hedgerow Data'!$B$2:$AG$15,2,FALSE))</f>
        <v/>
      </c>
      <c r="G24" s="296" t="str">
        <f>IF(D24="","",VLOOKUP(D24,'G-6 Hedgerow Data'!$B$2:$AG$15,3,FALSE))</f>
        <v/>
      </c>
      <c r="H24" s="95"/>
      <c r="I24" s="291" t="str">
        <f>IFERROR(IF(H24="","",IF(AND(D24="Non-native and ornamental hedgerow", H24&lt;&gt;"Poor"),"Not possible ▲", (VLOOKUP(H24,'G-1 All Habitats'!$Z$2:$AA$9,2,FALSE)))),"")</f>
        <v/>
      </c>
      <c r="J24" s="95"/>
      <c r="K24" s="310" t="str">
        <f>IF(J24="","",IF(VLOOKUP(J24,'G-3 Multipliers'!$L$3:$N$6,2,FALSE)=0,"Spatial Data Missing ⚠",VLOOKUP(J24,'G-3 Multipliers'!$L$3:$N$6,2,FALSE)))</f>
        <v/>
      </c>
      <c r="L24" s="296" t="str">
        <f>IF(J24="","",IF(VLOOKUP(J24,'G-3 Multipliers'!$L$3:$N$6,3,FALSE)=0,"Spatial Data Missing ⚠",VLOOKUP(J24,'G-3 Multipliers'!$L$3:$N$6,3,FALSE)))</f>
        <v/>
      </c>
      <c r="M24" s="290" t="str">
        <f>IF(OR(D24="",H24=""),"",(INDEX('G-6 Hedgerow Data'!$E$3:$I$15,MATCH(D24,'G-6 Hedgerow Data'!$B$3:$B$15,0),MATCH(H24,'G-6 Hedgerow Data'!$E$2:$I$2,0))))</f>
        <v/>
      </c>
      <c r="N24" s="138"/>
      <c r="O24" s="138"/>
      <c r="P24" s="298" t="str">
        <f t="shared" si="1"/>
        <v/>
      </c>
      <c r="Q24" s="311" t="str">
        <f t="shared" si="2"/>
        <v/>
      </c>
      <c r="R24" s="312" t="str">
        <f t="shared" si="0"/>
        <v/>
      </c>
      <c r="S24" s="325" t="str">
        <f>IF(D24="","",VLOOKUP(D24,'G-6 Hedgerow Data'!$B$3:$AG$15,31,FALSE))</f>
        <v/>
      </c>
      <c r="T24" s="298" t="str">
        <f t="shared" si="3"/>
        <v/>
      </c>
      <c r="U24" s="298" t="str">
        <f t="shared" si="4"/>
        <v/>
      </c>
      <c r="V24" s="314" t="str">
        <f>IF(D24="","",VLOOKUP(S24,'G-3 Multipliers'!$P$3:$Q$6,2,FALSE))</f>
        <v/>
      </c>
      <c r="W24" s="317" t="str">
        <f t="shared" si="5"/>
        <v/>
      </c>
      <c r="X24" s="98"/>
      <c r="Y24" s="99"/>
      <c r="Z24" s="101"/>
      <c r="AG24" s="15" t="str">
        <f>IFERROR(INDEX('G-6 Hedgerow Data'!$BJ$3:$BJ$15,MATCH(D24,'G-6 Hedgerow Data'!$B$3:$B$15,0)),"")</f>
        <v/>
      </c>
    </row>
    <row r="25" spans="2:33" ht="14" x14ac:dyDescent="0.3">
      <c r="B25" s="92">
        <v>14</v>
      </c>
      <c r="C25" s="143"/>
      <c r="D25" s="47"/>
      <c r="E25" s="37"/>
      <c r="F25" s="335" t="str">
        <f>IF(D25="","",VLOOKUP(D25,'G-6 Hedgerow Data'!$B$2:$AG$15,2,FALSE))</f>
        <v/>
      </c>
      <c r="G25" s="291" t="str">
        <f>IF(D25="","",VLOOKUP(D25,'G-6 Hedgerow Data'!$B$2:$AG$15,3,FALSE))</f>
        <v/>
      </c>
      <c r="H25" s="95"/>
      <c r="I25" s="291" t="str">
        <f>IFERROR(IF(H25="","",IF(AND(D25="Non-native and ornamental hedgerow", H25&lt;&gt;"Poor"),"Not possible ▲", (VLOOKUP(H25,'G-1 All Habitats'!$Z$2:$AA$9,2,FALSE)))),"")</f>
        <v/>
      </c>
      <c r="J25" s="95"/>
      <c r="K25" s="310" t="str">
        <f>IF(J25="","",IF(VLOOKUP(J25,'G-3 Multipliers'!$L$3:$N$6,2,FALSE)=0,"Spatial Data Missing ⚠",VLOOKUP(J25,'G-3 Multipliers'!$L$3:$N$6,2,FALSE)))</f>
        <v/>
      </c>
      <c r="L25" s="296" t="str">
        <f>IF(J25="","",IF(VLOOKUP(J25,'G-3 Multipliers'!$L$3:$N$6,3,FALSE)=0,"Spatial Data Missing ⚠",VLOOKUP(J25,'G-3 Multipliers'!$L$3:$N$6,3,FALSE)))</f>
        <v/>
      </c>
      <c r="M25" s="290" t="str">
        <f>IF(OR(D25="",H25=""),"",(INDEX('G-6 Hedgerow Data'!$E$3:$I$15,MATCH(D25,'G-6 Hedgerow Data'!$B$3:$B$15,0),MATCH(H25,'G-6 Hedgerow Data'!$E$2:$I$2,0))))</f>
        <v/>
      </c>
      <c r="N25" s="138"/>
      <c r="O25" s="138"/>
      <c r="P25" s="298" t="str">
        <f t="shared" si="1"/>
        <v/>
      </c>
      <c r="Q25" s="311" t="str">
        <f t="shared" si="2"/>
        <v/>
      </c>
      <c r="R25" s="312" t="str">
        <f t="shared" si="0"/>
        <v/>
      </c>
      <c r="S25" s="325" t="str">
        <f>IF(D25="","",VLOOKUP(D25,'G-6 Hedgerow Data'!$B$3:$AG$15,31,FALSE))</f>
        <v/>
      </c>
      <c r="T25" s="298" t="str">
        <f t="shared" si="3"/>
        <v/>
      </c>
      <c r="U25" s="298" t="str">
        <f t="shared" si="4"/>
        <v/>
      </c>
      <c r="V25" s="314" t="str">
        <f>IF(D25="","",VLOOKUP(S25,'G-3 Multipliers'!$P$3:$Q$6,2,FALSE))</f>
        <v/>
      </c>
      <c r="W25" s="317" t="str">
        <f t="shared" si="5"/>
        <v/>
      </c>
      <c r="X25" s="98"/>
      <c r="Y25" s="99"/>
      <c r="Z25" s="101"/>
      <c r="AG25" s="15" t="str">
        <f>IFERROR(INDEX('G-6 Hedgerow Data'!$BJ$3:$BJ$15,MATCH(D25,'G-6 Hedgerow Data'!$B$3:$B$15,0)),"")</f>
        <v/>
      </c>
    </row>
    <row r="26" spans="2:33" ht="14" x14ac:dyDescent="0.3">
      <c r="B26" s="92">
        <v>15</v>
      </c>
      <c r="C26" s="143"/>
      <c r="D26" s="47"/>
      <c r="E26" s="37"/>
      <c r="F26" s="335" t="str">
        <f>IF(D26="","",VLOOKUP(D26,'G-6 Hedgerow Data'!$B$2:$AG$15,2,FALSE))</f>
        <v/>
      </c>
      <c r="G26" s="291" t="str">
        <f>IF(D26="","",VLOOKUP(D26,'G-6 Hedgerow Data'!$B$2:$AG$15,3,FALSE))</f>
        <v/>
      </c>
      <c r="H26" s="95"/>
      <c r="I26" s="291" t="str">
        <f>IFERROR(IF(H26="","",IF(AND(D26="Non-native and ornamental hedgerow", H26&lt;&gt;"Poor"),"Not possible ▲", (VLOOKUP(H26,'G-1 All Habitats'!$Z$2:$AA$9,2,FALSE)))),"")</f>
        <v/>
      </c>
      <c r="J26" s="95"/>
      <c r="K26" s="310" t="str">
        <f>IF(J26="","",IF(VLOOKUP(J26,'G-3 Multipliers'!$L$3:$N$6,2,FALSE)=0,"Spatial Data Missing ⚠",VLOOKUP(J26,'G-3 Multipliers'!$L$3:$N$6,2,FALSE)))</f>
        <v/>
      </c>
      <c r="L26" s="296" t="str">
        <f>IF(J26="","",IF(VLOOKUP(J26,'G-3 Multipliers'!$L$3:$N$6,3,FALSE)=0,"Spatial Data Missing ⚠",VLOOKUP(J26,'G-3 Multipliers'!$L$3:$N$6,3,FALSE)))</f>
        <v/>
      </c>
      <c r="M26" s="290" t="str">
        <f>IF(OR(D26="",H26=""),"",(INDEX('G-6 Hedgerow Data'!$E$3:$I$15,MATCH(D26,'G-6 Hedgerow Data'!$B$3:$B$15,0),MATCH(H26,'G-6 Hedgerow Data'!$E$2:$I$2,0))))</f>
        <v/>
      </c>
      <c r="N26" s="138"/>
      <c r="O26" s="138"/>
      <c r="P26" s="298" t="str">
        <f t="shared" si="1"/>
        <v/>
      </c>
      <c r="Q26" s="311" t="str">
        <f t="shared" si="2"/>
        <v/>
      </c>
      <c r="R26" s="312" t="str">
        <f t="shared" si="0"/>
        <v/>
      </c>
      <c r="S26" s="325" t="str">
        <f>IF(D26="","",VLOOKUP(D26,'G-6 Hedgerow Data'!$B$3:$AG$15,31,FALSE))</f>
        <v/>
      </c>
      <c r="T26" s="298" t="str">
        <f t="shared" si="3"/>
        <v/>
      </c>
      <c r="U26" s="298" t="str">
        <f t="shared" si="4"/>
        <v/>
      </c>
      <c r="V26" s="314" t="str">
        <f>IF(D26="","",VLOOKUP(S26,'G-3 Multipliers'!$P$3:$Q$6,2,FALSE))</f>
        <v/>
      </c>
      <c r="W26" s="317" t="str">
        <f t="shared" si="5"/>
        <v/>
      </c>
      <c r="X26" s="98"/>
      <c r="Y26" s="99"/>
      <c r="Z26" s="101"/>
      <c r="AG26" s="15" t="str">
        <f>IFERROR(INDEX('G-6 Hedgerow Data'!$BJ$3:$BJ$15,MATCH(D26,'G-6 Hedgerow Data'!$B$3:$B$15,0)),"")</f>
        <v/>
      </c>
    </row>
    <row r="27" spans="2:33" ht="14" x14ac:dyDescent="0.3">
      <c r="B27" s="92">
        <v>16</v>
      </c>
      <c r="C27" s="143"/>
      <c r="D27" s="47"/>
      <c r="E27" s="37"/>
      <c r="F27" s="335" t="str">
        <f>IF(D27="","",VLOOKUP(D27,'G-6 Hedgerow Data'!$B$2:$AG$15,2,FALSE))</f>
        <v/>
      </c>
      <c r="G27" s="291" t="str">
        <f>IF(D27="","",VLOOKUP(D27,'G-6 Hedgerow Data'!$B$2:$AG$15,3,FALSE))</f>
        <v/>
      </c>
      <c r="H27" s="95"/>
      <c r="I27" s="291" t="str">
        <f>IFERROR(IF(H27="","",IF(AND(D27="Non-native and ornamental hedgerow", H27&lt;&gt;"Poor"),"Not possible ▲", (VLOOKUP(H27,'G-1 All Habitats'!$Z$2:$AA$9,2,FALSE)))),"")</f>
        <v/>
      </c>
      <c r="J27" s="95"/>
      <c r="K27" s="310" t="str">
        <f>IF(J27="","",IF(VLOOKUP(J27,'G-3 Multipliers'!$L$3:$N$6,2,FALSE)=0,"Spatial Data Missing ⚠",VLOOKUP(J27,'G-3 Multipliers'!$L$3:$N$6,2,FALSE)))</f>
        <v/>
      </c>
      <c r="L27" s="296" t="str">
        <f>IF(J27="","",IF(VLOOKUP(J27,'G-3 Multipliers'!$L$3:$N$6,3,FALSE)=0,"Spatial Data Missing ⚠",VLOOKUP(J27,'G-3 Multipliers'!$L$3:$N$6,3,FALSE)))</f>
        <v/>
      </c>
      <c r="M27" s="290" t="str">
        <f>IF(OR(D27="",H27=""),"",(INDEX('G-6 Hedgerow Data'!$E$3:$I$15,MATCH(D27,'G-6 Hedgerow Data'!$B$3:$B$15,0),MATCH(H27,'G-6 Hedgerow Data'!$E$2:$I$2,0))))</f>
        <v/>
      </c>
      <c r="N27" s="138"/>
      <c r="O27" s="138"/>
      <c r="P27" s="298" t="str">
        <f t="shared" si="1"/>
        <v/>
      </c>
      <c r="Q27" s="311" t="str">
        <f t="shared" si="2"/>
        <v/>
      </c>
      <c r="R27" s="312" t="str">
        <f t="shared" si="0"/>
        <v/>
      </c>
      <c r="S27" s="325" t="str">
        <f>IF(D27="","",VLOOKUP(D27,'G-6 Hedgerow Data'!$B$3:$AG$15,31,FALSE))</f>
        <v/>
      </c>
      <c r="T27" s="298" t="str">
        <f t="shared" si="3"/>
        <v/>
      </c>
      <c r="U27" s="298" t="str">
        <f t="shared" si="4"/>
        <v/>
      </c>
      <c r="V27" s="314" t="str">
        <f>IF(D27="","",VLOOKUP(S27,'G-3 Multipliers'!$P$3:$Q$6,2,FALSE))</f>
        <v/>
      </c>
      <c r="W27" s="317" t="str">
        <f t="shared" si="5"/>
        <v/>
      </c>
      <c r="X27" s="98"/>
      <c r="Y27" s="99"/>
      <c r="Z27" s="101"/>
      <c r="AG27" s="15" t="str">
        <f>IFERROR(INDEX('G-6 Hedgerow Data'!$BJ$3:$BJ$15,MATCH(D27,'G-6 Hedgerow Data'!$B$3:$B$15,0)),"")</f>
        <v/>
      </c>
    </row>
    <row r="28" spans="2:33" ht="14" x14ac:dyDescent="0.3">
      <c r="B28" s="92">
        <v>17</v>
      </c>
      <c r="C28" s="143"/>
      <c r="D28" s="47"/>
      <c r="E28" s="37"/>
      <c r="F28" s="335" t="str">
        <f>IF(D28="","",VLOOKUP(D28,'G-6 Hedgerow Data'!$B$2:$AG$15,2,FALSE))</f>
        <v/>
      </c>
      <c r="G28" s="291" t="str">
        <f>IF(D28="","",VLOOKUP(D28,'G-6 Hedgerow Data'!$B$2:$AG$15,3,FALSE))</f>
        <v/>
      </c>
      <c r="H28" s="95"/>
      <c r="I28" s="291" t="str">
        <f>IFERROR(IF(H28="","",IF(AND(D28="Non-native and ornamental hedgerow", H28&lt;&gt;"Poor"),"Not possible ▲", (VLOOKUP(H28,'G-1 All Habitats'!$Z$2:$AA$9,2,FALSE)))),"")</f>
        <v/>
      </c>
      <c r="J28" s="95"/>
      <c r="K28" s="310" t="str">
        <f>IF(J28="","",IF(VLOOKUP(J28,'G-3 Multipliers'!$L$3:$N$6,2,FALSE)=0,"Spatial Data Missing ⚠",VLOOKUP(J28,'G-3 Multipliers'!$L$3:$N$6,2,FALSE)))</f>
        <v/>
      </c>
      <c r="L28" s="296" t="str">
        <f>IF(J28="","",IF(VLOOKUP(J28,'G-3 Multipliers'!$L$3:$N$6,3,FALSE)=0,"Spatial Data Missing ⚠",VLOOKUP(J28,'G-3 Multipliers'!$L$3:$N$6,3,FALSE)))</f>
        <v/>
      </c>
      <c r="M28" s="290" t="str">
        <f>IF(OR(D28="",H28=""),"",(INDEX('G-6 Hedgerow Data'!$E$3:$I$15,MATCH(D28,'G-6 Hedgerow Data'!$B$3:$B$15,0),MATCH(H28,'G-6 Hedgerow Data'!$E$2:$I$2,0))))</f>
        <v/>
      </c>
      <c r="N28" s="138"/>
      <c r="O28" s="138"/>
      <c r="P28" s="298" t="str">
        <f t="shared" si="1"/>
        <v/>
      </c>
      <c r="Q28" s="311" t="str">
        <f t="shared" si="2"/>
        <v/>
      </c>
      <c r="R28" s="312" t="str">
        <f t="shared" si="0"/>
        <v/>
      </c>
      <c r="S28" s="325" t="str">
        <f>IF(D28="","",VLOOKUP(D28,'G-6 Hedgerow Data'!$B$3:$AG$15,31,FALSE))</f>
        <v/>
      </c>
      <c r="T28" s="298" t="str">
        <f t="shared" si="3"/>
        <v/>
      </c>
      <c r="U28" s="298" t="str">
        <f t="shared" si="4"/>
        <v/>
      </c>
      <c r="V28" s="314" t="str">
        <f>IF(D28="","",VLOOKUP(S28,'G-3 Multipliers'!$P$3:$Q$6,2,FALSE))</f>
        <v/>
      </c>
      <c r="W28" s="317" t="str">
        <f t="shared" si="5"/>
        <v/>
      </c>
      <c r="X28" s="98"/>
      <c r="Y28" s="99"/>
      <c r="Z28" s="101"/>
      <c r="AG28" s="15" t="str">
        <f>IFERROR(INDEX('G-6 Hedgerow Data'!$BJ$3:$BJ$15,MATCH(D28,'G-6 Hedgerow Data'!$B$3:$B$15,0)),"")</f>
        <v/>
      </c>
    </row>
    <row r="29" spans="2:33" ht="14" x14ac:dyDescent="0.3">
      <c r="B29" s="92">
        <v>18</v>
      </c>
      <c r="C29" s="143"/>
      <c r="D29" s="138"/>
      <c r="E29" s="120"/>
      <c r="F29" s="335" t="str">
        <f>IF(D29="","",VLOOKUP(D29,'G-6 Hedgerow Data'!$B$2:$AG$15,2,FALSE))</f>
        <v/>
      </c>
      <c r="G29" s="291" t="str">
        <f>IF(D29="","",VLOOKUP(D29,'G-6 Hedgerow Data'!$B$2:$AG$15,3,FALSE))</f>
        <v/>
      </c>
      <c r="H29" s="95"/>
      <c r="I29" s="291" t="str">
        <f>IFERROR(IF(H29="","",IF(AND(D29="Non-native and ornamental hedgerow", H29&lt;&gt;"Poor"),"Not possible ▲", (VLOOKUP(H29,'G-1 All Habitats'!$Z$2:$AA$9,2,FALSE)))),"")</f>
        <v/>
      </c>
      <c r="J29" s="95"/>
      <c r="K29" s="310" t="str">
        <f>IF(J29="","",IF(VLOOKUP(J29,'G-3 Multipliers'!$L$3:$N$6,2,FALSE)=0,"Spatial Data Missing ⚠",VLOOKUP(J29,'G-3 Multipliers'!$L$3:$N$6,2,FALSE)))</f>
        <v/>
      </c>
      <c r="L29" s="296" t="str">
        <f>IF(J29="","",IF(VLOOKUP(J29,'G-3 Multipliers'!$L$3:$N$6,3,FALSE)=0,"Spatial Data Missing ⚠",VLOOKUP(J29,'G-3 Multipliers'!$L$3:$N$6,3,FALSE)))</f>
        <v/>
      </c>
      <c r="M29" s="290" t="str">
        <f>IF(OR(D29="",H29=""),"",(INDEX('G-6 Hedgerow Data'!$E$3:$I$15,MATCH(D29,'G-6 Hedgerow Data'!$B$3:$B$15,0),MATCH(H29,'G-6 Hedgerow Data'!$E$2:$I$2,0))))</f>
        <v/>
      </c>
      <c r="N29" s="138"/>
      <c r="O29" s="138"/>
      <c r="P29" s="298" t="str">
        <f t="shared" si="1"/>
        <v/>
      </c>
      <c r="Q29" s="311" t="str">
        <f t="shared" si="2"/>
        <v/>
      </c>
      <c r="R29" s="312" t="str">
        <f t="shared" si="0"/>
        <v/>
      </c>
      <c r="S29" s="325" t="str">
        <f>IF(D29="","",VLOOKUP(D29,'G-6 Hedgerow Data'!$B$3:$AG$15,31,FALSE))</f>
        <v/>
      </c>
      <c r="T29" s="298" t="str">
        <f t="shared" si="3"/>
        <v/>
      </c>
      <c r="U29" s="298" t="str">
        <f t="shared" si="4"/>
        <v/>
      </c>
      <c r="V29" s="314" t="str">
        <f>IF(D29="","",VLOOKUP(S29,'G-3 Multipliers'!$P$3:$Q$6,2,FALSE))</f>
        <v/>
      </c>
      <c r="W29" s="317" t="str">
        <f t="shared" si="5"/>
        <v/>
      </c>
      <c r="X29" s="98"/>
      <c r="Y29" s="99"/>
      <c r="Z29" s="101"/>
      <c r="AG29" s="15" t="str">
        <f>IFERROR(INDEX('G-6 Hedgerow Data'!$BJ$3:$BJ$15,MATCH(D29,'G-6 Hedgerow Data'!$B$3:$B$15,0)),"")</f>
        <v/>
      </c>
    </row>
    <row r="30" spans="2:33" ht="14" x14ac:dyDescent="0.3">
      <c r="B30" s="92">
        <v>19</v>
      </c>
      <c r="C30" s="143"/>
      <c r="D30" s="138"/>
      <c r="E30" s="120"/>
      <c r="F30" s="325" t="str">
        <f>IF(D30="","",VLOOKUP(D30,'G-6 Hedgerow Data'!$B$2:$AG$15,2,FALSE))</f>
        <v/>
      </c>
      <c r="G30" s="296" t="str">
        <f>IF(D30="","",VLOOKUP(D30,'G-6 Hedgerow Data'!$B$2:$AG$15,3,FALSE))</f>
        <v/>
      </c>
      <c r="H30" s="96"/>
      <c r="I30" s="291" t="str">
        <f>IFERROR(IF(H30="","",IF(AND(D30="Non-native and ornamental hedgerow", H30&lt;&gt;"Poor"),"Not possible ▲", (VLOOKUP(H30,'G-1 All Habitats'!$Z$2:$AA$9,2,FALSE)))),"")</f>
        <v/>
      </c>
      <c r="J30" s="95"/>
      <c r="K30" s="310" t="str">
        <f>IF(J30="","",IF(VLOOKUP(J30,'G-3 Multipliers'!$L$3:$N$6,2,FALSE)=0,"Spatial Data Missing ⚠",VLOOKUP(J30,'G-3 Multipliers'!$L$3:$N$6,2,FALSE)))</f>
        <v/>
      </c>
      <c r="L30" s="296" t="str">
        <f>IF(J30="","",IF(VLOOKUP(J30,'G-3 Multipliers'!$L$3:$N$6,3,FALSE)=0,"Spatial Data Missing ⚠",VLOOKUP(J30,'G-3 Multipliers'!$L$3:$N$6,3,FALSE)))</f>
        <v/>
      </c>
      <c r="M30" s="290" t="str">
        <f>IF(OR(D30="",H30=""),"",(INDEX('G-6 Hedgerow Data'!$E$3:$I$15,MATCH(D30,'G-6 Hedgerow Data'!$B$3:$B$15,0),MATCH(H30,'G-6 Hedgerow Data'!$E$2:$I$2,0))))</f>
        <v/>
      </c>
      <c r="N30" s="138"/>
      <c r="O30" s="138"/>
      <c r="P30" s="298" t="str">
        <f t="shared" si="1"/>
        <v/>
      </c>
      <c r="Q30" s="311" t="str">
        <f t="shared" si="2"/>
        <v/>
      </c>
      <c r="R30" s="312" t="str">
        <f t="shared" si="0"/>
        <v/>
      </c>
      <c r="S30" s="325" t="str">
        <f>IF(D30="","",VLOOKUP(D30,'G-6 Hedgerow Data'!$B$3:$AG$15,31,FALSE))</f>
        <v/>
      </c>
      <c r="T30" s="298" t="str">
        <f t="shared" si="3"/>
        <v/>
      </c>
      <c r="U30" s="298" t="str">
        <f t="shared" si="4"/>
        <v/>
      </c>
      <c r="V30" s="314" t="str">
        <f>IF(D30="","",VLOOKUP(S30,'G-3 Multipliers'!$P$3:$Q$6,2,FALSE))</f>
        <v/>
      </c>
      <c r="W30" s="317" t="str">
        <f t="shared" si="5"/>
        <v/>
      </c>
      <c r="X30" s="98"/>
      <c r="Y30" s="99"/>
      <c r="Z30" s="101"/>
      <c r="AG30" s="15" t="str">
        <f>IFERROR(INDEX('G-6 Hedgerow Data'!$BJ$3:$BJ$15,MATCH(D30,'G-6 Hedgerow Data'!$B$3:$B$15,0)),"")</f>
        <v/>
      </c>
    </row>
    <row r="31" spans="2:33" ht="14" x14ac:dyDescent="0.3">
      <c r="B31" s="92">
        <v>20</v>
      </c>
      <c r="C31" s="143"/>
      <c r="D31" s="138"/>
      <c r="E31" s="120"/>
      <c r="F31" s="290" t="str">
        <f>IF(D31="","",VLOOKUP(D31,'G-6 Hedgerow Data'!$B$2:$AG$15,2,FALSE))</f>
        <v/>
      </c>
      <c r="G31" s="296" t="str">
        <f>IF(D31="","",VLOOKUP(D31,'G-6 Hedgerow Data'!$B$2:$AG$15,3,FALSE))</f>
        <v/>
      </c>
      <c r="H31" s="38"/>
      <c r="I31" s="291" t="str">
        <f>IFERROR(IF(H31="","",IF(AND(D31="Non-native and ornamental hedgerow", H31&lt;&gt;"Poor"),"Not possible ▲", (VLOOKUP(H31,'G-1 All Habitats'!$Z$2:$AA$9,2,FALSE)))),"")</f>
        <v/>
      </c>
      <c r="J31" s="95"/>
      <c r="K31" s="310" t="str">
        <f>IF(J31="","",IF(VLOOKUP(J31,'G-3 Multipliers'!$L$3:$N$6,2,FALSE)=0,"Spatial Data Missing ⚠",VLOOKUP(J31,'G-3 Multipliers'!$L$3:$N$6,2,FALSE)))</f>
        <v/>
      </c>
      <c r="L31" s="296" t="str">
        <f>IF(J31="","",IF(VLOOKUP(J31,'G-3 Multipliers'!$L$3:$N$6,3,FALSE)=0,"Spatial Data Missing ⚠",VLOOKUP(J31,'G-3 Multipliers'!$L$3:$N$6,3,FALSE)))</f>
        <v/>
      </c>
      <c r="M31" s="290" t="str">
        <f>IF(OR(D31="",H31=""),"",(INDEX('G-6 Hedgerow Data'!$E$3:$I$15,MATCH(D31,'G-6 Hedgerow Data'!$B$3:$B$15,0),MATCH(H31,'G-6 Hedgerow Data'!$E$2:$I$2,0))))</f>
        <v/>
      </c>
      <c r="N31" s="138"/>
      <c r="O31" s="138"/>
      <c r="P31" s="298" t="str">
        <f t="shared" si="1"/>
        <v/>
      </c>
      <c r="Q31" s="311" t="str">
        <f t="shared" si="2"/>
        <v/>
      </c>
      <c r="R31" s="312" t="str">
        <f t="shared" si="0"/>
        <v/>
      </c>
      <c r="S31" s="325" t="str">
        <f>IF(D31="","",VLOOKUP(D31,'G-6 Hedgerow Data'!$B$3:$AG$15,31,FALSE))</f>
        <v/>
      </c>
      <c r="T31" s="298" t="str">
        <f t="shared" si="3"/>
        <v/>
      </c>
      <c r="U31" s="298" t="str">
        <f t="shared" si="4"/>
        <v/>
      </c>
      <c r="V31" s="314" t="str">
        <f>IF(D31="","",VLOOKUP(S31,'G-3 Multipliers'!$P$3:$Q$6,2,FALSE))</f>
        <v/>
      </c>
      <c r="W31" s="317" t="str">
        <f t="shared" si="5"/>
        <v/>
      </c>
      <c r="X31" s="98"/>
      <c r="Y31" s="99"/>
      <c r="Z31" s="101"/>
      <c r="AG31" s="15" t="str">
        <f>IFERROR(INDEX('G-6 Hedgerow Data'!$BJ$3:$BJ$15,MATCH(D31,'G-6 Hedgerow Data'!$B$3:$B$15,0)),"")</f>
        <v/>
      </c>
    </row>
    <row r="32" spans="2:33" ht="14" x14ac:dyDescent="0.3">
      <c r="B32" s="92">
        <v>21</v>
      </c>
      <c r="C32" s="143"/>
      <c r="D32" s="138"/>
      <c r="E32" s="120"/>
      <c r="F32" s="290" t="str">
        <f>IF(D32="","",VLOOKUP(D32,'G-6 Hedgerow Data'!$B$2:$AG$15,2,FALSE))</f>
        <v/>
      </c>
      <c r="G32" s="296" t="str">
        <f>IF(D32="","",VLOOKUP(D32,'G-6 Hedgerow Data'!$B$2:$AG$15,3,FALSE))</f>
        <v/>
      </c>
      <c r="H32" s="38"/>
      <c r="I32" s="291" t="str">
        <f>IFERROR(IF(H32="","",IF(AND(D32="Non-native and ornamental hedgerow", H32&lt;&gt;"Poor"),"Not possible ▲", (VLOOKUP(H32,'G-1 All Habitats'!$Z$2:$AA$9,2,FALSE)))),"")</f>
        <v/>
      </c>
      <c r="J32" s="95"/>
      <c r="K32" s="310" t="str">
        <f>IF(J32="","",IF(VLOOKUP(J32,'G-3 Multipliers'!$L$3:$N$6,2,FALSE)=0,"Spatial Data Missing ⚠",VLOOKUP(J32,'G-3 Multipliers'!$L$3:$N$6,2,FALSE)))</f>
        <v/>
      </c>
      <c r="L32" s="296" t="str">
        <f>IF(J32="","",IF(VLOOKUP(J32,'G-3 Multipliers'!$L$3:$N$6,3,FALSE)=0,"Spatial Data Missing ⚠",VLOOKUP(J32,'G-3 Multipliers'!$L$3:$N$6,3,FALSE)))</f>
        <v/>
      </c>
      <c r="M32" s="290" t="str">
        <f>IF(OR(D32="",H32=""),"",(INDEX('G-6 Hedgerow Data'!$E$3:$I$15,MATCH(D32,'G-6 Hedgerow Data'!$B$3:$B$15,0),MATCH(H32,'G-6 Hedgerow Data'!$E$2:$I$2,0))))</f>
        <v/>
      </c>
      <c r="N32" s="138"/>
      <c r="O32" s="138"/>
      <c r="P32" s="298" t="str">
        <f t="shared" si="1"/>
        <v/>
      </c>
      <c r="Q32" s="311" t="str">
        <f t="shared" si="2"/>
        <v/>
      </c>
      <c r="R32" s="312" t="str">
        <f t="shared" si="0"/>
        <v/>
      </c>
      <c r="S32" s="325" t="str">
        <f>IF(D32="","",VLOOKUP(D32,'G-6 Hedgerow Data'!$B$3:$AG$15,31,FALSE))</f>
        <v/>
      </c>
      <c r="T32" s="298" t="str">
        <f t="shared" si="3"/>
        <v/>
      </c>
      <c r="U32" s="298" t="str">
        <f t="shared" si="4"/>
        <v/>
      </c>
      <c r="V32" s="314" t="str">
        <f>IF(D32="","",VLOOKUP(S32,'G-3 Multipliers'!$P$3:$Q$6,2,FALSE))</f>
        <v/>
      </c>
      <c r="W32" s="317" t="str">
        <f t="shared" si="5"/>
        <v/>
      </c>
      <c r="X32" s="98"/>
      <c r="Y32" s="99"/>
      <c r="Z32" s="101"/>
      <c r="AG32" s="15" t="str">
        <f>IFERROR(INDEX('G-6 Hedgerow Data'!$BJ$3:$BJ$15,MATCH(D32,'G-6 Hedgerow Data'!$B$3:$B$15,0)),"")</f>
        <v/>
      </c>
    </row>
    <row r="33" spans="2:33" ht="14" x14ac:dyDescent="0.3">
      <c r="B33" s="92">
        <v>22</v>
      </c>
      <c r="C33" s="143"/>
      <c r="D33" s="138"/>
      <c r="E33" s="120"/>
      <c r="F33" s="290" t="str">
        <f>IF(D33="","",VLOOKUP(D33,'G-6 Hedgerow Data'!$B$2:$AG$15,2,FALSE))</f>
        <v/>
      </c>
      <c r="G33" s="296" t="str">
        <f>IF(D33="","",VLOOKUP(D33,'G-6 Hedgerow Data'!$B$2:$AG$15,3,FALSE))</f>
        <v/>
      </c>
      <c r="H33" s="38"/>
      <c r="I33" s="291" t="str">
        <f>IFERROR(IF(H33="","",IF(AND(D33="Non-native and ornamental hedgerow", H33&lt;&gt;"Poor"),"Not possible ▲", (VLOOKUP(H33,'G-1 All Habitats'!$Z$2:$AA$9,2,FALSE)))),"")</f>
        <v/>
      </c>
      <c r="J33" s="95"/>
      <c r="K33" s="310" t="str">
        <f>IF(J33="","",IF(VLOOKUP(J33,'G-3 Multipliers'!$L$3:$N$6,2,FALSE)=0,"Spatial Data Missing ⚠",VLOOKUP(J33,'G-3 Multipliers'!$L$3:$N$6,2,FALSE)))</f>
        <v/>
      </c>
      <c r="L33" s="296" t="str">
        <f>IF(J33="","",IF(VLOOKUP(J33,'G-3 Multipliers'!$L$3:$N$6,3,FALSE)=0,"Spatial Data Missing ⚠",VLOOKUP(J33,'G-3 Multipliers'!$L$3:$N$6,3,FALSE)))</f>
        <v/>
      </c>
      <c r="M33" s="290" t="str">
        <f>IF(OR(D33="",H33=""),"",(INDEX('G-6 Hedgerow Data'!$E$3:$I$15,MATCH(D33,'G-6 Hedgerow Data'!$B$3:$B$15,0),MATCH(H33,'G-6 Hedgerow Data'!$E$2:$I$2,0))))</f>
        <v/>
      </c>
      <c r="N33" s="138"/>
      <c r="O33" s="138"/>
      <c r="P33" s="298" t="str">
        <f t="shared" si="1"/>
        <v/>
      </c>
      <c r="Q33" s="311" t="str">
        <f t="shared" si="2"/>
        <v/>
      </c>
      <c r="R33" s="312" t="str">
        <f t="shared" si="0"/>
        <v/>
      </c>
      <c r="S33" s="325" t="str">
        <f>IF(D33="","",VLOOKUP(D33,'G-6 Hedgerow Data'!$B$3:$AG$15,31,FALSE))</f>
        <v/>
      </c>
      <c r="T33" s="298" t="str">
        <f t="shared" si="3"/>
        <v/>
      </c>
      <c r="U33" s="298" t="str">
        <f t="shared" si="4"/>
        <v/>
      </c>
      <c r="V33" s="314" t="str">
        <f>IF(D33="","",VLOOKUP(S33,'G-3 Multipliers'!$P$3:$Q$6,2,FALSE))</f>
        <v/>
      </c>
      <c r="W33" s="317" t="str">
        <f t="shared" si="5"/>
        <v/>
      </c>
      <c r="X33" s="98"/>
      <c r="Y33" s="99"/>
      <c r="Z33" s="101"/>
      <c r="AG33" s="15" t="str">
        <f>IFERROR(INDEX('G-6 Hedgerow Data'!$BJ$3:$BJ$15,MATCH(D33,'G-6 Hedgerow Data'!$B$3:$B$15,0)),"")</f>
        <v/>
      </c>
    </row>
    <row r="34" spans="2:33" ht="14" x14ac:dyDescent="0.3">
      <c r="B34" s="92">
        <v>23</v>
      </c>
      <c r="C34" s="143"/>
      <c r="D34" s="138"/>
      <c r="E34" s="120"/>
      <c r="F34" s="290" t="str">
        <f>IF(D34="","",VLOOKUP(D34,'G-6 Hedgerow Data'!$B$2:$AG$15,2,FALSE))</f>
        <v/>
      </c>
      <c r="G34" s="296" t="str">
        <f>IF(D34="","",VLOOKUP(D34,'G-6 Hedgerow Data'!$B$2:$AG$15,3,FALSE))</f>
        <v/>
      </c>
      <c r="H34" s="38"/>
      <c r="I34" s="291" t="str">
        <f>IFERROR(IF(H34="","",IF(AND(D34="Non-native and ornamental hedgerow", H34&lt;&gt;"Poor"),"Not possible ▲", (VLOOKUP(H34,'G-1 All Habitats'!$Z$2:$AA$9,2,FALSE)))),"")</f>
        <v/>
      </c>
      <c r="J34" s="95"/>
      <c r="K34" s="310" t="str">
        <f>IF(J34="","",IF(VLOOKUP(J34,'G-3 Multipliers'!$L$3:$N$6,2,FALSE)=0,"Spatial Data Missing ⚠",VLOOKUP(J34,'G-3 Multipliers'!$L$3:$N$6,2,FALSE)))</f>
        <v/>
      </c>
      <c r="L34" s="296" t="str">
        <f>IF(J34="","",IF(VLOOKUP(J34,'G-3 Multipliers'!$L$3:$N$6,3,FALSE)=0,"Spatial Data Missing ⚠",VLOOKUP(J34,'G-3 Multipliers'!$L$3:$N$6,3,FALSE)))</f>
        <v/>
      </c>
      <c r="M34" s="290" t="str">
        <f>IF(OR(D34="",H34=""),"",(INDEX('G-6 Hedgerow Data'!$E$3:$I$15,MATCH(D34,'G-6 Hedgerow Data'!$B$3:$B$15,0),MATCH(H34,'G-6 Hedgerow Data'!$E$2:$I$2,0))))</f>
        <v/>
      </c>
      <c r="N34" s="138"/>
      <c r="O34" s="138"/>
      <c r="P34" s="298" t="str">
        <f t="shared" si="1"/>
        <v/>
      </c>
      <c r="Q34" s="311" t="str">
        <f t="shared" si="2"/>
        <v/>
      </c>
      <c r="R34" s="312" t="str">
        <f t="shared" si="0"/>
        <v/>
      </c>
      <c r="S34" s="325" t="str">
        <f>IF(D34="","",VLOOKUP(D34,'G-6 Hedgerow Data'!$B$3:$AG$15,31,FALSE))</f>
        <v/>
      </c>
      <c r="T34" s="298" t="str">
        <f t="shared" si="3"/>
        <v/>
      </c>
      <c r="U34" s="298" t="str">
        <f t="shared" si="4"/>
        <v/>
      </c>
      <c r="V34" s="314" t="str">
        <f>IF(D34="","",VLOOKUP(S34,'G-3 Multipliers'!$P$3:$Q$6,2,FALSE))</f>
        <v/>
      </c>
      <c r="W34" s="317" t="str">
        <f t="shared" si="5"/>
        <v/>
      </c>
      <c r="X34" s="98"/>
      <c r="Y34" s="99"/>
      <c r="Z34" s="101"/>
      <c r="AG34" s="15" t="str">
        <f>IFERROR(INDEX('G-6 Hedgerow Data'!$BJ$3:$BJ$15,MATCH(D34,'G-6 Hedgerow Data'!$B$3:$B$15,0)),"")</f>
        <v/>
      </c>
    </row>
    <row r="35" spans="2:33" ht="14" x14ac:dyDescent="0.3">
      <c r="B35" s="92">
        <v>24</v>
      </c>
      <c r="C35" s="143"/>
      <c r="D35" s="138"/>
      <c r="E35" s="120"/>
      <c r="F35" s="290" t="str">
        <f>IF(D35="","",VLOOKUP(D35,'G-6 Hedgerow Data'!$B$2:$AG$15,2,FALSE))</f>
        <v/>
      </c>
      <c r="G35" s="296" t="str">
        <f>IF(D35="","",VLOOKUP(D35,'G-6 Hedgerow Data'!$B$2:$AG$15,3,FALSE))</f>
        <v/>
      </c>
      <c r="H35" s="38"/>
      <c r="I35" s="291" t="str">
        <f>IFERROR(IF(H35="","",IF(AND(D35="Non-native and ornamental hedgerow", H35&lt;&gt;"Poor"),"Not possible ▲", (VLOOKUP(H35,'G-1 All Habitats'!$Z$2:$AA$9,2,FALSE)))),"")</f>
        <v/>
      </c>
      <c r="J35" s="95"/>
      <c r="K35" s="310" t="str">
        <f>IF(J35="","",IF(VLOOKUP(J35,'G-3 Multipliers'!$L$3:$N$6,2,FALSE)=0,"Spatial Data Missing ⚠",VLOOKUP(J35,'G-3 Multipliers'!$L$3:$N$6,2,FALSE)))</f>
        <v/>
      </c>
      <c r="L35" s="296" t="str">
        <f>IF(J35="","",IF(VLOOKUP(J35,'G-3 Multipliers'!$L$3:$N$6,3,FALSE)=0,"Spatial Data Missing ⚠",VLOOKUP(J35,'G-3 Multipliers'!$L$3:$N$6,3,FALSE)))</f>
        <v/>
      </c>
      <c r="M35" s="290" t="str">
        <f>IF(OR(D35="",H35=""),"",(INDEX('G-6 Hedgerow Data'!$E$3:$I$15,MATCH(D35,'G-6 Hedgerow Data'!$B$3:$B$15,0),MATCH(H35,'G-6 Hedgerow Data'!$E$2:$I$2,0))))</f>
        <v/>
      </c>
      <c r="N35" s="138"/>
      <c r="O35" s="138"/>
      <c r="P35" s="298" t="str">
        <f t="shared" si="1"/>
        <v/>
      </c>
      <c r="Q35" s="311" t="str">
        <f t="shared" si="2"/>
        <v/>
      </c>
      <c r="R35" s="312" t="str">
        <f t="shared" si="0"/>
        <v/>
      </c>
      <c r="S35" s="325" t="str">
        <f>IF(D35="","",VLOOKUP(D35,'G-6 Hedgerow Data'!$B$3:$AG$15,31,FALSE))</f>
        <v/>
      </c>
      <c r="T35" s="298" t="str">
        <f t="shared" si="3"/>
        <v/>
      </c>
      <c r="U35" s="298" t="str">
        <f t="shared" si="4"/>
        <v/>
      </c>
      <c r="V35" s="314" t="str">
        <f>IF(D35="","",VLOOKUP(S35,'G-3 Multipliers'!$P$3:$Q$6,2,FALSE))</f>
        <v/>
      </c>
      <c r="W35" s="317" t="str">
        <f t="shared" si="5"/>
        <v/>
      </c>
      <c r="X35" s="98"/>
      <c r="Y35" s="99"/>
      <c r="Z35" s="101"/>
      <c r="AG35" s="15" t="str">
        <f>IFERROR(INDEX('G-6 Hedgerow Data'!$BJ$3:$BJ$15,MATCH(D35,'G-6 Hedgerow Data'!$B$3:$B$15,0)),"")</f>
        <v/>
      </c>
    </row>
    <row r="36" spans="2:33" ht="14" x14ac:dyDescent="0.3">
      <c r="B36" s="92">
        <v>25</v>
      </c>
      <c r="C36" s="143"/>
      <c r="D36" s="138"/>
      <c r="E36" s="120"/>
      <c r="F36" s="290" t="str">
        <f>IF(D36="","",VLOOKUP(D36,'G-6 Hedgerow Data'!$B$2:$AG$15,2,FALSE))</f>
        <v/>
      </c>
      <c r="G36" s="296" t="str">
        <f>IF(D36="","",VLOOKUP(D36,'G-6 Hedgerow Data'!$B$2:$AG$15,3,FALSE))</f>
        <v/>
      </c>
      <c r="H36" s="38"/>
      <c r="I36" s="291" t="str">
        <f>IFERROR(IF(H36="","",IF(AND(D36="Non-native and ornamental hedgerow", H36&lt;&gt;"Poor"),"Not possible ▲", (VLOOKUP(H36,'G-1 All Habitats'!$Z$2:$AA$9,2,FALSE)))),"")</f>
        <v/>
      </c>
      <c r="J36" s="95"/>
      <c r="K36" s="310" t="str">
        <f>IF(J36="","",IF(VLOOKUP(J36,'G-3 Multipliers'!$L$3:$N$6,2,FALSE)=0,"Spatial Data Missing ⚠",VLOOKUP(J36,'G-3 Multipliers'!$L$3:$N$6,2,FALSE)))</f>
        <v/>
      </c>
      <c r="L36" s="296" t="str">
        <f>IF(J36="","",IF(VLOOKUP(J36,'G-3 Multipliers'!$L$3:$N$6,3,FALSE)=0,"Spatial Data Missing ⚠",VLOOKUP(J36,'G-3 Multipliers'!$L$3:$N$6,3,FALSE)))</f>
        <v/>
      </c>
      <c r="M36" s="290" t="str">
        <f>IF(OR(D36="",H36=""),"",(INDEX('G-6 Hedgerow Data'!$E$3:$I$15,MATCH(D36,'G-6 Hedgerow Data'!$B$3:$B$15,0),MATCH(H36,'G-6 Hedgerow Data'!$E$2:$I$2,0))))</f>
        <v/>
      </c>
      <c r="N36" s="138"/>
      <c r="O36" s="138"/>
      <c r="P36" s="298" t="str">
        <f t="shared" si="1"/>
        <v/>
      </c>
      <c r="Q36" s="311" t="str">
        <f t="shared" si="2"/>
        <v/>
      </c>
      <c r="R36" s="312" t="str">
        <f t="shared" si="0"/>
        <v/>
      </c>
      <c r="S36" s="325" t="str">
        <f>IF(D36="","",VLOOKUP(D36,'G-6 Hedgerow Data'!$B$3:$AG$15,31,FALSE))</f>
        <v/>
      </c>
      <c r="T36" s="298" t="str">
        <f t="shared" si="3"/>
        <v/>
      </c>
      <c r="U36" s="298" t="str">
        <f t="shared" si="4"/>
        <v/>
      </c>
      <c r="V36" s="314" t="str">
        <f>IF(D36="","",VLOOKUP(S36,'G-3 Multipliers'!$P$3:$Q$6,2,FALSE))</f>
        <v/>
      </c>
      <c r="W36" s="317" t="str">
        <f t="shared" si="5"/>
        <v/>
      </c>
      <c r="X36" s="98"/>
      <c r="Y36" s="99"/>
      <c r="Z36" s="101"/>
      <c r="AG36" s="15" t="str">
        <f>IFERROR(INDEX('G-6 Hedgerow Data'!$BJ$3:$BJ$15,MATCH(D36,'G-6 Hedgerow Data'!$B$3:$B$15,0)),"")</f>
        <v/>
      </c>
    </row>
    <row r="37" spans="2:33" ht="14" x14ac:dyDescent="0.3">
      <c r="B37" s="92">
        <v>26</v>
      </c>
      <c r="C37" s="143"/>
      <c r="D37" s="138"/>
      <c r="E37" s="120"/>
      <c r="F37" s="335" t="str">
        <f>IF(D37="","",VLOOKUP(D37,'G-6 Hedgerow Data'!$B$2:$AG$15,2,FALSE))</f>
        <v/>
      </c>
      <c r="G37" s="291" t="str">
        <f>IF(D37="","",VLOOKUP(D37,'G-6 Hedgerow Data'!$B$2:$AG$15,3,FALSE))</f>
        <v/>
      </c>
      <c r="H37" s="95"/>
      <c r="I37" s="291" t="str">
        <f>IFERROR(IF(H37="","",IF(AND(D37="Non-native and ornamental hedgerow", H37&lt;&gt;"Poor"),"Not possible ▲", (VLOOKUP(H37,'G-1 All Habitats'!$Z$2:$AA$9,2,FALSE)))),"")</f>
        <v/>
      </c>
      <c r="J37" s="95"/>
      <c r="K37" s="310" t="str">
        <f>IF(J37="","",IF(VLOOKUP(J37,'G-3 Multipliers'!$L$3:$N$6,2,FALSE)=0,"Spatial Data Missing ⚠",VLOOKUP(J37,'G-3 Multipliers'!$L$3:$N$6,2,FALSE)))</f>
        <v/>
      </c>
      <c r="L37" s="296" t="str">
        <f>IF(J37="","",IF(VLOOKUP(J37,'G-3 Multipliers'!$L$3:$N$6,3,FALSE)=0,"Spatial Data Missing ⚠",VLOOKUP(J37,'G-3 Multipliers'!$L$3:$N$6,3,FALSE)))</f>
        <v/>
      </c>
      <c r="M37" s="290" t="str">
        <f>IF(OR(D37="",H37=""),"",(INDEX('G-6 Hedgerow Data'!$E$3:$I$15,MATCH(D37,'G-6 Hedgerow Data'!$B$3:$B$15,0),MATCH(H37,'G-6 Hedgerow Data'!$E$2:$I$2,0))))</f>
        <v/>
      </c>
      <c r="N37" s="138"/>
      <c r="O37" s="138"/>
      <c r="P37" s="298" t="str">
        <f t="shared" si="1"/>
        <v/>
      </c>
      <c r="Q37" s="311" t="str">
        <f t="shared" si="2"/>
        <v/>
      </c>
      <c r="R37" s="312" t="str">
        <f t="shared" si="0"/>
        <v/>
      </c>
      <c r="S37" s="325" t="str">
        <f>IF(D37="","",VLOOKUP(D37,'G-6 Hedgerow Data'!$B$3:$AG$15,31,FALSE))</f>
        <v/>
      </c>
      <c r="T37" s="298" t="str">
        <f t="shared" si="3"/>
        <v/>
      </c>
      <c r="U37" s="298" t="str">
        <f t="shared" si="4"/>
        <v/>
      </c>
      <c r="V37" s="314" t="str">
        <f>IF(D37="","",VLOOKUP(S37,'G-3 Multipliers'!$P$3:$Q$6,2,FALSE))</f>
        <v/>
      </c>
      <c r="W37" s="317" t="str">
        <f t="shared" si="5"/>
        <v/>
      </c>
      <c r="X37" s="98"/>
      <c r="Y37" s="99"/>
      <c r="Z37" s="101"/>
      <c r="AG37" s="15" t="str">
        <f>IFERROR(INDEX('G-6 Hedgerow Data'!$BJ$3:$BJ$15,MATCH(D37,'G-6 Hedgerow Data'!$B$3:$B$15,0)),"")</f>
        <v/>
      </c>
    </row>
    <row r="38" spans="2:33" ht="14" x14ac:dyDescent="0.3">
      <c r="B38" s="92">
        <v>27</v>
      </c>
      <c r="C38" s="143"/>
      <c r="D38" s="138"/>
      <c r="E38" s="120"/>
      <c r="F38" s="335" t="str">
        <f>IF(D38="","",VLOOKUP(D38,'G-6 Hedgerow Data'!$B$2:$AG$15,2,FALSE))</f>
        <v/>
      </c>
      <c r="G38" s="291" t="str">
        <f>IF(D38="","",VLOOKUP(D38,'G-6 Hedgerow Data'!$B$2:$AG$15,3,FALSE))</f>
        <v/>
      </c>
      <c r="H38" s="95"/>
      <c r="I38" s="291" t="str">
        <f>IFERROR(IF(H38="","",IF(AND(D38="Non-native and ornamental hedgerow", H38&lt;&gt;"Poor"),"Not possible ▲", (VLOOKUP(H38,'G-1 All Habitats'!$Z$2:$AA$9,2,FALSE)))),"")</f>
        <v/>
      </c>
      <c r="J38" s="95"/>
      <c r="K38" s="310" t="str">
        <f>IF(J38="","",IF(VLOOKUP(J38,'G-3 Multipliers'!$L$3:$N$6,2,FALSE)=0,"Spatial Data Missing ⚠",VLOOKUP(J38,'G-3 Multipliers'!$L$3:$N$6,2,FALSE)))</f>
        <v/>
      </c>
      <c r="L38" s="296" t="str">
        <f>IF(J38="","",IF(VLOOKUP(J38,'G-3 Multipliers'!$L$3:$N$6,3,FALSE)=0,"Spatial Data Missing ⚠",VLOOKUP(J38,'G-3 Multipliers'!$L$3:$N$6,3,FALSE)))</f>
        <v/>
      </c>
      <c r="M38" s="290" t="str">
        <f>IF(OR(D38="",H38=""),"",(INDEX('G-6 Hedgerow Data'!$E$3:$I$15,MATCH(D38,'G-6 Hedgerow Data'!$B$3:$B$15,0),MATCH(H38,'G-6 Hedgerow Data'!$E$2:$I$2,0))))</f>
        <v/>
      </c>
      <c r="N38" s="138"/>
      <c r="O38" s="138"/>
      <c r="P38" s="298" t="str">
        <f t="shared" si="1"/>
        <v/>
      </c>
      <c r="Q38" s="311" t="str">
        <f t="shared" si="2"/>
        <v/>
      </c>
      <c r="R38" s="312" t="str">
        <f t="shared" si="0"/>
        <v/>
      </c>
      <c r="S38" s="325" t="str">
        <f>IF(D38="","",VLOOKUP(D38,'G-6 Hedgerow Data'!$B$3:$AG$15,31,FALSE))</f>
        <v/>
      </c>
      <c r="T38" s="298" t="str">
        <f t="shared" si="3"/>
        <v/>
      </c>
      <c r="U38" s="298" t="str">
        <f t="shared" si="4"/>
        <v/>
      </c>
      <c r="V38" s="314" t="str">
        <f>IF(D38="","",VLOOKUP(S38,'G-3 Multipliers'!$P$3:$Q$6,2,FALSE))</f>
        <v/>
      </c>
      <c r="W38" s="317" t="str">
        <f t="shared" si="5"/>
        <v/>
      </c>
      <c r="X38" s="98"/>
      <c r="Y38" s="99"/>
      <c r="Z38" s="101"/>
      <c r="AG38" s="15" t="str">
        <f>IFERROR(INDEX('G-6 Hedgerow Data'!$BJ$3:$BJ$15,MATCH(D38,'G-6 Hedgerow Data'!$B$3:$B$15,0)),"")</f>
        <v/>
      </c>
    </row>
    <row r="39" spans="2:33" ht="14" x14ac:dyDescent="0.3">
      <c r="B39" s="92">
        <v>28</v>
      </c>
      <c r="C39" s="143"/>
      <c r="D39" s="138"/>
      <c r="E39" s="120"/>
      <c r="F39" s="335" t="str">
        <f>IF(D39="","",VLOOKUP(D39,'G-6 Hedgerow Data'!$B$2:$AG$15,2,FALSE))</f>
        <v/>
      </c>
      <c r="G39" s="291" t="str">
        <f>IF(D39="","",VLOOKUP(D39,'G-6 Hedgerow Data'!$B$2:$AG$15,3,FALSE))</f>
        <v/>
      </c>
      <c r="H39" s="95"/>
      <c r="I39" s="291" t="str">
        <f>IFERROR(IF(H39="","",IF(AND(D39="Non-native and ornamental hedgerow", H39&lt;&gt;"Poor"),"Not possible ▲", (VLOOKUP(H39,'G-1 All Habitats'!$Z$2:$AA$9,2,FALSE)))),"")</f>
        <v/>
      </c>
      <c r="J39" s="95"/>
      <c r="K39" s="310" t="str">
        <f>IF(J39="","",IF(VLOOKUP(J39,'G-3 Multipliers'!$L$3:$N$6,2,FALSE)=0,"Spatial Data Missing ⚠",VLOOKUP(J39,'G-3 Multipliers'!$L$3:$N$6,2,FALSE)))</f>
        <v/>
      </c>
      <c r="L39" s="296" t="str">
        <f>IF(J39="","",IF(VLOOKUP(J39,'G-3 Multipliers'!$L$3:$N$6,3,FALSE)=0,"Spatial Data Missing ⚠",VLOOKUP(J39,'G-3 Multipliers'!$L$3:$N$6,3,FALSE)))</f>
        <v/>
      </c>
      <c r="M39" s="290" t="str">
        <f>IF(OR(D39="",H39=""),"",(INDEX('G-6 Hedgerow Data'!$E$3:$I$15,MATCH(D39,'G-6 Hedgerow Data'!$B$3:$B$15,0),MATCH(H39,'G-6 Hedgerow Data'!$E$2:$I$2,0))))</f>
        <v/>
      </c>
      <c r="N39" s="138"/>
      <c r="O39" s="138"/>
      <c r="P39" s="298" t="str">
        <f t="shared" si="1"/>
        <v/>
      </c>
      <c r="Q39" s="311" t="str">
        <f t="shared" si="2"/>
        <v/>
      </c>
      <c r="R39" s="312" t="str">
        <f t="shared" si="0"/>
        <v/>
      </c>
      <c r="S39" s="325" t="str">
        <f>IF(D39="","",VLOOKUP(D39,'G-6 Hedgerow Data'!$B$3:$AG$15,31,FALSE))</f>
        <v/>
      </c>
      <c r="T39" s="298" t="str">
        <f t="shared" si="3"/>
        <v/>
      </c>
      <c r="U39" s="298" t="str">
        <f t="shared" si="4"/>
        <v/>
      </c>
      <c r="V39" s="314" t="str">
        <f>IF(D39="","",VLOOKUP(S39,'G-3 Multipliers'!$P$3:$Q$6,2,FALSE))</f>
        <v/>
      </c>
      <c r="W39" s="317" t="str">
        <f t="shared" si="5"/>
        <v/>
      </c>
      <c r="X39" s="98"/>
      <c r="Y39" s="99"/>
      <c r="Z39" s="101"/>
      <c r="AG39" s="15" t="str">
        <f>IFERROR(INDEX('G-6 Hedgerow Data'!$BJ$3:$BJ$15,MATCH(D39,'G-6 Hedgerow Data'!$B$3:$B$15,0)),"")</f>
        <v/>
      </c>
    </row>
    <row r="40" spans="2:33" ht="14" x14ac:dyDescent="0.3">
      <c r="B40" s="92">
        <v>29</v>
      </c>
      <c r="C40" s="143"/>
      <c r="D40" s="138"/>
      <c r="E40" s="120"/>
      <c r="F40" s="335" t="str">
        <f>IF(D40="","",VLOOKUP(D40,'G-6 Hedgerow Data'!$B$2:$AG$15,2,FALSE))</f>
        <v/>
      </c>
      <c r="G40" s="291" t="str">
        <f>IF(D40="","",VLOOKUP(D40,'G-6 Hedgerow Data'!$B$2:$AG$15,3,FALSE))</f>
        <v/>
      </c>
      <c r="H40" s="95"/>
      <c r="I40" s="291" t="str">
        <f>IFERROR(IF(H40="","",IF(AND(D40="Non-native and ornamental hedgerow", H40&lt;&gt;"Poor"),"Not possible ▲", (VLOOKUP(H40,'G-1 All Habitats'!$Z$2:$AA$9,2,FALSE)))),"")</f>
        <v/>
      </c>
      <c r="J40" s="95"/>
      <c r="K40" s="310" t="str">
        <f>IF(J40="","",IF(VLOOKUP(J40,'G-3 Multipliers'!$L$3:$N$6,2,FALSE)=0,"Spatial Data Missing ⚠",VLOOKUP(J40,'G-3 Multipliers'!$L$3:$N$6,2,FALSE)))</f>
        <v/>
      </c>
      <c r="L40" s="296" t="str">
        <f>IF(J40="","",IF(VLOOKUP(J40,'G-3 Multipliers'!$L$3:$N$6,3,FALSE)=0,"Spatial Data Missing ⚠",VLOOKUP(J40,'G-3 Multipliers'!$L$3:$N$6,3,FALSE)))</f>
        <v/>
      </c>
      <c r="M40" s="290" t="str">
        <f>IF(OR(D40="",H40=""),"",(INDEX('G-6 Hedgerow Data'!$E$3:$I$15,MATCH(D40,'G-6 Hedgerow Data'!$B$3:$B$15,0),MATCH(H40,'G-6 Hedgerow Data'!$E$2:$I$2,0))))</f>
        <v/>
      </c>
      <c r="N40" s="138"/>
      <c r="O40" s="138"/>
      <c r="P40" s="298" t="str">
        <f t="shared" si="1"/>
        <v/>
      </c>
      <c r="Q40" s="311" t="str">
        <f t="shared" si="2"/>
        <v/>
      </c>
      <c r="R40" s="312" t="str">
        <f t="shared" si="0"/>
        <v/>
      </c>
      <c r="S40" s="325" t="str">
        <f>IF(D40="","",VLOOKUP(D40,'G-6 Hedgerow Data'!$B$3:$AG$15,31,FALSE))</f>
        <v/>
      </c>
      <c r="T40" s="298" t="str">
        <f t="shared" si="3"/>
        <v/>
      </c>
      <c r="U40" s="298" t="str">
        <f t="shared" si="4"/>
        <v/>
      </c>
      <c r="V40" s="314" t="str">
        <f>IF(D40="","",VLOOKUP(S40,'G-3 Multipliers'!$P$3:$Q$6,2,FALSE))</f>
        <v/>
      </c>
      <c r="W40" s="317" t="str">
        <f t="shared" si="5"/>
        <v/>
      </c>
      <c r="X40" s="98"/>
      <c r="Y40" s="99"/>
      <c r="Z40" s="101"/>
      <c r="AG40" s="15" t="str">
        <f>IFERROR(INDEX('G-6 Hedgerow Data'!$BJ$3:$BJ$15,MATCH(D40,'G-6 Hedgerow Data'!$B$3:$B$15,0)),"")</f>
        <v/>
      </c>
    </row>
    <row r="41" spans="2:33" ht="14" x14ac:dyDescent="0.3">
      <c r="B41" s="92">
        <v>30</v>
      </c>
      <c r="C41" s="143"/>
      <c r="D41" s="138"/>
      <c r="E41" s="120"/>
      <c r="F41" s="335" t="str">
        <f>IF(D41="","",VLOOKUP(D41,'G-6 Hedgerow Data'!$B$2:$AG$15,2,FALSE))</f>
        <v/>
      </c>
      <c r="G41" s="291" t="str">
        <f>IF(D41="","",VLOOKUP(D41,'G-6 Hedgerow Data'!$B$2:$AG$15,3,FALSE))</f>
        <v/>
      </c>
      <c r="H41" s="95"/>
      <c r="I41" s="291" t="str">
        <f>IFERROR(IF(H41="","",IF(AND(D41="Non-native and ornamental hedgerow", H41&lt;&gt;"Poor"),"Not possible ▲", (VLOOKUP(H41,'G-1 All Habitats'!$Z$2:$AA$9,2,FALSE)))),"")</f>
        <v/>
      </c>
      <c r="J41" s="95"/>
      <c r="K41" s="310" t="str">
        <f>IF(J41="","",IF(VLOOKUP(J41,'G-3 Multipliers'!$L$3:$N$6,2,FALSE)=0,"Spatial Data Missing ⚠",VLOOKUP(J41,'G-3 Multipliers'!$L$3:$N$6,2,FALSE)))</f>
        <v/>
      </c>
      <c r="L41" s="296" t="str">
        <f>IF(J41="","",IF(VLOOKUP(J41,'G-3 Multipliers'!$L$3:$N$6,3,FALSE)=0,"Spatial Data Missing ⚠",VLOOKUP(J41,'G-3 Multipliers'!$L$3:$N$6,3,FALSE)))</f>
        <v/>
      </c>
      <c r="M41" s="290" t="str">
        <f>IF(OR(D41="",H41=""),"",(INDEX('G-6 Hedgerow Data'!$E$3:$I$15,MATCH(D41,'G-6 Hedgerow Data'!$B$3:$B$15,0),MATCH(H41,'G-6 Hedgerow Data'!$E$2:$I$2,0))))</f>
        <v/>
      </c>
      <c r="N41" s="138"/>
      <c r="O41" s="138"/>
      <c r="P41" s="298" t="str">
        <f t="shared" si="1"/>
        <v/>
      </c>
      <c r="Q41" s="311" t="str">
        <f t="shared" si="2"/>
        <v/>
      </c>
      <c r="R41" s="312" t="str">
        <f t="shared" si="0"/>
        <v/>
      </c>
      <c r="S41" s="325" t="str">
        <f>IF(D41="","",VLOOKUP(D41,'G-6 Hedgerow Data'!$B$3:$AG$15,31,FALSE))</f>
        <v/>
      </c>
      <c r="T41" s="298" t="str">
        <f t="shared" si="3"/>
        <v/>
      </c>
      <c r="U41" s="298" t="str">
        <f t="shared" si="4"/>
        <v/>
      </c>
      <c r="V41" s="314" t="str">
        <f>IF(D41="","",VLOOKUP(S41,'G-3 Multipliers'!$P$3:$Q$6,2,FALSE))</f>
        <v/>
      </c>
      <c r="W41" s="317" t="str">
        <f t="shared" si="5"/>
        <v/>
      </c>
      <c r="X41" s="98"/>
      <c r="Y41" s="99"/>
      <c r="Z41" s="101"/>
      <c r="AG41" s="15" t="str">
        <f>IFERROR(INDEX('G-6 Hedgerow Data'!$BJ$3:$BJ$15,MATCH(D41,'G-6 Hedgerow Data'!$B$3:$B$15,0)),"")</f>
        <v/>
      </c>
    </row>
    <row r="42" spans="2:33" ht="14" x14ac:dyDescent="0.3">
      <c r="B42" s="92">
        <v>31</v>
      </c>
      <c r="C42" s="143"/>
      <c r="D42" s="138"/>
      <c r="E42" s="120"/>
      <c r="F42" s="335" t="str">
        <f>IF(D42="","",VLOOKUP(D42,'G-6 Hedgerow Data'!$B$2:$AG$15,2,FALSE))</f>
        <v/>
      </c>
      <c r="G42" s="291" t="str">
        <f>IF(D42="","",VLOOKUP(D42,'G-6 Hedgerow Data'!$B$2:$AG$15,3,FALSE))</f>
        <v/>
      </c>
      <c r="H42" s="95"/>
      <c r="I42" s="291" t="str">
        <f>IFERROR(IF(H42="","",IF(AND(D42="Non-native and ornamental hedgerow", H42&lt;&gt;"Poor"),"Not possible ▲", (VLOOKUP(H42,'G-1 All Habitats'!$Z$2:$AA$9,2,FALSE)))),"")</f>
        <v/>
      </c>
      <c r="J42" s="95"/>
      <c r="K42" s="310" t="str">
        <f>IF(J42="","",IF(VLOOKUP(J42,'G-3 Multipliers'!$L$3:$N$6,2,FALSE)=0,"Spatial Data Missing ⚠",VLOOKUP(J42,'G-3 Multipliers'!$L$3:$N$6,2,FALSE)))</f>
        <v/>
      </c>
      <c r="L42" s="296" t="str">
        <f>IF(J42="","",IF(VLOOKUP(J42,'G-3 Multipliers'!$L$3:$N$6,3,FALSE)=0,"Spatial Data Missing ⚠",VLOOKUP(J42,'G-3 Multipliers'!$L$3:$N$6,3,FALSE)))</f>
        <v/>
      </c>
      <c r="M42" s="290" t="str">
        <f>IF(OR(D42="",H42=""),"",(INDEX('G-6 Hedgerow Data'!$E$3:$I$15,MATCH(D42,'G-6 Hedgerow Data'!$B$3:$B$15,0),MATCH(H42,'G-6 Hedgerow Data'!$E$2:$I$2,0))))</f>
        <v/>
      </c>
      <c r="N42" s="138"/>
      <c r="O42" s="138"/>
      <c r="P42" s="298" t="str">
        <f t="shared" si="1"/>
        <v/>
      </c>
      <c r="Q42" s="311" t="str">
        <f t="shared" si="2"/>
        <v/>
      </c>
      <c r="R42" s="312" t="str">
        <f t="shared" si="0"/>
        <v/>
      </c>
      <c r="S42" s="325" t="str">
        <f>IF(D42="","",VLOOKUP(D42,'G-6 Hedgerow Data'!$B$3:$AG$15,31,FALSE))</f>
        <v/>
      </c>
      <c r="T42" s="298" t="str">
        <f t="shared" si="3"/>
        <v/>
      </c>
      <c r="U42" s="298" t="str">
        <f t="shared" si="4"/>
        <v/>
      </c>
      <c r="V42" s="314" t="str">
        <f>IF(D42="","",VLOOKUP(S42,'G-3 Multipliers'!$P$3:$Q$6,2,FALSE))</f>
        <v/>
      </c>
      <c r="W42" s="317" t="str">
        <f t="shared" si="5"/>
        <v/>
      </c>
      <c r="X42" s="98"/>
      <c r="Y42" s="99"/>
      <c r="Z42" s="101"/>
      <c r="AG42" s="15" t="str">
        <f>IFERROR(INDEX('G-6 Hedgerow Data'!$BJ$3:$BJ$15,MATCH(D42,'G-6 Hedgerow Data'!$B$3:$B$15,0)),"")</f>
        <v/>
      </c>
    </row>
    <row r="43" spans="2:33" ht="14" x14ac:dyDescent="0.3">
      <c r="B43" s="92">
        <v>32</v>
      </c>
      <c r="C43" s="143"/>
      <c r="D43" s="138"/>
      <c r="E43" s="120"/>
      <c r="F43" s="335" t="str">
        <f>IF(D43="","",VLOOKUP(D43,'G-6 Hedgerow Data'!$B$2:$AG$15,2,FALSE))</f>
        <v/>
      </c>
      <c r="G43" s="291" t="str">
        <f>IF(D43="","",VLOOKUP(D43,'G-6 Hedgerow Data'!$B$2:$AG$15,3,FALSE))</f>
        <v/>
      </c>
      <c r="H43" s="95"/>
      <c r="I43" s="291" t="str">
        <f>IFERROR(IF(H43="","",IF(AND(D43="Non-native and ornamental hedgerow", H43&lt;&gt;"Poor"),"Not possible ▲", (VLOOKUP(H43,'G-1 All Habitats'!$Z$2:$AA$9,2,FALSE)))),"")</f>
        <v/>
      </c>
      <c r="J43" s="95"/>
      <c r="K43" s="310" t="str">
        <f>IF(J43="","",IF(VLOOKUP(J43,'G-3 Multipliers'!$L$3:$N$6,2,FALSE)=0,"Spatial Data Missing ⚠",VLOOKUP(J43,'G-3 Multipliers'!$L$3:$N$6,2,FALSE)))</f>
        <v/>
      </c>
      <c r="L43" s="296" t="str">
        <f>IF(J43="","",IF(VLOOKUP(J43,'G-3 Multipliers'!$L$3:$N$6,3,FALSE)=0,"Spatial Data Missing ⚠",VLOOKUP(J43,'G-3 Multipliers'!$L$3:$N$6,3,FALSE)))</f>
        <v/>
      </c>
      <c r="M43" s="290" t="str">
        <f>IF(OR(D43="",H43=""),"",(INDEX('G-6 Hedgerow Data'!$E$3:$I$15,MATCH(D43,'G-6 Hedgerow Data'!$B$3:$B$15,0),MATCH(H43,'G-6 Hedgerow Data'!$E$2:$I$2,0))))</f>
        <v/>
      </c>
      <c r="N43" s="138"/>
      <c r="O43" s="138"/>
      <c r="P43" s="298" t="str">
        <f t="shared" si="1"/>
        <v/>
      </c>
      <c r="Q43" s="311" t="str">
        <f t="shared" si="2"/>
        <v/>
      </c>
      <c r="R43" s="312" t="str">
        <f t="shared" si="0"/>
        <v/>
      </c>
      <c r="S43" s="325" t="str">
        <f>IF(D43="","",VLOOKUP(D43,'G-6 Hedgerow Data'!$B$3:$AG$15,31,FALSE))</f>
        <v/>
      </c>
      <c r="T43" s="298" t="str">
        <f t="shared" si="3"/>
        <v/>
      </c>
      <c r="U43" s="298" t="str">
        <f t="shared" si="4"/>
        <v/>
      </c>
      <c r="V43" s="314" t="str">
        <f>IF(D43="","",VLOOKUP(S43,'G-3 Multipliers'!$P$3:$Q$6,2,FALSE))</f>
        <v/>
      </c>
      <c r="W43" s="317" t="str">
        <f t="shared" si="5"/>
        <v/>
      </c>
      <c r="X43" s="98"/>
      <c r="Y43" s="99"/>
      <c r="Z43" s="101"/>
      <c r="AG43" s="15" t="str">
        <f>IFERROR(INDEX('G-6 Hedgerow Data'!$BJ$3:$BJ$15,MATCH(D43,'G-6 Hedgerow Data'!$B$3:$B$15,0)),"")</f>
        <v/>
      </c>
    </row>
    <row r="44" spans="2:33" ht="14" x14ac:dyDescent="0.3">
      <c r="B44" s="92">
        <v>33</v>
      </c>
      <c r="C44" s="143"/>
      <c r="D44" s="138"/>
      <c r="E44" s="120"/>
      <c r="F44" s="335" t="str">
        <f>IF(D44="","",VLOOKUP(D44,'G-6 Hedgerow Data'!$B$2:$AG$15,2,FALSE))</f>
        <v/>
      </c>
      <c r="G44" s="291" t="str">
        <f>IF(D44="","",VLOOKUP(D44,'G-6 Hedgerow Data'!$B$2:$AG$15,3,FALSE))</f>
        <v/>
      </c>
      <c r="H44" s="95"/>
      <c r="I44" s="291" t="str">
        <f>IFERROR(IF(H44="","",IF(AND(D44="Non-native and ornamental hedgerow", H44&lt;&gt;"Poor"),"Not possible ▲", (VLOOKUP(H44,'G-1 All Habitats'!$Z$2:$AA$9,2,FALSE)))),"")</f>
        <v/>
      </c>
      <c r="J44" s="95"/>
      <c r="K44" s="310" t="str">
        <f>IF(J44="","",IF(VLOOKUP(J44,'G-3 Multipliers'!$L$3:$N$6,2,FALSE)=0,"Spatial Data Missing ⚠",VLOOKUP(J44,'G-3 Multipliers'!$L$3:$N$6,2,FALSE)))</f>
        <v/>
      </c>
      <c r="L44" s="296" t="str">
        <f>IF(J44="","",IF(VLOOKUP(J44,'G-3 Multipliers'!$L$3:$N$6,3,FALSE)=0,"Spatial Data Missing ⚠",VLOOKUP(J44,'G-3 Multipliers'!$L$3:$N$6,3,FALSE)))</f>
        <v/>
      </c>
      <c r="M44" s="290" t="str">
        <f>IF(OR(D44="",H44=""),"",(INDEX('G-6 Hedgerow Data'!$E$3:$I$15,MATCH(D44,'G-6 Hedgerow Data'!$B$3:$B$15,0),MATCH(H44,'G-6 Hedgerow Data'!$E$2:$I$2,0))))</f>
        <v/>
      </c>
      <c r="N44" s="138"/>
      <c r="O44" s="138"/>
      <c r="P44" s="298" t="str">
        <f t="shared" si="1"/>
        <v/>
      </c>
      <c r="Q44" s="311" t="str">
        <f t="shared" si="2"/>
        <v/>
      </c>
      <c r="R44" s="312" t="str">
        <f t="shared" si="0"/>
        <v/>
      </c>
      <c r="S44" s="325" t="str">
        <f>IF(D44="","",VLOOKUP(D44,'G-6 Hedgerow Data'!$B$3:$AG$15,31,FALSE))</f>
        <v/>
      </c>
      <c r="T44" s="298" t="str">
        <f t="shared" si="3"/>
        <v/>
      </c>
      <c r="U44" s="298" t="str">
        <f t="shared" si="4"/>
        <v/>
      </c>
      <c r="V44" s="314" t="str">
        <f>IF(D44="","",VLOOKUP(S44,'G-3 Multipliers'!$P$3:$Q$6,2,FALSE))</f>
        <v/>
      </c>
      <c r="W44" s="317" t="str">
        <f t="shared" si="5"/>
        <v/>
      </c>
      <c r="X44" s="98"/>
      <c r="Y44" s="99"/>
      <c r="Z44" s="101"/>
      <c r="AG44" s="15" t="str">
        <f>IFERROR(INDEX('G-6 Hedgerow Data'!$BJ$3:$BJ$15,MATCH(D44,'G-6 Hedgerow Data'!$B$3:$B$15,0)),"")</f>
        <v/>
      </c>
    </row>
    <row r="45" spans="2:33" ht="14" x14ac:dyDescent="0.3">
      <c r="B45" s="92">
        <v>34</v>
      </c>
      <c r="C45" s="143"/>
      <c r="D45" s="138"/>
      <c r="E45" s="120"/>
      <c r="F45" s="335" t="str">
        <f>IF(D45="","",VLOOKUP(D45,'G-6 Hedgerow Data'!$B$2:$AG$15,2,FALSE))</f>
        <v/>
      </c>
      <c r="G45" s="291" t="str">
        <f>IF(D45="","",VLOOKUP(D45,'G-6 Hedgerow Data'!$B$2:$AG$15,3,FALSE))</f>
        <v/>
      </c>
      <c r="H45" s="95"/>
      <c r="I45" s="291" t="str">
        <f>IFERROR(IF(H45="","",IF(AND(D45="Non-native and ornamental hedgerow", H45&lt;&gt;"Poor"),"Not possible ▲", (VLOOKUP(H45,'G-1 All Habitats'!$Z$2:$AA$9,2,FALSE)))),"")</f>
        <v/>
      </c>
      <c r="J45" s="95"/>
      <c r="K45" s="310" t="str">
        <f>IF(J45="","",IF(VLOOKUP(J45,'G-3 Multipliers'!$L$3:$N$6,2,FALSE)=0,"Spatial Data Missing ⚠",VLOOKUP(J45,'G-3 Multipliers'!$L$3:$N$6,2,FALSE)))</f>
        <v/>
      </c>
      <c r="L45" s="296" t="str">
        <f>IF(J45="","",IF(VLOOKUP(J45,'G-3 Multipliers'!$L$3:$N$6,3,FALSE)=0,"Spatial Data Missing ⚠",VLOOKUP(J45,'G-3 Multipliers'!$L$3:$N$6,3,FALSE)))</f>
        <v/>
      </c>
      <c r="M45" s="290" t="str">
        <f>IF(OR(D45="",H45=""),"",(INDEX('G-6 Hedgerow Data'!$E$3:$I$15,MATCH(D45,'G-6 Hedgerow Data'!$B$3:$B$15,0),MATCH(H45,'G-6 Hedgerow Data'!$E$2:$I$2,0))))</f>
        <v/>
      </c>
      <c r="N45" s="138"/>
      <c r="O45" s="138"/>
      <c r="P45" s="298" t="str">
        <f t="shared" si="1"/>
        <v/>
      </c>
      <c r="Q45" s="311" t="str">
        <f t="shared" si="2"/>
        <v/>
      </c>
      <c r="R45" s="312" t="str">
        <f t="shared" si="0"/>
        <v/>
      </c>
      <c r="S45" s="325" t="str">
        <f>IF(D45="","",VLOOKUP(D45,'G-6 Hedgerow Data'!$B$3:$AG$15,31,FALSE))</f>
        <v/>
      </c>
      <c r="T45" s="298" t="str">
        <f t="shared" si="3"/>
        <v/>
      </c>
      <c r="U45" s="298" t="str">
        <f t="shared" si="4"/>
        <v/>
      </c>
      <c r="V45" s="314" t="str">
        <f>IF(D45="","",VLOOKUP(S45,'G-3 Multipliers'!$P$3:$Q$6,2,FALSE))</f>
        <v/>
      </c>
      <c r="W45" s="317" t="str">
        <f t="shared" si="5"/>
        <v/>
      </c>
      <c r="X45" s="98"/>
      <c r="Y45" s="99"/>
      <c r="Z45" s="101"/>
      <c r="AG45" s="15" t="str">
        <f>IFERROR(INDEX('G-6 Hedgerow Data'!$BJ$3:$BJ$15,MATCH(D45,'G-6 Hedgerow Data'!$B$3:$B$15,0)),"")</f>
        <v/>
      </c>
    </row>
    <row r="46" spans="2:33" ht="14" x14ac:dyDescent="0.3">
      <c r="B46" s="92">
        <v>35</v>
      </c>
      <c r="C46" s="143"/>
      <c r="D46" s="138"/>
      <c r="E46" s="120"/>
      <c r="F46" s="335" t="str">
        <f>IF(D46="","",VLOOKUP(D46,'G-6 Hedgerow Data'!$B$2:$AG$15,2,FALSE))</f>
        <v/>
      </c>
      <c r="G46" s="291" t="str">
        <f>IF(D46="","",VLOOKUP(D46,'G-6 Hedgerow Data'!$B$2:$AG$15,3,FALSE))</f>
        <v/>
      </c>
      <c r="H46" s="95"/>
      <c r="I46" s="291" t="str">
        <f>IFERROR(IF(H46="","",IF(AND(D46="Non-native and ornamental hedgerow", H46&lt;&gt;"Poor"),"Not possible ▲", (VLOOKUP(H46,'G-1 All Habitats'!$Z$2:$AA$9,2,FALSE)))),"")</f>
        <v/>
      </c>
      <c r="J46" s="95"/>
      <c r="K46" s="310" t="str">
        <f>IF(J46="","",IF(VLOOKUP(J46,'G-3 Multipliers'!$L$3:$N$6,2,FALSE)=0,"Spatial Data Missing ⚠",VLOOKUP(J46,'G-3 Multipliers'!$L$3:$N$6,2,FALSE)))</f>
        <v/>
      </c>
      <c r="L46" s="296" t="str">
        <f>IF(J46="","",IF(VLOOKUP(J46,'G-3 Multipliers'!$L$3:$N$6,3,FALSE)=0,"Spatial Data Missing ⚠",VLOOKUP(J46,'G-3 Multipliers'!$L$3:$N$6,3,FALSE)))</f>
        <v/>
      </c>
      <c r="M46" s="290" t="str">
        <f>IF(OR(D46="",H46=""),"",(INDEX('G-6 Hedgerow Data'!$E$3:$I$15,MATCH(D46,'G-6 Hedgerow Data'!$B$3:$B$15,0),MATCH(H46,'G-6 Hedgerow Data'!$E$2:$I$2,0))))</f>
        <v/>
      </c>
      <c r="N46" s="138"/>
      <c r="O46" s="138"/>
      <c r="P46" s="298" t="str">
        <f t="shared" si="1"/>
        <v/>
      </c>
      <c r="Q46" s="311" t="str">
        <f t="shared" si="2"/>
        <v/>
      </c>
      <c r="R46" s="312" t="str">
        <f t="shared" si="0"/>
        <v/>
      </c>
      <c r="S46" s="325" t="str">
        <f>IF(D46="","",VLOOKUP(D46,'G-6 Hedgerow Data'!$B$3:$AG$15,31,FALSE))</f>
        <v/>
      </c>
      <c r="T46" s="298" t="str">
        <f t="shared" si="3"/>
        <v/>
      </c>
      <c r="U46" s="298" t="str">
        <f t="shared" si="4"/>
        <v/>
      </c>
      <c r="V46" s="314" t="str">
        <f>IF(D46="","",VLOOKUP(S46,'G-3 Multipliers'!$P$3:$Q$6,2,FALSE))</f>
        <v/>
      </c>
      <c r="W46" s="317" t="str">
        <f t="shared" si="5"/>
        <v/>
      </c>
      <c r="X46" s="98"/>
      <c r="Y46" s="99"/>
      <c r="Z46" s="101"/>
      <c r="AG46" s="15" t="str">
        <f>IFERROR(INDEX('G-6 Hedgerow Data'!$BJ$3:$BJ$15,MATCH(D46,'G-6 Hedgerow Data'!$B$3:$B$15,0)),"")</f>
        <v/>
      </c>
    </row>
    <row r="47" spans="2:33" ht="14" x14ac:dyDescent="0.3">
      <c r="B47" s="92">
        <v>36</v>
      </c>
      <c r="C47" s="143"/>
      <c r="D47" s="138"/>
      <c r="E47" s="120"/>
      <c r="F47" s="335" t="str">
        <f>IF(D47="","",VLOOKUP(D47,'G-6 Hedgerow Data'!$B$2:$AG$15,2,FALSE))</f>
        <v/>
      </c>
      <c r="G47" s="291" t="str">
        <f>IF(D47="","",VLOOKUP(D47,'G-6 Hedgerow Data'!$B$2:$AG$15,3,FALSE))</f>
        <v/>
      </c>
      <c r="H47" s="95"/>
      <c r="I47" s="291" t="str">
        <f>IFERROR(IF(H47="","",IF(AND(D47="Non-native and ornamental hedgerow", H47&lt;&gt;"Poor"),"Not possible ▲", (VLOOKUP(H47,'G-1 All Habitats'!$Z$2:$AA$9,2,FALSE)))),"")</f>
        <v/>
      </c>
      <c r="J47" s="95"/>
      <c r="K47" s="310" t="str">
        <f>IF(J47="","",IF(VLOOKUP(J47,'G-3 Multipliers'!$L$3:$N$6,2,FALSE)=0,"Spatial Data Missing ⚠",VLOOKUP(J47,'G-3 Multipliers'!$L$3:$N$6,2,FALSE)))</f>
        <v/>
      </c>
      <c r="L47" s="296" t="str">
        <f>IF(J47="","",IF(VLOOKUP(J47,'G-3 Multipliers'!$L$3:$N$6,3,FALSE)=0,"Spatial Data Missing ⚠",VLOOKUP(J47,'G-3 Multipliers'!$L$3:$N$6,3,FALSE)))</f>
        <v/>
      </c>
      <c r="M47" s="290" t="str">
        <f>IF(OR(D47="",H47=""),"",(INDEX('G-6 Hedgerow Data'!$E$3:$I$15,MATCH(D47,'G-6 Hedgerow Data'!$B$3:$B$15,0),MATCH(H47,'G-6 Hedgerow Data'!$E$2:$I$2,0))))</f>
        <v/>
      </c>
      <c r="N47" s="138"/>
      <c r="O47" s="138"/>
      <c r="P47" s="298" t="str">
        <f t="shared" si="1"/>
        <v/>
      </c>
      <c r="Q47" s="311" t="str">
        <f t="shared" si="2"/>
        <v/>
      </c>
      <c r="R47" s="312" t="str">
        <f t="shared" si="0"/>
        <v/>
      </c>
      <c r="S47" s="325" t="str">
        <f>IF(D47="","",VLOOKUP(D47,'G-6 Hedgerow Data'!$B$3:$AG$15,31,FALSE))</f>
        <v/>
      </c>
      <c r="T47" s="298" t="str">
        <f t="shared" si="3"/>
        <v/>
      </c>
      <c r="U47" s="298" t="str">
        <f t="shared" si="4"/>
        <v/>
      </c>
      <c r="V47" s="314" t="str">
        <f>IF(D47="","",VLOOKUP(S47,'G-3 Multipliers'!$P$3:$Q$6,2,FALSE))</f>
        <v/>
      </c>
      <c r="W47" s="317" t="str">
        <f t="shared" si="5"/>
        <v/>
      </c>
      <c r="X47" s="98"/>
      <c r="Y47" s="99"/>
      <c r="Z47" s="101"/>
      <c r="AG47" s="15" t="str">
        <f>IFERROR(INDEX('G-6 Hedgerow Data'!$BJ$3:$BJ$15,MATCH(D47,'G-6 Hedgerow Data'!$B$3:$B$15,0)),"")</f>
        <v/>
      </c>
    </row>
    <row r="48" spans="2:33" ht="14" x14ac:dyDescent="0.3">
      <c r="B48" s="92">
        <v>37</v>
      </c>
      <c r="C48" s="143"/>
      <c r="D48" s="138"/>
      <c r="E48" s="120"/>
      <c r="F48" s="335" t="str">
        <f>IF(D48="","",VLOOKUP(D48,'G-6 Hedgerow Data'!$B$2:$AG$15,2,FALSE))</f>
        <v/>
      </c>
      <c r="G48" s="291" t="str">
        <f>IF(D48="","",VLOOKUP(D48,'G-6 Hedgerow Data'!$B$2:$AG$15,3,FALSE))</f>
        <v/>
      </c>
      <c r="H48" s="95"/>
      <c r="I48" s="291" t="str">
        <f>IFERROR(IF(H48="","",IF(AND(D48="Non-native and ornamental hedgerow", H48&lt;&gt;"Poor"),"Not possible ▲", (VLOOKUP(H48,'G-1 All Habitats'!$Z$2:$AA$9,2,FALSE)))),"")</f>
        <v/>
      </c>
      <c r="J48" s="95"/>
      <c r="K48" s="310" t="str">
        <f>IF(J48="","",IF(VLOOKUP(J48,'G-3 Multipliers'!$L$3:$N$6,2,FALSE)=0,"Spatial Data Missing ⚠",VLOOKUP(J48,'G-3 Multipliers'!$L$3:$N$6,2,FALSE)))</f>
        <v/>
      </c>
      <c r="L48" s="296" t="str">
        <f>IF(J48="","",IF(VLOOKUP(J48,'G-3 Multipliers'!$L$3:$N$6,3,FALSE)=0,"Spatial Data Missing ⚠",VLOOKUP(J48,'G-3 Multipliers'!$L$3:$N$6,3,FALSE)))</f>
        <v/>
      </c>
      <c r="M48" s="290" t="str">
        <f>IF(OR(D48="",H48=""),"",(INDEX('G-6 Hedgerow Data'!$E$3:$I$15,MATCH(D48,'G-6 Hedgerow Data'!$B$3:$B$15,0),MATCH(H48,'G-6 Hedgerow Data'!$E$2:$I$2,0))))</f>
        <v/>
      </c>
      <c r="N48" s="138"/>
      <c r="O48" s="138"/>
      <c r="P48" s="298" t="str">
        <f t="shared" si="1"/>
        <v/>
      </c>
      <c r="Q48" s="311" t="str">
        <f t="shared" si="2"/>
        <v/>
      </c>
      <c r="R48" s="312" t="str">
        <f t="shared" si="0"/>
        <v/>
      </c>
      <c r="S48" s="325" t="str">
        <f>IF(D48="","",VLOOKUP(D48,'G-6 Hedgerow Data'!$B$3:$AG$15,31,FALSE))</f>
        <v/>
      </c>
      <c r="T48" s="298" t="str">
        <f t="shared" si="3"/>
        <v/>
      </c>
      <c r="U48" s="298" t="str">
        <f t="shared" si="4"/>
        <v/>
      </c>
      <c r="V48" s="314" t="str">
        <f>IF(D48="","",VLOOKUP(S48,'G-3 Multipliers'!$P$3:$Q$6,2,FALSE))</f>
        <v/>
      </c>
      <c r="W48" s="317" t="str">
        <f t="shared" si="5"/>
        <v/>
      </c>
      <c r="X48" s="98"/>
      <c r="Y48" s="99"/>
      <c r="Z48" s="101"/>
      <c r="AG48" s="15" t="str">
        <f>IFERROR(INDEX('G-6 Hedgerow Data'!$BJ$3:$BJ$15,MATCH(D48,'G-6 Hedgerow Data'!$B$3:$B$15,0)),"")</f>
        <v/>
      </c>
    </row>
    <row r="49" spans="2:33" ht="14" x14ac:dyDescent="0.3">
      <c r="B49" s="92">
        <v>38</v>
      </c>
      <c r="C49" s="143"/>
      <c r="D49" s="138"/>
      <c r="E49" s="120"/>
      <c r="F49" s="335" t="str">
        <f>IF(D49="","",VLOOKUP(D49,'G-6 Hedgerow Data'!$B$2:$AG$15,2,FALSE))</f>
        <v/>
      </c>
      <c r="G49" s="291" t="str">
        <f>IF(D49="","",VLOOKUP(D49,'G-6 Hedgerow Data'!$B$2:$AG$15,3,FALSE))</f>
        <v/>
      </c>
      <c r="H49" s="95"/>
      <c r="I49" s="291" t="str">
        <f>IFERROR(IF(H49="","",IF(AND(D49="Non-native and ornamental hedgerow", H49&lt;&gt;"Poor"),"Not possible ▲", (VLOOKUP(H49,'G-1 All Habitats'!$Z$2:$AA$9,2,FALSE)))),"")</f>
        <v/>
      </c>
      <c r="J49" s="95"/>
      <c r="K49" s="310" t="str">
        <f>IF(J49="","",IF(VLOOKUP(J49,'G-3 Multipliers'!$L$3:$N$6,2,FALSE)=0,"Spatial Data Missing ⚠",VLOOKUP(J49,'G-3 Multipliers'!$L$3:$N$6,2,FALSE)))</f>
        <v/>
      </c>
      <c r="L49" s="296" t="str">
        <f>IF(J49="","",IF(VLOOKUP(J49,'G-3 Multipliers'!$L$3:$N$6,3,FALSE)=0,"Spatial Data Missing ⚠",VLOOKUP(J49,'G-3 Multipliers'!$L$3:$N$6,3,FALSE)))</f>
        <v/>
      </c>
      <c r="M49" s="290" t="str">
        <f>IF(OR(D49="",H49=""),"",(INDEX('G-6 Hedgerow Data'!$E$3:$I$15,MATCH(D49,'G-6 Hedgerow Data'!$B$3:$B$15,0),MATCH(H49,'G-6 Hedgerow Data'!$E$2:$I$2,0))))</f>
        <v/>
      </c>
      <c r="N49" s="138"/>
      <c r="O49" s="138"/>
      <c r="P49" s="298" t="str">
        <f t="shared" si="1"/>
        <v/>
      </c>
      <c r="Q49" s="311" t="str">
        <f t="shared" si="2"/>
        <v/>
      </c>
      <c r="R49" s="312" t="str">
        <f t="shared" si="0"/>
        <v/>
      </c>
      <c r="S49" s="325" t="str">
        <f>IF(D49="","",VLOOKUP(D49,'G-6 Hedgerow Data'!$B$3:$AG$15,31,FALSE))</f>
        <v/>
      </c>
      <c r="T49" s="298" t="str">
        <f t="shared" si="3"/>
        <v/>
      </c>
      <c r="U49" s="298" t="str">
        <f t="shared" si="4"/>
        <v/>
      </c>
      <c r="V49" s="314" t="str">
        <f>IF(D49="","",VLOOKUP(S49,'G-3 Multipliers'!$P$3:$Q$6,2,FALSE))</f>
        <v/>
      </c>
      <c r="W49" s="317" t="str">
        <f t="shared" si="5"/>
        <v/>
      </c>
      <c r="X49" s="98"/>
      <c r="Y49" s="99"/>
      <c r="Z49" s="101"/>
      <c r="AG49" s="15" t="str">
        <f>IFERROR(INDEX('G-6 Hedgerow Data'!$BJ$3:$BJ$15,MATCH(D49,'G-6 Hedgerow Data'!$B$3:$B$15,0)),"")</f>
        <v/>
      </c>
    </row>
    <row r="50" spans="2:33" ht="14" x14ac:dyDescent="0.3">
      <c r="B50" s="92">
        <v>39</v>
      </c>
      <c r="C50" s="143"/>
      <c r="D50" s="138"/>
      <c r="E50" s="120"/>
      <c r="F50" s="335" t="str">
        <f>IF(D50="","",VLOOKUP(D50,'G-6 Hedgerow Data'!$B$2:$AG$15,2,FALSE))</f>
        <v/>
      </c>
      <c r="G50" s="291" t="str">
        <f>IF(D50="","",VLOOKUP(D50,'G-6 Hedgerow Data'!$B$2:$AG$15,3,FALSE))</f>
        <v/>
      </c>
      <c r="H50" s="95"/>
      <c r="I50" s="291" t="str">
        <f>IFERROR(IF(H50="","",IF(AND(D50="Non-native and ornamental hedgerow", H50&lt;&gt;"Poor"),"Not possible ▲", (VLOOKUP(H50,'G-1 All Habitats'!$Z$2:$AA$9,2,FALSE)))),"")</f>
        <v/>
      </c>
      <c r="J50" s="95"/>
      <c r="K50" s="310" t="str">
        <f>IF(J50="","",IF(VLOOKUP(J50,'G-3 Multipliers'!$L$3:$N$6,2,FALSE)=0,"Spatial Data Missing ⚠",VLOOKUP(J50,'G-3 Multipliers'!$L$3:$N$6,2,FALSE)))</f>
        <v/>
      </c>
      <c r="L50" s="296" t="str">
        <f>IF(J50="","",IF(VLOOKUP(J50,'G-3 Multipliers'!$L$3:$N$6,3,FALSE)=0,"Spatial Data Missing ⚠",VLOOKUP(J50,'G-3 Multipliers'!$L$3:$N$6,3,FALSE)))</f>
        <v/>
      </c>
      <c r="M50" s="290" t="str">
        <f>IF(OR(D50="",H50=""),"",(INDEX('G-6 Hedgerow Data'!$E$3:$I$15,MATCH(D50,'G-6 Hedgerow Data'!$B$3:$B$15,0),MATCH(H50,'G-6 Hedgerow Data'!$E$2:$I$2,0))))</f>
        <v/>
      </c>
      <c r="N50" s="138"/>
      <c r="O50" s="138"/>
      <c r="P50" s="298" t="str">
        <f t="shared" si="1"/>
        <v/>
      </c>
      <c r="Q50" s="311" t="str">
        <f t="shared" si="2"/>
        <v/>
      </c>
      <c r="R50" s="312" t="str">
        <f t="shared" si="0"/>
        <v/>
      </c>
      <c r="S50" s="325" t="str">
        <f>IF(D50="","",VLOOKUP(D50,'G-6 Hedgerow Data'!$B$3:$AG$15,31,FALSE))</f>
        <v/>
      </c>
      <c r="T50" s="298" t="str">
        <f t="shared" si="3"/>
        <v/>
      </c>
      <c r="U50" s="298" t="str">
        <f t="shared" si="4"/>
        <v/>
      </c>
      <c r="V50" s="314" t="str">
        <f>IF(D50="","",VLOOKUP(S50,'G-3 Multipliers'!$P$3:$Q$6,2,FALSE))</f>
        <v/>
      </c>
      <c r="W50" s="317" t="str">
        <f t="shared" si="5"/>
        <v/>
      </c>
      <c r="X50" s="98"/>
      <c r="Y50" s="99"/>
      <c r="Z50" s="101"/>
      <c r="AG50" s="15" t="str">
        <f>IFERROR(INDEX('G-6 Hedgerow Data'!$BJ$3:$BJ$15,MATCH(D50,'G-6 Hedgerow Data'!$B$3:$B$15,0)),"")</f>
        <v/>
      </c>
    </row>
    <row r="51" spans="2:33" ht="14" x14ac:dyDescent="0.3">
      <c r="B51" s="92">
        <v>40</v>
      </c>
      <c r="C51" s="143"/>
      <c r="D51" s="138"/>
      <c r="E51" s="120"/>
      <c r="F51" s="335" t="str">
        <f>IF(D51="","",VLOOKUP(D51,'G-6 Hedgerow Data'!$B$2:$AG$15,2,FALSE))</f>
        <v/>
      </c>
      <c r="G51" s="291" t="str">
        <f>IF(D51="","",VLOOKUP(D51,'G-6 Hedgerow Data'!$B$2:$AG$15,3,FALSE))</f>
        <v/>
      </c>
      <c r="H51" s="95"/>
      <c r="I51" s="291" t="str">
        <f>IFERROR(IF(H51="","",IF(AND(D51="Non-native and ornamental hedgerow", H51&lt;&gt;"Poor"),"Not possible ▲", (VLOOKUP(H51,'G-1 All Habitats'!$Z$2:$AA$9,2,FALSE)))),"")</f>
        <v/>
      </c>
      <c r="J51" s="95"/>
      <c r="K51" s="310" t="str">
        <f>IF(J51="","",IF(VLOOKUP(J51,'G-3 Multipliers'!$L$3:$N$6,2,FALSE)=0,"Spatial Data Missing ⚠",VLOOKUP(J51,'G-3 Multipliers'!$L$3:$N$6,2,FALSE)))</f>
        <v/>
      </c>
      <c r="L51" s="296" t="str">
        <f>IF(J51="","",IF(VLOOKUP(J51,'G-3 Multipliers'!$L$3:$N$6,3,FALSE)=0,"Spatial Data Missing ⚠",VLOOKUP(J51,'G-3 Multipliers'!$L$3:$N$6,3,FALSE)))</f>
        <v/>
      </c>
      <c r="M51" s="290" t="str">
        <f>IF(OR(D51="",H51=""),"",(INDEX('G-6 Hedgerow Data'!$E$3:$I$15,MATCH(D51,'G-6 Hedgerow Data'!$B$3:$B$15,0),MATCH(H51,'G-6 Hedgerow Data'!$E$2:$I$2,0))))</f>
        <v/>
      </c>
      <c r="N51" s="138"/>
      <c r="O51" s="138"/>
      <c r="P51" s="298" t="str">
        <f t="shared" si="1"/>
        <v/>
      </c>
      <c r="Q51" s="311" t="str">
        <f t="shared" si="2"/>
        <v/>
      </c>
      <c r="R51" s="312" t="str">
        <f t="shared" si="0"/>
        <v/>
      </c>
      <c r="S51" s="325" t="str">
        <f>IF(D51="","",VLOOKUP(D51,'G-6 Hedgerow Data'!$B$3:$AG$15,31,FALSE))</f>
        <v/>
      </c>
      <c r="T51" s="298" t="str">
        <f t="shared" si="3"/>
        <v/>
      </c>
      <c r="U51" s="298" t="str">
        <f t="shared" si="4"/>
        <v/>
      </c>
      <c r="V51" s="314" t="str">
        <f>IF(D51="","",VLOOKUP(S51,'G-3 Multipliers'!$P$3:$Q$6,2,FALSE))</f>
        <v/>
      </c>
      <c r="W51" s="317" t="str">
        <f t="shared" si="5"/>
        <v/>
      </c>
      <c r="X51" s="98"/>
      <c r="Y51" s="99"/>
      <c r="Z51" s="101"/>
      <c r="AG51" s="15" t="str">
        <f>IFERROR(INDEX('G-6 Hedgerow Data'!$BJ$3:$BJ$15,MATCH(D51,'G-6 Hedgerow Data'!$B$3:$B$15,0)),"")</f>
        <v/>
      </c>
    </row>
    <row r="52" spans="2:33" ht="14" x14ac:dyDescent="0.3">
      <c r="B52" s="92">
        <v>41</v>
      </c>
      <c r="C52" s="143"/>
      <c r="D52" s="138"/>
      <c r="E52" s="120"/>
      <c r="F52" s="335" t="str">
        <f>IF(D52="","",VLOOKUP(D52,'G-6 Hedgerow Data'!$B$2:$AG$15,2,FALSE))</f>
        <v/>
      </c>
      <c r="G52" s="291" t="str">
        <f>IF(D52="","",VLOOKUP(D52,'G-6 Hedgerow Data'!$B$2:$AG$15,3,FALSE))</f>
        <v/>
      </c>
      <c r="H52" s="95"/>
      <c r="I52" s="291" t="str">
        <f>IFERROR(IF(H52="","",IF(AND(D52="Non-native and ornamental hedgerow", H52&lt;&gt;"Poor"),"Not possible ▲", (VLOOKUP(H52,'G-1 All Habitats'!$Z$2:$AA$9,2,FALSE)))),"")</f>
        <v/>
      </c>
      <c r="J52" s="95"/>
      <c r="K52" s="310" t="str">
        <f>IF(J52="","",IF(VLOOKUP(J52,'G-3 Multipliers'!$L$3:$N$6,2,FALSE)=0,"Spatial Data Missing ⚠",VLOOKUP(J52,'G-3 Multipliers'!$L$3:$N$6,2,FALSE)))</f>
        <v/>
      </c>
      <c r="L52" s="296" t="str">
        <f>IF(J52="","",IF(VLOOKUP(J52,'G-3 Multipliers'!$L$3:$N$6,3,FALSE)=0,"Spatial Data Missing ⚠",VLOOKUP(J52,'G-3 Multipliers'!$L$3:$N$6,3,FALSE)))</f>
        <v/>
      </c>
      <c r="M52" s="290" t="str">
        <f>IF(OR(D52="",H52=""),"",(INDEX('G-6 Hedgerow Data'!$E$3:$I$15,MATCH(D52,'G-6 Hedgerow Data'!$B$3:$B$15,0),MATCH(H52,'G-6 Hedgerow Data'!$E$2:$I$2,0))))</f>
        <v/>
      </c>
      <c r="N52" s="138"/>
      <c r="O52" s="138"/>
      <c r="P52" s="298" t="str">
        <f t="shared" si="1"/>
        <v/>
      </c>
      <c r="Q52" s="311" t="str">
        <f t="shared" si="2"/>
        <v/>
      </c>
      <c r="R52" s="312" t="str">
        <f t="shared" si="0"/>
        <v/>
      </c>
      <c r="S52" s="325" t="str">
        <f>IF(D52="","",VLOOKUP(D52,'G-6 Hedgerow Data'!$B$3:$AG$15,31,FALSE))</f>
        <v/>
      </c>
      <c r="T52" s="298" t="str">
        <f t="shared" si="3"/>
        <v/>
      </c>
      <c r="U52" s="298" t="str">
        <f t="shared" si="4"/>
        <v/>
      </c>
      <c r="V52" s="314" t="str">
        <f>IF(D52="","",VLOOKUP(S52,'G-3 Multipliers'!$P$3:$Q$6,2,FALSE))</f>
        <v/>
      </c>
      <c r="W52" s="317" t="str">
        <f t="shared" si="5"/>
        <v/>
      </c>
      <c r="X52" s="98"/>
      <c r="Y52" s="99"/>
      <c r="Z52" s="101"/>
      <c r="AG52" s="15" t="str">
        <f>IFERROR(INDEX('G-6 Hedgerow Data'!$BJ$3:$BJ$15,MATCH(D52,'G-6 Hedgerow Data'!$B$3:$B$15,0)),"")</f>
        <v/>
      </c>
    </row>
    <row r="53" spans="2:33" ht="14" x14ac:dyDescent="0.3">
      <c r="B53" s="92">
        <v>42</v>
      </c>
      <c r="C53" s="143"/>
      <c r="D53" s="138"/>
      <c r="E53" s="120"/>
      <c r="F53" s="335" t="str">
        <f>IF(D53="","",VLOOKUP(D53,'G-6 Hedgerow Data'!$B$2:$AG$15,2,FALSE))</f>
        <v/>
      </c>
      <c r="G53" s="291" t="str">
        <f>IF(D53="","",VLOOKUP(D53,'G-6 Hedgerow Data'!$B$2:$AG$15,3,FALSE))</f>
        <v/>
      </c>
      <c r="H53" s="95"/>
      <c r="I53" s="291" t="str">
        <f>IFERROR(IF(H53="","",IF(AND(D53="Non-native and ornamental hedgerow", H53&lt;&gt;"Poor"),"Not possible ▲", (VLOOKUP(H53,'G-1 All Habitats'!$Z$2:$AA$9,2,FALSE)))),"")</f>
        <v/>
      </c>
      <c r="J53" s="95"/>
      <c r="K53" s="310" t="str">
        <f>IF(J53="","",IF(VLOOKUP(J53,'G-3 Multipliers'!$L$3:$N$6,2,FALSE)=0,"Spatial Data Missing ⚠",VLOOKUP(J53,'G-3 Multipliers'!$L$3:$N$6,2,FALSE)))</f>
        <v/>
      </c>
      <c r="L53" s="296" t="str">
        <f>IF(J53="","",IF(VLOOKUP(J53,'G-3 Multipliers'!$L$3:$N$6,3,FALSE)=0,"Spatial Data Missing ⚠",VLOOKUP(J53,'G-3 Multipliers'!$L$3:$N$6,3,FALSE)))</f>
        <v/>
      </c>
      <c r="M53" s="290" t="str">
        <f>IF(OR(D53="",H53=""),"",(INDEX('G-6 Hedgerow Data'!$E$3:$I$15,MATCH(D53,'G-6 Hedgerow Data'!$B$3:$B$15,0),MATCH(H53,'G-6 Hedgerow Data'!$E$2:$I$2,0))))</f>
        <v/>
      </c>
      <c r="N53" s="138"/>
      <c r="O53" s="138"/>
      <c r="P53" s="298" t="str">
        <f t="shared" si="1"/>
        <v/>
      </c>
      <c r="Q53" s="311" t="str">
        <f t="shared" si="2"/>
        <v/>
      </c>
      <c r="R53" s="312" t="str">
        <f t="shared" si="0"/>
        <v/>
      </c>
      <c r="S53" s="325" t="str">
        <f>IF(D53="","",VLOOKUP(D53,'G-6 Hedgerow Data'!$B$3:$AG$15,31,FALSE))</f>
        <v/>
      </c>
      <c r="T53" s="298" t="str">
        <f t="shared" si="3"/>
        <v/>
      </c>
      <c r="U53" s="298" t="str">
        <f t="shared" si="4"/>
        <v/>
      </c>
      <c r="V53" s="314" t="str">
        <f>IF(D53="","",VLOOKUP(S53,'G-3 Multipliers'!$P$3:$Q$6,2,FALSE))</f>
        <v/>
      </c>
      <c r="W53" s="317" t="str">
        <f t="shared" si="5"/>
        <v/>
      </c>
      <c r="X53" s="98"/>
      <c r="Y53" s="99"/>
      <c r="Z53" s="101"/>
      <c r="AG53" s="15" t="str">
        <f>IFERROR(INDEX('G-6 Hedgerow Data'!$BJ$3:$BJ$15,MATCH(D53,'G-6 Hedgerow Data'!$B$3:$B$15,0)),"")</f>
        <v/>
      </c>
    </row>
    <row r="54" spans="2:33" ht="14" x14ac:dyDescent="0.3">
      <c r="B54" s="92">
        <v>43</v>
      </c>
      <c r="C54" s="143"/>
      <c r="D54" s="138"/>
      <c r="E54" s="120"/>
      <c r="F54" s="335" t="str">
        <f>IF(D54="","",VLOOKUP(D54,'G-6 Hedgerow Data'!$B$2:$AG$15,2,FALSE))</f>
        <v/>
      </c>
      <c r="G54" s="291" t="str">
        <f>IF(D54="","",VLOOKUP(D54,'G-6 Hedgerow Data'!$B$2:$AG$15,3,FALSE))</f>
        <v/>
      </c>
      <c r="H54" s="95"/>
      <c r="I54" s="291" t="str">
        <f>IFERROR(IF(H54="","",IF(AND(D54="Non-native and ornamental hedgerow", H54&lt;&gt;"Poor"),"Not possible ▲", (VLOOKUP(H54,'G-1 All Habitats'!$Z$2:$AA$9,2,FALSE)))),"")</f>
        <v/>
      </c>
      <c r="J54" s="95"/>
      <c r="K54" s="310" t="str">
        <f>IF(J54="","",IF(VLOOKUP(J54,'G-3 Multipliers'!$L$3:$N$6,2,FALSE)=0,"Spatial Data Missing ⚠",VLOOKUP(J54,'G-3 Multipliers'!$L$3:$N$6,2,FALSE)))</f>
        <v/>
      </c>
      <c r="L54" s="296" t="str">
        <f>IF(J54="","",IF(VLOOKUP(J54,'G-3 Multipliers'!$L$3:$N$6,3,FALSE)=0,"Spatial Data Missing ⚠",VLOOKUP(J54,'G-3 Multipliers'!$L$3:$N$6,3,FALSE)))</f>
        <v/>
      </c>
      <c r="M54" s="290" t="str">
        <f>IF(OR(D54="",H54=""),"",(INDEX('G-6 Hedgerow Data'!$E$3:$I$15,MATCH(D54,'G-6 Hedgerow Data'!$B$3:$B$15,0),MATCH(H54,'G-6 Hedgerow Data'!$E$2:$I$2,0))))</f>
        <v/>
      </c>
      <c r="N54" s="138"/>
      <c r="O54" s="138"/>
      <c r="P54" s="298" t="str">
        <f t="shared" si="1"/>
        <v/>
      </c>
      <c r="Q54" s="311" t="str">
        <f t="shared" si="2"/>
        <v/>
      </c>
      <c r="R54" s="312" t="str">
        <f t="shared" si="0"/>
        <v/>
      </c>
      <c r="S54" s="325" t="str">
        <f>IF(D54="","",VLOOKUP(D54,'G-6 Hedgerow Data'!$B$3:$AG$15,31,FALSE))</f>
        <v/>
      </c>
      <c r="T54" s="298" t="str">
        <f t="shared" si="3"/>
        <v/>
      </c>
      <c r="U54" s="298" t="str">
        <f t="shared" si="4"/>
        <v/>
      </c>
      <c r="V54" s="314" t="str">
        <f>IF(D54="","",VLOOKUP(S54,'G-3 Multipliers'!$P$3:$Q$6,2,FALSE))</f>
        <v/>
      </c>
      <c r="W54" s="317" t="str">
        <f t="shared" si="5"/>
        <v/>
      </c>
      <c r="X54" s="98"/>
      <c r="Y54" s="99"/>
      <c r="Z54" s="101"/>
      <c r="AG54" s="15" t="str">
        <f>IFERROR(INDEX('G-6 Hedgerow Data'!$BJ$3:$BJ$15,MATCH(D54,'G-6 Hedgerow Data'!$B$3:$B$15,0)),"")</f>
        <v/>
      </c>
    </row>
    <row r="55" spans="2:33" ht="14" x14ac:dyDescent="0.3">
      <c r="B55" s="92">
        <v>44</v>
      </c>
      <c r="C55" s="143"/>
      <c r="D55" s="138"/>
      <c r="E55" s="120"/>
      <c r="F55" s="335" t="str">
        <f>IF(D55="","",VLOOKUP(D55,'G-6 Hedgerow Data'!$B$2:$AG$15,2,FALSE))</f>
        <v/>
      </c>
      <c r="G55" s="291" t="str">
        <f>IF(D55="","",VLOOKUP(D55,'G-6 Hedgerow Data'!$B$2:$AG$15,3,FALSE))</f>
        <v/>
      </c>
      <c r="H55" s="95"/>
      <c r="I55" s="291" t="str">
        <f>IFERROR(IF(H55="","",IF(AND(D55="Non-native and ornamental hedgerow", H55&lt;&gt;"Poor"),"Not possible ▲", (VLOOKUP(H55,'G-1 All Habitats'!$Z$2:$AA$9,2,FALSE)))),"")</f>
        <v/>
      </c>
      <c r="J55" s="95"/>
      <c r="K55" s="310" t="str">
        <f>IF(J55="","",IF(VLOOKUP(J55,'G-3 Multipliers'!$L$3:$N$6,2,FALSE)=0,"Spatial Data Missing ⚠",VLOOKUP(J55,'G-3 Multipliers'!$L$3:$N$6,2,FALSE)))</f>
        <v/>
      </c>
      <c r="L55" s="296" t="str">
        <f>IF(J55="","",IF(VLOOKUP(J55,'G-3 Multipliers'!$L$3:$N$6,3,FALSE)=0,"Spatial Data Missing ⚠",VLOOKUP(J55,'G-3 Multipliers'!$L$3:$N$6,3,FALSE)))</f>
        <v/>
      </c>
      <c r="M55" s="290" t="str">
        <f>IF(OR(D55="",H55=""),"",(INDEX('G-6 Hedgerow Data'!$E$3:$I$15,MATCH(D55,'G-6 Hedgerow Data'!$B$3:$B$15,0),MATCH(H55,'G-6 Hedgerow Data'!$E$2:$I$2,0))))</f>
        <v/>
      </c>
      <c r="N55" s="138"/>
      <c r="O55" s="138"/>
      <c r="P55" s="298" t="str">
        <f t="shared" si="1"/>
        <v/>
      </c>
      <c r="Q55" s="311" t="str">
        <f t="shared" si="2"/>
        <v/>
      </c>
      <c r="R55" s="312" t="str">
        <f t="shared" si="0"/>
        <v/>
      </c>
      <c r="S55" s="325" t="str">
        <f>IF(D55="","",VLOOKUP(D55,'G-6 Hedgerow Data'!$B$3:$AG$15,31,FALSE))</f>
        <v/>
      </c>
      <c r="T55" s="298" t="str">
        <f t="shared" si="3"/>
        <v/>
      </c>
      <c r="U55" s="298" t="str">
        <f t="shared" si="4"/>
        <v/>
      </c>
      <c r="V55" s="314" t="str">
        <f>IF(D55="","",VLOOKUP(S55,'G-3 Multipliers'!$P$3:$Q$6,2,FALSE))</f>
        <v/>
      </c>
      <c r="W55" s="317" t="str">
        <f t="shared" si="5"/>
        <v/>
      </c>
      <c r="X55" s="98"/>
      <c r="Y55" s="99"/>
      <c r="Z55" s="101"/>
      <c r="AG55" s="15" t="str">
        <f>IFERROR(INDEX('G-6 Hedgerow Data'!$BJ$3:$BJ$15,MATCH(D55,'G-6 Hedgerow Data'!$B$3:$B$15,0)),"")</f>
        <v/>
      </c>
    </row>
    <row r="56" spans="2:33" ht="14" x14ac:dyDescent="0.3">
      <c r="B56" s="92">
        <v>45</v>
      </c>
      <c r="C56" s="143"/>
      <c r="D56" s="138"/>
      <c r="E56" s="120"/>
      <c r="F56" s="335" t="str">
        <f>IF(D56="","",VLOOKUP(D56,'G-6 Hedgerow Data'!$B$2:$AG$15,2,FALSE))</f>
        <v/>
      </c>
      <c r="G56" s="291" t="str">
        <f>IF(D56="","",VLOOKUP(D56,'G-6 Hedgerow Data'!$B$2:$AG$15,3,FALSE))</f>
        <v/>
      </c>
      <c r="H56" s="95"/>
      <c r="I56" s="291" t="str">
        <f>IFERROR(IF(H56="","",IF(AND(D56="Non-native and ornamental hedgerow", H56&lt;&gt;"Poor"),"Not possible ▲", (VLOOKUP(H56,'G-1 All Habitats'!$Z$2:$AA$9,2,FALSE)))),"")</f>
        <v/>
      </c>
      <c r="J56" s="95"/>
      <c r="K56" s="310" t="str">
        <f>IF(J56="","",IF(VLOOKUP(J56,'G-3 Multipliers'!$L$3:$N$6,2,FALSE)=0,"Spatial Data Missing ⚠",VLOOKUP(J56,'G-3 Multipliers'!$L$3:$N$6,2,FALSE)))</f>
        <v/>
      </c>
      <c r="L56" s="296" t="str">
        <f>IF(J56="","",IF(VLOOKUP(J56,'G-3 Multipliers'!$L$3:$N$6,3,FALSE)=0,"Spatial Data Missing ⚠",VLOOKUP(J56,'G-3 Multipliers'!$L$3:$N$6,3,FALSE)))</f>
        <v/>
      </c>
      <c r="M56" s="290" t="str">
        <f>IF(OR(D56="",H56=""),"",(INDEX('G-6 Hedgerow Data'!$E$3:$I$15,MATCH(D56,'G-6 Hedgerow Data'!$B$3:$B$15,0),MATCH(H56,'G-6 Hedgerow Data'!$E$2:$I$2,0))))</f>
        <v/>
      </c>
      <c r="N56" s="138"/>
      <c r="O56" s="138"/>
      <c r="P56" s="298" t="str">
        <f t="shared" si="1"/>
        <v/>
      </c>
      <c r="Q56" s="311" t="str">
        <f t="shared" si="2"/>
        <v/>
      </c>
      <c r="R56" s="312" t="str">
        <f t="shared" si="0"/>
        <v/>
      </c>
      <c r="S56" s="325" t="str">
        <f>IF(D56="","",VLOOKUP(D56,'G-6 Hedgerow Data'!$B$3:$AG$15,31,FALSE))</f>
        <v/>
      </c>
      <c r="T56" s="298" t="str">
        <f t="shared" si="3"/>
        <v/>
      </c>
      <c r="U56" s="298" t="str">
        <f t="shared" si="4"/>
        <v/>
      </c>
      <c r="V56" s="314" t="str">
        <f>IF(D56="","",VLOOKUP(S56,'G-3 Multipliers'!$P$3:$Q$6,2,FALSE))</f>
        <v/>
      </c>
      <c r="W56" s="317" t="str">
        <f t="shared" si="5"/>
        <v/>
      </c>
      <c r="X56" s="98"/>
      <c r="Y56" s="99"/>
      <c r="Z56" s="101"/>
      <c r="AG56" s="15" t="str">
        <f>IFERROR(INDEX('G-6 Hedgerow Data'!$BJ$3:$BJ$15,MATCH(D56,'G-6 Hedgerow Data'!$B$3:$B$15,0)),"")</f>
        <v/>
      </c>
    </row>
    <row r="57" spans="2:33" ht="14" x14ac:dyDescent="0.3">
      <c r="B57" s="92">
        <v>46</v>
      </c>
      <c r="C57" s="143"/>
      <c r="D57" s="138"/>
      <c r="E57" s="120"/>
      <c r="F57" s="335" t="str">
        <f>IF(D57="","",VLOOKUP(D57,'G-6 Hedgerow Data'!$B$2:$AG$15,2,FALSE))</f>
        <v/>
      </c>
      <c r="G57" s="291" t="str">
        <f>IF(D57="","",VLOOKUP(D57,'G-6 Hedgerow Data'!$B$2:$AG$15,3,FALSE))</f>
        <v/>
      </c>
      <c r="H57" s="95"/>
      <c r="I57" s="291" t="str">
        <f>IFERROR(IF(H57="","",IF(AND(D57="Non-native and ornamental hedgerow", H57&lt;&gt;"Poor"),"Not possible ▲", (VLOOKUP(H57,'G-1 All Habitats'!$Z$2:$AA$9,2,FALSE)))),"")</f>
        <v/>
      </c>
      <c r="J57" s="95"/>
      <c r="K57" s="310" t="str">
        <f>IF(J57="","",IF(VLOOKUP(J57,'G-3 Multipliers'!$L$3:$N$6,2,FALSE)=0,"Spatial Data Missing ⚠",VLOOKUP(J57,'G-3 Multipliers'!$L$3:$N$6,2,FALSE)))</f>
        <v/>
      </c>
      <c r="L57" s="296" t="str">
        <f>IF(J57="","",IF(VLOOKUP(J57,'G-3 Multipliers'!$L$3:$N$6,3,FALSE)=0,"Spatial Data Missing ⚠",VLOOKUP(J57,'G-3 Multipliers'!$L$3:$N$6,3,FALSE)))</f>
        <v/>
      </c>
      <c r="M57" s="290" t="str">
        <f>IF(OR(D57="",H57=""),"",(INDEX('G-6 Hedgerow Data'!$E$3:$I$15,MATCH(D57,'G-6 Hedgerow Data'!$B$3:$B$15,0),MATCH(H57,'G-6 Hedgerow Data'!$E$2:$I$2,0))))</f>
        <v/>
      </c>
      <c r="N57" s="138"/>
      <c r="O57" s="138"/>
      <c r="P57" s="298" t="str">
        <f t="shared" si="1"/>
        <v/>
      </c>
      <c r="Q57" s="311" t="str">
        <f t="shared" si="2"/>
        <v/>
      </c>
      <c r="R57" s="312" t="str">
        <f t="shared" si="0"/>
        <v/>
      </c>
      <c r="S57" s="325" t="str">
        <f>IF(D57="","",VLOOKUP(D57,'G-6 Hedgerow Data'!$B$3:$AG$15,31,FALSE))</f>
        <v/>
      </c>
      <c r="T57" s="298" t="str">
        <f t="shared" si="3"/>
        <v/>
      </c>
      <c r="U57" s="298" t="str">
        <f t="shared" si="4"/>
        <v/>
      </c>
      <c r="V57" s="314" t="str">
        <f>IF(D57="","",VLOOKUP(S57,'G-3 Multipliers'!$P$3:$Q$6,2,FALSE))</f>
        <v/>
      </c>
      <c r="W57" s="317" t="str">
        <f t="shared" si="5"/>
        <v/>
      </c>
      <c r="X57" s="98"/>
      <c r="Y57" s="99"/>
      <c r="Z57" s="101"/>
      <c r="AG57" s="15" t="str">
        <f>IFERROR(INDEX('G-6 Hedgerow Data'!$BJ$3:$BJ$15,MATCH(D57,'G-6 Hedgerow Data'!$B$3:$B$15,0)),"")</f>
        <v/>
      </c>
    </row>
    <row r="58" spans="2:33" ht="14" x14ac:dyDescent="0.3">
      <c r="B58" s="92">
        <v>47</v>
      </c>
      <c r="C58" s="143"/>
      <c r="D58" s="138"/>
      <c r="E58" s="120"/>
      <c r="F58" s="335" t="str">
        <f>IF(D58="","",VLOOKUP(D58,'G-6 Hedgerow Data'!$B$2:$AG$15,2,FALSE))</f>
        <v/>
      </c>
      <c r="G58" s="291" t="str">
        <f>IF(D58="","",VLOOKUP(D58,'G-6 Hedgerow Data'!$B$2:$AG$15,3,FALSE))</f>
        <v/>
      </c>
      <c r="H58" s="95"/>
      <c r="I58" s="291" t="str">
        <f>IFERROR(IF(H58="","",IF(AND(D58="Non-native and ornamental hedgerow", H58&lt;&gt;"Poor"),"Not possible ▲", (VLOOKUP(H58,'G-1 All Habitats'!$Z$2:$AA$9,2,FALSE)))),"")</f>
        <v/>
      </c>
      <c r="J58" s="95"/>
      <c r="K58" s="310" t="str">
        <f>IF(J58="","",IF(VLOOKUP(J58,'G-3 Multipliers'!$L$3:$N$6,2,FALSE)=0,"Spatial Data Missing ⚠",VLOOKUP(J58,'G-3 Multipliers'!$L$3:$N$6,2,FALSE)))</f>
        <v/>
      </c>
      <c r="L58" s="296" t="str">
        <f>IF(J58="","",IF(VLOOKUP(J58,'G-3 Multipliers'!$L$3:$N$6,3,FALSE)=0,"Spatial Data Missing ⚠",VLOOKUP(J58,'G-3 Multipliers'!$L$3:$N$6,3,FALSE)))</f>
        <v/>
      </c>
      <c r="M58" s="290" t="str">
        <f>IF(OR(D58="",H58=""),"",(INDEX('G-6 Hedgerow Data'!$E$3:$I$15,MATCH(D58,'G-6 Hedgerow Data'!$B$3:$B$15,0),MATCH(H58,'G-6 Hedgerow Data'!$E$2:$I$2,0))))</f>
        <v/>
      </c>
      <c r="N58" s="138"/>
      <c r="O58" s="138"/>
      <c r="P58" s="298" t="str">
        <f t="shared" si="1"/>
        <v/>
      </c>
      <c r="Q58" s="311" t="str">
        <f t="shared" si="2"/>
        <v/>
      </c>
      <c r="R58" s="312" t="str">
        <f t="shared" si="0"/>
        <v/>
      </c>
      <c r="S58" s="325" t="str">
        <f>IF(D58="","",VLOOKUP(D58,'G-6 Hedgerow Data'!$B$3:$AG$15,31,FALSE))</f>
        <v/>
      </c>
      <c r="T58" s="298" t="str">
        <f t="shared" si="3"/>
        <v/>
      </c>
      <c r="U58" s="298" t="str">
        <f t="shared" si="4"/>
        <v/>
      </c>
      <c r="V58" s="314" t="str">
        <f>IF(D58="","",VLOOKUP(S58,'G-3 Multipliers'!$P$3:$Q$6,2,FALSE))</f>
        <v/>
      </c>
      <c r="W58" s="317" t="str">
        <f t="shared" si="5"/>
        <v/>
      </c>
      <c r="X58" s="98"/>
      <c r="Y58" s="99"/>
      <c r="Z58" s="101"/>
      <c r="AG58" s="15" t="str">
        <f>IFERROR(INDEX('G-6 Hedgerow Data'!$BJ$3:$BJ$15,MATCH(D58,'G-6 Hedgerow Data'!$B$3:$B$15,0)),"")</f>
        <v/>
      </c>
    </row>
    <row r="59" spans="2:33" ht="14" x14ac:dyDescent="0.3">
      <c r="B59" s="92">
        <v>48</v>
      </c>
      <c r="C59" s="143"/>
      <c r="D59" s="138"/>
      <c r="E59" s="120"/>
      <c r="F59" s="335" t="str">
        <f>IF(D59="","",VLOOKUP(D59,'G-6 Hedgerow Data'!$B$2:$AG$15,2,FALSE))</f>
        <v/>
      </c>
      <c r="G59" s="291" t="str">
        <f>IF(D59="","",VLOOKUP(D59,'G-6 Hedgerow Data'!$B$2:$AG$15,3,FALSE))</f>
        <v/>
      </c>
      <c r="H59" s="95"/>
      <c r="I59" s="291" t="str">
        <f>IFERROR(IF(H59="","",IF(AND(D59="Non-native and ornamental hedgerow", H59&lt;&gt;"Poor"),"Not possible ▲", (VLOOKUP(H59,'G-1 All Habitats'!$Z$2:$AA$9,2,FALSE)))),"")</f>
        <v/>
      </c>
      <c r="J59" s="95"/>
      <c r="K59" s="310" t="str">
        <f>IF(J59="","",IF(VLOOKUP(J59,'G-3 Multipliers'!$L$3:$N$6,2,FALSE)=0,"Spatial Data Missing ⚠",VLOOKUP(J59,'G-3 Multipliers'!$L$3:$N$6,2,FALSE)))</f>
        <v/>
      </c>
      <c r="L59" s="296" t="str">
        <f>IF(J59="","",IF(VLOOKUP(J59,'G-3 Multipliers'!$L$3:$N$6,3,FALSE)=0,"Spatial Data Missing ⚠",VLOOKUP(J59,'G-3 Multipliers'!$L$3:$N$6,3,FALSE)))</f>
        <v/>
      </c>
      <c r="M59" s="290" t="str">
        <f>IF(OR(D59="",H59=""),"",(INDEX('G-6 Hedgerow Data'!$E$3:$I$15,MATCH(D59,'G-6 Hedgerow Data'!$B$3:$B$15,0),MATCH(H59,'G-6 Hedgerow Data'!$E$2:$I$2,0))))</f>
        <v/>
      </c>
      <c r="N59" s="138"/>
      <c r="O59" s="138"/>
      <c r="P59" s="298" t="str">
        <f t="shared" si="1"/>
        <v/>
      </c>
      <c r="Q59" s="311" t="str">
        <f t="shared" si="2"/>
        <v/>
      </c>
      <c r="R59" s="312" t="str">
        <f t="shared" si="0"/>
        <v/>
      </c>
      <c r="S59" s="325" t="str">
        <f>IF(D59="","",VLOOKUP(D59,'G-6 Hedgerow Data'!$B$3:$AG$15,31,FALSE))</f>
        <v/>
      </c>
      <c r="T59" s="298" t="str">
        <f t="shared" si="3"/>
        <v/>
      </c>
      <c r="U59" s="298" t="str">
        <f t="shared" si="4"/>
        <v/>
      </c>
      <c r="V59" s="314" t="str">
        <f>IF(D59="","",VLOOKUP(S59,'G-3 Multipliers'!$P$3:$Q$6,2,FALSE))</f>
        <v/>
      </c>
      <c r="W59" s="317" t="str">
        <f t="shared" si="5"/>
        <v/>
      </c>
      <c r="X59" s="98"/>
      <c r="Y59" s="99"/>
      <c r="Z59" s="101"/>
      <c r="AG59" s="15" t="str">
        <f>IFERROR(INDEX('G-6 Hedgerow Data'!$BJ$3:$BJ$15,MATCH(D59,'G-6 Hedgerow Data'!$B$3:$B$15,0)),"")</f>
        <v/>
      </c>
    </row>
    <row r="60" spans="2:33" ht="14" x14ac:dyDescent="0.3">
      <c r="B60" s="92">
        <v>49</v>
      </c>
      <c r="C60" s="143"/>
      <c r="D60" s="138"/>
      <c r="E60" s="120"/>
      <c r="F60" s="335" t="str">
        <f>IF(D60="","",VLOOKUP(D60,'G-6 Hedgerow Data'!$B$2:$AG$15,2,FALSE))</f>
        <v/>
      </c>
      <c r="G60" s="291" t="str">
        <f>IF(D60="","",VLOOKUP(D60,'G-6 Hedgerow Data'!$B$2:$AG$15,3,FALSE))</f>
        <v/>
      </c>
      <c r="H60" s="95"/>
      <c r="I60" s="291" t="str">
        <f>IFERROR(IF(H60="","",IF(AND(D60="Non-native and ornamental hedgerow", H60&lt;&gt;"Poor"),"Not possible ▲", (VLOOKUP(H60,'G-1 All Habitats'!$Z$2:$AA$9,2,FALSE)))),"")</f>
        <v/>
      </c>
      <c r="J60" s="95"/>
      <c r="K60" s="310" t="str">
        <f>IF(J60="","",IF(VLOOKUP(J60,'G-3 Multipliers'!$L$3:$N$6,2,FALSE)=0,"Spatial Data Missing ⚠",VLOOKUP(J60,'G-3 Multipliers'!$L$3:$N$6,2,FALSE)))</f>
        <v/>
      </c>
      <c r="L60" s="296" t="str">
        <f>IF(J60="","",IF(VLOOKUP(J60,'G-3 Multipliers'!$L$3:$N$6,3,FALSE)=0,"Spatial Data Missing ⚠",VLOOKUP(J60,'G-3 Multipliers'!$L$3:$N$6,3,FALSE)))</f>
        <v/>
      </c>
      <c r="M60" s="290" t="str">
        <f>IF(OR(D60="",H60=""),"",(INDEX('G-6 Hedgerow Data'!$E$3:$I$15,MATCH(D60,'G-6 Hedgerow Data'!$B$3:$B$15,0),MATCH(H60,'G-6 Hedgerow Data'!$E$2:$I$2,0))))</f>
        <v/>
      </c>
      <c r="N60" s="138"/>
      <c r="O60" s="138"/>
      <c r="P60" s="298" t="str">
        <f t="shared" si="1"/>
        <v/>
      </c>
      <c r="Q60" s="311" t="str">
        <f t="shared" si="2"/>
        <v/>
      </c>
      <c r="R60" s="312" t="str">
        <f t="shared" si="0"/>
        <v/>
      </c>
      <c r="S60" s="325" t="str">
        <f>IF(D60="","",VLOOKUP(D60,'G-6 Hedgerow Data'!$B$3:$AG$15,31,FALSE))</f>
        <v/>
      </c>
      <c r="T60" s="298" t="str">
        <f t="shared" si="3"/>
        <v/>
      </c>
      <c r="U60" s="298" t="str">
        <f t="shared" si="4"/>
        <v/>
      </c>
      <c r="V60" s="314" t="str">
        <f>IF(D60="","",VLOOKUP(S60,'G-3 Multipliers'!$P$3:$Q$6,2,FALSE))</f>
        <v/>
      </c>
      <c r="W60" s="317" t="str">
        <f t="shared" si="5"/>
        <v/>
      </c>
      <c r="X60" s="98"/>
      <c r="Y60" s="99"/>
      <c r="Z60" s="101"/>
      <c r="AG60" s="15" t="str">
        <f>IFERROR(INDEX('G-6 Hedgerow Data'!$BJ$3:$BJ$15,MATCH(D60,'G-6 Hedgerow Data'!$B$3:$B$15,0)),"")</f>
        <v/>
      </c>
    </row>
    <row r="61" spans="2:33" ht="14" x14ac:dyDescent="0.3">
      <c r="B61" s="92">
        <v>50</v>
      </c>
      <c r="C61" s="143"/>
      <c r="D61" s="138"/>
      <c r="E61" s="120"/>
      <c r="F61" s="335" t="str">
        <f>IF(D61="","",VLOOKUP(D61,'G-6 Hedgerow Data'!$B$2:$AG$15,2,FALSE))</f>
        <v/>
      </c>
      <c r="G61" s="291" t="str">
        <f>IF(D61="","",VLOOKUP(D61,'G-6 Hedgerow Data'!$B$2:$AG$15,3,FALSE))</f>
        <v/>
      </c>
      <c r="H61" s="95"/>
      <c r="I61" s="291" t="str">
        <f>IFERROR(IF(H61="","",IF(AND(D61="Non-native and ornamental hedgerow", H61&lt;&gt;"Poor"),"Not possible ▲", (VLOOKUP(H61,'G-1 All Habitats'!$Z$2:$AA$9,2,FALSE)))),"")</f>
        <v/>
      </c>
      <c r="J61" s="95"/>
      <c r="K61" s="310" t="str">
        <f>IF(J61="","",IF(VLOOKUP(J61,'G-3 Multipliers'!$L$3:$N$6,2,FALSE)=0,"Spatial Data Missing ⚠",VLOOKUP(J61,'G-3 Multipliers'!$L$3:$N$6,2,FALSE)))</f>
        <v/>
      </c>
      <c r="L61" s="296" t="str">
        <f>IF(J61="","",IF(VLOOKUP(J61,'G-3 Multipliers'!$L$3:$N$6,3,FALSE)=0,"Spatial Data Missing ⚠",VLOOKUP(J61,'G-3 Multipliers'!$L$3:$N$6,3,FALSE)))</f>
        <v/>
      </c>
      <c r="M61" s="290" t="str">
        <f>IF(OR(D61="",H61=""),"",(INDEX('G-6 Hedgerow Data'!$E$3:$I$15,MATCH(D61,'G-6 Hedgerow Data'!$B$3:$B$15,0),MATCH(H61,'G-6 Hedgerow Data'!$E$2:$I$2,0))))</f>
        <v/>
      </c>
      <c r="N61" s="138"/>
      <c r="O61" s="138"/>
      <c r="P61" s="298" t="str">
        <f t="shared" si="1"/>
        <v/>
      </c>
      <c r="Q61" s="311" t="str">
        <f t="shared" si="2"/>
        <v/>
      </c>
      <c r="R61" s="312" t="str">
        <f t="shared" si="0"/>
        <v/>
      </c>
      <c r="S61" s="325" t="str">
        <f>IF(D61="","",VLOOKUP(D61,'G-6 Hedgerow Data'!$B$3:$AG$15,31,FALSE))</f>
        <v/>
      </c>
      <c r="T61" s="298" t="str">
        <f t="shared" si="3"/>
        <v/>
      </c>
      <c r="U61" s="298" t="str">
        <f t="shared" si="4"/>
        <v/>
      </c>
      <c r="V61" s="314" t="str">
        <f>IF(D61="","",VLOOKUP(S61,'G-3 Multipliers'!$P$3:$Q$6,2,FALSE))</f>
        <v/>
      </c>
      <c r="W61" s="317" t="str">
        <f t="shared" si="5"/>
        <v/>
      </c>
      <c r="X61" s="98"/>
      <c r="Y61" s="99"/>
      <c r="Z61" s="101"/>
      <c r="AG61" s="15" t="str">
        <f>IFERROR(INDEX('G-6 Hedgerow Data'!$BJ$3:$BJ$15,MATCH(D61,'G-6 Hedgerow Data'!$B$3:$B$15,0)),"")</f>
        <v/>
      </c>
    </row>
    <row r="62" spans="2:33" ht="14" x14ac:dyDescent="0.3">
      <c r="B62" s="92">
        <v>51</v>
      </c>
      <c r="C62" s="143"/>
      <c r="D62" s="138"/>
      <c r="E62" s="120"/>
      <c r="F62" s="335" t="str">
        <f>IF(D62="","",VLOOKUP(D62,'G-6 Hedgerow Data'!$B$2:$AG$15,2,FALSE))</f>
        <v/>
      </c>
      <c r="G62" s="291" t="str">
        <f>IF(D62="","",VLOOKUP(D62,'G-6 Hedgerow Data'!$B$2:$AG$15,3,FALSE))</f>
        <v/>
      </c>
      <c r="H62" s="95"/>
      <c r="I62" s="291" t="str">
        <f>IFERROR(IF(H62="","",IF(AND(D62="Non-native and ornamental hedgerow", H62&lt;&gt;"Poor"),"Not possible ▲", (VLOOKUP(H62,'G-1 All Habitats'!$Z$2:$AA$9,2,FALSE)))),"")</f>
        <v/>
      </c>
      <c r="J62" s="95"/>
      <c r="K62" s="310" t="str">
        <f>IF(J62="","",IF(VLOOKUP(J62,'G-3 Multipliers'!$L$3:$N$6,2,FALSE)=0,"Spatial Data Missing ⚠",VLOOKUP(J62,'G-3 Multipliers'!$L$3:$N$6,2,FALSE)))</f>
        <v/>
      </c>
      <c r="L62" s="296" t="str">
        <f>IF(J62="","",IF(VLOOKUP(J62,'G-3 Multipliers'!$L$3:$N$6,3,FALSE)=0,"Spatial Data Missing ⚠",VLOOKUP(J62,'G-3 Multipliers'!$L$3:$N$6,3,FALSE)))</f>
        <v/>
      </c>
      <c r="M62" s="290" t="str">
        <f>IF(OR(D62="",H62=""),"",(INDEX('G-6 Hedgerow Data'!$E$3:$I$15,MATCH(D62,'G-6 Hedgerow Data'!$B$3:$B$15,0),MATCH(H62,'G-6 Hedgerow Data'!$E$2:$I$2,0))))</f>
        <v/>
      </c>
      <c r="N62" s="138"/>
      <c r="O62" s="138"/>
      <c r="P62" s="298" t="str">
        <f t="shared" si="1"/>
        <v/>
      </c>
      <c r="Q62" s="311" t="str">
        <f t="shared" si="2"/>
        <v/>
      </c>
      <c r="R62" s="312" t="str">
        <f t="shared" si="0"/>
        <v/>
      </c>
      <c r="S62" s="325" t="str">
        <f>IF(D62="","",VLOOKUP(D62,'G-6 Hedgerow Data'!$B$3:$AG$15,31,FALSE))</f>
        <v/>
      </c>
      <c r="T62" s="298" t="str">
        <f t="shared" si="3"/>
        <v/>
      </c>
      <c r="U62" s="298" t="str">
        <f t="shared" si="4"/>
        <v/>
      </c>
      <c r="V62" s="314" t="str">
        <f>IF(D62="","",VLOOKUP(S62,'G-3 Multipliers'!$P$3:$Q$6,2,FALSE))</f>
        <v/>
      </c>
      <c r="W62" s="317" t="str">
        <f t="shared" si="5"/>
        <v/>
      </c>
      <c r="X62" s="98"/>
      <c r="Y62" s="99"/>
      <c r="Z62" s="101"/>
      <c r="AG62" s="15" t="str">
        <f>IFERROR(INDEX('G-6 Hedgerow Data'!$BJ$3:$BJ$15,MATCH(D62,'G-6 Hedgerow Data'!$B$3:$B$15,0)),"")</f>
        <v/>
      </c>
    </row>
    <row r="63" spans="2:33" ht="14" x14ac:dyDescent="0.3">
      <c r="B63" s="92">
        <v>52</v>
      </c>
      <c r="C63" s="143"/>
      <c r="D63" s="138"/>
      <c r="E63" s="120"/>
      <c r="F63" s="335" t="str">
        <f>IF(D63="","",VLOOKUP(D63,'G-6 Hedgerow Data'!$B$2:$AG$15,2,FALSE))</f>
        <v/>
      </c>
      <c r="G63" s="291" t="str">
        <f>IF(D63="","",VLOOKUP(D63,'G-6 Hedgerow Data'!$B$2:$AG$15,3,FALSE))</f>
        <v/>
      </c>
      <c r="H63" s="95"/>
      <c r="I63" s="291" t="str">
        <f>IFERROR(IF(H63="","",IF(AND(D63="Non-native and ornamental hedgerow", H63&lt;&gt;"Poor"),"Not possible ▲", (VLOOKUP(H63,'G-1 All Habitats'!$Z$2:$AA$9,2,FALSE)))),"")</f>
        <v/>
      </c>
      <c r="J63" s="95"/>
      <c r="K63" s="310" t="str">
        <f>IF(J63="","",IF(VLOOKUP(J63,'G-3 Multipliers'!$L$3:$N$6,2,FALSE)=0,"Spatial Data Missing ⚠",VLOOKUP(J63,'G-3 Multipliers'!$L$3:$N$6,2,FALSE)))</f>
        <v/>
      </c>
      <c r="L63" s="296" t="str">
        <f>IF(J63="","",IF(VLOOKUP(J63,'G-3 Multipliers'!$L$3:$N$6,3,FALSE)=0,"Spatial Data Missing ⚠",VLOOKUP(J63,'G-3 Multipliers'!$L$3:$N$6,3,FALSE)))</f>
        <v/>
      </c>
      <c r="M63" s="290" t="str">
        <f>IF(OR(D63="",H63=""),"",(INDEX('G-6 Hedgerow Data'!$E$3:$I$15,MATCH(D63,'G-6 Hedgerow Data'!$B$3:$B$15,0),MATCH(H63,'G-6 Hedgerow Data'!$E$2:$I$2,0))))</f>
        <v/>
      </c>
      <c r="N63" s="138"/>
      <c r="O63" s="138"/>
      <c r="P63" s="298" t="str">
        <f t="shared" si="1"/>
        <v/>
      </c>
      <c r="Q63" s="311" t="str">
        <f t="shared" si="2"/>
        <v/>
      </c>
      <c r="R63" s="312" t="str">
        <f t="shared" si="0"/>
        <v/>
      </c>
      <c r="S63" s="325" t="str">
        <f>IF(D63="","",VLOOKUP(D63,'G-6 Hedgerow Data'!$B$3:$AG$15,31,FALSE))</f>
        <v/>
      </c>
      <c r="T63" s="298" t="str">
        <f t="shared" si="3"/>
        <v/>
      </c>
      <c r="U63" s="298" t="str">
        <f t="shared" si="4"/>
        <v/>
      </c>
      <c r="V63" s="314" t="str">
        <f>IF(D63="","",VLOOKUP(S63,'G-3 Multipliers'!$P$3:$Q$6,2,FALSE))</f>
        <v/>
      </c>
      <c r="W63" s="317" t="str">
        <f t="shared" si="5"/>
        <v/>
      </c>
      <c r="X63" s="98"/>
      <c r="Y63" s="99"/>
      <c r="Z63" s="101"/>
      <c r="AG63" s="15" t="str">
        <f>IFERROR(INDEX('G-6 Hedgerow Data'!$BJ$3:$BJ$15,MATCH(D63,'G-6 Hedgerow Data'!$B$3:$B$15,0)),"")</f>
        <v/>
      </c>
    </row>
    <row r="64" spans="2:33" ht="14" x14ac:dyDescent="0.3">
      <c r="B64" s="92">
        <v>53</v>
      </c>
      <c r="C64" s="143"/>
      <c r="D64" s="138"/>
      <c r="E64" s="120"/>
      <c r="F64" s="335" t="str">
        <f>IF(D64="","",VLOOKUP(D64,'G-6 Hedgerow Data'!$B$2:$AG$15,2,FALSE))</f>
        <v/>
      </c>
      <c r="G64" s="291" t="str">
        <f>IF(D64="","",VLOOKUP(D64,'G-6 Hedgerow Data'!$B$2:$AG$15,3,FALSE))</f>
        <v/>
      </c>
      <c r="H64" s="95"/>
      <c r="I64" s="291" t="str">
        <f>IFERROR(IF(H64="","",IF(AND(D64="Non-native and ornamental hedgerow", H64&lt;&gt;"Poor"),"Not possible ▲", (VLOOKUP(H64,'G-1 All Habitats'!$Z$2:$AA$9,2,FALSE)))),"")</f>
        <v/>
      </c>
      <c r="J64" s="95"/>
      <c r="K64" s="310" t="str">
        <f>IF(J64="","",IF(VLOOKUP(J64,'G-3 Multipliers'!$L$3:$N$6,2,FALSE)=0,"Spatial Data Missing ⚠",VLOOKUP(J64,'G-3 Multipliers'!$L$3:$N$6,2,FALSE)))</f>
        <v/>
      </c>
      <c r="L64" s="296" t="str">
        <f>IF(J64="","",IF(VLOOKUP(J64,'G-3 Multipliers'!$L$3:$N$6,3,FALSE)=0,"Spatial Data Missing ⚠",VLOOKUP(J64,'G-3 Multipliers'!$L$3:$N$6,3,FALSE)))</f>
        <v/>
      </c>
      <c r="M64" s="290" t="str">
        <f>IF(OR(D64="",H64=""),"",(INDEX('G-6 Hedgerow Data'!$E$3:$I$15,MATCH(D64,'G-6 Hedgerow Data'!$B$3:$B$15,0),MATCH(H64,'G-6 Hedgerow Data'!$E$2:$I$2,0))))</f>
        <v/>
      </c>
      <c r="N64" s="138"/>
      <c r="O64" s="138"/>
      <c r="P64" s="298" t="str">
        <f t="shared" si="1"/>
        <v/>
      </c>
      <c r="Q64" s="311" t="str">
        <f t="shared" si="2"/>
        <v/>
      </c>
      <c r="R64" s="312" t="str">
        <f t="shared" si="0"/>
        <v/>
      </c>
      <c r="S64" s="325" t="str">
        <f>IF(D64="","",VLOOKUP(D64,'G-6 Hedgerow Data'!$B$3:$AG$15,31,FALSE))</f>
        <v/>
      </c>
      <c r="T64" s="298" t="str">
        <f t="shared" si="3"/>
        <v/>
      </c>
      <c r="U64" s="298" t="str">
        <f t="shared" si="4"/>
        <v/>
      </c>
      <c r="V64" s="314" t="str">
        <f>IF(D64="","",VLOOKUP(S64,'G-3 Multipliers'!$P$3:$Q$6,2,FALSE))</f>
        <v/>
      </c>
      <c r="W64" s="317" t="str">
        <f t="shared" si="5"/>
        <v/>
      </c>
      <c r="X64" s="98"/>
      <c r="Y64" s="99"/>
      <c r="Z64" s="101"/>
      <c r="AG64" s="15" t="str">
        <f>IFERROR(INDEX('G-6 Hedgerow Data'!$BJ$3:$BJ$15,MATCH(D64,'G-6 Hedgerow Data'!$B$3:$B$15,0)),"")</f>
        <v/>
      </c>
    </row>
    <row r="65" spans="2:33" ht="14" x14ac:dyDescent="0.3">
      <c r="B65" s="92">
        <v>54</v>
      </c>
      <c r="C65" s="143"/>
      <c r="D65" s="138"/>
      <c r="E65" s="120"/>
      <c r="F65" s="335" t="str">
        <f>IF(D65="","",VLOOKUP(D65,'G-6 Hedgerow Data'!$B$2:$AG$15,2,FALSE))</f>
        <v/>
      </c>
      <c r="G65" s="291" t="str">
        <f>IF(D65="","",VLOOKUP(D65,'G-6 Hedgerow Data'!$B$2:$AG$15,3,FALSE))</f>
        <v/>
      </c>
      <c r="H65" s="95"/>
      <c r="I65" s="291" t="str">
        <f>IFERROR(IF(H65="","",IF(AND(D65="Non-native and ornamental hedgerow", H65&lt;&gt;"Poor"),"Not possible ▲", (VLOOKUP(H65,'G-1 All Habitats'!$Z$2:$AA$9,2,FALSE)))),"")</f>
        <v/>
      </c>
      <c r="J65" s="95"/>
      <c r="K65" s="310" t="str">
        <f>IF(J65="","",IF(VLOOKUP(J65,'G-3 Multipliers'!$L$3:$N$6,2,FALSE)=0,"Spatial Data Missing ⚠",VLOOKUP(J65,'G-3 Multipliers'!$L$3:$N$6,2,FALSE)))</f>
        <v/>
      </c>
      <c r="L65" s="296" t="str">
        <f>IF(J65="","",IF(VLOOKUP(J65,'G-3 Multipliers'!$L$3:$N$6,3,FALSE)=0,"Spatial Data Missing ⚠",VLOOKUP(J65,'G-3 Multipliers'!$L$3:$N$6,3,FALSE)))</f>
        <v/>
      </c>
      <c r="M65" s="290" t="str">
        <f>IF(OR(D65="",H65=""),"",(INDEX('G-6 Hedgerow Data'!$E$3:$I$15,MATCH(D65,'G-6 Hedgerow Data'!$B$3:$B$15,0),MATCH(H65,'G-6 Hedgerow Data'!$E$2:$I$2,0))))</f>
        <v/>
      </c>
      <c r="N65" s="138"/>
      <c r="O65" s="138"/>
      <c r="P65" s="298" t="str">
        <f t="shared" si="1"/>
        <v/>
      </c>
      <c r="Q65" s="311" t="str">
        <f t="shared" si="2"/>
        <v/>
      </c>
      <c r="R65" s="312" t="str">
        <f t="shared" si="0"/>
        <v/>
      </c>
      <c r="S65" s="325" t="str">
        <f>IF(D65="","",VLOOKUP(D65,'G-6 Hedgerow Data'!$B$3:$AG$15,31,FALSE))</f>
        <v/>
      </c>
      <c r="T65" s="298" t="str">
        <f t="shared" si="3"/>
        <v/>
      </c>
      <c r="U65" s="298" t="str">
        <f t="shared" si="4"/>
        <v/>
      </c>
      <c r="V65" s="314" t="str">
        <f>IF(D65="","",VLOOKUP(S65,'G-3 Multipliers'!$P$3:$Q$6,2,FALSE))</f>
        <v/>
      </c>
      <c r="W65" s="317" t="str">
        <f t="shared" si="5"/>
        <v/>
      </c>
      <c r="X65" s="98"/>
      <c r="Y65" s="99"/>
      <c r="Z65" s="101"/>
      <c r="AG65" s="15" t="str">
        <f>IFERROR(INDEX('G-6 Hedgerow Data'!$BJ$3:$BJ$15,MATCH(D65,'G-6 Hedgerow Data'!$B$3:$B$15,0)),"")</f>
        <v/>
      </c>
    </row>
    <row r="66" spans="2:33" ht="14" x14ac:dyDescent="0.3">
      <c r="B66" s="92">
        <v>55</v>
      </c>
      <c r="C66" s="143"/>
      <c r="D66" s="138"/>
      <c r="E66" s="120"/>
      <c r="F66" s="335" t="str">
        <f>IF(D66="","",VLOOKUP(D66,'G-6 Hedgerow Data'!$B$2:$AG$15,2,FALSE))</f>
        <v/>
      </c>
      <c r="G66" s="291" t="str">
        <f>IF(D66="","",VLOOKUP(D66,'G-6 Hedgerow Data'!$B$2:$AG$15,3,FALSE))</f>
        <v/>
      </c>
      <c r="H66" s="95"/>
      <c r="I66" s="291" t="str">
        <f>IFERROR(IF(H66="","",IF(AND(D66="Non-native and ornamental hedgerow", H66&lt;&gt;"Poor"),"Not possible ▲", (VLOOKUP(H66,'G-1 All Habitats'!$Z$2:$AA$9,2,FALSE)))),"")</f>
        <v/>
      </c>
      <c r="J66" s="95"/>
      <c r="K66" s="310" t="str">
        <f>IF(J66="","",IF(VLOOKUP(J66,'G-3 Multipliers'!$L$3:$N$6,2,FALSE)=0,"Spatial Data Missing ⚠",VLOOKUP(J66,'G-3 Multipliers'!$L$3:$N$6,2,FALSE)))</f>
        <v/>
      </c>
      <c r="L66" s="296" t="str">
        <f>IF(J66="","",IF(VLOOKUP(J66,'G-3 Multipliers'!$L$3:$N$6,3,FALSE)=0,"Spatial Data Missing ⚠",VLOOKUP(J66,'G-3 Multipliers'!$L$3:$N$6,3,FALSE)))</f>
        <v/>
      </c>
      <c r="M66" s="290" t="str">
        <f>IF(OR(D66="",H66=""),"",(INDEX('G-6 Hedgerow Data'!$E$3:$I$15,MATCH(D66,'G-6 Hedgerow Data'!$B$3:$B$15,0),MATCH(H66,'G-6 Hedgerow Data'!$E$2:$I$2,0))))</f>
        <v/>
      </c>
      <c r="N66" s="138"/>
      <c r="O66" s="138"/>
      <c r="P66" s="298" t="str">
        <f t="shared" si="1"/>
        <v/>
      </c>
      <c r="Q66" s="311" t="str">
        <f t="shared" si="2"/>
        <v/>
      </c>
      <c r="R66" s="312" t="str">
        <f t="shared" si="0"/>
        <v/>
      </c>
      <c r="S66" s="325" t="str">
        <f>IF(D66="","",VLOOKUP(D66,'G-6 Hedgerow Data'!$B$3:$AG$15,31,FALSE))</f>
        <v/>
      </c>
      <c r="T66" s="298" t="str">
        <f t="shared" si="3"/>
        <v/>
      </c>
      <c r="U66" s="298" t="str">
        <f t="shared" si="4"/>
        <v/>
      </c>
      <c r="V66" s="314" t="str">
        <f>IF(D66="","",VLOOKUP(S66,'G-3 Multipliers'!$P$3:$Q$6,2,FALSE))</f>
        <v/>
      </c>
      <c r="W66" s="317" t="str">
        <f t="shared" si="5"/>
        <v/>
      </c>
      <c r="X66" s="98"/>
      <c r="Y66" s="99"/>
      <c r="Z66" s="101"/>
      <c r="AG66" s="15" t="str">
        <f>IFERROR(INDEX('G-6 Hedgerow Data'!$BJ$3:$BJ$15,MATCH(D66,'G-6 Hedgerow Data'!$B$3:$B$15,0)),"")</f>
        <v/>
      </c>
    </row>
    <row r="67" spans="2:33" ht="14" x14ac:dyDescent="0.3">
      <c r="B67" s="92">
        <v>56</v>
      </c>
      <c r="C67" s="143"/>
      <c r="D67" s="138"/>
      <c r="E67" s="120"/>
      <c r="F67" s="335" t="str">
        <f>IF(D67="","",VLOOKUP(D67,'G-6 Hedgerow Data'!$B$2:$AG$15,2,FALSE))</f>
        <v/>
      </c>
      <c r="G67" s="291" t="str">
        <f>IF(D67="","",VLOOKUP(D67,'G-6 Hedgerow Data'!$B$2:$AG$15,3,FALSE))</f>
        <v/>
      </c>
      <c r="H67" s="95"/>
      <c r="I67" s="291" t="str">
        <f>IFERROR(IF(H67="","",IF(AND(D67="Non-native and ornamental hedgerow", H67&lt;&gt;"Poor"),"Not possible ▲", (VLOOKUP(H67,'G-1 All Habitats'!$Z$2:$AA$9,2,FALSE)))),"")</f>
        <v/>
      </c>
      <c r="J67" s="95"/>
      <c r="K67" s="310" t="str">
        <f>IF(J67="","",IF(VLOOKUP(J67,'G-3 Multipliers'!$L$3:$N$6,2,FALSE)=0,"Spatial Data Missing ⚠",VLOOKUP(J67,'G-3 Multipliers'!$L$3:$N$6,2,FALSE)))</f>
        <v/>
      </c>
      <c r="L67" s="296" t="str">
        <f>IF(J67="","",IF(VLOOKUP(J67,'G-3 Multipliers'!$L$3:$N$6,3,FALSE)=0,"Spatial Data Missing ⚠",VLOOKUP(J67,'G-3 Multipliers'!$L$3:$N$6,3,FALSE)))</f>
        <v/>
      </c>
      <c r="M67" s="290" t="str">
        <f>IF(OR(D67="",H67=""),"",(INDEX('G-6 Hedgerow Data'!$E$3:$I$15,MATCH(D67,'G-6 Hedgerow Data'!$B$3:$B$15,0),MATCH(H67,'G-6 Hedgerow Data'!$E$2:$I$2,0))))</f>
        <v/>
      </c>
      <c r="N67" s="138"/>
      <c r="O67" s="138"/>
      <c r="P67" s="298" t="str">
        <f t="shared" si="1"/>
        <v/>
      </c>
      <c r="Q67" s="311" t="str">
        <f t="shared" si="2"/>
        <v/>
      </c>
      <c r="R67" s="312" t="str">
        <f t="shared" si="0"/>
        <v/>
      </c>
      <c r="S67" s="325" t="str">
        <f>IF(D67="","",VLOOKUP(D67,'G-6 Hedgerow Data'!$B$3:$AG$15,31,FALSE))</f>
        <v/>
      </c>
      <c r="T67" s="298" t="str">
        <f t="shared" si="3"/>
        <v/>
      </c>
      <c r="U67" s="298" t="str">
        <f t="shared" si="4"/>
        <v/>
      </c>
      <c r="V67" s="314" t="str">
        <f>IF(D67="","",VLOOKUP(S67,'G-3 Multipliers'!$P$3:$Q$6,2,FALSE))</f>
        <v/>
      </c>
      <c r="W67" s="317" t="str">
        <f t="shared" si="5"/>
        <v/>
      </c>
      <c r="X67" s="98"/>
      <c r="Y67" s="99"/>
      <c r="Z67" s="101"/>
      <c r="AG67" s="15" t="str">
        <f>IFERROR(INDEX('G-6 Hedgerow Data'!$BJ$3:$BJ$15,MATCH(D67,'G-6 Hedgerow Data'!$B$3:$B$15,0)),"")</f>
        <v/>
      </c>
    </row>
    <row r="68" spans="2:33" ht="14" x14ac:dyDescent="0.3">
      <c r="B68" s="92">
        <v>57</v>
      </c>
      <c r="C68" s="143"/>
      <c r="D68" s="138"/>
      <c r="E68" s="120"/>
      <c r="F68" s="335" t="str">
        <f>IF(D68="","",VLOOKUP(D68,'G-6 Hedgerow Data'!$B$2:$AG$15,2,FALSE))</f>
        <v/>
      </c>
      <c r="G68" s="291" t="str">
        <f>IF(D68="","",VLOOKUP(D68,'G-6 Hedgerow Data'!$B$2:$AG$15,3,FALSE))</f>
        <v/>
      </c>
      <c r="H68" s="95"/>
      <c r="I68" s="291" t="str">
        <f>IFERROR(IF(H68="","",IF(AND(D68="Non-native and ornamental hedgerow", H68&lt;&gt;"Poor"),"Not possible ▲", (VLOOKUP(H68,'G-1 All Habitats'!$Z$2:$AA$9,2,FALSE)))),"")</f>
        <v/>
      </c>
      <c r="J68" s="95"/>
      <c r="K68" s="310" t="str">
        <f>IF(J68="","",IF(VLOOKUP(J68,'G-3 Multipliers'!$L$3:$N$6,2,FALSE)=0,"Spatial Data Missing ⚠",VLOOKUP(J68,'G-3 Multipliers'!$L$3:$N$6,2,FALSE)))</f>
        <v/>
      </c>
      <c r="L68" s="296" t="str">
        <f>IF(J68="","",IF(VLOOKUP(J68,'G-3 Multipliers'!$L$3:$N$6,3,FALSE)=0,"Spatial Data Missing ⚠",VLOOKUP(J68,'G-3 Multipliers'!$L$3:$N$6,3,FALSE)))</f>
        <v/>
      </c>
      <c r="M68" s="290" t="str">
        <f>IF(OR(D68="",H68=""),"",(INDEX('G-6 Hedgerow Data'!$E$3:$I$15,MATCH(D68,'G-6 Hedgerow Data'!$B$3:$B$15,0),MATCH(H68,'G-6 Hedgerow Data'!$E$2:$I$2,0))))</f>
        <v/>
      </c>
      <c r="N68" s="138"/>
      <c r="O68" s="138"/>
      <c r="P68" s="298" t="str">
        <f t="shared" si="1"/>
        <v/>
      </c>
      <c r="Q68" s="311" t="str">
        <f t="shared" si="2"/>
        <v/>
      </c>
      <c r="R68" s="312" t="str">
        <f t="shared" si="0"/>
        <v/>
      </c>
      <c r="S68" s="325" t="str">
        <f>IF(D68="","",VLOOKUP(D68,'G-6 Hedgerow Data'!$B$3:$AG$15,31,FALSE))</f>
        <v/>
      </c>
      <c r="T68" s="298" t="str">
        <f t="shared" si="3"/>
        <v/>
      </c>
      <c r="U68" s="298" t="str">
        <f t="shared" si="4"/>
        <v/>
      </c>
      <c r="V68" s="314" t="str">
        <f>IF(D68="","",VLOOKUP(S68,'G-3 Multipliers'!$P$3:$Q$6,2,FALSE))</f>
        <v/>
      </c>
      <c r="W68" s="317" t="str">
        <f t="shared" si="5"/>
        <v/>
      </c>
      <c r="X68" s="98"/>
      <c r="Y68" s="99"/>
      <c r="Z68" s="101"/>
      <c r="AG68" s="15" t="str">
        <f>IFERROR(INDEX('G-6 Hedgerow Data'!$BJ$3:$BJ$15,MATCH(D68,'G-6 Hedgerow Data'!$B$3:$B$15,0)),"")</f>
        <v/>
      </c>
    </row>
    <row r="69" spans="2:33" ht="14" x14ac:dyDescent="0.3">
      <c r="B69" s="92">
        <v>58</v>
      </c>
      <c r="C69" s="143"/>
      <c r="D69" s="138"/>
      <c r="E69" s="120"/>
      <c r="F69" s="335" t="str">
        <f>IF(D69="","",VLOOKUP(D69,'G-6 Hedgerow Data'!$B$2:$AG$15,2,FALSE))</f>
        <v/>
      </c>
      <c r="G69" s="291" t="str">
        <f>IF(D69="","",VLOOKUP(D69,'G-6 Hedgerow Data'!$B$2:$AG$15,3,FALSE))</f>
        <v/>
      </c>
      <c r="H69" s="95"/>
      <c r="I69" s="291" t="str">
        <f>IFERROR(IF(H69="","",IF(AND(D69="Non-native and ornamental hedgerow", H69&lt;&gt;"Poor"),"Not possible ▲", (VLOOKUP(H69,'G-1 All Habitats'!$Z$2:$AA$9,2,FALSE)))),"")</f>
        <v/>
      </c>
      <c r="J69" s="95"/>
      <c r="K69" s="310" t="str">
        <f>IF(J69="","",IF(VLOOKUP(J69,'G-3 Multipliers'!$L$3:$N$6,2,FALSE)=0,"Spatial Data Missing ⚠",VLOOKUP(J69,'G-3 Multipliers'!$L$3:$N$6,2,FALSE)))</f>
        <v/>
      </c>
      <c r="L69" s="296" t="str">
        <f>IF(J69="","",IF(VLOOKUP(J69,'G-3 Multipliers'!$L$3:$N$6,3,FALSE)=0,"Spatial Data Missing ⚠",VLOOKUP(J69,'G-3 Multipliers'!$L$3:$N$6,3,FALSE)))</f>
        <v/>
      </c>
      <c r="M69" s="290" t="str">
        <f>IF(OR(D69="",H69=""),"",(INDEX('G-6 Hedgerow Data'!$E$3:$I$15,MATCH(D69,'G-6 Hedgerow Data'!$B$3:$B$15,0),MATCH(H69,'G-6 Hedgerow Data'!$E$2:$I$2,0))))</f>
        <v/>
      </c>
      <c r="N69" s="138"/>
      <c r="O69" s="138"/>
      <c r="P69" s="298" t="str">
        <f t="shared" si="1"/>
        <v/>
      </c>
      <c r="Q69" s="311" t="str">
        <f t="shared" si="2"/>
        <v/>
      </c>
      <c r="R69" s="312" t="str">
        <f t="shared" si="0"/>
        <v/>
      </c>
      <c r="S69" s="325" t="str">
        <f>IF(D69="","",VLOOKUP(D69,'G-6 Hedgerow Data'!$B$3:$AG$15,31,FALSE))</f>
        <v/>
      </c>
      <c r="T69" s="298" t="str">
        <f t="shared" si="3"/>
        <v/>
      </c>
      <c r="U69" s="298" t="str">
        <f t="shared" si="4"/>
        <v/>
      </c>
      <c r="V69" s="314" t="str">
        <f>IF(D69="","",VLOOKUP(S69,'G-3 Multipliers'!$P$3:$Q$6,2,FALSE))</f>
        <v/>
      </c>
      <c r="W69" s="317" t="str">
        <f t="shared" si="5"/>
        <v/>
      </c>
      <c r="X69" s="98"/>
      <c r="Y69" s="99"/>
      <c r="Z69" s="101"/>
      <c r="AG69" s="15" t="str">
        <f>IFERROR(INDEX('G-6 Hedgerow Data'!$BJ$3:$BJ$15,MATCH(D69,'G-6 Hedgerow Data'!$B$3:$B$15,0)),"")</f>
        <v/>
      </c>
    </row>
    <row r="70" spans="2:33" ht="14" x14ac:dyDescent="0.3">
      <c r="B70" s="92">
        <v>59</v>
      </c>
      <c r="C70" s="143"/>
      <c r="D70" s="138"/>
      <c r="E70" s="120"/>
      <c r="F70" s="335" t="str">
        <f>IF(D70="","",VLOOKUP(D70,'G-6 Hedgerow Data'!$B$2:$AG$15,2,FALSE))</f>
        <v/>
      </c>
      <c r="G70" s="291" t="str">
        <f>IF(D70="","",VLOOKUP(D70,'G-6 Hedgerow Data'!$B$2:$AG$15,3,FALSE))</f>
        <v/>
      </c>
      <c r="H70" s="95"/>
      <c r="I70" s="291" t="str">
        <f>IFERROR(IF(H70="","",IF(AND(D70="Non-native and ornamental hedgerow", H70&lt;&gt;"Poor"),"Not possible ▲", (VLOOKUP(H70,'G-1 All Habitats'!$Z$2:$AA$9,2,FALSE)))),"")</f>
        <v/>
      </c>
      <c r="J70" s="95"/>
      <c r="K70" s="310" t="str">
        <f>IF(J70="","",IF(VLOOKUP(J70,'G-3 Multipliers'!$L$3:$N$6,2,FALSE)=0,"Spatial Data Missing ⚠",VLOOKUP(J70,'G-3 Multipliers'!$L$3:$N$6,2,FALSE)))</f>
        <v/>
      </c>
      <c r="L70" s="296" t="str">
        <f>IF(J70="","",IF(VLOOKUP(J70,'G-3 Multipliers'!$L$3:$N$6,3,FALSE)=0,"Spatial Data Missing ⚠",VLOOKUP(J70,'G-3 Multipliers'!$L$3:$N$6,3,FALSE)))</f>
        <v/>
      </c>
      <c r="M70" s="290" t="str">
        <f>IF(OR(D70="",H70=""),"",(INDEX('G-6 Hedgerow Data'!$E$3:$I$15,MATCH(D70,'G-6 Hedgerow Data'!$B$3:$B$15,0),MATCH(H70,'G-6 Hedgerow Data'!$E$2:$I$2,0))))</f>
        <v/>
      </c>
      <c r="N70" s="138"/>
      <c r="O70" s="138"/>
      <c r="P70" s="298" t="str">
        <f t="shared" si="1"/>
        <v/>
      </c>
      <c r="Q70" s="311" t="str">
        <f t="shared" si="2"/>
        <v/>
      </c>
      <c r="R70" s="312" t="str">
        <f t="shared" si="0"/>
        <v/>
      </c>
      <c r="S70" s="325" t="str">
        <f>IF(D70="","",VLOOKUP(D70,'G-6 Hedgerow Data'!$B$3:$AG$15,31,FALSE))</f>
        <v/>
      </c>
      <c r="T70" s="298" t="str">
        <f t="shared" si="3"/>
        <v/>
      </c>
      <c r="U70" s="298" t="str">
        <f t="shared" si="4"/>
        <v/>
      </c>
      <c r="V70" s="314" t="str">
        <f>IF(D70="","",VLOOKUP(S70,'G-3 Multipliers'!$P$3:$Q$6,2,FALSE))</f>
        <v/>
      </c>
      <c r="W70" s="317" t="str">
        <f t="shared" si="5"/>
        <v/>
      </c>
      <c r="X70" s="98"/>
      <c r="Y70" s="99"/>
      <c r="Z70" s="101"/>
      <c r="AG70" s="15" t="str">
        <f>IFERROR(INDEX('G-6 Hedgerow Data'!$BJ$3:$BJ$15,MATCH(D70,'G-6 Hedgerow Data'!$B$3:$B$15,0)),"")</f>
        <v/>
      </c>
    </row>
    <row r="71" spans="2:33" ht="14" x14ac:dyDescent="0.3">
      <c r="B71" s="92">
        <v>60</v>
      </c>
      <c r="C71" s="143"/>
      <c r="D71" s="138"/>
      <c r="E71" s="120"/>
      <c r="F71" s="335" t="str">
        <f>IF(D71="","",VLOOKUP(D71,'G-6 Hedgerow Data'!$B$2:$AG$15,2,FALSE))</f>
        <v/>
      </c>
      <c r="G71" s="291" t="str">
        <f>IF(D71="","",VLOOKUP(D71,'G-6 Hedgerow Data'!$B$2:$AG$15,3,FALSE))</f>
        <v/>
      </c>
      <c r="H71" s="95"/>
      <c r="I71" s="291" t="str">
        <f>IFERROR(IF(H71="","",IF(AND(D71="Non-native and ornamental hedgerow", H71&lt;&gt;"Poor"),"Not possible ▲", (VLOOKUP(H71,'G-1 All Habitats'!$Z$2:$AA$9,2,FALSE)))),"")</f>
        <v/>
      </c>
      <c r="J71" s="95"/>
      <c r="K71" s="310" t="str">
        <f>IF(J71="","",IF(VLOOKUP(J71,'G-3 Multipliers'!$L$3:$N$6,2,FALSE)=0,"Spatial Data Missing ⚠",VLOOKUP(J71,'G-3 Multipliers'!$L$3:$N$6,2,FALSE)))</f>
        <v/>
      </c>
      <c r="L71" s="296" t="str">
        <f>IF(J71="","",IF(VLOOKUP(J71,'G-3 Multipliers'!$L$3:$N$6,3,FALSE)=0,"Spatial Data Missing ⚠",VLOOKUP(J71,'G-3 Multipliers'!$L$3:$N$6,3,FALSE)))</f>
        <v/>
      </c>
      <c r="M71" s="290" t="str">
        <f>IF(OR(D71="",H71=""),"",(INDEX('G-6 Hedgerow Data'!$E$3:$I$15,MATCH(D71,'G-6 Hedgerow Data'!$B$3:$B$15,0),MATCH(H71,'G-6 Hedgerow Data'!$E$2:$I$2,0))))</f>
        <v/>
      </c>
      <c r="N71" s="138"/>
      <c r="O71" s="138"/>
      <c r="P71" s="298" t="str">
        <f t="shared" si="1"/>
        <v/>
      </c>
      <c r="Q71" s="311" t="str">
        <f t="shared" si="2"/>
        <v/>
      </c>
      <c r="R71" s="312" t="str">
        <f t="shared" si="0"/>
        <v/>
      </c>
      <c r="S71" s="325" t="str">
        <f>IF(D71="","",VLOOKUP(D71,'G-6 Hedgerow Data'!$B$3:$AG$15,31,FALSE))</f>
        <v/>
      </c>
      <c r="T71" s="298" t="str">
        <f t="shared" si="3"/>
        <v/>
      </c>
      <c r="U71" s="298" t="str">
        <f t="shared" si="4"/>
        <v/>
      </c>
      <c r="V71" s="314" t="str">
        <f>IF(D71="","",VLOOKUP(S71,'G-3 Multipliers'!$P$3:$Q$6,2,FALSE))</f>
        <v/>
      </c>
      <c r="W71" s="317" t="str">
        <f t="shared" si="5"/>
        <v/>
      </c>
      <c r="X71" s="98"/>
      <c r="Y71" s="99"/>
      <c r="Z71" s="101"/>
      <c r="AG71" s="15" t="str">
        <f>IFERROR(INDEX('G-6 Hedgerow Data'!$BJ$3:$BJ$15,MATCH(D71,'G-6 Hedgerow Data'!$B$3:$B$15,0)),"")</f>
        <v/>
      </c>
    </row>
    <row r="72" spans="2:33" ht="14" x14ac:dyDescent="0.3">
      <c r="B72" s="92">
        <v>61</v>
      </c>
      <c r="C72" s="143"/>
      <c r="D72" s="138"/>
      <c r="E72" s="120"/>
      <c r="F72" s="335" t="str">
        <f>IF(D72="","",VLOOKUP(D72,'G-6 Hedgerow Data'!$B$2:$AG$15,2,FALSE))</f>
        <v/>
      </c>
      <c r="G72" s="291" t="str">
        <f>IF(D72="","",VLOOKUP(D72,'G-6 Hedgerow Data'!$B$2:$AG$15,3,FALSE))</f>
        <v/>
      </c>
      <c r="H72" s="95"/>
      <c r="I72" s="291" t="str">
        <f>IFERROR(IF(H72="","",IF(AND(D72="Non-native and ornamental hedgerow", H72&lt;&gt;"Poor"),"Not possible ▲", (VLOOKUP(H72,'G-1 All Habitats'!$Z$2:$AA$9,2,FALSE)))),"")</f>
        <v/>
      </c>
      <c r="J72" s="95"/>
      <c r="K72" s="310" t="str">
        <f>IF(J72="","",IF(VLOOKUP(J72,'G-3 Multipliers'!$L$3:$N$6,2,FALSE)=0,"Spatial Data Missing ⚠",VLOOKUP(J72,'G-3 Multipliers'!$L$3:$N$6,2,FALSE)))</f>
        <v/>
      </c>
      <c r="L72" s="296" t="str">
        <f>IF(J72="","",IF(VLOOKUP(J72,'G-3 Multipliers'!$L$3:$N$6,3,FALSE)=0,"Spatial Data Missing ⚠",VLOOKUP(J72,'G-3 Multipliers'!$L$3:$N$6,3,FALSE)))</f>
        <v/>
      </c>
      <c r="M72" s="290" t="str">
        <f>IF(OR(D72="",H72=""),"",(INDEX('G-6 Hedgerow Data'!$E$3:$I$15,MATCH(D72,'G-6 Hedgerow Data'!$B$3:$B$15,0),MATCH(H72,'G-6 Hedgerow Data'!$E$2:$I$2,0))))</f>
        <v/>
      </c>
      <c r="N72" s="138"/>
      <c r="O72" s="138"/>
      <c r="P72" s="298" t="str">
        <f t="shared" si="1"/>
        <v/>
      </c>
      <c r="Q72" s="311" t="str">
        <f t="shared" si="2"/>
        <v/>
      </c>
      <c r="R72" s="312" t="str">
        <f t="shared" si="0"/>
        <v/>
      </c>
      <c r="S72" s="325" t="str">
        <f>IF(D72="","",VLOOKUP(D72,'G-6 Hedgerow Data'!$B$3:$AG$15,31,FALSE))</f>
        <v/>
      </c>
      <c r="T72" s="298" t="str">
        <f t="shared" si="3"/>
        <v/>
      </c>
      <c r="U72" s="298" t="str">
        <f t="shared" si="4"/>
        <v/>
      </c>
      <c r="V72" s="314" t="str">
        <f>IF(D72="","",VLOOKUP(S72,'G-3 Multipliers'!$P$3:$Q$6,2,FALSE))</f>
        <v/>
      </c>
      <c r="W72" s="317" t="str">
        <f t="shared" si="5"/>
        <v/>
      </c>
      <c r="X72" s="98"/>
      <c r="Y72" s="99"/>
      <c r="Z72" s="101"/>
      <c r="AG72" s="15" t="str">
        <f>IFERROR(INDEX('G-6 Hedgerow Data'!$BJ$3:$BJ$15,MATCH(D72,'G-6 Hedgerow Data'!$B$3:$B$15,0)),"")</f>
        <v/>
      </c>
    </row>
    <row r="73" spans="2:33" ht="14" x14ac:dyDescent="0.3">
      <c r="B73" s="92">
        <v>62</v>
      </c>
      <c r="C73" s="143"/>
      <c r="D73" s="138"/>
      <c r="E73" s="120"/>
      <c r="F73" s="335" t="str">
        <f>IF(D73="","",VLOOKUP(D73,'G-6 Hedgerow Data'!$B$2:$AG$15,2,FALSE))</f>
        <v/>
      </c>
      <c r="G73" s="291" t="str">
        <f>IF(D73="","",VLOOKUP(D73,'G-6 Hedgerow Data'!$B$2:$AG$15,3,FALSE))</f>
        <v/>
      </c>
      <c r="H73" s="95"/>
      <c r="I73" s="291" t="str">
        <f>IFERROR(IF(H73="","",IF(AND(D73="Non-native and ornamental hedgerow", H73&lt;&gt;"Poor"),"Not possible ▲", (VLOOKUP(H73,'G-1 All Habitats'!$Z$2:$AA$9,2,FALSE)))),"")</f>
        <v/>
      </c>
      <c r="J73" s="95"/>
      <c r="K73" s="310" t="str">
        <f>IF(J73="","",IF(VLOOKUP(J73,'G-3 Multipliers'!$L$3:$N$6,2,FALSE)=0,"Spatial Data Missing ⚠",VLOOKUP(J73,'G-3 Multipliers'!$L$3:$N$6,2,FALSE)))</f>
        <v/>
      </c>
      <c r="L73" s="296" t="str">
        <f>IF(J73="","",IF(VLOOKUP(J73,'G-3 Multipliers'!$L$3:$N$6,3,FALSE)=0,"Spatial Data Missing ⚠",VLOOKUP(J73,'G-3 Multipliers'!$L$3:$N$6,3,FALSE)))</f>
        <v/>
      </c>
      <c r="M73" s="290" t="str">
        <f>IF(OR(D73="",H73=""),"",(INDEX('G-6 Hedgerow Data'!$E$3:$I$15,MATCH(D73,'G-6 Hedgerow Data'!$B$3:$B$15,0),MATCH(H73,'G-6 Hedgerow Data'!$E$2:$I$2,0))))</f>
        <v/>
      </c>
      <c r="N73" s="138"/>
      <c r="O73" s="138"/>
      <c r="P73" s="298" t="str">
        <f t="shared" si="1"/>
        <v/>
      </c>
      <c r="Q73" s="311" t="str">
        <f t="shared" si="2"/>
        <v/>
      </c>
      <c r="R73" s="312" t="str">
        <f t="shared" si="0"/>
        <v/>
      </c>
      <c r="S73" s="325" t="str">
        <f>IF(D73="","",VLOOKUP(D73,'G-6 Hedgerow Data'!$B$3:$AG$15,31,FALSE))</f>
        <v/>
      </c>
      <c r="T73" s="298" t="str">
        <f t="shared" si="3"/>
        <v/>
      </c>
      <c r="U73" s="298" t="str">
        <f t="shared" si="4"/>
        <v/>
      </c>
      <c r="V73" s="314" t="str">
        <f>IF(D73="","",VLOOKUP(S73,'G-3 Multipliers'!$P$3:$Q$6,2,FALSE))</f>
        <v/>
      </c>
      <c r="W73" s="317" t="str">
        <f t="shared" si="5"/>
        <v/>
      </c>
      <c r="X73" s="98"/>
      <c r="Y73" s="99"/>
      <c r="Z73" s="101"/>
      <c r="AG73" s="15" t="str">
        <f>IFERROR(INDEX('G-6 Hedgerow Data'!$BJ$3:$BJ$15,MATCH(D73,'G-6 Hedgerow Data'!$B$3:$B$15,0)),"")</f>
        <v/>
      </c>
    </row>
    <row r="74" spans="2:33" ht="14" x14ac:dyDescent="0.3">
      <c r="B74" s="92">
        <v>63</v>
      </c>
      <c r="C74" s="143"/>
      <c r="D74" s="138"/>
      <c r="E74" s="120"/>
      <c r="F74" s="335" t="str">
        <f>IF(D74="","",VLOOKUP(D74,'G-6 Hedgerow Data'!$B$2:$AG$15,2,FALSE))</f>
        <v/>
      </c>
      <c r="G74" s="291" t="str">
        <f>IF(D74="","",VLOOKUP(D74,'G-6 Hedgerow Data'!$B$2:$AG$15,3,FALSE))</f>
        <v/>
      </c>
      <c r="H74" s="95"/>
      <c r="I74" s="291" t="str">
        <f>IFERROR(IF(H74="","",IF(AND(D74="Non-native and ornamental hedgerow", H74&lt;&gt;"Poor"),"Not possible ▲", (VLOOKUP(H74,'G-1 All Habitats'!$Z$2:$AA$9,2,FALSE)))),"")</f>
        <v/>
      </c>
      <c r="J74" s="95"/>
      <c r="K74" s="310" t="str">
        <f>IF(J74="","",IF(VLOOKUP(J74,'G-3 Multipliers'!$L$3:$N$6,2,FALSE)=0,"Spatial Data Missing ⚠",VLOOKUP(J74,'G-3 Multipliers'!$L$3:$N$6,2,FALSE)))</f>
        <v/>
      </c>
      <c r="L74" s="296" t="str">
        <f>IF(J74="","",IF(VLOOKUP(J74,'G-3 Multipliers'!$L$3:$N$6,3,FALSE)=0,"Spatial Data Missing ⚠",VLOOKUP(J74,'G-3 Multipliers'!$L$3:$N$6,3,FALSE)))</f>
        <v/>
      </c>
      <c r="M74" s="290" t="str">
        <f>IF(OR(D74="",H74=""),"",(INDEX('G-6 Hedgerow Data'!$E$3:$I$15,MATCH(D74,'G-6 Hedgerow Data'!$B$3:$B$15,0),MATCH(H74,'G-6 Hedgerow Data'!$E$2:$I$2,0))))</f>
        <v/>
      </c>
      <c r="N74" s="138"/>
      <c r="O74" s="138"/>
      <c r="P74" s="298" t="str">
        <f t="shared" si="1"/>
        <v/>
      </c>
      <c r="Q74" s="311" t="str">
        <f t="shared" si="2"/>
        <v/>
      </c>
      <c r="R74" s="312" t="str">
        <f t="shared" si="0"/>
        <v/>
      </c>
      <c r="S74" s="325" t="str">
        <f>IF(D74="","",VLOOKUP(D74,'G-6 Hedgerow Data'!$B$3:$AG$15,31,FALSE))</f>
        <v/>
      </c>
      <c r="T74" s="298" t="str">
        <f t="shared" si="3"/>
        <v/>
      </c>
      <c r="U74" s="298" t="str">
        <f t="shared" si="4"/>
        <v/>
      </c>
      <c r="V74" s="314" t="str">
        <f>IF(D74="","",VLOOKUP(S74,'G-3 Multipliers'!$P$3:$Q$6,2,FALSE))</f>
        <v/>
      </c>
      <c r="W74" s="317" t="str">
        <f t="shared" si="5"/>
        <v/>
      </c>
      <c r="X74" s="98"/>
      <c r="Y74" s="99"/>
      <c r="Z74" s="101"/>
      <c r="AG74" s="15" t="str">
        <f>IFERROR(INDEX('G-6 Hedgerow Data'!$BJ$3:$BJ$15,MATCH(D74,'G-6 Hedgerow Data'!$B$3:$B$15,0)),"")</f>
        <v/>
      </c>
    </row>
    <row r="75" spans="2:33" ht="14" x14ac:dyDescent="0.3">
      <c r="B75" s="92">
        <v>64</v>
      </c>
      <c r="C75" s="143"/>
      <c r="D75" s="138"/>
      <c r="E75" s="120"/>
      <c r="F75" s="335" t="str">
        <f>IF(D75="","",VLOOKUP(D75,'G-6 Hedgerow Data'!$B$2:$AG$15,2,FALSE))</f>
        <v/>
      </c>
      <c r="G75" s="291" t="str">
        <f>IF(D75="","",VLOOKUP(D75,'G-6 Hedgerow Data'!$B$2:$AG$15,3,FALSE))</f>
        <v/>
      </c>
      <c r="H75" s="95"/>
      <c r="I75" s="291" t="str">
        <f>IFERROR(IF(H75="","",IF(AND(D75="Non-native and ornamental hedgerow", H75&lt;&gt;"Poor"),"Not possible ▲", (VLOOKUP(H75,'G-1 All Habitats'!$Z$2:$AA$9,2,FALSE)))),"")</f>
        <v/>
      </c>
      <c r="J75" s="95"/>
      <c r="K75" s="310" t="str">
        <f>IF(J75="","",IF(VLOOKUP(J75,'G-3 Multipliers'!$L$3:$N$6,2,FALSE)=0,"Spatial Data Missing ⚠",VLOOKUP(J75,'G-3 Multipliers'!$L$3:$N$6,2,FALSE)))</f>
        <v/>
      </c>
      <c r="L75" s="296" t="str">
        <f>IF(J75="","",IF(VLOOKUP(J75,'G-3 Multipliers'!$L$3:$N$6,3,FALSE)=0,"Spatial Data Missing ⚠",VLOOKUP(J75,'G-3 Multipliers'!$L$3:$N$6,3,FALSE)))</f>
        <v/>
      </c>
      <c r="M75" s="290" t="str">
        <f>IF(OR(D75="",H75=""),"",(INDEX('G-6 Hedgerow Data'!$E$3:$I$15,MATCH(D75,'G-6 Hedgerow Data'!$B$3:$B$15,0),MATCH(H75,'G-6 Hedgerow Data'!$E$2:$I$2,0))))</f>
        <v/>
      </c>
      <c r="N75" s="138"/>
      <c r="O75" s="138"/>
      <c r="P75" s="298" t="str">
        <f t="shared" si="1"/>
        <v/>
      </c>
      <c r="Q75" s="311" t="str">
        <f t="shared" si="2"/>
        <v/>
      </c>
      <c r="R75" s="312" t="str">
        <f t="shared" si="0"/>
        <v/>
      </c>
      <c r="S75" s="325" t="str">
        <f>IF(D75="","",VLOOKUP(D75,'G-6 Hedgerow Data'!$B$3:$AG$15,31,FALSE))</f>
        <v/>
      </c>
      <c r="T75" s="298" t="str">
        <f t="shared" si="3"/>
        <v/>
      </c>
      <c r="U75" s="298" t="str">
        <f t="shared" si="4"/>
        <v/>
      </c>
      <c r="V75" s="314" t="str">
        <f>IF(D75="","",VLOOKUP(S75,'G-3 Multipliers'!$P$3:$Q$6,2,FALSE))</f>
        <v/>
      </c>
      <c r="W75" s="317" t="str">
        <f t="shared" si="5"/>
        <v/>
      </c>
      <c r="X75" s="98"/>
      <c r="Y75" s="99"/>
      <c r="Z75" s="101"/>
      <c r="AG75" s="15" t="str">
        <f>IFERROR(INDEX('G-6 Hedgerow Data'!$BJ$3:$BJ$15,MATCH(D75,'G-6 Hedgerow Data'!$B$3:$B$15,0)),"")</f>
        <v/>
      </c>
    </row>
    <row r="76" spans="2:33" ht="14" x14ac:dyDescent="0.3">
      <c r="B76" s="92">
        <v>65</v>
      </c>
      <c r="C76" s="143"/>
      <c r="D76" s="138"/>
      <c r="E76" s="120"/>
      <c r="F76" s="335" t="str">
        <f>IF(D76="","",VLOOKUP(D76,'G-6 Hedgerow Data'!$B$2:$AG$15,2,FALSE))</f>
        <v/>
      </c>
      <c r="G76" s="291" t="str">
        <f>IF(D76="","",VLOOKUP(D76,'G-6 Hedgerow Data'!$B$2:$AG$15,3,FALSE))</f>
        <v/>
      </c>
      <c r="H76" s="95"/>
      <c r="I76" s="291" t="str">
        <f>IFERROR(IF(H76="","",IF(AND(D76="Non-native and ornamental hedgerow", H76&lt;&gt;"Poor"),"Not possible ▲", (VLOOKUP(H76,'G-1 All Habitats'!$Z$2:$AA$9,2,FALSE)))),"")</f>
        <v/>
      </c>
      <c r="J76" s="95"/>
      <c r="K76" s="310" t="str">
        <f>IF(J76="","",IF(VLOOKUP(J76,'G-3 Multipliers'!$L$3:$N$6,2,FALSE)=0,"Spatial Data Missing ⚠",VLOOKUP(J76,'G-3 Multipliers'!$L$3:$N$6,2,FALSE)))</f>
        <v/>
      </c>
      <c r="L76" s="296" t="str">
        <f>IF(J76="","",IF(VLOOKUP(J76,'G-3 Multipliers'!$L$3:$N$6,3,FALSE)=0,"Spatial Data Missing ⚠",VLOOKUP(J76,'G-3 Multipliers'!$L$3:$N$6,3,FALSE)))</f>
        <v/>
      </c>
      <c r="M76" s="290" t="str">
        <f>IF(OR(D76="",H76=""),"",(INDEX('G-6 Hedgerow Data'!$E$3:$I$15,MATCH(D76,'G-6 Hedgerow Data'!$B$3:$B$15,0),MATCH(H76,'G-6 Hedgerow Data'!$E$2:$I$2,0))))</f>
        <v/>
      </c>
      <c r="N76" s="138"/>
      <c r="O76" s="138"/>
      <c r="P76" s="298" t="str">
        <f t="shared" si="1"/>
        <v/>
      </c>
      <c r="Q76" s="311" t="str">
        <f t="shared" si="2"/>
        <v/>
      </c>
      <c r="R76" s="312" t="str">
        <f t="shared" ref="R76:R139" si="6">IF(M76="","",IF(Q76="Check Data ⚠","Check Data ⚠",VLOOKUP(Q76,TemporalMultipliers,3,FALSE)))</f>
        <v/>
      </c>
      <c r="S76" s="325" t="str">
        <f>IF(D76="","",VLOOKUP(D76,'G-6 Hedgerow Data'!$B$3:$AG$15,31,FALSE))</f>
        <v/>
      </c>
      <c r="T76" s="298" t="str">
        <f t="shared" si="3"/>
        <v/>
      </c>
      <c r="U76" s="298" t="str">
        <f t="shared" si="4"/>
        <v/>
      </c>
      <c r="V76" s="314" t="str">
        <f>IF(D76="","",VLOOKUP(S76,'G-3 Multipliers'!$P$3:$Q$6,2,FALSE))</f>
        <v/>
      </c>
      <c r="W76" s="317" t="str">
        <f t="shared" si="5"/>
        <v/>
      </c>
      <c r="X76" s="98"/>
      <c r="Y76" s="99"/>
      <c r="Z76" s="101"/>
      <c r="AG76" s="15" t="str">
        <f>IFERROR(INDEX('G-6 Hedgerow Data'!$BJ$3:$BJ$15,MATCH(D76,'G-6 Hedgerow Data'!$B$3:$B$15,0)),"")</f>
        <v/>
      </c>
    </row>
    <row r="77" spans="2:33" ht="14" x14ac:dyDescent="0.3">
      <c r="B77" s="92">
        <v>66</v>
      </c>
      <c r="C77" s="143"/>
      <c r="D77" s="138"/>
      <c r="E77" s="120"/>
      <c r="F77" s="335" t="str">
        <f>IF(D77="","",VLOOKUP(D77,'G-6 Hedgerow Data'!$B$2:$AG$15,2,FALSE))</f>
        <v/>
      </c>
      <c r="G77" s="291" t="str">
        <f>IF(D77="","",VLOOKUP(D77,'G-6 Hedgerow Data'!$B$2:$AG$15,3,FALSE))</f>
        <v/>
      </c>
      <c r="H77" s="95"/>
      <c r="I77" s="291" t="str">
        <f>IFERROR(IF(H77="","",IF(AND(D77="Non-native and ornamental hedgerow", H77&lt;&gt;"Poor"),"Not possible ▲", (VLOOKUP(H77,'G-1 All Habitats'!$Z$2:$AA$9,2,FALSE)))),"")</f>
        <v/>
      </c>
      <c r="J77" s="95"/>
      <c r="K77" s="310" t="str">
        <f>IF(J77="","",IF(VLOOKUP(J77,'G-3 Multipliers'!$L$3:$N$6,2,FALSE)=0,"Spatial Data Missing ⚠",VLOOKUP(J77,'G-3 Multipliers'!$L$3:$N$6,2,FALSE)))</f>
        <v/>
      </c>
      <c r="L77" s="296" t="str">
        <f>IF(J77="","",IF(VLOOKUP(J77,'G-3 Multipliers'!$L$3:$N$6,3,FALSE)=0,"Spatial Data Missing ⚠",VLOOKUP(J77,'G-3 Multipliers'!$L$3:$N$6,3,FALSE)))</f>
        <v/>
      </c>
      <c r="M77" s="290" t="str">
        <f>IF(OR(D77="",H77=""),"",(INDEX('G-6 Hedgerow Data'!$E$3:$I$15,MATCH(D77,'G-6 Hedgerow Data'!$B$3:$B$15,0),MATCH(H77,'G-6 Hedgerow Data'!$E$2:$I$2,0))))</f>
        <v/>
      </c>
      <c r="N77" s="138"/>
      <c r="O77" s="138"/>
      <c r="P77" s="298" t="str">
        <f t="shared" ref="P77:P140" si="7">IF(M77="","",IF(AND(N77&gt;0,O77&gt;0),"Error -both advance and delayed habitat creation ▲",IF(AND(OR(N77="Habitat already in target condition",M77&lt;=N77),O77=0),"Check details - Is there evidence that habitat has reached target condition? ⚠",IF(M77="","",IF(N77&gt;0,"Check details - Is there evidence habitat creation started/in place? ⚠",IF(O77&gt;0,"Check details- Delay in starting habitat in required condition? ⚠","Standard time to target condition applied"))))))</f>
        <v/>
      </c>
      <c r="Q77" s="311" t="str">
        <f t="shared" ref="Q77:Q140" si="8">IF(M77="","",IF(P77="Error -both advance and delayed habitat creation ▲","Check Data ⚠",IF(OR(N77="30+",N77="Habitat already in target condition"),0,IF(O77="30+","30+",IF(AND(M77="30+",OR(N77="",N77=0)),"30+",IF(AND(M77="30+",N77&gt;0),30-N77,IF(M77+O77&gt;30,"30+",IF(M77+O77-N77&gt;0,M77+O77-N77,IF(M77-N77&lt;0,0,M77+O77-N77)))))))))</f>
        <v/>
      </c>
      <c r="R77" s="312" t="str">
        <f t="shared" si="6"/>
        <v/>
      </c>
      <c r="S77" s="325" t="str">
        <f>IF(D77="","",VLOOKUP(D77,'G-6 Hedgerow Data'!$B$3:$AG$15,31,FALSE))</f>
        <v/>
      </c>
      <c r="T77" s="298" t="str">
        <f t="shared" ref="T77:T140" si="9">IF(D77="","",IF(Q77="Check Data ⚠","Check Data ⚠",IF(H77="","",IF($P77="Check details - Is there evidence that habitat has reached target condition? ⚠","Low Difficulty - only applicable if all habitat created before losses ⚠","Standard difficulty applied"))))</f>
        <v/>
      </c>
      <c r="U77" s="298" t="str">
        <f t="shared" ref="U77:U140" si="10">(IF(AND(T77="Standard difficulty applied",M77&gt;N77),S77,IF(AND(T77="Low Difficulty - only applicable if all habitat created before losses ⚠",Q77&lt;=0),"Low",S77)))</f>
        <v/>
      </c>
      <c r="V77" s="314" t="str">
        <f>IF(D77="","",VLOOKUP(S77,'G-3 Multipliers'!$P$3:$Q$6,2,FALSE))</f>
        <v/>
      </c>
      <c r="W77" s="317" t="str">
        <f t="shared" ref="W77:W140" si="11">IFERROR(E77*G77*I77*L77*R77*V77,"")</f>
        <v/>
      </c>
      <c r="X77" s="98"/>
      <c r="Y77" s="99"/>
      <c r="Z77" s="101"/>
      <c r="AG77" s="15" t="str">
        <f>IFERROR(INDEX('G-6 Hedgerow Data'!$BJ$3:$BJ$15,MATCH(D77,'G-6 Hedgerow Data'!$B$3:$B$15,0)),"")</f>
        <v/>
      </c>
    </row>
    <row r="78" spans="2:33" ht="14" x14ac:dyDescent="0.3">
      <c r="B78" s="92">
        <v>67</v>
      </c>
      <c r="C78" s="143"/>
      <c r="D78" s="138"/>
      <c r="E78" s="120"/>
      <c r="F78" s="335" t="str">
        <f>IF(D78="","",VLOOKUP(D78,'G-6 Hedgerow Data'!$B$2:$AG$15,2,FALSE))</f>
        <v/>
      </c>
      <c r="G78" s="291" t="str">
        <f>IF(D78="","",VLOOKUP(D78,'G-6 Hedgerow Data'!$B$2:$AG$15,3,FALSE))</f>
        <v/>
      </c>
      <c r="H78" s="95"/>
      <c r="I78" s="291" t="str">
        <f>IFERROR(IF(H78="","",IF(AND(D78="Non-native and ornamental hedgerow", H78&lt;&gt;"Poor"),"Not possible ▲", (VLOOKUP(H78,'G-1 All Habitats'!$Z$2:$AA$9,2,FALSE)))),"")</f>
        <v/>
      </c>
      <c r="J78" s="95"/>
      <c r="K78" s="310" t="str">
        <f>IF(J78="","",IF(VLOOKUP(J78,'G-3 Multipliers'!$L$3:$N$6,2,FALSE)=0,"Spatial Data Missing ⚠",VLOOKUP(J78,'G-3 Multipliers'!$L$3:$N$6,2,FALSE)))</f>
        <v/>
      </c>
      <c r="L78" s="296" t="str">
        <f>IF(J78="","",IF(VLOOKUP(J78,'G-3 Multipliers'!$L$3:$N$6,3,FALSE)=0,"Spatial Data Missing ⚠",VLOOKUP(J78,'G-3 Multipliers'!$L$3:$N$6,3,FALSE)))</f>
        <v/>
      </c>
      <c r="M78" s="290" t="str">
        <f>IF(OR(D78="",H78=""),"",(INDEX('G-6 Hedgerow Data'!$E$3:$I$15,MATCH(D78,'G-6 Hedgerow Data'!$B$3:$B$15,0),MATCH(H78,'G-6 Hedgerow Data'!$E$2:$I$2,0))))</f>
        <v/>
      </c>
      <c r="N78" s="138"/>
      <c r="O78" s="138"/>
      <c r="P78" s="298" t="str">
        <f t="shared" si="7"/>
        <v/>
      </c>
      <c r="Q78" s="311" t="str">
        <f t="shared" si="8"/>
        <v/>
      </c>
      <c r="R78" s="312" t="str">
        <f t="shared" si="6"/>
        <v/>
      </c>
      <c r="S78" s="325" t="str">
        <f>IF(D78="","",VLOOKUP(D78,'G-6 Hedgerow Data'!$B$3:$AG$15,31,FALSE))</f>
        <v/>
      </c>
      <c r="T78" s="298" t="str">
        <f t="shared" si="9"/>
        <v/>
      </c>
      <c r="U78" s="298" t="str">
        <f t="shared" si="10"/>
        <v/>
      </c>
      <c r="V78" s="314" t="str">
        <f>IF(D78="","",VLOOKUP(S78,'G-3 Multipliers'!$P$3:$Q$6,2,FALSE))</f>
        <v/>
      </c>
      <c r="W78" s="317" t="str">
        <f t="shared" si="11"/>
        <v/>
      </c>
      <c r="X78" s="98"/>
      <c r="Y78" s="99"/>
      <c r="Z78" s="101"/>
      <c r="AG78" s="15" t="str">
        <f>IFERROR(INDEX('G-6 Hedgerow Data'!$BJ$3:$BJ$15,MATCH(D78,'G-6 Hedgerow Data'!$B$3:$B$15,0)),"")</f>
        <v/>
      </c>
    </row>
    <row r="79" spans="2:33" ht="14" x14ac:dyDescent="0.3">
      <c r="B79" s="92">
        <v>68</v>
      </c>
      <c r="C79" s="143"/>
      <c r="D79" s="138"/>
      <c r="E79" s="120"/>
      <c r="F79" s="335" t="str">
        <f>IF(D79="","",VLOOKUP(D79,'G-6 Hedgerow Data'!$B$2:$AG$15,2,FALSE))</f>
        <v/>
      </c>
      <c r="G79" s="291" t="str">
        <f>IF(D79="","",VLOOKUP(D79,'G-6 Hedgerow Data'!$B$2:$AG$15,3,FALSE))</f>
        <v/>
      </c>
      <c r="H79" s="95"/>
      <c r="I79" s="291" t="str">
        <f>IFERROR(IF(H79="","",IF(AND(D79="Non-native and ornamental hedgerow", H79&lt;&gt;"Poor"),"Not possible ▲", (VLOOKUP(H79,'G-1 All Habitats'!$Z$2:$AA$9,2,FALSE)))),"")</f>
        <v/>
      </c>
      <c r="J79" s="95"/>
      <c r="K79" s="310" t="str">
        <f>IF(J79="","",IF(VLOOKUP(J79,'G-3 Multipliers'!$L$3:$N$6,2,FALSE)=0,"Spatial Data Missing ⚠",VLOOKUP(J79,'G-3 Multipliers'!$L$3:$N$6,2,FALSE)))</f>
        <v/>
      </c>
      <c r="L79" s="296" t="str">
        <f>IF(J79="","",IF(VLOOKUP(J79,'G-3 Multipliers'!$L$3:$N$6,3,FALSE)=0,"Spatial Data Missing ⚠",VLOOKUP(J79,'G-3 Multipliers'!$L$3:$N$6,3,FALSE)))</f>
        <v/>
      </c>
      <c r="M79" s="290" t="str">
        <f>IF(OR(D79="",H79=""),"",(INDEX('G-6 Hedgerow Data'!$E$3:$I$15,MATCH(D79,'G-6 Hedgerow Data'!$B$3:$B$15,0),MATCH(H79,'G-6 Hedgerow Data'!$E$2:$I$2,0))))</f>
        <v/>
      </c>
      <c r="N79" s="138"/>
      <c r="O79" s="138"/>
      <c r="P79" s="298" t="str">
        <f t="shared" si="7"/>
        <v/>
      </c>
      <c r="Q79" s="311" t="str">
        <f t="shared" si="8"/>
        <v/>
      </c>
      <c r="R79" s="312" t="str">
        <f t="shared" si="6"/>
        <v/>
      </c>
      <c r="S79" s="325" t="str">
        <f>IF(D79="","",VLOOKUP(D79,'G-6 Hedgerow Data'!$B$3:$AG$15,31,FALSE))</f>
        <v/>
      </c>
      <c r="T79" s="298" t="str">
        <f t="shared" si="9"/>
        <v/>
      </c>
      <c r="U79" s="298" t="str">
        <f t="shared" si="10"/>
        <v/>
      </c>
      <c r="V79" s="314" t="str">
        <f>IF(D79="","",VLOOKUP(S79,'G-3 Multipliers'!$P$3:$Q$6,2,FALSE))</f>
        <v/>
      </c>
      <c r="W79" s="317" t="str">
        <f t="shared" si="11"/>
        <v/>
      </c>
      <c r="X79" s="98"/>
      <c r="Y79" s="99"/>
      <c r="Z79" s="101"/>
      <c r="AG79" s="15" t="str">
        <f>IFERROR(INDEX('G-6 Hedgerow Data'!$BJ$3:$BJ$15,MATCH(D79,'G-6 Hedgerow Data'!$B$3:$B$15,0)),"")</f>
        <v/>
      </c>
    </row>
    <row r="80" spans="2:33" ht="14" x14ac:dyDescent="0.3">
      <c r="B80" s="92">
        <v>69</v>
      </c>
      <c r="C80" s="143"/>
      <c r="D80" s="138"/>
      <c r="E80" s="120"/>
      <c r="F80" s="335" t="str">
        <f>IF(D80="","",VLOOKUP(D80,'G-6 Hedgerow Data'!$B$2:$AG$15,2,FALSE))</f>
        <v/>
      </c>
      <c r="G80" s="291" t="str">
        <f>IF(D80="","",VLOOKUP(D80,'G-6 Hedgerow Data'!$B$2:$AG$15,3,FALSE))</f>
        <v/>
      </c>
      <c r="H80" s="95"/>
      <c r="I80" s="291" t="str">
        <f>IFERROR(IF(H80="","",IF(AND(D80="Non-native and ornamental hedgerow", H80&lt;&gt;"Poor"),"Not possible ▲", (VLOOKUP(H80,'G-1 All Habitats'!$Z$2:$AA$9,2,FALSE)))),"")</f>
        <v/>
      </c>
      <c r="J80" s="95"/>
      <c r="K80" s="310" t="str">
        <f>IF(J80="","",IF(VLOOKUP(J80,'G-3 Multipliers'!$L$3:$N$6,2,FALSE)=0,"Spatial Data Missing ⚠",VLOOKUP(J80,'G-3 Multipliers'!$L$3:$N$6,2,FALSE)))</f>
        <v/>
      </c>
      <c r="L80" s="296" t="str">
        <f>IF(J80="","",IF(VLOOKUP(J80,'G-3 Multipliers'!$L$3:$N$6,3,FALSE)=0,"Spatial Data Missing ⚠",VLOOKUP(J80,'G-3 Multipliers'!$L$3:$N$6,3,FALSE)))</f>
        <v/>
      </c>
      <c r="M80" s="290" t="str">
        <f>IF(OR(D80="",H80=""),"",(INDEX('G-6 Hedgerow Data'!$E$3:$I$15,MATCH(D80,'G-6 Hedgerow Data'!$B$3:$B$15,0),MATCH(H80,'G-6 Hedgerow Data'!$E$2:$I$2,0))))</f>
        <v/>
      </c>
      <c r="N80" s="138"/>
      <c r="O80" s="138"/>
      <c r="P80" s="298" t="str">
        <f t="shared" si="7"/>
        <v/>
      </c>
      <c r="Q80" s="311" t="str">
        <f t="shared" si="8"/>
        <v/>
      </c>
      <c r="R80" s="312" t="str">
        <f t="shared" si="6"/>
        <v/>
      </c>
      <c r="S80" s="325" t="str">
        <f>IF(D80="","",VLOOKUP(D80,'G-6 Hedgerow Data'!$B$3:$AG$15,31,FALSE))</f>
        <v/>
      </c>
      <c r="T80" s="298" t="str">
        <f t="shared" si="9"/>
        <v/>
      </c>
      <c r="U80" s="298" t="str">
        <f t="shared" si="10"/>
        <v/>
      </c>
      <c r="V80" s="314" t="str">
        <f>IF(D80="","",VLOOKUP(S80,'G-3 Multipliers'!$P$3:$Q$6,2,FALSE))</f>
        <v/>
      </c>
      <c r="W80" s="317" t="str">
        <f t="shared" si="11"/>
        <v/>
      </c>
      <c r="X80" s="98"/>
      <c r="Y80" s="99"/>
      <c r="Z80" s="101"/>
      <c r="AG80" s="15" t="str">
        <f>IFERROR(INDEX('G-6 Hedgerow Data'!$BJ$3:$BJ$15,MATCH(D80,'G-6 Hedgerow Data'!$B$3:$B$15,0)),"")</f>
        <v/>
      </c>
    </row>
    <row r="81" spans="2:33" ht="14" x14ac:dyDescent="0.3">
      <c r="B81" s="92">
        <v>70</v>
      </c>
      <c r="C81" s="143"/>
      <c r="D81" s="138"/>
      <c r="E81" s="120"/>
      <c r="F81" s="335" t="str">
        <f>IF(D81="","",VLOOKUP(D81,'G-6 Hedgerow Data'!$B$2:$AG$15,2,FALSE))</f>
        <v/>
      </c>
      <c r="G81" s="291" t="str">
        <f>IF(D81="","",VLOOKUP(D81,'G-6 Hedgerow Data'!$B$2:$AG$15,3,FALSE))</f>
        <v/>
      </c>
      <c r="H81" s="95"/>
      <c r="I81" s="291" t="str">
        <f>IFERROR(IF(H81="","",IF(AND(D81="Non-native and ornamental hedgerow", H81&lt;&gt;"Poor"),"Not possible ▲", (VLOOKUP(H81,'G-1 All Habitats'!$Z$2:$AA$9,2,FALSE)))),"")</f>
        <v/>
      </c>
      <c r="J81" s="95"/>
      <c r="K81" s="310" t="str">
        <f>IF(J81="","",IF(VLOOKUP(J81,'G-3 Multipliers'!$L$3:$N$6,2,FALSE)=0,"Spatial Data Missing ⚠",VLOOKUP(J81,'G-3 Multipliers'!$L$3:$N$6,2,FALSE)))</f>
        <v/>
      </c>
      <c r="L81" s="296" t="str">
        <f>IF(J81="","",IF(VLOOKUP(J81,'G-3 Multipliers'!$L$3:$N$6,3,FALSE)=0,"Spatial Data Missing ⚠",VLOOKUP(J81,'G-3 Multipliers'!$L$3:$N$6,3,FALSE)))</f>
        <v/>
      </c>
      <c r="M81" s="290" t="str">
        <f>IF(OR(D81="",H81=""),"",(INDEX('G-6 Hedgerow Data'!$E$3:$I$15,MATCH(D81,'G-6 Hedgerow Data'!$B$3:$B$15,0),MATCH(H81,'G-6 Hedgerow Data'!$E$2:$I$2,0))))</f>
        <v/>
      </c>
      <c r="N81" s="138"/>
      <c r="O81" s="138"/>
      <c r="P81" s="298" t="str">
        <f t="shared" si="7"/>
        <v/>
      </c>
      <c r="Q81" s="311" t="str">
        <f t="shared" si="8"/>
        <v/>
      </c>
      <c r="R81" s="312" t="str">
        <f t="shared" si="6"/>
        <v/>
      </c>
      <c r="S81" s="325" t="str">
        <f>IF(D81="","",VLOOKUP(D81,'G-6 Hedgerow Data'!$B$3:$AG$15,31,FALSE))</f>
        <v/>
      </c>
      <c r="T81" s="298" t="str">
        <f t="shared" si="9"/>
        <v/>
      </c>
      <c r="U81" s="298" t="str">
        <f t="shared" si="10"/>
        <v/>
      </c>
      <c r="V81" s="314" t="str">
        <f>IF(D81="","",VLOOKUP(S81,'G-3 Multipliers'!$P$3:$Q$6,2,FALSE))</f>
        <v/>
      </c>
      <c r="W81" s="317" t="str">
        <f t="shared" si="11"/>
        <v/>
      </c>
      <c r="X81" s="98"/>
      <c r="Y81" s="99"/>
      <c r="Z81" s="101"/>
      <c r="AG81" s="15" t="str">
        <f>IFERROR(INDEX('G-6 Hedgerow Data'!$BJ$3:$BJ$15,MATCH(D81,'G-6 Hedgerow Data'!$B$3:$B$15,0)),"")</f>
        <v/>
      </c>
    </row>
    <row r="82" spans="2:33" ht="14" x14ac:dyDescent="0.3">
      <c r="B82" s="92">
        <v>71</v>
      </c>
      <c r="C82" s="143"/>
      <c r="D82" s="138"/>
      <c r="E82" s="120"/>
      <c r="F82" s="335" t="str">
        <f>IF(D82="","",VLOOKUP(D82,'G-6 Hedgerow Data'!$B$2:$AG$15,2,FALSE))</f>
        <v/>
      </c>
      <c r="G82" s="291" t="str">
        <f>IF(D82="","",VLOOKUP(D82,'G-6 Hedgerow Data'!$B$2:$AG$15,3,FALSE))</f>
        <v/>
      </c>
      <c r="H82" s="95"/>
      <c r="I82" s="291" t="str">
        <f>IFERROR(IF(H82="","",IF(AND(D82="Non-native and ornamental hedgerow", H82&lt;&gt;"Poor"),"Not possible ▲", (VLOOKUP(H82,'G-1 All Habitats'!$Z$2:$AA$9,2,FALSE)))),"")</f>
        <v/>
      </c>
      <c r="J82" s="95"/>
      <c r="K82" s="310" t="str">
        <f>IF(J82="","",IF(VLOOKUP(J82,'G-3 Multipliers'!$L$3:$N$6,2,FALSE)=0,"Spatial Data Missing ⚠",VLOOKUP(J82,'G-3 Multipliers'!$L$3:$N$6,2,FALSE)))</f>
        <v/>
      </c>
      <c r="L82" s="296" t="str">
        <f>IF(J82="","",IF(VLOOKUP(J82,'G-3 Multipliers'!$L$3:$N$6,3,FALSE)=0,"Spatial Data Missing ⚠",VLOOKUP(J82,'G-3 Multipliers'!$L$3:$N$6,3,FALSE)))</f>
        <v/>
      </c>
      <c r="M82" s="290" t="str">
        <f>IF(OR(D82="",H82=""),"",(INDEX('G-6 Hedgerow Data'!$E$3:$I$15,MATCH(D82,'G-6 Hedgerow Data'!$B$3:$B$15,0),MATCH(H82,'G-6 Hedgerow Data'!$E$2:$I$2,0))))</f>
        <v/>
      </c>
      <c r="N82" s="138"/>
      <c r="O82" s="138"/>
      <c r="P82" s="298" t="str">
        <f t="shared" si="7"/>
        <v/>
      </c>
      <c r="Q82" s="311" t="str">
        <f t="shared" si="8"/>
        <v/>
      </c>
      <c r="R82" s="312" t="str">
        <f t="shared" si="6"/>
        <v/>
      </c>
      <c r="S82" s="325" t="str">
        <f>IF(D82="","",VLOOKUP(D82,'G-6 Hedgerow Data'!$B$3:$AG$15,31,FALSE))</f>
        <v/>
      </c>
      <c r="T82" s="298" t="str">
        <f t="shared" si="9"/>
        <v/>
      </c>
      <c r="U82" s="298" t="str">
        <f t="shared" si="10"/>
        <v/>
      </c>
      <c r="V82" s="314" t="str">
        <f>IF(D82="","",VLOOKUP(S82,'G-3 Multipliers'!$P$3:$Q$6,2,FALSE))</f>
        <v/>
      </c>
      <c r="W82" s="317" t="str">
        <f t="shared" si="11"/>
        <v/>
      </c>
      <c r="X82" s="98"/>
      <c r="Y82" s="99"/>
      <c r="Z82" s="101"/>
      <c r="AG82" s="15" t="str">
        <f>IFERROR(INDEX('G-6 Hedgerow Data'!$BJ$3:$BJ$15,MATCH(D82,'G-6 Hedgerow Data'!$B$3:$B$15,0)),"")</f>
        <v/>
      </c>
    </row>
    <row r="83" spans="2:33" ht="14" x14ac:dyDescent="0.3">
      <c r="B83" s="92">
        <v>72</v>
      </c>
      <c r="C83" s="143"/>
      <c r="D83" s="138"/>
      <c r="E83" s="120"/>
      <c r="F83" s="335" t="str">
        <f>IF(D83="","",VLOOKUP(D83,'G-6 Hedgerow Data'!$B$2:$AG$15,2,FALSE))</f>
        <v/>
      </c>
      <c r="G83" s="291" t="str">
        <f>IF(D83="","",VLOOKUP(D83,'G-6 Hedgerow Data'!$B$2:$AG$15,3,FALSE))</f>
        <v/>
      </c>
      <c r="H83" s="95"/>
      <c r="I83" s="291" t="str">
        <f>IFERROR(IF(H83="","",IF(AND(D83="Non-native and ornamental hedgerow", H83&lt;&gt;"Poor"),"Not possible ▲", (VLOOKUP(H83,'G-1 All Habitats'!$Z$2:$AA$9,2,FALSE)))),"")</f>
        <v/>
      </c>
      <c r="J83" s="95"/>
      <c r="K83" s="310" t="str">
        <f>IF(J83="","",IF(VLOOKUP(J83,'G-3 Multipliers'!$L$3:$N$6,2,FALSE)=0,"Spatial Data Missing ⚠",VLOOKUP(J83,'G-3 Multipliers'!$L$3:$N$6,2,FALSE)))</f>
        <v/>
      </c>
      <c r="L83" s="296" t="str">
        <f>IF(J83="","",IF(VLOOKUP(J83,'G-3 Multipliers'!$L$3:$N$6,3,FALSE)=0,"Spatial Data Missing ⚠",VLOOKUP(J83,'G-3 Multipliers'!$L$3:$N$6,3,FALSE)))</f>
        <v/>
      </c>
      <c r="M83" s="290" t="str">
        <f>IF(OR(D83="",H83=""),"",(INDEX('G-6 Hedgerow Data'!$E$3:$I$15,MATCH(D83,'G-6 Hedgerow Data'!$B$3:$B$15,0),MATCH(H83,'G-6 Hedgerow Data'!$E$2:$I$2,0))))</f>
        <v/>
      </c>
      <c r="N83" s="138"/>
      <c r="O83" s="138"/>
      <c r="P83" s="298" t="str">
        <f t="shared" si="7"/>
        <v/>
      </c>
      <c r="Q83" s="311" t="str">
        <f t="shared" si="8"/>
        <v/>
      </c>
      <c r="R83" s="312" t="str">
        <f t="shared" si="6"/>
        <v/>
      </c>
      <c r="S83" s="325" t="str">
        <f>IF(D83="","",VLOOKUP(D83,'G-6 Hedgerow Data'!$B$3:$AG$15,31,FALSE))</f>
        <v/>
      </c>
      <c r="T83" s="298" t="str">
        <f t="shared" si="9"/>
        <v/>
      </c>
      <c r="U83" s="298" t="str">
        <f t="shared" si="10"/>
        <v/>
      </c>
      <c r="V83" s="314" t="str">
        <f>IF(D83="","",VLOOKUP(S83,'G-3 Multipliers'!$P$3:$Q$6,2,FALSE))</f>
        <v/>
      </c>
      <c r="W83" s="317" t="str">
        <f t="shared" si="11"/>
        <v/>
      </c>
      <c r="X83" s="98"/>
      <c r="Y83" s="99"/>
      <c r="Z83" s="101"/>
      <c r="AG83" s="15" t="str">
        <f>IFERROR(INDEX('G-6 Hedgerow Data'!$BJ$3:$BJ$15,MATCH(D83,'G-6 Hedgerow Data'!$B$3:$B$15,0)),"")</f>
        <v/>
      </c>
    </row>
    <row r="84" spans="2:33" ht="14" x14ac:dyDescent="0.3">
      <c r="B84" s="92">
        <v>73</v>
      </c>
      <c r="C84" s="143"/>
      <c r="D84" s="138"/>
      <c r="E84" s="120"/>
      <c r="F84" s="335" t="str">
        <f>IF(D84="","",VLOOKUP(D84,'G-6 Hedgerow Data'!$B$2:$AG$15,2,FALSE))</f>
        <v/>
      </c>
      <c r="G84" s="291" t="str">
        <f>IF(D84="","",VLOOKUP(D84,'G-6 Hedgerow Data'!$B$2:$AG$15,3,FALSE))</f>
        <v/>
      </c>
      <c r="H84" s="95"/>
      <c r="I84" s="291" t="str">
        <f>IFERROR(IF(H84="","",IF(AND(D84="Non-native and ornamental hedgerow", H84&lt;&gt;"Poor"),"Not possible ▲", (VLOOKUP(H84,'G-1 All Habitats'!$Z$2:$AA$9,2,FALSE)))),"")</f>
        <v/>
      </c>
      <c r="J84" s="95"/>
      <c r="K84" s="310" t="str">
        <f>IF(J84="","",IF(VLOOKUP(J84,'G-3 Multipliers'!$L$3:$N$6,2,FALSE)=0,"Spatial Data Missing ⚠",VLOOKUP(J84,'G-3 Multipliers'!$L$3:$N$6,2,FALSE)))</f>
        <v/>
      </c>
      <c r="L84" s="296" t="str">
        <f>IF(J84="","",IF(VLOOKUP(J84,'G-3 Multipliers'!$L$3:$N$6,3,FALSE)=0,"Spatial Data Missing ⚠",VLOOKUP(J84,'G-3 Multipliers'!$L$3:$N$6,3,FALSE)))</f>
        <v/>
      </c>
      <c r="M84" s="290" t="str">
        <f>IF(OR(D84="",H84=""),"",(INDEX('G-6 Hedgerow Data'!$E$3:$I$15,MATCH(D84,'G-6 Hedgerow Data'!$B$3:$B$15,0),MATCH(H84,'G-6 Hedgerow Data'!$E$2:$I$2,0))))</f>
        <v/>
      </c>
      <c r="N84" s="138"/>
      <c r="O84" s="138"/>
      <c r="P84" s="298" t="str">
        <f t="shared" si="7"/>
        <v/>
      </c>
      <c r="Q84" s="311" t="str">
        <f t="shared" si="8"/>
        <v/>
      </c>
      <c r="R84" s="312" t="str">
        <f t="shared" si="6"/>
        <v/>
      </c>
      <c r="S84" s="325" t="str">
        <f>IF(D84="","",VLOOKUP(D84,'G-6 Hedgerow Data'!$B$3:$AG$15,31,FALSE))</f>
        <v/>
      </c>
      <c r="T84" s="298" t="str">
        <f t="shared" si="9"/>
        <v/>
      </c>
      <c r="U84" s="298" t="str">
        <f t="shared" si="10"/>
        <v/>
      </c>
      <c r="V84" s="314" t="str">
        <f>IF(D84="","",VLOOKUP(S84,'G-3 Multipliers'!$P$3:$Q$6,2,FALSE))</f>
        <v/>
      </c>
      <c r="W84" s="317" t="str">
        <f t="shared" si="11"/>
        <v/>
      </c>
      <c r="X84" s="98"/>
      <c r="Y84" s="99"/>
      <c r="Z84" s="101"/>
      <c r="AG84" s="15" t="str">
        <f>IFERROR(INDEX('G-6 Hedgerow Data'!$BJ$3:$BJ$15,MATCH(D84,'G-6 Hedgerow Data'!$B$3:$B$15,0)),"")</f>
        <v/>
      </c>
    </row>
    <row r="85" spans="2:33" ht="14" x14ac:dyDescent="0.3">
      <c r="B85" s="92">
        <v>74</v>
      </c>
      <c r="C85" s="143"/>
      <c r="D85" s="138"/>
      <c r="E85" s="120"/>
      <c r="F85" s="335" t="str">
        <f>IF(D85="","",VLOOKUP(D85,'G-6 Hedgerow Data'!$B$2:$AG$15,2,FALSE))</f>
        <v/>
      </c>
      <c r="G85" s="291" t="str">
        <f>IF(D85="","",VLOOKUP(D85,'G-6 Hedgerow Data'!$B$2:$AG$15,3,FALSE))</f>
        <v/>
      </c>
      <c r="H85" s="95"/>
      <c r="I85" s="291" t="str">
        <f>IFERROR(IF(H85="","",IF(AND(D85="Non-native and ornamental hedgerow", H85&lt;&gt;"Poor"),"Not possible ▲", (VLOOKUP(H85,'G-1 All Habitats'!$Z$2:$AA$9,2,FALSE)))),"")</f>
        <v/>
      </c>
      <c r="J85" s="95"/>
      <c r="K85" s="310" t="str">
        <f>IF(J85="","",IF(VLOOKUP(J85,'G-3 Multipliers'!$L$3:$N$6,2,FALSE)=0,"Spatial Data Missing ⚠",VLOOKUP(J85,'G-3 Multipliers'!$L$3:$N$6,2,FALSE)))</f>
        <v/>
      </c>
      <c r="L85" s="296" t="str">
        <f>IF(J85="","",IF(VLOOKUP(J85,'G-3 Multipliers'!$L$3:$N$6,3,FALSE)=0,"Spatial Data Missing ⚠",VLOOKUP(J85,'G-3 Multipliers'!$L$3:$N$6,3,FALSE)))</f>
        <v/>
      </c>
      <c r="M85" s="290" t="str">
        <f>IF(OR(D85="",H85=""),"",(INDEX('G-6 Hedgerow Data'!$E$3:$I$15,MATCH(D85,'G-6 Hedgerow Data'!$B$3:$B$15,0),MATCH(H85,'G-6 Hedgerow Data'!$E$2:$I$2,0))))</f>
        <v/>
      </c>
      <c r="N85" s="138"/>
      <c r="O85" s="138"/>
      <c r="P85" s="298" t="str">
        <f t="shared" si="7"/>
        <v/>
      </c>
      <c r="Q85" s="311" t="str">
        <f t="shared" si="8"/>
        <v/>
      </c>
      <c r="R85" s="312" t="str">
        <f t="shared" si="6"/>
        <v/>
      </c>
      <c r="S85" s="325" t="str">
        <f>IF(D85="","",VLOOKUP(D85,'G-6 Hedgerow Data'!$B$3:$AG$15,31,FALSE))</f>
        <v/>
      </c>
      <c r="T85" s="298" t="str">
        <f t="shared" si="9"/>
        <v/>
      </c>
      <c r="U85" s="298" t="str">
        <f t="shared" si="10"/>
        <v/>
      </c>
      <c r="V85" s="314" t="str">
        <f>IF(D85="","",VLOOKUP(S85,'G-3 Multipliers'!$P$3:$Q$6,2,FALSE))</f>
        <v/>
      </c>
      <c r="W85" s="317" t="str">
        <f t="shared" si="11"/>
        <v/>
      </c>
      <c r="X85" s="98"/>
      <c r="Y85" s="99"/>
      <c r="Z85" s="101"/>
      <c r="AG85" s="15" t="str">
        <f>IFERROR(INDEX('G-6 Hedgerow Data'!$BJ$3:$BJ$15,MATCH(D85,'G-6 Hedgerow Data'!$B$3:$B$15,0)),"")</f>
        <v/>
      </c>
    </row>
    <row r="86" spans="2:33" ht="14" x14ac:dyDescent="0.3">
      <c r="B86" s="92">
        <v>75</v>
      </c>
      <c r="C86" s="143"/>
      <c r="D86" s="138"/>
      <c r="E86" s="120"/>
      <c r="F86" s="335" t="str">
        <f>IF(D86="","",VLOOKUP(D86,'G-6 Hedgerow Data'!$B$2:$AG$15,2,FALSE))</f>
        <v/>
      </c>
      <c r="G86" s="291" t="str">
        <f>IF(D86="","",VLOOKUP(D86,'G-6 Hedgerow Data'!$B$2:$AG$15,3,FALSE))</f>
        <v/>
      </c>
      <c r="H86" s="95"/>
      <c r="I86" s="291" t="str">
        <f>IFERROR(IF(H86="","",IF(AND(D86="Non-native and ornamental hedgerow", H86&lt;&gt;"Poor"),"Not possible ▲", (VLOOKUP(H86,'G-1 All Habitats'!$Z$2:$AA$9,2,FALSE)))),"")</f>
        <v/>
      </c>
      <c r="J86" s="95"/>
      <c r="K86" s="310" t="str">
        <f>IF(J86="","",IF(VLOOKUP(J86,'G-3 Multipliers'!$L$3:$N$6,2,FALSE)=0,"Spatial Data Missing ⚠",VLOOKUP(J86,'G-3 Multipliers'!$L$3:$N$6,2,FALSE)))</f>
        <v/>
      </c>
      <c r="L86" s="296" t="str">
        <f>IF(J86="","",IF(VLOOKUP(J86,'G-3 Multipliers'!$L$3:$N$6,3,FALSE)=0,"Spatial Data Missing ⚠",VLOOKUP(J86,'G-3 Multipliers'!$L$3:$N$6,3,FALSE)))</f>
        <v/>
      </c>
      <c r="M86" s="290" t="str">
        <f>IF(OR(D86="",H86=""),"",(INDEX('G-6 Hedgerow Data'!$E$3:$I$15,MATCH(D86,'G-6 Hedgerow Data'!$B$3:$B$15,0),MATCH(H86,'G-6 Hedgerow Data'!$E$2:$I$2,0))))</f>
        <v/>
      </c>
      <c r="N86" s="138"/>
      <c r="O86" s="138"/>
      <c r="P86" s="298" t="str">
        <f t="shared" si="7"/>
        <v/>
      </c>
      <c r="Q86" s="311" t="str">
        <f t="shared" si="8"/>
        <v/>
      </c>
      <c r="R86" s="312" t="str">
        <f t="shared" si="6"/>
        <v/>
      </c>
      <c r="S86" s="325" t="str">
        <f>IF(D86="","",VLOOKUP(D86,'G-6 Hedgerow Data'!$B$3:$AG$15,31,FALSE))</f>
        <v/>
      </c>
      <c r="T86" s="298" t="str">
        <f t="shared" si="9"/>
        <v/>
      </c>
      <c r="U86" s="298" t="str">
        <f t="shared" si="10"/>
        <v/>
      </c>
      <c r="V86" s="314" t="str">
        <f>IF(D86="","",VLOOKUP(S86,'G-3 Multipliers'!$P$3:$Q$6,2,FALSE))</f>
        <v/>
      </c>
      <c r="W86" s="317" t="str">
        <f t="shared" si="11"/>
        <v/>
      </c>
      <c r="X86" s="98"/>
      <c r="Y86" s="99"/>
      <c r="Z86" s="101"/>
      <c r="AG86" s="15" t="str">
        <f>IFERROR(INDEX('G-6 Hedgerow Data'!$BJ$3:$BJ$15,MATCH(D86,'G-6 Hedgerow Data'!$B$3:$B$15,0)),"")</f>
        <v/>
      </c>
    </row>
    <row r="87" spans="2:33" ht="14" x14ac:dyDescent="0.3">
      <c r="B87" s="92">
        <v>76</v>
      </c>
      <c r="C87" s="143"/>
      <c r="D87" s="138"/>
      <c r="E87" s="120"/>
      <c r="F87" s="335" t="str">
        <f>IF(D87="","",VLOOKUP(D87,'G-6 Hedgerow Data'!$B$2:$AG$15,2,FALSE))</f>
        <v/>
      </c>
      <c r="G87" s="291" t="str">
        <f>IF(D87="","",VLOOKUP(D87,'G-6 Hedgerow Data'!$B$2:$AG$15,3,FALSE))</f>
        <v/>
      </c>
      <c r="H87" s="95"/>
      <c r="I87" s="291" t="str">
        <f>IFERROR(IF(H87="","",IF(AND(D87="Non-native and ornamental hedgerow", H87&lt;&gt;"Poor"),"Not possible ▲", (VLOOKUP(H87,'G-1 All Habitats'!$Z$2:$AA$9,2,FALSE)))),"")</f>
        <v/>
      </c>
      <c r="J87" s="95"/>
      <c r="K87" s="310" t="str">
        <f>IF(J87="","",IF(VLOOKUP(J87,'G-3 Multipliers'!$L$3:$N$6,2,FALSE)=0,"Spatial Data Missing ⚠",VLOOKUP(J87,'G-3 Multipliers'!$L$3:$N$6,2,FALSE)))</f>
        <v/>
      </c>
      <c r="L87" s="296" t="str">
        <f>IF(J87="","",IF(VLOOKUP(J87,'G-3 Multipliers'!$L$3:$N$6,3,FALSE)=0,"Spatial Data Missing ⚠",VLOOKUP(J87,'G-3 Multipliers'!$L$3:$N$6,3,FALSE)))</f>
        <v/>
      </c>
      <c r="M87" s="290" t="str">
        <f>IF(OR(D87="",H87=""),"",(INDEX('G-6 Hedgerow Data'!$E$3:$I$15,MATCH(D87,'G-6 Hedgerow Data'!$B$3:$B$15,0),MATCH(H87,'G-6 Hedgerow Data'!$E$2:$I$2,0))))</f>
        <v/>
      </c>
      <c r="N87" s="138"/>
      <c r="O87" s="138"/>
      <c r="P87" s="298" t="str">
        <f t="shared" si="7"/>
        <v/>
      </c>
      <c r="Q87" s="311" t="str">
        <f t="shared" si="8"/>
        <v/>
      </c>
      <c r="R87" s="312" t="str">
        <f t="shared" si="6"/>
        <v/>
      </c>
      <c r="S87" s="325" t="str">
        <f>IF(D87="","",VLOOKUP(D87,'G-6 Hedgerow Data'!$B$3:$AG$15,31,FALSE))</f>
        <v/>
      </c>
      <c r="T87" s="298" t="str">
        <f t="shared" si="9"/>
        <v/>
      </c>
      <c r="U87" s="298" t="str">
        <f t="shared" si="10"/>
        <v/>
      </c>
      <c r="V87" s="314" t="str">
        <f>IF(D87="","",VLOOKUP(S87,'G-3 Multipliers'!$P$3:$Q$6,2,FALSE))</f>
        <v/>
      </c>
      <c r="W87" s="317" t="str">
        <f t="shared" si="11"/>
        <v/>
      </c>
      <c r="X87" s="98"/>
      <c r="Y87" s="99"/>
      <c r="Z87" s="101"/>
      <c r="AG87" s="15" t="str">
        <f>IFERROR(INDEX('G-6 Hedgerow Data'!$BJ$3:$BJ$15,MATCH(D87,'G-6 Hedgerow Data'!$B$3:$B$15,0)),"")</f>
        <v/>
      </c>
    </row>
    <row r="88" spans="2:33" ht="14" x14ac:dyDescent="0.3">
      <c r="B88" s="92">
        <v>77</v>
      </c>
      <c r="C88" s="143"/>
      <c r="D88" s="138"/>
      <c r="E88" s="120"/>
      <c r="F88" s="335" t="str">
        <f>IF(D88="","",VLOOKUP(D88,'G-6 Hedgerow Data'!$B$2:$AG$15,2,FALSE))</f>
        <v/>
      </c>
      <c r="G88" s="291" t="str">
        <f>IF(D88="","",VLOOKUP(D88,'G-6 Hedgerow Data'!$B$2:$AG$15,3,FALSE))</f>
        <v/>
      </c>
      <c r="H88" s="95"/>
      <c r="I88" s="291" t="str">
        <f>IFERROR(IF(H88="","",IF(AND(D88="Non-native and ornamental hedgerow", H88&lt;&gt;"Poor"),"Not possible ▲", (VLOOKUP(H88,'G-1 All Habitats'!$Z$2:$AA$9,2,FALSE)))),"")</f>
        <v/>
      </c>
      <c r="J88" s="95"/>
      <c r="K88" s="310" t="str">
        <f>IF(J88="","",IF(VLOOKUP(J88,'G-3 Multipliers'!$L$3:$N$6,2,FALSE)=0,"Spatial Data Missing ⚠",VLOOKUP(J88,'G-3 Multipliers'!$L$3:$N$6,2,FALSE)))</f>
        <v/>
      </c>
      <c r="L88" s="296" t="str">
        <f>IF(J88="","",IF(VLOOKUP(J88,'G-3 Multipliers'!$L$3:$N$6,3,FALSE)=0,"Spatial Data Missing ⚠",VLOOKUP(J88,'G-3 Multipliers'!$L$3:$N$6,3,FALSE)))</f>
        <v/>
      </c>
      <c r="M88" s="290" t="str">
        <f>IF(OR(D88="",H88=""),"",(INDEX('G-6 Hedgerow Data'!$E$3:$I$15,MATCH(D88,'G-6 Hedgerow Data'!$B$3:$B$15,0),MATCH(H88,'G-6 Hedgerow Data'!$E$2:$I$2,0))))</f>
        <v/>
      </c>
      <c r="N88" s="138"/>
      <c r="O88" s="138"/>
      <c r="P88" s="298" t="str">
        <f t="shared" si="7"/>
        <v/>
      </c>
      <c r="Q88" s="311" t="str">
        <f t="shared" si="8"/>
        <v/>
      </c>
      <c r="R88" s="312" t="str">
        <f t="shared" si="6"/>
        <v/>
      </c>
      <c r="S88" s="325" t="str">
        <f>IF(D88="","",VLOOKUP(D88,'G-6 Hedgerow Data'!$B$3:$AG$15,31,FALSE))</f>
        <v/>
      </c>
      <c r="T88" s="298" t="str">
        <f t="shared" si="9"/>
        <v/>
      </c>
      <c r="U88" s="298" t="str">
        <f t="shared" si="10"/>
        <v/>
      </c>
      <c r="V88" s="314" t="str">
        <f>IF(D88="","",VLOOKUP(S88,'G-3 Multipliers'!$P$3:$Q$6,2,FALSE))</f>
        <v/>
      </c>
      <c r="W88" s="317" t="str">
        <f t="shared" si="11"/>
        <v/>
      </c>
      <c r="X88" s="98"/>
      <c r="Y88" s="99"/>
      <c r="Z88" s="101"/>
      <c r="AG88" s="15" t="str">
        <f>IFERROR(INDEX('G-6 Hedgerow Data'!$BJ$3:$BJ$15,MATCH(D88,'G-6 Hedgerow Data'!$B$3:$B$15,0)),"")</f>
        <v/>
      </c>
    </row>
    <row r="89" spans="2:33" ht="14" x14ac:dyDescent="0.3">
      <c r="B89" s="92">
        <v>78</v>
      </c>
      <c r="C89" s="143"/>
      <c r="D89" s="138"/>
      <c r="E89" s="120"/>
      <c r="F89" s="335" t="str">
        <f>IF(D89="","",VLOOKUP(D89,'G-6 Hedgerow Data'!$B$2:$AG$15,2,FALSE))</f>
        <v/>
      </c>
      <c r="G89" s="291" t="str">
        <f>IF(D89="","",VLOOKUP(D89,'G-6 Hedgerow Data'!$B$2:$AG$15,3,FALSE))</f>
        <v/>
      </c>
      <c r="H89" s="95"/>
      <c r="I89" s="291" t="str">
        <f>IFERROR(IF(H89="","",IF(AND(D89="Non-native and ornamental hedgerow", H89&lt;&gt;"Poor"),"Not possible ▲", (VLOOKUP(H89,'G-1 All Habitats'!$Z$2:$AA$9,2,FALSE)))),"")</f>
        <v/>
      </c>
      <c r="J89" s="95"/>
      <c r="K89" s="310" t="str">
        <f>IF(J89="","",IF(VLOOKUP(J89,'G-3 Multipliers'!$L$3:$N$6,2,FALSE)=0,"Spatial Data Missing ⚠",VLOOKUP(J89,'G-3 Multipliers'!$L$3:$N$6,2,FALSE)))</f>
        <v/>
      </c>
      <c r="L89" s="296" t="str">
        <f>IF(J89="","",IF(VLOOKUP(J89,'G-3 Multipliers'!$L$3:$N$6,3,FALSE)=0,"Spatial Data Missing ⚠",VLOOKUP(J89,'G-3 Multipliers'!$L$3:$N$6,3,FALSE)))</f>
        <v/>
      </c>
      <c r="M89" s="290" t="str">
        <f>IF(OR(D89="",H89=""),"",(INDEX('G-6 Hedgerow Data'!$E$3:$I$15,MATCH(D89,'G-6 Hedgerow Data'!$B$3:$B$15,0),MATCH(H89,'G-6 Hedgerow Data'!$E$2:$I$2,0))))</f>
        <v/>
      </c>
      <c r="N89" s="138"/>
      <c r="O89" s="138"/>
      <c r="P89" s="298" t="str">
        <f t="shared" si="7"/>
        <v/>
      </c>
      <c r="Q89" s="311" t="str">
        <f t="shared" si="8"/>
        <v/>
      </c>
      <c r="R89" s="312" t="str">
        <f t="shared" si="6"/>
        <v/>
      </c>
      <c r="S89" s="325" t="str">
        <f>IF(D89="","",VLOOKUP(D89,'G-6 Hedgerow Data'!$B$3:$AG$15,31,FALSE))</f>
        <v/>
      </c>
      <c r="T89" s="298" t="str">
        <f t="shared" si="9"/>
        <v/>
      </c>
      <c r="U89" s="298" t="str">
        <f t="shared" si="10"/>
        <v/>
      </c>
      <c r="V89" s="314" t="str">
        <f>IF(D89="","",VLOOKUP(S89,'G-3 Multipliers'!$P$3:$Q$6,2,FALSE))</f>
        <v/>
      </c>
      <c r="W89" s="317" t="str">
        <f t="shared" si="11"/>
        <v/>
      </c>
      <c r="X89" s="98"/>
      <c r="Y89" s="99"/>
      <c r="Z89" s="101"/>
      <c r="AG89" s="15" t="str">
        <f>IFERROR(INDEX('G-6 Hedgerow Data'!$BJ$3:$BJ$15,MATCH(D89,'G-6 Hedgerow Data'!$B$3:$B$15,0)),"")</f>
        <v/>
      </c>
    </row>
    <row r="90" spans="2:33" ht="14" x14ac:dyDescent="0.3">
      <c r="B90" s="92">
        <v>79</v>
      </c>
      <c r="C90" s="143"/>
      <c r="D90" s="138"/>
      <c r="E90" s="120"/>
      <c r="F90" s="335" t="str">
        <f>IF(D90="","",VLOOKUP(D90,'G-6 Hedgerow Data'!$B$2:$AG$15,2,FALSE))</f>
        <v/>
      </c>
      <c r="G90" s="291" t="str">
        <f>IF(D90="","",VLOOKUP(D90,'G-6 Hedgerow Data'!$B$2:$AG$15,3,FALSE))</f>
        <v/>
      </c>
      <c r="H90" s="95"/>
      <c r="I90" s="291" t="str">
        <f>IFERROR(IF(H90="","",IF(AND(D90="Non-native and ornamental hedgerow", H90&lt;&gt;"Poor"),"Not possible ▲", (VLOOKUP(H90,'G-1 All Habitats'!$Z$2:$AA$9,2,FALSE)))),"")</f>
        <v/>
      </c>
      <c r="J90" s="95"/>
      <c r="K90" s="310" t="str">
        <f>IF(J90="","",IF(VLOOKUP(J90,'G-3 Multipliers'!$L$3:$N$6,2,FALSE)=0,"Spatial Data Missing ⚠",VLOOKUP(J90,'G-3 Multipliers'!$L$3:$N$6,2,FALSE)))</f>
        <v/>
      </c>
      <c r="L90" s="296" t="str">
        <f>IF(J90="","",IF(VLOOKUP(J90,'G-3 Multipliers'!$L$3:$N$6,3,FALSE)=0,"Spatial Data Missing ⚠",VLOOKUP(J90,'G-3 Multipliers'!$L$3:$N$6,3,FALSE)))</f>
        <v/>
      </c>
      <c r="M90" s="290" t="str">
        <f>IF(OR(D90="",H90=""),"",(INDEX('G-6 Hedgerow Data'!$E$3:$I$15,MATCH(D90,'G-6 Hedgerow Data'!$B$3:$B$15,0),MATCH(H90,'G-6 Hedgerow Data'!$E$2:$I$2,0))))</f>
        <v/>
      </c>
      <c r="N90" s="138"/>
      <c r="O90" s="138"/>
      <c r="P90" s="298" t="str">
        <f t="shared" si="7"/>
        <v/>
      </c>
      <c r="Q90" s="311" t="str">
        <f t="shared" si="8"/>
        <v/>
      </c>
      <c r="R90" s="312" t="str">
        <f t="shared" si="6"/>
        <v/>
      </c>
      <c r="S90" s="325" t="str">
        <f>IF(D90="","",VLOOKUP(D90,'G-6 Hedgerow Data'!$B$3:$AG$15,31,FALSE))</f>
        <v/>
      </c>
      <c r="T90" s="298" t="str">
        <f t="shared" si="9"/>
        <v/>
      </c>
      <c r="U90" s="298" t="str">
        <f t="shared" si="10"/>
        <v/>
      </c>
      <c r="V90" s="314" t="str">
        <f>IF(D90="","",VLOOKUP(S90,'G-3 Multipliers'!$P$3:$Q$6,2,FALSE))</f>
        <v/>
      </c>
      <c r="W90" s="317" t="str">
        <f t="shared" si="11"/>
        <v/>
      </c>
      <c r="X90" s="98"/>
      <c r="Y90" s="99"/>
      <c r="Z90" s="101"/>
      <c r="AG90" s="15" t="str">
        <f>IFERROR(INDEX('G-6 Hedgerow Data'!$BJ$3:$BJ$15,MATCH(D90,'G-6 Hedgerow Data'!$B$3:$B$15,0)),"")</f>
        <v/>
      </c>
    </row>
    <row r="91" spans="2:33" ht="14" x14ac:dyDescent="0.3">
      <c r="B91" s="92">
        <v>80</v>
      </c>
      <c r="C91" s="143"/>
      <c r="D91" s="138"/>
      <c r="E91" s="120"/>
      <c r="F91" s="335" t="str">
        <f>IF(D91="","",VLOOKUP(D91,'G-6 Hedgerow Data'!$B$2:$AG$15,2,FALSE))</f>
        <v/>
      </c>
      <c r="G91" s="291" t="str">
        <f>IF(D91="","",VLOOKUP(D91,'G-6 Hedgerow Data'!$B$2:$AG$15,3,FALSE))</f>
        <v/>
      </c>
      <c r="H91" s="95"/>
      <c r="I91" s="291" t="str">
        <f>IFERROR(IF(H91="","",IF(AND(D91="Non-native and ornamental hedgerow", H91&lt;&gt;"Poor"),"Not possible ▲", (VLOOKUP(H91,'G-1 All Habitats'!$Z$2:$AA$9,2,FALSE)))),"")</f>
        <v/>
      </c>
      <c r="J91" s="95"/>
      <c r="K91" s="310" t="str">
        <f>IF(J91="","",IF(VLOOKUP(J91,'G-3 Multipliers'!$L$3:$N$6,2,FALSE)=0,"Spatial Data Missing ⚠",VLOOKUP(J91,'G-3 Multipliers'!$L$3:$N$6,2,FALSE)))</f>
        <v/>
      </c>
      <c r="L91" s="296" t="str">
        <f>IF(J91="","",IF(VLOOKUP(J91,'G-3 Multipliers'!$L$3:$N$6,3,FALSE)=0,"Spatial Data Missing ⚠",VLOOKUP(J91,'G-3 Multipliers'!$L$3:$N$6,3,FALSE)))</f>
        <v/>
      </c>
      <c r="M91" s="290" t="str">
        <f>IF(OR(D91="",H91=""),"",(INDEX('G-6 Hedgerow Data'!$E$3:$I$15,MATCH(D91,'G-6 Hedgerow Data'!$B$3:$B$15,0),MATCH(H91,'G-6 Hedgerow Data'!$E$2:$I$2,0))))</f>
        <v/>
      </c>
      <c r="N91" s="138"/>
      <c r="O91" s="138"/>
      <c r="P91" s="298" t="str">
        <f t="shared" si="7"/>
        <v/>
      </c>
      <c r="Q91" s="311" t="str">
        <f t="shared" si="8"/>
        <v/>
      </c>
      <c r="R91" s="312" t="str">
        <f t="shared" si="6"/>
        <v/>
      </c>
      <c r="S91" s="325" t="str">
        <f>IF(D91="","",VLOOKUP(D91,'G-6 Hedgerow Data'!$B$3:$AG$15,31,FALSE))</f>
        <v/>
      </c>
      <c r="T91" s="298" t="str">
        <f t="shared" si="9"/>
        <v/>
      </c>
      <c r="U91" s="298" t="str">
        <f t="shared" si="10"/>
        <v/>
      </c>
      <c r="V91" s="314" t="str">
        <f>IF(D91="","",VLOOKUP(S91,'G-3 Multipliers'!$P$3:$Q$6,2,FALSE))</f>
        <v/>
      </c>
      <c r="W91" s="317" t="str">
        <f t="shared" si="11"/>
        <v/>
      </c>
      <c r="X91" s="98"/>
      <c r="Y91" s="99"/>
      <c r="Z91" s="101"/>
      <c r="AG91" s="15" t="str">
        <f>IFERROR(INDEX('G-6 Hedgerow Data'!$BJ$3:$BJ$15,MATCH(D91,'G-6 Hedgerow Data'!$B$3:$B$15,0)),"")</f>
        <v/>
      </c>
    </row>
    <row r="92" spans="2:33" ht="14" x14ac:dyDescent="0.3">
      <c r="B92" s="92">
        <v>81</v>
      </c>
      <c r="C92" s="143"/>
      <c r="D92" s="138"/>
      <c r="E92" s="120"/>
      <c r="F92" s="335" t="str">
        <f>IF(D92="","",VLOOKUP(D92,'G-6 Hedgerow Data'!$B$2:$AG$15,2,FALSE))</f>
        <v/>
      </c>
      <c r="G92" s="291" t="str">
        <f>IF(D92="","",VLOOKUP(D92,'G-6 Hedgerow Data'!$B$2:$AG$15,3,FALSE))</f>
        <v/>
      </c>
      <c r="H92" s="95"/>
      <c r="I92" s="291" t="str">
        <f>IFERROR(IF(H92="","",IF(AND(D92="Non-native and ornamental hedgerow", H92&lt;&gt;"Poor"),"Not possible ▲", (VLOOKUP(H92,'G-1 All Habitats'!$Z$2:$AA$9,2,FALSE)))),"")</f>
        <v/>
      </c>
      <c r="J92" s="95"/>
      <c r="K92" s="310" t="str">
        <f>IF(J92="","",IF(VLOOKUP(J92,'G-3 Multipliers'!$L$3:$N$6,2,FALSE)=0,"Spatial Data Missing ⚠",VLOOKUP(J92,'G-3 Multipliers'!$L$3:$N$6,2,FALSE)))</f>
        <v/>
      </c>
      <c r="L92" s="296" t="str">
        <f>IF(J92="","",IF(VLOOKUP(J92,'G-3 Multipliers'!$L$3:$N$6,3,FALSE)=0,"Spatial Data Missing ⚠",VLOOKUP(J92,'G-3 Multipliers'!$L$3:$N$6,3,FALSE)))</f>
        <v/>
      </c>
      <c r="M92" s="290" t="str">
        <f>IF(OR(D92="",H92=""),"",(INDEX('G-6 Hedgerow Data'!$E$3:$I$15,MATCH(D92,'G-6 Hedgerow Data'!$B$3:$B$15,0),MATCH(H92,'G-6 Hedgerow Data'!$E$2:$I$2,0))))</f>
        <v/>
      </c>
      <c r="N92" s="138"/>
      <c r="O92" s="138"/>
      <c r="P92" s="298" t="str">
        <f t="shared" si="7"/>
        <v/>
      </c>
      <c r="Q92" s="311" t="str">
        <f t="shared" si="8"/>
        <v/>
      </c>
      <c r="R92" s="312" t="str">
        <f t="shared" si="6"/>
        <v/>
      </c>
      <c r="S92" s="325" t="str">
        <f>IF(D92="","",VLOOKUP(D92,'G-6 Hedgerow Data'!$B$3:$AG$15,31,FALSE))</f>
        <v/>
      </c>
      <c r="T92" s="298" t="str">
        <f t="shared" si="9"/>
        <v/>
      </c>
      <c r="U92" s="298" t="str">
        <f t="shared" si="10"/>
        <v/>
      </c>
      <c r="V92" s="314" t="str">
        <f>IF(D92="","",VLOOKUP(S92,'G-3 Multipliers'!$P$3:$Q$6,2,FALSE))</f>
        <v/>
      </c>
      <c r="W92" s="317" t="str">
        <f t="shared" si="11"/>
        <v/>
      </c>
      <c r="X92" s="98"/>
      <c r="Y92" s="99"/>
      <c r="Z92" s="101"/>
      <c r="AG92" s="15" t="str">
        <f>IFERROR(INDEX('G-6 Hedgerow Data'!$BJ$3:$BJ$15,MATCH(D92,'G-6 Hedgerow Data'!$B$3:$B$15,0)),"")</f>
        <v/>
      </c>
    </row>
    <row r="93" spans="2:33" ht="14" x14ac:dyDescent="0.3">
      <c r="B93" s="92">
        <v>82</v>
      </c>
      <c r="C93" s="143"/>
      <c r="D93" s="138"/>
      <c r="E93" s="120"/>
      <c r="F93" s="335" t="str">
        <f>IF(D93="","",VLOOKUP(D93,'G-6 Hedgerow Data'!$B$2:$AG$15,2,FALSE))</f>
        <v/>
      </c>
      <c r="G93" s="291" t="str">
        <f>IF(D93="","",VLOOKUP(D93,'G-6 Hedgerow Data'!$B$2:$AG$15,3,FALSE))</f>
        <v/>
      </c>
      <c r="H93" s="95"/>
      <c r="I93" s="291" t="str">
        <f>IFERROR(IF(H93="","",IF(AND(D93="Non-native and ornamental hedgerow", H93&lt;&gt;"Poor"),"Not possible ▲", (VLOOKUP(H93,'G-1 All Habitats'!$Z$2:$AA$9,2,FALSE)))),"")</f>
        <v/>
      </c>
      <c r="J93" s="95"/>
      <c r="K93" s="310" t="str">
        <f>IF(J93="","",IF(VLOOKUP(J93,'G-3 Multipliers'!$L$3:$N$6,2,FALSE)=0,"Spatial Data Missing ⚠",VLOOKUP(J93,'G-3 Multipliers'!$L$3:$N$6,2,FALSE)))</f>
        <v/>
      </c>
      <c r="L93" s="296" t="str">
        <f>IF(J93="","",IF(VLOOKUP(J93,'G-3 Multipliers'!$L$3:$N$6,3,FALSE)=0,"Spatial Data Missing ⚠",VLOOKUP(J93,'G-3 Multipliers'!$L$3:$N$6,3,FALSE)))</f>
        <v/>
      </c>
      <c r="M93" s="290" t="str">
        <f>IF(OR(D93="",H93=""),"",(INDEX('G-6 Hedgerow Data'!$E$3:$I$15,MATCH(D93,'G-6 Hedgerow Data'!$B$3:$B$15,0),MATCH(H93,'G-6 Hedgerow Data'!$E$2:$I$2,0))))</f>
        <v/>
      </c>
      <c r="N93" s="138"/>
      <c r="O93" s="138"/>
      <c r="P93" s="298" t="str">
        <f t="shared" si="7"/>
        <v/>
      </c>
      <c r="Q93" s="311" t="str">
        <f t="shared" si="8"/>
        <v/>
      </c>
      <c r="R93" s="312" t="str">
        <f t="shared" si="6"/>
        <v/>
      </c>
      <c r="S93" s="325" t="str">
        <f>IF(D93="","",VLOOKUP(D93,'G-6 Hedgerow Data'!$B$3:$AG$15,31,FALSE))</f>
        <v/>
      </c>
      <c r="T93" s="298" t="str">
        <f t="shared" si="9"/>
        <v/>
      </c>
      <c r="U93" s="298" t="str">
        <f t="shared" si="10"/>
        <v/>
      </c>
      <c r="V93" s="314" t="str">
        <f>IF(D93="","",VLOOKUP(S93,'G-3 Multipliers'!$P$3:$Q$6,2,FALSE))</f>
        <v/>
      </c>
      <c r="W93" s="317" t="str">
        <f t="shared" si="11"/>
        <v/>
      </c>
      <c r="X93" s="98"/>
      <c r="Y93" s="99"/>
      <c r="Z93" s="101"/>
      <c r="AG93" s="15" t="str">
        <f>IFERROR(INDEX('G-6 Hedgerow Data'!$BJ$3:$BJ$15,MATCH(D93,'G-6 Hedgerow Data'!$B$3:$B$15,0)),"")</f>
        <v/>
      </c>
    </row>
    <row r="94" spans="2:33" ht="14" x14ac:dyDescent="0.3">
      <c r="B94" s="92">
        <v>83</v>
      </c>
      <c r="C94" s="143"/>
      <c r="D94" s="138"/>
      <c r="E94" s="120"/>
      <c r="F94" s="335" t="str">
        <f>IF(D94="","",VLOOKUP(D94,'G-6 Hedgerow Data'!$B$2:$AG$15,2,FALSE))</f>
        <v/>
      </c>
      <c r="G94" s="291" t="str">
        <f>IF(D94="","",VLOOKUP(D94,'G-6 Hedgerow Data'!$B$2:$AG$15,3,FALSE))</f>
        <v/>
      </c>
      <c r="H94" s="95"/>
      <c r="I94" s="291" t="str">
        <f>IFERROR(IF(H94="","",IF(AND(D94="Non-native and ornamental hedgerow", H94&lt;&gt;"Poor"),"Not possible ▲", (VLOOKUP(H94,'G-1 All Habitats'!$Z$2:$AA$9,2,FALSE)))),"")</f>
        <v/>
      </c>
      <c r="J94" s="95"/>
      <c r="K94" s="310" t="str">
        <f>IF(J94="","",IF(VLOOKUP(J94,'G-3 Multipliers'!$L$3:$N$6,2,FALSE)=0,"Spatial Data Missing ⚠",VLOOKUP(J94,'G-3 Multipliers'!$L$3:$N$6,2,FALSE)))</f>
        <v/>
      </c>
      <c r="L94" s="296" t="str">
        <f>IF(J94="","",IF(VLOOKUP(J94,'G-3 Multipliers'!$L$3:$N$6,3,FALSE)=0,"Spatial Data Missing ⚠",VLOOKUP(J94,'G-3 Multipliers'!$L$3:$N$6,3,FALSE)))</f>
        <v/>
      </c>
      <c r="M94" s="290" t="str">
        <f>IF(OR(D94="",H94=""),"",(INDEX('G-6 Hedgerow Data'!$E$3:$I$15,MATCH(D94,'G-6 Hedgerow Data'!$B$3:$B$15,0),MATCH(H94,'G-6 Hedgerow Data'!$E$2:$I$2,0))))</f>
        <v/>
      </c>
      <c r="N94" s="138"/>
      <c r="O94" s="138"/>
      <c r="P94" s="298" t="str">
        <f t="shared" si="7"/>
        <v/>
      </c>
      <c r="Q94" s="311" t="str">
        <f t="shared" si="8"/>
        <v/>
      </c>
      <c r="R94" s="312" t="str">
        <f t="shared" si="6"/>
        <v/>
      </c>
      <c r="S94" s="325" t="str">
        <f>IF(D94="","",VLOOKUP(D94,'G-6 Hedgerow Data'!$B$3:$AG$15,31,FALSE))</f>
        <v/>
      </c>
      <c r="T94" s="298" t="str">
        <f t="shared" si="9"/>
        <v/>
      </c>
      <c r="U94" s="298" t="str">
        <f t="shared" si="10"/>
        <v/>
      </c>
      <c r="V94" s="314" t="str">
        <f>IF(D94="","",VLOOKUP(S94,'G-3 Multipliers'!$P$3:$Q$6,2,FALSE))</f>
        <v/>
      </c>
      <c r="W94" s="317" t="str">
        <f t="shared" si="11"/>
        <v/>
      </c>
      <c r="X94" s="98"/>
      <c r="Y94" s="99"/>
      <c r="Z94" s="101"/>
      <c r="AG94" s="15" t="str">
        <f>IFERROR(INDEX('G-6 Hedgerow Data'!$BJ$3:$BJ$15,MATCH(D94,'G-6 Hedgerow Data'!$B$3:$B$15,0)),"")</f>
        <v/>
      </c>
    </row>
    <row r="95" spans="2:33" ht="14" x14ac:dyDescent="0.3">
      <c r="B95" s="92">
        <v>84</v>
      </c>
      <c r="C95" s="143"/>
      <c r="D95" s="138"/>
      <c r="E95" s="120"/>
      <c r="F95" s="335" t="str">
        <f>IF(D95="","",VLOOKUP(D95,'G-6 Hedgerow Data'!$B$2:$AG$15,2,FALSE))</f>
        <v/>
      </c>
      <c r="G95" s="291" t="str">
        <f>IF(D95="","",VLOOKUP(D95,'G-6 Hedgerow Data'!$B$2:$AG$15,3,FALSE))</f>
        <v/>
      </c>
      <c r="H95" s="95"/>
      <c r="I95" s="291" t="str">
        <f>IFERROR(IF(H95="","",IF(AND(D95="Non-native and ornamental hedgerow", H95&lt;&gt;"Poor"),"Not possible ▲", (VLOOKUP(H95,'G-1 All Habitats'!$Z$2:$AA$9,2,FALSE)))),"")</f>
        <v/>
      </c>
      <c r="J95" s="95"/>
      <c r="K95" s="310" t="str">
        <f>IF(J95="","",IF(VLOOKUP(J95,'G-3 Multipliers'!$L$3:$N$6,2,FALSE)=0,"Spatial Data Missing ⚠",VLOOKUP(J95,'G-3 Multipliers'!$L$3:$N$6,2,FALSE)))</f>
        <v/>
      </c>
      <c r="L95" s="296" t="str">
        <f>IF(J95="","",IF(VLOOKUP(J95,'G-3 Multipliers'!$L$3:$N$6,3,FALSE)=0,"Spatial Data Missing ⚠",VLOOKUP(J95,'G-3 Multipliers'!$L$3:$N$6,3,FALSE)))</f>
        <v/>
      </c>
      <c r="M95" s="290" t="str">
        <f>IF(OR(D95="",H95=""),"",(INDEX('G-6 Hedgerow Data'!$E$3:$I$15,MATCH(D95,'G-6 Hedgerow Data'!$B$3:$B$15,0),MATCH(H95,'G-6 Hedgerow Data'!$E$2:$I$2,0))))</f>
        <v/>
      </c>
      <c r="N95" s="138"/>
      <c r="O95" s="138"/>
      <c r="P95" s="298" t="str">
        <f t="shared" si="7"/>
        <v/>
      </c>
      <c r="Q95" s="311" t="str">
        <f t="shared" si="8"/>
        <v/>
      </c>
      <c r="R95" s="312" t="str">
        <f t="shared" si="6"/>
        <v/>
      </c>
      <c r="S95" s="325" t="str">
        <f>IF(D95="","",VLOOKUP(D95,'G-6 Hedgerow Data'!$B$3:$AG$15,31,FALSE))</f>
        <v/>
      </c>
      <c r="T95" s="298" t="str">
        <f t="shared" si="9"/>
        <v/>
      </c>
      <c r="U95" s="298" t="str">
        <f t="shared" si="10"/>
        <v/>
      </c>
      <c r="V95" s="314" t="str">
        <f>IF(D95="","",VLOOKUP(S95,'G-3 Multipliers'!$P$3:$Q$6,2,FALSE))</f>
        <v/>
      </c>
      <c r="W95" s="317" t="str">
        <f t="shared" si="11"/>
        <v/>
      </c>
      <c r="X95" s="98"/>
      <c r="Y95" s="99"/>
      <c r="Z95" s="101"/>
      <c r="AG95" s="15" t="str">
        <f>IFERROR(INDEX('G-6 Hedgerow Data'!$BJ$3:$BJ$15,MATCH(D95,'G-6 Hedgerow Data'!$B$3:$B$15,0)),"")</f>
        <v/>
      </c>
    </row>
    <row r="96" spans="2:33" ht="14" x14ac:dyDescent="0.3">
      <c r="B96" s="92">
        <v>85</v>
      </c>
      <c r="C96" s="143"/>
      <c r="D96" s="138"/>
      <c r="E96" s="120"/>
      <c r="F96" s="335" t="str">
        <f>IF(D96="","",VLOOKUP(D96,'G-6 Hedgerow Data'!$B$2:$AG$15,2,FALSE))</f>
        <v/>
      </c>
      <c r="G96" s="291" t="str">
        <f>IF(D96="","",VLOOKUP(D96,'G-6 Hedgerow Data'!$B$2:$AG$15,3,FALSE))</f>
        <v/>
      </c>
      <c r="H96" s="95"/>
      <c r="I96" s="291" t="str">
        <f>IFERROR(IF(H96="","",IF(AND(D96="Non-native and ornamental hedgerow", H96&lt;&gt;"Poor"),"Not possible ▲", (VLOOKUP(H96,'G-1 All Habitats'!$Z$2:$AA$9,2,FALSE)))),"")</f>
        <v/>
      </c>
      <c r="J96" s="95"/>
      <c r="K96" s="310" t="str">
        <f>IF(J96="","",IF(VLOOKUP(J96,'G-3 Multipliers'!$L$3:$N$6,2,FALSE)=0,"Spatial Data Missing ⚠",VLOOKUP(J96,'G-3 Multipliers'!$L$3:$N$6,2,FALSE)))</f>
        <v/>
      </c>
      <c r="L96" s="296" t="str">
        <f>IF(J96="","",IF(VLOOKUP(J96,'G-3 Multipliers'!$L$3:$N$6,3,FALSE)=0,"Spatial Data Missing ⚠",VLOOKUP(J96,'G-3 Multipliers'!$L$3:$N$6,3,FALSE)))</f>
        <v/>
      </c>
      <c r="M96" s="290" t="str">
        <f>IF(OR(D96="",H96=""),"",(INDEX('G-6 Hedgerow Data'!$E$3:$I$15,MATCH(D96,'G-6 Hedgerow Data'!$B$3:$B$15,0),MATCH(H96,'G-6 Hedgerow Data'!$E$2:$I$2,0))))</f>
        <v/>
      </c>
      <c r="N96" s="138"/>
      <c r="O96" s="138"/>
      <c r="P96" s="298" t="str">
        <f t="shared" si="7"/>
        <v/>
      </c>
      <c r="Q96" s="311" t="str">
        <f t="shared" si="8"/>
        <v/>
      </c>
      <c r="R96" s="312" t="str">
        <f t="shared" si="6"/>
        <v/>
      </c>
      <c r="S96" s="325" t="str">
        <f>IF(D96="","",VLOOKUP(D96,'G-6 Hedgerow Data'!$B$3:$AG$15,31,FALSE))</f>
        <v/>
      </c>
      <c r="T96" s="298" t="str">
        <f t="shared" si="9"/>
        <v/>
      </c>
      <c r="U96" s="298" t="str">
        <f t="shared" si="10"/>
        <v/>
      </c>
      <c r="V96" s="314" t="str">
        <f>IF(D96="","",VLOOKUP(S96,'G-3 Multipliers'!$P$3:$Q$6,2,FALSE))</f>
        <v/>
      </c>
      <c r="W96" s="317" t="str">
        <f t="shared" si="11"/>
        <v/>
      </c>
      <c r="X96" s="98"/>
      <c r="Y96" s="99"/>
      <c r="Z96" s="101"/>
      <c r="AG96" s="15" t="str">
        <f>IFERROR(INDEX('G-6 Hedgerow Data'!$BJ$3:$BJ$15,MATCH(D96,'G-6 Hedgerow Data'!$B$3:$B$15,0)),"")</f>
        <v/>
      </c>
    </row>
    <row r="97" spans="2:33" ht="14" x14ac:dyDescent="0.3">
      <c r="B97" s="92">
        <v>86</v>
      </c>
      <c r="C97" s="143"/>
      <c r="D97" s="138"/>
      <c r="E97" s="120"/>
      <c r="F97" s="335" t="str">
        <f>IF(D97="","",VLOOKUP(D97,'G-6 Hedgerow Data'!$B$2:$AG$15,2,FALSE))</f>
        <v/>
      </c>
      <c r="G97" s="291" t="str">
        <f>IF(D97="","",VLOOKUP(D97,'G-6 Hedgerow Data'!$B$2:$AG$15,3,FALSE))</f>
        <v/>
      </c>
      <c r="H97" s="95"/>
      <c r="I97" s="291" t="str">
        <f>IFERROR(IF(H97="","",IF(AND(D97="Non-native and ornamental hedgerow", H97&lt;&gt;"Poor"),"Not possible ▲", (VLOOKUP(H97,'G-1 All Habitats'!$Z$2:$AA$9,2,FALSE)))),"")</f>
        <v/>
      </c>
      <c r="J97" s="95"/>
      <c r="K97" s="310" t="str">
        <f>IF(J97="","",IF(VLOOKUP(J97,'G-3 Multipliers'!$L$3:$N$6,2,FALSE)=0,"Spatial Data Missing ⚠",VLOOKUP(J97,'G-3 Multipliers'!$L$3:$N$6,2,FALSE)))</f>
        <v/>
      </c>
      <c r="L97" s="296" t="str">
        <f>IF(J97="","",IF(VLOOKUP(J97,'G-3 Multipliers'!$L$3:$N$6,3,FALSE)=0,"Spatial Data Missing ⚠",VLOOKUP(J97,'G-3 Multipliers'!$L$3:$N$6,3,FALSE)))</f>
        <v/>
      </c>
      <c r="M97" s="290" t="str">
        <f>IF(OR(D97="",H97=""),"",(INDEX('G-6 Hedgerow Data'!$E$3:$I$15,MATCH(D97,'G-6 Hedgerow Data'!$B$3:$B$15,0),MATCH(H97,'G-6 Hedgerow Data'!$E$2:$I$2,0))))</f>
        <v/>
      </c>
      <c r="N97" s="138"/>
      <c r="O97" s="138"/>
      <c r="P97" s="298" t="str">
        <f t="shared" si="7"/>
        <v/>
      </c>
      <c r="Q97" s="311" t="str">
        <f t="shared" si="8"/>
        <v/>
      </c>
      <c r="R97" s="312" t="str">
        <f t="shared" si="6"/>
        <v/>
      </c>
      <c r="S97" s="325" t="str">
        <f>IF(D97="","",VLOOKUP(D97,'G-6 Hedgerow Data'!$B$3:$AG$15,31,FALSE))</f>
        <v/>
      </c>
      <c r="T97" s="298" t="str">
        <f t="shared" si="9"/>
        <v/>
      </c>
      <c r="U97" s="298" t="str">
        <f t="shared" si="10"/>
        <v/>
      </c>
      <c r="V97" s="314" t="str">
        <f>IF(D97="","",VLOOKUP(S97,'G-3 Multipliers'!$P$3:$Q$6,2,FALSE))</f>
        <v/>
      </c>
      <c r="W97" s="317" t="str">
        <f t="shared" si="11"/>
        <v/>
      </c>
      <c r="X97" s="98"/>
      <c r="Y97" s="99"/>
      <c r="Z97" s="101"/>
      <c r="AG97" s="15" t="str">
        <f>IFERROR(INDEX('G-6 Hedgerow Data'!$BJ$3:$BJ$15,MATCH(D97,'G-6 Hedgerow Data'!$B$3:$B$15,0)),"")</f>
        <v/>
      </c>
    </row>
    <row r="98" spans="2:33" ht="14" x14ac:dyDescent="0.3">
      <c r="B98" s="92">
        <v>87</v>
      </c>
      <c r="C98" s="143"/>
      <c r="D98" s="138"/>
      <c r="E98" s="120"/>
      <c r="F98" s="335" t="str">
        <f>IF(D98="","",VLOOKUP(D98,'G-6 Hedgerow Data'!$B$2:$AG$15,2,FALSE))</f>
        <v/>
      </c>
      <c r="G98" s="291" t="str">
        <f>IF(D98="","",VLOOKUP(D98,'G-6 Hedgerow Data'!$B$2:$AG$15,3,FALSE))</f>
        <v/>
      </c>
      <c r="H98" s="95"/>
      <c r="I98" s="291" t="str">
        <f>IFERROR(IF(H98="","",IF(AND(D98="Non-native and ornamental hedgerow", H98&lt;&gt;"Poor"),"Not possible ▲", (VLOOKUP(H98,'G-1 All Habitats'!$Z$2:$AA$9,2,FALSE)))),"")</f>
        <v/>
      </c>
      <c r="J98" s="95"/>
      <c r="K98" s="310" t="str">
        <f>IF(J98="","",IF(VLOOKUP(J98,'G-3 Multipliers'!$L$3:$N$6,2,FALSE)=0,"Spatial Data Missing ⚠",VLOOKUP(J98,'G-3 Multipliers'!$L$3:$N$6,2,FALSE)))</f>
        <v/>
      </c>
      <c r="L98" s="296" t="str">
        <f>IF(J98="","",IF(VLOOKUP(J98,'G-3 Multipliers'!$L$3:$N$6,3,FALSE)=0,"Spatial Data Missing ⚠",VLOOKUP(J98,'G-3 Multipliers'!$L$3:$N$6,3,FALSE)))</f>
        <v/>
      </c>
      <c r="M98" s="290" t="str">
        <f>IF(OR(D98="",H98=""),"",(INDEX('G-6 Hedgerow Data'!$E$3:$I$15,MATCH(D98,'G-6 Hedgerow Data'!$B$3:$B$15,0),MATCH(H98,'G-6 Hedgerow Data'!$E$2:$I$2,0))))</f>
        <v/>
      </c>
      <c r="N98" s="138"/>
      <c r="O98" s="138"/>
      <c r="P98" s="298" t="str">
        <f t="shared" si="7"/>
        <v/>
      </c>
      <c r="Q98" s="311" t="str">
        <f t="shared" si="8"/>
        <v/>
      </c>
      <c r="R98" s="312" t="str">
        <f t="shared" si="6"/>
        <v/>
      </c>
      <c r="S98" s="325" t="str">
        <f>IF(D98="","",VLOOKUP(D98,'G-6 Hedgerow Data'!$B$3:$AG$15,31,FALSE))</f>
        <v/>
      </c>
      <c r="T98" s="298" t="str">
        <f t="shared" si="9"/>
        <v/>
      </c>
      <c r="U98" s="298" t="str">
        <f t="shared" si="10"/>
        <v/>
      </c>
      <c r="V98" s="314" t="str">
        <f>IF(D98="","",VLOOKUP(S98,'G-3 Multipliers'!$P$3:$Q$6,2,FALSE))</f>
        <v/>
      </c>
      <c r="W98" s="317" t="str">
        <f t="shared" si="11"/>
        <v/>
      </c>
      <c r="X98" s="98"/>
      <c r="Y98" s="99"/>
      <c r="Z98" s="101"/>
      <c r="AG98" s="15" t="str">
        <f>IFERROR(INDEX('G-6 Hedgerow Data'!$BJ$3:$BJ$15,MATCH(D98,'G-6 Hedgerow Data'!$B$3:$B$15,0)),"")</f>
        <v/>
      </c>
    </row>
    <row r="99" spans="2:33" ht="14" x14ac:dyDescent="0.3">
      <c r="B99" s="92">
        <v>88</v>
      </c>
      <c r="C99" s="143"/>
      <c r="D99" s="138"/>
      <c r="E99" s="120"/>
      <c r="F99" s="335" t="str">
        <f>IF(D99="","",VLOOKUP(D99,'G-6 Hedgerow Data'!$B$2:$AG$15,2,FALSE))</f>
        <v/>
      </c>
      <c r="G99" s="291" t="str">
        <f>IF(D99="","",VLOOKUP(D99,'G-6 Hedgerow Data'!$B$2:$AG$15,3,FALSE))</f>
        <v/>
      </c>
      <c r="H99" s="95"/>
      <c r="I99" s="291" t="str">
        <f>IFERROR(IF(H99="","",IF(AND(D99="Non-native and ornamental hedgerow", H99&lt;&gt;"Poor"),"Not possible ▲", (VLOOKUP(H99,'G-1 All Habitats'!$Z$2:$AA$9,2,FALSE)))),"")</f>
        <v/>
      </c>
      <c r="J99" s="95"/>
      <c r="K99" s="310" t="str">
        <f>IF(J99="","",IF(VLOOKUP(J99,'G-3 Multipliers'!$L$3:$N$6,2,FALSE)=0,"Spatial Data Missing ⚠",VLOOKUP(J99,'G-3 Multipliers'!$L$3:$N$6,2,FALSE)))</f>
        <v/>
      </c>
      <c r="L99" s="296" t="str">
        <f>IF(J99="","",IF(VLOOKUP(J99,'G-3 Multipliers'!$L$3:$N$6,3,FALSE)=0,"Spatial Data Missing ⚠",VLOOKUP(J99,'G-3 Multipliers'!$L$3:$N$6,3,FALSE)))</f>
        <v/>
      </c>
      <c r="M99" s="290" t="str">
        <f>IF(OR(D99="",H99=""),"",(INDEX('G-6 Hedgerow Data'!$E$3:$I$15,MATCH(D99,'G-6 Hedgerow Data'!$B$3:$B$15,0),MATCH(H99,'G-6 Hedgerow Data'!$E$2:$I$2,0))))</f>
        <v/>
      </c>
      <c r="N99" s="138"/>
      <c r="O99" s="138"/>
      <c r="P99" s="298" t="str">
        <f t="shared" si="7"/>
        <v/>
      </c>
      <c r="Q99" s="311" t="str">
        <f t="shared" si="8"/>
        <v/>
      </c>
      <c r="R99" s="312" t="str">
        <f t="shared" si="6"/>
        <v/>
      </c>
      <c r="S99" s="325" t="str">
        <f>IF(D99="","",VLOOKUP(D99,'G-6 Hedgerow Data'!$B$3:$AG$15,31,FALSE))</f>
        <v/>
      </c>
      <c r="T99" s="298" t="str">
        <f t="shared" si="9"/>
        <v/>
      </c>
      <c r="U99" s="298" t="str">
        <f t="shared" si="10"/>
        <v/>
      </c>
      <c r="V99" s="314" t="str">
        <f>IF(D99="","",VLOOKUP(S99,'G-3 Multipliers'!$P$3:$Q$6,2,FALSE))</f>
        <v/>
      </c>
      <c r="W99" s="317" t="str">
        <f t="shared" si="11"/>
        <v/>
      </c>
      <c r="X99" s="98"/>
      <c r="Y99" s="99"/>
      <c r="Z99" s="101"/>
      <c r="AG99" s="15" t="str">
        <f>IFERROR(INDEX('G-6 Hedgerow Data'!$BJ$3:$BJ$15,MATCH(D99,'G-6 Hedgerow Data'!$B$3:$B$15,0)),"")</f>
        <v/>
      </c>
    </row>
    <row r="100" spans="2:33" ht="14" x14ac:dyDescent="0.3">
      <c r="B100" s="92">
        <v>89</v>
      </c>
      <c r="C100" s="143"/>
      <c r="D100" s="138"/>
      <c r="E100" s="120"/>
      <c r="F100" s="335" t="str">
        <f>IF(D100="","",VLOOKUP(D100,'G-6 Hedgerow Data'!$B$2:$AG$15,2,FALSE))</f>
        <v/>
      </c>
      <c r="G100" s="291" t="str">
        <f>IF(D100="","",VLOOKUP(D100,'G-6 Hedgerow Data'!$B$2:$AG$15,3,FALSE))</f>
        <v/>
      </c>
      <c r="H100" s="95"/>
      <c r="I100" s="291" t="str">
        <f>IFERROR(IF(H100="","",IF(AND(D100="Non-native and ornamental hedgerow", H100&lt;&gt;"Poor"),"Not possible ▲", (VLOOKUP(H100,'G-1 All Habitats'!$Z$2:$AA$9,2,FALSE)))),"")</f>
        <v/>
      </c>
      <c r="J100" s="95"/>
      <c r="K100" s="310" t="str">
        <f>IF(J100="","",IF(VLOOKUP(J100,'G-3 Multipliers'!$L$3:$N$6,2,FALSE)=0,"Spatial Data Missing ⚠",VLOOKUP(J100,'G-3 Multipliers'!$L$3:$N$6,2,FALSE)))</f>
        <v/>
      </c>
      <c r="L100" s="296" t="str">
        <f>IF(J100="","",IF(VLOOKUP(J100,'G-3 Multipliers'!$L$3:$N$6,3,FALSE)=0,"Spatial Data Missing ⚠",VLOOKUP(J100,'G-3 Multipliers'!$L$3:$N$6,3,FALSE)))</f>
        <v/>
      </c>
      <c r="M100" s="290" t="str">
        <f>IF(OR(D100="",H100=""),"",(INDEX('G-6 Hedgerow Data'!$E$3:$I$15,MATCH(D100,'G-6 Hedgerow Data'!$B$3:$B$15,0),MATCH(H100,'G-6 Hedgerow Data'!$E$2:$I$2,0))))</f>
        <v/>
      </c>
      <c r="N100" s="138"/>
      <c r="O100" s="138"/>
      <c r="P100" s="298" t="str">
        <f t="shared" si="7"/>
        <v/>
      </c>
      <c r="Q100" s="311" t="str">
        <f t="shared" si="8"/>
        <v/>
      </c>
      <c r="R100" s="312" t="str">
        <f t="shared" si="6"/>
        <v/>
      </c>
      <c r="S100" s="325" t="str">
        <f>IF(D100="","",VLOOKUP(D100,'G-6 Hedgerow Data'!$B$3:$AG$15,31,FALSE))</f>
        <v/>
      </c>
      <c r="T100" s="298" t="str">
        <f t="shared" si="9"/>
        <v/>
      </c>
      <c r="U100" s="298" t="str">
        <f t="shared" si="10"/>
        <v/>
      </c>
      <c r="V100" s="314" t="str">
        <f>IF(D100="","",VLOOKUP(S100,'G-3 Multipliers'!$P$3:$Q$6,2,FALSE))</f>
        <v/>
      </c>
      <c r="W100" s="317" t="str">
        <f t="shared" si="11"/>
        <v/>
      </c>
      <c r="X100" s="98"/>
      <c r="Y100" s="99"/>
      <c r="Z100" s="101"/>
      <c r="AG100" s="15" t="str">
        <f>IFERROR(INDEX('G-6 Hedgerow Data'!$BJ$3:$BJ$15,MATCH(D100,'G-6 Hedgerow Data'!$B$3:$B$15,0)),"")</f>
        <v/>
      </c>
    </row>
    <row r="101" spans="2:33" ht="14" x14ac:dyDescent="0.3">
      <c r="B101" s="92">
        <v>90</v>
      </c>
      <c r="C101" s="143"/>
      <c r="D101" s="138"/>
      <c r="E101" s="120"/>
      <c r="F101" s="335" t="str">
        <f>IF(D101="","",VLOOKUP(D101,'G-6 Hedgerow Data'!$B$2:$AG$15,2,FALSE))</f>
        <v/>
      </c>
      <c r="G101" s="291" t="str">
        <f>IF(D101="","",VLOOKUP(D101,'G-6 Hedgerow Data'!$B$2:$AG$15,3,FALSE))</f>
        <v/>
      </c>
      <c r="H101" s="95"/>
      <c r="I101" s="291" t="str">
        <f>IFERROR(IF(H101="","",IF(AND(D101="Non-native and ornamental hedgerow", H101&lt;&gt;"Poor"),"Not possible ▲", (VLOOKUP(H101,'G-1 All Habitats'!$Z$2:$AA$9,2,FALSE)))),"")</f>
        <v/>
      </c>
      <c r="J101" s="95"/>
      <c r="K101" s="310" t="str">
        <f>IF(J101="","",IF(VLOOKUP(J101,'G-3 Multipliers'!$L$3:$N$6,2,FALSE)=0,"Spatial Data Missing ⚠",VLOOKUP(J101,'G-3 Multipliers'!$L$3:$N$6,2,FALSE)))</f>
        <v/>
      </c>
      <c r="L101" s="296" t="str">
        <f>IF(J101="","",IF(VLOOKUP(J101,'G-3 Multipliers'!$L$3:$N$6,3,FALSE)=0,"Spatial Data Missing ⚠",VLOOKUP(J101,'G-3 Multipliers'!$L$3:$N$6,3,FALSE)))</f>
        <v/>
      </c>
      <c r="M101" s="290" t="str">
        <f>IF(OR(D101="",H101=""),"",(INDEX('G-6 Hedgerow Data'!$E$3:$I$15,MATCH(D101,'G-6 Hedgerow Data'!$B$3:$B$15,0),MATCH(H101,'G-6 Hedgerow Data'!$E$2:$I$2,0))))</f>
        <v/>
      </c>
      <c r="N101" s="138"/>
      <c r="O101" s="138"/>
      <c r="P101" s="298" t="str">
        <f t="shared" si="7"/>
        <v/>
      </c>
      <c r="Q101" s="311" t="str">
        <f t="shared" si="8"/>
        <v/>
      </c>
      <c r="R101" s="312" t="str">
        <f t="shared" si="6"/>
        <v/>
      </c>
      <c r="S101" s="325" t="str">
        <f>IF(D101="","",VLOOKUP(D101,'G-6 Hedgerow Data'!$B$3:$AG$15,31,FALSE))</f>
        <v/>
      </c>
      <c r="T101" s="298" t="str">
        <f t="shared" si="9"/>
        <v/>
      </c>
      <c r="U101" s="298" t="str">
        <f t="shared" si="10"/>
        <v/>
      </c>
      <c r="V101" s="314" t="str">
        <f>IF(D101="","",VLOOKUP(S101,'G-3 Multipliers'!$P$3:$Q$6,2,FALSE))</f>
        <v/>
      </c>
      <c r="W101" s="317" t="str">
        <f t="shared" si="11"/>
        <v/>
      </c>
      <c r="X101" s="98"/>
      <c r="Y101" s="99"/>
      <c r="Z101" s="101"/>
      <c r="AG101" s="15" t="str">
        <f>IFERROR(INDEX('G-6 Hedgerow Data'!$BJ$3:$BJ$15,MATCH(D101,'G-6 Hedgerow Data'!$B$3:$B$15,0)),"")</f>
        <v/>
      </c>
    </row>
    <row r="102" spans="2:33" ht="14" x14ac:dyDescent="0.3">
      <c r="B102" s="92">
        <v>91</v>
      </c>
      <c r="C102" s="143"/>
      <c r="D102" s="138"/>
      <c r="E102" s="120"/>
      <c r="F102" s="335" t="str">
        <f>IF(D102="","",VLOOKUP(D102,'G-6 Hedgerow Data'!$B$2:$AG$15,2,FALSE))</f>
        <v/>
      </c>
      <c r="G102" s="291" t="str">
        <f>IF(D102="","",VLOOKUP(D102,'G-6 Hedgerow Data'!$B$2:$AG$15,3,FALSE))</f>
        <v/>
      </c>
      <c r="H102" s="95"/>
      <c r="I102" s="291" t="str">
        <f>IFERROR(IF(H102="","",IF(AND(D102="Non-native and ornamental hedgerow", H102&lt;&gt;"Poor"),"Not possible ▲", (VLOOKUP(H102,'G-1 All Habitats'!$Z$2:$AA$9,2,FALSE)))),"")</f>
        <v/>
      </c>
      <c r="J102" s="95"/>
      <c r="K102" s="310" t="str">
        <f>IF(J102="","",IF(VLOOKUP(J102,'G-3 Multipliers'!$L$3:$N$6,2,FALSE)=0,"Spatial Data Missing ⚠",VLOOKUP(J102,'G-3 Multipliers'!$L$3:$N$6,2,FALSE)))</f>
        <v/>
      </c>
      <c r="L102" s="296" t="str">
        <f>IF(J102="","",IF(VLOOKUP(J102,'G-3 Multipliers'!$L$3:$N$6,3,FALSE)=0,"Spatial Data Missing ⚠",VLOOKUP(J102,'G-3 Multipliers'!$L$3:$N$6,3,FALSE)))</f>
        <v/>
      </c>
      <c r="M102" s="290" t="str">
        <f>IF(OR(D102="",H102=""),"",(INDEX('G-6 Hedgerow Data'!$E$3:$I$15,MATCH(D102,'G-6 Hedgerow Data'!$B$3:$B$15,0),MATCH(H102,'G-6 Hedgerow Data'!$E$2:$I$2,0))))</f>
        <v/>
      </c>
      <c r="N102" s="138"/>
      <c r="O102" s="138"/>
      <c r="P102" s="298" t="str">
        <f t="shared" si="7"/>
        <v/>
      </c>
      <c r="Q102" s="311" t="str">
        <f t="shared" si="8"/>
        <v/>
      </c>
      <c r="R102" s="312" t="str">
        <f t="shared" si="6"/>
        <v/>
      </c>
      <c r="S102" s="325" t="str">
        <f>IF(D102="","",VLOOKUP(D102,'G-6 Hedgerow Data'!$B$3:$AG$15,31,FALSE))</f>
        <v/>
      </c>
      <c r="T102" s="298" t="str">
        <f t="shared" si="9"/>
        <v/>
      </c>
      <c r="U102" s="298" t="str">
        <f t="shared" si="10"/>
        <v/>
      </c>
      <c r="V102" s="314" t="str">
        <f>IF(D102="","",VLOOKUP(S102,'G-3 Multipliers'!$P$3:$Q$6,2,FALSE))</f>
        <v/>
      </c>
      <c r="W102" s="317" t="str">
        <f t="shared" si="11"/>
        <v/>
      </c>
      <c r="X102" s="98"/>
      <c r="Y102" s="99"/>
      <c r="Z102" s="101"/>
      <c r="AG102" s="15" t="str">
        <f>IFERROR(INDEX('G-6 Hedgerow Data'!$BJ$3:$BJ$15,MATCH(D102,'G-6 Hedgerow Data'!$B$3:$B$15,0)),"")</f>
        <v/>
      </c>
    </row>
    <row r="103" spans="2:33" ht="14" x14ac:dyDescent="0.3">
      <c r="B103" s="92">
        <v>92</v>
      </c>
      <c r="C103" s="143"/>
      <c r="D103" s="138"/>
      <c r="E103" s="120"/>
      <c r="F103" s="335" t="str">
        <f>IF(D103="","",VLOOKUP(D103,'G-6 Hedgerow Data'!$B$2:$AG$15,2,FALSE))</f>
        <v/>
      </c>
      <c r="G103" s="291" t="str">
        <f>IF(D103="","",VLOOKUP(D103,'G-6 Hedgerow Data'!$B$2:$AG$15,3,FALSE))</f>
        <v/>
      </c>
      <c r="H103" s="95"/>
      <c r="I103" s="291" t="str">
        <f>IFERROR(IF(H103="","",IF(AND(D103="Non-native and ornamental hedgerow", H103&lt;&gt;"Poor"),"Not possible ▲", (VLOOKUP(H103,'G-1 All Habitats'!$Z$2:$AA$9,2,FALSE)))),"")</f>
        <v/>
      </c>
      <c r="J103" s="95"/>
      <c r="K103" s="310" t="str">
        <f>IF(J103="","",IF(VLOOKUP(J103,'G-3 Multipliers'!$L$3:$N$6,2,FALSE)=0,"Spatial Data Missing ⚠",VLOOKUP(J103,'G-3 Multipliers'!$L$3:$N$6,2,FALSE)))</f>
        <v/>
      </c>
      <c r="L103" s="296" t="str">
        <f>IF(J103="","",IF(VLOOKUP(J103,'G-3 Multipliers'!$L$3:$N$6,3,FALSE)=0,"Spatial Data Missing ⚠",VLOOKUP(J103,'G-3 Multipliers'!$L$3:$N$6,3,FALSE)))</f>
        <v/>
      </c>
      <c r="M103" s="290" t="str">
        <f>IF(OR(D103="",H103=""),"",(INDEX('G-6 Hedgerow Data'!$E$3:$I$15,MATCH(D103,'G-6 Hedgerow Data'!$B$3:$B$15,0),MATCH(H103,'G-6 Hedgerow Data'!$E$2:$I$2,0))))</f>
        <v/>
      </c>
      <c r="N103" s="138"/>
      <c r="O103" s="138"/>
      <c r="P103" s="298" t="str">
        <f t="shared" si="7"/>
        <v/>
      </c>
      <c r="Q103" s="311" t="str">
        <f t="shared" si="8"/>
        <v/>
      </c>
      <c r="R103" s="312" t="str">
        <f t="shared" si="6"/>
        <v/>
      </c>
      <c r="S103" s="325" t="str">
        <f>IF(D103="","",VLOOKUP(D103,'G-6 Hedgerow Data'!$B$3:$AG$15,31,FALSE))</f>
        <v/>
      </c>
      <c r="T103" s="298" t="str">
        <f t="shared" si="9"/>
        <v/>
      </c>
      <c r="U103" s="298" t="str">
        <f t="shared" si="10"/>
        <v/>
      </c>
      <c r="V103" s="314" t="str">
        <f>IF(D103="","",VLOOKUP(S103,'G-3 Multipliers'!$P$3:$Q$6,2,FALSE))</f>
        <v/>
      </c>
      <c r="W103" s="317" t="str">
        <f t="shared" si="11"/>
        <v/>
      </c>
      <c r="X103" s="98"/>
      <c r="Y103" s="99"/>
      <c r="Z103" s="101"/>
      <c r="AG103" s="15" t="str">
        <f>IFERROR(INDEX('G-6 Hedgerow Data'!$BJ$3:$BJ$15,MATCH(D103,'G-6 Hedgerow Data'!$B$3:$B$15,0)),"")</f>
        <v/>
      </c>
    </row>
    <row r="104" spans="2:33" ht="14" x14ac:dyDescent="0.3">
      <c r="B104" s="92">
        <v>93</v>
      </c>
      <c r="C104" s="143"/>
      <c r="D104" s="138"/>
      <c r="E104" s="120"/>
      <c r="F104" s="335" t="str">
        <f>IF(D104="","",VLOOKUP(D104,'G-6 Hedgerow Data'!$B$2:$AG$15,2,FALSE))</f>
        <v/>
      </c>
      <c r="G104" s="291" t="str">
        <f>IF(D104="","",VLOOKUP(D104,'G-6 Hedgerow Data'!$B$2:$AG$15,3,FALSE))</f>
        <v/>
      </c>
      <c r="H104" s="95"/>
      <c r="I104" s="291" t="str">
        <f>IFERROR(IF(H104="","",IF(AND(D104="Non-native and ornamental hedgerow", H104&lt;&gt;"Poor"),"Not possible ▲", (VLOOKUP(H104,'G-1 All Habitats'!$Z$2:$AA$9,2,FALSE)))),"")</f>
        <v/>
      </c>
      <c r="J104" s="95"/>
      <c r="K104" s="310" t="str">
        <f>IF(J104="","",IF(VLOOKUP(J104,'G-3 Multipliers'!$L$3:$N$6,2,FALSE)=0,"Spatial Data Missing ⚠",VLOOKUP(J104,'G-3 Multipliers'!$L$3:$N$6,2,FALSE)))</f>
        <v/>
      </c>
      <c r="L104" s="296" t="str">
        <f>IF(J104="","",IF(VLOOKUP(J104,'G-3 Multipliers'!$L$3:$N$6,3,FALSE)=0,"Spatial Data Missing ⚠",VLOOKUP(J104,'G-3 Multipliers'!$L$3:$N$6,3,FALSE)))</f>
        <v/>
      </c>
      <c r="M104" s="290" t="str">
        <f>IF(OR(D104="",H104=""),"",(INDEX('G-6 Hedgerow Data'!$E$3:$I$15,MATCH(D104,'G-6 Hedgerow Data'!$B$3:$B$15,0),MATCH(H104,'G-6 Hedgerow Data'!$E$2:$I$2,0))))</f>
        <v/>
      </c>
      <c r="N104" s="138"/>
      <c r="O104" s="138"/>
      <c r="P104" s="298" t="str">
        <f t="shared" si="7"/>
        <v/>
      </c>
      <c r="Q104" s="311" t="str">
        <f t="shared" si="8"/>
        <v/>
      </c>
      <c r="R104" s="312" t="str">
        <f t="shared" si="6"/>
        <v/>
      </c>
      <c r="S104" s="325" t="str">
        <f>IF(D104="","",VLOOKUP(D104,'G-6 Hedgerow Data'!$B$3:$AG$15,31,FALSE))</f>
        <v/>
      </c>
      <c r="T104" s="298" t="str">
        <f t="shared" si="9"/>
        <v/>
      </c>
      <c r="U104" s="298" t="str">
        <f t="shared" si="10"/>
        <v/>
      </c>
      <c r="V104" s="314" t="str">
        <f>IF(D104="","",VLOOKUP(S104,'G-3 Multipliers'!$P$3:$Q$6,2,FALSE))</f>
        <v/>
      </c>
      <c r="W104" s="317" t="str">
        <f t="shared" si="11"/>
        <v/>
      </c>
      <c r="X104" s="98"/>
      <c r="Y104" s="99"/>
      <c r="Z104" s="101"/>
      <c r="AG104" s="15" t="str">
        <f>IFERROR(INDEX('G-6 Hedgerow Data'!$BJ$3:$BJ$15,MATCH(D104,'G-6 Hedgerow Data'!$B$3:$B$15,0)),"")</f>
        <v/>
      </c>
    </row>
    <row r="105" spans="2:33" ht="14" x14ac:dyDescent="0.3">
      <c r="B105" s="92">
        <v>94</v>
      </c>
      <c r="C105" s="143"/>
      <c r="D105" s="138"/>
      <c r="E105" s="120"/>
      <c r="F105" s="335" t="str">
        <f>IF(D105="","",VLOOKUP(D105,'G-6 Hedgerow Data'!$B$2:$AG$15,2,FALSE))</f>
        <v/>
      </c>
      <c r="G105" s="291" t="str">
        <f>IF(D105="","",VLOOKUP(D105,'G-6 Hedgerow Data'!$B$2:$AG$15,3,FALSE))</f>
        <v/>
      </c>
      <c r="H105" s="95"/>
      <c r="I105" s="291" t="str">
        <f>IFERROR(IF(H105="","",IF(AND(D105="Non-native and ornamental hedgerow", H105&lt;&gt;"Poor"),"Not possible ▲", (VLOOKUP(H105,'G-1 All Habitats'!$Z$2:$AA$9,2,FALSE)))),"")</f>
        <v/>
      </c>
      <c r="J105" s="95"/>
      <c r="K105" s="310" t="str">
        <f>IF(J105="","",IF(VLOOKUP(J105,'G-3 Multipliers'!$L$3:$N$6,2,FALSE)=0,"Spatial Data Missing ⚠",VLOOKUP(J105,'G-3 Multipliers'!$L$3:$N$6,2,FALSE)))</f>
        <v/>
      </c>
      <c r="L105" s="296" t="str">
        <f>IF(J105="","",IF(VLOOKUP(J105,'G-3 Multipliers'!$L$3:$N$6,3,FALSE)=0,"Spatial Data Missing ⚠",VLOOKUP(J105,'G-3 Multipliers'!$L$3:$N$6,3,FALSE)))</f>
        <v/>
      </c>
      <c r="M105" s="290" t="str">
        <f>IF(OR(D105="",H105=""),"",(INDEX('G-6 Hedgerow Data'!$E$3:$I$15,MATCH(D105,'G-6 Hedgerow Data'!$B$3:$B$15,0),MATCH(H105,'G-6 Hedgerow Data'!$E$2:$I$2,0))))</f>
        <v/>
      </c>
      <c r="N105" s="138"/>
      <c r="O105" s="138"/>
      <c r="P105" s="298" t="str">
        <f t="shared" si="7"/>
        <v/>
      </c>
      <c r="Q105" s="311" t="str">
        <f t="shared" si="8"/>
        <v/>
      </c>
      <c r="R105" s="312" t="str">
        <f t="shared" si="6"/>
        <v/>
      </c>
      <c r="S105" s="325" t="str">
        <f>IF(D105="","",VLOOKUP(D105,'G-6 Hedgerow Data'!$B$3:$AG$15,31,FALSE))</f>
        <v/>
      </c>
      <c r="T105" s="298" t="str">
        <f t="shared" si="9"/>
        <v/>
      </c>
      <c r="U105" s="298" t="str">
        <f t="shared" si="10"/>
        <v/>
      </c>
      <c r="V105" s="314" t="str">
        <f>IF(D105="","",VLOOKUP(S105,'G-3 Multipliers'!$P$3:$Q$6,2,FALSE))</f>
        <v/>
      </c>
      <c r="W105" s="317" t="str">
        <f t="shared" si="11"/>
        <v/>
      </c>
      <c r="X105" s="98"/>
      <c r="Y105" s="99"/>
      <c r="Z105" s="101"/>
      <c r="AG105" s="15" t="str">
        <f>IFERROR(INDEX('G-6 Hedgerow Data'!$BJ$3:$BJ$15,MATCH(D105,'G-6 Hedgerow Data'!$B$3:$B$15,0)),"")</f>
        <v/>
      </c>
    </row>
    <row r="106" spans="2:33" ht="14" x14ac:dyDescent="0.3">
      <c r="B106" s="92">
        <v>95</v>
      </c>
      <c r="C106" s="143"/>
      <c r="D106" s="138"/>
      <c r="E106" s="120"/>
      <c r="F106" s="335" t="str">
        <f>IF(D106="","",VLOOKUP(D106,'G-6 Hedgerow Data'!$B$2:$AG$15,2,FALSE))</f>
        <v/>
      </c>
      <c r="G106" s="291" t="str">
        <f>IF(D106="","",VLOOKUP(D106,'G-6 Hedgerow Data'!$B$2:$AG$15,3,FALSE))</f>
        <v/>
      </c>
      <c r="H106" s="95"/>
      <c r="I106" s="291" t="str">
        <f>IFERROR(IF(H106="","",IF(AND(D106="Non-native and ornamental hedgerow", H106&lt;&gt;"Poor"),"Not possible ▲", (VLOOKUP(H106,'G-1 All Habitats'!$Z$2:$AA$9,2,FALSE)))),"")</f>
        <v/>
      </c>
      <c r="J106" s="95"/>
      <c r="K106" s="310" t="str">
        <f>IF(J106="","",IF(VLOOKUP(J106,'G-3 Multipliers'!$L$3:$N$6,2,FALSE)=0,"Spatial Data Missing ⚠",VLOOKUP(J106,'G-3 Multipliers'!$L$3:$N$6,2,FALSE)))</f>
        <v/>
      </c>
      <c r="L106" s="296" t="str">
        <f>IF(J106="","",IF(VLOOKUP(J106,'G-3 Multipliers'!$L$3:$N$6,3,FALSE)=0,"Spatial Data Missing ⚠",VLOOKUP(J106,'G-3 Multipliers'!$L$3:$N$6,3,FALSE)))</f>
        <v/>
      </c>
      <c r="M106" s="290" t="str">
        <f>IF(OR(D106="",H106=""),"",(INDEX('G-6 Hedgerow Data'!$E$3:$I$15,MATCH(D106,'G-6 Hedgerow Data'!$B$3:$B$15,0),MATCH(H106,'G-6 Hedgerow Data'!$E$2:$I$2,0))))</f>
        <v/>
      </c>
      <c r="N106" s="138"/>
      <c r="O106" s="138"/>
      <c r="P106" s="298" t="str">
        <f t="shared" si="7"/>
        <v/>
      </c>
      <c r="Q106" s="311" t="str">
        <f t="shared" si="8"/>
        <v/>
      </c>
      <c r="R106" s="312" t="str">
        <f t="shared" si="6"/>
        <v/>
      </c>
      <c r="S106" s="325" t="str">
        <f>IF(D106="","",VLOOKUP(D106,'G-6 Hedgerow Data'!$B$3:$AG$15,31,FALSE))</f>
        <v/>
      </c>
      <c r="T106" s="298" t="str">
        <f t="shared" si="9"/>
        <v/>
      </c>
      <c r="U106" s="298" t="str">
        <f t="shared" si="10"/>
        <v/>
      </c>
      <c r="V106" s="314" t="str">
        <f>IF(D106="","",VLOOKUP(S106,'G-3 Multipliers'!$P$3:$Q$6,2,FALSE))</f>
        <v/>
      </c>
      <c r="W106" s="317" t="str">
        <f t="shared" si="11"/>
        <v/>
      </c>
      <c r="X106" s="98"/>
      <c r="Y106" s="99"/>
      <c r="Z106" s="101"/>
      <c r="AG106" s="15" t="str">
        <f>IFERROR(INDEX('G-6 Hedgerow Data'!$BJ$3:$BJ$15,MATCH(D106,'G-6 Hedgerow Data'!$B$3:$B$15,0)),"")</f>
        <v/>
      </c>
    </row>
    <row r="107" spans="2:33" ht="14" x14ac:dyDescent="0.3">
      <c r="B107" s="92">
        <v>96</v>
      </c>
      <c r="C107" s="143"/>
      <c r="D107" s="138"/>
      <c r="E107" s="120"/>
      <c r="F107" s="335" t="str">
        <f>IF(D107="","",VLOOKUP(D107,'G-6 Hedgerow Data'!$B$2:$AG$15,2,FALSE))</f>
        <v/>
      </c>
      <c r="G107" s="291" t="str">
        <f>IF(D107="","",VLOOKUP(D107,'G-6 Hedgerow Data'!$B$2:$AG$15,3,FALSE))</f>
        <v/>
      </c>
      <c r="H107" s="95"/>
      <c r="I107" s="291" t="str">
        <f>IFERROR(IF(H107="","",IF(AND(D107="Non-native and ornamental hedgerow", H107&lt;&gt;"Poor"),"Not possible ▲", (VLOOKUP(H107,'G-1 All Habitats'!$Z$2:$AA$9,2,FALSE)))),"")</f>
        <v/>
      </c>
      <c r="J107" s="95"/>
      <c r="K107" s="310" t="str">
        <f>IF(J107="","",IF(VLOOKUP(J107,'G-3 Multipliers'!$L$3:$N$6,2,FALSE)=0,"Spatial Data Missing ⚠",VLOOKUP(J107,'G-3 Multipliers'!$L$3:$N$6,2,FALSE)))</f>
        <v/>
      </c>
      <c r="L107" s="296" t="str">
        <f>IF(J107="","",IF(VLOOKUP(J107,'G-3 Multipliers'!$L$3:$N$6,3,FALSE)=0,"Spatial Data Missing ⚠",VLOOKUP(J107,'G-3 Multipliers'!$L$3:$N$6,3,FALSE)))</f>
        <v/>
      </c>
      <c r="M107" s="290" t="str">
        <f>IF(OR(D107="",H107=""),"",(INDEX('G-6 Hedgerow Data'!$E$3:$I$15,MATCH(D107,'G-6 Hedgerow Data'!$B$3:$B$15,0),MATCH(H107,'G-6 Hedgerow Data'!$E$2:$I$2,0))))</f>
        <v/>
      </c>
      <c r="N107" s="138"/>
      <c r="O107" s="138"/>
      <c r="P107" s="298" t="str">
        <f t="shared" si="7"/>
        <v/>
      </c>
      <c r="Q107" s="311" t="str">
        <f t="shared" si="8"/>
        <v/>
      </c>
      <c r="R107" s="312" t="str">
        <f t="shared" si="6"/>
        <v/>
      </c>
      <c r="S107" s="325" t="str">
        <f>IF(D107="","",VLOOKUP(D107,'G-6 Hedgerow Data'!$B$3:$AG$15,31,FALSE))</f>
        <v/>
      </c>
      <c r="T107" s="298" t="str">
        <f t="shared" si="9"/>
        <v/>
      </c>
      <c r="U107" s="298" t="str">
        <f t="shared" si="10"/>
        <v/>
      </c>
      <c r="V107" s="314" t="str">
        <f>IF(D107="","",VLOOKUP(S107,'G-3 Multipliers'!$P$3:$Q$6,2,FALSE))</f>
        <v/>
      </c>
      <c r="W107" s="317" t="str">
        <f t="shared" si="11"/>
        <v/>
      </c>
      <c r="X107" s="98"/>
      <c r="Y107" s="99"/>
      <c r="Z107" s="101"/>
      <c r="AG107" s="15" t="str">
        <f>IFERROR(INDEX('G-6 Hedgerow Data'!$BJ$3:$BJ$15,MATCH(D107,'G-6 Hedgerow Data'!$B$3:$B$15,0)),"")</f>
        <v/>
      </c>
    </row>
    <row r="108" spans="2:33" ht="14" x14ac:dyDescent="0.3">
      <c r="B108" s="92">
        <v>97</v>
      </c>
      <c r="C108" s="143"/>
      <c r="D108" s="138"/>
      <c r="E108" s="120"/>
      <c r="F108" s="335" t="str">
        <f>IF(D108="","",VLOOKUP(D108,'G-6 Hedgerow Data'!$B$2:$AG$15,2,FALSE))</f>
        <v/>
      </c>
      <c r="G108" s="291" t="str">
        <f>IF(D108="","",VLOOKUP(D108,'G-6 Hedgerow Data'!$B$2:$AG$15,3,FALSE))</f>
        <v/>
      </c>
      <c r="H108" s="95"/>
      <c r="I108" s="291" t="str">
        <f>IFERROR(IF(H108="","",IF(AND(D108="Non-native and ornamental hedgerow", H108&lt;&gt;"Poor"),"Not possible ▲", (VLOOKUP(H108,'G-1 All Habitats'!$Z$2:$AA$9,2,FALSE)))),"")</f>
        <v/>
      </c>
      <c r="J108" s="95"/>
      <c r="K108" s="310" t="str">
        <f>IF(J108="","",IF(VLOOKUP(J108,'G-3 Multipliers'!$L$3:$N$6,2,FALSE)=0,"Spatial Data Missing ⚠",VLOOKUP(J108,'G-3 Multipliers'!$L$3:$N$6,2,FALSE)))</f>
        <v/>
      </c>
      <c r="L108" s="296" t="str">
        <f>IF(J108="","",IF(VLOOKUP(J108,'G-3 Multipliers'!$L$3:$N$6,3,FALSE)=0,"Spatial Data Missing ⚠",VLOOKUP(J108,'G-3 Multipliers'!$L$3:$N$6,3,FALSE)))</f>
        <v/>
      </c>
      <c r="M108" s="290" t="str">
        <f>IF(OR(D108="",H108=""),"",(INDEX('G-6 Hedgerow Data'!$E$3:$I$15,MATCH(D108,'G-6 Hedgerow Data'!$B$3:$B$15,0),MATCH(H108,'G-6 Hedgerow Data'!$E$2:$I$2,0))))</f>
        <v/>
      </c>
      <c r="N108" s="138"/>
      <c r="O108" s="138"/>
      <c r="P108" s="298" t="str">
        <f t="shared" si="7"/>
        <v/>
      </c>
      <c r="Q108" s="311" t="str">
        <f t="shared" si="8"/>
        <v/>
      </c>
      <c r="R108" s="312" t="str">
        <f t="shared" si="6"/>
        <v/>
      </c>
      <c r="S108" s="325" t="str">
        <f>IF(D108="","",VLOOKUP(D108,'G-6 Hedgerow Data'!$B$3:$AG$15,31,FALSE))</f>
        <v/>
      </c>
      <c r="T108" s="298" t="str">
        <f t="shared" si="9"/>
        <v/>
      </c>
      <c r="U108" s="298" t="str">
        <f t="shared" si="10"/>
        <v/>
      </c>
      <c r="V108" s="314" t="str">
        <f>IF(D108="","",VLOOKUP(S108,'G-3 Multipliers'!$P$3:$Q$6,2,FALSE))</f>
        <v/>
      </c>
      <c r="W108" s="317" t="str">
        <f t="shared" si="11"/>
        <v/>
      </c>
      <c r="X108" s="98"/>
      <c r="Y108" s="99"/>
      <c r="Z108" s="101"/>
      <c r="AG108" s="15" t="str">
        <f>IFERROR(INDEX('G-6 Hedgerow Data'!$BJ$3:$BJ$15,MATCH(D108,'G-6 Hedgerow Data'!$B$3:$B$15,0)),"")</f>
        <v/>
      </c>
    </row>
    <row r="109" spans="2:33" ht="14" x14ac:dyDescent="0.3">
      <c r="B109" s="92">
        <v>98</v>
      </c>
      <c r="C109" s="143"/>
      <c r="D109" s="138"/>
      <c r="E109" s="120"/>
      <c r="F109" s="335" t="str">
        <f>IF(D109="","",VLOOKUP(D109,'G-6 Hedgerow Data'!$B$2:$AG$15,2,FALSE))</f>
        <v/>
      </c>
      <c r="G109" s="291" t="str">
        <f>IF(D109="","",VLOOKUP(D109,'G-6 Hedgerow Data'!$B$2:$AG$15,3,FALSE))</f>
        <v/>
      </c>
      <c r="H109" s="95"/>
      <c r="I109" s="291" t="str">
        <f>IFERROR(IF(H109="","",IF(AND(D109="Non-native and ornamental hedgerow", H109&lt;&gt;"Poor"),"Not possible ▲", (VLOOKUP(H109,'G-1 All Habitats'!$Z$2:$AA$9,2,FALSE)))),"")</f>
        <v/>
      </c>
      <c r="J109" s="95"/>
      <c r="K109" s="310" t="str">
        <f>IF(J109="","",IF(VLOOKUP(J109,'G-3 Multipliers'!$L$3:$N$6,2,FALSE)=0,"Spatial Data Missing ⚠",VLOOKUP(J109,'G-3 Multipliers'!$L$3:$N$6,2,FALSE)))</f>
        <v/>
      </c>
      <c r="L109" s="296" t="str">
        <f>IF(J109="","",IF(VLOOKUP(J109,'G-3 Multipliers'!$L$3:$N$6,3,FALSE)=0,"Spatial Data Missing ⚠",VLOOKUP(J109,'G-3 Multipliers'!$L$3:$N$6,3,FALSE)))</f>
        <v/>
      </c>
      <c r="M109" s="290" t="str">
        <f>IF(OR(D109="",H109=""),"",(INDEX('G-6 Hedgerow Data'!$E$3:$I$15,MATCH(D109,'G-6 Hedgerow Data'!$B$3:$B$15,0),MATCH(H109,'G-6 Hedgerow Data'!$E$2:$I$2,0))))</f>
        <v/>
      </c>
      <c r="N109" s="138"/>
      <c r="O109" s="138"/>
      <c r="P109" s="298" t="str">
        <f t="shared" si="7"/>
        <v/>
      </c>
      <c r="Q109" s="311" t="str">
        <f t="shared" si="8"/>
        <v/>
      </c>
      <c r="R109" s="312" t="str">
        <f t="shared" si="6"/>
        <v/>
      </c>
      <c r="S109" s="325" t="str">
        <f>IF(D109="","",VLOOKUP(D109,'G-6 Hedgerow Data'!$B$3:$AG$15,31,FALSE))</f>
        <v/>
      </c>
      <c r="T109" s="298" t="str">
        <f t="shared" si="9"/>
        <v/>
      </c>
      <c r="U109" s="298" t="str">
        <f t="shared" si="10"/>
        <v/>
      </c>
      <c r="V109" s="314" t="str">
        <f>IF(D109="","",VLOOKUP(S109,'G-3 Multipliers'!$P$3:$Q$6,2,FALSE))</f>
        <v/>
      </c>
      <c r="W109" s="317" t="str">
        <f t="shared" si="11"/>
        <v/>
      </c>
      <c r="X109" s="98"/>
      <c r="Y109" s="99"/>
      <c r="Z109" s="101"/>
      <c r="AG109" s="15" t="str">
        <f>IFERROR(INDEX('G-6 Hedgerow Data'!$BJ$3:$BJ$15,MATCH(D109,'G-6 Hedgerow Data'!$B$3:$B$15,0)),"")</f>
        <v/>
      </c>
    </row>
    <row r="110" spans="2:33" ht="14" x14ac:dyDescent="0.3">
      <c r="B110" s="92">
        <v>99</v>
      </c>
      <c r="C110" s="143"/>
      <c r="D110" s="138"/>
      <c r="E110" s="120"/>
      <c r="F110" s="335" t="str">
        <f>IF(D110="","",VLOOKUP(D110,'G-6 Hedgerow Data'!$B$2:$AG$15,2,FALSE))</f>
        <v/>
      </c>
      <c r="G110" s="291" t="str">
        <f>IF(D110="","",VLOOKUP(D110,'G-6 Hedgerow Data'!$B$2:$AG$15,3,FALSE))</f>
        <v/>
      </c>
      <c r="H110" s="95"/>
      <c r="I110" s="291" t="str">
        <f>IFERROR(IF(H110="","",IF(AND(D110="Non-native and ornamental hedgerow", H110&lt;&gt;"Poor"),"Not possible ▲", (VLOOKUP(H110,'G-1 All Habitats'!$Z$2:$AA$9,2,FALSE)))),"")</f>
        <v/>
      </c>
      <c r="J110" s="95"/>
      <c r="K110" s="310" t="str">
        <f>IF(J110="","",IF(VLOOKUP(J110,'G-3 Multipliers'!$L$3:$N$6,2,FALSE)=0,"Spatial Data Missing ⚠",VLOOKUP(J110,'G-3 Multipliers'!$L$3:$N$6,2,FALSE)))</f>
        <v/>
      </c>
      <c r="L110" s="296" t="str">
        <f>IF(J110="","",IF(VLOOKUP(J110,'G-3 Multipliers'!$L$3:$N$6,3,FALSE)=0,"Spatial Data Missing ⚠",VLOOKUP(J110,'G-3 Multipliers'!$L$3:$N$6,3,FALSE)))</f>
        <v/>
      </c>
      <c r="M110" s="290" t="str">
        <f>IF(OR(D110="",H110=""),"",(INDEX('G-6 Hedgerow Data'!$E$3:$I$15,MATCH(D110,'G-6 Hedgerow Data'!$B$3:$B$15,0),MATCH(H110,'G-6 Hedgerow Data'!$E$2:$I$2,0))))</f>
        <v/>
      </c>
      <c r="N110" s="138"/>
      <c r="O110" s="138"/>
      <c r="P110" s="298" t="str">
        <f t="shared" si="7"/>
        <v/>
      </c>
      <c r="Q110" s="311" t="str">
        <f t="shared" si="8"/>
        <v/>
      </c>
      <c r="R110" s="312" t="str">
        <f t="shared" si="6"/>
        <v/>
      </c>
      <c r="S110" s="325" t="str">
        <f>IF(D110="","",VLOOKUP(D110,'G-6 Hedgerow Data'!$B$3:$AG$15,31,FALSE))</f>
        <v/>
      </c>
      <c r="T110" s="298" t="str">
        <f t="shared" si="9"/>
        <v/>
      </c>
      <c r="U110" s="298" t="str">
        <f t="shared" si="10"/>
        <v/>
      </c>
      <c r="V110" s="314" t="str">
        <f>IF(D110="","",VLOOKUP(S110,'G-3 Multipliers'!$P$3:$Q$6,2,FALSE))</f>
        <v/>
      </c>
      <c r="W110" s="317" t="str">
        <f t="shared" si="11"/>
        <v/>
      </c>
      <c r="X110" s="98"/>
      <c r="Y110" s="99"/>
      <c r="Z110" s="101"/>
      <c r="AG110" s="15" t="str">
        <f>IFERROR(INDEX('G-6 Hedgerow Data'!$BJ$3:$BJ$15,MATCH(D110,'G-6 Hedgerow Data'!$B$3:$B$15,0)),"")</f>
        <v/>
      </c>
    </row>
    <row r="111" spans="2:33" ht="14" x14ac:dyDescent="0.3">
      <c r="B111" s="92">
        <v>100</v>
      </c>
      <c r="C111" s="143"/>
      <c r="D111" s="138"/>
      <c r="E111" s="120"/>
      <c r="F111" s="335" t="str">
        <f>IF(D111="","",VLOOKUP(D111,'G-6 Hedgerow Data'!$B$2:$AG$15,2,FALSE))</f>
        <v/>
      </c>
      <c r="G111" s="291" t="str">
        <f>IF(D111="","",VLOOKUP(D111,'G-6 Hedgerow Data'!$B$2:$AG$15,3,FALSE))</f>
        <v/>
      </c>
      <c r="H111" s="95"/>
      <c r="I111" s="291" t="str">
        <f>IFERROR(IF(H111="","",IF(AND(D111="Non-native and ornamental hedgerow", H111&lt;&gt;"Poor"),"Not possible ▲", (VLOOKUP(H111,'G-1 All Habitats'!$Z$2:$AA$9,2,FALSE)))),"")</f>
        <v/>
      </c>
      <c r="J111" s="95"/>
      <c r="K111" s="310" t="str">
        <f>IF(J111="","",IF(VLOOKUP(J111,'G-3 Multipliers'!$L$3:$N$6,2,FALSE)=0,"Spatial Data Missing ⚠",VLOOKUP(J111,'G-3 Multipliers'!$L$3:$N$6,2,FALSE)))</f>
        <v/>
      </c>
      <c r="L111" s="296" t="str">
        <f>IF(J111="","",IF(VLOOKUP(J111,'G-3 Multipliers'!$L$3:$N$6,3,FALSE)=0,"Spatial Data Missing ⚠",VLOOKUP(J111,'G-3 Multipliers'!$L$3:$N$6,3,FALSE)))</f>
        <v/>
      </c>
      <c r="M111" s="290" t="str">
        <f>IF(OR(D111="",H111=""),"",(INDEX('G-6 Hedgerow Data'!$E$3:$I$15,MATCH(D111,'G-6 Hedgerow Data'!$B$3:$B$15,0),MATCH(H111,'G-6 Hedgerow Data'!$E$2:$I$2,0))))</f>
        <v/>
      </c>
      <c r="N111" s="138"/>
      <c r="O111" s="138"/>
      <c r="P111" s="298" t="str">
        <f t="shared" si="7"/>
        <v/>
      </c>
      <c r="Q111" s="311" t="str">
        <f t="shared" si="8"/>
        <v/>
      </c>
      <c r="R111" s="312" t="str">
        <f t="shared" si="6"/>
        <v/>
      </c>
      <c r="S111" s="325" t="str">
        <f>IF(D111="","",VLOOKUP(D111,'G-6 Hedgerow Data'!$B$3:$AG$15,31,FALSE))</f>
        <v/>
      </c>
      <c r="T111" s="298" t="str">
        <f t="shared" si="9"/>
        <v/>
      </c>
      <c r="U111" s="298" t="str">
        <f t="shared" si="10"/>
        <v/>
      </c>
      <c r="V111" s="314" t="str">
        <f>IF(D111="","",VLOOKUP(S111,'G-3 Multipliers'!$P$3:$Q$6,2,FALSE))</f>
        <v/>
      </c>
      <c r="W111" s="317" t="str">
        <f t="shared" si="11"/>
        <v/>
      </c>
      <c r="X111" s="98"/>
      <c r="Y111" s="99"/>
      <c r="Z111" s="101"/>
      <c r="AG111" s="15" t="str">
        <f>IFERROR(INDEX('G-6 Hedgerow Data'!$BJ$3:$BJ$15,MATCH(D111,'G-6 Hedgerow Data'!$B$3:$B$15,0)),"")</f>
        <v/>
      </c>
    </row>
    <row r="112" spans="2:33" ht="14" x14ac:dyDescent="0.3">
      <c r="B112" s="92">
        <v>101</v>
      </c>
      <c r="C112" s="143"/>
      <c r="D112" s="138"/>
      <c r="E112" s="120"/>
      <c r="F112" s="335" t="str">
        <f>IF(D112="","",VLOOKUP(D112,'G-6 Hedgerow Data'!$B$2:$AG$15,2,FALSE))</f>
        <v/>
      </c>
      <c r="G112" s="291" t="str">
        <f>IF(D112="","",VLOOKUP(D112,'G-6 Hedgerow Data'!$B$2:$AG$15,3,FALSE))</f>
        <v/>
      </c>
      <c r="H112" s="95"/>
      <c r="I112" s="291" t="str">
        <f>IFERROR(IF(H112="","",IF(AND(D112="Non-native and ornamental hedgerow", H112&lt;&gt;"Poor"),"Not possible ▲", (VLOOKUP(H112,'G-1 All Habitats'!$Z$2:$AA$9,2,FALSE)))),"")</f>
        <v/>
      </c>
      <c r="J112" s="95"/>
      <c r="K112" s="310" t="str">
        <f>IF(J112="","",IF(VLOOKUP(J112,'G-3 Multipliers'!$L$3:$N$6,2,FALSE)=0,"Spatial Data Missing ⚠",VLOOKUP(J112,'G-3 Multipliers'!$L$3:$N$6,2,FALSE)))</f>
        <v/>
      </c>
      <c r="L112" s="296" t="str">
        <f>IF(J112="","",IF(VLOOKUP(J112,'G-3 Multipliers'!$L$3:$N$6,3,FALSE)=0,"Spatial Data Missing ⚠",VLOOKUP(J112,'G-3 Multipliers'!$L$3:$N$6,3,FALSE)))</f>
        <v/>
      </c>
      <c r="M112" s="290" t="str">
        <f>IF(OR(D112="",H112=""),"",(INDEX('G-6 Hedgerow Data'!$E$3:$I$15,MATCH(D112,'G-6 Hedgerow Data'!$B$3:$B$15,0),MATCH(H112,'G-6 Hedgerow Data'!$E$2:$I$2,0))))</f>
        <v/>
      </c>
      <c r="N112" s="138"/>
      <c r="O112" s="138"/>
      <c r="P112" s="298" t="str">
        <f t="shared" si="7"/>
        <v/>
      </c>
      <c r="Q112" s="311" t="str">
        <f t="shared" si="8"/>
        <v/>
      </c>
      <c r="R112" s="312" t="str">
        <f t="shared" si="6"/>
        <v/>
      </c>
      <c r="S112" s="325" t="str">
        <f>IF(D112="","",VLOOKUP(D112,'G-6 Hedgerow Data'!$B$3:$AG$15,31,FALSE))</f>
        <v/>
      </c>
      <c r="T112" s="298" t="str">
        <f t="shared" si="9"/>
        <v/>
      </c>
      <c r="U112" s="298" t="str">
        <f t="shared" si="10"/>
        <v/>
      </c>
      <c r="V112" s="314" t="str">
        <f>IF(D112="","",VLOOKUP(S112,'G-3 Multipliers'!$P$3:$Q$6,2,FALSE))</f>
        <v/>
      </c>
      <c r="W112" s="317" t="str">
        <f t="shared" si="11"/>
        <v/>
      </c>
      <c r="X112" s="98"/>
      <c r="Y112" s="99"/>
      <c r="Z112" s="101"/>
      <c r="AG112" s="15" t="str">
        <f>IFERROR(INDEX('G-6 Hedgerow Data'!$BJ$3:$BJ$15,MATCH(D112,'G-6 Hedgerow Data'!$B$3:$B$15,0)),"")</f>
        <v/>
      </c>
    </row>
    <row r="113" spans="2:33" ht="14" x14ac:dyDescent="0.3">
      <c r="B113" s="92">
        <v>102</v>
      </c>
      <c r="C113" s="143"/>
      <c r="D113" s="138"/>
      <c r="E113" s="120"/>
      <c r="F113" s="335" t="str">
        <f>IF(D113="","",VLOOKUP(D113,'G-6 Hedgerow Data'!$B$2:$AG$15,2,FALSE))</f>
        <v/>
      </c>
      <c r="G113" s="291" t="str">
        <f>IF(D113="","",VLOOKUP(D113,'G-6 Hedgerow Data'!$B$2:$AG$15,3,FALSE))</f>
        <v/>
      </c>
      <c r="H113" s="95"/>
      <c r="I113" s="291" t="str">
        <f>IFERROR(IF(H113="","",IF(AND(D113="Non-native and ornamental hedgerow", H113&lt;&gt;"Poor"),"Not possible ▲", (VLOOKUP(H113,'G-1 All Habitats'!$Z$2:$AA$9,2,FALSE)))),"")</f>
        <v/>
      </c>
      <c r="J113" s="95"/>
      <c r="K113" s="310" t="str">
        <f>IF(J113="","",IF(VLOOKUP(J113,'G-3 Multipliers'!$L$3:$N$6,2,FALSE)=0,"Spatial Data Missing ⚠",VLOOKUP(J113,'G-3 Multipliers'!$L$3:$N$6,2,FALSE)))</f>
        <v/>
      </c>
      <c r="L113" s="296" t="str">
        <f>IF(J113="","",IF(VLOOKUP(J113,'G-3 Multipliers'!$L$3:$N$6,3,FALSE)=0,"Spatial Data Missing ⚠",VLOOKUP(J113,'G-3 Multipliers'!$L$3:$N$6,3,FALSE)))</f>
        <v/>
      </c>
      <c r="M113" s="290" t="str">
        <f>IF(OR(D113="",H113=""),"",(INDEX('G-6 Hedgerow Data'!$E$3:$I$15,MATCH(D113,'G-6 Hedgerow Data'!$B$3:$B$15,0),MATCH(H113,'G-6 Hedgerow Data'!$E$2:$I$2,0))))</f>
        <v/>
      </c>
      <c r="N113" s="138"/>
      <c r="O113" s="138"/>
      <c r="P113" s="298" t="str">
        <f t="shared" si="7"/>
        <v/>
      </c>
      <c r="Q113" s="311" t="str">
        <f t="shared" si="8"/>
        <v/>
      </c>
      <c r="R113" s="312" t="str">
        <f t="shared" si="6"/>
        <v/>
      </c>
      <c r="S113" s="325" t="str">
        <f>IF(D113="","",VLOOKUP(D113,'G-6 Hedgerow Data'!$B$3:$AG$15,31,FALSE))</f>
        <v/>
      </c>
      <c r="T113" s="298" t="str">
        <f t="shared" si="9"/>
        <v/>
      </c>
      <c r="U113" s="298" t="str">
        <f t="shared" si="10"/>
        <v/>
      </c>
      <c r="V113" s="314" t="str">
        <f>IF(D113="","",VLOOKUP(S113,'G-3 Multipliers'!$P$3:$Q$6,2,FALSE))</f>
        <v/>
      </c>
      <c r="W113" s="317" t="str">
        <f t="shared" si="11"/>
        <v/>
      </c>
      <c r="X113" s="98"/>
      <c r="Y113" s="99"/>
      <c r="Z113" s="101"/>
      <c r="AG113" s="15" t="str">
        <f>IFERROR(INDEX('G-6 Hedgerow Data'!$BJ$3:$BJ$15,MATCH(D113,'G-6 Hedgerow Data'!$B$3:$B$15,0)),"")</f>
        <v/>
      </c>
    </row>
    <row r="114" spans="2:33" ht="14" x14ac:dyDescent="0.3">
      <c r="B114" s="92">
        <v>103</v>
      </c>
      <c r="C114" s="143"/>
      <c r="D114" s="138"/>
      <c r="E114" s="120"/>
      <c r="F114" s="335" t="str">
        <f>IF(D114="","",VLOOKUP(D114,'G-6 Hedgerow Data'!$B$2:$AG$15,2,FALSE))</f>
        <v/>
      </c>
      <c r="G114" s="291" t="str">
        <f>IF(D114="","",VLOOKUP(D114,'G-6 Hedgerow Data'!$B$2:$AG$15,3,FALSE))</f>
        <v/>
      </c>
      <c r="H114" s="95"/>
      <c r="I114" s="291" t="str">
        <f>IFERROR(IF(H114="","",IF(AND(D114="Non-native and ornamental hedgerow", H114&lt;&gt;"Poor"),"Not possible ▲", (VLOOKUP(H114,'G-1 All Habitats'!$Z$2:$AA$9,2,FALSE)))),"")</f>
        <v/>
      </c>
      <c r="J114" s="95"/>
      <c r="K114" s="310" t="str">
        <f>IF(J114="","",IF(VLOOKUP(J114,'G-3 Multipliers'!$L$3:$N$6,2,FALSE)=0,"Spatial Data Missing ⚠",VLOOKUP(J114,'G-3 Multipliers'!$L$3:$N$6,2,FALSE)))</f>
        <v/>
      </c>
      <c r="L114" s="296" t="str">
        <f>IF(J114="","",IF(VLOOKUP(J114,'G-3 Multipliers'!$L$3:$N$6,3,FALSE)=0,"Spatial Data Missing ⚠",VLOOKUP(J114,'G-3 Multipliers'!$L$3:$N$6,3,FALSE)))</f>
        <v/>
      </c>
      <c r="M114" s="290" t="str">
        <f>IF(OR(D114="",H114=""),"",(INDEX('G-6 Hedgerow Data'!$E$3:$I$15,MATCH(D114,'G-6 Hedgerow Data'!$B$3:$B$15,0),MATCH(H114,'G-6 Hedgerow Data'!$E$2:$I$2,0))))</f>
        <v/>
      </c>
      <c r="N114" s="138"/>
      <c r="O114" s="138"/>
      <c r="P114" s="298" t="str">
        <f t="shared" si="7"/>
        <v/>
      </c>
      <c r="Q114" s="311" t="str">
        <f t="shared" si="8"/>
        <v/>
      </c>
      <c r="R114" s="312" t="str">
        <f t="shared" si="6"/>
        <v/>
      </c>
      <c r="S114" s="325" t="str">
        <f>IF(D114="","",VLOOKUP(D114,'G-6 Hedgerow Data'!$B$3:$AG$15,31,FALSE))</f>
        <v/>
      </c>
      <c r="T114" s="298" t="str">
        <f t="shared" si="9"/>
        <v/>
      </c>
      <c r="U114" s="298" t="str">
        <f t="shared" si="10"/>
        <v/>
      </c>
      <c r="V114" s="314" t="str">
        <f>IF(D114="","",VLOOKUP(S114,'G-3 Multipliers'!$P$3:$Q$6,2,FALSE))</f>
        <v/>
      </c>
      <c r="W114" s="317" t="str">
        <f t="shared" si="11"/>
        <v/>
      </c>
      <c r="X114" s="98"/>
      <c r="Y114" s="99"/>
      <c r="Z114" s="101"/>
      <c r="AG114" s="15" t="str">
        <f>IFERROR(INDEX('G-6 Hedgerow Data'!$BJ$3:$BJ$15,MATCH(D114,'G-6 Hedgerow Data'!$B$3:$B$15,0)),"")</f>
        <v/>
      </c>
    </row>
    <row r="115" spans="2:33" ht="14" x14ac:dyDescent="0.3">
      <c r="B115" s="92">
        <v>104</v>
      </c>
      <c r="C115" s="143"/>
      <c r="D115" s="138"/>
      <c r="E115" s="120"/>
      <c r="F115" s="335" t="str">
        <f>IF(D115="","",VLOOKUP(D115,'G-6 Hedgerow Data'!$B$2:$AG$15,2,FALSE))</f>
        <v/>
      </c>
      <c r="G115" s="291" t="str">
        <f>IF(D115="","",VLOOKUP(D115,'G-6 Hedgerow Data'!$B$2:$AG$15,3,FALSE))</f>
        <v/>
      </c>
      <c r="H115" s="95"/>
      <c r="I115" s="291" t="str">
        <f>IFERROR(IF(H115="","",IF(AND(D115="Non-native and ornamental hedgerow", H115&lt;&gt;"Poor"),"Not possible ▲", (VLOOKUP(H115,'G-1 All Habitats'!$Z$2:$AA$9,2,FALSE)))),"")</f>
        <v/>
      </c>
      <c r="J115" s="95"/>
      <c r="K115" s="310" t="str">
        <f>IF(J115="","",IF(VLOOKUP(J115,'G-3 Multipliers'!$L$3:$N$6,2,FALSE)=0,"Spatial Data Missing ⚠",VLOOKUP(J115,'G-3 Multipliers'!$L$3:$N$6,2,FALSE)))</f>
        <v/>
      </c>
      <c r="L115" s="296" t="str">
        <f>IF(J115="","",IF(VLOOKUP(J115,'G-3 Multipliers'!$L$3:$N$6,3,FALSE)=0,"Spatial Data Missing ⚠",VLOOKUP(J115,'G-3 Multipliers'!$L$3:$N$6,3,FALSE)))</f>
        <v/>
      </c>
      <c r="M115" s="290" t="str">
        <f>IF(OR(D115="",H115=""),"",(INDEX('G-6 Hedgerow Data'!$E$3:$I$15,MATCH(D115,'G-6 Hedgerow Data'!$B$3:$B$15,0),MATCH(H115,'G-6 Hedgerow Data'!$E$2:$I$2,0))))</f>
        <v/>
      </c>
      <c r="N115" s="138"/>
      <c r="O115" s="138"/>
      <c r="P115" s="298" t="str">
        <f t="shared" si="7"/>
        <v/>
      </c>
      <c r="Q115" s="311" t="str">
        <f t="shared" si="8"/>
        <v/>
      </c>
      <c r="R115" s="312" t="str">
        <f t="shared" si="6"/>
        <v/>
      </c>
      <c r="S115" s="325" t="str">
        <f>IF(D115="","",VLOOKUP(D115,'G-6 Hedgerow Data'!$B$3:$AG$15,31,FALSE))</f>
        <v/>
      </c>
      <c r="T115" s="298" t="str">
        <f t="shared" si="9"/>
        <v/>
      </c>
      <c r="U115" s="298" t="str">
        <f t="shared" si="10"/>
        <v/>
      </c>
      <c r="V115" s="314" t="str">
        <f>IF(D115="","",VLOOKUP(S115,'G-3 Multipliers'!$P$3:$Q$6,2,FALSE))</f>
        <v/>
      </c>
      <c r="W115" s="317" t="str">
        <f t="shared" si="11"/>
        <v/>
      </c>
      <c r="X115" s="98"/>
      <c r="Y115" s="99"/>
      <c r="Z115" s="101"/>
      <c r="AG115" s="15" t="str">
        <f>IFERROR(INDEX('G-6 Hedgerow Data'!$BJ$3:$BJ$15,MATCH(D115,'G-6 Hedgerow Data'!$B$3:$B$15,0)),"")</f>
        <v/>
      </c>
    </row>
    <row r="116" spans="2:33" ht="14" x14ac:dyDescent="0.3">
      <c r="B116" s="92">
        <v>105</v>
      </c>
      <c r="C116" s="143"/>
      <c r="D116" s="138"/>
      <c r="E116" s="120"/>
      <c r="F116" s="335" t="str">
        <f>IF(D116="","",VLOOKUP(D116,'G-6 Hedgerow Data'!$B$2:$AG$15,2,FALSE))</f>
        <v/>
      </c>
      <c r="G116" s="291" t="str">
        <f>IF(D116="","",VLOOKUP(D116,'G-6 Hedgerow Data'!$B$2:$AG$15,3,FALSE))</f>
        <v/>
      </c>
      <c r="H116" s="95"/>
      <c r="I116" s="291" t="str">
        <f>IFERROR(IF(H116="","",IF(AND(D116="Non-native and ornamental hedgerow", H116&lt;&gt;"Poor"),"Not possible ▲", (VLOOKUP(H116,'G-1 All Habitats'!$Z$2:$AA$9,2,FALSE)))),"")</f>
        <v/>
      </c>
      <c r="J116" s="95"/>
      <c r="K116" s="310" t="str">
        <f>IF(J116="","",IF(VLOOKUP(J116,'G-3 Multipliers'!$L$3:$N$6,2,FALSE)=0,"Spatial Data Missing ⚠",VLOOKUP(J116,'G-3 Multipliers'!$L$3:$N$6,2,FALSE)))</f>
        <v/>
      </c>
      <c r="L116" s="296" t="str">
        <f>IF(J116="","",IF(VLOOKUP(J116,'G-3 Multipliers'!$L$3:$N$6,3,FALSE)=0,"Spatial Data Missing ⚠",VLOOKUP(J116,'G-3 Multipliers'!$L$3:$N$6,3,FALSE)))</f>
        <v/>
      </c>
      <c r="M116" s="290" t="str">
        <f>IF(OR(D116="",H116=""),"",(INDEX('G-6 Hedgerow Data'!$E$3:$I$15,MATCH(D116,'G-6 Hedgerow Data'!$B$3:$B$15,0),MATCH(H116,'G-6 Hedgerow Data'!$E$2:$I$2,0))))</f>
        <v/>
      </c>
      <c r="N116" s="138"/>
      <c r="O116" s="138"/>
      <c r="P116" s="298" t="str">
        <f t="shared" si="7"/>
        <v/>
      </c>
      <c r="Q116" s="311" t="str">
        <f t="shared" si="8"/>
        <v/>
      </c>
      <c r="R116" s="312" t="str">
        <f t="shared" si="6"/>
        <v/>
      </c>
      <c r="S116" s="325" t="str">
        <f>IF(D116="","",VLOOKUP(D116,'G-6 Hedgerow Data'!$B$3:$AG$15,31,FALSE))</f>
        <v/>
      </c>
      <c r="T116" s="298" t="str">
        <f t="shared" si="9"/>
        <v/>
      </c>
      <c r="U116" s="298" t="str">
        <f t="shared" si="10"/>
        <v/>
      </c>
      <c r="V116" s="314" t="str">
        <f>IF(D116="","",VLOOKUP(S116,'G-3 Multipliers'!$P$3:$Q$6,2,FALSE))</f>
        <v/>
      </c>
      <c r="W116" s="317" t="str">
        <f t="shared" si="11"/>
        <v/>
      </c>
      <c r="X116" s="98"/>
      <c r="Y116" s="99"/>
      <c r="Z116" s="101"/>
      <c r="AG116" s="15" t="str">
        <f>IFERROR(INDEX('G-6 Hedgerow Data'!$BJ$3:$BJ$15,MATCH(D116,'G-6 Hedgerow Data'!$B$3:$B$15,0)),"")</f>
        <v/>
      </c>
    </row>
    <row r="117" spans="2:33" ht="14" x14ac:dyDescent="0.3">
      <c r="B117" s="92">
        <v>106</v>
      </c>
      <c r="C117" s="143"/>
      <c r="D117" s="138"/>
      <c r="E117" s="120"/>
      <c r="F117" s="335" t="str">
        <f>IF(D117="","",VLOOKUP(D117,'G-6 Hedgerow Data'!$B$2:$AG$15,2,FALSE))</f>
        <v/>
      </c>
      <c r="G117" s="291" t="str">
        <f>IF(D117="","",VLOOKUP(D117,'G-6 Hedgerow Data'!$B$2:$AG$15,3,FALSE))</f>
        <v/>
      </c>
      <c r="H117" s="95"/>
      <c r="I117" s="291" t="str">
        <f>IFERROR(IF(H117="","",IF(AND(D117="Non-native and ornamental hedgerow", H117&lt;&gt;"Poor"),"Not possible ▲", (VLOOKUP(H117,'G-1 All Habitats'!$Z$2:$AA$9,2,FALSE)))),"")</f>
        <v/>
      </c>
      <c r="J117" s="95"/>
      <c r="K117" s="310" t="str">
        <f>IF(J117="","",IF(VLOOKUP(J117,'G-3 Multipliers'!$L$3:$N$6,2,FALSE)=0,"Spatial Data Missing ⚠",VLOOKUP(J117,'G-3 Multipliers'!$L$3:$N$6,2,FALSE)))</f>
        <v/>
      </c>
      <c r="L117" s="296" t="str">
        <f>IF(J117="","",IF(VLOOKUP(J117,'G-3 Multipliers'!$L$3:$N$6,3,FALSE)=0,"Spatial Data Missing ⚠",VLOOKUP(J117,'G-3 Multipliers'!$L$3:$N$6,3,FALSE)))</f>
        <v/>
      </c>
      <c r="M117" s="290" t="str">
        <f>IF(OR(D117="",H117=""),"",(INDEX('G-6 Hedgerow Data'!$E$3:$I$15,MATCH(D117,'G-6 Hedgerow Data'!$B$3:$B$15,0),MATCH(H117,'G-6 Hedgerow Data'!$E$2:$I$2,0))))</f>
        <v/>
      </c>
      <c r="N117" s="138"/>
      <c r="O117" s="138"/>
      <c r="P117" s="298" t="str">
        <f t="shared" si="7"/>
        <v/>
      </c>
      <c r="Q117" s="311" t="str">
        <f t="shared" si="8"/>
        <v/>
      </c>
      <c r="R117" s="312" t="str">
        <f t="shared" si="6"/>
        <v/>
      </c>
      <c r="S117" s="325" t="str">
        <f>IF(D117="","",VLOOKUP(D117,'G-6 Hedgerow Data'!$B$3:$AG$15,31,FALSE))</f>
        <v/>
      </c>
      <c r="T117" s="298" t="str">
        <f t="shared" si="9"/>
        <v/>
      </c>
      <c r="U117" s="298" t="str">
        <f t="shared" si="10"/>
        <v/>
      </c>
      <c r="V117" s="314" t="str">
        <f>IF(D117="","",VLOOKUP(S117,'G-3 Multipliers'!$P$3:$Q$6,2,FALSE))</f>
        <v/>
      </c>
      <c r="W117" s="317" t="str">
        <f t="shared" si="11"/>
        <v/>
      </c>
      <c r="X117" s="98"/>
      <c r="Y117" s="99"/>
      <c r="Z117" s="101"/>
      <c r="AG117" s="15" t="str">
        <f>IFERROR(INDEX('G-6 Hedgerow Data'!$BJ$3:$BJ$15,MATCH(D117,'G-6 Hedgerow Data'!$B$3:$B$15,0)),"")</f>
        <v/>
      </c>
    </row>
    <row r="118" spans="2:33" ht="14" x14ac:dyDescent="0.3">
      <c r="B118" s="92">
        <v>107</v>
      </c>
      <c r="C118" s="143"/>
      <c r="D118" s="138"/>
      <c r="E118" s="120"/>
      <c r="F118" s="335" t="str">
        <f>IF(D118="","",VLOOKUP(D118,'G-6 Hedgerow Data'!$B$2:$AG$15,2,FALSE))</f>
        <v/>
      </c>
      <c r="G118" s="291" t="str">
        <f>IF(D118="","",VLOOKUP(D118,'G-6 Hedgerow Data'!$B$2:$AG$15,3,FALSE))</f>
        <v/>
      </c>
      <c r="H118" s="95"/>
      <c r="I118" s="291" t="str">
        <f>IFERROR(IF(H118="","",IF(AND(D118="Non-native and ornamental hedgerow", H118&lt;&gt;"Poor"),"Not possible ▲", (VLOOKUP(H118,'G-1 All Habitats'!$Z$2:$AA$9,2,FALSE)))),"")</f>
        <v/>
      </c>
      <c r="J118" s="95"/>
      <c r="K118" s="310" t="str">
        <f>IF(J118="","",IF(VLOOKUP(J118,'G-3 Multipliers'!$L$3:$N$6,2,FALSE)=0,"Spatial Data Missing ⚠",VLOOKUP(J118,'G-3 Multipliers'!$L$3:$N$6,2,FALSE)))</f>
        <v/>
      </c>
      <c r="L118" s="296" t="str">
        <f>IF(J118="","",IF(VLOOKUP(J118,'G-3 Multipliers'!$L$3:$N$6,3,FALSE)=0,"Spatial Data Missing ⚠",VLOOKUP(J118,'G-3 Multipliers'!$L$3:$N$6,3,FALSE)))</f>
        <v/>
      </c>
      <c r="M118" s="290" t="str">
        <f>IF(OR(D118="",H118=""),"",(INDEX('G-6 Hedgerow Data'!$E$3:$I$15,MATCH(D118,'G-6 Hedgerow Data'!$B$3:$B$15,0),MATCH(H118,'G-6 Hedgerow Data'!$E$2:$I$2,0))))</f>
        <v/>
      </c>
      <c r="N118" s="138"/>
      <c r="O118" s="138"/>
      <c r="P118" s="298" t="str">
        <f t="shared" si="7"/>
        <v/>
      </c>
      <c r="Q118" s="311" t="str">
        <f t="shared" si="8"/>
        <v/>
      </c>
      <c r="R118" s="312" t="str">
        <f t="shared" si="6"/>
        <v/>
      </c>
      <c r="S118" s="325" t="str">
        <f>IF(D118="","",VLOOKUP(D118,'G-6 Hedgerow Data'!$B$3:$AG$15,31,FALSE))</f>
        <v/>
      </c>
      <c r="T118" s="298" t="str">
        <f t="shared" si="9"/>
        <v/>
      </c>
      <c r="U118" s="298" t="str">
        <f t="shared" si="10"/>
        <v/>
      </c>
      <c r="V118" s="314" t="str">
        <f>IF(D118="","",VLOOKUP(S118,'G-3 Multipliers'!$P$3:$Q$6,2,FALSE))</f>
        <v/>
      </c>
      <c r="W118" s="317" t="str">
        <f t="shared" si="11"/>
        <v/>
      </c>
      <c r="X118" s="98"/>
      <c r="Y118" s="99"/>
      <c r="Z118" s="101"/>
      <c r="AG118" s="15" t="str">
        <f>IFERROR(INDEX('G-6 Hedgerow Data'!$BJ$3:$BJ$15,MATCH(D118,'G-6 Hedgerow Data'!$B$3:$B$15,0)),"")</f>
        <v/>
      </c>
    </row>
    <row r="119" spans="2:33" ht="14" x14ac:dyDescent="0.3">
      <c r="B119" s="92">
        <v>108</v>
      </c>
      <c r="C119" s="143"/>
      <c r="D119" s="138"/>
      <c r="E119" s="120"/>
      <c r="F119" s="335" t="str">
        <f>IF(D119="","",VLOOKUP(D119,'G-6 Hedgerow Data'!$B$2:$AG$15,2,FALSE))</f>
        <v/>
      </c>
      <c r="G119" s="291" t="str">
        <f>IF(D119="","",VLOOKUP(D119,'G-6 Hedgerow Data'!$B$2:$AG$15,3,FALSE))</f>
        <v/>
      </c>
      <c r="H119" s="95"/>
      <c r="I119" s="291" t="str">
        <f>IFERROR(IF(H119="","",IF(AND(D119="Non-native and ornamental hedgerow", H119&lt;&gt;"Poor"),"Not possible ▲", (VLOOKUP(H119,'G-1 All Habitats'!$Z$2:$AA$9,2,FALSE)))),"")</f>
        <v/>
      </c>
      <c r="J119" s="95"/>
      <c r="K119" s="310" t="str">
        <f>IF(J119="","",IF(VLOOKUP(J119,'G-3 Multipliers'!$L$3:$N$6,2,FALSE)=0,"Spatial Data Missing ⚠",VLOOKUP(J119,'G-3 Multipliers'!$L$3:$N$6,2,FALSE)))</f>
        <v/>
      </c>
      <c r="L119" s="296" t="str">
        <f>IF(J119="","",IF(VLOOKUP(J119,'G-3 Multipliers'!$L$3:$N$6,3,FALSE)=0,"Spatial Data Missing ⚠",VLOOKUP(J119,'G-3 Multipliers'!$L$3:$N$6,3,FALSE)))</f>
        <v/>
      </c>
      <c r="M119" s="290" t="str">
        <f>IF(OR(D119="",H119=""),"",(INDEX('G-6 Hedgerow Data'!$E$3:$I$15,MATCH(D119,'G-6 Hedgerow Data'!$B$3:$B$15,0),MATCH(H119,'G-6 Hedgerow Data'!$E$2:$I$2,0))))</f>
        <v/>
      </c>
      <c r="N119" s="138"/>
      <c r="O119" s="138"/>
      <c r="P119" s="298" t="str">
        <f t="shared" si="7"/>
        <v/>
      </c>
      <c r="Q119" s="311" t="str">
        <f t="shared" si="8"/>
        <v/>
      </c>
      <c r="R119" s="312" t="str">
        <f t="shared" si="6"/>
        <v/>
      </c>
      <c r="S119" s="325" t="str">
        <f>IF(D119="","",VLOOKUP(D119,'G-6 Hedgerow Data'!$B$3:$AG$15,31,FALSE))</f>
        <v/>
      </c>
      <c r="T119" s="298" t="str">
        <f t="shared" si="9"/>
        <v/>
      </c>
      <c r="U119" s="298" t="str">
        <f t="shared" si="10"/>
        <v/>
      </c>
      <c r="V119" s="314" t="str">
        <f>IF(D119="","",VLOOKUP(S119,'G-3 Multipliers'!$P$3:$Q$6,2,FALSE))</f>
        <v/>
      </c>
      <c r="W119" s="317" t="str">
        <f t="shared" si="11"/>
        <v/>
      </c>
      <c r="X119" s="98"/>
      <c r="Y119" s="99"/>
      <c r="Z119" s="101"/>
      <c r="AG119" s="15" t="str">
        <f>IFERROR(INDEX('G-6 Hedgerow Data'!$BJ$3:$BJ$15,MATCH(D119,'G-6 Hedgerow Data'!$B$3:$B$15,0)),"")</f>
        <v/>
      </c>
    </row>
    <row r="120" spans="2:33" ht="14" x14ac:dyDescent="0.3">
      <c r="B120" s="92">
        <v>109</v>
      </c>
      <c r="C120" s="143"/>
      <c r="D120" s="138"/>
      <c r="E120" s="120"/>
      <c r="F120" s="335" t="str">
        <f>IF(D120="","",VLOOKUP(D120,'G-6 Hedgerow Data'!$B$2:$AG$15,2,FALSE))</f>
        <v/>
      </c>
      <c r="G120" s="291" t="str">
        <f>IF(D120="","",VLOOKUP(D120,'G-6 Hedgerow Data'!$B$2:$AG$15,3,FALSE))</f>
        <v/>
      </c>
      <c r="H120" s="95"/>
      <c r="I120" s="291" t="str">
        <f>IFERROR(IF(H120="","",IF(AND(D120="Non-native and ornamental hedgerow", H120&lt;&gt;"Poor"),"Not possible ▲", (VLOOKUP(H120,'G-1 All Habitats'!$Z$2:$AA$9,2,FALSE)))),"")</f>
        <v/>
      </c>
      <c r="J120" s="95"/>
      <c r="K120" s="310" t="str">
        <f>IF(J120="","",IF(VLOOKUP(J120,'G-3 Multipliers'!$L$3:$N$6,2,FALSE)=0,"Spatial Data Missing ⚠",VLOOKUP(J120,'G-3 Multipliers'!$L$3:$N$6,2,FALSE)))</f>
        <v/>
      </c>
      <c r="L120" s="296" t="str">
        <f>IF(J120="","",IF(VLOOKUP(J120,'G-3 Multipliers'!$L$3:$N$6,3,FALSE)=0,"Spatial Data Missing ⚠",VLOOKUP(J120,'G-3 Multipliers'!$L$3:$N$6,3,FALSE)))</f>
        <v/>
      </c>
      <c r="M120" s="290" t="str">
        <f>IF(OR(D120="",H120=""),"",(INDEX('G-6 Hedgerow Data'!$E$3:$I$15,MATCH(D120,'G-6 Hedgerow Data'!$B$3:$B$15,0),MATCH(H120,'G-6 Hedgerow Data'!$E$2:$I$2,0))))</f>
        <v/>
      </c>
      <c r="N120" s="138"/>
      <c r="O120" s="138"/>
      <c r="P120" s="298" t="str">
        <f t="shared" si="7"/>
        <v/>
      </c>
      <c r="Q120" s="311" t="str">
        <f t="shared" si="8"/>
        <v/>
      </c>
      <c r="R120" s="312" t="str">
        <f t="shared" si="6"/>
        <v/>
      </c>
      <c r="S120" s="325" t="str">
        <f>IF(D120="","",VLOOKUP(D120,'G-6 Hedgerow Data'!$B$3:$AG$15,31,FALSE))</f>
        <v/>
      </c>
      <c r="T120" s="298" t="str">
        <f t="shared" si="9"/>
        <v/>
      </c>
      <c r="U120" s="298" t="str">
        <f t="shared" si="10"/>
        <v/>
      </c>
      <c r="V120" s="314" t="str">
        <f>IF(D120="","",VLOOKUP(S120,'G-3 Multipliers'!$P$3:$Q$6,2,FALSE))</f>
        <v/>
      </c>
      <c r="W120" s="317" t="str">
        <f t="shared" si="11"/>
        <v/>
      </c>
      <c r="X120" s="98"/>
      <c r="Y120" s="99"/>
      <c r="Z120" s="101"/>
      <c r="AG120" s="15" t="str">
        <f>IFERROR(INDEX('G-6 Hedgerow Data'!$BJ$3:$BJ$15,MATCH(D120,'G-6 Hedgerow Data'!$B$3:$B$15,0)),"")</f>
        <v/>
      </c>
    </row>
    <row r="121" spans="2:33" ht="14" x14ac:dyDescent="0.3">
      <c r="B121" s="92">
        <v>110</v>
      </c>
      <c r="C121" s="143"/>
      <c r="D121" s="138"/>
      <c r="E121" s="120"/>
      <c r="F121" s="335" t="str">
        <f>IF(D121="","",VLOOKUP(D121,'G-6 Hedgerow Data'!$B$2:$AG$15,2,FALSE))</f>
        <v/>
      </c>
      <c r="G121" s="291" t="str">
        <f>IF(D121="","",VLOOKUP(D121,'G-6 Hedgerow Data'!$B$2:$AG$15,3,FALSE))</f>
        <v/>
      </c>
      <c r="H121" s="95"/>
      <c r="I121" s="291" t="str">
        <f>IFERROR(IF(H121="","",IF(AND(D121="Non-native and ornamental hedgerow", H121&lt;&gt;"Poor"),"Not possible ▲", (VLOOKUP(H121,'G-1 All Habitats'!$Z$2:$AA$9,2,FALSE)))),"")</f>
        <v/>
      </c>
      <c r="J121" s="95"/>
      <c r="K121" s="310" t="str">
        <f>IF(J121="","",IF(VLOOKUP(J121,'G-3 Multipliers'!$L$3:$N$6,2,FALSE)=0,"Spatial Data Missing ⚠",VLOOKUP(J121,'G-3 Multipliers'!$L$3:$N$6,2,FALSE)))</f>
        <v/>
      </c>
      <c r="L121" s="296" t="str">
        <f>IF(J121="","",IF(VLOOKUP(J121,'G-3 Multipliers'!$L$3:$N$6,3,FALSE)=0,"Spatial Data Missing ⚠",VLOOKUP(J121,'G-3 Multipliers'!$L$3:$N$6,3,FALSE)))</f>
        <v/>
      </c>
      <c r="M121" s="290" t="str">
        <f>IF(OR(D121="",H121=""),"",(INDEX('G-6 Hedgerow Data'!$E$3:$I$15,MATCH(D121,'G-6 Hedgerow Data'!$B$3:$B$15,0),MATCH(H121,'G-6 Hedgerow Data'!$E$2:$I$2,0))))</f>
        <v/>
      </c>
      <c r="N121" s="138"/>
      <c r="O121" s="138"/>
      <c r="P121" s="298" t="str">
        <f t="shared" si="7"/>
        <v/>
      </c>
      <c r="Q121" s="311" t="str">
        <f t="shared" si="8"/>
        <v/>
      </c>
      <c r="R121" s="312" t="str">
        <f t="shared" si="6"/>
        <v/>
      </c>
      <c r="S121" s="325" t="str">
        <f>IF(D121="","",VLOOKUP(D121,'G-6 Hedgerow Data'!$B$3:$AG$15,31,FALSE))</f>
        <v/>
      </c>
      <c r="T121" s="298" t="str">
        <f t="shared" si="9"/>
        <v/>
      </c>
      <c r="U121" s="298" t="str">
        <f t="shared" si="10"/>
        <v/>
      </c>
      <c r="V121" s="314" t="str">
        <f>IF(D121="","",VLOOKUP(S121,'G-3 Multipliers'!$P$3:$Q$6,2,FALSE))</f>
        <v/>
      </c>
      <c r="W121" s="317" t="str">
        <f t="shared" si="11"/>
        <v/>
      </c>
      <c r="X121" s="98"/>
      <c r="Y121" s="99"/>
      <c r="Z121" s="101"/>
      <c r="AG121" s="15" t="str">
        <f>IFERROR(INDEX('G-6 Hedgerow Data'!$BJ$3:$BJ$15,MATCH(D121,'G-6 Hedgerow Data'!$B$3:$B$15,0)),"")</f>
        <v/>
      </c>
    </row>
    <row r="122" spans="2:33" ht="14" x14ac:dyDescent="0.3">
      <c r="B122" s="92">
        <v>111</v>
      </c>
      <c r="C122" s="143"/>
      <c r="D122" s="138"/>
      <c r="E122" s="120"/>
      <c r="F122" s="335" t="str">
        <f>IF(D122="","",VLOOKUP(D122,'G-6 Hedgerow Data'!$B$2:$AG$15,2,FALSE))</f>
        <v/>
      </c>
      <c r="G122" s="291" t="str">
        <f>IF(D122="","",VLOOKUP(D122,'G-6 Hedgerow Data'!$B$2:$AG$15,3,FALSE))</f>
        <v/>
      </c>
      <c r="H122" s="95"/>
      <c r="I122" s="291" t="str">
        <f>IFERROR(IF(H122="","",IF(AND(D122="Non-native and ornamental hedgerow", H122&lt;&gt;"Poor"),"Not possible ▲", (VLOOKUP(H122,'G-1 All Habitats'!$Z$2:$AA$9,2,FALSE)))),"")</f>
        <v/>
      </c>
      <c r="J122" s="95"/>
      <c r="K122" s="310" t="str">
        <f>IF(J122="","",IF(VLOOKUP(J122,'G-3 Multipliers'!$L$3:$N$6,2,FALSE)=0,"Spatial Data Missing ⚠",VLOOKUP(J122,'G-3 Multipliers'!$L$3:$N$6,2,FALSE)))</f>
        <v/>
      </c>
      <c r="L122" s="296" t="str">
        <f>IF(J122="","",IF(VLOOKUP(J122,'G-3 Multipliers'!$L$3:$N$6,3,FALSE)=0,"Spatial Data Missing ⚠",VLOOKUP(J122,'G-3 Multipliers'!$L$3:$N$6,3,FALSE)))</f>
        <v/>
      </c>
      <c r="M122" s="290" t="str">
        <f>IF(OR(D122="",H122=""),"",(INDEX('G-6 Hedgerow Data'!$E$3:$I$15,MATCH(D122,'G-6 Hedgerow Data'!$B$3:$B$15,0),MATCH(H122,'G-6 Hedgerow Data'!$E$2:$I$2,0))))</f>
        <v/>
      </c>
      <c r="N122" s="138"/>
      <c r="O122" s="138"/>
      <c r="P122" s="298" t="str">
        <f t="shared" si="7"/>
        <v/>
      </c>
      <c r="Q122" s="311" t="str">
        <f t="shared" si="8"/>
        <v/>
      </c>
      <c r="R122" s="312" t="str">
        <f t="shared" si="6"/>
        <v/>
      </c>
      <c r="S122" s="325" t="str">
        <f>IF(D122="","",VLOOKUP(D122,'G-6 Hedgerow Data'!$B$3:$AG$15,31,FALSE))</f>
        <v/>
      </c>
      <c r="T122" s="298" t="str">
        <f t="shared" si="9"/>
        <v/>
      </c>
      <c r="U122" s="298" t="str">
        <f t="shared" si="10"/>
        <v/>
      </c>
      <c r="V122" s="314" t="str">
        <f>IF(D122="","",VLOOKUP(S122,'G-3 Multipliers'!$P$3:$Q$6,2,FALSE))</f>
        <v/>
      </c>
      <c r="W122" s="317" t="str">
        <f t="shared" si="11"/>
        <v/>
      </c>
      <c r="X122" s="98"/>
      <c r="Y122" s="99"/>
      <c r="Z122" s="101"/>
      <c r="AG122" s="15" t="str">
        <f>IFERROR(INDEX('G-6 Hedgerow Data'!$BJ$3:$BJ$15,MATCH(D122,'G-6 Hedgerow Data'!$B$3:$B$15,0)),"")</f>
        <v/>
      </c>
    </row>
    <row r="123" spans="2:33" ht="14" x14ac:dyDescent="0.3">
      <c r="B123" s="92">
        <v>112</v>
      </c>
      <c r="C123" s="143"/>
      <c r="D123" s="138"/>
      <c r="E123" s="120"/>
      <c r="F123" s="335" t="str">
        <f>IF(D123="","",VLOOKUP(D123,'G-6 Hedgerow Data'!$B$2:$AG$15,2,FALSE))</f>
        <v/>
      </c>
      <c r="G123" s="291" t="str">
        <f>IF(D123="","",VLOOKUP(D123,'G-6 Hedgerow Data'!$B$2:$AG$15,3,FALSE))</f>
        <v/>
      </c>
      <c r="H123" s="95"/>
      <c r="I123" s="291" t="str">
        <f>IFERROR(IF(H123="","",IF(AND(D123="Non-native and ornamental hedgerow", H123&lt;&gt;"Poor"),"Not possible ▲", (VLOOKUP(H123,'G-1 All Habitats'!$Z$2:$AA$9,2,FALSE)))),"")</f>
        <v/>
      </c>
      <c r="J123" s="95"/>
      <c r="K123" s="310" t="str">
        <f>IF(J123="","",IF(VLOOKUP(J123,'G-3 Multipliers'!$L$3:$N$6,2,FALSE)=0,"Spatial Data Missing ⚠",VLOOKUP(J123,'G-3 Multipliers'!$L$3:$N$6,2,FALSE)))</f>
        <v/>
      </c>
      <c r="L123" s="296" t="str">
        <f>IF(J123="","",IF(VLOOKUP(J123,'G-3 Multipliers'!$L$3:$N$6,3,FALSE)=0,"Spatial Data Missing ⚠",VLOOKUP(J123,'G-3 Multipliers'!$L$3:$N$6,3,FALSE)))</f>
        <v/>
      </c>
      <c r="M123" s="290" t="str">
        <f>IF(OR(D123="",H123=""),"",(INDEX('G-6 Hedgerow Data'!$E$3:$I$15,MATCH(D123,'G-6 Hedgerow Data'!$B$3:$B$15,0),MATCH(H123,'G-6 Hedgerow Data'!$E$2:$I$2,0))))</f>
        <v/>
      </c>
      <c r="N123" s="138"/>
      <c r="O123" s="138"/>
      <c r="P123" s="298" t="str">
        <f t="shared" si="7"/>
        <v/>
      </c>
      <c r="Q123" s="311" t="str">
        <f t="shared" si="8"/>
        <v/>
      </c>
      <c r="R123" s="312" t="str">
        <f t="shared" si="6"/>
        <v/>
      </c>
      <c r="S123" s="325" t="str">
        <f>IF(D123="","",VLOOKUP(D123,'G-6 Hedgerow Data'!$B$3:$AG$15,31,FALSE))</f>
        <v/>
      </c>
      <c r="T123" s="298" t="str">
        <f t="shared" si="9"/>
        <v/>
      </c>
      <c r="U123" s="298" t="str">
        <f t="shared" si="10"/>
        <v/>
      </c>
      <c r="V123" s="314" t="str">
        <f>IF(D123="","",VLOOKUP(S123,'G-3 Multipliers'!$P$3:$Q$6,2,FALSE))</f>
        <v/>
      </c>
      <c r="W123" s="317" t="str">
        <f t="shared" si="11"/>
        <v/>
      </c>
      <c r="X123" s="98"/>
      <c r="Y123" s="99"/>
      <c r="Z123" s="101"/>
      <c r="AG123" s="15" t="str">
        <f>IFERROR(INDEX('G-6 Hedgerow Data'!$BJ$3:$BJ$15,MATCH(D123,'G-6 Hedgerow Data'!$B$3:$B$15,0)),"")</f>
        <v/>
      </c>
    </row>
    <row r="124" spans="2:33" ht="14" x14ac:dyDescent="0.3">
      <c r="B124" s="92">
        <v>113</v>
      </c>
      <c r="C124" s="143"/>
      <c r="D124" s="138"/>
      <c r="E124" s="120"/>
      <c r="F124" s="335" t="str">
        <f>IF(D124="","",VLOOKUP(D124,'G-6 Hedgerow Data'!$B$2:$AG$15,2,FALSE))</f>
        <v/>
      </c>
      <c r="G124" s="291" t="str">
        <f>IF(D124="","",VLOOKUP(D124,'G-6 Hedgerow Data'!$B$2:$AG$15,3,FALSE))</f>
        <v/>
      </c>
      <c r="H124" s="95"/>
      <c r="I124" s="291" t="str">
        <f>IFERROR(IF(H124="","",IF(AND(D124="Non-native and ornamental hedgerow", H124&lt;&gt;"Poor"),"Not possible ▲", (VLOOKUP(H124,'G-1 All Habitats'!$Z$2:$AA$9,2,FALSE)))),"")</f>
        <v/>
      </c>
      <c r="J124" s="95"/>
      <c r="K124" s="310" t="str">
        <f>IF(J124="","",IF(VLOOKUP(J124,'G-3 Multipliers'!$L$3:$N$6,2,FALSE)=0,"Spatial Data Missing ⚠",VLOOKUP(J124,'G-3 Multipliers'!$L$3:$N$6,2,FALSE)))</f>
        <v/>
      </c>
      <c r="L124" s="296" t="str">
        <f>IF(J124="","",IF(VLOOKUP(J124,'G-3 Multipliers'!$L$3:$N$6,3,FALSE)=0,"Spatial Data Missing ⚠",VLOOKUP(J124,'G-3 Multipliers'!$L$3:$N$6,3,FALSE)))</f>
        <v/>
      </c>
      <c r="M124" s="290" t="str">
        <f>IF(OR(D124="",H124=""),"",(INDEX('G-6 Hedgerow Data'!$E$3:$I$15,MATCH(D124,'G-6 Hedgerow Data'!$B$3:$B$15,0),MATCH(H124,'G-6 Hedgerow Data'!$E$2:$I$2,0))))</f>
        <v/>
      </c>
      <c r="N124" s="138"/>
      <c r="O124" s="138"/>
      <c r="P124" s="298" t="str">
        <f t="shared" si="7"/>
        <v/>
      </c>
      <c r="Q124" s="311" t="str">
        <f t="shared" si="8"/>
        <v/>
      </c>
      <c r="R124" s="312" t="str">
        <f t="shared" si="6"/>
        <v/>
      </c>
      <c r="S124" s="325" t="str">
        <f>IF(D124="","",VLOOKUP(D124,'G-6 Hedgerow Data'!$B$3:$AG$15,31,FALSE))</f>
        <v/>
      </c>
      <c r="T124" s="298" t="str">
        <f t="shared" si="9"/>
        <v/>
      </c>
      <c r="U124" s="298" t="str">
        <f t="shared" si="10"/>
        <v/>
      </c>
      <c r="V124" s="314" t="str">
        <f>IF(D124="","",VLOOKUP(S124,'G-3 Multipliers'!$P$3:$Q$6,2,FALSE))</f>
        <v/>
      </c>
      <c r="W124" s="317" t="str">
        <f t="shared" si="11"/>
        <v/>
      </c>
      <c r="X124" s="98"/>
      <c r="Y124" s="99"/>
      <c r="Z124" s="101"/>
      <c r="AG124" s="15" t="str">
        <f>IFERROR(INDEX('G-6 Hedgerow Data'!$BJ$3:$BJ$15,MATCH(D124,'G-6 Hedgerow Data'!$B$3:$B$15,0)),"")</f>
        <v/>
      </c>
    </row>
    <row r="125" spans="2:33" ht="14" x14ac:dyDescent="0.3">
      <c r="B125" s="92">
        <v>114</v>
      </c>
      <c r="C125" s="143"/>
      <c r="D125" s="138"/>
      <c r="E125" s="120"/>
      <c r="F125" s="335" t="str">
        <f>IF(D125="","",VLOOKUP(D125,'G-6 Hedgerow Data'!$B$2:$AG$15,2,FALSE))</f>
        <v/>
      </c>
      <c r="G125" s="291" t="str">
        <f>IF(D125="","",VLOOKUP(D125,'G-6 Hedgerow Data'!$B$2:$AG$15,3,FALSE))</f>
        <v/>
      </c>
      <c r="H125" s="95"/>
      <c r="I125" s="291" t="str">
        <f>IFERROR(IF(H125="","",IF(AND(D125="Non-native and ornamental hedgerow", H125&lt;&gt;"Poor"),"Not possible ▲", (VLOOKUP(H125,'G-1 All Habitats'!$Z$2:$AA$9,2,FALSE)))),"")</f>
        <v/>
      </c>
      <c r="J125" s="95"/>
      <c r="K125" s="310" t="str">
        <f>IF(J125="","",IF(VLOOKUP(J125,'G-3 Multipliers'!$L$3:$N$6,2,FALSE)=0,"Spatial Data Missing ⚠",VLOOKUP(J125,'G-3 Multipliers'!$L$3:$N$6,2,FALSE)))</f>
        <v/>
      </c>
      <c r="L125" s="296" t="str">
        <f>IF(J125="","",IF(VLOOKUP(J125,'G-3 Multipliers'!$L$3:$N$6,3,FALSE)=0,"Spatial Data Missing ⚠",VLOOKUP(J125,'G-3 Multipliers'!$L$3:$N$6,3,FALSE)))</f>
        <v/>
      </c>
      <c r="M125" s="290" t="str">
        <f>IF(OR(D125="",H125=""),"",(INDEX('G-6 Hedgerow Data'!$E$3:$I$15,MATCH(D125,'G-6 Hedgerow Data'!$B$3:$B$15,0),MATCH(H125,'G-6 Hedgerow Data'!$E$2:$I$2,0))))</f>
        <v/>
      </c>
      <c r="N125" s="138"/>
      <c r="O125" s="138"/>
      <c r="P125" s="298" t="str">
        <f t="shared" si="7"/>
        <v/>
      </c>
      <c r="Q125" s="311" t="str">
        <f t="shared" si="8"/>
        <v/>
      </c>
      <c r="R125" s="312" t="str">
        <f t="shared" si="6"/>
        <v/>
      </c>
      <c r="S125" s="325" t="str">
        <f>IF(D125="","",VLOOKUP(D125,'G-6 Hedgerow Data'!$B$3:$AG$15,31,FALSE))</f>
        <v/>
      </c>
      <c r="T125" s="298" t="str">
        <f t="shared" si="9"/>
        <v/>
      </c>
      <c r="U125" s="298" t="str">
        <f t="shared" si="10"/>
        <v/>
      </c>
      <c r="V125" s="314" t="str">
        <f>IF(D125="","",VLOOKUP(S125,'G-3 Multipliers'!$P$3:$Q$6,2,FALSE))</f>
        <v/>
      </c>
      <c r="W125" s="317" t="str">
        <f t="shared" si="11"/>
        <v/>
      </c>
      <c r="X125" s="98"/>
      <c r="Y125" s="99"/>
      <c r="Z125" s="101"/>
      <c r="AG125" s="15" t="str">
        <f>IFERROR(INDEX('G-6 Hedgerow Data'!$BJ$3:$BJ$15,MATCH(D125,'G-6 Hedgerow Data'!$B$3:$B$15,0)),"")</f>
        <v/>
      </c>
    </row>
    <row r="126" spans="2:33" ht="14" x14ac:dyDescent="0.3">
      <c r="B126" s="92">
        <v>115</v>
      </c>
      <c r="C126" s="143"/>
      <c r="D126" s="138"/>
      <c r="E126" s="120"/>
      <c r="F126" s="335" t="str">
        <f>IF(D126="","",VLOOKUP(D126,'G-6 Hedgerow Data'!$B$2:$AG$15,2,FALSE))</f>
        <v/>
      </c>
      <c r="G126" s="291" t="str">
        <f>IF(D126="","",VLOOKUP(D126,'G-6 Hedgerow Data'!$B$2:$AG$15,3,FALSE))</f>
        <v/>
      </c>
      <c r="H126" s="95"/>
      <c r="I126" s="291" t="str">
        <f>IFERROR(IF(H126="","",IF(AND(D126="Non-native and ornamental hedgerow", H126&lt;&gt;"Poor"),"Not possible ▲", (VLOOKUP(H126,'G-1 All Habitats'!$Z$2:$AA$9,2,FALSE)))),"")</f>
        <v/>
      </c>
      <c r="J126" s="95"/>
      <c r="K126" s="310" t="str">
        <f>IF(J126="","",IF(VLOOKUP(J126,'G-3 Multipliers'!$L$3:$N$6,2,FALSE)=0,"Spatial Data Missing ⚠",VLOOKUP(J126,'G-3 Multipliers'!$L$3:$N$6,2,FALSE)))</f>
        <v/>
      </c>
      <c r="L126" s="296" t="str">
        <f>IF(J126="","",IF(VLOOKUP(J126,'G-3 Multipliers'!$L$3:$N$6,3,FALSE)=0,"Spatial Data Missing ⚠",VLOOKUP(J126,'G-3 Multipliers'!$L$3:$N$6,3,FALSE)))</f>
        <v/>
      </c>
      <c r="M126" s="290" t="str">
        <f>IF(OR(D126="",H126=""),"",(INDEX('G-6 Hedgerow Data'!$E$3:$I$15,MATCH(D126,'G-6 Hedgerow Data'!$B$3:$B$15,0),MATCH(H126,'G-6 Hedgerow Data'!$E$2:$I$2,0))))</f>
        <v/>
      </c>
      <c r="N126" s="138"/>
      <c r="O126" s="138"/>
      <c r="P126" s="298" t="str">
        <f t="shared" si="7"/>
        <v/>
      </c>
      <c r="Q126" s="311" t="str">
        <f t="shared" si="8"/>
        <v/>
      </c>
      <c r="R126" s="312" t="str">
        <f t="shared" si="6"/>
        <v/>
      </c>
      <c r="S126" s="325" t="str">
        <f>IF(D126="","",VLOOKUP(D126,'G-6 Hedgerow Data'!$B$3:$AG$15,31,FALSE))</f>
        <v/>
      </c>
      <c r="T126" s="298" t="str">
        <f t="shared" si="9"/>
        <v/>
      </c>
      <c r="U126" s="298" t="str">
        <f t="shared" si="10"/>
        <v/>
      </c>
      <c r="V126" s="314" t="str">
        <f>IF(D126="","",VLOOKUP(S126,'G-3 Multipliers'!$P$3:$Q$6,2,FALSE))</f>
        <v/>
      </c>
      <c r="W126" s="317" t="str">
        <f t="shared" si="11"/>
        <v/>
      </c>
      <c r="X126" s="98"/>
      <c r="Y126" s="99"/>
      <c r="Z126" s="101"/>
      <c r="AG126" s="15" t="str">
        <f>IFERROR(INDEX('G-6 Hedgerow Data'!$BJ$3:$BJ$15,MATCH(D126,'G-6 Hedgerow Data'!$B$3:$B$15,0)),"")</f>
        <v/>
      </c>
    </row>
    <row r="127" spans="2:33" ht="14" x14ac:dyDescent="0.3">
      <c r="B127" s="92">
        <v>116</v>
      </c>
      <c r="C127" s="143"/>
      <c r="D127" s="138"/>
      <c r="E127" s="120"/>
      <c r="F127" s="335" t="str">
        <f>IF(D127="","",VLOOKUP(D127,'G-6 Hedgerow Data'!$B$2:$AG$15,2,FALSE))</f>
        <v/>
      </c>
      <c r="G127" s="291" t="str">
        <f>IF(D127="","",VLOOKUP(D127,'G-6 Hedgerow Data'!$B$2:$AG$15,3,FALSE))</f>
        <v/>
      </c>
      <c r="H127" s="95"/>
      <c r="I127" s="291" t="str">
        <f>IFERROR(IF(H127="","",IF(AND(D127="Non-native and ornamental hedgerow", H127&lt;&gt;"Poor"),"Not possible ▲", (VLOOKUP(H127,'G-1 All Habitats'!$Z$2:$AA$9,2,FALSE)))),"")</f>
        <v/>
      </c>
      <c r="J127" s="95"/>
      <c r="K127" s="310" t="str">
        <f>IF(J127="","",IF(VLOOKUP(J127,'G-3 Multipliers'!$L$3:$N$6,2,FALSE)=0,"Spatial Data Missing ⚠",VLOOKUP(J127,'G-3 Multipliers'!$L$3:$N$6,2,FALSE)))</f>
        <v/>
      </c>
      <c r="L127" s="296" t="str">
        <f>IF(J127="","",IF(VLOOKUP(J127,'G-3 Multipliers'!$L$3:$N$6,3,FALSE)=0,"Spatial Data Missing ⚠",VLOOKUP(J127,'G-3 Multipliers'!$L$3:$N$6,3,FALSE)))</f>
        <v/>
      </c>
      <c r="M127" s="290" t="str">
        <f>IF(OR(D127="",H127=""),"",(INDEX('G-6 Hedgerow Data'!$E$3:$I$15,MATCH(D127,'G-6 Hedgerow Data'!$B$3:$B$15,0),MATCH(H127,'G-6 Hedgerow Data'!$E$2:$I$2,0))))</f>
        <v/>
      </c>
      <c r="N127" s="138"/>
      <c r="O127" s="138"/>
      <c r="P127" s="298" t="str">
        <f t="shared" si="7"/>
        <v/>
      </c>
      <c r="Q127" s="311" t="str">
        <f t="shared" si="8"/>
        <v/>
      </c>
      <c r="R127" s="312" t="str">
        <f t="shared" si="6"/>
        <v/>
      </c>
      <c r="S127" s="325" t="str">
        <f>IF(D127="","",VLOOKUP(D127,'G-6 Hedgerow Data'!$B$3:$AG$15,31,FALSE))</f>
        <v/>
      </c>
      <c r="T127" s="298" t="str">
        <f t="shared" si="9"/>
        <v/>
      </c>
      <c r="U127" s="298" t="str">
        <f t="shared" si="10"/>
        <v/>
      </c>
      <c r="V127" s="314" t="str">
        <f>IF(D127="","",VLOOKUP(S127,'G-3 Multipliers'!$P$3:$Q$6,2,FALSE))</f>
        <v/>
      </c>
      <c r="W127" s="317" t="str">
        <f t="shared" si="11"/>
        <v/>
      </c>
      <c r="X127" s="98"/>
      <c r="Y127" s="99"/>
      <c r="Z127" s="101"/>
      <c r="AG127" s="15" t="str">
        <f>IFERROR(INDEX('G-6 Hedgerow Data'!$BJ$3:$BJ$15,MATCH(D127,'G-6 Hedgerow Data'!$B$3:$B$15,0)),"")</f>
        <v/>
      </c>
    </row>
    <row r="128" spans="2:33" ht="14" x14ac:dyDescent="0.3">
      <c r="B128" s="92">
        <v>117</v>
      </c>
      <c r="C128" s="143"/>
      <c r="D128" s="138"/>
      <c r="E128" s="120"/>
      <c r="F128" s="335" t="str">
        <f>IF(D128="","",VLOOKUP(D128,'G-6 Hedgerow Data'!$B$2:$AG$15,2,FALSE))</f>
        <v/>
      </c>
      <c r="G128" s="291" t="str">
        <f>IF(D128="","",VLOOKUP(D128,'G-6 Hedgerow Data'!$B$2:$AG$15,3,FALSE))</f>
        <v/>
      </c>
      <c r="H128" s="95"/>
      <c r="I128" s="291" t="str">
        <f>IFERROR(IF(H128="","",IF(AND(D128="Non-native and ornamental hedgerow", H128&lt;&gt;"Poor"),"Not possible ▲", (VLOOKUP(H128,'G-1 All Habitats'!$Z$2:$AA$9,2,FALSE)))),"")</f>
        <v/>
      </c>
      <c r="J128" s="95"/>
      <c r="K128" s="310" t="str">
        <f>IF(J128="","",IF(VLOOKUP(J128,'G-3 Multipliers'!$L$3:$N$6,2,FALSE)=0,"Spatial Data Missing ⚠",VLOOKUP(J128,'G-3 Multipliers'!$L$3:$N$6,2,FALSE)))</f>
        <v/>
      </c>
      <c r="L128" s="296" t="str">
        <f>IF(J128="","",IF(VLOOKUP(J128,'G-3 Multipliers'!$L$3:$N$6,3,FALSE)=0,"Spatial Data Missing ⚠",VLOOKUP(J128,'G-3 Multipliers'!$L$3:$N$6,3,FALSE)))</f>
        <v/>
      </c>
      <c r="M128" s="290" t="str">
        <f>IF(OR(D128="",H128=""),"",(INDEX('G-6 Hedgerow Data'!$E$3:$I$15,MATCH(D128,'G-6 Hedgerow Data'!$B$3:$B$15,0),MATCH(H128,'G-6 Hedgerow Data'!$E$2:$I$2,0))))</f>
        <v/>
      </c>
      <c r="N128" s="138"/>
      <c r="O128" s="138"/>
      <c r="P128" s="298" t="str">
        <f t="shared" si="7"/>
        <v/>
      </c>
      <c r="Q128" s="311" t="str">
        <f t="shared" si="8"/>
        <v/>
      </c>
      <c r="R128" s="312" t="str">
        <f t="shared" si="6"/>
        <v/>
      </c>
      <c r="S128" s="325" t="str">
        <f>IF(D128="","",VLOOKUP(D128,'G-6 Hedgerow Data'!$B$3:$AG$15,31,FALSE))</f>
        <v/>
      </c>
      <c r="T128" s="298" t="str">
        <f t="shared" si="9"/>
        <v/>
      </c>
      <c r="U128" s="298" t="str">
        <f t="shared" si="10"/>
        <v/>
      </c>
      <c r="V128" s="314" t="str">
        <f>IF(D128="","",VLOOKUP(S128,'G-3 Multipliers'!$P$3:$Q$6,2,FALSE))</f>
        <v/>
      </c>
      <c r="W128" s="317" t="str">
        <f t="shared" si="11"/>
        <v/>
      </c>
      <c r="X128" s="98"/>
      <c r="Y128" s="99"/>
      <c r="Z128" s="101"/>
      <c r="AG128" s="15" t="str">
        <f>IFERROR(INDEX('G-6 Hedgerow Data'!$BJ$3:$BJ$15,MATCH(D128,'G-6 Hedgerow Data'!$B$3:$B$15,0)),"")</f>
        <v/>
      </c>
    </row>
    <row r="129" spans="2:33" ht="14" x14ac:dyDescent="0.3">
      <c r="B129" s="92">
        <v>118</v>
      </c>
      <c r="C129" s="143"/>
      <c r="D129" s="138"/>
      <c r="E129" s="120"/>
      <c r="F129" s="335" t="str">
        <f>IF(D129="","",VLOOKUP(D129,'G-6 Hedgerow Data'!$B$2:$AG$15,2,FALSE))</f>
        <v/>
      </c>
      <c r="G129" s="291" t="str">
        <f>IF(D129="","",VLOOKUP(D129,'G-6 Hedgerow Data'!$B$2:$AG$15,3,FALSE))</f>
        <v/>
      </c>
      <c r="H129" s="95"/>
      <c r="I129" s="291" t="str">
        <f>IFERROR(IF(H129="","",IF(AND(D129="Non-native and ornamental hedgerow", H129&lt;&gt;"Poor"),"Not possible ▲", (VLOOKUP(H129,'G-1 All Habitats'!$Z$2:$AA$9,2,FALSE)))),"")</f>
        <v/>
      </c>
      <c r="J129" s="95"/>
      <c r="K129" s="310" t="str">
        <f>IF(J129="","",IF(VLOOKUP(J129,'G-3 Multipliers'!$L$3:$N$6,2,FALSE)=0,"Spatial Data Missing ⚠",VLOOKUP(J129,'G-3 Multipliers'!$L$3:$N$6,2,FALSE)))</f>
        <v/>
      </c>
      <c r="L129" s="296" t="str">
        <f>IF(J129="","",IF(VLOOKUP(J129,'G-3 Multipliers'!$L$3:$N$6,3,FALSE)=0,"Spatial Data Missing ⚠",VLOOKUP(J129,'G-3 Multipliers'!$L$3:$N$6,3,FALSE)))</f>
        <v/>
      </c>
      <c r="M129" s="290" t="str">
        <f>IF(OR(D129="",H129=""),"",(INDEX('G-6 Hedgerow Data'!$E$3:$I$15,MATCH(D129,'G-6 Hedgerow Data'!$B$3:$B$15,0),MATCH(H129,'G-6 Hedgerow Data'!$E$2:$I$2,0))))</f>
        <v/>
      </c>
      <c r="N129" s="138"/>
      <c r="O129" s="138"/>
      <c r="P129" s="298" t="str">
        <f t="shared" si="7"/>
        <v/>
      </c>
      <c r="Q129" s="311" t="str">
        <f t="shared" si="8"/>
        <v/>
      </c>
      <c r="R129" s="312" t="str">
        <f t="shared" si="6"/>
        <v/>
      </c>
      <c r="S129" s="325" t="str">
        <f>IF(D129="","",VLOOKUP(D129,'G-6 Hedgerow Data'!$B$3:$AG$15,31,FALSE))</f>
        <v/>
      </c>
      <c r="T129" s="298" t="str">
        <f t="shared" si="9"/>
        <v/>
      </c>
      <c r="U129" s="298" t="str">
        <f t="shared" si="10"/>
        <v/>
      </c>
      <c r="V129" s="314" t="str">
        <f>IF(D129="","",VLOOKUP(S129,'G-3 Multipliers'!$P$3:$Q$6,2,FALSE))</f>
        <v/>
      </c>
      <c r="W129" s="317" t="str">
        <f t="shared" si="11"/>
        <v/>
      </c>
      <c r="X129" s="98"/>
      <c r="Y129" s="99"/>
      <c r="Z129" s="101"/>
      <c r="AG129" s="15" t="str">
        <f>IFERROR(INDEX('G-6 Hedgerow Data'!$BJ$3:$BJ$15,MATCH(D129,'G-6 Hedgerow Data'!$B$3:$B$15,0)),"")</f>
        <v/>
      </c>
    </row>
    <row r="130" spans="2:33" ht="14" x14ac:dyDescent="0.3">
      <c r="B130" s="92">
        <v>119</v>
      </c>
      <c r="C130" s="143"/>
      <c r="D130" s="138"/>
      <c r="E130" s="120"/>
      <c r="F130" s="335" t="str">
        <f>IF(D130="","",VLOOKUP(D130,'G-6 Hedgerow Data'!$B$2:$AG$15,2,FALSE))</f>
        <v/>
      </c>
      <c r="G130" s="291" t="str">
        <f>IF(D130="","",VLOOKUP(D130,'G-6 Hedgerow Data'!$B$2:$AG$15,3,FALSE))</f>
        <v/>
      </c>
      <c r="H130" s="95"/>
      <c r="I130" s="291" t="str">
        <f>IFERROR(IF(H130="","",IF(AND(D130="Non-native and ornamental hedgerow", H130&lt;&gt;"Poor"),"Not possible ▲", (VLOOKUP(H130,'G-1 All Habitats'!$Z$2:$AA$9,2,FALSE)))),"")</f>
        <v/>
      </c>
      <c r="J130" s="95"/>
      <c r="K130" s="310" t="str">
        <f>IF(J130="","",IF(VLOOKUP(J130,'G-3 Multipliers'!$L$3:$N$6,2,FALSE)=0,"Spatial Data Missing ⚠",VLOOKUP(J130,'G-3 Multipliers'!$L$3:$N$6,2,FALSE)))</f>
        <v/>
      </c>
      <c r="L130" s="296" t="str">
        <f>IF(J130="","",IF(VLOOKUP(J130,'G-3 Multipliers'!$L$3:$N$6,3,FALSE)=0,"Spatial Data Missing ⚠",VLOOKUP(J130,'G-3 Multipliers'!$L$3:$N$6,3,FALSE)))</f>
        <v/>
      </c>
      <c r="M130" s="290" t="str">
        <f>IF(OR(D130="",H130=""),"",(INDEX('G-6 Hedgerow Data'!$E$3:$I$15,MATCH(D130,'G-6 Hedgerow Data'!$B$3:$B$15,0),MATCH(H130,'G-6 Hedgerow Data'!$E$2:$I$2,0))))</f>
        <v/>
      </c>
      <c r="N130" s="138"/>
      <c r="O130" s="138"/>
      <c r="P130" s="298" t="str">
        <f t="shared" si="7"/>
        <v/>
      </c>
      <c r="Q130" s="311" t="str">
        <f t="shared" si="8"/>
        <v/>
      </c>
      <c r="R130" s="312" t="str">
        <f t="shared" si="6"/>
        <v/>
      </c>
      <c r="S130" s="325" t="str">
        <f>IF(D130="","",VLOOKUP(D130,'G-6 Hedgerow Data'!$B$3:$AG$15,31,FALSE))</f>
        <v/>
      </c>
      <c r="T130" s="298" t="str">
        <f t="shared" si="9"/>
        <v/>
      </c>
      <c r="U130" s="298" t="str">
        <f t="shared" si="10"/>
        <v/>
      </c>
      <c r="V130" s="314" t="str">
        <f>IF(D130="","",VLOOKUP(S130,'G-3 Multipliers'!$P$3:$Q$6,2,FALSE))</f>
        <v/>
      </c>
      <c r="W130" s="317" t="str">
        <f t="shared" si="11"/>
        <v/>
      </c>
      <c r="X130" s="98"/>
      <c r="Y130" s="99"/>
      <c r="Z130" s="101"/>
      <c r="AG130" s="15" t="str">
        <f>IFERROR(INDEX('G-6 Hedgerow Data'!$BJ$3:$BJ$15,MATCH(D130,'G-6 Hedgerow Data'!$B$3:$B$15,0)),"")</f>
        <v/>
      </c>
    </row>
    <row r="131" spans="2:33" ht="14" x14ac:dyDescent="0.3">
      <c r="B131" s="92">
        <v>120</v>
      </c>
      <c r="C131" s="143"/>
      <c r="D131" s="138"/>
      <c r="E131" s="120"/>
      <c r="F131" s="335" t="str">
        <f>IF(D131="","",VLOOKUP(D131,'G-6 Hedgerow Data'!$B$2:$AG$15,2,FALSE))</f>
        <v/>
      </c>
      <c r="G131" s="291" t="str">
        <f>IF(D131="","",VLOOKUP(D131,'G-6 Hedgerow Data'!$B$2:$AG$15,3,FALSE))</f>
        <v/>
      </c>
      <c r="H131" s="95"/>
      <c r="I131" s="291" t="str">
        <f>IFERROR(IF(H131="","",IF(AND(D131="Non-native and ornamental hedgerow", H131&lt;&gt;"Poor"),"Not possible ▲", (VLOOKUP(H131,'G-1 All Habitats'!$Z$2:$AA$9,2,FALSE)))),"")</f>
        <v/>
      </c>
      <c r="J131" s="95"/>
      <c r="K131" s="310" t="str">
        <f>IF(J131="","",IF(VLOOKUP(J131,'G-3 Multipliers'!$L$3:$N$6,2,FALSE)=0,"Spatial Data Missing ⚠",VLOOKUP(J131,'G-3 Multipliers'!$L$3:$N$6,2,FALSE)))</f>
        <v/>
      </c>
      <c r="L131" s="296" t="str">
        <f>IF(J131="","",IF(VLOOKUP(J131,'G-3 Multipliers'!$L$3:$N$6,3,FALSE)=0,"Spatial Data Missing ⚠",VLOOKUP(J131,'G-3 Multipliers'!$L$3:$N$6,3,FALSE)))</f>
        <v/>
      </c>
      <c r="M131" s="290" t="str">
        <f>IF(OR(D131="",H131=""),"",(INDEX('G-6 Hedgerow Data'!$E$3:$I$15,MATCH(D131,'G-6 Hedgerow Data'!$B$3:$B$15,0),MATCH(H131,'G-6 Hedgerow Data'!$E$2:$I$2,0))))</f>
        <v/>
      </c>
      <c r="N131" s="138"/>
      <c r="O131" s="138"/>
      <c r="P131" s="298" t="str">
        <f t="shared" si="7"/>
        <v/>
      </c>
      <c r="Q131" s="311" t="str">
        <f t="shared" si="8"/>
        <v/>
      </c>
      <c r="R131" s="312" t="str">
        <f t="shared" si="6"/>
        <v/>
      </c>
      <c r="S131" s="325" t="str">
        <f>IF(D131="","",VLOOKUP(D131,'G-6 Hedgerow Data'!$B$3:$AG$15,31,FALSE))</f>
        <v/>
      </c>
      <c r="T131" s="298" t="str">
        <f t="shared" si="9"/>
        <v/>
      </c>
      <c r="U131" s="298" t="str">
        <f t="shared" si="10"/>
        <v/>
      </c>
      <c r="V131" s="314" t="str">
        <f>IF(D131="","",VLOOKUP(S131,'G-3 Multipliers'!$P$3:$Q$6,2,FALSE))</f>
        <v/>
      </c>
      <c r="W131" s="317" t="str">
        <f t="shared" si="11"/>
        <v/>
      </c>
      <c r="X131" s="98"/>
      <c r="Y131" s="99"/>
      <c r="Z131" s="101"/>
      <c r="AG131" s="15" t="str">
        <f>IFERROR(INDEX('G-6 Hedgerow Data'!$BJ$3:$BJ$15,MATCH(D131,'G-6 Hedgerow Data'!$B$3:$B$15,0)),"")</f>
        <v/>
      </c>
    </row>
    <row r="132" spans="2:33" ht="14" x14ac:dyDescent="0.3">
      <c r="B132" s="92">
        <v>121</v>
      </c>
      <c r="C132" s="143"/>
      <c r="D132" s="138"/>
      <c r="E132" s="120"/>
      <c r="F132" s="335" t="str">
        <f>IF(D132="","",VLOOKUP(D132,'G-6 Hedgerow Data'!$B$2:$AG$15,2,FALSE))</f>
        <v/>
      </c>
      <c r="G132" s="291" t="str">
        <f>IF(D132="","",VLOOKUP(D132,'G-6 Hedgerow Data'!$B$2:$AG$15,3,FALSE))</f>
        <v/>
      </c>
      <c r="H132" s="95"/>
      <c r="I132" s="291" t="str">
        <f>IFERROR(IF(H132="","",IF(AND(D132="Non-native and ornamental hedgerow", H132&lt;&gt;"Poor"),"Not possible ▲", (VLOOKUP(H132,'G-1 All Habitats'!$Z$2:$AA$9,2,FALSE)))),"")</f>
        <v/>
      </c>
      <c r="J132" s="95"/>
      <c r="K132" s="310" t="str">
        <f>IF(J132="","",IF(VLOOKUP(J132,'G-3 Multipliers'!$L$3:$N$6,2,FALSE)=0,"Spatial Data Missing ⚠",VLOOKUP(J132,'G-3 Multipliers'!$L$3:$N$6,2,FALSE)))</f>
        <v/>
      </c>
      <c r="L132" s="296" t="str">
        <f>IF(J132="","",IF(VLOOKUP(J132,'G-3 Multipliers'!$L$3:$N$6,3,FALSE)=0,"Spatial Data Missing ⚠",VLOOKUP(J132,'G-3 Multipliers'!$L$3:$N$6,3,FALSE)))</f>
        <v/>
      </c>
      <c r="M132" s="290" t="str">
        <f>IF(OR(D132="",H132=""),"",(INDEX('G-6 Hedgerow Data'!$E$3:$I$15,MATCH(D132,'G-6 Hedgerow Data'!$B$3:$B$15,0),MATCH(H132,'G-6 Hedgerow Data'!$E$2:$I$2,0))))</f>
        <v/>
      </c>
      <c r="N132" s="138"/>
      <c r="O132" s="138"/>
      <c r="P132" s="298" t="str">
        <f t="shared" si="7"/>
        <v/>
      </c>
      <c r="Q132" s="311" t="str">
        <f t="shared" si="8"/>
        <v/>
      </c>
      <c r="R132" s="312" t="str">
        <f t="shared" si="6"/>
        <v/>
      </c>
      <c r="S132" s="325" t="str">
        <f>IF(D132="","",VLOOKUP(D132,'G-6 Hedgerow Data'!$B$3:$AG$15,31,FALSE))</f>
        <v/>
      </c>
      <c r="T132" s="298" t="str">
        <f t="shared" si="9"/>
        <v/>
      </c>
      <c r="U132" s="298" t="str">
        <f t="shared" si="10"/>
        <v/>
      </c>
      <c r="V132" s="314" t="str">
        <f>IF(D132="","",VLOOKUP(S132,'G-3 Multipliers'!$P$3:$Q$6,2,FALSE))</f>
        <v/>
      </c>
      <c r="W132" s="317" t="str">
        <f t="shared" si="11"/>
        <v/>
      </c>
      <c r="X132" s="98"/>
      <c r="Y132" s="99"/>
      <c r="Z132" s="101"/>
      <c r="AG132" s="15" t="str">
        <f>IFERROR(INDEX('G-6 Hedgerow Data'!$BJ$3:$BJ$15,MATCH(D132,'G-6 Hedgerow Data'!$B$3:$B$15,0)),"")</f>
        <v/>
      </c>
    </row>
    <row r="133" spans="2:33" ht="14" x14ac:dyDescent="0.3">
      <c r="B133" s="92">
        <v>122</v>
      </c>
      <c r="C133" s="143"/>
      <c r="D133" s="138"/>
      <c r="E133" s="120"/>
      <c r="F133" s="335" t="str">
        <f>IF(D133="","",VLOOKUP(D133,'G-6 Hedgerow Data'!$B$2:$AG$15,2,FALSE))</f>
        <v/>
      </c>
      <c r="G133" s="291" t="str">
        <f>IF(D133="","",VLOOKUP(D133,'G-6 Hedgerow Data'!$B$2:$AG$15,3,FALSE))</f>
        <v/>
      </c>
      <c r="H133" s="95"/>
      <c r="I133" s="291" t="str">
        <f>IFERROR(IF(H133="","",IF(AND(D133="Non-native and ornamental hedgerow", H133&lt;&gt;"Poor"),"Not possible ▲", (VLOOKUP(H133,'G-1 All Habitats'!$Z$2:$AA$9,2,FALSE)))),"")</f>
        <v/>
      </c>
      <c r="J133" s="95"/>
      <c r="K133" s="310" t="str">
        <f>IF(J133="","",IF(VLOOKUP(J133,'G-3 Multipliers'!$L$3:$N$6,2,FALSE)=0,"Spatial Data Missing ⚠",VLOOKUP(J133,'G-3 Multipliers'!$L$3:$N$6,2,FALSE)))</f>
        <v/>
      </c>
      <c r="L133" s="296" t="str">
        <f>IF(J133="","",IF(VLOOKUP(J133,'G-3 Multipliers'!$L$3:$N$6,3,FALSE)=0,"Spatial Data Missing ⚠",VLOOKUP(J133,'G-3 Multipliers'!$L$3:$N$6,3,FALSE)))</f>
        <v/>
      </c>
      <c r="M133" s="290" t="str">
        <f>IF(OR(D133="",H133=""),"",(INDEX('G-6 Hedgerow Data'!$E$3:$I$15,MATCH(D133,'G-6 Hedgerow Data'!$B$3:$B$15,0),MATCH(H133,'G-6 Hedgerow Data'!$E$2:$I$2,0))))</f>
        <v/>
      </c>
      <c r="N133" s="138"/>
      <c r="O133" s="138"/>
      <c r="P133" s="298" t="str">
        <f t="shared" si="7"/>
        <v/>
      </c>
      <c r="Q133" s="311" t="str">
        <f t="shared" si="8"/>
        <v/>
      </c>
      <c r="R133" s="312" t="str">
        <f t="shared" si="6"/>
        <v/>
      </c>
      <c r="S133" s="325" t="str">
        <f>IF(D133="","",VLOOKUP(D133,'G-6 Hedgerow Data'!$B$3:$AG$15,31,FALSE))</f>
        <v/>
      </c>
      <c r="T133" s="298" t="str">
        <f t="shared" si="9"/>
        <v/>
      </c>
      <c r="U133" s="298" t="str">
        <f t="shared" si="10"/>
        <v/>
      </c>
      <c r="V133" s="314" t="str">
        <f>IF(D133="","",VLOOKUP(S133,'G-3 Multipliers'!$P$3:$Q$6,2,FALSE))</f>
        <v/>
      </c>
      <c r="W133" s="317" t="str">
        <f t="shared" si="11"/>
        <v/>
      </c>
      <c r="X133" s="98"/>
      <c r="Y133" s="99"/>
      <c r="Z133" s="101"/>
      <c r="AG133" s="15" t="str">
        <f>IFERROR(INDEX('G-6 Hedgerow Data'!$BJ$3:$BJ$15,MATCH(D133,'G-6 Hedgerow Data'!$B$3:$B$15,0)),"")</f>
        <v/>
      </c>
    </row>
    <row r="134" spans="2:33" ht="14" x14ac:dyDescent="0.3">
      <c r="B134" s="92">
        <v>123</v>
      </c>
      <c r="C134" s="143"/>
      <c r="D134" s="138"/>
      <c r="E134" s="120"/>
      <c r="F134" s="335" t="str">
        <f>IF(D134="","",VLOOKUP(D134,'G-6 Hedgerow Data'!$B$2:$AG$15,2,FALSE))</f>
        <v/>
      </c>
      <c r="G134" s="291" t="str">
        <f>IF(D134="","",VLOOKUP(D134,'G-6 Hedgerow Data'!$B$2:$AG$15,3,FALSE))</f>
        <v/>
      </c>
      <c r="H134" s="95"/>
      <c r="I134" s="291" t="str">
        <f>IFERROR(IF(H134="","",IF(AND(D134="Non-native and ornamental hedgerow", H134&lt;&gt;"Poor"),"Not possible ▲", (VLOOKUP(H134,'G-1 All Habitats'!$Z$2:$AA$9,2,FALSE)))),"")</f>
        <v/>
      </c>
      <c r="J134" s="95"/>
      <c r="K134" s="310" t="str">
        <f>IF(J134="","",IF(VLOOKUP(J134,'G-3 Multipliers'!$L$3:$N$6,2,FALSE)=0,"Spatial Data Missing ⚠",VLOOKUP(J134,'G-3 Multipliers'!$L$3:$N$6,2,FALSE)))</f>
        <v/>
      </c>
      <c r="L134" s="296" t="str">
        <f>IF(J134="","",IF(VLOOKUP(J134,'G-3 Multipliers'!$L$3:$N$6,3,FALSE)=0,"Spatial Data Missing ⚠",VLOOKUP(J134,'G-3 Multipliers'!$L$3:$N$6,3,FALSE)))</f>
        <v/>
      </c>
      <c r="M134" s="290" t="str">
        <f>IF(OR(D134="",H134=""),"",(INDEX('G-6 Hedgerow Data'!$E$3:$I$15,MATCH(D134,'G-6 Hedgerow Data'!$B$3:$B$15,0),MATCH(H134,'G-6 Hedgerow Data'!$E$2:$I$2,0))))</f>
        <v/>
      </c>
      <c r="N134" s="138"/>
      <c r="O134" s="138"/>
      <c r="P134" s="298" t="str">
        <f t="shared" si="7"/>
        <v/>
      </c>
      <c r="Q134" s="311" t="str">
        <f t="shared" si="8"/>
        <v/>
      </c>
      <c r="R134" s="312" t="str">
        <f t="shared" si="6"/>
        <v/>
      </c>
      <c r="S134" s="325" t="str">
        <f>IF(D134="","",VLOOKUP(D134,'G-6 Hedgerow Data'!$B$3:$AG$15,31,FALSE))</f>
        <v/>
      </c>
      <c r="T134" s="298" t="str">
        <f t="shared" si="9"/>
        <v/>
      </c>
      <c r="U134" s="298" t="str">
        <f t="shared" si="10"/>
        <v/>
      </c>
      <c r="V134" s="314" t="str">
        <f>IF(D134="","",VLOOKUP(S134,'G-3 Multipliers'!$P$3:$Q$6,2,FALSE))</f>
        <v/>
      </c>
      <c r="W134" s="317" t="str">
        <f t="shared" si="11"/>
        <v/>
      </c>
      <c r="X134" s="98"/>
      <c r="Y134" s="99"/>
      <c r="Z134" s="101"/>
      <c r="AG134" s="15" t="str">
        <f>IFERROR(INDEX('G-6 Hedgerow Data'!$BJ$3:$BJ$15,MATCH(D134,'G-6 Hedgerow Data'!$B$3:$B$15,0)),"")</f>
        <v/>
      </c>
    </row>
    <row r="135" spans="2:33" ht="14" x14ac:dyDescent="0.3">
      <c r="B135" s="92">
        <v>124</v>
      </c>
      <c r="C135" s="143"/>
      <c r="D135" s="138"/>
      <c r="E135" s="120"/>
      <c r="F135" s="335" t="str">
        <f>IF(D135="","",VLOOKUP(D135,'G-6 Hedgerow Data'!$B$2:$AG$15,2,FALSE))</f>
        <v/>
      </c>
      <c r="G135" s="291" t="str">
        <f>IF(D135="","",VLOOKUP(D135,'G-6 Hedgerow Data'!$B$2:$AG$15,3,FALSE))</f>
        <v/>
      </c>
      <c r="H135" s="95"/>
      <c r="I135" s="291" t="str">
        <f>IFERROR(IF(H135="","",IF(AND(D135="Non-native and ornamental hedgerow", H135&lt;&gt;"Poor"),"Not possible ▲", (VLOOKUP(H135,'G-1 All Habitats'!$Z$2:$AA$9,2,FALSE)))),"")</f>
        <v/>
      </c>
      <c r="J135" s="95"/>
      <c r="K135" s="310" t="str">
        <f>IF(J135="","",IF(VLOOKUP(J135,'G-3 Multipliers'!$L$3:$N$6,2,FALSE)=0,"Spatial Data Missing ⚠",VLOOKUP(J135,'G-3 Multipliers'!$L$3:$N$6,2,FALSE)))</f>
        <v/>
      </c>
      <c r="L135" s="296" t="str">
        <f>IF(J135="","",IF(VLOOKUP(J135,'G-3 Multipliers'!$L$3:$N$6,3,FALSE)=0,"Spatial Data Missing ⚠",VLOOKUP(J135,'G-3 Multipliers'!$L$3:$N$6,3,FALSE)))</f>
        <v/>
      </c>
      <c r="M135" s="290" t="str">
        <f>IF(OR(D135="",H135=""),"",(INDEX('G-6 Hedgerow Data'!$E$3:$I$15,MATCH(D135,'G-6 Hedgerow Data'!$B$3:$B$15,0),MATCH(H135,'G-6 Hedgerow Data'!$E$2:$I$2,0))))</f>
        <v/>
      </c>
      <c r="N135" s="138"/>
      <c r="O135" s="138"/>
      <c r="P135" s="298" t="str">
        <f t="shared" si="7"/>
        <v/>
      </c>
      <c r="Q135" s="311" t="str">
        <f t="shared" si="8"/>
        <v/>
      </c>
      <c r="R135" s="312" t="str">
        <f t="shared" si="6"/>
        <v/>
      </c>
      <c r="S135" s="325" t="str">
        <f>IF(D135="","",VLOOKUP(D135,'G-6 Hedgerow Data'!$B$3:$AG$15,31,FALSE))</f>
        <v/>
      </c>
      <c r="T135" s="298" t="str">
        <f t="shared" si="9"/>
        <v/>
      </c>
      <c r="U135" s="298" t="str">
        <f t="shared" si="10"/>
        <v/>
      </c>
      <c r="V135" s="314" t="str">
        <f>IF(D135="","",VLOOKUP(S135,'G-3 Multipliers'!$P$3:$Q$6,2,FALSE))</f>
        <v/>
      </c>
      <c r="W135" s="317" t="str">
        <f t="shared" si="11"/>
        <v/>
      </c>
      <c r="X135" s="98"/>
      <c r="Y135" s="99"/>
      <c r="Z135" s="101"/>
      <c r="AG135" s="15" t="str">
        <f>IFERROR(INDEX('G-6 Hedgerow Data'!$BJ$3:$BJ$15,MATCH(D135,'G-6 Hedgerow Data'!$B$3:$B$15,0)),"")</f>
        <v/>
      </c>
    </row>
    <row r="136" spans="2:33" ht="14" x14ac:dyDescent="0.3">
      <c r="B136" s="92">
        <v>125</v>
      </c>
      <c r="C136" s="143"/>
      <c r="D136" s="138"/>
      <c r="E136" s="120"/>
      <c r="F136" s="335" t="str">
        <f>IF(D136="","",VLOOKUP(D136,'G-6 Hedgerow Data'!$B$2:$AG$15,2,FALSE))</f>
        <v/>
      </c>
      <c r="G136" s="291" t="str">
        <f>IF(D136="","",VLOOKUP(D136,'G-6 Hedgerow Data'!$B$2:$AG$15,3,FALSE))</f>
        <v/>
      </c>
      <c r="H136" s="95"/>
      <c r="I136" s="291" t="str">
        <f>IFERROR(IF(H136="","",IF(AND(D136="Non-native and ornamental hedgerow", H136&lt;&gt;"Poor"),"Not possible ▲", (VLOOKUP(H136,'G-1 All Habitats'!$Z$2:$AA$9,2,FALSE)))),"")</f>
        <v/>
      </c>
      <c r="J136" s="95"/>
      <c r="K136" s="310" t="str">
        <f>IF(J136="","",IF(VLOOKUP(J136,'G-3 Multipliers'!$L$3:$N$6,2,FALSE)=0,"Spatial Data Missing ⚠",VLOOKUP(J136,'G-3 Multipliers'!$L$3:$N$6,2,FALSE)))</f>
        <v/>
      </c>
      <c r="L136" s="296" t="str">
        <f>IF(J136="","",IF(VLOOKUP(J136,'G-3 Multipliers'!$L$3:$N$6,3,FALSE)=0,"Spatial Data Missing ⚠",VLOOKUP(J136,'G-3 Multipliers'!$L$3:$N$6,3,FALSE)))</f>
        <v/>
      </c>
      <c r="M136" s="290" t="str">
        <f>IF(OR(D136="",H136=""),"",(INDEX('G-6 Hedgerow Data'!$E$3:$I$15,MATCH(D136,'G-6 Hedgerow Data'!$B$3:$B$15,0),MATCH(H136,'G-6 Hedgerow Data'!$E$2:$I$2,0))))</f>
        <v/>
      </c>
      <c r="N136" s="138"/>
      <c r="O136" s="138"/>
      <c r="P136" s="298" t="str">
        <f t="shared" si="7"/>
        <v/>
      </c>
      <c r="Q136" s="311" t="str">
        <f t="shared" si="8"/>
        <v/>
      </c>
      <c r="R136" s="312" t="str">
        <f t="shared" si="6"/>
        <v/>
      </c>
      <c r="S136" s="325" t="str">
        <f>IF(D136="","",VLOOKUP(D136,'G-6 Hedgerow Data'!$B$3:$AG$15,31,FALSE))</f>
        <v/>
      </c>
      <c r="T136" s="298" t="str">
        <f t="shared" si="9"/>
        <v/>
      </c>
      <c r="U136" s="298" t="str">
        <f t="shared" si="10"/>
        <v/>
      </c>
      <c r="V136" s="314" t="str">
        <f>IF(D136="","",VLOOKUP(S136,'G-3 Multipliers'!$P$3:$Q$6,2,FALSE))</f>
        <v/>
      </c>
      <c r="W136" s="317" t="str">
        <f t="shared" si="11"/>
        <v/>
      </c>
      <c r="X136" s="98"/>
      <c r="Y136" s="99"/>
      <c r="Z136" s="101"/>
      <c r="AG136" s="15" t="str">
        <f>IFERROR(INDEX('G-6 Hedgerow Data'!$BJ$3:$BJ$15,MATCH(D136,'G-6 Hedgerow Data'!$B$3:$B$15,0)),"")</f>
        <v/>
      </c>
    </row>
    <row r="137" spans="2:33" ht="14" x14ac:dyDescent="0.3">
      <c r="B137" s="92">
        <v>126</v>
      </c>
      <c r="C137" s="143"/>
      <c r="D137" s="138"/>
      <c r="E137" s="120"/>
      <c r="F137" s="335" t="str">
        <f>IF(D137="","",VLOOKUP(D137,'G-6 Hedgerow Data'!$B$2:$AG$15,2,FALSE))</f>
        <v/>
      </c>
      <c r="G137" s="291" t="str">
        <f>IF(D137="","",VLOOKUP(D137,'G-6 Hedgerow Data'!$B$2:$AG$15,3,FALSE))</f>
        <v/>
      </c>
      <c r="H137" s="95"/>
      <c r="I137" s="291" t="str">
        <f>IFERROR(IF(H137="","",IF(AND(D137="Non-native and ornamental hedgerow", H137&lt;&gt;"Poor"),"Not possible ▲", (VLOOKUP(H137,'G-1 All Habitats'!$Z$2:$AA$9,2,FALSE)))),"")</f>
        <v/>
      </c>
      <c r="J137" s="95"/>
      <c r="K137" s="310" t="str">
        <f>IF(J137="","",IF(VLOOKUP(J137,'G-3 Multipliers'!$L$3:$N$6,2,FALSE)=0,"Spatial Data Missing ⚠",VLOOKUP(J137,'G-3 Multipliers'!$L$3:$N$6,2,FALSE)))</f>
        <v/>
      </c>
      <c r="L137" s="296" t="str">
        <f>IF(J137="","",IF(VLOOKUP(J137,'G-3 Multipliers'!$L$3:$N$6,3,FALSE)=0,"Spatial Data Missing ⚠",VLOOKUP(J137,'G-3 Multipliers'!$L$3:$N$6,3,FALSE)))</f>
        <v/>
      </c>
      <c r="M137" s="290" t="str">
        <f>IF(OR(D137="",H137=""),"",(INDEX('G-6 Hedgerow Data'!$E$3:$I$15,MATCH(D137,'G-6 Hedgerow Data'!$B$3:$B$15,0),MATCH(H137,'G-6 Hedgerow Data'!$E$2:$I$2,0))))</f>
        <v/>
      </c>
      <c r="N137" s="138"/>
      <c r="O137" s="138"/>
      <c r="P137" s="298" t="str">
        <f t="shared" si="7"/>
        <v/>
      </c>
      <c r="Q137" s="311" t="str">
        <f t="shared" si="8"/>
        <v/>
      </c>
      <c r="R137" s="312" t="str">
        <f t="shared" si="6"/>
        <v/>
      </c>
      <c r="S137" s="325" t="str">
        <f>IF(D137="","",VLOOKUP(D137,'G-6 Hedgerow Data'!$B$3:$AG$15,31,FALSE))</f>
        <v/>
      </c>
      <c r="T137" s="298" t="str">
        <f t="shared" si="9"/>
        <v/>
      </c>
      <c r="U137" s="298" t="str">
        <f t="shared" si="10"/>
        <v/>
      </c>
      <c r="V137" s="314" t="str">
        <f>IF(D137="","",VLOOKUP(S137,'G-3 Multipliers'!$P$3:$Q$6,2,FALSE))</f>
        <v/>
      </c>
      <c r="W137" s="317" t="str">
        <f t="shared" si="11"/>
        <v/>
      </c>
      <c r="X137" s="98"/>
      <c r="Y137" s="99"/>
      <c r="Z137" s="101"/>
      <c r="AG137" s="15" t="str">
        <f>IFERROR(INDEX('G-6 Hedgerow Data'!$BJ$3:$BJ$15,MATCH(D137,'G-6 Hedgerow Data'!$B$3:$B$15,0)),"")</f>
        <v/>
      </c>
    </row>
    <row r="138" spans="2:33" ht="14" x14ac:dyDescent="0.3">
      <c r="B138" s="92">
        <v>127</v>
      </c>
      <c r="C138" s="143"/>
      <c r="D138" s="138"/>
      <c r="E138" s="120"/>
      <c r="F138" s="335" t="str">
        <f>IF(D138="","",VLOOKUP(D138,'G-6 Hedgerow Data'!$B$2:$AG$15,2,FALSE))</f>
        <v/>
      </c>
      <c r="G138" s="291" t="str">
        <f>IF(D138="","",VLOOKUP(D138,'G-6 Hedgerow Data'!$B$2:$AG$15,3,FALSE))</f>
        <v/>
      </c>
      <c r="H138" s="95"/>
      <c r="I138" s="291" t="str">
        <f>IFERROR(IF(H138="","",IF(AND(D138="Non-native and ornamental hedgerow", H138&lt;&gt;"Poor"),"Not possible ▲", (VLOOKUP(H138,'G-1 All Habitats'!$Z$2:$AA$9,2,FALSE)))),"")</f>
        <v/>
      </c>
      <c r="J138" s="95"/>
      <c r="K138" s="310" t="str">
        <f>IF(J138="","",IF(VLOOKUP(J138,'G-3 Multipliers'!$L$3:$N$6,2,FALSE)=0,"Spatial Data Missing ⚠",VLOOKUP(J138,'G-3 Multipliers'!$L$3:$N$6,2,FALSE)))</f>
        <v/>
      </c>
      <c r="L138" s="296" t="str">
        <f>IF(J138="","",IF(VLOOKUP(J138,'G-3 Multipliers'!$L$3:$N$6,3,FALSE)=0,"Spatial Data Missing ⚠",VLOOKUP(J138,'G-3 Multipliers'!$L$3:$N$6,3,FALSE)))</f>
        <v/>
      </c>
      <c r="M138" s="290" t="str">
        <f>IF(OR(D138="",H138=""),"",(INDEX('G-6 Hedgerow Data'!$E$3:$I$15,MATCH(D138,'G-6 Hedgerow Data'!$B$3:$B$15,0),MATCH(H138,'G-6 Hedgerow Data'!$E$2:$I$2,0))))</f>
        <v/>
      </c>
      <c r="N138" s="138"/>
      <c r="O138" s="138"/>
      <c r="P138" s="298" t="str">
        <f t="shared" si="7"/>
        <v/>
      </c>
      <c r="Q138" s="311" t="str">
        <f t="shared" si="8"/>
        <v/>
      </c>
      <c r="R138" s="312" t="str">
        <f t="shared" si="6"/>
        <v/>
      </c>
      <c r="S138" s="325" t="str">
        <f>IF(D138="","",VLOOKUP(D138,'G-6 Hedgerow Data'!$B$3:$AG$15,31,FALSE))</f>
        <v/>
      </c>
      <c r="T138" s="298" t="str">
        <f t="shared" si="9"/>
        <v/>
      </c>
      <c r="U138" s="298" t="str">
        <f t="shared" si="10"/>
        <v/>
      </c>
      <c r="V138" s="314" t="str">
        <f>IF(D138="","",VLOOKUP(S138,'G-3 Multipliers'!$P$3:$Q$6,2,FALSE))</f>
        <v/>
      </c>
      <c r="W138" s="317" t="str">
        <f t="shared" si="11"/>
        <v/>
      </c>
      <c r="X138" s="98"/>
      <c r="Y138" s="99"/>
      <c r="Z138" s="101"/>
      <c r="AG138" s="15" t="str">
        <f>IFERROR(INDEX('G-6 Hedgerow Data'!$BJ$3:$BJ$15,MATCH(D138,'G-6 Hedgerow Data'!$B$3:$B$15,0)),"")</f>
        <v/>
      </c>
    </row>
    <row r="139" spans="2:33" ht="14" x14ac:dyDescent="0.3">
      <c r="B139" s="92">
        <v>128</v>
      </c>
      <c r="C139" s="143"/>
      <c r="D139" s="138"/>
      <c r="E139" s="120"/>
      <c r="F139" s="335" t="str">
        <f>IF(D139="","",VLOOKUP(D139,'G-6 Hedgerow Data'!$B$2:$AG$15,2,FALSE))</f>
        <v/>
      </c>
      <c r="G139" s="291" t="str">
        <f>IF(D139="","",VLOOKUP(D139,'G-6 Hedgerow Data'!$B$2:$AG$15,3,FALSE))</f>
        <v/>
      </c>
      <c r="H139" s="95"/>
      <c r="I139" s="291" t="str">
        <f>IFERROR(IF(H139="","",IF(AND(D139="Non-native and ornamental hedgerow", H139&lt;&gt;"Poor"),"Not possible ▲", (VLOOKUP(H139,'G-1 All Habitats'!$Z$2:$AA$9,2,FALSE)))),"")</f>
        <v/>
      </c>
      <c r="J139" s="95"/>
      <c r="K139" s="310" t="str">
        <f>IF(J139="","",IF(VLOOKUP(J139,'G-3 Multipliers'!$L$3:$N$6,2,FALSE)=0,"Spatial Data Missing ⚠",VLOOKUP(J139,'G-3 Multipliers'!$L$3:$N$6,2,FALSE)))</f>
        <v/>
      </c>
      <c r="L139" s="296" t="str">
        <f>IF(J139="","",IF(VLOOKUP(J139,'G-3 Multipliers'!$L$3:$N$6,3,FALSE)=0,"Spatial Data Missing ⚠",VLOOKUP(J139,'G-3 Multipliers'!$L$3:$N$6,3,FALSE)))</f>
        <v/>
      </c>
      <c r="M139" s="290" t="str">
        <f>IF(OR(D139="",H139=""),"",(INDEX('G-6 Hedgerow Data'!$E$3:$I$15,MATCH(D139,'G-6 Hedgerow Data'!$B$3:$B$15,0),MATCH(H139,'G-6 Hedgerow Data'!$E$2:$I$2,0))))</f>
        <v/>
      </c>
      <c r="N139" s="138"/>
      <c r="O139" s="138"/>
      <c r="P139" s="298" t="str">
        <f t="shared" si="7"/>
        <v/>
      </c>
      <c r="Q139" s="311" t="str">
        <f t="shared" si="8"/>
        <v/>
      </c>
      <c r="R139" s="312" t="str">
        <f t="shared" si="6"/>
        <v/>
      </c>
      <c r="S139" s="325" t="str">
        <f>IF(D139="","",VLOOKUP(D139,'G-6 Hedgerow Data'!$B$3:$AG$15,31,FALSE))</f>
        <v/>
      </c>
      <c r="T139" s="298" t="str">
        <f t="shared" si="9"/>
        <v/>
      </c>
      <c r="U139" s="298" t="str">
        <f t="shared" si="10"/>
        <v/>
      </c>
      <c r="V139" s="314" t="str">
        <f>IF(D139="","",VLOOKUP(S139,'G-3 Multipliers'!$P$3:$Q$6,2,FALSE))</f>
        <v/>
      </c>
      <c r="W139" s="317" t="str">
        <f t="shared" si="11"/>
        <v/>
      </c>
      <c r="X139" s="98"/>
      <c r="Y139" s="99"/>
      <c r="Z139" s="101"/>
      <c r="AG139" s="15" t="str">
        <f>IFERROR(INDEX('G-6 Hedgerow Data'!$BJ$3:$BJ$15,MATCH(D139,'G-6 Hedgerow Data'!$B$3:$B$15,0)),"")</f>
        <v/>
      </c>
    </row>
    <row r="140" spans="2:33" ht="14" x14ac:dyDescent="0.3">
      <c r="B140" s="92">
        <v>129</v>
      </c>
      <c r="C140" s="143"/>
      <c r="D140" s="138"/>
      <c r="E140" s="120"/>
      <c r="F140" s="335" t="str">
        <f>IF(D140="","",VLOOKUP(D140,'G-6 Hedgerow Data'!$B$2:$AG$15,2,FALSE))</f>
        <v/>
      </c>
      <c r="G140" s="291" t="str">
        <f>IF(D140="","",VLOOKUP(D140,'G-6 Hedgerow Data'!$B$2:$AG$15,3,FALSE))</f>
        <v/>
      </c>
      <c r="H140" s="95"/>
      <c r="I140" s="291" t="str">
        <f>IFERROR(IF(H140="","",IF(AND(D140="Non-native and ornamental hedgerow", H140&lt;&gt;"Poor"),"Not possible ▲", (VLOOKUP(H140,'G-1 All Habitats'!$Z$2:$AA$9,2,FALSE)))),"")</f>
        <v/>
      </c>
      <c r="J140" s="95"/>
      <c r="K140" s="310" t="str">
        <f>IF(J140="","",IF(VLOOKUP(J140,'G-3 Multipliers'!$L$3:$N$6,2,FALSE)=0,"Spatial Data Missing ⚠",VLOOKUP(J140,'G-3 Multipliers'!$L$3:$N$6,2,FALSE)))</f>
        <v/>
      </c>
      <c r="L140" s="296" t="str">
        <f>IF(J140="","",IF(VLOOKUP(J140,'G-3 Multipliers'!$L$3:$N$6,3,FALSE)=0,"Spatial Data Missing ⚠",VLOOKUP(J140,'G-3 Multipliers'!$L$3:$N$6,3,FALSE)))</f>
        <v/>
      </c>
      <c r="M140" s="290" t="str">
        <f>IF(OR(D140="",H140=""),"",(INDEX('G-6 Hedgerow Data'!$E$3:$I$15,MATCH(D140,'G-6 Hedgerow Data'!$B$3:$B$15,0),MATCH(H140,'G-6 Hedgerow Data'!$E$2:$I$2,0))))</f>
        <v/>
      </c>
      <c r="N140" s="138"/>
      <c r="O140" s="138"/>
      <c r="P140" s="298" t="str">
        <f t="shared" si="7"/>
        <v/>
      </c>
      <c r="Q140" s="311" t="str">
        <f t="shared" si="8"/>
        <v/>
      </c>
      <c r="R140" s="312" t="str">
        <f t="shared" ref="R140:R203" si="12">IF(M140="","",IF(Q140="Check Data ⚠","Check Data ⚠",VLOOKUP(Q140,TemporalMultipliers,3,FALSE)))</f>
        <v/>
      </c>
      <c r="S140" s="325" t="str">
        <f>IF(D140="","",VLOOKUP(D140,'G-6 Hedgerow Data'!$B$3:$AG$15,31,FALSE))</f>
        <v/>
      </c>
      <c r="T140" s="298" t="str">
        <f t="shared" si="9"/>
        <v/>
      </c>
      <c r="U140" s="298" t="str">
        <f t="shared" si="10"/>
        <v/>
      </c>
      <c r="V140" s="314" t="str">
        <f>IF(D140="","",VLOOKUP(S140,'G-3 Multipliers'!$P$3:$Q$6,2,FALSE))</f>
        <v/>
      </c>
      <c r="W140" s="317" t="str">
        <f t="shared" si="11"/>
        <v/>
      </c>
      <c r="X140" s="98"/>
      <c r="Y140" s="99"/>
      <c r="Z140" s="101"/>
      <c r="AG140" s="15" t="str">
        <f>IFERROR(INDEX('G-6 Hedgerow Data'!$BJ$3:$BJ$15,MATCH(D140,'G-6 Hedgerow Data'!$B$3:$B$15,0)),"")</f>
        <v/>
      </c>
    </row>
    <row r="141" spans="2:33" ht="14" x14ac:dyDescent="0.3">
      <c r="B141" s="92">
        <v>130</v>
      </c>
      <c r="C141" s="143"/>
      <c r="D141" s="138"/>
      <c r="E141" s="120"/>
      <c r="F141" s="335" t="str">
        <f>IF(D141="","",VLOOKUP(D141,'G-6 Hedgerow Data'!$B$2:$AG$15,2,FALSE))</f>
        <v/>
      </c>
      <c r="G141" s="291" t="str">
        <f>IF(D141="","",VLOOKUP(D141,'G-6 Hedgerow Data'!$B$2:$AG$15,3,FALSE))</f>
        <v/>
      </c>
      <c r="H141" s="95"/>
      <c r="I141" s="291" t="str">
        <f>IFERROR(IF(H141="","",IF(AND(D141="Non-native and ornamental hedgerow", H141&lt;&gt;"Poor"),"Not possible ▲", (VLOOKUP(H141,'G-1 All Habitats'!$Z$2:$AA$9,2,FALSE)))),"")</f>
        <v/>
      </c>
      <c r="J141" s="95"/>
      <c r="K141" s="310" t="str">
        <f>IF(J141="","",IF(VLOOKUP(J141,'G-3 Multipliers'!$L$3:$N$6,2,FALSE)=0,"Spatial Data Missing ⚠",VLOOKUP(J141,'G-3 Multipliers'!$L$3:$N$6,2,FALSE)))</f>
        <v/>
      </c>
      <c r="L141" s="296" t="str">
        <f>IF(J141="","",IF(VLOOKUP(J141,'G-3 Multipliers'!$L$3:$N$6,3,FALSE)=0,"Spatial Data Missing ⚠",VLOOKUP(J141,'G-3 Multipliers'!$L$3:$N$6,3,FALSE)))</f>
        <v/>
      </c>
      <c r="M141" s="290" t="str">
        <f>IF(OR(D141="",H141=""),"",(INDEX('G-6 Hedgerow Data'!$E$3:$I$15,MATCH(D141,'G-6 Hedgerow Data'!$B$3:$B$15,0),MATCH(H141,'G-6 Hedgerow Data'!$E$2:$I$2,0))))</f>
        <v/>
      </c>
      <c r="N141" s="138"/>
      <c r="O141" s="138"/>
      <c r="P141" s="298" t="str">
        <f t="shared" ref="P141:P204" si="13">IF(M141="","",IF(AND(N141&gt;0,O141&gt;0),"Error -both advance and delayed habitat creation ▲",IF(AND(OR(N141="Habitat already in target condition",M141&lt;=N141),O141=0),"Check details - Is there evidence that habitat has reached target condition? ⚠",IF(M141="","",IF(N141&gt;0,"Check details - Is there evidence habitat creation started/in place? ⚠",IF(O141&gt;0,"Check details- Delay in starting habitat in required condition? ⚠","Standard time to target condition applied"))))))</f>
        <v/>
      </c>
      <c r="Q141" s="311" t="str">
        <f t="shared" ref="Q141:Q204" si="14">IF(M141="","",IF(P141="Error -both advance and delayed habitat creation ▲","Check Data ⚠",IF(OR(N141="30+",N141="Habitat already in target condition"),0,IF(O141="30+","30+",IF(AND(M141="30+",OR(N141="",N141=0)),"30+",IF(AND(M141="30+",N141&gt;0),30-N141,IF(M141+O141&gt;30,"30+",IF(M141+O141-N141&gt;0,M141+O141-N141,IF(M141-N141&lt;0,0,M141+O141-N141)))))))))</f>
        <v/>
      </c>
      <c r="R141" s="312" t="str">
        <f t="shared" si="12"/>
        <v/>
      </c>
      <c r="S141" s="325" t="str">
        <f>IF(D141="","",VLOOKUP(D141,'G-6 Hedgerow Data'!$B$3:$AG$15,31,FALSE))</f>
        <v/>
      </c>
      <c r="T141" s="298" t="str">
        <f t="shared" ref="T141:T204" si="15">IF(D141="","",IF(Q141="Check Data ⚠","Check Data ⚠",IF(H141="","",IF($P141="Check details - Is there evidence that habitat has reached target condition? ⚠","Low Difficulty - only applicable if all habitat created before losses ⚠","Standard difficulty applied"))))</f>
        <v/>
      </c>
      <c r="U141" s="298" t="str">
        <f t="shared" ref="U141:U204" si="16">(IF(AND(T141="Standard difficulty applied",M141&gt;N141),S141,IF(AND(T141="Low Difficulty - only applicable if all habitat created before losses ⚠",Q141&lt;=0),"Low",S141)))</f>
        <v/>
      </c>
      <c r="V141" s="314" t="str">
        <f>IF(D141="","",VLOOKUP(S141,'G-3 Multipliers'!$P$3:$Q$6,2,FALSE))</f>
        <v/>
      </c>
      <c r="W141" s="317" t="str">
        <f t="shared" ref="W141:W204" si="17">IFERROR(E141*G141*I141*L141*R141*V141,"")</f>
        <v/>
      </c>
      <c r="X141" s="98"/>
      <c r="Y141" s="99"/>
      <c r="Z141" s="101"/>
      <c r="AG141" s="15" t="str">
        <f>IFERROR(INDEX('G-6 Hedgerow Data'!$BJ$3:$BJ$15,MATCH(D141,'G-6 Hedgerow Data'!$B$3:$B$15,0)),"")</f>
        <v/>
      </c>
    </row>
    <row r="142" spans="2:33" ht="14" x14ac:dyDescent="0.3">
      <c r="B142" s="92">
        <v>131</v>
      </c>
      <c r="C142" s="143"/>
      <c r="D142" s="138"/>
      <c r="E142" s="120"/>
      <c r="F142" s="335" t="str">
        <f>IF(D142="","",VLOOKUP(D142,'G-6 Hedgerow Data'!$B$2:$AG$15,2,FALSE))</f>
        <v/>
      </c>
      <c r="G142" s="291" t="str">
        <f>IF(D142="","",VLOOKUP(D142,'G-6 Hedgerow Data'!$B$2:$AG$15,3,FALSE))</f>
        <v/>
      </c>
      <c r="H142" s="95"/>
      <c r="I142" s="291" t="str">
        <f>IFERROR(IF(H142="","",IF(AND(D142="Non-native and ornamental hedgerow", H142&lt;&gt;"Poor"),"Not possible ▲", (VLOOKUP(H142,'G-1 All Habitats'!$Z$2:$AA$9,2,FALSE)))),"")</f>
        <v/>
      </c>
      <c r="J142" s="95"/>
      <c r="K142" s="310" t="str">
        <f>IF(J142="","",IF(VLOOKUP(J142,'G-3 Multipliers'!$L$3:$N$6,2,FALSE)=0,"Spatial Data Missing ⚠",VLOOKUP(J142,'G-3 Multipliers'!$L$3:$N$6,2,FALSE)))</f>
        <v/>
      </c>
      <c r="L142" s="296" t="str">
        <f>IF(J142="","",IF(VLOOKUP(J142,'G-3 Multipliers'!$L$3:$N$6,3,FALSE)=0,"Spatial Data Missing ⚠",VLOOKUP(J142,'G-3 Multipliers'!$L$3:$N$6,3,FALSE)))</f>
        <v/>
      </c>
      <c r="M142" s="290" t="str">
        <f>IF(OR(D142="",H142=""),"",(INDEX('G-6 Hedgerow Data'!$E$3:$I$15,MATCH(D142,'G-6 Hedgerow Data'!$B$3:$B$15,0),MATCH(H142,'G-6 Hedgerow Data'!$E$2:$I$2,0))))</f>
        <v/>
      </c>
      <c r="N142" s="138"/>
      <c r="O142" s="138"/>
      <c r="P142" s="298" t="str">
        <f t="shared" si="13"/>
        <v/>
      </c>
      <c r="Q142" s="311" t="str">
        <f t="shared" si="14"/>
        <v/>
      </c>
      <c r="R142" s="312" t="str">
        <f t="shared" si="12"/>
        <v/>
      </c>
      <c r="S142" s="325" t="str">
        <f>IF(D142="","",VLOOKUP(D142,'G-6 Hedgerow Data'!$B$3:$AG$15,31,FALSE))</f>
        <v/>
      </c>
      <c r="T142" s="298" t="str">
        <f t="shared" si="15"/>
        <v/>
      </c>
      <c r="U142" s="298" t="str">
        <f t="shared" si="16"/>
        <v/>
      </c>
      <c r="V142" s="314" t="str">
        <f>IF(D142="","",VLOOKUP(S142,'G-3 Multipliers'!$P$3:$Q$6,2,FALSE))</f>
        <v/>
      </c>
      <c r="W142" s="317" t="str">
        <f t="shared" si="17"/>
        <v/>
      </c>
      <c r="X142" s="98"/>
      <c r="Y142" s="99"/>
      <c r="Z142" s="101"/>
      <c r="AG142" s="15" t="str">
        <f>IFERROR(INDEX('G-6 Hedgerow Data'!$BJ$3:$BJ$15,MATCH(D142,'G-6 Hedgerow Data'!$B$3:$B$15,0)),"")</f>
        <v/>
      </c>
    </row>
    <row r="143" spans="2:33" ht="14" x14ac:dyDescent="0.3">
      <c r="B143" s="92">
        <v>132</v>
      </c>
      <c r="C143" s="143"/>
      <c r="D143" s="138"/>
      <c r="E143" s="120"/>
      <c r="F143" s="335" t="str">
        <f>IF(D143="","",VLOOKUP(D143,'G-6 Hedgerow Data'!$B$2:$AG$15,2,FALSE))</f>
        <v/>
      </c>
      <c r="G143" s="291" t="str">
        <f>IF(D143="","",VLOOKUP(D143,'G-6 Hedgerow Data'!$B$2:$AG$15,3,FALSE))</f>
        <v/>
      </c>
      <c r="H143" s="95"/>
      <c r="I143" s="291" t="str">
        <f>IFERROR(IF(H143="","",IF(AND(D143="Non-native and ornamental hedgerow", H143&lt;&gt;"Poor"),"Not possible ▲", (VLOOKUP(H143,'G-1 All Habitats'!$Z$2:$AA$9,2,FALSE)))),"")</f>
        <v/>
      </c>
      <c r="J143" s="95"/>
      <c r="K143" s="310" t="str">
        <f>IF(J143="","",IF(VLOOKUP(J143,'G-3 Multipliers'!$L$3:$N$6,2,FALSE)=0,"Spatial Data Missing ⚠",VLOOKUP(J143,'G-3 Multipliers'!$L$3:$N$6,2,FALSE)))</f>
        <v/>
      </c>
      <c r="L143" s="296" t="str">
        <f>IF(J143="","",IF(VLOOKUP(J143,'G-3 Multipliers'!$L$3:$N$6,3,FALSE)=0,"Spatial Data Missing ⚠",VLOOKUP(J143,'G-3 Multipliers'!$L$3:$N$6,3,FALSE)))</f>
        <v/>
      </c>
      <c r="M143" s="290" t="str">
        <f>IF(OR(D143="",H143=""),"",(INDEX('G-6 Hedgerow Data'!$E$3:$I$15,MATCH(D143,'G-6 Hedgerow Data'!$B$3:$B$15,0),MATCH(H143,'G-6 Hedgerow Data'!$E$2:$I$2,0))))</f>
        <v/>
      </c>
      <c r="N143" s="138"/>
      <c r="O143" s="138"/>
      <c r="P143" s="298" t="str">
        <f t="shared" si="13"/>
        <v/>
      </c>
      <c r="Q143" s="311" t="str">
        <f t="shared" si="14"/>
        <v/>
      </c>
      <c r="R143" s="312" t="str">
        <f t="shared" si="12"/>
        <v/>
      </c>
      <c r="S143" s="325" t="str">
        <f>IF(D143="","",VLOOKUP(D143,'G-6 Hedgerow Data'!$B$3:$AG$15,31,FALSE))</f>
        <v/>
      </c>
      <c r="T143" s="298" t="str">
        <f t="shared" si="15"/>
        <v/>
      </c>
      <c r="U143" s="298" t="str">
        <f t="shared" si="16"/>
        <v/>
      </c>
      <c r="V143" s="314" t="str">
        <f>IF(D143="","",VLOOKUP(S143,'G-3 Multipliers'!$P$3:$Q$6,2,FALSE))</f>
        <v/>
      </c>
      <c r="W143" s="317" t="str">
        <f t="shared" si="17"/>
        <v/>
      </c>
      <c r="X143" s="98"/>
      <c r="Y143" s="99"/>
      <c r="Z143" s="101"/>
      <c r="AG143" s="15" t="str">
        <f>IFERROR(INDEX('G-6 Hedgerow Data'!$BJ$3:$BJ$15,MATCH(D143,'G-6 Hedgerow Data'!$B$3:$B$15,0)),"")</f>
        <v/>
      </c>
    </row>
    <row r="144" spans="2:33" ht="14" x14ac:dyDescent="0.3">
      <c r="B144" s="92">
        <v>133</v>
      </c>
      <c r="C144" s="143"/>
      <c r="D144" s="138"/>
      <c r="E144" s="120"/>
      <c r="F144" s="335" t="str">
        <f>IF(D144="","",VLOOKUP(D144,'G-6 Hedgerow Data'!$B$2:$AG$15,2,FALSE))</f>
        <v/>
      </c>
      <c r="G144" s="291" t="str">
        <f>IF(D144="","",VLOOKUP(D144,'G-6 Hedgerow Data'!$B$2:$AG$15,3,FALSE))</f>
        <v/>
      </c>
      <c r="H144" s="95"/>
      <c r="I144" s="291" t="str">
        <f>IFERROR(IF(H144="","",IF(AND(D144="Non-native and ornamental hedgerow", H144&lt;&gt;"Poor"),"Not possible ▲", (VLOOKUP(H144,'G-1 All Habitats'!$Z$2:$AA$9,2,FALSE)))),"")</f>
        <v/>
      </c>
      <c r="J144" s="95"/>
      <c r="K144" s="310" t="str">
        <f>IF(J144="","",IF(VLOOKUP(J144,'G-3 Multipliers'!$L$3:$N$6,2,FALSE)=0,"Spatial Data Missing ⚠",VLOOKUP(J144,'G-3 Multipliers'!$L$3:$N$6,2,FALSE)))</f>
        <v/>
      </c>
      <c r="L144" s="296" t="str">
        <f>IF(J144="","",IF(VLOOKUP(J144,'G-3 Multipliers'!$L$3:$N$6,3,FALSE)=0,"Spatial Data Missing ⚠",VLOOKUP(J144,'G-3 Multipliers'!$L$3:$N$6,3,FALSE)))</f>
        <v/>
      </c>
      <c r="M144" s="290" t="str">
        <f>IF(OR(D144="",H144=""),"",(INDEX('G-6 Hedgerow Data'!$E$3:$I$15,MATCH(D144,'G-6 Hedgerow Data'!$B$3:$B$15,0),MATCH(H144,'G-6 Hedgerow Data'!$E$2:$I$2,0))))</f>
        <v/>
      </c>
      <c r="N144" s="138"/>
      <c r="O144" s="138"/>
      <c r="P144" s="298" t="str">
        <f t="shared" si="13"/>
        <v/>
      </c>
      <c r="Q144" s="311" t="str">
        <f t="shared" si="14"/>
        <v/>
      </c>
      <c r="R144" s="312" t="str">
        <f t="shared" si="12"/>
        <v/>
      </c>
      <c r="S144" s="325" t="str">
        <f>IF(D144="","",VLOOKUP(D144,'G-6 Hedgerow Data'!$B$3:$AG$15,31,FALSE))</f>
        <v/>
      </c>
      <c r="T144" s="298" t="str">
        <f t="shared" si="15"/>
        <v/>
      </c>
      <c r="U144" s="298" t="str">
        <f t="shared" si="16"/>
        <v/>
      </c>
      <c r="V144" s="314" t="str">
        <f>IF(D144="","",VLOOKUP(S144,'G-3 Multipliers'!$P$3:$Q$6,2,FALSE))</f>
        <v/>
      </c>
      <c r="W144" s="317" t="str">
        <f t="shared" si="17"/>
        <v/>
      </c>
      <c r="X144" s="98"/>
      <c r="Y144" s="99"/>
      <c r="Z144" s="101"/>
      <c r="AG144" s="15" t="str">
        <f>IFERROR(INDEX('G-6 Hedgerow Data'!$BJ$3:$BJ$15,MATCH(D144,'G-6 Hedgerow Data'!$B$3:$B$15,0)),"")</f>
        <v/>
      </c>
    </row>
    <row r="145" spans="2:33" ht="14" x14ac:dyDescent="0.3">
      <c r="B145" s="92">
        <v>134</v>
      </c>
      <c r="C145" s="143"/>
      <c r="D145" s="138"/>
      <c r="E145" s="120"/>
      <c r="F145" s="335" t="str">
        <f>IF(D145="","",VLOOKUP(D145,'G-6 Hedgerow Data'!$B$2:$AG$15,2,FALSE))</f>
        <v/>
      </c>
      <c r="G145" s="291" t="str">
        <f>IF(D145="","",VLOOKUP(D145,'G-6 Hedgerow Data'!$B$2:$AG$15,3,FALSE))</f>
        <v/>
      </c>
      <c r="H145" s="95"/>
      <c r="I145" s="291" t="str">
        <f>IFERROR(IF(H145="","",IF(AND(D145="Non-native and ornamental hedgerow", H145&lt;&gt;"Poor"),"Not possible ▲", (VLOOKUP(H145,'G-1 All Habitats'!$Z$2:$AA$9,2,FALSE)))),"")</f>
        <v/>
      </c>
      <c r="J145" s="95"/>
      <c r="K145" s="310" t="str">
        <f>IF(J145="","",IF(VLOOKUP(J145,'G-3 Multipliers'!$L$3:$N$6,2,FALSE)=0,"Spatial Data Missing ⚠",VLOOKUP(J145,'G-3 Multipliers'!$L$3:$N$6,2,FALSE)))</f>
        <v/>
      </c>
      <c r="L145" s="296" t="str">
        <f>IF(J145="","",IF(VLOOKUP(J145,'G-3 Multipliers'!$L$3:$N$6,3,FALSE)=0,"Spatial Data Missing ⚠",VLOOKUP(J145,'G-3 Multipliers'!$L$3:$N$6,3,FALSE)))</f>
        <v/>
      </c>
      <c r="M145" s="290" t="str">
        <f>IF(OR(D145="",H145=""),"",(INDEX('G-6 Hedgerow Data'!$E$3:$I$15,MATCH(D145,'G-6 Hedgerow Data'!$B$3:$B$15,0),MATCH(H145,'G-6 Hedgerow Data'!$E$2:$I$2,0))))</f>
        <v/>
      </c>
      <c r="N145" s="138"/>
      <c r="O145" s="138"/>
      <c r="P145" s="298" t="str">
        <f t="shared" si="13"/>
        <v/>
      </c>
      <c r="Q145" s="311" t="str">
        <f t="shared" si="14"/>
        <v/>
      </c>
      <c r="R145" s="312" t="str">
        <f t="shared" si="12"/>
        <v/>
      </c>
      <c r="S145" s="325" t="str">
        <f>IF(D145="","",VLOOKUP(D145,'G-6 Hedgerow Data'!$B$3:$AG$15,31,FALSE))</f>
        <v/>
      </c>
      <c r="T145" s="298" t="str">
        <f t="shared" si="15"/>
        <v/>
      </c>
      <c r="U145" s="298" t="str">
        <f t="shared" si="16"/>
        <v/>
      </c>
      <c r="V145" s="314" t="str">
        <f>IF(D145="","",VLOOKUP(S145,'G-3 Multipliers'!$P$3:$Q$6,2,FALSE))</f>
        <v/>
      </c>
      <c r="W145" s="317" t="str">
        <f t="shared" si="17"/>
        <v/>
      </c>
      <c r="X145" s="98"/>
      <c r="Y145" s="99"/>
      <c r="Z145" s="101"/>
      <c r="AG145" s="15" t="str">
        <f>IFERROR(INDEX('G-6 Hedgerow Data'!$BJ$3:$BJ$15,MATCH(D145,'G-6 Hedgerow Data'!$B$3:$B$15,0)),"")</f>
        <v/>
      </c>
    </row>
    <row r="146" spans="2:33" ht="14" x14ac:dyDescent="0.3">
      <c r="B146" s="92">
        <v>135</v>
      </c>
      <c r="C146" s="143"/>
      <c r="D146" s="138"/>
      <c r="E146" s="120"/>
      <c r="F146" s="335" t="str">
        <f>IF(D146="","",VLOOKUP(D146,'G-6 Hedgerow Data'!$B$2:$AG$15,2,FALSE))</f>
        <v/>
      </c>
      <c r="G146" s="291" t="str">
        <f>IF(D146="","",VLOOKUP(D146,'G-6 Hedgerow Data'!$B$2:$AG$15,3,FALSE))</f>
        <v/>
      </c>
      <c r="H146" s="95"/>
      <c r="I146" s="291" t="str">
        <f>IFERROR(IF(H146="","",IF(AND(D146="Non-native and ornamental hedgerow", H146&lt;&gt;"Poor"),"Not possible ▲", (VLOOKUP(H146,'G-1 All Habitats'!$Z$2:$AA$9,2,FALSE)))),"")</f>
        <v/>
      </c>
      <c r="J146" s="95"/>
      <c r="K146" s="310" t="str">
        <f>IF(J146="","",IF(VLOOKUP(J146,'G-3 Multipliers'!$L$3:$N$6,2,FALSE)=0,"Spatial Data Missing ⚠",VLOOKUP(J146,'G-3 Multipliers'!$L$3:$N$6,2,FALSE)))</f>
        <v/>
      </c>
      <c r="L146" s="296" t="str">
        <f>IF(J146="","",IF(VLOOKUP(J146,'G-3 Multipliers'!$L$3:$N$6,3,FALSE)=0,"Spatial Data Missing ⚠",VLOOKUP(J146,'G-3 Multipliers'!$L$3:$N$6,3,FALSE)))</f>
        <v/>
      </c>
      <c r="M146" s="290" t="str">
        <f>IF(OR(D146="",H146=""),"",(INDEX('G-6 Hedgerow Data'!$E$3:$I$15,MATCH(D146,'G-6 Hedgerow Data'!$B$3:$B$15,0),MATCH(H146,'G-6 Hedgerow Data'!$E$2:$I$2,0))))</f>
        <v/>
      </c>
      <c r="N146" s="138"/>
      <c r="O146" s="138"/>
      <c r="P146" s="298" t="str">
        <f t="shared" si="13"/>
        <v/>
      </c>
      <c r="Q146" s="311" t="str">
        <f t="shared" si="14"/>
        <v/>
      </c>
      <c r="R146" s="312" t="str">
        <f t="shared" si="12"/>
        <v/>
      </c>
      <c r="S146" s="325" t="str">
        <f>IF(D146="","",VLOOKUP(D146,'G-6 Hedgerow Data'!$B$3:$AG$15,31,FALSE))</f>
        <v/>
      </c>
      <c r="T146" s="298" t="str">
        <f t="shared" si="15"/>
        <v/>
      </c>
      <c r="U146" s="298" t="str">
        <f t="shared" si="16"/>
        <v/>
      </c>
      <c r="V146" s="314" t="str">
        <f>IF(D146="","",VLOOKUP(S146,'G-3 Multipliers'!$P$3:$Q$6,2,FALSE))</f>
        <v/>
      </c>
      <c r="W146" s="317" t="str">
        <f t="shared" si="17"/>
        <v/>
      </c>
      <c r="X146" s="98"/>
      <c r="Y146" s="99"/>
      <c r="Z146" s="101"/>
      <c r="AG146" s="15" t="str">
        <f>IFERROR(INDEX('G-6 Hedgerow Data'!$BJ$3:$BJ$15,MATCH(D146,'G-6 Hedgerow Data'!$B$3:$B$15,0)),"")</f>
        <v/>
      </c>
    </row>
    <row r="147" spans="2:33" ht="14" x14ac:dyDescent="0.3">
      <c r="B147" s="92">
        <v>136</v>
      </c>
      <c r="C147" s="143"/>
      <c r="D147" s="138"/>
      <c r="E147" s="120"/>
      <c r="F147" s="335" t="str">
        <f>IF(D147="","",VLOOKUP(D147,'G-6 Hedgerow Data'!$B$2:$AG$15,2,FALSE))</f>
        <v/>
      </c>
      <c r="G147" s="291" t="str">
        <f>IF(D147="","",VLOOKUP(D147,'G-6 Hedgerow Data'!$B$2:$AG$15,3,FALSE))</f>
        <v/>
      </c>
      <c r="H147" s="95"/>
      <c r="I147" s="291" t="str">
        <f>IFERROR(IF(H147="","",IF(AND(D147="Non-native and ornamental hedgerow", H147&lt;&gt;"Poor"),"Not possible ▲", (VLOOKUP(H147,'G-1 All Habitats'!$Z$2:$AA$9,2,FALSE)))),"")</f>
        <v/>
      </c>
      <c r="J147" s="95"/>
      <c r="K147" s="310" t="str">
        <f>IF(J147="","",IF(VLOOKUP(J147,'G-3 Multipliers'!$L$3:$N$6,2,FALSE)=0,"Spatial Data Missing ⚠",VLOOKUP(J147,'G-3 Multipliers'!$L$3:$N$6,2,FALSE)))</f>
        <v/>
      </c>
      <c r="L147" s="296" t="str">
        <f>IF(J147="","",IF(VLOOKUP(J147,'G-3 Multipliers'!$L$3:$N$6,3,FALSE)=0,"Spatial Data Missing ⚠",VLOOKUP(J147,'G-3 Multipliers'!$L$3:$N$6,3,FALSE)))</f>
        <v/>
      </c>
      <c r="M147" s="290" t="str">
        <f>IF(OR(D147="",H147=""),"",(INDEX('G-6 Hedgerow Data'!$E$3:$I$15,MATCH(D147,'G-6 Hedgerow Data'!$B$3:$B$15,0),MATCH(H147,'G-6 Hedgerow Data'!$E$2:$I$2,0))))</f>
        <v/>
      </c>
      <c r="N147" s="138"/>
      <c r="O147" s="138"/>
      <c r="P147" s="298" t="str">
        <f t="shared" si="13"/>
        <v/>
      </c>
      <c r="Q147" s="311" t="str">
        <f t="shared" si="14"/>
        <v/>
      </c>
      <c r="R147" s="312" t="str">
        <f t="shared" si="12"/>
        <v/>
      </c>
      <c r="S147" s="325" t="str">
        <f>IF(D147="","",VLOOKUP(D147,'G-6 Hedgerow Data'!$B$3:$AG$15,31,FALSE))</f>
        <v/>
      </c>
      <c r="T147" s="298" t="str">
        <f t="shared" si="15"/>
        <v/>
      </c>
      <c r="U147" s="298" t="str">
        <f t="shared" si="16"/>
        <v/>
      </c>
      <c r="V147" s="314" t="str">
        <f>IF(D147="","",VLOOKUP(S147,'G-3 Multipliers'!$P$3:$Q$6,2,FALSE))</f>
        <v/>
      </c>
      <c r="W147" s="317" t="str">
        <f t="shared" si="17"/>
        <v/>
      </c>
      <c r="X147" s="98"/>
      <c r="Y147" s="99"/>
      <c r="Z147" s="101"/>
      <c r="AG147" s="15" t="str">
        <f>IFERROR(INDEX('G-6 Hedgerow Data'!$BJ$3:$BJ$15,MATCH(D147,'G-6 Hedgerow Data'!$B$3:$B$15,0)),"")</f>
        <v/>
      </c>
    </row>
    <row r="148" spans="2:33" ht="14" x14ac:dyDescent="0.3">
      <c r="B148" s="92">
        <v>137</v>
      </c>
      <c r="C148" s="143"/>
      <c r="D148" s="138"/>
      <c r="E148" s="120"/>
      <c r="F148" s="335" t="str">
        <f>IF(D148="","",VLOOKUP(D148,'G-6 Hedgerow Data'!$B$2:$AG$15,2,FALSE))</f>
        <v/>
      </c>
      <c r="G148" s="291" t="str">
        <f>IF(D148="","",VLOOKUP(D148,'G-6 Hedgerow Data'!$B$2:$AG$15,3,FALSE))</f>
        <v/>
      </c>
      <c r="H148" s="95"/>
      <c r="I148" s="291" t="str">
        <f>IFERROR(IF(H148="","",IF(AND(D148="Non-native and ornamental hedgerow", H148&lt;&gt;"Poor"),"Not possible ▲", (VLOOKUP(H148,'G-1 All Habitats'!$Z$2:$AA$9,2,FALSE)))),"")</f>
        <v/>
      </c>
      <c r="J148" s="95"/>
      <c r="K148" s="310" t="str">
        <f>IF(J148="","",IF(VLOOKUP(J148,'G-3 Multipliers'!$L$3:$N$6,2,FALSE)=0,"Spatial Data Missing ⚠",VLOOKUP(J148,'G-3 Multipliers'!$L$3:$N$6,2,FALSE)))</f>
        <v/>
      </c>
      <c r="L148" s="296" t="str">
        <f>IF(J148="","",IF(VLOOKUP(J148,'G-3 Multipliers'!$L$3:$N$6,3,FALSE)=0,"Spatial Data Missing ⚠",VLOOKUP(J148,'G-3 Multipliers'!$L$3:$N$6,3,FALSE)))</f>
        <v/>
      </c>
      <c r="M148" s="290" t="str">
        <f>IF(OR(D148="",H148=""),"",(INDEX('G-6 Hedgerow Data'!$E$3:$I$15,MATCH(D148,'G-6 Hedgerow Data'!$B$3:$B$15,0),MATCH(H148,'G-6 Hedgerow Data'!$E$2:$I$2,0))))</f>
        <v/>
      </c>
      <c r="N148" s="138"/>
      <c r="O148" s="138"/>
      <c r="P148" s="298" t="str">
        <f t="shared" si="13"/>
        <v/>
      </c>
      <c r="Q148" s="311" t="str">
        <f t="shared" si="14"/>
        <v/>
      </c>
      <c r="R148" s="312" t="str">
        <f t="shared" si="12"/>
        <v/>
      </c>
      <c r="S148" s="325" t="str">
        <f>IF(D148="","",VLOOKUP(D148,'G-6 Hedgerow Data'!$B$3:$AG$15,31,FALSE))</f>
        <v/>
      </c>
      <c r="T148" s="298" t="str">
        <f t="shared" si="15"/>
        <v/>
      </c>
      <c r="U148" s="298" t="str">
        <f t="shared" si="16"/>
        <v/>
      </c>
      <c r="V148" s="314" t="str">
        <f>IF(D148="","",VLOOKUP(S148,'G-3 Multipliers'!$P$3:$Q$6,2,FALSE))</f>
        <v/>
      </c>
      <c r="W148" s="317" t="str">
        <f t="shared" si="17"/>
        <v/>
      </c>
      <c r="X148" s="98"/>
      <c r="Y148" s="99"/>
      <c r="Z148" s="101"/>
      <c r="AG148" s="15" t="str">
        <f>IFERROR(INDEX('G-6 Hedgerow Data'!$BJ$3:$BJ$15,MATCH(D148,'G-6 Hedgerow Data'!$B$3:$B$15,0)),"")</f>
        <v/>
      </c>
    </row>
    <row r="149" spans="2:33" ht="14" x14ac:dyDescent="0.3">
      <c r="B149" s="92">
        <v>138</v>
      </c>
      <c r="C149" s="143"/>
      <c r="D149" s="138"/>
      <c r="E149" s="120"/>
      <c r="F149" s="335" t="str">
        <f>IF(D149="","",VLOOKUP(D149,'G-6 Hedgerow Data'!$B$2:$AG$15,2,FALSE))</f>
        <v/>
      </c>
      <c r="G149" s="291" t="str">
        <f>IF(D149="","",VLOOKUP(D149,'G-6 Hedgerow Data'!$B$2:$AG$15,3,FALSE))</f>
        <v/>
      </c>
      <c r="H149" s="95"/>
      <c r="I149" s="291" t="str">
        <f>IFERROR(IF(H149="","",IF(AND(D149="Non-native and ornamental hedgerow", H149&lt;&gt;"Poor"),"Not possible ▲", (VLOOKUP(H149,'G-1 All Habitats'!$Z$2:$AA$9,2,FALSE)))),"")</f>
        <v/>
      </c>
      <c r="J149" s="95"/>
      <c r="K149" s="310" t="str">
        <f>IF(J149="","",IF(VLOOKUP(J149,'G-3 Multipliers'!$L$3:$N$6,2,FALSE)=0,"Spatial Data Missing ⚠",VLOOKUP(J149,'G-3 Multipliers'!$L$3:$N$6,2,FALSE)))</f>
        <v/>
      </c>
      <c r="L149" s="296" t="str">
        <f>IF(J149="","",IF(VLOOKUP(J149,'G-3 Multipliers'!$L$3:$N$6,3,FALSE)=0,"Spatial Data Missing ⚠",VLOOKUP(J149,'G-3 Multipliers'!$L$3:$N$6,3,FALSE)))</f>
        <v/>
      </c>
      <c r="M149" s="290" t="str">
        <f>IF(OR(D149="",H149=""),"",(INDEX('G-6 Hedgerow Data'!$E$3:$I$15,MATCH(D149,'G-6 Hedgerow Data'!$B$3:$B$15,0),MATCH(H149,'G-6 Hedgerow Data'!$E$2:$I$2,0))))</f>
        <v/>
      </c>
      <c r="N149" s="138"/>
      <c r="O149" s="138"/>
      <c r="P149" s="298" t="str">
        <f t="shared" si="13"/>
        <v/>
      </c>
      <c r="Q149" s="311" t="str">
        <f t="shared" si="14"/>
        <v/>
      </c>
      <c r="R149" s="312" t="str">
        <f t="shared" si="12"/>
        <v/>
      </c>
      <c r="S149" s="325" t="str">
        <f>IF(D149="","",VLOOKUP(D149,'G-6 Hedgerow Data'!$B$3:$AG$15,31,FALSE))</f>
        <v/>
      </c>
      <c r="T149" s="298" t="str">
        <f t="shared" si="15"/>
        <v/>
      </c>
      <c r="U149" s="298" t="str">
        <f t="shared" si="16"/>
        <v/>
      </c>
      <c r="V149" s="314" t="str">
        <f>IF(D149="","",VLOOKUP(S149,'G-3 Multipliers'!$P$3:$Q$6,2,FALSE))</f>
        <v/>
      </c>
      <c r="W149" s="317" t="str">
        <f t="shared" si="17"/>
        <v/>
      </c>
      <c r="X149" s="98"/>
      <c r="Y149" s="99"/>
      <c r="Z149" s="101"/>
      <c r="AG149" s="15" t="str">
        <f>IFERROR(INDEX('G-6 Hedgerow Data'!$BJ$3:$BJ$15,MATCH(D149,'G-6 Hedgerow Data'!$B$3:$B$15,0)),"")</f>
        <v/>
      </c>
    </row>
    <row r="150" spans="2:33" ht="14" x14ac:dyDescent="0.3">
      <c r="B150" s="92">
        <v>139</v>
      </c>
      <c r="C150" s="143"/>
      <c r="D150" s="138"/>
      <c r="E150" s="120"/>
      <c r="F150" s="335" t="str">
        <f>IF(D150="","",VLOOKUP(D150,'G-6 Hedgerow Data'!$B$2:$AG$15,2,FALSE))</f>
        <v/>
      </c>
      <c r="G150" s="291" t="str">
        <f>IF(D150="","",VLOOKUP(D150,'G-6 Hedgerow Data'!$B$2:$AG$15,3,FALSE))</f>
        <v/>
      </c>
      <c r="H150" s="95"/>
      <c r="I150" s="291" t="str">
        <f>IFERROR(IF(H150="","",IF(AND(D150="Non-native and ornamental hedgerow", H150&lt;&gt;"Poor"),"Not possible ▲", (VLOOKUP(H150,'G-1 All Habitats'!$Z$2:$AA$9,2,FALSE)))),"")</f>
        <v/>
      </c>
      <c r="J150" s="95"/>
      <c r="K150" s="310" t="str">
        <f>IF(J150="","",IF(VLOOKUP(J150,'G-3 Multipliers'!$L$3:$N$6,2,FALSE)=0,"Spatial Data Missing ⚠",VLOOKUP(J150,'G-3 Multipliers'!$L$3:$N$6,2,FALSE)))</f>
        <v/>
      </c>
      <c r="L150" s="296" t="str">
        <f>IF(J150="","",IF(VLOOKUP(J150,'G-3 Multipliers'!$L$3:$N$6,3,FALSE)=0,"Spatial Data Missing ⚠",VLOOKUP(J150,'G-3 Multipliers'!$L$3:$N$6,3,FALSE)))</f>
        <v/>
      </c>
      <c r="M150" s="290" t="str">
        <f>IF(OR(D150="",H150=""),"",(INDEX('G-6 Hedgerow Data'!$E$3:$I$15,MATCH(D150,'G-6 Hedgerow Data'!$B$3:$B$15,0),MATCH(H150,'G-6 Hedgerow Data'!$E$2:$I$2,0))))</f>
        <v/>
      </c>
      <c r="N150" s="138"/>
      <c r="O150" s="138"/>
      <c r="P150" s="298" t="str">
        <f t="shared" si="13"/>
        <v/>
      </c>
      <c r="Q150" s="311" t="str">
        <f t="shared" si="14"/>
        <v/>
      </c>
      <c r="R150" s="312" t="str">
        <f t="shared" si="12"/>
        <v/>
      </c>
      <c r="S150" s="325" t="str">
        <f>IF(D150="","",VLOOKUP(D150,'G-6 Hedgerow Data'!$B$3:$AG$15,31,FALSE))</f>
        <v/>
      </c>
      <c r="T150" s="298" t="str">
        <f t="shared" si="15"/>
        <v/>
      </c>
      <c r="U150" s="298" t="str">
        <f t="shared" si="16"/>
        <v/>
      </c>
      <c r="V150" s="314" t="str">
        <f>IF(D150="","",VLOOKUP(S150,'G-3 Multipliers'!$P$3:$Q$6,2,FALSE))</f>
        <v/>
      </c>
      <c r="W150" s="317" t="str">
        <f t="shared" si="17"/>
        <v/>
      </c>
      <c r="X150" s="98"/>
      <c r="Y150" s="99"/>
      <c r="Z150" s="101"/>
      <c r="AG150" s="15" t="str">
        <f>IFERROR(INDEX('G-6 Hedgerow Data'!$BJ$3:$BJ$15,MATCH(D150,'G-6 Hedgerow Data'!$B$3:$B$15,0)),"")</f>
        <v/>
      </c>
    </row>
    <row r="151" spans="2:33" ht="14" x14ac:dyDescent="0.3">
      <c r="B151" s="92">
        <v>140</v>
      </c>
      <c r="C151" s="143"/>
      <c r="D151" s="138"/>
      <c r="E151" s="120"/>
      <c r="F151" s="335" t="str">
        <f>IF(D151="","",VLOOKUP(D151,'G-6 Hedgerow Data'!$B$2:$AG$15,2,FALSE))</f>
        <v/>
      </c>
      <c r="G151" s="291" t="str">
        <f>IF(D151="","",VLOOKUP(D151,'G-6 Hedgerow Data'!$B$2:$AG$15,3,FALSE))</f>
        <v/>
      </c>
      <c r="H151" s="95"/>
      <c r="I151" s="291" t="str">
        <f>IFERROR(IF(H151="","",IF(AND(D151="Non-native and ornamental hedgerow", H151&lt;&gt;"Poor"),"Not possible ▲", (VLOOKUP(H151,'G-1 All Habitats'!$Z$2:$AA$9,2,FALSE)))),"")</f>
        <v/>
      </c>
      <c r="J151" s="95"/>
      <c r="K151" s="310" t="str">
        <f>IF(J151="","",IF(VLOOKUP(J151,'G-3 Multipliers'!$L$3:$N$6,2,FALSE)=0,"Spatial Data Missing ⚠",VLOOKUP(J151,'G-3 Multipliers'!$L$3:$N$6,2,FALSE)))</f>
        <v/>
      </c>
      <c r="L151" s="296" t="str">
        <f>IF(J151="","",IF(VLOOKUP(J151,'G-3 Multipliers'!$L$3:$N$6,3,FALSE)=0,"Spatial Data Missing ⚠",VLOOKUP(J151,'G-3 Multipliers'!$L$3:$N$6,3,FALSE)))</f>
        <v/>
      </c>
      <c r="M151" s="290" t="str">
        <f>IF(OR(D151="",H151=""),"",(INDEX('G-6 Hedgerow Data'!$E$3:$I$15,MATCH(D151,'G-6 Hedgerow Data'!$B$3:$B$15,0),MATCH(H151,'G-6 Hedgerow Data'!$E$2:$I$2,0))))</f>
        <v/>
      </c>
      <c r="N151" s="138"/>
      <c r="O151" s="138"/>
      <c r="P151" s="298" t="str">
        <f t="shared" si="13"/>
        <v/>
      </c>
      <c r="Q151" s="311" t="str">
        <f t="shared" si="14"/>
        <v/>
      </c>
      <c r="R151" s="312" t="str">
        <f t="shared" si="12"/>
        <v/>
      </c>
      <c r="S151" s="325" t="str">
        <f>IF(D151="","",VLOOKUP(D151,'G-6 Hedgerow Data'!$B$3:$AG$15,31,FALSE))</f>
        <v/>
      </c>
      <c r="T151" s="298" t="str">
        <f t="shared" si="15"/>
        <v/>
      </c>
      <c r="U151" s="298" t="str">
        <f t="shared" si="16"/>
        <v/>
      </c>
      <c r="V151" s="314" t="str">
        <f>IF(D151="","",VLOOKUP(S151,'G-3 Multipliers'!$P$3:$Q$6,2,FALSE))</f>
        <v/>
      </c>
      <c r="W151" s="317" t="str">
        <f t="shared" si="17"/>
        <v/>
      </c>
      <c r="X151" s="98"/>
      <c r="Y151" s="99"/>
      <c r="Z151" s="101"/>
      <c r="AG151" s="15" t="str">
        <f>IFERROR(INDEX('G-6 Hedgerow Data'!$BJ$3:$BJ$15,MATCH(D151,'G-6 Hedgerow Data'!$B$3:$B$15,0)),"")</f>
        <v/>
      </c>
    </row>
    <row r="152" spans="2:33" ht="14" x14ac:dyDescent="0.3">
      <c r="B152" s="92">
        <v>141</v>
      </c>
      <c r="C152" s="143"/>
      <c r="D152" s="138"/>
      <c r="E152" s="120"/>
      <c r="F152" s="335" t="str">
        <f>IF(D152="","",VLOOKUP(D152,'G-6 Hedgerow Data'!$B$2:$AG$15,2,FALSE))</f>
        <v/>
      </c>
      <c r="G152" s="291" t="str">
        <f>IF(D152="","",VLOOKUP(D152,'G-6 Hedgerow Data'!$B$2:$AG$15,3,FALSE))</f>
        <v/>
      </c>
      <c r="H152" s="95"/>
      <c r="I152" s="291" t="str">
        <f>IFERROR(IF(H152="","",IF(AND(D152="Non-native and ornamental hedgerow", H152&lt;&gt;"Poor"),"Not possible ▲", (VLOOKUP(H152,'G-1 All Habitats'!$Z$2:$AA$9,2,FALSE)))),"")</f>
        <v/>
      </c>
      <c r="J152" s="95"/>
      <c r="K152" s="310" t="str">
        <f>IF(J152="","",IF(VLOOKUP(J152,'G-3 Multipliers'!$L$3:$N$6,2,FALSE)=0,"Spatial Data Missing ⚠",VLOOKUP(J152,'G-3 Multipliers'!$L$3:$N$6,2,FALSE)))</f>
        <v/>
      </c>
      <c r="L152" s="296" t="str">
        <f>IF(J152="","",IF(VLOOKUP(J152,'G-3 Multipliers'!$L$3:$N$6,3,FALSE)=0,"Spatial Data Missing ⚠",VLOOKUP(J152,'G-3 Multipliers'!$L$3:$N$6,3,FALSE)))</f>
        <v/>
      </c>
      <c r="M152" s="290" t="str">
        <f>IF(OR(D152="",H152=""),"",(INDEX('G-6 Hedgerow Data'!$E$3:$I$15,MATCH(D152,'G-6 Hedgerow Data'!$B$3:$B$15,0),MATCH(H152,'G-6 Hedgerow Data'!$E$2:$I$2,0))))</f>
        <v/>
      </c>
      <c r="N152" s="138"/>
      <c r="O152" s="138"/>
      <c r="P152" s="298" t="str">
        <f t="shared" si="13"/>
        <v/>
      </c>
      <c r="Q152" s="311" t="str">
        <f t="shared" si="14"/>
        <v/>
      </c>
      <c r="R152" s="312" t="str">
        <f t="shared" si="12"/>
        <v/>
      </c>
      <c r="S152" s="325" t="str">
        <f>IF(D152="","",VLOOKUP(D152,'G-6 Hedgerow Data'!$B$3:$AG$15,31,FALSE))</f>
        <v/>
      </c>
      <c r="T152" s="298" t="str">
        <f t="shared" si="15"/>
        <v/>
      </c>
      <c r="U152" s="298" t="str">
        <f t="shared" si="16"/>
        <v/>
      </c>
      <c r="V152" s="314" t="str">
        <f>IF(D152="","",VLOOKUP(S152,'G-3 Multipliers'!$P$3:$Q$6,2,FALSE))</f>
        <v/>
      </c>
      <c r="W152" s="317" t="str">
        <f t="shared" si="17"/>
        <v/>
      </c>
      <c r="X152" s="98"/>
      <c r="Y152" s="99"/>
      <c r="Z152" s="101"/>
      <c r="AG152" s="15" t="str">
        <f>IFERROR(INDEX('G-6 Hedgerow Data'!$BJ$3:$BJ$15,MATCH(D152,'G-6 Hedgerow Data'!$B$3:$B$15,0)),"")</f>
        <v/>
      </c>
    </row>
    <row r="153" spans="2:33" ht="14" x14ac:dyDescent="0.3">
      <c r="B153" s="92">
        <v>142</v>
      </c>
      <c r="C153" s="143"/>
      <c r="D153" s="138"/>
      <c r="E153" s="120"/>
      <c r="F153" s="335" t="str">
        <f>IF(D153="","",VLOOKUP(D153,'G-6 Hedgerow Data'!$B$2:$AG$15,2,FALSE))</f>
        <v/>
      </c>
      <c r="G153" s="291" t="str">
        <f>IF(D153="","",VLOOKUP(D153,'G-6 Hedgerow Data'!$B$2:$AG$15,3,FALSE))</f>
        <v/>
      </c>
      <c r="H153" s="95"/>
      <c r="I153" s="291" t="str">
        <f>IFERROR(IF(H153="","",IF(AND(D153="Non-native and ornamental hedgerow", H153&lt;&gt;"Poor"),"Not possible ▲", (VLOOKUP(H153,'G-1 All Habitats'!$Z$2:$AA$9,2,FALSE)))),"")</f>
        <v/>
      </c>
      <c r="J153" s="95"/>
      <c r="K153" s="310" t="str">
        <f>IF(J153="","",IF(VLOOKUP(J153,'G-3 Multipliers'!$L$3:$N$6,2,FALSE)=0,"Spatial Data Missing ⚠",VLOOKUP(J153,'G-3 Multipliers'!$L$3:$N$6,2,FALSE)))</f>
        <v/>
      </c>
      <c r="L153" s="296" t="str">
        <f>IF(J153="","",IF(VLOOKUP(J153,'G-3 Multipliers'!$L$3:$N$6,3,FALSE)=0,"Spatial Data Missing ⚠",VLOOKUP(J153,'G-3 Multipliers'!$L$3:$N$6,3,FALSE)))</f>
        <v/>
      </c>
      <c r="M153" s="290" t="str">
        <f>IF(OR(D153="",H153=""),"",(INDEX('G-6 Hedgerow Data'!$E$3:$I$15,MATCH(D153,'G-6 Hedgerow Data'!$B$3:$B$15,0),MATCH(H153,'G-6 Hedgerow Data'!$E$2:$I$2,0))))</f>
        <v/>
      </c>
      <c r="N153" s="138"/>
      <c r="O153" s="138"/>
      <c r="P153" s="298" t="str">
        <f t="shared" si="13"/>
        <v/>
      </c>
      <c r="Q153" s="311" t="str">
        <f t="shared" si="14"/>
        <v/>
      </c>
      <c r="R153" s="312" t="str">
        <f t="shared" si="12"/>
        <v/>
      </c>
      <c r="S153" s="325" t="str">
        <f>IF(D153="","",VLOOKUP(D153,'G-6 Hedgerow Data'!$B$3:$AG$15,31,FALSE))</f>
        <v/>
      </c>
      <c r="T153" s="298" t="str">
        <f t="shared" si="15"/>
        <v/>
      </c>
      <c r="U153" s="298" t="str">
        <f t="shared" si="16"/>
        <v/>
      </c>
      <c r="V153" s="314" t="str">
        <f>IF(D153="","",VLOOKUP(S153,'G-3 Multipliers'!$P$3:$Q$6,2,FALSE))</f>
        <v/>
      </c>
      <c r="W153" s="317" t="str">
        <f t="shared" si="17"/>
        <v/>
      </c>
      <c r="X153" s="98"/>
      <c r="Y153" s="99"/>
      <c r="Z153" s="101"/>
      <c r="AG153" s="15" t="str">
        <f>IFERROR(INDEX('G-6 Hedgerow Data'!$BJ$3:$BJ$15,MATCH(D153,'G-6 Hedgerow Data'!$B$3:$B$15,0)),"")</f>
        <v/>
      </c>
    </row>
    <row r="154" spans="2:33" ht="14" x14ac:dyDescent="0.3">
      <c r="B154" s="92">
        <v>143</v>
      </c>
      <c r="C154" s="143"/>
      <c r="D154" s="138"/>
      <c r="E154" s="120"/>
      <c r="F154" s="335" t="str">
        <f>IF(D154="","",VLOOKUP(D154,'G-6 Hedgerow Data'!$B$2:$AG$15,2,FALSE))</f>
        <v/>
      </c>
      <c r="G154" s="291" t="str">
        <f>IF(D154="","",VLOOKUP(D154,'G-6 Hedgerow Data'!$B$2:$AG$15,3,FALSE))</f>
        <v/>
      </c>
      <c r="H154" s="95"/>
      <c r="I154" s="291" t="str">
        <f>IFERROR(IF(H154="","",IF(AND(D154="Non-native and ornamental hedgerow", H154&lt;&gt;"Poor"),"Not possible ▲", (VLOOKUP(H154,'G-1 All Habitats'!$Z$2:$AA$9,2,FALSE)))),"")</f>
        <v/>
      </c>
      <c r="J154" s="95"/>
      <c r="K154" s="310" t="str">
        <f>IF(J154="","",IF(VLOOKUP(J154,'G-3 Multipliers'!$L$3:$N$6,2,FALSE)=0,"Spatial Data Missing ⚠",VLOOKUP(J154,'G-3 Multipliers'!$L$3:$N$6,2,FALSE)))</f>
        <v/>
      </c>
      <c r="L154" s="296" t="str">
        <f>IF(J154="","",IF(VLOOKUP(J154,'G-3 Multipliers'!$L$3:$N$6,3,FALSE)=0,"Spatial Data Missing ⚠",VLOOKUP(J154,'G-3 Multipliers'!$L$3:$N$6,3,FALSE)))</f>
        <v/>
      </c>
      <c r="M154" s="290" t="str">
        <f>IF(OR(D154="",H154=""),"",(INDEX('G-6 Hedgerow Data'!$E$3:$I$15,MATCH(D154,'G-6 Hedgerow Data'!$B$3:$B$15,0),MATCH(H154,'G-6 Hedgerow Data'!$E$2:$I$2,0))))</f>
        <v/>
      </c>
      <c r="N154" s="138"/>
      <c r="O154" s="138"/>
      <c r="P154" s="298" t="str">
        <f t="shared" si="13"/>
        <v/>
      </c>
      <c r="Q154" s="311" t="str">
        <f t="shared" si="14"/>
        <v/>
      </c>
      <c r="R154" s="312" t="str">
        <f t="shared" si="12"/>
        <v/>
      </c>
      <c r="S154" s="325" t="str">
        <f>IF(D154="","",VLOOKUP(D154,'G-6 Hedgerow Data'!$B$3:$AG$15,31,FALSE))</f>
        <v/>
      </c>
      <c r="T154" s="298" t="str">
        <f t="shared" si="15"/>
        <v/>
      </c>
      <c r="U154" s="298" t="str">
        <f t="shared" si="16"/>
        <v/>
      </c>
      <c r="V154" s="314" t="str">
        <f>IF(D154="","",VLOOKUP(S154,'G-3 Multipliers'!$P$3:$Q$6,2,FALSE))</f>
        <v/>
      </c>
      <c r="W154" s="317" t="str">
        <f t="shared" si="17"/>
        <v/>
      </c>
      <c r="X154" s="98"/>
      <c r="Y154" s="99"/>
      <c r="Z154" s="101"/>
      <c r="AG154" s="15" t="str">
        <f>IFERROR(INDEX('G-6 Hedgerow Data'!$BJ$3:$BJ$15,MATCH(D154,'G-6 Hedgerow Data'!$B$3:$B$15,0)),"")</f>
        <v/>
      </c>
    </row>
    <row r="155" spans="2:33" ht="14" x14ac:dyDescent="0.3">
      <c r="B155" s="92">
        <v>144</v>
      </c>
      <c r="C155" s="143"/>
      <c r="D155" s="138"/>
      <c r="E155" s="120"/>
      <c r="F155" s="335" t="str">
        <f>IF(D155="","",VLOOKUP(D155,'G-6 Hedgerow Data'!$B$2:$AG$15,2,FALSE))</f>
        <v/>
      </c>
      <c r="G155" s="291" t="str">
        <f>IF(D155="","",VLOOKUP(D155,'G-6 Hedgerow Data'!$B$2:$AG$15,3,FALSE))</f>
        <v/>
      </c>
      <c r="H155" s="95"/>
      <c r="I155" s="291" t="str">
        <f>IFERROR(IF(H155="","",IF(AND(D155="Non-native and ornamental hedgerow", H155&lt;&gt;"Poor"),"Not possible ▲", (VLOOKUP(H155,'G-1 All Habitats'!$Z$2:$AA$9,2,FALSE)))),"")</f>
        <v/>
      </c>
      <c r="J155" s="95"/>
      <c r="K155" s="310" t="str">
        <f>IF(J155="","",IF(VLOOKUP(J155,'G-3 Multipliers'!$L$3:$N$6,2,FALSE)=0,"Spatial Data Missing ⚠",VLOOKUP(J155,'G-3 Multipliers'!$L$3:$N$6,2,FALSE)))</f>
        <v/>
      </c>
      <c r="L155" s="296" t="str">
        <f>IF(J155="","",IF(VLOOKUP(J155,'G-3 Multipliers'!$L$3:$N$6,3,FALSE)=0,"Spatial Data Missing ⚠",VLOOKUP(J155,'G-3 Multipliers'!$L$3:$N$6,3,FALSE)))</f>
        <v/>
      </c>
      <c r="M155" s="290" t="str">
        <f>IF(OR(D155="",H155=""),"",(INDEX('G-6 Hedgerow Data'!$E$3:$I$15,MATCH(D155,'G-6 Hedgerow Data'!$B$3:$B$15,0),MATCH(H155,'G-6 Hedgerow Data'!$E$2:$I$2,0))))</f>
        <v/>
      </c>
      <c r="N155" s="138"/>
      <c r="O155" s="138"/>
      <c r="P155" s="298" t="str">
        <f t="shared" si="13"/>
        <v/>
      </c>
      <c r="Q155" s="311" t="str">
        <f t="shared" si="14"/>
        <v/>
      </c>
      <c r="R155" s="312" t="str">
        <f t="shared" si="12"/>
        <v/>
      </c>
      <c r="S155" s="325" t="str">
        <f>IF(D155="","",VLOOKUP(D155,'G-6 Hedgerow Data'!$B$3:$AG$15,31,FALSE))</f>
        <v/>
      </c>
      <c r="T155" s="298" t="str">
        <f t="shared" si="15"/>
        <v/>
      </c>
      <c r="U155" s="298" t="str">
        <f t="shared" si="16"/>
        <v/>
      </c>
      <c r="V155" s="314" t="str">
        <f>IF(D155="","",VLOOKUP(S155,'G-3 Multipliers'!$P$3:$Q$6,2,FALSE))</f>
        <v/>
      </c>
      <c r="W155" s="317" t="str">
        <f t="shared" si="17"/>
        <v/>
      </c>
      <c r="X155" s="98"/>
      <c r="Y155" s="99"/>
      <c r="Z155" s="101"/>
      <c r="AG155" s="15" t="str">
        <f>IFERROR(INDEX('G-6 Hedgerow Data'!$BJ$3:$BJ$15,MATCH(D155,'G-6 Hedgerow Data'!$B$3:$B$15,0)),"")</f>
        <v/>
      </c>
    </row>
    <row r="156" spans="2:33" ht="14" x14ac:dyDescent="0.3">
      <c r="B156" s="92">
        <v>145</v>
      </c>
      <c r="C156" s="143"/>
      <c r="D156" s="138"/>
      <c r="E156" s="120"/>
      <c r="F156" s="335" t="str">
        <f>IF(D156="","",VLOOKUP(D156,'G-6 Hedgerow Data'!$B$2:$AG$15,2,FALSE))</f>
        <v/>
      </c>
      <c r="G156" s="291" t="str">
        <f>IF(D156="","",VLOOKUP(D156,'G-6 Hedgerow Data'!$B$2:$AG$15,3,FALSE))</f>
        <v/>
      </c>
      <c r="H156" s="95"/>
      <c r="I156" s="291" t="str">
        <f>IFERROR(IF(H156="","",IF(AND(D156="Non-native and ornamental hedgerow", H156&lt;&gt;"Poor"),"Not possible ▲", (VLOOKUP(H156,'G-1 All Habitats'!$Z$2:$AA$9,2,FALSE)))),"")</f>
        <v/>
      </c>
      <c r="J156" s="95"/>
      <c r="K156" s="310" t="str">
        <f>IF(J156="","",IF(VLOOKUP(J156,'G-3 Multipliers'!$L$3:$N$6,2,FALSE)=0,"Spatial Data Missing ⚠",VLOOKUP(J156,'G-3 Multipliers'!$L$3:$N$6,2,FALSE)))</f>
        <v/>
      </c>
      <c r="L156" s="296" t="str">
        <f>IF(J156="","",IF(VLOOKUP(J156,'G-3 Multipliers'!$L$3:$N$6,3,FALSE)=0,"Spatial Data Missing ⚠",VLOOKUP(J156,'G-3 Multipliers'!$L$3:$N$6,3,FALSE)))</f>
        <v/>
      </c>
      <c r="M156" s="290" t="str">
        <f>IF(OR(D156="",H156=""),"",(INDEX('G-6 Hedgerow Data'!$E$3:$I$15,MATCH(D156,'G-6 Hedgerow Data'!$B$3:$B$15,0),MATCH(H156,'G-6 Hedgerow Data'!$E$2:$I$2,0))))</f>
        <v/>
      </c>
      <c r="N156" s="138"/>
      <c r="O156" s="138"/>
      <c r="P156" s="298" t="str">
        <f t="shared" si="13"/>
        <v/>
      </c>
      <c r="Q156" s="311" t="str">
        <f t="shared" si="14"/>
        <v/>
      </c>
      <c r="R156" s="312" t="str">
        <f t="shared" si="12"/>
        <v/>
      </c>
      <c r="S156" s="325" t="str">
        <f>IF(D156="","",VLOOKUP(D156,'G-6 Hedgerow Data'!$B$3:$AG$15,31,FALSE))</f>
        <v/>
      </c>
      <c r="T156" s="298" t="str">
        <f t="shared" si="15"/>
        <v/>
      </c>
      <c r="U156" s="298" t="str">
        <f t="shared" si="16"/>
        <v/>
      </c>
      <c r="V156" s="314" t="str">
        <f>IF(D156="","",VLOOKUP(S156,'G-3 Multipliers'!$P$3:$Q$6,2,FALSE))</f>
        <v/>
      </c>
      <c r="W156" s="317" t="str">
        <f t="shared" si="17"/>
        <v/>
      </c>
      <c r="X156" s="98"/>
      <c r="Y156" s="99"/>
      <c r="Z156" s="101"/>
      <c r="AG156" s="15" t="str">
        <f>IFERROR(INDEX('G-6 Hedgerow Data'!$BJ$3:$BJ$15,MATCH(D156,'G-6 Hedgerow Data'!$B$3:$B$15,0)),"")</f>
        <v/>
      </c>
    </row>
    <row r="157" spans="2:33" ht="14" x14ac:dyDescent="0.3">
      <c r="B157" s="92">
        <v>146</v>
      </c>
      <c r="C157" s="143"/>
      <c r="D157" s="138"/>
      <c r="E157" s="120"/>
      <c r="F157" s="335" t="str">
        <f>IF(D157="","",VLOOKUP(D157,'G-6 Hedgerow Data'!$B$2:$AG$15,2,FALSE))</f>
        <v/>
      </c>
      <c r="G157" s="291" t="str">
        <f>IF(D157="","",VLOOKUP(D157,'G-6 Hedgerow Data'!$B$2:$AG$15,3,FALSE))</f>
        <v/>
      </c>
      <c r="H157" s="95"/>
      <c r="I157" s="291" t="str">
        <f>IFERROR(IF(H157="","",IF(AND(D157="Non-native and ornamental hedgerow", H157&lt;&gt;"Poor"),"Not possible ▲", (VLOOKUP(H157,'G-1 All Habitats'!$Z$2:$AA$9,2,FALSE)))),"")</f>
        <v/>
      </c>
      <c r="J157" s="95"/>
      <c r="K157" s="310" t="str">
        <f>IF(J157="","",IF(VLOOKUP(J157,'G-3 Multipliers'!$L$3:$N$6,2,FALSE)=0,"Spatial Data Missing ⚠",VLOOKUP(J157,'G-3 Multipliers'!$L$3:$N$6,2,FALSE)))</f>
        <v/>
      </c>
      <c r="L157" s="296" t="str">
        <f>IF(J157="","",IF(VLOOKUP(J157,'G-3 Multipliers'!$L$3:$N$6,3,FALSE)=0,"Spatial Data Missing ⚠",VLOOKUP(J157,'G-3 Multipliers'!$L$3:$N$6,3,FALSE)))</f>
        <v/>
      </c>
      <c r="M157" s="290" t="str">
        <f>IF(OR(D157="",H157=""),"",(INDEX('G-6 Hedgerow Data'!$E$3:$I$15,MATCH(D157,'G-6 Hedgerow Data'!$B$3:$B$15,0),MATCH(H157,'G-6 Hedgerow Data'!$E$2:$I$2,0))))</f>
        <v/>
      </c>
      <c r="N157" s="138"/>
      <c r="O157" s="138"/>
      <c r="P157" s="298" t="str">
        <f t="shared" si="13"/>
        <v/>
      </c>
      <c r="Q157" s="311" t="str">
        <f t="shared" si="14"/>
        <v/>
      </c>
      <c r="R157" s="312" t="str">
        <f t="shared" si="12"/>
        <v/>
      </c>
      <c r="S157" s="325" t="str">
        <f>IF(D157="","",VLOOKUP(D157,'G-6 Hedgerow Data'!$B$3:$AG$15,31,FALSE))</f>
        <v/>
      </c>
      <c r="T157" s="298" t="str">
        <f t="shared" si="15"/>
        <v/>
      </c>
      <c r="U157" s="298" t="str">
        <f t="shared" si="16"/>
        <v/>
      </c>
      <c r="V157" s="314" t="str">
        <f>IF(D157="","",VLOOKUP(S157,'G-3 Multipliers'!$P$3:$Q$6,2,FALSE))</f>
        <v/>
      </c>
      <c r="W157" s="317" t="str">
        <f t="shared" si="17"/>
        <v/>
      </c>
      <c r="X157" s="98"/>
      <c r="Y157" s="99"/>
      <c r="Z157" s="101"/>
      <c r="AG157" s="15" t="str">
        <f>IFERROR(INDEX('G-6 Hedgerow Data'!$BJ$3:$BJ$15,MATCH(D157,'G-6 Hedgerow Data'!$B$3:$B$15,0)),"")</f>
        <v/>
      </c>
    </row>
    <row r="158" spans="2:33" ht="14" x14ac:dyDescent="0.3">
      <c r="B158" s="92">
        <v>147</v>
      </c>
      <c r="C158" s="143"/>
      <c r="D158" s="138"/>
      <c r="E158" s="120"/>
      <c r="F158" s="335" t="str">
        <f>IF(D158="","",VLOOKUP(D158,'G-6 Hedgerow Data'!$B$2:$AG$15,2,FALSE))</f>
        <v/>
      </c>
      <c r="G158" s="291" t="str">
        <f>IF(D158="","",VLOOKUP(D158,'G-6 Hedgerow Data'!$B$2:$AG$15,3,FALSE))</f>
        <v/>
      </c>
      <c r="H158" s="95"/>
      <c r="I158" s="291" t="str">
        <f>IFERROR(IF(H158="","",IF(AND(D158="Non-native and ornamental hedgerow", H158&lt;&gt;"Poor"),"Not possible ▲", (VLOOKUP(H158,'G-1 All Habitats'!$Z$2:$AA$9,2,FALSE)))),"")</f>
        <v/>
      </c>
      <c r="J158" s="95"/>
      <c r="K158" s="310" t="str">
        <f>IF(J158="","",IF(VLOOKUP(J158,'G-3 Multipliers'!$L$3:$N$6,2,FALSE)=0,"Spatial Data Missing ⚠",VLOOKUP(J158,'G-3 Multipliers'!$L$3:$N$6,2,FALSE)))</f>
        <v/>
      </c>
      <c r="L158" s="296" t="str">
        <f>IF(J158="","",IF(VLOOKUP(J158,'G-3 Multipliers'!$L$3:$N$6,3,FALSE)=0,"Spatial Data Missing ⚠",VLOOKUP(J158,'G-3 Multipliers'!$L$3:$N$6,3,FALSE)))</f>
        <v/>
      </c>
      <c r="M158" s="290" t="str">
        <f>IF(OR(D158="",H158=""),"",(INDEX('G-6 Hedgerow Data'!$E$3:$I$15,MATCH(D158,'G-6 Hedgerow Data'!$B$3:$B$15,0),MATCH(H158,'G-6 Hedgerow Data'!$E$2:$I$2,0))))</f>
        <v/>
      </c>
      <c r="N158" s="138"/>
      <c r="O158" s="138"/>
      <c r="P158" s="298" t="str">
        <f t="shared" si="13"/>
        <v/>
      </c>
      <c r="Q158" s="311" t="str">
        <f t="shared" si="14"/>
        <v/>
      </c>
      <c r="R158" s="312" t="str">
        <f t="shared" si="12"/>
        <v/>
      </c>
      <c r="S158" s="325" t="str">
        <f>IF(D158="","",VLOOKUP(D158,'G-6 Hedgerow Data'!$B$3:$AG$15,31,FALSE))</f>
        <v/>
      </c>
      <c r="T158" s="298" t="str">
        <f t="shared" si="15"/>
        <v/>
      </c>
      <c r="U158" s="298" t="str">
        <f t="shared" si="16"/>
        <v/>
      </c>
      <c r="V158" s="314" t="str">
        <f>IF(D158="","",VLOOKUP(S158,'G-3 Multipliers'!$P$3:$Q$6,2,FALSE))</f>
        <v/>
      </c>
      <c r="W158" s="317" t="str">
        <f t="shared" si="17"/>
        <v/>
      </c>
      <c r="X158" s="98"/>
      <c r="Y158" s="99"/>
      <c r="Z158" s="101"/>
      <c r="AG158" s="15" t="str">
        <f>IFERROR(INDEX('G-6 Hedgerow Data'!$BJ$3:$BJ$15,MATCH(D158,'G-6 Hedgerow Data'!$B$3:$B$15,0)),"")</f>
        <v/>
      </c>
    </row>
    <row r="159" spans="2:33" ht="14" x14ac:dyDescent="0.3">
      <c r="B159" s="92">
        <v>148</v>
      </c>
      <c r="C159" s="143"/>
      <c r="D159" s="138"/>
      <c r="E159" s="120"/>
      <c r="F159" s="335" t="str">
        <f>IF(D159="","",VLOOKUP(D159,'G-6 Hedgerow Data'!$B$2:$AG$15,2,FALSE))</f>
        <v/>
      </c>
      <c r="G159" s="291" t="str">
        <f>IF(D159="","",VLOOKUP(D159,'G-6 Hedgerow Data'!$B$2:$AG$15,3,FALSE))</f>
        <v/>
      </c>
      <c r="H159" s="95"/>
      <c r="I159" s="291" t="str">
        <f>IFERROR(IF(H159="","",IF(AND(D159="Non-native and ornamental hedgerow", H159&lt;&gt;"Poor"),"Not possible ▲", (VLOOKUP(H159,'G-1 All Habitats'!$Z$2:$AA$9,2,FALSE)))),"")</f>
        <v/>
      </c>
      <c r="J159" s="95"/>
      <c r="K159" s="310" t="str">
        <f>IF(J159="","",IF(VLOOKUP(J159,'G-3 Multipliers'!$L$3:$N$6,2,FALSE)=0,"Spatial Data Missing ⚠",VLOOKUP(J159,'G-3 Multipliers'!$L$3:$N$6,2,FALSE)))</f>
        <v/>
      </c>
      <c r="L159" s="296" t="str">
        <f>IF(J159="","",IF(VLOOKUP(J159,'G-3 Multipliers'!$L$3:$N$6,3,FALSE)=0,"Spatial Data Missing ⚠",VLOOKUP(J159,'G-3 Multipliers'!$L$3:$N$6,3,FALSE)))</f>
        <v/>
      </c>
      <c r="M159" s="290" t="str">
        <f>IF(OR(D159="",H159=""),"",(INDEX('G-6 Hedgerow Data'!$E$3:$I$15,MATCH(D159,'G-6 Hedgerow Data'!$B$3:$B$15,0),MATCH(H159,'G-6 Hedgerow Data'!$E$2:$I$2,0))))</f>
        <v/>
      </c>
      <c r="N159" s="138"/>
      <c r="O159" s="138"/>
      <c r="P159" s="298" t="str">
        <f t="shared" si="13"/>
        <v/>
      </c>
      <c r="Q159" s="311" t="str">
        <f t="shared" si="14"/>
        <v/>
      </c>
      <c r="R159" s="312" t="str">
        <f t="shared" si="12"/>
        <v/>
      </c>
      <c r="S159" s="325" t="str">
        <f>IF(D159="","",VLOOKUP(D159,'G-6 Hedgerow Data'!$B$3:$AG$15,31,FALSE))</f>
        <v/>
      </c>
      <c r="T159" s="298" t="str">
        <f t="shared" si="15"/>
        <v/>
      </c>
      <c r="U159" s="298" t="str">
        <f t="shared" si="16"/>
        <v/>
      </c>
      <c r="V159" s="314" t="str">
        <f>IF(D159="","",VLOOKUP(S159,'G-3 Multipliers'!$P$3:$Q$6,2,FALSE))</f>
        <v/>
      </c>
      <c r="W159" s="317" t="str">
        <f t="shared" si="17"/>
        <v/>
      </c>
      <c r="X159" s="98"/>
      <c r="Y159" s="99"/>
      <c r="Z159" s="101"/>
      <c r="AG159" s="15" t="str">
        <f>IFERROR(INDEX('G-6 Hedgerow Data'!$BJ$3:$BJ$15,MATCH(D159,'G-6 Hedgerow Data'!$B$3:$B$15,0)),"")</f>
        <v/>
      </c>
    </row>
    <row r="160" spans="2:33" ht="14" x14ac:dyDescent="0.3">
      <c r="B160" s="92">
        <v>149</v>
      </c>
      <c r="C160" s="143"/>
      <c r="D160" s="138"/>
      <c r="E160" s="120"/>
      <c r="F160" s="335" t="str">
        <f>IF(D160="","",VLOOKUP(D160,'G-6 Hedgerow Data'!$B$2:$AG$15,2,FALSE))</f>
        <v/>
      </c>
      <c r="G160" s="291" t="str">
        <f>IF(D160="","",VLOOKUP(D160,'G-6 Hedgerow Data'!$B$2:$AG$15,3,FALSE))</f>
        <v/>
      </c>
      <c r="H160" s="95"/>
      <c r="I160" s="291" t="str">
        <f>IFERROR(IF(H160="","",IF(AND(D160="Non-native and ornamental hedgerow", H160&lt;&gt;"Poor"),"Not possible ▲", (VLOOKUP(H160,'G-1 All Habitats'!$Z$2:$AA$9,2,FALSE)))),"")</f>
        <v/>
      </c>
      <c r="J160" s="95"/>
      <c r="K160" s="310" t="str">
        <f>IF(J160="","",IF(VLOOKUP(J160,'G-3 Multipliers'!$L$3:$N$6,2,FALSE)=0,"Spatial Data Missing ⚠",VLOOKUP(J160,'G-3 Multipliers'!$L$3:$N$6,2,FALSE)))</f>
        <v/>
      </c>
      <c r="L160" s="296" t="str">
        <f>IF(J160="","",IF(VLOOKUP(J160,'G-3 Multipliers'!$L$3:$N$6,3,FALSE)=0,"Spatial Data Missing ⚠",VLOOKUP(J160,'G-3 Multipliers'!$L$3:$N$6,3,FALSE)))</f>
        <v/>
      </c>
      <c r="M160" s="290" t="str">
        <f>IF(OR(D160="",H160=""),"",(INDEX('G-6 Hedgerow Data'!$E$3:$I$15,MATCH(D160,'G-6 Hedgerow Data'!$B$3:$B$15,0),MATCH(H160,'G-6 Hedgerow Data'!$E$2:$I$2,0))))</f>
        <v/>
      </c>
      <c r="N160" s="138"/>
      <c r="O160" s="138"/>
      <c r="P160" s="298" t="str">
        <f t="shared" si="13"/>
        <v/>
      </c>
      <c r="Q160" s="311" t="str">
        <f t="shared" si="14"/>
        <v/>
      </c>
      <c r="R160" s="312" t="str">
        <f t="shared" si="12"/>
        <v/>
      </c>
      <c r="S160" s="325" t="str">
        <f>IF(D160="","",VLOOKUP(D160,'G-6 Hedgerow Data'!$B$3:$AG$15,31,FALSE))</f>
        <v/>
      </c>
      <c r="T160" s="298" t="str">
        <f t="shared" si="15"/>
        <v/>
      </c>
      <c r="U160" s="298" t="str">
        <f t="shared" si="16"/>
        <v/>
      </c>
      <c r="V160" s="314" t="str">
        <f>IF(D160="","",VLOOKUP(S160,'G-3 Multipliers'!$P$3:$Q$6,2,FALSE))</f>
        <v/>
      </c>
      <c r="W160" s="317" t="str">
        <f t="shared" si="17"/>
        <v/>
      </c>
      <c r="X160" s="98"/>
      <c r="Y160" s="99"/>
      <c r="Z160" s="101"/>
      <c r="AG160" s="15" t="str">
        <f>IFERROR(INDEX('G-6 Hedgerow Data'!$BJ$3:$BJ$15,MATCH(D160,'G-6 Hedgerow Data'!$B$3:$B$15,0)),"")</f>
        <v/>
      </c>
    </row>
    <row r="161" spans="2:33" ht="14" x14ac:dyDescent="0.3">
      <c r="B161" s="92">
        <v>150</v>
      </c>
      <c r="C161" s="143"/>
      <c r="D161" s="138"/>
      <c r="E161" s="120"/>
      <c r="F161" s="335" t="str">
        <f>IF(D161="","",VLOOKUP(D161,'G-6 Hedgerow Data'!$B$2:$AG$15,2,FALSE))</f>
        <v/>
      </c>
      <c r="G161" s="291" t="str">
        <f>IF(D161="","",VLOOKUP(D161,'G-6 Hedgerow Data'!$B$2:$AG$15,3,FALSE))</f>
        <v/>
      </c>
      <c r="H161" s="95"/>
      <c r="I161" s="291" t="str">
        <f>IFERROR(IF(H161="","",IF(AND(D161="Non-native and ornamental hedgerow", H161&lt;&gt;"Poor"),"Not possible ▲", (VLOOKUP(H161,'G-1 All Habitats'!$Z$2:$AA$9,2,FALSE)))),"")</f>
        <v/>
      </c>
      <c r="J161" s="95"/>
      <c r="K161" s="310" t="str">
        <f>IF(J161="","",IF(VLOOKUP(J161,'G-3 Multipliers'!$L$3:$N$6,2,FALSE)=0,"Spatial Data Missing ⚠",VLOOKUP(J161,'G-3 Multipliers'!$L$3:$N$6,2,FALSE)))</f>
        <v/>
      </c>
      <c r="L161" s="296" t="str">
        <f>IF(J161="","",IF(VLOOKUP(J161,'G-3 Multipliers'!$L$3:$N$6,3,FALSE)=0,"Spatial Data Missing ⚠",VLOOKUP(J161,'G-3 Multipliers'!$L$3:$N$6,3,FALSE)))</f>
        <v/>
      </c>
      <c r="M161" s="290" t="str">
        <f>IF(OR(D161="",H161=""),"",(INDEX('G-6 Hedgerow Data'!$E$3:$I$15,MATCH(D161,'G-6 Hedgerow Data'!$B$3:$B$15,0),MATCH(H161,'G-6 Hedgerow Data'!$E$2:$I$2,0))))</f>
        <v/>
      </c>
      <c r="N161" s="138"/>
      <c r="O161" s="138"/>
      <c r="P161" s="298" t="str">
        <f t="shared" si="13"/>
        <v/>
      </c>
      <c r="Q161" s="311" t="str">
        <f t="shared" si="14"/>
        <v/>
      </c>
      <c r="R161" s="312" t="str">
        <f t="shared" si="12"/>
        <v/>
      </c>
      <c r="S161" s="325" t="str">
        <f>IF(D161="","",VLOOKUP(D161,'G-6 Hedgerow Data'!$B$3:$AG$15,31,FALSE))</f>
        <v/>
      </c>
      <c r="T161" s="298" t="str">
        <f t="shared" si="15"/>
        <v/>
      </c>
      <c r="U161" s="298" t="str">
        <f t="shared" si="16"/>
        <v/>
      </c>
      <c r="V161" s="314" t="str">
        <f>IF(D161="","",VLOOKUP(S161,'G-3 Multipliers'!$P$3:$Q$6,2,FALSE))</f>
        <v/>
      </c>
      <c r="W161" s="317" t="str">
        <f t="shared" si="17"/>
        <v/>
      </c>
      <c r="X161" s="98"/>
      <c r="Y161" s="99"/>
      <c r="Z161" s="101"/>
      <c r="AG161" s="15" t="str">
        <f>IFERROR(INDEX('G-6 Hedgerow Data'!$BJ$3:$BJ$15,MATCH(D161,'G-6 Hedgerow Data'!$B$3:$B$15,0)),"")</f>
        <v/>
      </c>
    </row>
    <row r="162" spans="2:33" ht="14" x14ac:dyDescent="0.3">
      <c r="B162" s="92">
        <v>151</v>
      </c>
      <c r="C162" s="143"/>
      <c r="D162" s="138"/>
      <c r="E162" s="120"/>
      <c r="F162" s="335" t="str">
        <f>IF(D162="","",VLOOKUP(D162,'G-6 Hedgerow Data'!$B$2:$AG$15,2,FALSE))</f>
        <v/>
      </c>
      <c r="G162" s="291" t="str">
        <f>IF(D162="","",VLOOKUP(D162,'G-6 Hedgerow Data'!$B$2:$AG$15,3,FALSE))</f>
        <v/>
      </c>
      <c r="H162" s="95"/>
      <c r="I162" s="291" t="str">
        <f>IFERROR(IF(H162="","",IF(AND(D162="Non-native and ornamental hedgerow", H162&lt;&gt;"Poor"),"Not possible ▲", (VLOOKUP(H162,'G-1 All Habitats'!$Z$2:$AA$9,2,FALSE)))),"")</f>
        <v/>
      </c>
      <c r="J162" s="95"/>
      <c r="K162" s="310" t="str">
        <f>IF(J162="","",IF(VLOOKUP(J162,'G-3 Multipliers'!$L$3:$N$6,2,FALSE)=0,"Spatial Data Missing ⚠",VLOOKUP(J162,'G-3 Multipliers'!$L$3:$N$6,2,FALSE)))</f>
        <v/>
      </c>
      <c r="L162" s="296" t="str">
        <f>IF(J162="","",IF(VLOOKUP(J162,'G-3 Multipliers'!$L$3:$N$6,3,FALSE)=0,"Spatial Data Missing ⚠",VLOOKUP(J162,'G-3 Multipliers'!$L$3:$N$6,3,FALSE)))</f>
        <v/>
      </c>
      <c r="M162" s="290" t="str">
        <f>IF(OR(D162="",H162=""),"",(INDEX('G-6 Hedgerow Data'!$E$3:$I$15,MATCH(D162,'G-6 Hedgerow Data'!$B$3:$B$15,0),MATCH(H162,'G-6 Hedgerow Data'!$E$2:$I$2,0))))</f>
        <v/>
      </c>
      <c r="N162" s="138"/>
      <c r="O162" s="138"/>
      <c r="P162" s="298" t="str">
        <f t="shared" si="13"/>
        <v/>
      </c>
      <c r="Q162" s="311" t="str">
        <f t="shared" si="14"/>
        <v/>
      </c>
      <c r="R162" s="312" t="str">
        <f t="shared" si="12"/>
        <v/>
      </c>
      <c r="S162" s="325" t="str">
        <f>IF(D162="","",VLOOKUP(D162,'G-6 Hedgerow Data'!$B$3:$AG$15,31,FALSE))</f>
        <v/>
      </c>
      <c r="T162" s="298" t="str">
        <f t="shared" si="15"/>
        <v/>
      </c>
      <c r="U162" s="298" t="str">
        <f t="shared" si="16"/>
        <v/>
      </c>
      <c r="V162" s="314" t="str">
        <f>IF(D162="","",VLOOKUP(S162,'G-3 Multipliers'!$P$3:$Q$6,2,FALSE))</f>
        <v/>
      </c>
      <c r="W162" s="317" t="str">
        <f t="shared" si="17"/>
        <v/>
      </c>
      <c r="X162" s="98"/>
      <c r="Y162" s="99"/>
      <c r="Z162" s="101"/>
      <c r="AG162" s="15" t="str">
        <f>IFERROR(INDEX('G-6 Hedgerow Data'!$BJ$3:$BJ$15,MATCH(D162,'G-6 Hedgerow Data'!$B$3:$B$15,0)),"")</f>
        <v/>
      </c>
    </row>
    <row r="163" spans="2:33" ht="14" x14ac:dyDescent="0.3">
      <c r="B163" s="92">
        <v>152</v>
      </c>
      <c r="C163" s="143"/>
      <c r="D163" s="138"/>
      <c r="E163" s="120"/>
      <c r="F163" s="335" t="str">
        <f>IF(D163="","",VLOOKUP(D163,'G-6 Hedgerow Data'!$B$2:$AG$15,2,FALSE))</f>
        <v/>
      </c>
      <c r="G163" s="291" t="str">
        <f>IF(D163="","",VLOOKUP(D163,'G-6 Hedgerow Data'!$B$2:$AG$15,3,FALSE))</f>
        <v/>
      </c>
      <c r="H163" s="95"/>
      <c r="I163" s="291" t="str">
        <f>IFERROR(IF(H163="","",IF(AND(D163="Non-native and ornamental hedgerow", H163&lt;&gt;"Poor"),"Not possible ▲", (VLOOKUP(H163,'G-1 All Habitats'!$Z$2:$AA$9,2,FALSE)))),"")</f>
        <v/>
      </c>
      <c r="J163" s="95"/>
      <c r="K163" s="310" t="str">
        <f>IF(J163="","",IF(VLOOKUP(J163,'G-3 Multipliers'!$L$3:$N$6,2,FALSE)=0,"Spatial Data Missing ⚠",VLOOKUP(J163,'G-3 Multipliers'!$L$3:$N$6,2,FALSE)))</f>
        <v/>
      </c>
      <c r="L163" s="296" t="str">
        <f>IF(J163="","",IF(VLOOKUP(J163,'G-3 Multipliers'!$L$3:$N$6,3,FALSE)=0,"Spatial Data Missing ⚠",VLOOKUP(J163,'G-3 Multipliers'!$L$3:$N$6,3,FALSE)))</f>
        <v/>
      </c>
      <c r="M163" s="290" t="str">
        <f>IF(OR(D163="",H163=""),"",(INDEX('G-6 Hedgerow Data'!$E$3:$I$15,MATCH(D163,'G-6 Hedgerow Data'!$B$3:$B$15,0),MATCH(H163,'G-6 Hedgerow Data'!$E$2:$I$2,0))))</f>
        <v/>
      </c>
      <c r="N163" s="138"/>
      <c r="O163" s="138"/>
      <c r="P163" s="298" t="str">
        <f t="shared" si="13"/>
        <v/>
      </c>
      <c r="Q163" s="311" t="str">
        <f t="shared" si="14"/>
        <v/>
      </c>
      <c r="R163" s="312" t="str">
        <f t="shared" si="12"/>
        <v/>
      </c>
      <c r="S163" s="325" t="str">
        <f>IF(D163="","",VLOOKUP(D163,'G-6 Hedgerow Data'!$B$3:$AG$15,31,FALSE))</f>
        <v/>
      </c>
      <c r="T163" s="298" t="str">
        <f t="shared" si="15"/>
        <v/>
      </c>
      <c r="U163" s="298" t="str">
        <f t="shared" si="16"/>
        <v/>
      </c>
      <c r="V163" s="314" t="str">
        <f>IF(D163="","",VLOOKUP(S163,'G-3 Multipliers'!$P$3:$Q$6,2,FALSE))</f>
        <v/>
      </c>
      <c r="W163" s="317" t="str">
        <f t="shared" si="17"/>
        <v/>
      </c>
      <c r="X163" s="98"/>
      <c r="Y163" s="99"/>
      <c r="Z163" s="101"/>
      <c r="AG163" s="15" t="str">
        <f>IFERROR(INDEX('G-6 Hedgerow Data'!$BJ$3:$BJ$15,MATCH(D163,'G-6 Hedgerow Data'!$B$3:$B$15,0)),"")</f>
        <v/>
      </c>
    </row>
    <row r="164" spans="2:33" ht="14" x14ac:dyDescent="0.3">
      <c r="B164" s="92">
        <v>153</v>
      </c>
      <c r="C164" s="143"/>
      <c r="D164" s="138"/>
      <c r="E164" s="120"/>
      <c r="F164" s="335" t="str">
        <f>IF(D164="","",VLOOKUP(D164,'G-6 Hedgerow Data'!$B$2:$AG$15,2,FALSE))</f>
        <v/>
      </c>
      <c r="G164" s="291" t="str">
        <f>IF(D164="","",VLOOKUP(D164,'G-6 Hedgerow Data'!$B$2:$AG$15,3,FALSE))</f>
        <v/>
      </c>
      <c r="H164" s="95"/>
      <c r="I164" s="291" t="str">
        <f>IFERROR(IF(H164="","",IF(AND(D164="Non-native and ornamental hedgerow", H164&lt;&gt;"Poor"),"Not possible ▲", (VLOOKUP(H164,'G-1 All Habitats'!$Z$2:$AA$9,2,FALSE)))),"")</f>
        <v/>
      </c>
      <c r="J164" s="95"/>
      <c r="K164" s="310" t="str">
        <f>IF(J164="","",IF(VLOOKUP(J164,'G-3 Multipliers'!$L$3:$N$6,2,FALSE)=0,"Spatial Data Missing ⚠",VLOOKUP(J164,'G-3 Multipliers'!$L$3:$N$6,2,FALSE)))</f>
        <v/>
      </c>
      <c r="L164" s="296" t="str">
        <f>IF(J164="","",IF(VLOOKUP(J164,'G-3 Multipliers'!$L$3:$N$6,3,FALSE)=0,"Spatial Data Missing ⚠",VLOOKUP(J164,'G-3 Multipliers'!$L$3:$N$6,3,FALSE)))</f>
        <v/>
      </c>
      <c r="M164" s="290" t="str">
        <f>IF(OR(D164="",H164=""),"",(INDEX('G-6 Hedgerow Data'!$E$3:$I$15,MATCH(D164,'G-6 Hedgerow Data'!$B$3:$B$15,0),MATCH(H164,'G-6 Hedgerow Data'!$E$2:$I$2,0))))</f>
        <v/>
      </c>
      <c r="N164" s="138"/>
      <c r="O164" s="138"/>
      <c r="P164" s="298" t="str">
        <f t="shared" si="13"/>
        <v/>
      </c>
      <c r="Q164" s="311" t="str">
        <f t="shared" si="14"/>
        <v/>
      </c>
      <c r="R164" s="312" t="str">
        <f t="shared" si="12"/>
        <v/>
      </c>
      <c r="S164" s="325" t="str">
        <f>IF(D164="","",VLOOKUP(D164,'G-6 Hedgerow Data'!$B$3:$AG$15,31,FALSE))</f>
        <v/>
      </c>
      <c r="T164" s="298" t="str">
        <f t="shared" si="15"/>
        <v/>
      </c>
      <c r="U164" s="298" t="str">
        <f t="shared" si="16"/>
        <v/>
      </c>
      <c r="V164" s="314" t="str">
        <f>IF(D164="","",VLOOKUP(S164,'G-3 Multipliers'!$P$3:$Q$6,2,FALSE))</f>
        <v/>
      </c>
      <c r="W164" s="317" t="str">
        <f t="shared" si="17"/>
        <v/>
      </c>
      <c r="X164" s="98"/>
      <c r="Y164" s="99"/>
      <c r="Z164" s="101"/>
      <c r="AG164" s="15" t="str">
        <f>IFERROR(INDEX('G-6 Hedgerow Data'!$BJ$3:$BJ$15,MATCH(D164,'G-6 Hedgerow Data'!$B$3:$B$15,0)),"")</f>
        <v/>
      </c>
    </row>
    <row r="165" spans="2:33" ht="14" x14ac:dyDescent="0.3">
      <c r="B165" s="92">
        <v>154</v>
      </c>
      <c r="C165" s="143"/>
      <c r="D165" s="138"/>
      <c r="E165" s="120"/>
      <c r="F165" s="335" t="str">
        <f>IF(D165="","",VLOOKUP(D165,'G-6 Hedgerow Data'!$B$2:$AG$15,2,FALSE))</f>
        <v/>
      </c>
      <c r="G165" s="291" t="str">
        <f>IF(D165="","",VLOOKUP(D165,'G-6 Hedgerow Data'!$B$2:$AG$15,3,FALSE))</f>
        <v/>
      </c>
      <c r="H165" s="95"/>
      <c r="I165" s="291" t="str">
        <f>IFERROR(IF(H165="","",IF(AND(D165="Non-native and ornamental hedgerow", H165&lt;&gt;"Poor"),"Not possible ▲", (VLOOKUP(H165,'G-1 All Habitats'!$Z$2:$AA$9,2,FALSE)))),"")</f>
        <v/>
      </c>
      <c r="J165" s="95"/>
      <c r="K165" s="310" t="str">
        <f>IF(J165="","",IF(VLOOKUP(J165,'G-3 Multipliers'!$L$3:$N$6,2,FALSE)=0,"Spatial Data Missing ⚠",VLOOKUP(J165,'G-3 Multipliers'!$L$3:$N$6,2,FALSE)))</f>
        <v/>
      </c>
      <c r="L165" s="296" t="str">
        <f>IF(J165="","",IF(VLOOKUP(J165,'G-3 Multipliers'!$L$3:$N$6,3,FALSE)=0,"Spatial Data Missing ⚠",VLOOKUP(J165,'G-3 Multipliers'!$L$3:$N$6,3,FALSE)))</f>
        <v/>
      </c>
      <c r="M165" s="290" t="str">
        <f>IF(OR(D165="",H165=""),"",(INDEX('G-6 Hedgerow Data'!$E$3:$I$15,MATCH(D165,'G-6 Hedgerow Data'!$B$3:$B$15,0),MATCH(H165,'G-6 Hedgerow Data'!$E$2:$I$2,0))))</f>
        <v/>
      </c>
      <c r="N165" s="138"/>
      <c r="O165" s="138"/>
      <c r="P165" s="298" t="str">
        <f t="shared" si="13"/>
        <v/>
      </c>
      <c r="Q165" s="311" t="str">
        <f t="shared" si="14"/>
        <v/>
      </c>
      <c r="R165" s="312" t="str">
        <f t="shared" si="12"/>
        <v/>
      </c>
      <c r="S165" s="325" t="str">
        <f>IF(D165="","",VLOOKUP(D165,'G-6 Hedgerow Data'!$B$3:$AG$15,31,FALSE))</f>
        <v/>
      </c>
      <c r="T165" s="298" t="str">
        <f t="shared" si="15"/>
        <v/>
      </c>
      <c r="U165" s="298" t="str">
        <f t="shared" si="16"/>
        <v/>
      </c>
      <c r="V165" s="314" t="str">
        <f>IF(D165="","",VLOOKUP(S165,'G-3 Multipliers'!$P$3:$Q$6,2,FALSE))</f>
        <v/>
      </c>
      <c r="W165" s="317" t="str">
        <f t="shared" si="17"/>
        <v/>
      </c>
      <c r="X165" s="98"/>
      <c r="Y165" s="99"/>
      <c r="Z165" s="101"/>
      <c r="AG165" s="15" t="str">
        <f>IFERROR(INDEX('G-6 Hedgerow Data'!$BJ$3:$BJ$15,MATCH(D165,'G-6 Hedgerow Data'!$B$3:$B$15,0)),"")</f>
        <v/>
      </c>
    </row>
    <row r="166" spans="2:33" ht="14" x14ac:dyDescent="0.3">
      <c r="B166" s="92">
        <v>155</v>
      </c>
      <c r="C166" s="143"/>
      <c r="D166" s="138"/>
      <c r="E166" s="120"/>
      <c r="F166" s="335" t="str">
        <f>IF(D166="","",VLOOKUP(D166,'G-6 Hedgerow Data'!$B$2:$AG$15,2,FALSE))</f>
        <v/>
      </c>
      <c r="G166" s="291" t="str">
        <f>IF(D166="","",VLOOKUP(D166,'G-6 Hedgerow Data'!$B$2:$AG$15,3,FALSE))</f>
        <v/>
      </c>
      <c r="H166" s="95"/>
      <c r="I166" s="291" t="str">
        <f>IFERROR(IF(H166="","",IF(AND(D166="Non-native and ornamental hedgerow", H166&lt;&gt;"Poor"),"Not possible ▲", (VLOOKUP(H166,'G-1 All Habitats'!$Z$2:$AA$9,2,FALSE)))),"")</f>
        <v/>
      </c>
      <c r="J166" s="95"/>
      <c r="K166" s="310" t="str">
        <f>IF(J166="","",IF(VLOOKUP(J166,'G-3 Multipliers'!$L$3:$N$6,2,FALSE)=0,"Spatial Data Missing ⚠",VLOOKUP(J166,'G-3 Multipliers'!$L$3:$N$6,2,FALSE)))</f>
        <v/>
      </c>
      <c r="L166" s="296" t="str">
        <f>IF(J166="","",IF(VLOOKUP(J166,'G-3 Multipliers'!$L$3:$N$6,3,FALSE)=0,"Spatial Data Missing ⚠",VLOOKUP(J166,'G-3 Multipliers'!$L$3:$N$6,3,FALSE)))</f>
        <v/>
      </c>
      <c r="M166" s="290" t="str">
        <f>IF(OR(D166="",H166=""),"",(INDEX('G-6 Hedgerow Data'!$E$3:$I$15,MATCH(D166,'G-6 Hedgerow Data'!$B$3:$B$15,0),MATCH(H166,'G-6 Hedgerow Data'!$E$2:$I$2,0))))</f>
        <v/>
      </c>
      <c r="N166" s="138"/>
      <c r="O166" s="138"/>
      <c r="P166" s="298" t="str">
        <f t="shared" si="13"/>
        <v/>
      </c>
      <c r="Q166" s="311" t="str">
        <f t="shared" si="14"/>
        <v/>
      </c>
      <c r="R166" s="312" t="str">
        <f t="shared" si="12"/>
        <v/>
      </c>
      <c r="S166" s="325" t="str">
        <f>IF(D166="","",VLOOKUP(D166,'G-6 Hedgerow Data'!$B$3:$AG$15,31,FALSE))</f>
        <v/>
      </c>
      <c r="T166" s="298" t="str">
        <f t="shared" si="15"/>
        <v/>
      </c>
      <c r="U166" s="298" t="str">
        <f t="shared" si="16"/>
        <v/>
      </c>
      <c r="V166" s="314" t="str">
        <f>IF(D166="","",VLOOKUP(S166,'G-3 Multipliers'!$P$3:$Q$6,2,FALSE))</f>
        <v/>
      </c>
      <c r="W166" s="317" t="str">
        <f t="shared" si="17"/>
        <v/>
      </c>
      <c r="X166" s="98"/>
      <c r="Y166" s="99"/>
      <c r="Z166" s="101"/>
      <c r="AG166" s="15" t="str">
        <f>IFERROR(INDEX('G-6 Hedgerow Data'!$BJ$3:$BJ$15,MATCH(D166,'G-6 Hedgerow Data'!$B$3:$B$15,0)),"")</f>
        <v/>
      </c>
    </row>
    <row r="167" spans="2:33" ht="14" x14ac:dyDescent="0.3">
      <c r="B167" s="92">
        <v>156</v>
      </c>
      <c r="C167" s="143"/>
      <c r="D167" s="138"/>
      <c r="E167" s="120"/>
      <c r="F167" s="335" t="str">
        <f>IF(D167="","",VLOOKUP(D167,'G-6 Hedgerow Data'!$B$2:$AG$15,2,FALSE))</f>
        <v/>
      </c>
      <c r="G167" s="291" t="str">
        <f>IF(D167="","",VLOOKUP(D167,'G-6 Hedgerow Data'!$B$2:$AG$15,3,FALSE))</f>
        <v/>
      </c>
      <c r="H167" s="95"/>
      <c r="I167" s="291" t="str">
        <f>IFERROR(IF(H167="","",IF(AND(D167="Non-native and ornamental hedgerow", H167&lt;&gt;"Poor"),"Not possible ▲", (VLOOKUP(H167,'G-1 All Habitats'!$Z$2:$AA$9,2,FALSE)))),"")</f>
        <v/>
      </c>
      <c r="J167" s="95"/>
      <c r="K167" s="310" t="str">
        <f>IF(J167="","",IF(VLOOKUP(J167,'G-3 Multipliers'!$L$3:$N$6,2,FALSE)=0,"Spatial Data Missing ⚠",VLOOKUP(J167,'G-3 Multipliers'!$L$3:$N$6,2,FALSE)))</f>
        <v/>
      </c>
      <c r="L167" s="296" t="str">
        <f>IF(J167="","",IF(VLOOKUP(J167,'G-3 Multipliers'!$L$3:$N$6,3,FALSE)=0,"Spatial Data Missing ⚠",VLOOKUP(J167,'G-3 Multipliers'!$L$3:$N$6,3,FALSE)))</f>
        <v/>
      </c>
      <c r="M167" s="290" t="str">
        <f>IF(OR(D167="",H167=""),"",(INDEX('G-6 Hedgerow Data'!$E$3:$I$15,MATCH(D167,'G-6 Hedgerow Data'!$B$3:$B$15,0),MATCH(H167,'G-6 Hedgerow Data'!$E$2:$I$2,0))))</f>
        <v/>
      </c>
      <c r="N167" s="138"/>
      <c r="O167" s="138"/>
      <c r="P167" s="298" t="str">
        <f t="shared" si="13"/>
        <v/>
      </c>
      <c r="Q167" s="311" t="str">
        <f t="shared" si="14"/>
        <v/>
      </c>
      <c r="R167" s="312" t="str">
        <f t="shared" si="12"/>
        <v/>
      </c>
      <c r="S167" s="325" t="str">
        <f>IF(D167="","",VLOOKUP(D167,'G-6 Hedgerow Data'!$B$3:$AG$15,31,FALSE))</f>
        <v/>
      </c>
      <c r="T167" s="298" t="str">
        <f t="shared" si="15"/>
        <v/>
      </c>
      <c r="U167" s="298" t="str">
        <f t="shared" si="16"/>
        <v/>
      </c>
      <c r="V167" s="314" t="str">
        <f>IF(D167="","",VLOOKUP(S167,'G-3 Multipliers'!$P$3:$Q$6,2,FALSE))</f>
        <v/>
      </c>
      <c r="W167" s="317" t="str">
        <f t="shared" si="17"/>
        <v/>
      </c>
      <c r="X167" s="98"/>
      <c r="Y167" s="99"/>
      <c r="Z167" s="101"/>
      <c r="AG167" s="15" t="str">
        <f>IFERROR(INDEX('G-6 Hedgerow Data'!$BJ$3:$BJ$15,MATCH(D167,'G-6 Hedgerow Data'!$B$3:$B$15,0)),"")</f>
        <v/>
      </c>
    </row>
    <row r="168" spans="2:33" ht="14" x14ac:dyDescent="0.3">
      <c r="B168" s="92">
        <v>157</v>
      </c>
      <c r="C168" s="143"/>
      <c r="D168" s="138"/>
      <c r="E168" s="120"/>
      <c r="F168" s="335" t="str">
        <f>IF(D168="","",VLOOKUP(D168,'G-6 Hedgerow Data'!$B$2:$AG$15,2,FALSE))</f>
        <v/>
      </c>
      <c r="G168" s="291" t="str">
        <f>IF(D168="","",VLOOKUP(D168,'G-6 Hedgerow Data'!$B$2:$AG$15,3,FALSE))</f>
        <v/>
      </c>
      <c r="H168" s="95"/>
      <c r="I168" s="291" t="str">
        <f>IFERROR(IF(H168="","",IF(AND(D168="Non-native and ornamental hedgerow", H168&lt;&gt;"Poor"),"Not possible ▲", (VLOOKUP(H168,'G-1 All Habitats'!$Z$2:$AA$9,2,FALSE)))),"")</f>
        <v/>
      </c>
      <c r="J168" s="95"/>
      <c r="K168" s="310" t="str">
        <f>IF(J168="","",IF(VLOOKUP(J168,'G-3 Multipliers'!$L$3:$N$6,2,FALSE)=0,"Spatial Data Missing ⚠",VLOOKUP(J168,'G-3 Multipliers'!$L$3:$N$6,2,FALSE)))</f>
        <v/>
      </c>
      <c r="L168" s="296" t="str">
        <f>IF(J168="","",IF(VLOOKUP(J168,'G-3 Multipliers'!$L$3:$N$6,3,FALSE)=0,"Spatial Data Missing ⚠",VLOOKUP(J168,'G-3 Multipliers'!$L$3:$N$6,3,FALSE)))</f>
        <v/>
      </c>
      <c r="M168" s="290" t="str">
        <f>IF(OR(D168="",H168=""),"",(INDEX('G-6 Hedgerow Data'!$E$3:$I$15,MATCH(D168,'G-6 Hedgerow Data'!$B$3:$B$15,0),MATCH(H168,'G-6 Hedgerow Data'!$E$2:$I$2,0))))</f>
        <v/>
      </c>
      <c r="N168" s="138"/>
      <c r="O168" s="138"/>
      <c r="P168" s="298" t="str">
        <f t="shared" si="13"/>
        <v/>
      </c>
      <c r="Q168" s="311" t="str">
        <f t="shared" si="14"/>
        <v/>
      </c>
      <c r="R168" s="312" t="str">
        <f t="shared" si="12"/>
        <v/>
      </c>
      <c r="S168" s="325" t="str">
        <f>IF(D168="","",VLOOKUP(D168,'G-6 Hedgerow Data'!$B$3:$AG$15,31,FALSE))</f>
        <v/>
      </c>
      <c r="T168" s="298" t="str">
        <f t="shared" si="15"/>
        <v/>
      </c>
      <c r="U168" s="298" t="str">
        <f t="shared" si="16"/>
        <v/>
      </c>
      <c r="V168" s="314" t="str">
        <f>IF(D168="","",VLOOKUP(S168,'G-3 Multipliers'!$P$3:$Q$6,2,FALSE))</f>
        <v/>
      </c>
      <c r="W168" s="317" t="str">
        <f t="shared" si="17"/>
        <v/>
      </c>
      <c r="X168" s="98"/>
      <c r="Y168" s="99"/>
      <c r="Z168" s="101"/>
      <c r="AG168" s="15" t="str">
        <f>IFERROR(INDEX('G-6 Hedgerow Data'!$BJ$3:$BJ$15,MATCH(D168,'G-6 Hedgerow Data'!$B$3:$B$15,0)),"")</f>
        <v/>
      </c>
    </row>
    <row r="169" spans="2:33" ht="14" x14ac:dyDescent="0.3">
      <c r="B169" s="92">
        <v>158</v>
      </c>
      <c r="C169" s="143"/>
      <c r="D169" s="138"/>
      <c r="E169" s="120"/>
      <c r="F169" s="335" t="str">
        <f>IF(D169="","",VLOOKUP(D169,'G-6 Hedgerow Data'!$B$2:$AG$15,2,FALSE))</f>
        <v/>
      </c>
      <c r="G169" s="291" t="str">
        <f>IF(D169="","",VLOOKUP(D169,'G-6 Hedgerow Data'!$B$2:$AG$15,3,FALSE))</f>
        <v/>
      </c>
      <c r="H169" s="95"/>
      <c r="I169" s="291" t="str">
        <f>IFERROR(IF(H169="","",IF(AND(D169="Non-native and ornamental hedgerow", H169&lt;&gt;"Poor"),"Not possible ▲", (VLOOKUP(H169,'G-1 All Habitats'!$Z$2:$AA$9,2,FALSE)))),"")</f>
        <v/>
      </c>
      <c r="J169" s="95"/>
      <c r="K169" s="310" t="str">
        <f>IF(J169="","",IF(VLOOKUP(J169,'G-3 Multipliers'!$L$3:$N$6,2,FALSE)=0,"Spatial Data Missing ⚠",VLOOKUP(J169,'G-3 Multipliers'!$L$3:$N$6,2,FALSE)))</f>
        <v/>
      </c>
      <c r="L169" s="296" t="str">
        <f>IF(J169="","",IF(VLOOKUP(J169,'G-3 Multipliers'!$L$3:$N$6,3,FALSE)=0,"Spatial Data Missing ⚠",VLOOKUP(J169,'G-3 Multipliers'!$L$3:$N$6,3,FALSE)))</f>
        <v/>
      </c>
      <c r="M169" s="290" t="str">
        <f>IF(OR(D169="",H169=""),"",(INDEX('G-6 Hedgerow Data'!$E$3:$I$15,MATCH(D169,'G-6 Hedgerow Data'!$B$3:$B$15,0),MATCH(H169,'G-6 Hedgerow Data'!$E$2:$I$2,0))))</f>
        <v/>
      </c>
      <c r="N169" s="138"/>
      <c r="O169" s="138"/>
      <c r="P169" s="298" t="str">
        <f t="shared" si="13"/>
        <v/>
      </c>
      <c r="Q169" s="311" t="str">
        <f t="shared" si="14"/>
        <v/>
      </c>
      <c r="R169" s="312" t="str">
        <f t="shared" si="12"/>
        <v/>
      </c>
      <c r="S169" s="325" t="str">
        <f>IF(D169="","",VLOOKUP(D169,'G-6 Hedgerow Data'!$B$3:$AG$15,31,FALSE))</f>
        <v/>
      </c>
      <c r="T169" s="298" t="str">
        <f t="shared" si="15"/>
        <v/>
      </c>
      <c r="U169" s="298" t="str">
        <f t="shared" si="16"/>
        <v/>
      </c>
      <c r="V169" s="314" t="str">
        <f>IF(D169="","",VLOOKUP(S169,'G-3 Multipliers'!$P$3:$Q$6,2,FALSE))</f>
        <v/>
      </c>
      <c r="W169" s="317" t="str">
        <f t="shared" si="17"/>
        <v/>
      </c>
      <c r="X169" s="98"/>
      <c r="Y169" s="99"/>
      <c r="Z169" s="101"/>
      <c r="AG169" s="15" t="str">
        <f>IFERROR(INDEX('G-6 Hedgerow Data'!$BJ$3:$BJ$15,MATCH(D169,'G-6 Hedgerow Data'!$B$3:$B$15,0)),"")</f>
        <v/>
      </c>
    </row>
    <row r="170" spans="2:33" ht="14" x14ac:dyDescent="0.3">
      <c r="B170" s="92">
        <v>159</v>
      </c>
      <c r="C170" s="143"/>
      <c r="D170" s="138"/>
      <c r="E170" s="120"/>
      <c r="F170" s="335" t="str">
        <f>IF(D170="","",VLOOKUP(D170,'G-6 Hedgerow Data'!$B$2:$AG$15,2,FALSE))</f>
        <v/>
      </c>
      <c r="G170" s="291" t="str">
        <f>IF(D170="","",VLOOKUP(D170,'G-6 Hedgerow Data'!$B$2:$AG$15,3,FALSE))</f>
        <v/>
      </c>
      <c r="H170" s="95"/>
      <c r="I170" s="291" t="str">
        <f>IFERROR(IF(H170="","",IF(AND(D170="Non-native and ornamental hedgerow", H170&lt;&gt;"Poor"),"Not possible ▲", (VLOOKUP(H170,'G-1 All Habitats'!$Z$2:$AA$9,2,FALSE)))),"")</f>
        <v/>
      </c>
      <c r="J170" s="95"/>
      <c r="K170" s="310" t="str">
        <f>IF(J170="","",IF(VLOOKUP(J170,'G-3 Multipliers'!$L$3:$N$6,2,FALSE)=0,"Spatial Data Missing ⚠",VLOOKUP(J170,'G-3 Multipliers'!$L$3:$N$6,2,FALSE)))</f>
        <v/>
      </c>
      <c r="L170" s="296" t="str">
        <f>IF(J170="","",IF(VLOOKUP(J170,'G-3 Multipliers'!$L$3:$N$6,3,FALSE)=0,"Spatial Data Missing ⚠",VLOOKUP(J170,'G-3 Multipliers'!$L$3:$N$6,3,FALSE)))</f>
        <v/>
      </c>
      <c r="M170" s="290" t="str">
        <f>IF(OR(D170="",H170=""),"",(INDEX('G-6 Hedgerow Data'!$E$3:$I$15,MATCH(D170,'G-6 Hedgerow Data'!$B$3:$B$15,0),MATCH(H170,'G-6 Hedgerow Data'!$E$2:$I$2,0))))</f>
        <v/>
      </c>
      <c r="N170" s="138"/>
      <c r="O170" s="138"/>
      <c r="P170" s="298" t="str">
        <f t="shared" si="13"/>
        <v/>
      </c>
      <c r="Q170" s="311" t="str">
        <f t="shared" si="14"/>
        <v/>
      </c>
      <c r="R170" s="312" t="str">
        <f t="shared" si="12"/>
        <v/>
      </c>
      <c r="S170" s="325" t="str">
        <f>IF(D170="","",VLOOKUP(D170,'G-6 Hedgerow Data'!$B$3:$AG$15,31,FALSE))</f>
        <v/>
      </c>
      <c r="T170" s="298" t="str">
        <f t="shared" si="15"/>
        <v/>
      </c>
      <c r="U170" s="298" t="str">
        <f t="shared" si="16"/>
        <v/>
      </c>
      <c r="V170" s="314" t="str">
        <f>IF(D170="","",VLOOKUP(S170,'G-3 Multipliers'!$P$3:$Q$6,2,FALSE))</f>
        <v/>
      </c>
      <c r="W170" s="317" t="str">
        <f t="shared" si="17"/>
        <v/>
      </c>
      <c r="X170" s="98"/>
      <c r="Y170" s="99"/>
      <c r="Z170" s="101"/>
      <c r="AG170" s="15" t="str">
        <f>IFERROR(INDEX('G-6 Hedgerow Data'!$BJ$3:$BJ$15,MATCH(D170,'G-6 Hedgerow Data'!$B$3:$B$15,0)),"")</f>
        <v/>
      </c>
    </row>
    <row r="171" spans="2:33" ht="14" x14ac:dyDescent="0.3">
      <c r="B171" s="92">
        <v>160</v>
      </c>
      <c r="C171" s="143"/>
      <c r="D171" s="138"/>
      <c r="E171" s="120"/>
      <c r="F171" s="335" t="str">
        <f>IF(D171="","",VLOOKUP(D171,'G-6 Hedgerow Data'!$B$2:$AG$15,2,FALSE))</f>
        <v/>
      </c>
      <c r="G171" s="291" t="str">
        <f>IF(D171="","",VLOOKUP(D171,'G-6 Hedgerow Data'!$B$2:$AG$15,3,FALSE))</f>
        <v/>
      </c>
      <c r="H171" s="95"/>
      <c r="I171" s="291" t="str">
        <f>IFERROR(IF(H171="","",IF(AND(D171="Non-native and ornamental hedgerow", H171&lt;&gt;"Poor"),"Not possible ▲", (VLOOKUP(H171,'G-1 All Habitats'!$Z$2:$AA$9,2,FALSE)))),"")</f>
        <v/>
      </c>
      <c r="J171" s="95"/>
      <c r="K171" s="310" t="str">
        <f>IF(J171="","",IF(VLOOKUP(J171,'G-3 Multipliers'!$L$3:$N$6,2,FALSE)=0,"Spatial Data Missing ⚠",VLOOKUP(J171,'G-3 Multipliers'!$L$3:$N$6,2,FALSE)))</f>
        <v/>
      </c>
      <c r="L171" s="296" t="str">
        <f>IF(J171="","",IF(VLOOKUP(J171,'G-3 Multipliers'!$L$3:$N$6,3,FALSE)=0,"Spatial Data Missing ⚠",VLOOKUP(J171,'G-3 Multipliers'!$L$3:$N$6,3,FALSE)))</f>
        <v/>
      </c>
      <c r="M171" s="290" t="str">
        <f>IF(OR(D171="",H171=""),"",(INDEX('G-6 Hedgerow Data'!$E$3:$I$15,MATCH(D171,'G-6 Hedgerow Data'!$B$3:$B$15,0),MATCH(H171,'G-6 Hedgerow Data'!$E$2:$I$2,0))))</f>
        <v/>
      </c>
      <c r="N171" s="138"/>
      <c r="O171" s="138"/>
      <c r="P171" s="298" t="str">
        <f t="shared" si="13"/>
        <v/>
      </c>
      <c r="Q171" s="311" t="str">
        <f t="shared" si="14"/>
        <v/>
      </c>
      <c r="R171" s="312" t="str">
        <f t="shared" si="12"/>
        <v/>
      </c>
      <c r="S171" s="325" t="str">
        <f>IF(D171="","",VLOOKUP(D171,'G-6 Hedgerow Data'!$B$3:$AG$15,31,FALSE))</f>
        <v/>
      </c>
      <c r="T171" s="298" t="str">
        <f t="shared" si="15"/>
        <v/>
      </c>
      <c r="U171" s="298" t="str">
        <f t="shared" si="16"/>
        <v/>
      </c>
      <c r="V171" s="314" t="str">
        <f>IF(D171="","",VLOOKUP(S171,'G-3 Multipliers'!$P$3:$Q$6,2,FALSE))</f>
        <v/>
      </c>
      <c r="W171" s="317" t="str">
        <f t="shared" si="17"/>
        <v/>
      </c>
      <c r="X171" s="98"/>
      <c r="Y171" s="99"/>
      <c r="Z171" s="101"/>
      <c r="AG171" s="15" t="str">
        <f>IFERROR(INDEX('G-6 Hedgerow Data'!$BJ$3:$BJ$15,MATCH(D171,'G-6 Hedgerow Data'!$B$3:$B$15,0)),"")</f>
        <v/>
      </c>
    </row>
    <row r="172" spans="2:33" ht="14" x14ac:dyDescent="0.3">
      <c r="B172" s="92">
        <v>161</v>
      </c>
      <c r="C172" s="143"/>
      <c r="D172" s="138"/>
      <c r="E172" s="120"/>
      <c r="F172" s="335" t="str">
        <f>IF(D172="","",VLOOKUP(D172,'G-6 Hedgerow Data'!$B$2:$AG$15,2,FALSE))</f>
        <v/>
      </c>
      <c r="G172" s="291" t="str">
        <f>IF(D172="","",VLOOKUP(D172,'G-6 Hedgerow Data'!$B$2:$AG$15,3,FALSE))</f>
        <v/>
      </c>
      <c r="H172" s="95"/>
      <c r="I172" s="291" t="str">
        <f>IFERROR(IF(H172="","",IF(AND(D172="Non-native and ornamental hedgerow", H172&lt;&gt;"Poor"),"Not possible ▲", (VLOOKUP(H172,'G-1 All Habitats'!$Z$2:$AA$9,2,FALSE)))),"")</f>
        <v/>
      </c>
      <c r="J172" s="95"/>
      <c r="K172" s="310" t="str">
        <f>IF(J172="","",IF(VLOOKUP(J172,'G-3 Multipliers'!$L$3:$N$6,2,FALSE)=0,"Spatial Data Missing ⚠",VLOOKUP(J172,'G-3 Multipliers'!$L$3:$N$6,2,FALSE)))</f>
        <v/>
      </c>
      <c r="L172" s="296" t="str">
        <f>IF(J172="","",IF(VLOOKUP(J172,'G-3 Multipliers'!$L$3:$N$6,3,FALSE)=0,"Spatial Data Missing ⚠",VLOOKUP(J172,'G-3 Multipliers'!$L$3:$N$6,3,FALSE)))</f>
        <v/>
      </c>
      <c r="M172" s="290" t="str">
        <f>IF(OR(D172="",H172=""),"",(INDEX('G-6 Hedgerow Data'!$E$3:$I$15,MATCH(D172,'G-6 Hedgerow Data'!$B$3:$B$15,0),MATCH(H172,'G-6 Hedgerow Data'!$E$2:$I$2,0))))</f>
        <v/>
      </c>
      <c r="N172" s="138"/>
      <c r="O172" s="138"/>
      <c r="P172" s="298" t="str">
        <f t="shared" si="13"/>
        <v/>
      </c>
      <c r="Q172" s="311" t="str">
        <f t="shared" si="14"/>
        <v/>
      </c>
      <c r="R172" s="312" t="str">
        <f t="shared" si="12"/>
        <v/>
      </c>
      <c r="S172" s="325" t="str">
        <f>IF(D172="","",VLOOKUP(D172,'G-6 Hedgerow Data'!$B$3:$AG$15,31,FALSE))</f>
        <v/>
      </c>
      <c r="T172" s="298" t="str">
        <f t="shared" si="15"/>
        <v/>
      </c>
      <c r="U172" s="298" t="str">
        <f t="shared" si="16"/>
        <v/>
      </c>
      <c r="V172" s="314" t="str">
        <f>IF(D172="","",VLOOKUP(S172,'G-3 Multipliers'!$P$3:$Q$6,2,FALSE))</f>
        <v/>
      </c>
      <c r="W172" s="317" t="str">
        <f t="shared" si="17"/>
        <v/>
      </c>
      <c r="X172" s="98"/>
      <c r="Y172" s="99"/>
      <c r="Z172" s="101"/>
      <c r="AG172" s="15" t="str">
        <f>IFERROR(INDEX('G-6 Hedgerow Data'!$BJ$3:$BJ$15,MATCH(D172,'G-6 Hedgerow Data'!$B$3:$B$15,0)),"")</f>
        <v/>
      </c>
    </row>
    <row r="173" spans="2:33" ht="14" x14ac:dyDescent="0.3">
      <c r="B173" s="92">
        <v>162</v>
      </c>
      <c r="C173" s="143"/>
      <c r="D173" s="138"/>
      <c r="E173" s="120"/>
      <c r="F173" s="335" t="str">
        <f>IF(D173="","",VLOOKUP(D173,'G-6 Hedgerow Data'!$B$2:$AG$15,2,FALSE))</f>
        <v/>
      </c>
      <c r="G173" s="291" t="str">
        <f>IF(D173="","",VLOOKUP(D173,'G-6 Hedgerow Data'!$B$2:$AG$15,3,FALSE))</f>
        <v/>
      </c>
      <c r="H173" s="95"/>
      <c r="I173" s="291" t="str">
        <f>IFERROR(IF(H173="","",IF(AND(D173="Non-native and ornamental hedgerow", H173&lt;&gt;"Poor"),"Not possible ▲", (VLOOKUP(H173,'G-1 All Habitats'!$Z$2:$AA$9,2,FALSE)))),"")</f>
        <v/>
      </c>
      <c r="J173" s="95"/>
      <c r="K173" s="310" t="str">
        <f>IF(J173="","",IF(VLOOKUP(J173,'G-3 Multipliers'!$L$3:$N$6,2,FALSE)=0,"Spatial Data Missing ⚠",VLOOKUP(J173,'G-3 Multipliers'!$L$3:$N$6,2,FALSE)))</f>
        <v/>
      </c>
      <c r="L173" s="296" t="str">
        <f>IF(J173="","",IF(VLOOKUP(J173,'G-3 Multipliers'!$L$3:$N$6,3,FALSE)=0,"Spatial Data Missing ⚠",VLOOKUP(J173,'G-3 Multipliers'!$L$3:$N$6,3,FALSE)))</f>
        <v/>
      </c>
      <c r="M173" s="290" t="str">
        <f>IF(OR(D173="",H173=""),"",(INDEX('G-6 Hedgerow Data'!$E$3:$I$15,MATCH(D173,'G-6 Hedgerow Data'!$B$3:$B$15,0),MATCH(H173,'G-6 Hedgerow Data'!$E$2:$I$2,0))))</f>
        <v/>
      </c>
      <c r="N173" s="138"/>
      <c r="O173" s="138"/>
      <c r="P173" s="298" t="str">
        <f t="shared" si="13"/>
        <v/>
      </c>
      <c r="Q173" s="311" t="str">
        <f t="shared" si="14"/>
        <v/>
      </c>
      <c r="R173" s="312" t="str">
        <f t="shared" si="12"/>
        <v/>
      </c>
      <c r="S173" s="325" t="str">
        <f>IF(D173="","",VLOOKUP(D173,'G-6 Hedgerow Data'!$B$3:$AG$15,31,FALSE))</f>
        <v/>
      </c>
      <c r="T173" s="298" t="str">
        <f t="shared" si="15"/>
        <v/>
      </c>
      <c r="U173" s="298" t="str">
        <f t="shared" si="16"/>
        <v/>
      </c>
      <c r="V173" s="314" t="str">
        <f>IF(D173="","",VLOOKUP(S173,'G-3 Multipliers'!$P$3:$Q$6,2,FALSE))</f>
        <v/>
      </c>
      <c r="W173" s="317" t="str">
        <f t="shared" si="17"/>
        <v/>
      </c>
      <c r="X173" s="98"/>
      <c r="Y173" s="99"/>
      <c r="Z173" s="101"/>
      <c r="AG173" s="15" t="str">
        <f>IFERROR(INDEX('G-6 Hedgerow Data'!$BJ$3:$BJ$15,MATCH(D173,'G-6 Hedgerow Data'!$B$3:$B$15,0)),"")</f>
        <v/>
      </c>
    </row>
    <row r="174" spans="2:33" ht="14" x14ac:dyDescent="0.3">
      <c r="B174" s="92">
        <v>163</v>
      </c>
      <c r="C174" s="143"/>
      <c r="D174" s="138"/>
      <c r="E174" s="120"/>
      <c r="F174" s="335" t="str">
        <f>IF(D174="","",VLOOKUP(D174,'G-6 Hedgerow Data'!$B$2:$AG$15,2,FALSE))</f>
        <v/>
      </c>
      <c r="G174" s="291" t="str">
        <f>IF(D174="","",VLOOKUP(D174,'G-6 Hedgerow Data'!$B$2:$AG$15,3,FALSE))</f>
        <v/>
      </c>
      <c r="H174" s="95"/>
      <c r="I174" s="291" t="str">
        <f>IFERROR(IF(H174="","",IF(AND(D174="Non-native and ornamental hedgerow", H174&lt;&gt;"Poor"),"Not possible ▲", (VLOOKUP(H174,'G-1 All Habitats'!$Z$2:$AA$9,2,FALSE)))),"")</f>
        <v/>
      </c>
      <c r="J174" s="95"/>
      <c r="K174" s="310" t="str">
        <f>IF(J174="","",IF(VLOOKUP(J174,'G-3 Multipliers'!$L$3:$N$6,2,FALSE)=0,"Spatial Data Missing ⚠",VLOOKUP(J174,'G-3 Multipliers'!$L$3:$N$6,2,FALSE)))</f>
        <v/>
      </c>
      <c r="L174" s="296" t="str">
        <f>IF(J174="","",IF(VLOOKUP(J174,'G-3 Multipliers'!$L$3:$N$6,3,FALSE)=0,"Spatial Data Missing ⚠",VLOOKUP(J174,'G-3 Multipliers'!$L$3:$N$6,3,FALSE)))</f>
        <v/>
      </c>
      <c r="M174" s="290" t="str">
        <f>IF(OR(D174="",H174=""),"",(INDEX('G-6 Hedgerow Data'!$E$3:$I$15,MATCH(D174,'G-6 Hedgerow Data'!$B$3:$B$15,0),MATCH(H174,'G-6 Hedgerow Data'!$E$2:$I$2,0))))</f>
        <v/>
      </c>
      <c r="N174" s="138"/>
      <c r="O174" s="138"/>
      <c r="P174" s="298" t="str">
        <f t="shared" si="13"/>
        <v/>
      </c>
      <c r="Q174" s="311" t="str">
        <f t="shared" si="14"/>
        <v/>
      </c>
      <c r="R174" s="312" t="str">
        <f t="shared" si="12"/>
        <v/>
      </c>
      <c r="S174" s="325" t="str">
        <f>IF(D174="","",VLOOKUP(D174,'G-6 Hedgerow Data'!$B$3:$AG$15,31,FALSE))</f>
        <v/>
      </c>
      <c r="T174" s="298" t="str">
        <f t="shared" si="15"/>
        <v/>
      </c>
      <c r="U174" s="298" t="str">
        <f t="shared" si="16"/>
        <v/>
      </c>
      <c r="V174" s="314" t="str">
        <f>IF(D174="","",VLOOKUP(S174,'G-3 Multipliers'!$P$3:$Q$6,2,FALSE))</f>
        <v/>
      </c>
      <c r="W174" s="317" t="str">
        <f t="shared" si="17"/>
        <v/>
      </c>
      <c r="X174" s="98"/>
      <c r="Y174" s="99"/>
      <c r="Z174" s="101"/>
      <c r="AG174" s="15" t="str">
        <f>IFERROR(INDEX('G-6 Hedgerow Data'!$BJ$3:$BJ$15,MATCH(D174,'G-6 Hedgerow Data'!$B$3:$B$15,0)),"")</f>
        <v/>
      </c>
    </row>
    <row r="175" spans="2:33" ht="14" x14ac:dyDescent="0.3">
      <c r="B175" s="92">
        <v>164</v>
      </c>
      <c r="C175" s="143"/>
      <c r="D175" s="138"/>
      <c r="E175" s="120"/>
      <c r="F175" s="335" t="str">
        <f>IF(D175="","",VLOOKUP(D175,'G-6 Hedgerow Data'!$B$2:$AG$15,2,FALSE))</f>
        <v/>
      </c>
      <c r="G175" s="291" t="str">
        <f>IF(D175="","",VLOOKUP(D175,'G-6 Hedgerow Data'!$B$2:$AG$15,3,FALSE))</f>
        <v/>
      </c>
      <c r="H175" s="95"/>
      <c r="I175" s="291" t="str">
        <f>IFERROR(IF(H175="","",IF(AND(D175="Non-native and ornamental hedgerow", H175&lt;&gt;"Poor"),"Not possible ▲", (VLOOKUP(H175,'G-1 All Habitats'!$Z$2:$AA$9,2,FALSE)))),"")</f>
        <v/>
      </c>
      <c r="J175" s="95"/>
      <c r="K175" s="310" t="str">
        <f>IF(J175="","",IF(VLOOKUP(J175,'G-3 Multipliers'!$L$3:$N$6,2,FALSE)=0,"Spatial Data Missing ⚠",VLOOKUP(J175,'G-3 Multipliers'!$L$3:$N$6,2,FALSE)))</f>
        <v/>
      </c>
      <c r="L175" s="296" t="str">
        <f>IF(J175="","",IF(VLOOKUP(J175,'G-3 Multipliers'!$L$3:$N$6,3,FALSE)=0,"Spatial Data Missing ⚠",VLOOKUP(J175,'G-3 Multipliers'!$L$3:$N$6,3,FALSE)))</f>
        <v/>
      </c>
      <c r="M175" s="290" t="str">
        <f>IF(OR(D175="",H175=""),"",(INDEX('G-6 Hedgerow Data'!$E$3:$I$15,MATCH(D175,'G-6 Hedgerow Data'!$B$3:$B$15,0),MATCH(H175,'G-6 Hedgerow Data'!$E$2:$I$2,0))))</f>
        <v/>
      </c>
      <c r="N175" s="138"/>
      <c r="O175" s="138"/>
      <c r="P175" s="298" t="str">
        <f t="shared" si="13"/>
        <v/>
      </c>
      <c r="Q175" s="311" t="str">
        <f t="shared" si="14"/>
        <v/>
      </c>
      <c r="R175" s="312" t="str">
        <f t="shared" si="12"/>
        <v/>
      </c>
      <c r="S175" s="325" t="str">
        <f>IF(D175="","",VLOOKUP(D175,'G-6 Hedgerow Data'!$B$3:$AG$15,31,FALSE))</f>
        <v/>
      </c>
      <c r="T175" s="298" t="str">
        <f t="shared" si="15"/>
        <v/>
      </c>
      <c r="U175" s="298" t="str">
        <f t="shared" si="16"/>
        <v/>
      </c>
      <c r="V175" s="314" t="str">
        <f>IF(D175="","",VLOOKUP(S175,'G-3 Multipliers'!$P$3:$Q$6,2,FALSE))</f>
        <v/>
      </c>
      <c r="W175" s="317" t="str">
        <f t="shared" si="17"/>
        <v/>
      </c>
      <c r="X175" s="98"/>
      <c r="Y175" s="99"/>
      <c r="Z175" s="101"/>
      <c r="AG175" s="15" t="str">
        <f>IFERROR(INDEX('G-6 Hedgerow Data'!$BJ$3:$BJ$15,MATCH(D175,'G-6 Hedgerow Data'!$B$3:$B$15,0)),"")</f>
        <v/>
      </c>
    </row>
    <row r="176" spans="2:33" ht="14" x14ac:dyDescent="0.3">
      <c r="B176" s="92">
        <v>165</v>
      </c>
      <c r="C176" s="143"/>
      <c r="D176" s="138"/>
      <c r="E176" s="120"/>
      <c r="F176" s="335" t="str">
        <f>IF(D176="","",VLOOKUP(D176,'G-6 Hedgerow Data'!$B$2:$AG$15,2,FALSE))</f>
        <v/>
      </c>
      <c r="G176" s="291" t="str">
        <f>IF(D176="","",VLOOKUP(D176,'G-6 Hedgerow Data'!$B$2:$AG$15,3,FALSE))</f>
        <v/>
      </c>
      <c r="H176" s="95"/>
      <c r="I176" s="291" t="str">
        <f>IFERROR(IF(H176="","",IF(AND(D176="Non-native and ornamental hedgerow", H176&lt;&gt;"Poor"),"Not possible ▲", (VLOOKUP(H176,'G-1 All Habitats'!$Z$2:$AA$9,2,FALSE)))),"")</f>
        <v/>
      </c>
      <c r="J176" s="95"/>
      <c r="K176" s="310" t="str">
        <f>IF(J176="","",IF(VLOOKUP(J176,'G-3 Multipliers'!$L$3:$N$6,2,FALSE)=0,"Spatial Data Missing ⚠",VLOOKUP(J176,'G-3 Multipliers'!$L$3:$N$6,2,FALSE)))</f>
        <v/>
      </c>
      <c r="L176" s="296" t="str">
        <f>IF(J176="","",IF(VLOOKUP(J176,'G-3 Multipliers'!$L$3:$N$6,3,FALSE)=0,"Spatial Data Missing ⚠",VLOOKUP(J176,'G-3 Multipliers'!$L$3:$N$6,3,FALSE)))</f>
        <v/>
      </c>
      <c r="M176" s="290" t="str">
        <f>IF(OR(D176="",H176=""),"",(INDEX('G-6 Hedgerow Data'!$E$3:$I$15,MATCH(D176,'G-6 Hedgerow Data'!$B$3:$B$15,0),MATCH(H176,'G-6 Hedgerow Data'!$E$2:$I$2,0))))</f>
        <v/>
      </c>
      <c r="N176" s="138"/>
      <c r="O176" s="138"/>
      <c r="P176" s="298" t="str">
        <f t="shared" si="13"/>
        <v/>
      </c>
      <c r="Q176" s="311" t="str">
        <f t="shared" si="14"/>
        <v/>
      </c>
      <c r="R176" s="312" t="str">
        <f t="shared" si="12"/>
        <v/>
      </c>
      <c r="S176" s="325" t="str">
        <f>IF(D176="","",VLOOKUP(D176,'G-6 Hedgerow Data'!$B$3:$AG$15,31,FALSE))</f>
        <v/>
      </c>
      <c r="T176" s="298" t="str">
        <f t="shared" si="15"/>
        <v/>
      </c>
      <c r="U176" s="298" t="str">
        <f t="shared" si="16"/>
        <v/>
      </c>
      <c r="V176" s="314" t="str">
        <f>IF(D176="","",VLOOKUP(S176,'G-3 Multipliers'!$P$3:$Q$6,2,FALSE))</f>
        <v/>
      </c>
      <c r="W176" s="317" t="str">
        <f t="shared" si="17"/>
        <v/>
      </c>
      <c r="X176" s="98"/>
      <c r="Y176" s="99"/>
      <c r="Z176" s="101"/>
      <c r="AG176" s="15" t="str">
        <f>IFERROR(INDEX('G-6 Hedgerow Data'!$BJ$3:$BJ$15,MATCH(D176,'G-6 Hedgerow Data'!$B$3:$B$15,0)),"")</f>
        <v/>
      </c>
    </row>
    <row r="177" spans="2:33" ht="14" x14ac:dyDescent="0.3">
      <c r="B177" s="92">
        <v>166</v>
      </c>
      <c r="C177" s="143"/>
      <c r="D177" s="138"/>
      <c r="E177" s="120"/>
      <c r="F177" s="335" t="str">
        <f>IF(D177="","",VLOOKUP(D177,'G-6 Hedgerow Data'!$B$2:$AG$15,2,FALSE))</f>
        <v/>
      </c>
      <c r="G177" s="291" t="str">
        <f>IF(D177="","",VLOOKUP(D177,'G-6 Hedgerow Data'!$B$2:$AG$15,3,FALSE))</f>
        <v/>
      </c>
      <c r="H177" s="95"/>
      <c r="I177" s="291" t="str">
        <f>IFERROR(IF(H177="","",IF(AND(D177="Non-native and ornamental hedgerow", H177&lt;&gt;"Poor"),"Not possible ▲", (VLOOKUP(H177,'G-1 All Habitats'!$Z$2:$AA$9,2,FALSE)))),"")</f>
        <v/>
      </c>
      <c r="J177" s="95"/>
      <c r="K177" s="310" t="str">
        <f>IF(J177="","",IF(VLOOKUP(J177,'G-3 Multipliers'!$L$3:$N$6,2,FALSE)=0,"Spatial Data Missing ⚠",VLOOKUP(J177,'G-3 Multipliers'!$L$3:$N$6,2,FALSE)))</f>
        <v/>
      </c>
      <c r="L177" s="296" t="str">
        <f>IF(J177="","",IF(VLOOKUP(J177,'G-3 Multipliers'!$L$3:$N$6,3,FALSE)=0,"Spatial Data Missing ⚠",VLOOKUP(J177,'G-3 Multipliers'!$L$3:$N$6,3,FALSE)))</f>
        <v/>
      </c>
      <c r="M177" s="290" t="str">
        <f>IF(OR(D177="",H177=""),"",(INDEX('G-6 Hedgerow Data'!$E$3:$I$15,MATCH(D177,'G-6 Hedgerow Data'!$B$3:$B$15,0),MATCH(H177,'G-6 Hedgerow Data'!$E$2:$I$2,0))))</f>
        <v/>
      </c>
      <c r="N177" s="138"/>
      <c r="O177" s="138"/>
      <c r="P177" s="298" t="str">
        <f t="shared" si="13"/>
        <v/>
      </c>
      <c r="Q177" s="311" t="str">
        <f t="shared" si="14"/>
        <v/>
      </c>
      <c r="R177" s="312" t="str">
        <f t="shared" si="12"/>
        <v/>
      </c>
      <c r="S177" s="325" t="str">
        <f>IF(D177="","",VLOOKUP(D177,'G-6 Hedgerow Data'!$B$3:$AG$15,31,FALSE))</f>
        <v/>
      </c>
      <c r="T177" s="298" t="str">
        <f t="shared" si="15"/>
        <v/>
      </c>
      <c r="U177" s="298" t="str">
        <f t="shared" si="16"/>
        <v/>
      </c>
      <c r="V177" s="314" t="str">
        <f>IF(D177="","",VLOOKUP(S177,'G-3 Multipliers'!$P$3:$Q$6,2,FALSE))</f>
        <v/>
      </c>
      <c r="W177" s="317" t="str">
        <f t="shared" si="17"/>
        <v/>
      </c>
      <c r="X177" s="98"/>
      <c r="Y177" s="99"/>
      <c r="Z177" s="101"/>
      <c r="AG177" s="15" t="str">
        <f>IFERROR(INDEX('G-6 Hedgerow Data'!$BJ$3:$BJ$15,MATCH(D177,'G-6 Hedgerow Data'!$B$3:$B$15,0)),"")</f>
        <v/>
      </c>
    </row>
    <row r="178" spans="2:33" ht="14" x14ac:dyDescent="0.3">
      <c r="B178" s="92">
        <v>167</v>
      </c>
      <c r="C178" s="143"/>
      <c r="D178" s="138"/>
      <c r="E178" s="120"/>
      <c r="F178" s="335" t="str">
        <f>IF(D178="","",VLOOKUP(D178,'G-6 Hedgerow Data'!$B$2:$AG$15,2,FALSE))</f>
        <v/>
      </c>
      <c r="G178" s="291" t="str">
        <f>IF(D178="","",VLOOKUP(D178,'G-6 Hedgerow Data'!$B$2:$AG$15,3,FALSE))</f>
        <v/>
      </c>
      <c r="H178" s="95"/>
      <c r="I178" s="291" t="str">
        <f>IFERROR(IF(H178="","",IF(AND(D178="Non-native and ornamental hedgerow", H178&lt;&gt;"Poor"),"Not possible ▲", (VLOOKUP(H178,'G-1 All Habitats'!$Z$2:$AA$9,2,FALSE)))),"")</f>
        <v/>
      </c>
      <c r="J178" s="95"/>
      <c r="K178" s="310" t="str">
        <f>IF(J178="","",IF(VLOOKUP(J178,'G-3 Multipliers'!$L$3:$N$6,2,FALSE)=0,"Spatial Data Missing ⚠",VLOOKUP(J178,'G-3 Multipliers'!$L$3:$N$6,2,FALSE)))</f>
        <v/>
      </c>
      <c r="L178" s="296" t="str">
        <f>IF(J178="","",IF(VLOOKUP(J178,'G-3 Multipliers'!$L$3:$N$6,3,FALSE)=0,"Spatial Data Missing ⚠",VLOOKUP(J178,'G-3 Multipliers'!$L$3:$N$6,3,FALSE)))</f>
        <v/>
      </c>
      <c r="M178" s="290" t="str">
        <f>IF(OR(D178="",H178=""),"",(INDEX('G-6 Hedgerow Data'!$E$3:$I$15,MATCH(D178,'G-6 Hedgerow Data'!$B$3:$B$15,0),MATCH(H178,'G-6 Hedgerow Data'!$E$2:$I$2,0))))</f>
        <v/>
      </c>
      <c r="N178" s="138"/>
      <c r="O178" s="138"/>
      <c r="P178" s="298" t="str">
        <f t="shared" si="13"/>
        <v/>
      </c>
      <c r="Q178" s="311" t="str">
        <f t="shared" si="14"/>
        <v/>
      </c>
      <c r="R178" s="312" t="str">
        <f t="shared" si="12"/>
        <v/>
      </c>
      <c r="S178" s="325" t="str">
        <f>IF(D178="","",VLOOKUP(D178,'G-6 Hedgerow Data'!$B$3:$AG$15,31,FALSE))</f>
        <v/>
      </c>
      <c r="T178" s="298" t="str">
        <f t="shared" si="15"/>
        <v/>
      </c>
      <c r="U178" s="298" t="str">
        <f t="shared" si="16"/>
        <v/>
      </c>
      <c r="V178" s="314" t="str">
        <f>IF(D178="","",VLOOKUP(S178,'G-3 Multipliers'!$P$3:$Q$6,2,FALSE))</f>
        <v/>
      </c>
      <c r="W178" s="317" t="str">
        <f t="shared" si="17"/>
        <v/>
      </c>
      <c r="X178" s="98"/>
      <c r="Y178" s="99"/>
      <c r="Z178" s="101"/>
      <c r="AG178" s="15" t="str">
        <f>IFERROR(INDEX('G-6 Hedgerow Data'!$BJ$3:$BJ$15,MATCH(D178,'G-6 Hedgerow Data'!$B$3:$B$15,0)),"")</f>
        <v/>
      </c>
    </row>
    <row r="179" spans="2:33" ht="14" x14ac:dyDescent="0.3">
      <c r="B179" s="92">
        <v>168</v>
      </c>
      <c r="C179" s="143"/>
      <c r="D179" s="138"/>
      <c r="E179" s="120"/>
      <c r="F179" s="335" t="str">
        <f>IF(D179="","",VLOOKUP(D179,'G-6 Hedgerow Data'!$B$2:$AG$15,2,FALSE))</f>
        <v/>
      </c>
      <c r="G179" s="291" t="str">
        <f>IF(D179="","",VLOOKUP(D179,'G-6 Hedgerow Data'!$B$2:$AG$15,3,FALSE))</f>
        <v/>
      </c>
      <c r="H179" s="95"/>
      <c r="I179" s="291" t="str">
        <f>IFERROR(IF(H179="","",IF(AND(D179="Non-native and ornamental hedgerow", H179&lt;&gt;"Poor"),"Not possible ▲", (VLOOKUP(H179,'G-1 All Habitats'!$Z$2:$AA$9,2,FALSE)))),"")</f>
        <v/>
      </c>
      <c r="J179" s="95"/>
      <c r="K179" s="310" t="str">
        <f>IF(J179="","",IF(VLOOKUP(J179,'G-3 Multipliers'!$L$3:$N$6,2,FALSE)=0,"Spatial Data Missing ⚠",VLOOKUP(J179,'G-3 Multipliers'!$L$3:$N$6,2,FALSE)))</f>
        <v/>
      </c>
      <c r="L179" s="296" t="str">
        <f>IF(J179="","",IF(VLOOKUP(J179,'G-3 Multipliers'!$L$3:$N$6,3,FALSE)=0,"Spatial Data Missing ⚠",VLOOKUP(J179,'G-3 Multipliers'!$L$3:$N$6,3,FALSE)))</f>
        <v/>
      </c>
      <c r="M179" s="290" t="str">
        <f>IF(OR(D179="",H179=""),"",(INDEX('G-6 Hedgerow Data'!$E$3:$I$15,MATCH(D179,'G-6 Hedgerow Data'!$B$3:$B$15,0),MATCH(H179,'G-6 Hedgerow Data'!$E$2:$I$2,0))))</f>
        <v/>
      </c>
      <c r="N179" s="138"/>
      <c r="O179" s="138"/>
      <c r="P179" s="298" t="str">
        <f t="shared" si="13"/>
        <v/>
      </c>
      <c r="Q179" s="311" t="str">
        <f t="shared" si="14"/>
        <v/>
      </c>
      <c r="R179" s="312" t="str">
        <f t="shared" si="12"/>
        <v/>
      </c>
      <c r="S179" s="325" t="str">
        <f>IF(D179="","",VLOOKUP(D179,'G-6 Hedgerow Data'!$B$3:$AG$15,31,FALSE))</f>
        <v/>
      </c>
      <c r="T179" s="298" t="str">
        <f t="shared" si="15"/>
        <v/>
      </c>
      <c r="U179" s="298" t="str">
        <f t="shared" si="16"/>
        <v/>
      </c>
      <c r="V179" s="314" t="str">
        <f>IF(D179="","",VLOOKUP(S179,'G-3 Multipliers'!$P$3:$Q$6,2,FALSE))</f>
        <v/>
      </c>
      <c r="W179" s="317" t="str">
        <f t="shared" si="17"/>
        <v/>
      </c>
      <c r="X179" s="98"/>
      <c r="Y179" s="99"/>
      <c r="Z179" s="101"/>
      <c r="AG179" s="15" t="str">
        <f>IFERROR(INDEX('G-6 Hedgerow Data'!$BJ$3:$BJ$15,MATCH(D179,'G-6 Hedgerow Data'!$B$3:$B$15,0)),"")</f>
        <v/>
      </c>
    </row>
    <row r="180" spans="2:33" ht="14" x14ac:dyDescent="0.3">
      <c r="B180" s="92">
        <v>169</v>
      </c>
      <c r="C180" s="143"/>
      <c r="D180" s="138"/>
      <c r="E180" s="120"/>
      <c r="F180" s="335" t="str">
        <f>IF(D180="","",VLOOKUP(D180,'G-6 Hedgerow Data'!$B$2:$AG$15,2,FALSE))</f>
        <v/>
      </c>
      <c r="G180" s="291" t="str">
        <f>IF(D180="","",VLOOKUP(D180,'G-6 Hedgerow Data'!$B$2:$AG$15,3,FALSE))</f>
        <v/>
      </c>
      <c r="H180" s="95"/>
      <c r="I180" s="291" t="str">
        <f>IFERROR(IF(H180="","",IF(AND(D180="Non-native and ornamental hedgerow", H180&lt;&gt;"Poor"),"Not possible ▲", (VLOOKUP(H180,'G-1 All Habitats'!$Z$2:$AA$9,2,FALSE)))),"")</f>
        <v/>
      </c>
      <c r="J180" s="95"/>
      <c r="K180" s="310" t="str">
        <f>IF(J180="","",IF(VLOOKUP(J180,'G-3 Multipliers'!$L$3:$N$6,2,FALSE)=0,"Spatial Data Missing ⚠",VLOOKUP(J180,'G-3 Multipliers'!$L$3:$N$6,2,FALSE)))</f>
        <v/>
      </c>
      <c r="L180" s="296" t="str">
        <f>IF(J180="","",IF(VLOOKUP(J180,'G-3 Multipliers'!$L$3:$N$6,3,FALSE)=0,"Spatial Data Missing ⚠",VLOOKUP(J180,'G-3 Multipliers'!$L$3:$N$6,3,FALSE)))</f>
        <v/>
      </c>
      <c r="M180" s="290" t="str">
        <f>IF(OR(D180="",H180=""),"",(INDEX('G-6 Hedgerow Data'!$E$3:$I$15,MATCH(D180,'G-6 Hedgerow Data'!$B$3:$B$15,0),MATCH(H180,'G-6 Hedgerow Data'!$E$2:$I$2,0))))</f>
        <v/>
      </c>
      <c r="N180" s="138"/>
      <c r="O180" s="138"/>
      <c r="P180" s="298" t="str">
        <f t="shared" si="13"/>
        <v/>
      </c>
      <c r="Q180" s="311" t="str">
        <f t="shared" si="14"/>
        <v/>
      </c>
      <c r="R180" s="312" t="str">
        <f t="shared" si="12"/>
        <v/>
      </c>
      <c r="S180" s="325" t="str">
        <f>IF(D180="","",VLOOKUP(D180,'G-6 Hedgerow Data'!$B$3:$AG$15,31,FALSE))</f>
        <v/>
      </c>
      <c r="T180" s="298" t="str">
        <f t="shared" si="15"/>
        <v/>
      </c>
      <c r="U180" s="298" t="str">
        <f t="shared" si="16"/>
        <v/>
      </c>
      <c r="V180" s="314" t="str">
        <f>IF(D180="","",VLOOKUP(S180,'G-3 Multipliers'!$P$3:$Q$6,2,FALSE))</f>
        <v/>
      </c>
      <c r="W180" s="317" t="str">
        <f t="shared" si="17"/>
        <v/>
      </c>
      <c r="X180" s="98"/>
      <c r="Y180" s="99"/>
      <c r="Z180" s="101"/>
      <c r="AG180" s="15" t="str">
        <f>IFERROR(INDEX('G-6 Hedgerow Data'!$BJ$3:$BJ$15,MATCH(D180,'G-6 Hedgerow Data'!$B$3:$B$15,0)),"")</f>
        <v/>
      </c>
    </row>
    <row r="181" spans="2:33" ht="14" x14ac:dyDescent="0.3">
      <c r="B181" s="92">
        <v>170</v>
      </c>
      <c r="C181" s="143"/>
      <c r="D181" s="138"/>
      <c r="E181" s="120"/>
      <c r="F181" s="335" t="str">
        <f>IF(D181="","",VLOOKUP(D181,'G-6 Hedgerow Data'!$B$2:$AG$15,2,FALSE))</f>
        <v/>
      </c>
      <c r="G181" s="291" t="str">
        <f>IF(D181="","",VLOOKUP(D181,'G-6 Hedgerow Data'!$B$2:$AG$15,3,FALSE))</f>
        <v/>
      </c>
      <c r="H181" s="95"/>
      <c r="I181" s="291" t="str">
        <f>IFERROR(IF(H181="","",IF(AND(D181="Non-native and ornamental hedgerow", H181&lt;&gt;"Poor"),"Not possible ▲", (VLOOKUP(H181,'G-1 All Habitats'!$Z$2:$AA$9,2,FALSE)))),"")</f>
        <v/>
      </c>
      <c r="J181" s="95"/>
      <c r="K181" s="310" t="str">
        <f>IF(J181="","",IF(VLOOKUP(J181,'G-3 Multipliers'!$L$3:$N$6,2,FALSE)=0,"Spatial Data Missing ⚠",VLOOKUP(J181,'G-3 Multipliers'!$L$3:$N$6,2,FALSE)))</f>
        <v/>
      </c>
      <c r="L181" s="296" t="str">
        <f>IF(J181="","",IF(VLOOKUP(J181,'G-3 Multipliers'!$L$3:$N$6,3,FALSE)=0,"Spatial Data Missing ⚠",VLOOKUP(J181,'G-3 Multipliers'!$L$3:$N$6,3,FALSE)))</f>
        <v/>
      </c>
      <c r="M181" s="290" t="str">
        <f>IF(OR(D181="",H181=""),"",(INDEX('G-6 Hedgerow Data'!$E$3:$I$15,MATCH(D181,'G-6 Hedgerow Data'!$B$3:$B$15,0),MATCH(H181,'G-6 Hedgerow Data'!$E$2:$I$2,0))))</f>
        <v/>
      </c>
      <c r="N181" s="138"/>
      <c r="O181" s="138"/>
      <c r="P181" s="298" t="str">
        <f t="shared" si="13"/>
        <v/>
      </c>
      <c r="Q181" s="311" t="str">
        <f t="shared" si="14"/>
        <v/>
      </c>
      <c r="R181" s="312" t="str">
        <f t="shared" si="12"/>
        <v/>
      </c>
      <c r="S181" s="325" t="str">
        <f>IF(D181="","",VLOOKUP(D181,'G-6 Hedgerow Data'!$B$3:$AG$15,31,FALSE))</f>
        <v/>
      </c>
      <c r="T181" s="298" t="str">
        <f t="shared" si="15"/>
        <v/>
      </c>
      <c r="U181" s="298" t="str">
        <f t="shared" si="16"/>
        <v/>
      </c>
      <c r="V181" s="314" t="str">
        <f>IF(D181="","",VLOOKUP(S181,'G-3 Multipliers'!$P$3:$Q$6,2,FALSE))</f>
        <v/>
      </c>
      <c r="W181" s="317" t="str">
        <f t="shared" si="17"/>
        <v/>
      </c>
      <c r="X181" s="98"/>
      <c r="Y181" s="99"/>
      <c r="Z181" s="101"/>
      <c r="AG181" s="15" t="str">
        <f>IFERROR(INDEX('G-6 Hedgerow Data'!$BJ$3:$BJ$15,MATCH(D181,'G-6 Hedgerow Data'!$B$3:$B$15,0)),"")</f>
        <v/>
      </c>
    </row>
    <row r="182" spans="2:33" ht="14" x14ac:dyDescent="0.3">
      <c r="B182" s="92">
        <v>171</v>
      </c>
      <c r="C182" s="143"/>
      <c r="D182" s="138"/>
      <c r="E182" s="120"/>
      <c r="F182" s="335" t="str">
        <f>IF(D182="","",VLOOKUP(D182,'G-6 Hedgerow Data'!$B$2:$AG$15,2,FALSE))</f>
        <v/>
      </c>
      <c r="G182" s="291" t="str">
        <f>IF(D182="","",VLOOKUP(D182,'G-6 Hedgerow Data'!$B$2:$AG$15,3,FALSE))</f>
        <v/>
      </c>
      <c r="H182" s="95"/>
      <c r="I182" s="291" t="str">
        <f>IFERROR(IF(H182="","",IF(AND(D182="Non-native and ornamental hedgerow", H182&lt;&gt;"Poor"),"Not possible ▲", (VLOOKUP(H182,'G-1 All Habitats'!$Z$2:$AA$9,2,FALSE)))),"")</f>
        <v/>
      </c>
      <c r="J182" s="95"/>
      <c r="K182" s="310" t="str">
        <f>IF(J182="","",IF(VLOOKUP(J182,'G-3 Multipliers'!$L$3:$N$6,2,FALSE)=0,"Spatial Data Missing ⚠",VLOOKUP(J182,'G-3 Multipliers'!$L$3:$N$6,2,FALSE)))</f>
        <v/>
      </c>
      <c r="L182" s="296" t="str">
        <f>IF(J182="","",IF(VLOOKUP(J182,'G-3 Multipliers'!$L$3:$N$6,3,FALSE)=0,"Spatial Data Missing ⚠",VLOOKUP(J182,'G-3 Multipliers'!$L$3:$N$6,3,FALSE)))</f>
        <v/>
      </c>
      <c r="M182" s="290" t="str">
        <f>IF(OR(D182="",H182=""),"",(INDEX('G-6 Hedgerow Data'!$E$3:$I$15,MATCH(D182,'G-6 Hedgerow Data'!$B$3:$B$15,0),MATCH(H182,'G-6 Hedgerow Data'!$E$2:$I$2,0))))</f>
        <v/>
      </c>
      <c r="N182" s="138"/>
      <c r="O182" s="138"/>
      <c r="P182" s="298" t="str">
        <f t="shared" si="13"/>
        <v/>
      </c>
      <c r="Q182" s="311" t="str">
        <f t="shared" si="14"/>
        <v/>
      </c>
      <c r="R182" s="312" t="str">
        <f t="shared" si="12"/>
        <v/>
      </c>
      <c r="S182" s="325" t="str">
        <f>IF(D182="","",VLOOKUP(D182,'G-6 Hedgerow Data'!$B$3:$AG$15,31,FALSE))</f>
        <v/>
      </c>
      <c r="T182" s="298" t="str">
        <f t="shared" si="15"/>
        <v/>
      </c>
      <c r="U182" s="298" t="str">
        <f t="shared" si="16"/>
        <v/>
      </c>
      <c r="V182" s="314" t="str">
        <f>IF(D182="","",VLOOKUP(S182,'G-3 Multipliers'!$P$3:$Q$6,2,FALSE))</f>
        <v/>
      </c>
      <c r="W182" s="317" t="str">
        <f t="shared" si="17"/>
        <v/>
      </c>
      <c r="X182" s="98"/>
      <c r="Y182" s="99"/>
      <c r="Z182" s="101"/>
      <c r="AG182" s="15" t="str">
        <f>IFERROR(INDEX('G-6 Hedgerow Data'!$BJ$3:$BJ$15,MATCH(D182,'G-6 Hedgerow Data'!$B$3:$B$15,0)),"")</f>
        <v/>
      </c>
    </row>
    <row r="183" spans="2:33" ht="14" x14ac:dyDescent="0.3">
      <c r="B183" s="92">
        <v>172</v>
      </c>
      <c r="C183" s="143"/>
      <c r="D183" s="138"/>
      <c r="E183" s="120"/>
      <c r="F183" s="335" t="str">
        <f>IF(D183="","",VLOOKUP(D183,'G-6 Hedgerow Data'!$B$2:$AG$15,2,FALSE))</f>
        <v/>
      </c>
      <c r="G183" s="291" t="str">
        <f>IF(D183="","",VLOOKUP(D183,'G-6 Hedgerow Data'!$B$2:$AG$15,3,FALSE))</f>
        <v/>
      </c>
      <c r="H183" s="95"/>
      <c r="I183" s="291" t="str">
        <f>IFERROR(IF(H183="","",IF(AND(D183="Non-native and ornamental hedgerow", H183&lt;&gt;"Poor"),"Not possible ▲", (VLOOKUP(H183,'G-1 All Habitats'!$Z$2:$AA$9,2,FALSE)))),"")</f>
        <v/>
      </c>
      <c r="J183" s="95"/>
      <c r="K183" s="310" t="str">
        <f>IF(J183="","",IF(VLOOKUP(J183,'G-3 Multipliers'!$L$3:$N$6,2,FALSE)=0,"Spatial Data Missing ⚠",VLOOKUP(J183,'G-3 Multipliers'!$L$3:$N$6,2,FALSE)))</f>
        <v/>
      </c>
      <c r="L183" s="296" t="str">
        <f>IF(J183="","",IF(VLOOKUP(J183,'G-3 Multipliers'!$L$3:$N$6,3,FALSE)=0,"Spatial Data Missing ⚠",VLOOKUP(J183,'G-3 Multipliers'!$L$3:$N$6,3,FALSE)))</f>
        <v/>
      </c>
      <c r="M183" s="290" t="str">
        <f>IF(OR(D183="",H183=""),"",(INDEX('G-6 Hedgerow Data'!$E$3:$I$15,MATCH(D183,'G-6 Hedgerow Data'!$B$3:$B$15,0),MATCH(H183,'G-6 Hedgerow Data'!$E$2:$I$2,0))))</f>
        <v/>
      </c>
      <c r="N183" s="138"/>
      <c r="O183" s="138"/>
      <c r="P183" s="298" t="str">
        <f t="shared" si="13"/>
        <v/>
      </c>
      <c r="Q183" s="311" t="str">
        <f t="shared" si="14"/>
        <v/>
      </c>
      <c r="R183" s="312" t="str">
        <f t="shared" si="12"/>
        <v/>
      </c>
      <c r="S183" s="325" t="str">
        <f>IF(D183="","",VLOOKUP(D183,'G-6 Hedgerow Data'!$B$3:$AG$15,31,FALSE))</f>
        <v/>
      </c>
      <c r="T183" s="298" t="str">
        <f t="shared" si="15"/>
        <v/>
      </c>
      <c r="U183" s="298" t="str">
        <f t="shared" si="16"/>
        <v/>
      </c>
      <c r="V183" s="314" t="str">
        <f>IF(D183="","",VLOOKUP(S183,'G-3 Multipliers'!$P$3:$Q$6,2,FALSE))</f>
        <v/>
      </c>
      <c r="W183" s="317" t="str">
        <f t="shared" si="17"/>
        <v/>
      </c>
      <c r="X183" s="98"/>
      <c r="Y183" s="99"/>
      <c r="Z183" s="101"/>
      <c r="AG183" s="15" t="str">
        <f>IFERROR(INDEX('G-6 Hedgerow Data'!$BJ$3:$BJ$15,MATCH(D183,'G-6 Hedgerow Data'!$B$3:$B$15,0)),"")</f>
        <v/>
      </c>
    </row>
    <row r="184" spans="2:33" ht="14" x14ac:dyDescent="0.3">
      <c r="B184" s="92">
        <v>173</v>
      </c>
      <c r="C184" s="143"/>
      <c r="D184" s="138"/>
      <c r="E184" s="120"/>
      <c r="F184" s="335" t="str">
        <f>IF(D184="","",VLOOKUP(D184,'G-6 Hedgerow Data'!$B$2:$AG$15,2,FALSE))</f>
        <v/>
      </c>
      <c r="G184" s="291" t="str">
        <f>IF(D184="","",VLOOKUP(D184,'G-6 Hedgerow Data'!$B$2:$AG$15,3,FALSE))</f>
        <v/>
      </c>
      <c r="H184" s="95"/>
      <c r="I184" s="291" t="str">
        <f>IFERROR(IF(H184="","",IF(AND(D184="Non-native and ornamental hedgerow", H184&lt;&gt;"Poor"),"Not possible ▲", (VLOOKUP(H184,'G-1 All Habitats'!$Z$2:$AA$9,2,FALSE)))),"")</f>
        <v/>
      </c>
      <c r="J184" s="95"/>
      <c r="K184" s="310" t="str">
        <f>IF(J184="","",IF(VLOOKUP(J184,'G-3 Multipliers'!$L$3:$N$6,2,FALSE)=0,"Spatial Data Missing ⚠",VLOOKUP(J184,'G-3 Multipliers'!$L$3:$N$6,2,FALSE)))</f>
        <v/>
      </c>
      <c r="L184" s="296" t="str">
        <f>IF(J184="","",IF(VLOOKUP(J184,'G-3 Multipliers'!$L$3:$N$6,3,FALSE)=0,"Spatial Data Missing ⚠",VLOOKUP(J184,'G-3 Multipliers'!$L$3:$N$6,3,FALSE)))</f>
        <v/>
      </c>
      <c r="M184" s="290" t="str">
        <f>IF(OR(D184="",H184=""),"",(INDEX('G-6 Hedgerow Data'!$E$3:$I$15,MATCH(D184,'G-6 Hedgerow Data'!$B$3:$B$15,0),MATCH(H184,'G-6 Hedgerow Data'!$E$2:$I$2,0))))</f>
        <v/>
      </c>
      <c r="N184" s="138"/>
      <c r="O184" s="138"/>
      <c r="P184" s="298" t="str">
        <f t="shared" si="13"/>
        <v/>
      </c>
      <c r="Q184" s="311" t="str">
        <f t="shared" si="14"/>
        <v/>
      </c>
      <c r="R184" s="312" t="str">
        <f t="shared" si="12"/>
        <v/>
      </c>
      <c r="S184" s="325" t="str">
        <f>IF(D184="","",VLOOKUP(D184,'G-6 Hedgerow Data'!$B$3:$AG$15,31,FALSE))</f>
        <v/>
      </c>
      <c r="T184" s="298" t="str">
        <f t="shared" si="15"/>
        <v/>
      </c>
      <c r="U184" s="298" t="str">
        <f t="shared" si="16"/>
        <v/>
      </c>
      <c r="V184" s="314" t="str">
        <f>IF(D184="","",VLOOKUP(S184,'G-3 Multipliers'!$P$3:$Q$6,2,FALSE))</f>
        <v/>
      </c>
      <c r="W184" s="317" t="str">
        <f t="shared" si="17"/>
        <v/>
      </c>
      <c r="X184" s="98"/>
      <c r="Y184" s="99"/>
      <c r="Z184" s="101"/>
      <c r="AG184" s="15" t="str">
        <f>IFERROR(INDEX('G-6 Hedgerow Data'!$BJ$3:$BJ$15,MATCH(D184,'G-6 Hedgerow Data'!$B$3:$B$15,0)),"")</f>
        <v/>
      </c>
    </row>
    <row r="185" spans="2:33" ht="14" x14ac:dyDescent="0.3">
      <c r="B185" s="92">
        <v>174</v>
      </c>
      <c r="C185" s="143"/>
      <c r="D185" s="138"/>
      <c r="E185" s="120"/>
      <c r="F185" s="335" t="str">
        <f>IF(D185="","",VLOOKUP(D185,'G-6 Hedgerow Data'!$B$2:$AG$15,2,FALSE))</f>
        <v/>
      </c>
      <c r="G185" s="291" t="str">
        <f>IF(D185="","",VLOOKUP(D185,'G-6 Hedgerow Data'!$B$2:$AG$15,3,FALSE))</f>
        <v/>
      </c>
      <c r="H185" s="95"/>
      <c r="I185" s="291" t="str">
        <f>IFERROR(IF(H185="","",IF(AND(D185="Non-native and ornamental hedgerow", H185&lt;&gt;"Poor"),"Not possible ▲", (VLOOKUP(H185,'G-1 All Habitats'!$Z$2:$AA$9,2,FALSE)))),"")</f>
        <v/>
      </c>
      <c r="J185" s="95"/>
      <c r="K185" s="310" t="str">
        <f>IF(J185="","",IF(VLOOKUP(J185,'G-3 Multipliers'!$L$3:$N$6,2,FALSE)=0,"Spatial Data Missing ⚠",VLOOKUP(J185,'G-3 Multipliers'!$L$3:$N$6,2,FALSE)))</f>
        <v/>
      </c>
      <c r="L185" s="296" t="str">
        <f>IF(J185="","",IF(VLOOKUP(J185,'G-3 Multipliers'!$L$3:$N$6,3,FALSE)=0,"Spatial Data Missing ⚠",VLOOKUP(J185,'G-3 Multipliers'!$L$3:$N$6,3,FALSE)))</f>
        <v/>
      </c>
      <c r="M185" s="290" t="str">
        <f>IF(OR(D185="",H185=""),"",(INDEX('G-6 Hedgerow Data'!$E$3:$I$15,MATCH(D185,'G-6 Hedgerow Data'!$B$3:$B$15,0),MATCH(H185,'G-6 Hedgerow Data'!$E$2:$I$2,0))))</f>
        <v/>
      </c>
      <c r="N185" s="138"/>
      <c r="O185" s="138"/>
      <c r="P185" s="298" t="str">
        <f t="shared" si="13"/>
        <v/>
      </c>
      <c r="Q185" s="311" t="str">
        <f t="shared" si="14"/>
        <v/>
      </c>
      <c r="R185" s="312" t="str">
        <f t="shared" si="12"/>
        <v/>
      </c>
      <c r="S185" s="325" t="str">
        <f>IF(D185="","",VLOOKUP(D185,'G-6 Hedgerow Data'!$B$3:$AG$15,31,FALSE))</f>
        <v/>
      </c>
      <c r="T185" s="298" t="str">
        <f t="shared" si="15"/>
        <v/>
      </c>
      <c r="U185" s="298" t="str">
        <f t="shared" si="16"/>
        <v/>
      </c>
      <c r="V185" s="314" t="str">
        <f>IF(D185="","",VLOOKUP(S185,'G-3 Multipliers'!$P$3:$Q$6,2,FALSE))</f>
        <v/>
      </c>
      <c r="W185" s="317" t="str">
        <f t="shared" si="17"/>
        <v/>
      </c>
      <c r="X185" s="98"/>
      <c r="Y185" s="99"/>
      <c r="Z185" s="101"/>
      <c r="AG185" s="15" t="str">
        <f>IFERROR(INDEX('G-6 Hedgerow Data'!$BJ$3:$BJ$15,MATCH(D185,'G-6 Hedgerow Data'!$B$3:$B$15,0)),"")</f>
        <v/>
      </c>
    </row>
    <row r="186" spans="2:33" ht="14" x14ac:dyDescent="0.3">
      <c r="B186" s="92">
        <v>175</v>
      </c>
      <c r="C186" s="143"/>
      <c r="D186" s="138"/>
      <c r="E186" s="120"/>
      <c r="F186" s="335" t="str">
        <f>IF(D186="","",VLOOKUP(D186,'G-6 Hedgerow Data'!$B$2:$AG$15,2,FALSE))</f>
        <v/>
      </c>
      <c r="G186" s="291" t="str">
        <f>IF(D186="","",VLOOKUP(D186,'G-6 Hedgerow Data'!$B$2:$AG$15,3,FALSE))</f>
        <v/>
      </c>
      <c r="H186" s="95"/>
      <c r="I186" s="291" t="str">
        <f>IFERROR(IF(H186="","",IF(AND(D186="Non-native and ornamental hedgerow", H186&lt;&gt;"Poor"),"Not possible ▲", (VLOOKUP(H186,'G-1 All Habitats'!$Z$2:$AA$9,2,FALSE)))),"")</f>
        <v/>
      </c>
      <c r="J186" s="95"/>
      <c r="K186" s="310" t="str">
        <f>IF(J186="","",IF(VLOOKUP(J186,'G-3 Multipliers'!$L$3:$N$6,2,FALSE)=0,"Spatial Data Missing ⚠",VLOOKUP(J186,'G-3 Multipliers'!$L$3:$N$6,2,FALSE)))</f>
        <v/>
      </c>
      <c r="L186" s="296" t="str">
        <f>IF(J186="","",IF(VLOOKUP(J186,'G-3 Multipliers'!$L$3:$N$6,3,FALSE)=0,"Spatial Data Missing ⚠",VLOOKUP(J186,'G-3 Multipliers'!$L$3:$N$6,3,FALSE)))</f>
        <v/>
      </c>
      <c r="M186" s="290" t="str">
        <f>IF(OR(D186="",H186=""),"",(INDEX('G-6 Hedgerow Data'!$E$3:$I$15,MATCH(D186,'G-6 Hedgerow Data'!$B$3:$B$15,0),MATCH(H186,'G-6 Hedgerow Data'!$E$2:$I$2,0))))</f>
        <v/>
      </c>
      <c r="N186" s="138"/>
      <c r="O186" s="138"/>
      <c r="P186" s="298" t="str">
        <f t="shared" si="13"/>
        <v/>
      </c>
      <c r="Q186" s="311" t="str">
        <f t="shared" si="14"/>
        <v/>
      </c>
      <c r="R186" s="312" t="str">
        <f t="shared" si="12"/>
        <v/>
      </c>
      <c r="S186" s="325" t="str">
        <f>IF(D186="","",VLOOKUP(D186,'G-6 Hedgerow Data'!$B$3:$AG$15,31,FALSE))</f>
        <v/>
      </c>
      <c r="T186" s="298" t="str">
        <f t="shared" si="15"/>
        <v/>
      </c>
      <c r="U186" s="298" t="str">
        <f t="shared" si="16"/>
        <v/>
      </c>
      <c r="V186" s="314" t="str">
        <f>IF(D186="","",VLOOKUP(S186,'G-3 Multipliers'!$P$3:$Q$6,2,FALSE))</f>
        <v/>
      </c>
      <c r="W186" s="317" t="str">
        <f t="shared" si="17"/>
        <v/>
      </c>
      <c r="X186" s="98"/>
      <c r="Y186" s="99"/>
      <c r="Z186" s="101"/>
      <c r="AG186" s="15" t="str">
        <f>IFERROR(INDEX('G-6 Hedgerow Data'!$BJ$3:$BJ$15,MATCH(D186,'G-6 Hedgerow Data'!$B$3:$B$15,0)),"")</f>
        <v/>
      </c>
    </row>
    <row r="187" spans="2:33" ht="14" x14ac:dyDescent="0.3">
      <c r="B187" s="92">
        <v>176</v>
      </c>
      <c r="C187" s="143"/>
      <c r="D187" s="138"/>
      <c r="E187" s="120"/>
      <c r="F187" s="335" t="str">
        <f>IF(D187="","",VLOOKUP(D187,'G-6 Hedgerow Data'!$B$2:$AG$15,2,FALSE))</f>
        <v/>
      </c>
      <c r="G187" s="291" t="str">
        <f>IF(D187="","",VLOOKUP(D187,'G-6 Hedgerow Data'!$B$2:$AG$15,3,FALSE))</f>
        <v/>
      </c>
      <c r="H187" s="95"/>
      <c r="I187" s="291" t="str">
        <f>IFERROR(IF(H187="","",IF(AND(D187="Non-native and ornamental hedgerow", H187&lt;&gt;"Poor"),"Not possible ▲", (VLOOKUP(H187,'G-1 All Habitats'!$Z$2:$AA$9,2,FALSE)))),"")</f>
        <v/>
      </c>
      <c r="J187" s="95"/>
      <c r="K187" s="310" t="str">
        <f>IF(J187="","",IF(VLOOKUP(J187,'G-3 Multipliers'!$L$3:$N$6,2,FALSE)=0,"Spatial Data Missing ⚠",VLOOKUP(J187,'G-3 Multipliers'!$L$3:$N$6,2,FALSE)))</f>
        <v/>
      </c>
      <c r="L187" s="296" t="str">
        <f>IF(J187="","",IF(VLOOKUP(J187,'G-3 Multipliers'!$L$3:$N$6,3,FALSE)=0,"Spatial Data Missing ⚠",VLOOKUP(J187,'G-3 Multipliers'!$L$3:$N$6,3,FALSE)))</f>
        <v/>
      </c>
      <c r="M187" s="290" t="str">
        <f>IF(OR(D187="",H187=""),"",(INDEX('G-6 Hedgerow Data'!$E$3:$I$15,MATCH(D187,'G-6 Hedgerow Data'!$B$3:$B$15,0),MATCH(H187,'G-6 Hedgerow Data'!$E$2:$I$2,0))))</f>
        <v/>
      </c>
      <c r="N187" s="138"/>
      <c r="O187" s="138"/>
      <c r="P187" s="298" t="str">
        <f t="shared" si="13"/>
        <v/>
      </c>
      <c r="Q187" s="311" t="str">
        <f t="shared" si="14"/>
        <v/>
      </c>
      <c r="R187" s="312" t="str">
        <f t="shared" si="12"/>
        <v/>
      </c>
      <c r="S187" s="325" t="str">
        <f>IF(D187="","",VLOOKUP(D187,'G-6 Hedgerow Data'!$B$3:$AG$15,31,FALSE))</f>
        <v/>
      </c>
      <c r="T187" s="298" t="str">
        <f t="shared" si="15"/>
        <v/>
      </c>
      <c r="U187" s="298" t="str">
        <f t="shared" si="16"/>
        <v/>
      </c>
      <c r="V187" s="314" t="str">
        <f>IF(D187="","",VLOOKUP(S187,'G-3 Multipliers'!$P$3:$Q$6,2,FALSE))</f>
        <v/>
      </c>
      <c r="W187" s="317" t="str">
        <f t="shared" si="17"/>
        <v/>
      </c>
      <c r="X187" s="98"/>
      <c r="Y187" s="99"/>
      <c r="Z187" s="101"/>
      <c r="AG187" s="15" t="str">
        <f>IFERROR(INDEX('G-6 Hedgerow Data'!$BJ$3:$BJ$15,MATCH(D187,'G-6 Hedgerow Data'!$B$3:$B$15,0)),"")</f>
        <v/>
      </c>
    </row>
    <row r="188" spans="2:33" ht="14" x14ac:dyDescent="0.3">
      <c r="B188" s="92">
        <v>177</v>
      </c>
      <c r="C188" s="143"/>
      <c r="D188" s="138"/>
      <c r="E188" s="120"/>
      <c r="F188" s="335" t="str">
        <f>IF(D188="","",VLOOKUP(D188,'G-6 Hedgerow Data'!$B$2:$AG$15,2,FALSE))</f>
        <v/>
      </c>
      <c r="G188" s="291" t="str">
        <f>IF(D188="","",VLOOKUP(D188,'G-6 Hedgerow Data'!$B$2:$AG$15,3,FALSE))</f>
        <v/>
      </c>
      <c r="H188" s="95"/>
      <c r="I188" s="291" t="str">
        <f>IFERROR(IF(H188="","",IF(AND(D188="Non-native and ornamental hedgerow", H188&lt;&gt;"Poor"),"Not possible ▲", (VLOOKUP(H188,'G-1 All Habitats'!$Z$2:$AA$9,2,FALSE)))),"")</f>
        <v/>
      </c>
      <c r="J188" s="95"/>
      <c r="K188" s="310" t="str">
        <f>IF(J188="","",IF(VLOOKUP(J188,'G-3 Multipliers'!$L$3:$N$6,2,FALSE)=0,"Spatial Data Missing ⚠",VLOOKUP(J188,'G-3 Multipliers'!$L$3:$N$6,2,FALSE)))</f>
        <v/>
      </c>
      <c r="L188" s="296" t="str">
        <f>IF(J188="","",IF(VLOOKUP(J188,'G-3 Multipliers'!$L$3:$N$6,3,FALSE)=0,"Spatial Data Missing ⚠",VLOOKUP(J188,'G-3 Multipliers'!$L$3:$N$6,3,FALSE)))</f>
        <v/>
      </c>
      <c r="M188" s="290" t="str">
        <f>IF(OR(D188="",H188=""),"",(INDEX('G-6 Hedgerow Data'!$E$3:$I$15,MATCH(D188,'G-6 Hedgerow Data'!$B$3:$B$15,0),MATCH(H188,'G-6 Hedgerow Data'!$E$2:$I$2,0))))</f>
        <v/>
      </c>
      <c r="N188" s="138"/>
      <c r="O188" s="138"/>
      <c r="P188" s="298" t="str">
        <f t="shared" si="13"/>
        <v/>
      </c>
      <c r="Q188" s="311" t="str">
        <f t="shared" si="14"/>
        <v/>
      </c>
      <c r="R188" s="312" t="str">
        <f t="shared" si="12"/>
        <v/>
      </c>
      <c r="S188" s="325" t="str">
        <f>IF(D188="","",VLOOKUP(D188,'G-6 Hedgerow Data'!$B$3:$AG$15,31,FALSE))</f>
        <v/>
      </c>
      <c r="T188" s="298" t="str">
        <f t="shared" si="15"/>
        <v/>
      </c>
      <c r="U188" s="298" t="str">
        <f t="shared" si="16"/>
        <v/>
      </c>
      <c r="V188" s="314" t="str">
        <f>IF(D188="","",VLOOKUP(S188,'G-3 Multipliers'!$P$3:$Q$6,2,FALSE))</f>
        <v/>
      </c>
      <c r="W188" s="317" t="str">
        <f t="shared" si="17"/>
        <v/>
      </c>
      <c r="X188" s="98"/>
      <c r="Y188" s="99"/>
      <c r="Z188" s="101"/>
      <c r="AG188" s="15" t="str">
        <f>IFERROR(INDEX('G-6 Hedgerow Data'!$BJ$3:$BJ$15,MATCH(D188,'G-6 Hedgerow Data'!$B$3:$B$15,0)),"")</f>
        <v/>
      </c>
    </row>
    <row r="189" spans="2:33" ht="14" x14ac:dyDescent="0.3">
      <c r="B189" s="92">
        <v>178</v>
      </c>
      <c r="C189" s="143"/>
      <c r="D189" s="138"/>
      <c r="E189" s="120"/>
      <c r="F189" s="335" t="str">
        <f>IF(D189="","",VLOOKUP(D189,'G-6 Hedgerow Data'!$B$2:$AG$15,2,FALSE))</f>
        <v/>
      </c>
      <c r="G189" s="291" t="str">
        <f>IF(D189="","",VLOOKUP(D189,'G-6 Hedgerow Data'!$B$2:$AG$15,3,FALSE))</f>
        <v/>
      </c>
      <c r="H189" s="95"/>
      <c r="I189" s="291" t="str">
        <f>IFERROR(IF(H189="","",IF(AND(D189="Non-native and ornamental hedgerow", H189&lt;&gt;"Poor"),"Not possible ▲", (VLOOKUP(H189,'G-1 All Habitats'!$Z$2:$AA$9,2,FALSE)))),"")</f>
        <v/>
      </c>
      <c r="J189" s="95"/>
      <c r="K189" s="310" t="str">
        <f>IF(J189="","",IF(VLOOKUP(J189,'G-3 Multipliers'!$L$3:$N$6,2,FALSE)=0,"Spatial Data Missing ⚠",VLOOKUP(J189,'G-3 Multipliers'!$L$3:$N$6,2,FALSE)))</f>
        <v/>
      </c>
      <c r="L189" s="296" t="str">
        <f>IF(J189="","",IF(VLOOKUP(J189,'G-3 Multipliers'!$L$3:$N$6,3,FALSE)=0,"Spatial Data Missing ⚠",VLOOKUP(J189,'G-3 Multipliers'!$L$3:$N$6,3,FALSE)))</f>
        <v/>
      </c>
      <c r="M189" s="290" t="str">
        <f>IF(OR(D189="",H189=""),"",(INDEX('G-6 Hedgerow Data'!$E$3:$I$15,MATCH(D189,'G-6 Hedgerow Data'!$B$3:$B$15,0),MATCH(H189,'G-6 Hedgerow Data'!$E$2:$I$2,0))))</f>
        <v/>
      </c>
      <c r="N189" s="138"/>
      <c r="O189" s="138"/>
      <c r="P189" s="298" t="str">
        <f t="shared" si="13"/>
        <v/>
      </c>
      <c r="Q189" s="311" t="str">
        <f t="shared" si="14"/>
        <v/>
      </c>
      <c r="R189" s="312" t="str">
        <f t="shared" si="12"/>
        <v/>
      </c>
      <c r="S189" s="325" t="str">
        <f>IF(D189="","",VLOOKUP(D189,'G-6 Hedgerow Data'!$B$3:$AG$15,31,FALSE))</f>
        <v/>
      </c>
      <c r="T189" s="298" t="str">
        <f t="shared" si="15"/>
        <v/>
      </c>
      <c r="U189" s="298" t="str">
        <f t="shared" si="16"/>
        <v/>
      </c>
      <c r="V189" s="314" t="str">
        <f>IF(D189="","",VLOOKUP(S189,'G-3 Multipliers'!$P$3:$Q$6,2,FALSE))</f>
        <v/>
      </c>
      <c r="W189" s="317" t="str">
        <f t="shared" si="17"/>
        <v/>
      </c>
      <c r="X189" s="98"/>
      <c r="Y189" s="99"/>
      <c r="Z189" s="101"/>
      <c r="AG189" s="15" t="str">
        <f>IFERROR(INDEX('G-6 Hedgerow Data'!$BJ$3:$BJ$15,MATCH(D189,'G-6 Hedgerow Data'!$B$3:$B$15,0)),"")</f>
        <v/>
      </c>
    </row>
    <row r="190" spans="2:33" ht="14" x14ac:dyDescent="0.3">
      <c r="B190" s="92">
        <v>179</v>
      </c>
      <c r="C190" s="143"/>
      <c r="D190" s="138"/>
      <c r="E190" s="120"/>
      <c r="F190" s="335" t="str">
        <f>IF(D190="","",VLOOKUP(D190,'G-6 Hedgerow Data'!$B$2:$AG$15,2,FALSE))</f>
        <v/>
      </c>
      <c r="G190" s="291" t="str">
        <f>IF(D190="","",VLOOKUP(D190,'G-6 Hedgerow Data'!$B$2:$AG$15,3,FALSE))</f>
        <v/>
      </c>
      <c r="H190" s="95"/>
      <c r="I190" s="291" t="str">
        <f>IFERROR(IF(H190="","",IF(AND(D190="Non-native and ornamental hedgerow", H190&lt;&gt;"Poor"),"Not possible ▲", (VLOOKUP(H190,'G-1 All Habitats'!$Z$2:$AA$9,2,FALSE)))),"")</f>
        <v/>
      </c>
      <c r="J190" s="95"/>
      <c r="K190" s="310" t="str">
        <f>IF(J190="","",IF(VLOOKUP(J190,'G-3 Multipliers'!$L$3:$N$6,2,FALSE)=0,"Spatial Data Missing ⚠",VLOOKUP(J190,'G-3 Multipliers'!$L$3:$N$6,2,FALSE)))</f>
        <v/>
      </c>
      <c r="L190" s="296" t="str">
        <f>IF(J190="","",IF(VLOOKUP(J190,'G-3 Multipliers'!$L$3:$N$6,3,FALSE)=0,"Spatial Data Missing ⚠",VLOOKUP(J190,'G-3 Multipliers'!$L$3:$N$6,3,FALSE)))</f>
        <v/>
      </c>
      <c r="M190" s="290" t="str">
        <f>IF(OR(D190="",H190=""),"",(INDEX('G-6 Hedgerow Data'!$E$3:$I$15,MATCH(D190,'G-6 Hedgerow Data'!$B$3:$B$15,0),MATCH(H190,'G-6 Hedgerow Data'!$E$2:$I$2,0))))</f>
        <v/>
      </c>
      <c r="N190" s="138"/>
      <c r="O190" s="138"/>
      <c r="P190" s="298" t="str">
        <f t="shared" si="13"/>
        <v/>
      </c>
      <c r="Q190" s="311" t="str">
        <f t="shared" si="14"/>
        <v/>
      </c>
      <c r="R190" s="312" t="str">
        <f t="shared" si="12"/>
        <v/>
      </c>
      <c r="S190" s="325" t="str">
        <f>IF(D190="","",VLOOKUP(D190,'G-6 Hedgerow Data'!$B$3:$AG$15,31,FALSE))</f>
        <v/>
      </c>
      <c r="T190" s="298" t="str">
        <f t="shared" si="15"/>
        <v/>
      </c>
      <c r="U190" s="298" t="str">
        <f t="shared" si="16"/>
        <v/>
      </c>
      <c r="V190" s="314" t="str">
        <f>IF(D190="","",VLOOKUP(S190,'G-3 Multipliers'!$P$3:$Q$6,2,FALSE))</f>
        <v/>
      </c>
      <c r="W190" s="317" t="str">
        <f t="shared" si="17"/>
        <v/>
      </c>
      <c r="X190" s="98"/>
      <c r="Y190" s="99"/>
      <c r="Z190" s="101"/>
      <c r="AG190" s="15" t="str">
        <f>IFERROR(INDEX('G-6 Hedgerow Data'!$BJ$3:$BJ$15,MATCH(D190,'G-6 Hedgerow Data'!$B$3:$B$15,0)),"")</f>
        <v/>
      </c>
    </row>
    <row r="191" spans="2:33" ht="14" x14ac:dyDescent="0.3">
      <c r="B191" s="92">
        <v>180</v>
      </c>
      <c r="C191" s="143"/>
      <c r="D191" s="138"/>
      <c r="E191" s="120"/>
      <c r="F191" s="335" t="str">
        <f>IF(D191="","",VLOOKUP(D191,'G-6 Hedgerow Data'!$B$2:$AG$15,2,FALSE))</f>
        <v/>
      </c>
      <c r="G191" s="291" t="str">
        <f>IF(D191="","",VLOOKUP(D191,'G-6 Hedgerow Data'!$B$2:$AG$15,3,FALSE))</f>
        <v/>
      </c>
      <c r="H191" s="95"/>
      <c r="I191" s="291" t="str">
        <f>IFERROR(IF(H191="","",IF(AND(D191="Non-native and ornamental hedgerow", H191&lt;&gt;"Poor"),"Not possible ▲", (VLOOKUP(H191,'G-1 All Habitats'!$Z$2:$AA$9,2,FALSE)))),"")</f>
        <v/>
      </c>
      <c r="J191" s="95"/>
      <c r="K191" s="310" t="str">
        <f>IF(J191="","",IF(VLOOKUP(J191,'G-3 Multipliers'!$L$3:$N$6,2,FALSE)=0,"Spatial Data Missing ⚠",VLOOKUP(J191,'G-3 Multipliers'!$L$3:$N$6,2,FALSE)))</f>
        <v/>
      </c>
      <c r="L191" s="296" t="str">
        <f>IF(J191="","",IF(VLOOKUP(J191,'G-3 Multipliers'!$L$3:$N$6,3,FALSE)=0,"Spatial Data Missing ⚠",VLOOKUP(J191,'G-3 Multipliers'!$L$3:$N$6,3,FALSE)))</f>
        <v/>
      </c>
      <c r="M191" s="290" t="str">
        <f>IF(OR(D191="",H191=""),"",(INDEX('G-6 Hedgerow Data'!$E$3:$I$15,MATCH(D191,'G-6 Hedgerow Data'!$B$3:$B$15,0),MATCH(H191,'G-6 Hedgerow Data'!$E$2:$I$2,0))))</f>
        <v/>
      </c>
      <c r="N191" s="138"/>
      <c r="O191" s="138"/>
      <c r="P191" s="298" t="str">
        <f t="shared" si="13"/>
        <v/>
      </c>
      <c r="Q191" s="311" t="str">
        <f t="shared" si="14"/>
        <v/>
      </c>
      <c r="R191" s="312" t="str">
        <f t="shared" si="12"/>
        <v/>
      </c>
      <c r="S191" s="325" t="str">
        <f>IF(D191="","",VLOOKUP(D191,'G-6 Hedgerow Data'!$B$3:$AG$15,31,FALSE))</f>
        <v/>
      </c>
      <c r="T191" s="298" t="str">
        <f t="shared" si="15"/>
        <v/>
      </c>
      <c r="U191" s="298" t="str">
        <f t="shared" si="16"/>
        <v/>
      </c>
      <c r="V191" s="314" t="str">
        <f>IF(D191="","",VLOOKUP(S191,'G-3 Multipliers'!$P$3:$Q$6,2,FALSE))</f>
        <v/>
      </c>
      <c r="W191" s="317" t="str">
        <f t="shared" si="17"/>
        <v/>
      </c>
      <c r="X191" s="98"/>
      <c r="Y191" s="99"/>
      <c r="Z191" s="101"/>
      <c r="AG191" s="15" t="str">
        <f>IFERROR(INDEX('G-6 Hedgerow Data'!$BJ$3:$BJ$15,MATCH(D191,'G-6 Hedgerow Data'!$B$3:$B$15,0)),"")</f>
        <v/>
      </c>
    </row>
    <row r="192" spans="2:33" ht="14" x14ac:dyDescent="0.3">
      <c r="B192" s="92">
        <v>181</v>
      </c>
      <c r="C192" s="143"/>
      <c r="D192" s="138"/>
      <c r="E192" s="120"/>
      <c r="F192" s="335" t="str">
        <f>IF(D192="","",VLOOKUP(D192,'G-6 Hedgerow Data'!$B$2:$AG$15,2,FALSE))</f>
        <v/>
      </c>
      <c r="G192" s="291" t="str">
        <f>IF(D192="","",VLOOKUP(D192,'G-6 Hedgerow Data'!$B$2:$AG$15,3,FALSE))</f>
        <v/>
      </c>
      <c r="H192" s="95"/>
      <c r="I192" s="291" t="str">
        <f>IFERROR(IF(H192="","",IF(AND(D192="Non-native and ornamental hedgerow", H192&lt;&gt;"Poor"),"Not possible ▲", (VLOOKUP(H192,'G-1 All Habitats'!$Z$2:$AA$9,2,FALSE)))),"")</f>
        <v/>
      </c>
      <c r="J192" s="95"/>
      <c r="K192" s="310" t="str">
        <f>IF(J192="","",IF(VLOOKUP(J192,'G-3 Multipliers'!$L$3:$N$6,2,FALSE)=0,"Spatial Data Missing ⚠",VLOOKUP(J192,'G-3 Multipliers'!$L$3:$N$6,2,FALSE)))</f>
        <v/>
      </c>
      <c r="L192" s="296" t="str">
        <f>IF(J192="","",IF(VLOOKUP(J192,'G-3 Multipliers'!$L$3:$N$6,3,FALSE)=0,"Spatial Data Missing ⚠",VLOOKUP(J192,'G-3 Multipliers'!$L$3:$N$6,3,FALSE)))</f>
        <v/>
      </c>
      <c r="M192" s="290" t="str">
        <f>IF(OR(D192="",H192=""),"",(INDEX('G-6 Hedgerow Data'!$E$3:$I$15,MATCH(D192,'G-6 Hedgerow Data'!$B$3:$B$15,0),MATCH(H192,'G-6 Hedgerow Data'!$E$2:$I$2,0))))</f>
        <v/>
      </c>
      <c r="N192" s="138"/>
      <c r="O192" s="138"/>
      <c r="P192" s="298" t="str">
        <f t="shared" si="13"/>
        <v/>
      </c>
      <c r="Q192" s="311" t="str">
        <f t="shared" si="14"/>
        <v/>
      </c>
      <c r="R192" s="312" t="str">
        <f t="shared" si="12"/>
        <v/>
      </c>
      <c r="S192" s="325" t="str">
        <f>IF(D192="","",VLOOKUP(D192,'G-6 Hedgerow Data'!$B$3:$AG$15,31,FALSE))</f>
        <v/>
      </c>
      <c r="T192" s="298" t="str">
        <f t="shared" si="15"/>
        <v/>
      </c>
      <c r="U192" s="298" t="str">
        <f t="shared" si="16"/>
        <v/>
      </c>
      <c r="V192" s="314" t="str">
        <f>IF(D192="","",VLOOKUP(S192,'G-3 Multipliers'!$P$3:$Q$6,2,FALSE))</f>
        <v/>
      </c>
      <c r="W192" s="317" t="str">
        <f t="shared" si="17"/>
        <v/>
      </c>
      <c r="X192" s="98"/>
      <c r="Y192" s="99"/>
      <c r="Z192" s="101"/>
      <c r="AG192" s="15" t="str">
        <f>IFERROR(INDEX('G-6 Hedgerow Data'!$BJ$3:$BJ$15,MATCH(D192,'G-6 Hedgerow Data'!$B$3:$B$15,0)),"")</f>
        <v/>
      </c>
    </row>
    <row r="193" spans="2:33" ht="14" x14ac:dyDescent="0.3">
      <c r="B193" s="92">
        <v>182</v>
      </c>
      <c r="C193" s="143"/>
      <c r="D193" s="138"/>
      <c r="E193" s="120"/>
      <c r="F193" s="335" t="str">
        <f>IF(D193="","",VLOOKUP(D193,'G-6 Hedgerow Data'!$B$2:$AG$15,2,FALSE))</f>
        <v/>
      </c>
      <c r="G193" s="291" t="str">
        <f>IF(D193="","",VLOOKUP(D193,'G-6 Hedgerow Data'!$B$2:$AG$15,3,FALSE))</f>
        <v/>
      </c>
      <c r="H193" s="95"/>
      <c r="I193" s="291" t="str">
        <f>IFERROR(IF(H193="","",IF(AND(D193="Non-native and ornamental hedgerow", H193&lt;&gt;"Poor"),"Not possible ▲", (VLOOKUP(H193,'G-1 All Habitats'!$Z$2:$AA$9,2,FALSE)))),"")</f>
        <v/>
      </c>
      <c r="J193" s="95"/>
      <c r="K193" s="310" t="str">
        <f>IF(J193="","",IF(VLOOKUP(J193,'G-3 Multipliers'!$L$3:$N$6,2,FALSE)=0,"Spatial Data Missing ⚠",VLOOKUP(J193,'G-3 Multipliers'!$L$3:$N$6,2,FALSE)))</f>
        <v/>
      </c>
      <c r="L193" s="296" t="str">
        <f>IF(J193="","",IF(VLOOKUP(J193,'G-3 Multipliers'!$L$3:$N$6,3,FALSE)=0,"Spatial Data Missing ⚠",VLOOKUP(J193,'G-3 Multipliers'!$L$3:$N$6,3,FALSE)))</f>
        <v/>
      </c>
      <c r="M193" s="290" t="str">
        <f>IF(OR(D193="",H193=""),"",(INDEX('G-6 Hedgerow Data'!$E$3:$I$15,MATCH(D193,'G-6 Hedgerow Data'!$B$3:$B$15,0),MATCH(H193,'G-6 Hedgerow Data'!$E$2:$I$2,0))))</f>
        <v/>
      </c>
      <c r="N193" s="138"/>
      <c r="O193" s="138"/>
      <c r="P193" s="298" t="str">
        <f t="shared" si="13"/>
        <v/>
      </c>
      <c r="Q193" s="311" t="str">
        <f t="shared" si="14"/>
        <v/>
      </c>
      <c r="R193" s="312" t="str">
        <f t="shared" si="12"/>
        <v/>
      </c>
      <c r="S193" s="325" t="str">
        <f>IF(D193="","",VLOOKUP(D193,'G-6 Hedgerow Data'!$B$3:$AG$15,31,FALSE))</f>
        <v/>
      </c>
      <c r="T193" s="298" t="str">
        <f t="shared" si="15"/>
        <v/>
      </c>
      <c r="U193" s="298" t="str">
        <f t="shared" si="16"/>
        <v/>
      </c>
      <c r="V193" s="314" t="str">
        <f>IF(D193="","",VLOOKUP(S193,'G-3 Multipliers'!$P$3:$Q$6,2,FALSE))</f>
        <v/>
      </c>
      <c r="W193" s="317" t="str">
        <f t="shared" si="17"/>
        <v/>
      </c>
      <c r="X193" s="98"/>
      <c r="Y193" s="99"/>
      <c r="Z193" s="101"/>
      <c r="AG193" s="15" t="str">
        <f>IFERROR(INDEX('G-6 Hedgerow Data'!$BJ$3:$BJ$15,MATCH(D193,'G-6 Hedgerow Data'!$B$3:$B$15,0)),"")</f>
        <v/>
      </c>
    </row>
    <row r="194" spans="2:33" ht="14" x14ac:dyDescent="0.3">
      <c r="B194" s="92">
        <v>183</v>
      </c>
      <c r="C194" s="143"/>
      <c r="D194" s="138"/>
      <c r="E194" s="120"/>
      <c r="F194" s="335" t="str">
        <f>IF(D194="","",VLOOKUP(D194,'G-6 Hedgerow Data'!$B$2:$AG$15,2,FALSE))</f>
        <v/>
      </c>
      <c r="G194" s="291" t="str">
        <f>IF(D194="","",VLOOKUP(D194,'G-6 Hedgerow Data'!$B$2:$AG$15,3,FALSE))</f>
        <v/>
      </c>
      <c r="H194" s="95"/>
      <c r="I194" s="291" t="str">
        <f>IFERROR(IF(H194="","",IF(AND(D194="Non-native and ornamental hedgerow", H194&lt;&gt;"Poor"),"Not possible ▲", (VLOOKUP(H194,'G-1 All Habitats'!$Z$2:$AA$9,2,FALSE)))),"")</f>
        <v/>
      </c>
      <c r="J194" s="95"/>
      <c r="K194" s="310" t="str">
        <f>IF(J194="","",IF(VLOOKUP(J194,'G-3 Multipliers'!$L$3:$N$6,2,FALSE)=0,"Spatial Data Missing ⚠",VLOOKUP(J194,'G-3 Multipliers'!$L$3:$N$6,2,FALSE)))</f>
        <v/>
      </c>
      <c r="L194" s="296" t="str">
        <f>IF(J194="","",IF(VLOOKUP(J194,'G-3 Multipliers'!$L$3:$N$6,3,FALSE)=0,"Spatial Data Missing ⚠",VLOOKUP(J194,'G-3 Multipliers'!$L$3:$N$6,3,FALSE)))</f>
        <v/>
      </c>
      <c r="M194" s="290" t="str">
        <f>IF(OR(D194="",H194=""),"",(INDEX('G-6 Hedgerow Data'!$E$3:$I$15,MATCH(D194,'G-6 Hedgerow Data'!$B$3:$B$15,0),MATCH(H194,'G-6 Hedgerow Data'!$E$2:$I$2,0))))</f>
        <v/>
      </c>
      <c r="N194" s="138"/>
      <c r="O194" s="138"/>
      <c r="P194" s="298" t="str">
        <f t="shared" si="13"/>
        <v/>
      </c>
      <c r="Q194" s="311" t="str">
        <f t="shared" si="14"/>
        <v/>
      </c>
      <c r="R194" s="312" t="str">
        <f t="shared" si="12"/>
        <v/>
      </c>
      <c r="S194" s="325" t="str">
        <f>IF(D194="","",VLOOKUP(D194,'G-6 Hedgerow Data'!$B$3:$AG$15,31,FALSE))</f>
        <v/>
      </c>
      <c r="T194" s="298" t="str">
        <f t="shared" si="15"/>
        <v/>
      </c>
      <c r="U194" s="298" t="str">
        <f t="shared" si="16"/>
        <v/>
      </c>
      <c r="V194" s="314" t="str">
        <f>IF(D194="","",VLOOKUP(S194,'G-3 Multipliers'!$P$3:$Q$6,2,FALSE))</f>
        <v/>
      </c>
      <c r="W194" s="317" t="str">
        <f t="shared" si="17"/>
        <v/>
      </c>
      <c r="X194" s="98"/>
      <c r="Y194" s="99"/>
      <c r="Z194" s="101"/>
      <c r="AG194" s="15" t="str">
        <f>IFERROR(INDEX('G-6 Hedgerow Data'!$BJ$3:$BJ$15,MATCH(D194,'G-6 Hedgerow Data'!$B$3:$B$15,0)),"")</f>
        <v/>
      </c>
    </row>
    <row r="195" spans="2:33" ht="14" x14ac:dyDescent="0.3">
      <c r="B195" s="92">
        <v>184</v>
      </c>
      <c r="C195" s="143"/>
      <c r="D195" s="138"/>
      <c r="E195" s="120"/>
      <c r="F195" s="335" t="str">
        <f>IF(D195="","",VLOOKUP(D195,'G-6 Hedgerow Data'!$B$2:$AG$15,2,FALSE))</f>
        <v/>
      </c>
      <c r="G195" s="291" t="str">
        <f>IF(D195="","",VLOOKUP(D195,'G-6 Hedgerow Data'!$B$2:$AG$15,3,FALSE))</f>
        <v/>
      </c>
      <c r="H195" s="95"/>
      <c r="I195" s="291" t="str">
        <f>IFERROR(IF(H195="","",IF(AND(D195="Non-native and ornamental hedgerow", H195&lt;&gt;"Poor"),"Not possible ▲", (VLOOKUP(H195,'G-1 All Habitats'!$Z$2:$AA$9,2,FALSE)))),"")</f>
        <v/>
      </c>
      <c r="J195" s="95"/>
      <c r="K195" s="310" t="str">
        <f>IF(J195="","",IF(VLOOKUP(J195,'G-3 Multipliers'!$L$3:$N$6,2,FALSE)=0,"Spatial Data Missing ⚠",VLOOKUP(J195,'G-3 Multipliers'!$L$3:$N$6,2,FALSE)))</f>
        <v/>
      </c>
      <c r="L195" s="296" t="str">
        <f>IF(J195="","",IF(VLOOKUP(J195,'G-3 Multipliers'!$L$3:$N$6,3,FALSE)=0,"Spatial Data Missing ⚠",VLOOKUP(J195,'G-3 Multipliers'!$L$3:$N$6,3,FALSE)))</f>
        <v/>
      </c>
      <c r="M195" s="290" t="str">
        <f>IF(OR(D195="",H195=""),"",(INDEX('G-6 Hedgerow Data'!$E$3:$I$15,MATCH(D195,'G-6 Hedgerow Data'!$B$3:$B$15,0),MATCH(H195,'G-6 Hedgerow Data'!$E$2:$I$2,0))))</f>
        <v/>
      </c>
      <c r="N195" s="138"/>
      <c r="O195" s="138"/>
      <c r="P195" s="298" t="str">
        <f t="shared" si="13"/>
        <v/>
      </c>
      <c r="Q195" s="311" t="str">
        <f t="shared" si="14"/>
        <v/>
      </c>
      <c r="R195" s="312" t="str">
        <f t="shared" si="12"/>
        <v/>
      </c>
      <c r="S195" s="325" t="str">
        <f>IF(D195="","",VLOOKUP(D195,'G-6 Hedgerow Data'!$B$3:$AG$15,31,FALSE))</f>
        <v/>
      </c>
      <c r="T195" s="298" t="str">
        <f t="shared" si="15"/>
        <v/>
      </c>
      <c r="U195" s="298" t="str">
        <f t="shared" si="16"/>
        <v/>
      </c>
      <c r="V195" s="314" t="str">
        <f>IF(D195="","",VLOOKUP(S195,'G-3 Multipliers'!$P$3:$Q$6,2,FALSE))</f>
        <v/>
      </c>
      <c r="W195" s="317" t="str">
        <f t="shared" si="17"/>
        <v/>
      </c>
      <c r="X195" s="98"/>
      <c r="Y195" s="99"/>
      <c r="Z195" s="101"/>
      <c r="AG195" s="15" t="str">
        <f>IFERROR(INDEX('G-6 Hedgerow Data'!$BJ$3:$BJ$15,MATCH(D195,'G-6 Hedgerow Data'!$B$3:$B$15,0)),"")</f>
        <v/>
      </c>
    </row>
    <row r="196" spans="2:33" ht="14" x14ac:dyDescent="0.3">
      <c r="B196" s="92">
        <v>185</v>
      </c>
      <c r="C196" s="143"/>
      <c r="D196" s="138"/>
      <c r="E196" s="120"/>
      <c r="F196" s="335" t="str">
        <f>IF(D196="","",VLOOKUP(D196,'G-6 Hedgerow Data'!$B$2:$AG$15,2,FALSE))</f>
        <v/>
      </c>
      <c r="G196" s="291" t="str">
        <f>IF(D196="","",VLOOKUP(D196,'G-6 Hedgerow Data'!$B$2:$AG$15,3,FALSE))</f>
        <v/>
      </c>
      <c r="H196" s="95"/>
      <c r="I196" s="291" t="str">
        <f>IFERROR(IF(H196="","",IF(AND(D196="Non-native and ornamental hedgerow", H196&lt;&gt;"Poor"),"Not possible ▲", (VLOOKUP(H196,'G-1 All Habitats'!$Z$2:$AA$9,2,FALSE)))),"")</f>
        <v/>
      </c>
      <c r="J196" s="95"/>
      <c r="K196" s="310" t="str">
        <f>IF(J196="","",IF(VLOOKUP(J196,'G-3 Multipliers'!$L$3:$N$6,2,FALSE)=0,"Spatial Data Missing ⚠",VLOOKUP(J196,'G-3 Multipliers'!$L$3:$N$6,2,FALSE)))</f>
        <v/>
      </c>
      <c r="L196" s="296" t="str">
        <f>IF(J196="","",IF(VLOOKUP(J196,'G-3 Multipliers'!$L$3:$N$6,3,FALSE)=0,"Spatial Data Missing ⚠",VLOOKUP(J196,'G-3 Multipliers'!$L$3:$N$6,3,FALSE)))</f>
        <v/>
      </c>
      <c r="M196" s="290" t="str">
        <f>IF(OR(D196="",H196=""),"",(INDEX('G-6 Hedgerow Data'!$E$3:$I$15,MATCH(D196,'G-6 Hedgerow Data'!$B$3:$B$15,0),MATCH(H196,'G-6 Hedgerow Data'!$E$2:$I$2,0))))</f>
        <v/>
      </c>
      <c r="N196" s="138"/>
      <c r="O196" s="138"/>
      <c r="P196" s="298" t="str">
        <f t="shared" si="13"/>
        <v/>
      </c>
      <c r="Q196" s="311" t="str">
        <f t="shared" si="14"/>
        <v/>
      </c>
      <c r="R196" s="312" t="str">
        <f t="shared" si="12"/>
        <v/>
      </c>
      <c r="S196" s="325" t="str">
        <f>IF(D196="","",VLOOKUP(D196,'G-6 Hedgerow Data'!$B$3:$AG$15,31,FALSE))</f>
        <v/>
      </c>
      <c r="T196" s="298" t="str">
        <f t="shared" si="15"/>
        <v/>
      </c>
      <c r="U196" s="298" t="str">
        <f t="shared" si="16"/>
        <v/>
      </c>
      <c r="V196" s="314" t="str">
        <f>IF(D196="","",VLOOKUP(S196,'G-3 Multipliers'!$P$3:$Q$6,2,FALSE))</f>
        <v/>
      </c>
      <c r="W196" s="317" t="str">
        <f t="shared" si="17"/>
        <v/>
      </c>
      <c r="X196" s="98"/>
      <c r="Y196" s="99"/>
      <c r="Z196" s="101"/>
      <c r="AG196" s="15" t="str">
        <f>IFERROR(INDEX('G-6 Hedgerow Data'!$BJ$3:$BJ$15,MATCH(D196,'G-6 Hedgerow Data'!$B$3:$B$15,0)),"")</f>
        <v/>
      </c>
    </row>
    <row r="197" spans="2:33" ht="14" x14ac:dyDescent="0.3">
      <c r="B197" s="92">
        <v>186</v>
      </c>
      <c r="C197" s="143"/>
      <c r="D197" s="138"/>
      <c r="E197" s="120"/>
      <c r="F197" s="335" t="str">
        <f>IF(D197="","",VLOOKUP(D197,'G-6 Hedgerow Data'!$B$2:$AG$15,2,FALSE))</f>
        <v/>
      </c>
      <c r="G197" s="291" t="str">
        <f>IF(D197="","",VLOOKUP(D197,'G-6 Hedgerow Data'!$B$2:$AG$15,3,FALSE))</f>
        <v/>
      </c>
      <c r="H197" s="95"/>
      <c r="I197" s="291" t="str">
        <f>IFERROR(IF(H197="","",IF(AND(D197="Non-native and ornamental hedgerow", H197&lt;&gt;"Poor"),"Not possible ▲", (VLOOKUP(H197,'G-1 All Habitats'!$Z$2:$AA$9,2,FALSE)))),"")</f>
        <v/>
      </c>
      <c r="J197" s="95"/>
      <c r="K197" s="310" t="str">
        <f>IF(J197="","",IF(VLOOKUP(J197,'G-3 Multipliers'!$L$3:$N$6,2,FALSE)=0,"Spatial Data Missing ⚠",VLOOKUP(J197,'G-3 Multipliers'!$L$3:$N$6,2,FALSE)))</f>
        <v/>
      </c>
      <c r="L197" s="296" t="str">
        <f>IF(J197="","",IF(VLOOKUP(J197,'G-3 Multipliers'!$L$3:$N$6,3,FALSE)=0,"Spatial Data Missing ⚠",VLOOKUP(J197,'G-3 Multipliers'!$L$3:$N$6,3,FALSE)))</f>
        <v/>
      </c>
      <c r="M197" s="290" t="str">
        <f>IF(OR(D197="",H197=""),"",(INDEX('G-6 Hedgerow Data'!$E$3:$I$15,MATCH(D197,'G-6 Hedgerow Data'!$B$3:$B$15,0),MATCH(H197,'G-6 Hedgerow Data'!$E$2:$I$2,0))))</f>
        <v/>
      </c>
      <c r="N197" s="138"/>
      <c r="O197" s="138"/>
      <c r="P197" s="298" t="str">
        <f t="shared" si="13"/>
        <v/>
      </c>
      <c r="Q197" s="311" t="str">
        <f t="shared" si="14"/>
        <v/>
      </c>
      <c r="R197" s="312" t="str">
        <f t="shared" si="12"/>
        <v/>
      </c>
      <c r="S197" s="325" t="str">
        <f>IF(D197="","",VLOOKUP(D197,'G-6 Hedgerow Data'!$B$3:$AG$15,31,FALSE))</f>
        <v/>
      </c>
      <c r="T197" s="298" t="str">
        <f t="shared" si="15"/>
        <v/>
      </c>
      <c r="U197" s="298" t="str">
        <f t="shared" si="16"/>
        <v/>
      </c>
      <c r="V197" s="314" t="str">
        <f>IF(D197="","",VLOOKUP(S197,'G-3 Multipliers'!$P$3:$Q$6,2,FALSE))</f>
        <v/>
      </c>
      <c r="W197" s="317" t="str">
        <f t="shared" si="17"/>
        <v/>
      </c>
      <c r="X197" s="98"/>
      <c r="Y197" s="99"/>
      <c r="Z197" s="101"/>
      <c r="AG197" s="15" t="str">
        <f>IFERROR(INDEX('G-6 Hedgerow Data'!$BJ$3:$BJ$15,MATCH(D197,'G-6 Hedgerow Data'!$B$3:$B$15,0)),"")</f>
        <v/>
      </c>
    </row>
    <row r="198" spans="2:33" ht="14" x14ac:dyDescent="0.3">
      <c r="B198" s="92">
        <v>187</v>
      </c>
      <c r="C198" s="143"/>
      <c r="D198" s="138"/>
      <c r="E198" s="120"/>
      <c r="F198" s="335" t="str">
        <f>IF(D198="","",VLOOKUP(D198,'G-6 Hedgerow Data'!$B$2:$AG$15,2,FALSE))</f>
        <v/>
      </c>
      <c r="G198" s="291" t="str">
        <f>IF(D198="","",VLOOKUP(D198,'G-6 Hedgerow Data'!$B$2:$AG$15,3,FALSE))</f>
        <v/>
      </c>
      <c r="H198" s="95"/>
      <c r="I198" s="291" t="str">
        <f>IFERROR(IF(H198="","",IF(AND(D198="Non-native and ornamental hedgerow", H198&lt;&gt;"Poor"),"Not possible ▲", (VLOOKUP(H198,'G-1 All Habitats'!$Z$2:$AA$9,2,FALSE)))),"")</f>
        <v/>
      </c>
      <c r="J198" s="95"/>
      <c r="K198" s="310" t="str">
        <f>IF(J198="","",IF(VLOOKUP(J198,'G-3 Multipliers'!$L$3:$N$6,2,FALSE)=0,"Spatial Data Missing ⚠",VLOOKUP(J198,'G-3 Multipliers'!$L$3:$N$6,2,FALSE)))</f>
        <v/>
      </c>
      <c r="L198" s="296" t="str">
        <f>IF(J198="","",IF(VLOOKUP(J198,'G-3 Multipliers'!$L$3:$N$6,3,FALSE)=0,"Spatial Data Missing ⚠",VLOOKUP(J198,'G-3 Multipliers'!$L$3:$N$6,3,FALSE)))</f>
        <v/>
      </c>
      <c r="M198" s="290" t="str">
        <f>IF(OR(D198="",H198=""),"",(INDEX('G-6 Hedgerow Data'!$E$3:$I$15,MATCH(D198,'G-6 Hedgerow Data'!$B$3:$B$15,0),MATCH(H198,'G-6 Hedgerow Data'!$E$2:$I$2,0))))</f>
        <v/>
      </c>
      <c r="N198" s="138"/>
      <c r="O198" s="138"/>
      <c r="P198" s="298" t="str">
        <f t="shared" si="13"/>
        <v/>
      </c>
      <c r="Q198" s="311" t="str">
        <f t="shared" si="14"/>
        <v/>
      </c>
      <c r="R198" s="312" t="str">
        <f t="shared" si="12"/>
        <v/>
      </c>
      <c r="S198" s="325" t="str">
        <f>IF(D198="","",VLOOKUP(D198,'G-6 Hedgerow Data'!$B$3:$AG$15,31,FALSE))</f>
        <v/>
      </c>
      <c r="T198" s="298" t="str">
        <f t="shared" si="15"/>
        <v/>
      </c>
      <c r="U198" s="298" t="str">
        <f t="shared" si="16"/>
        <v/>
      </c>
      <c r="V198" s="314" t="str">
        <f>IF(D198="","",VLOOKUP(S198,'G-3 Multipliers'!$P$3:$Q$6,2,FALSE))</f>
        <v/>
      </c>
      <c r="W198" s="317" t="str">
        <f t="shared" si="17"/>
        <v/>
      </c>
      <c r="X198" s="98"/>
      <c r="Y198" s="99"/>
      <c r="Z198" s="101"/>
      <c r="AG198" s="15" t="str">
        <f>IFERROR(INDEX('G-6 Hedgerow Data'!$BJ$3:$BJ$15,MATCH(D198,'G-6 Hedgerow Data'!$B$3:$B$15,0)),"")</f>
        <v/>
      </c>
    </row>
    <row r="199" spans="2:33" ht="14" x14ac:dyDescent="0.3">
      <c r="B199" s="92">
        <v>188</v>
      </c>
      <c r="C199" s="143"/>
      <c r="D199" s="138"/>
      <c r="E199" s="120"/>
      <c r="F199" s="335" t="str">
        <f>IF(D199="","",VLOOKUP(D199,'G-6 Hedgerow Data'!$B$2:$AG$15,2,FALSE))</f>
        <v/>
      </c>
      <c r="G199" s="291" t="str">
        <f>IF(D199="","",VLOOKUP(D199,'G-6 Hedgerow Data'!$B$2:$AG$15,3,FALSE))</f>
        <v/>
      </c>
      <c r="H199" s="95"/>
      <c r="I199" s="291" t="str">
        <f>IFERROR(IF(H199="","",IF(AND(D199="Non-native and ornamental hedgerow", H199&lt;&gt;"Poor"),"Not possible ▲", (VLOOKUP(H199,'G-1 All Habitats'!$Z$2:$AA$9,2,FALSE)))),"")</f>
        <v/>
      </c>
      <c r="J199" s="95"/>
      <c r="K199" s="310" t="str">
        <f>IF(J199="","",IF(VLOOKUP(J199,'G-3 Multipliers'!$L$3:$N$6,2,FALSE)=0,"Spatial Data Missing ⚠",VLOOKUP(J199,'G-3 Multipliers'!$L$3:$N$6,2,FALSE)))</f>
        <v/>
      </c>
      <c r="L199" s="296" t="str">
        <f>IF(J199="","",IF(VLOOKUP(J199,'G-3 Multipliers'!$L$3:$N$6,3,FALSE)=0,"Spatial Data Missing ⚠",VLOOKUP(J199,'G-3 Multipliers'!$L$3:$N$6,3,FALSE)))</f>
        <v/>
      </c>
      <c r="M199" s="290" t="str">
        <f>IF(OR(D199="",H199=""),"",(INDEX('G-6 Hedgerow Data'!$E$3:$I$15,MATCH(D199,'G-6 Hedgerow Data'!$B$3:$B$15,0),MATCH(H199,'G-6 Hedgerow Data'!$E$2:$I$2,0))))</f>
        <v/>
      </c>
      <c r="N199" s="138"/>
      <c r="O199" s="138"/>
      <c r="P199" s="298" t="str">
        <f t="shared" si="13"/>
        <v/>
      </c>
      <c r="Q199" s="311" t="str">
        <f t="shared" si="14"/>
        <v/>
      </c>
      <c r="R199" s="312" t="str">
        <f t="shared" si="12"/>
        <v/>
      </c>
      <c r="S199" s="325" t="str">
        <f>IF(D199="","",VLOOKUP(D199,'G-6 Hedgerow Data'!$B$3:$AG$15,31,FALSE))</f>
        <v/>
      </c>
      <c r="T199" s="298" t="str">
        <f t="shared" si="15"/>
        <v/>
      </c>
      <c r="U199" s="298" t="str">
        <f t="shared" si="16"/>
        <v/>
      </c>
      <c r="V199" s="314" t="str">
        <f>IF(D199="","",VLOOKUP(S199,'G-3 Multipliers'!$P$3:$Q$6,2,FALSE))</f>
        <v/>
      </c>
      <c r="W199" s="317" t="str">
        <f t="shared" si="17"/>
        <v/>
      </c>
      <c r="X199" s="98"/>
      <c r="Y199" s="99"/>
      <c r="Z199" s="101"/>
      <c r="AG199" s="15" t="str">
        <f>IFERROR(INDEX('G-6 Hedgerow Data'!$BJ$3:$BJ$15,MATCH(D199,'G-6 Hedgerow Data'!$B$3:$B$15,0)),"")</f>
        <v/>
      </c>
    </row>
    <row r="200" spans="2:33" ht="14" x14ac:dyDescent="0.3">
      <c r="B200" s="92">
        <v>189</v>
      </c>
      <c r="C200" s="143"/>
      <c r="D200" s="138"/>
      <c r="E200" s="120"/>
      <c r="F200" s="335" t="str">
        <f>IF(D200="","",VLOOKUP(D200,'G-6 Hedgerow Data'!$B$2:$AG$15,2,FALSE))</f>
        <v/>
      </c>
      <c r="G200" s="291" t="str">
        <f>IF(D200="","",VLOOKUP(D200,'G-6 Hedgerow Data'!$B$2:$AG$15,3,FALSE))</f>
        <v/>
      </c>
      <c r="H200" s="95"/>
      <c r="I200" s="291" t="str">
        <f>IFERROR(IF(H200="","",IF(AND(D200="Non-native and ornamental hedgerow", H200&lt;&gt;"Poor"),"Not possible ▲", (VLOOKUP(H200,'G-1 All Habitats'!$Z$2:$AA$9,2,FALSE)))),"")</f>
        <v/>
      </c>
      <c r="J200" s="95"/>
      <c r="K200" s="310" t="str">
        <f>IF(J200="","",IF(VLOOKUP(J200,'G-3 Multipliers'!$L$3:$N$6,2,FALSE)=0,"Spatial Data Missing ⚠",VLOOKUP(J200,'G-3 Multipliers'!$L$3:$N$6,2,FALSE)))</f>
        <v/>
      </c>
      <c r="L200" s="296" t="str">
        <f>IF(J200="","",IF(VLOOKUP(J200,'G-3 Multipliers'!$L$3:$N$6,3,FALSE)=0,"Spatial Data Missing ⚠",VLOOKUP(J200,'G-3 Multipliers'!$L$3:$N$6,3,FALSE)))</f>
        <v/>
      </c>
      <c r="M200" s="290" t="str">
        <f>IF(OR(D200="",H200=""),"",(INDEX('G-6 Hedgerow Data'!$E$3:$I$15,MATCH(D200,'G-6 Hedgerow Data'!$B$3:$B$15,0),MATCH(H200,'G-6 Hedgerow Data'!$E$2:$I$2,0))))</f>
        <v/>
      </c>
      <c r="N200" s="138"/>
      <c r="O200" s="138"/>
      <c r="P200" s="298" t="str">
        <f t="shared" si="13"/>
        <v/>
      </c>
      <c r="Q200" s="311" t="str">
        <f t="shared" si="14"/>
        <v/>
      </c>
      <c r="R200" s="312" t="str">
        <f t="shared" si="12"/>
        <v/>
      </c>
      <c r="S200" s="325" t="str">
        <f>IF(D200="","",VLOOKUP(D200,'G-6 Hedgerow Data'!$B$3:$AG$15,31,FALSE))</f>
        <v/>
      </c>
      <c r="T200" s="298" t="str">
        <f t="shared" si="15"/>
        <v/>
      </c>
      <c r="U200" s="298" t="str">
        <f t="shared" si="16"/>
        <v/>
      </c>
      <c r="V200" s="314" t="str">
        <f>IF(D200="","",VLOOKUP(S200,'G-3 Multipliers'!$P$3:$Q$6,2,FALSE))</f>
        <v/>
      </c>
      <c r="W200" s="317" t="str">
        <f t="shared" si="17"/>
        <v/>
      </c>
      <c r="X200" s="98"/>
      <c r="Y200" s="99"/>
      <c r="Z200" s="101"/>
      <c r="AG200" s="15" t="str">
        <f>IFERROR(INDEX('G-6 Hedgerow Data'!$BJ$3:$BJ$15,MATCH(D200,'G-6 Hedgerow Data'!$B$3:$B$15,0)),"")</f>
        <v/>
      </c>
    </row>
    <row r="201" spans="2:33" ht="14" x14ac:dyDescent="0.3">
      <c r="B201" s="92">
        <v>190</v>
      </c>
      <c r="C201" s="143"/>
      <c r="D201" s="138"/>
      <c r="E201" s="120"/>
      <c r="F201" s="335" t="str">
        <f>IF(D201="","",VLOOKUP(D201,'G-6 Hedgerow Data'!$B$2:$AG$15,2,FALSE))</f>
        <v/>
      </c>
      <c r="G201" s="291" t="str">
        <f>IF(D201="","",VLOOKUP(D201,'G-6 Hedgerow Data'!$B$2:$AG$15,3,FALSE))</f>
        <v/>
      </c>
      <c r="H201" s="95"/>
      <c r="I201" s="291" t="str">
        <f>IFERROR(IF(H201="","",IF(AND(D201="Non-native and ornamental hedgerow", H201&lt;&gt;"Poor"),"Not possible ▲", (VLOOKUP(H201,'G-1 All Habitats'!$Z$2:$AA$9,2,FALSE)))),"")</f>
        <v/>
      </c>
      <c r="J201" s="95"/>
      <c r="K201" s="310" t="str">
        <f>IF(J201="","",IF(VLOOKUP(J201,'G-3 Multipliers'!$L$3:$N$6,2,FALSE)=0,"Spatial Data Missing ⚠",VLOOKUP(J201,'G-3 Multipliers'!$L$3:$N$6,2,FALSE)))</f>
        <v/>
      </c>
      <c r="L201" s="296" t="str">
        <f>IF(J201="","",IF(VLOOKUP(J201,'G-3 Multipliers'!$L$3:$N$6,3,FALSE)=0,"Spatial Data Missing ⚠",VLOOKUP(J201,'G-3 Multipliers'!$L$3:$N$6,3,FALSE)))</f>
        <v/>
      </c>
      <c r="M201" s="290" t="str">
        <f>IF(OR(D201="",H201=""),"",(INDEX('G-6 Hedgerow Data'!$E$3:$I$15,MATCH(D201,'G-6 Hedgerow Data'!$B$3:$B$15,0),MATCH(H201,'G-6 Hedgerow Data'!$E$2:$I$2,0))))</f>
        <v/>
      </c>
      <c r="N201" s="138"/>
      <c r="O201" s="138"/>
      <c r="P201" s="298" t="str">
        <f t="shared" si="13"/>
        <v/>
      </c>
      <c r="Q201" s="311" t="str">
        <f t="shared" si="14"/>
        <v/>
      </c>
      <c r="R201" s="312" t="str">
        <f t="shared" si="12"/>
        <v/>
      </c>
      <c r="S201" s="325" t="str">
        <f>IF(D201="","",VLOOKUP(D201,'G-6 Hedgerow Data'!$B$3:$AG$15,31,FALSE))</f>
        <v/>
      </c>
      <c r="T201" s="298" t="str">
        <f t="shared" si="15"/>
        <v/>
      </c>
      <c r="U201" s="298" t="str">
        <f t="shared" si="16"/>
        <v/>
      </c>
      <c r="V201" s="314" t="str">
        <f>IF(D201="","",VLOOKUP(S201,'G-3 Multipliers'!$P$3:$Q$6,2,FALSE))</f>
        <v/>
      </c>
      <c r="W201" s="317" t="str">
        <f t="shared" si="17"/>
        <v/>
      </c>
      <c r="X201" s="98"/>
      <c r="Y201" s="99"/>
      <c r="Z201" s="101"/>
      <c r="AG201" s="15" t="str">
        <f>IFERROR(INDEX('G-6 Hedgerow Data'!$BJ$3:$BJ$15,MATCH(D201,'G-6 Hedgerow Data'!$B$3:$B$15,0)),"")</f>
        <v/>
      </c>
    </row>
    <row r="202" spans="2:33" ht="14" x14ac:dyDescent="0.3">
      <c r="B202" s="92">
        <v>191</v>
      </c>
      <c r="C202" s="143"/>
      <c r="D202" s="138"/>
      <c r="E202" s="120"/>
      <c r="F202" s="335" t="str">
        <f>IF(D202="","",VLOOKUP(D202,'G-6 Hedgerow Data'!$B$2:$AG$15,2,FALSE))</f>
        <v/>
      </c>
      <c r="G202" s="291" t="str">
        <f>IF(D202="","",VLOOKUP(D202,'G-6 Hedgerow Data'!$B$2:$AG$15,3,FALSE))</f>
        <v/>
      </c>
      <c r="H202" s="95"/>
      <c r="I202" s="291" t="str">
        <f>IFERROR(IF(H202="","",IF(AND(D202="Non-native and ornamental hedgerow", H202&lt;&gt;"Poor"),"Not possible ▲", (VLOOKUP(H202,'G-1 All Habitats'!$Z$2:$AA$9,2,FALSE)))),"")</f>
        <v/>
      </c>
      <c r="J202" s="95"/>
      <c r="K202" s="310" t="str">
        <f>IF(J202="","",IF(VLOOKUP(J202,'G-3 Multipliers'!$L$3:$N$6,2,FALSE)=0,"Spatial Data Missing ⚠",VLOOKUP(J202,'G-3 Multipliers'!$L$3:$N$6,2,FALSE)))</f>
        <v/>
      </c>
      <c r="L202" s="296" t="str">
        <f>IF(J202="","",IF(VLOOKUP(J202,'G-3 Multipliers'!$L$3:$N$6,3,FALSE)=0,"Spatial Data Missing ⚠",VLOOKUP(J202,'G-3 Multipliers'!$L$3:$N$6,3,FALSE)))</f>
        <v/>
      </c>
      <c r="M202" s="290" t="str">
        <f>IF(OR(D202="",H202=""),"",(INDEX('G-6 Hedgerow Data'!$E$3:$I$15,MATCH(D202,'G-6 Hedgerow Data'!$B$3:$B$15,0),MATCH(H202,'G-6 Hedgerow Data'!$E$2:$I$2,0))))</f>
        <v/>
      </c>
      <c r="N202" s="138"/>
      <c r="O202" s="138"/>
      <c r="P202" s="298" t="str">
        <f t="shared" si="13"/>
        <v/>
      </c>
      <c r="Q202" s="311" t="str">
        <f t="shared" si="14"/>
        <v/>
      </c>
      <c r="R202" s="312" t="str">
        <f t="shared" si="12"/>
        <v/>
      </c>
      <c r="S202" s="325" t="str">
        <f>IF(D202="","",VLOOKUP(D202,'G-6 Hedgerow Data'!$B$3:$AG$15,31,FALSE))</f>
        <v/>
      </c>
      <c r="T202" s="298" t="str">
        <f t="shared" si="15"/>
        <v/>
      </c>
      <c r="U202" s="298" t="str">
        <f t="shared" si="16"/>
        <v/>
      </c>
      <c r="V202" s="314" t="str">
        <f>IF(D202="","",VLOOKUP(S202,'G-3 Multipliers'!$P$3:$Q$6,2,FALSE))</f>
        <v/>
      </c>
      <c r="W202" s="317" t="str">
        <f t="shared" si="17"/>
        <v/>
      </c>
      <c r="X202" s="98"/>
      <c r="Y202" s="99"/>
      <c r="Z202" s="101"/>
      <c r="AG202" s="15" t="str">
        <f>IFERROR(INDEX('G-6 Hedgerow Data'!$BJ$3:$BJ$15,MATCH(D202,'G-6 Hedgerow Data'!$B$3:$B$15,0)),"")</f>
        <v/>
      </c>
    </row>
    <row r="203" spans="2:33" ht="14" x14ac:dyDescent="0.3">
      <c r="B203" s="92">
        <v>192</v>
      </c>
      <c r="C203" s="143"/>
      <c r="D203" s="138"/>
      <c r="E203" s="120"/>
      <c r="F203" s="335" t="str">
        <f>IF(D203="","",VLOOKUP(D203,'G-6 Hedgerow Data'!$B$2:$AG$15,2,FALSE))</f>
        <v/>
      </c>
      <c r="G203" s="291" t="str">
        <f>IF(D203="","",VLOOKUP(D203,'G-6 Hedgerow Data'!$B$2:$AG$15,3,FALSE))</f>
        <v/>
      </c>
      <c r="H203" s="95"/>
      <c r="I203" s="291" t="str">
        <f>IFERROR(IF(H203="","",IF(AND(D203="Non-native and ornamental hedgerow", H203&lt;&gt;"Poor"),"Not possible ▲", (VLOOKUP(H203,'G-1 All Habitats'!$Z$2:$AA$9,2,FALSE)))),"")</f>
        <v/>
      </c>
      <c r="J203" s="95"/>
      <c r="K203" s="310" t="str">
        <f>IF(J203="","",IF(VLOOKUP(J203,'G-3 Multipliers'!$L$3:$N$6,2,FALSE)=0,"Spatial Data Missing ⚠",VLOOKUP(J203,'G-3 Multipliers'!$L$3:$N$6,2,FALSE)))</f>
        <v/>
      </c>
      <c r="L203" s="296" t="str">
        <f>IF(J203="","",IF(VLOOKUP(J203,'G-3 Multipliers'!$L$3:$N$6,3,FALSE)=0,"Spatial Data Missing ⚠",VLOOKUP(J203,'G-3 Multipliers'!$L$3:$N$6,3,FALSE)))</f>
        <v/>
      </c>
      <c r="M203" s="290" t="str">
        <f>IF(OR(D203="",H203=""),"",(INDEX('G-6 Hedgerow Data'!$E$3:$I$15,MATCH(D203,'G-6 Hedgerow Data'!$B$3:$B$15,0),MATCH(H203,'G-6 Hedgerow Data'!$E$2:$I$2,0))))</f>
        <v/>
      </c>
      <c r="N203" s="138"/>
      <c r="O203" s="138"/>
      <c r="P203" s="298" t="str">
        <f t="shared" si="13"/>
        <v/>
      </c>
      <c r="Q203" s="311" t="str">
        <f t="shared" si="14"/>
        <v/>
      </c>
      <c r="R203" s="312" t="str">
        <f t="shared" si="12"/>
        <v/>
      </c>
      <c r="S203" s="325" t="str">
        <f>IF(D203="","",VLOOKUP(D203,'G-6 Hedgerow Data'!$B$3:$AG$15,31,FALSE))</f>
        <v/>
      </c>
      <c r="T203" s="298" t="str">
        <f t="shared" si="15"/>
        <v/>
      </c>
      <c r="U203" s="298" t="str">
        <f t="shared" si="16"/>
        <v/>
      </c>
      <c r="V203" s="314" t="str">
        <f>IF(D203="","",VLOOKUP(S203,'G-3 Multipliers'!$P$3:$Q$6,2,FALSE))</f>
        <v/>
      </c>
      <c r="W203" s="317" t="str">
        <f t="shared" si="17"/>
        <v/>
      </c>
      <c r="X203" s="98"/>
      <c r="Y203" s="99"/>
      <c r="Z203" s="101"/>
      <c r="AG203" s="15" t="str">
        <f>IFERROR(INDEX('G-6 Hedgerow Data'!$BJ$3:$BJ$15,MATCH(D203,'G-6 Hedgerow Data'!$B$3:$B$15,0)),"")</f>
        <v/>
      </c>
    </row>
    <row r="204" spans="2:33" ht="14" x14ac:dyDescent="0.3">
      <c r="B204" s="92">
        <v>193</v>
      </c>
      <c r="C204" s="143"/>
      <c r="D204" s="138"/>
      <c r="E204" s="120"/>
      <c r="F204" s="335" t="str">
        <f>IF(D204="","",VLOOKUP(D204,'G-6 Hedgerow Data'!$B$2:$AG$15,2,FALSE))</f>
        <v/>
      </c>
      <c r="G204" s="291" t="str">
        <f>IF(D204="","",VLOOKUP(D204,'G-6 Hedgerow Data'!$B$2:$AG$15,3,FALSE))</f>
        <v/>
      </c>
      <c r="H204" s="95"/>
      <c r="I204" s="291" t="str">
        <f>IFERROR(IF(H204="","",IF(AND(D204="Non-native and ornamental hedgerow", H204&lt;&gt;"Poor"),"Not possible ▲", (VLOOKUP(H204,'G-1 All Habitats'!$Z$2:$AA$9,2,FALSE)))),"")</f>
        <v/>
      </c>
      <c r="J204" s="95"/>
      <c r="K204" s="310" t="str">
        <f>IF(J204="","",IF(VLOOKUP(J204,'G-3 Multipliers'!$L$3:$N$6,2,FALSE)=0,"Spatial Data Missing ⚠",VLOOKUP(J204,'G-3 Multipliers'!$L$3:$N$6,2,FALSE)))</f>
        <v/>
      </c>
      <c r="L204" s="296" t="str">
        <f>IF(J204="","",IF(VLOOKUP(J204,'G-3 Multipliers'!$L$3:$N$6,3,FALSE)=0,"Spatial Data Missing ⚠",VLOOKUP(J204,'G-3 Multipliers'!$L$3:$N$6,3,FALSE)))</f>
        <v/>
      </c>
      <c r="M204" s="290" t="str">
        <f>IF(OR(D204="",H204=""),"",(INDEX('G-6 Hedgerow Data'!$E$3:$I$15,MATCH(D204,'G-6 Hedgerow Data'!$B$3:$B$15,0),MATCH(H204,'G-6 Hedgerow Data'!$E$2:$I$2,0))))</f>
        <v/>
      </c>
      <c r="N204" s="138"/>
      <c r="O204" s="138"/>
      <c r="P204" s="298" t="str">
        <f t="shared" si="13"/>
        <v/>
      </c>
      <c r="Q204" s="311" t="str">
        <f t="shared" si="14"/>
        <v/>
      </c>
      <c r="R204" s="312" t="str">
        <f t="shared" ref="R204:R259" si="18">IF(M204="","",IF(Q204="Check Data ⚠","Check Data ⚠",VLOOKUP(Q204,TemporalMultipliers,3,FALSE)))</f>
        <v/>
      </c>
      <c r="S204" s="325" t="str">
        <f>IF(D204="","",VLOOKUP(D204,'G-6 Hedgerow Data'!$B$3:$AG$15,31,FALSE))</f>
        <v/>
      </c>
      <c r="T204" s="298" t="str">
        <f t="shared" si="15"/>
        <v/>
      </c>
      <c r="U204" s="298" t="str">
        <f t="shared" si="16"/>
        <v/>
      </c>
      <c r="V204" s="314" t="str">
        <f>IF(D204="","",VLOOKUP(S204,'G-3 Multipliers'!$P$3:$Q$6,2,FALSE))</f>
        <v/>
      </c>
      <c r="W204" s="317" t="str">
        <f t="shared" si="17"/>
        <v/>
      </c>
      <c r="X204" s="98"/>
      <c r="Y204" s="99"/>
      <c r="Z204" s="101"/>
      <c r="AG204" s="15" t="str">
        <f>IFERROR(INDEX('G-6 Hedgerow Data'!$BJ$3:$BJ$15,MATCH(D204,'G-6 Hedgerow Data'!$B$3:$B$15,0)),"")</f>
        <v/>
      </c>
    </row>
    <row r="205" spans="2:33" ht="14" x14ac:dyDescent="0.3">
      <c r="B205" s="92">
        <v>194</v>
      </c>
      <c r="C205" s="143"/>
      <c r="D205" s="138"/>
      <c r="E205" s="120"/>
      <c r="F205" s="335" t="str">
        <f>IF(D205="","",VLOOKUP(D205,'G-6 Hedgerow Data'!$B$2:$AG$15,2,FALSE))</f>
        <v/>
      </c>
      <c r="G205" s="291" t="str">
        <f>IF(D205="","",VLOOKUP(D205,'G-6 Hedgerow Data'!$B$2:$AG$15,3,FALSE))</f>
        <v/>
      </c>
      <c r="H205" s="95"/>
      <c r="I205" s="291" t="str">
        <f>IFERROR(IF(H205="","",IF(AND(D205="Non-native and ornamental hedgerow", H205&lt;&gt;"Poor"),"Not possible ▲", (VLOOKUP(H205,'G-1 All Habitats'!$Z$2:$AA$9,2,FALSE)))),"")</f>
        <v/>
      </c>
      <c r="J205" s="95"/>
      <c r="K205" s="310" t="str">
        <f>IF(J205="","",IF(VLOOKUP(J205,'G-3 Multipliers'!$L$3:$N$6,2,FALSE)=0,"Spatial Data Missing ⚠",VLOOKUP(J205,'G-3 Multipliers'!$L$3:$N$6,2,FALSE)))</f>
        <v/>
      </c>
      <c r="L205" s="296" t="str">
        <f>IF(J205="","",IF(VLOOKUP(J205,'G-3 Multipliers'!$L$3:$N$6,3,FALSE)=0,"Spatial Data Missing ⚠",VLOOKUP(J205,'G-3 Multipliers'!$L$3:$N$6,3,FALSE)))</f>
        <v/>
      </c>
      <c r="M205" s="290" t="str">
        <f>IF(OR(D205="",H205=""),"",(INDEX('G-6 Hedgerow Data'!$E$3:$I$15,MATCH(D205,'G-6 Hedgerow Data'!$B$3:$B$15,0),MATCH(H205,'G-6 Hedgerow Data'!$E$2:$I$2,0))))</f>
        <v/>
      </c>
      <c r="N205" s="138"/>
      <c r="O205" s="138"/>
      <c r="P205" s="298" t="str">
        <f t="shared" ref="P205:P259" si="19">IF(M205="","",IF(AND(N205&gt;0,O205&gt;0),"Error -both advance and delayed habitat creation ▲",IF(AND(OR(N205="Habitat already in target condition",M205&lt;=N205),O205=0),"Check details - Is there evidence that habitat has reached target condition? ⚠",IF(M205="","",IF(N205&gt;0,"Check details - Is there evidence habitat creation started/in place? ⚠",IF(O205&gt;0,"Check details- Delay in starting habitat in required condition? ⚠","Standard time to target condition applied"))))))</f>
        <v/>
      </c>
      <c r="Q205" s="311" t="str">
        <f t="shared" ref="Q205:Q259" si="20">IF(M205="","",IF(P205="Error -both advance and delayed habitat creation ▲","Check Data ⚠",IF(OR(N205="30+",N205="Habitat already in target condition"),0,IF(O205="30+","30+",IF(AND(M205="30+",OR(N205="",N205=0)),"30+",IF(AND(M205="30+",N205&gt;0),30-N205,IF(M205+O205&gt;30,"30+",IF(M205+O205-N205&gt;0,M205+O205-N205,IF(M205-N205&lt;0,0,M205+O205-N205)))))))))</f>
        <v/>
      </c>
      <c r="R205" s="312" t="str">
        <f t="shared" si="18"/>
        <v/>
      </c>
      <c r="S205" s="325" t="str">
        <f>IF(D205="","",VLOOKUP(D205,'G-6 Hedgerow Data'!$B$3:$AG$15,31,FALSE))</f>
        <v/>
      </c>
      <c r="T205" s="298" t="str">
        <f t="shared" ref="T205:T259" si="21">IF(D205="","",IF(Q205="Check Data ⚠","Check Data ⚠",IF(H205="","",IF($P205="Check details - Is there evidence that habitat has reached target condition? ⚠","Low Difficulty - only applicable if all habitat created before losses ⚠","Standard difficulty applied"))))</f>
        <v/>
      </c>
      <c r="U205" s="298" t="str">
        <f t="shared" ref="U205:U259" si="22">(IF(AND(T205="Standard difficulty applied",M205&gt;N205),S205,IF(AND(T205="Low Difficulty - only applicable if all habitat created before losses ⚠",Q205&lt;=0),"Low",S205)))</f>
        <v/>
      </c>
      <c r="V205" s="314" t="str">
        <f>IF(D205="","",VLOOKUP(S205,'G-3 Multipliers'!$P$3:$Q$6,2,FALSE))</f>
        <v/>
      </c>
      <c r="W205" s="317" t="str">
        <f t="shared" ref="W205:W259" si="23">IFERROR(E205*G205*I205*L205*R205*V205,"")</f>
        <v/>
      </c>
      <c r="X205" s="98"/>
      <c r="Y205" s="99"/>
      <c r="Z205" s="101"/>
      <c r="AG205" s="15" t="str">
        <f>IFERROR(INDEX('G-6 Hedgerow Data'!$BJ$3:$BJ$15,MATCH(D205,'G-6 Hedgerow Data'!$B$3:$B$15,0)),"")</f>
        <v/>
      </c>
    </row>
    <row r="206" spans="2:33" ht="14" x14ac:dyDescent="0.3">
      <c r="B206" s="92">
        <v>195</v>
      </c>
      <c r="C206" s="143"/>
      <c r="D206" s="138"/>
      <c r="E206" s="120"/>
      <c r="F206" s="335" t="str">
        <f>IF(D206="","",VLOOKUP(D206,'G-6 Hedgerow Data'!$B$2:$AG$15,2,FALSE))</f>
        <v/>
      </c>
      <c r="G206" s="291" t="str">
        <f>IF(D206="","",VLOOKUP(D206,'G-6 Hedgerow Data'!$B$2:$AG$15,3,FALSE))</f>
        <v/>
      </c>
      <c r="H206" s="95"/>
      <c r="I206" s="291" t="str">
        <f>IFERROR(IF(H206="","",IF(AND(D206="Non-native and ornamental hedgerow", H206&lt;&gt;"Poor"),"Not possible ▲", (VLOOKUP(H206,'G-1 All Habitats'!$Z$2:$AA$9,2,FALSE)))),"")</f>
        <v/>
      </c>
      <c r="J206" s="95"/>
      <c r="K206" s="310" t="str">
        <f>IF(J206="","",IF(VLOOKUP(J206,'G-3 Multipliers'!$L$3:$N$6,2,FALSE)=0,"Spatial Data Missing ⚠",VLOOKUP(J206,'G-3 Multipliers'!$L$3:$N$6,2,FALSE)))</f>
        <v/>
      </c>
      <c r="L206" s="296" t="str">
        <f>IF(J206="","",IF(VLOOKUP(J206,'G-3 Multipliers'!$L$3:$N$6,3,FALSE)=0,"Spatial Data Missing ⚠",VLOOKUP(J206,'G-3 Multipliers'!$L$3:$N$6,3,FALSE)))</f>
        <v/>
      </c>
      <c r="M206" s="290" t="str">
        <f>IF(OR(D206="",H206=""),"",(INDEX('G-6 Hedgerow Data'!$E$3:$I$15,MATCH(D206,'G-6 Hedgerow Data'!$B$3:$B$15,0),MATCH(H206,'G-6 Hedgerow Data'!$E$2:$I$2,0))))</f>
        <v/>
      </c>
      <c r="N206" s="138"/>
      <c r="O206" s="138"/>
      <c r="P206" s="298" t="str">
        <f t="shared" si="19"/>
        <v/>
      </c>
      <c r="Q206" s="311" t="str">
        <f t="shared" si="20"/>
        <v/>
      </c>
      <c r="R206" s="312" t="str">
        <f t="shared" si="18"/>
        <v/>
      </c>
      <c r="S206" s="325" t="str">
        <f>IF(D206="","",VLOOKUP(D206,'G-6 Hedgerow Data'!$B$3:$AG$15,31,FALSE))</f>
        <v/>
      </c>
      <c r="T206" s="298" t="str">
        <f t="shared" si="21"/>
        <v/>
      </c>
      <c r="U206" s="298" t="str">
        <f t="shared" si="22"/>
        <v/>
      </c>
      <c r="V206" s="314" t="str">
        <f>IF(D206="","",VLOOKUP(S206,'G-3 Multipliers'!$P$3:$Q$6,2,FALSE))</f>
        <v/>
      </c>
      <c r="W206" s="317" t="str">
        <f t="shared" si="23"/>
        <v/>
      </c>
      <c r="X206" s="98"/>
      <c r="Y206" s="99"/>
      <c r="Z206" s="101"/>
      <c r="AG206" s="15" t="str">
        <f>IFERROR(INDEX('G-6 Hedgerow Data'!$BJ$3:$BJ$15,MATCH(D206,'G-6 Hedgerow Data'!$B$3:$B$15,0)),"")</f>
        <v/>
      </c>
    </row>
    <row r="207" spans="2:33" ht="14" x14ac:dyDescent="0.3">
      <c r="B207" s="92">
        <v>196</v>
      </c>
      <c r="C207" s="143"/>
      <c r="D207" s="138"/>
      <c r="E207" s="120"/>
      <c r="F207" s="335" t="str">
        <f>IF(D207="","",VLOOKUP(D207,'G-6 Hedgerow Data'!$B$2:$AG$15,2,FALSE))</f>
        <v/>
      </c>
      <c r="G207" s="291" t="str">
        <f>IF(D207="","",VLOOKUP(D207,'G-6 Hedgerow Data'!$B$2:$AG$15,3,FALSE))</f>
        <v/>
      </c>
      <c r="H207" s="95"/>
      <c r="I207" s="291" t="str">
        <f>IFERROR(IF(H207="","",IF(AND(D207="Non-native and ornamental hedgerow", H207&lt;&gt;"Poor"),"Not possible ▲", (VLOOKUP(H207,'G-1 All Habitats'!$Z$2:$AA$9,2,FALSE)))),"")</f>
        <v/>
      </c>
      <c r="J207" s="95"/>
      <c r="K207" s="310" t="str">
        <f>IF(J207="","",IF(VLOOKUP(J207,'G-3 Multipliers'!$L$3:$N$6,2,FALSE)=0,"Spatial Data Missing ⚠",VLOOKUP(J207,'G-3 Multipliers'!$L$3:$N$6,2,FALSE)))</f>
        <v/>
      </c>
      <c r="L207" s="296" t="str">
        <f>IF(J207="","",IF(VLOOKUP(J207,'G-3 Multipliers'!$L$3:$N$6,3,FALSE)=0,"Spatial Data Missing ⚠",VLOOKUP(J207,'G-3 Multipliers'!$L$3:$N$6,3,FALSE)))</f>
        <v/>
      </c>
      <c r="M207" s="290" t="str">
        <f>IF(OR(D207="",H207=""),"",(INDEX('G-6 Hedgerow Data'!$E$3:$I$15,MATCH(D207,'G-6 Hedgerow Data'!$B$3:$B$15,0),MATCH(H207,'G-6 Hedgerow Data'!$E$2:$I$2,0))))</f>
        <v/>
      </c>
      <c r="N207" s="138"/>
      <c r="O207" s="138"/>
      <c r="P207" s="298" t="str">
        <f t="shared" si="19"/>
        <v/>
      </c>
      <c r="Q207" s="311" t="str">
        <f t="shared" si="20"/>
        <v/>
      </c>
      <c r="R207" s="312" t="str">
        <f t="shared" si="18"/>
        <v/>
      </c>
      <c r="S207" s="325" t="str">
        <f>IF(D207="","",VLOOKUP(D207,'G-6 Hedgerow Data'!$B$3:$AG$15,31,FALSE))</f>
        <v/>
      </c>
      <c r="T207" s="298" t="str">
        <f t="shared" si="21"/>
        <v/>
      </c>
      <c r="U207" s="298" t="str">
        <f t="shared" si="22"/>
        <v/>
      </c>
      <c r="V207" s="314" t="str">
        <f>IF(D207="","",VLOOKUP(S207,'G-3 Multipliers'!$P$3:$Q$6,2,FALSE))</f>
        <v/>
      </c>
      <c r="W207" s="317" t="str">
        <f t="shared" si="23"/>
        <v/>
      </c>
      <c r="X207" s="98"/>
      <c r="Y207" s="99"/>
      <c r="Z207" s="101"/>
      <c r="AG207" s="15" t="str">
        <f>IFERROR(INDEX('G-6 Hedgerow Data'!$BJ$3:$BJ$15,MATCH(D207,'G-6 Hedgerow Data'!$B$3:$B$15,0)),"")</f>
        <v/>
      </c>
    </row>
    <row r="208" spans="2:33" ht="14" x14ac:dyDescent="0.3">
      <c r="B208" s="92">
        <v>197</v>
      </c>
      <c r="C208" s="143"/>
      <c r="D208" s="138"/>
      <c r="E208" s="120"/>
      <c r="F208" s="335" t="str">
        <f>IF(D208="","",VLOOKUP(D208,'G-6 Hedgerow Data'!$B$2:$AG$15,2,FALSE))</f>
        <v/>
      </c>
      <c r="G208" s="291" t="str">
        <f>IF(D208="","",VLOOKUP(D208,'G-6 Hedgerow Data'!$B$2:$AG$15,3,FALSE))</f>
        <v/>
      </c>
      <c r="H208" s="95"/>
      <c r="I208" s="291" t="str">
        <f>IFERROR(IF(H208="","",IF(AND(D208="Non-native and ornamental hedgerow", H208&lt;&gt;"Poor"),"Not possible ▲", (VLOOKUP(H208,'G-1 All Habitats'!$Z$2:$AA$9,2,FALSE)))),"")</f>
        <v/>
      </c>
      <c r="J208" s="95"/>
      <c r="K208" s="310" t="str">
        <f>IF(J208="","",IF(VLOOKUP(J208,'G-3 Multipliers'!$L$3:$N$6,2,FALSE)=0,"Spatial Data Missing ⚠",VLOOKUP(J208,'G-3 Multipliers'!$L$3:$N$6,2,FALSE)))</f>
        <v/>
      </c>
      <c r="L208" s="296" t="str">
        <f>IF(J208="","",IF(VLOOKUP(J208,'G-3 Multipliers'!$L$3:$N$6,3,FALSE)=0,"Spatial Data Missing ⚠",VLOOKUP(J208,'G-3 Multipliers'!$L$3:$N$6,3,FALSE)))</f>
        <v/>
      </c>
      <c r="M208" s="290" t="str">
        <f>IF(OR(D208="",H208=""),"",(INDEX('G-6 Hedgerow Data'!$E$3:$I$15,MATCH(D208,'G-6 Hedgerow Data'!$B$3:$B$15,0),MATCH(H208,'G-6 Hedgerow Data'!$E$2:$I$2,0))))</f>
        <v/>
      </c>
      <c r="N208" s="138"/>
      <c r="O208" s="138"/>
      <c r="P208" s="298" t="str">
        <f t="shared" si="19"/>
        <v/>
      </c>
      <c r="Q208" s="311" t="str">
        <f t="shared" si="20"/>
        <v/>
      </c>
      <c r="R208" s="312" t="str">
        <f t="shared" si="18"/>
        <v/>
      </c>
      <c r="S208" s="325" t="str">
        <f>IF(D208="","",VLOOKUP(D208,'G-6 Hedgerow Data'!$B$3:$AG$15,31,FALSE))</f>
        <v/>
      </c>
      <c r="T208" s="298" t="str">
        <f t="shared" si="21"/>
        <v/>
      </c>
      <c r="U208" s="298" t="str">
        <f t="shared" si="22"/>
        <v/>
      </c>
      <c r="V208" s="314" t="str">
        <f>IF(D208="","",VLOOKUP(S208,'G-3 Multipliers'!$P$3:$Q$6,2,FALSE))</f>
        <v/>
      </c>
      <c r="W208" s="317" t="str">
        <f t="shared" si="23"/>
        <v/>
      </c>
      <c r="X208" s="98"/>
      <c r="Y208" s="99"/>
      <c r="Z208" s="101"/>
      <c r="AG208" s="15" t="str">
        <f>IFERROR(INDEX('G-6 Hedgerow Data'!$BJ$3:$BJ$15,MATCH(D208,'G-6 Hedgerow Data'!$B$3:$B$15,0)),"")</f>
        <v/>
      </c>
    </row>
    <row r="209" spans="2:33" ht="14" x14ac:dyDescent="0.3">
      <c r="B209" s="92">
        <v>198</v>
      </c>
      <c r="C209" s="143"/>
      <c r="D209" s="138"/>
      <c r="E209" s="120"/>
      <c r="F209" s="335" t="str">
        <f>IF(D209="","",VLOOKUP(D209,'G-6 Hedgerow Data'!$B$2:$AG$15,2,FALSE))</f>
        <v/>
      </c>
      <c r="G209" s="291" t="str">
        <f>IF(D209="","",VLOOKUP(D209,'G-6 Hedgerow Data'!$B$2:$AG$15,3,FALSE))</f>
        <v/>
      </c>
      <c r="H209" s="95"/>
      <c r="I209" s="291" t="str">
        <f>IFERROR(IF(H209="","",IF(AND(D209="Non-native and ornamental hedgerow", H209&lt;&gt;"Poor"),"Not possible ▲", (VLOOKUP(H209,'G-1 All Habitats'!$Z$2:$AA$9,2,FALSE)))),"")</f>
        <v/>
      </c>
      <c r="J209" s="95"/>
      <c r="K209" s="310" t="str">
        <f>IF(J209="","",IF(VLOOKUP(J209,'G-3 Multipliers'!$L$3:$N$6,2,FALSE)=0,"Spatial Data Missing ⚠",VLOOKUP(J209,'G-3 Multipliers'!$L$3:$N$6,2,FALSE)))</f>
        <v/>
      </c>
      <c r="L209" s="296" t="str">
        <f>IF(J209="","",IF(VLOOKUP(J209,'G-3 Multipliers'!$L$3:$N$6,3,FALSE)=0,"Spatial Data Missing ⚠",VLOOKUP(J209,'G-3 Multipliers'!$L$3:$N$6,3,FALSE)))</f>
        <v/>
      </c>
      <c r="M209" s="290" t="str">
        <f>IF(OR(D209="",H209=""),"",(INDEX('G-6 Hedgerow Data'!$E$3:$I$15,MATCH(D209,'G-6 Hedgerow Data'!$B$3:$B$15,0),MATCH(H209,'G-6 Hedgerow Data'!$E$2:$I$2,0))))</f>
        <v/>
      </c>
      <c r="N209" s="138"/>
      <c r="O209" s="138"/>
      <c r="P209" s="298" t="str">
        <f t="shared" si="19"/>
        <v/>
      </c>
      <c r="Q209" s="311" t="str">
        <f t="shared" si="20"/>
        <v/>
      </c>
      <c r="R209" s="312" t="str">
        <f t="shared" si="18"/>
        <v/>
      </c>
      <c r="S209" s="325" t="str">
        <f>IF(D209="","",VLOOKUP(D209,'G-6 Hedgerow Data'!$B$3:$AG$15,31,FALSE))</f>
        <v/>
      </c>
      <c r="T209" s="298" t="str">
        <f t="shared" si="21"/>
        <v/>
      </c>
      <c r="U209" s="298" t="str">
        <f t="shared" si="22"/>
        <v/>
      </c>
      <c r="V209" s="314" t="str">
        <f>IF(D209="","",VLOOKUP(S209,'G-3 Multipliers'!$P$3:$Q$6,2,FALSE))</f>
        <v/>
      </c>
      <c r="W209" s="317" t="str">
        <f t="shared" si="23"/>
        <v/>
      </c>
      <c r="X209" s="98"/>
      <c r="Y209" s="99"/>
      <c r="Z209" s="101"/>
      <c r="AG209" s="15" t="str">
        <f>IFERROR(INDEX('G-6 Hedgerow Data'!$BJ$3:$BJ$15,MATCH(D209,'G-6 Hedgerow Data'!$B$3:$B$15,0)),"")</f>
        <v/>
      </c>
    </row>
    <row r="210" spans="2:33" ht="14" x14ac:dyDescent="0.3">
      <c r="B210" s="92">
        <v>199</v>
      </c>
      <c r="C210" s="143"/>
      <c r="D210" s="138"/>
      <c r="E210" s="120"/>
      <c r="F210" s="335" t="str">
        <f>IF(D210="","",VLOOKUP(D210,'G-6 Hedgerow Data'!$B$2:$AG$15,2,FALSE))</f>
        <v/>
      </c>
      <c r="G210" s="291" t="str">
        <f>IF(D210="","",VLOOKUP(D210,'G-6 Hedgerow Data'!$B$2:$AG$15,3,FALSE))</f>
        <v/>
      </c>
      <c r="H210" s="95"/>
      <c r="I210" s="291" t="str">
        <f>IFERROR(IF(H210="","",IF(AND(D210="Non-native and ornamental hedgerow", H210&lt;&gt;"Poor"),"Not possible ▲", (VLOOKUP(H210,'G-1 All Habitats'!$Z$2:$AA$9,2,FALSE)))),"")</f>
        <v/>
      </c>
      <c r="J210" s="95"/>
      <c r="K210" s="310" t="str">
        <f>IF(J210="","",IF(VLOOKUP(J210,'G-3 Multipliers'!$L$3:$N$6,2,FALSE)=0,"Spatial Data Missing ⚠",VLOOKUP(J210,'G-3 Multipliers'!$L$3:$N$6,2,FALSE)))</f>
        <v/>
      </c>
      <c r="L210" s="296" t="str">
        <f>IF(J210="","",IF(VLOOKUP(J210,'G-3 Multipliers'!$L$3:$N$6,3,FALSE)=0,"Spatial Data Missing ⚠",VLOOKUP(J210,'G-3 Multipliers'!$L$3:$N$6,3,FALSE)))</f>
        <v/>
      </c>
      <c r="M210" s="290" t="str">
        <f>IF(OR(D210="",H210=""),"",(INDEX('G-6 Hedgerow Data'!$E$3:$I$15,MATCH(D210,'G-6 Hedgerow Data'!$B$3:$B$15,0),MATCH(H210,'G-6 Hedgerow Data'!$E$2:$I$2,0))))</f>
        <v/>
      </c>
      <c r="N210" s="138"/>
      <c r="O210" s="138"/>
      <c r="P210" s="298" t="str">
        <f t="shared" si="19"/>
        <v/>
      </c>
      <c r="Q210" s="311" t="str">
        <f t="shared" si="20"/>
        <v/>
      </c>
      <c r="R210" s="312" t="str">
        <f t="shared" si="18"/>
        <v/>
      </c>
      <c r="S210" s="325" t="str">
        <f>IF(D210="","",VLOOKUP(D210,'G-6 Hedgerow Data'!$B$3:$AG$15,31,FALSE))</f>
        <v/>
      </c>
      <c r="T210" s="298" t="str">
        <f t="shared" si="21"/>
        <v/>
      </c>
      <c r="U210" s="298" t="str">
        <f t="shared" si="22"/>
        <v/>
      </c>
      <c r="V210" s="314" t="str">
        <f>IF(D210="","",VLOOKUP(S210,'G-3 Multipliers'!$P$3:$Q$6,2,FALSE))</f>
        <v/>
      </c>
      <c r="W210" s="317" t="str">
        <f t="shared" si="23"/>
        <v/>
      </c>
      <c r="X210" s="98"/>
      <c r="Y210" s="99"/>
      <c r="Z210" s="101"/>
      <c r="AG210" s="15" t="str">
        <f>IFERROR(INDEX('G-6 Hedgerow Data'!$BJ$3:$BJ$15,MATCH(D210,'G-6 Hedgerow Data'!$B$3:$B$15,0)),"")</f>
        <v/>
      </c>
    </row>
    <row r="211" spans="2:33" ht="14" x14ac:dyDescent="0.3">
      <c r="B211" s="92">
        <v>200</v>
      </c>
      <c r="C211" s="143"/>
      <c r="D211" s="138"/>
      <c r="E211" s="120"/>
      <c r="F211" s="335" t="str">
        <f>IF(D211="","",VLOOKUP(D211,'G-6 Hedgerow Data'!$B$2:$AG$15,2,FALSE))</f>
        <v/>
      </c>
      <c r="G211" s="291" t="str">
        <f>IF(D211="","",VLOOKUP(D211,'G-6 Hedgerow Data'!$B$2:$AG$15,3,FALSE))</f>
        <v/>
      </c>
      <c r="H211" s="95"/>
      <c r="I211" s="291" t="str">
        <f>IFERROR(IF(H211="","",IF(AND(D211="Non-native and ornamental hedgerow", H211&lt;&gt;"Poor"),"Not possible ▲", (VLOOKUP(H211,'G-1 All Habitats'!$Z$2:$AA$9,2,FALSE)))),"")</f>
        <v/>
      </c>
      <c r="J211" s="95"/>
      <c r="K211" s="310" t="str">
        <f>IF(J211="","",IF(VLOOKUP(J211,'G-3 Multipliers'!$L$3:$N$6,2,FALSE)=0,"Spatial Data Missing ⚠",VLOOKUP(J211,'G-3 Multipliers'!$L$3:$N$6,2,FALSE)))</f>
        <v/>
      </c>
      <c r="L211" s="296" t="str">
        <f>IF(J211="","",IF(VLOOKUP(J211,'G-3 Multipliers'!$L$3:$N$6,3,FALSE)=0,"Spatial Data Missing ⚠",VLOOKUP(J211,'G-3 Multipliers'!$L$3:$N$6,3,FALSE)))</f>
        <v/>
      </c>
      <c r="M211" s="290" t="str">
        <f>IF(OR(D211="",H211=""),"",(INDEX('G-6 Hedgerow Data'!$E$3:$I$15,MATCH(D211,'G-6 Hedgerow Data'!$B$3:$B$15,0),MATCH(H211,'G-6 Hedgerow Data'!$E$2:$I$2,0))))</f>
        <v/>
      </c>
      <c r="N211" s="138"/>
      <c r="O211" s="138"/>
      <c r="P211" s="298" t="str">
        <f t="shared" si="19"/>
        <v/>
      </c>
      <c r="Q211" s="311" t="str">
        <f t="shared" si="20"/>
        <v/>
      </c>
      <c r="R211" s="312" t="str">
        <f t="shared" si="18"/>
        <v/>
      </c>
      <c r="S211" s="325" t="str">
        <f>IF(D211="","",VLOOKUP(D211,'G-6 Hedgerow Data'!$B$3:$AG$15,31,FALSE))</f>
        <v/>
      </c>
      <c r="T211" s="298" t="str">
        <f t="shared" si="21"/>
        <v/>
      </c>
      <c r="U211" s="298" t="str">
        <f t="shared" si="22"/>
        <v/>
      </c>
      <c r="V211" s="314" t="str">
        <f>IF(D211="","",VLOOKUP(S211,'G-3 Multipliers'!$P$3:$Q$6,2,FALSE))</f>
        <v/>
      </c>
      <c r="W211" s="317" t="str">
        <f t="shared" si="23"/>
        <v/>
      </c>
      <c r="X211" s="98"/>
      <c r="Y211" s="99"/>
      <c r="Z211" s="101"/>
      <c r="AG211" s="15" t="str">
        <f>IFERROR(INDEX('G-6 Hedgerow Data'!$BJ$3:$BJ$15,MATCH(D211,'G-6 Hedgerow Data'!$B$3:$B$15,0)),"")</f>
        <v/>
      </c>
    </row>
    <row r="212" spans="2:33" ht="14" x14ac:dyDescent="0.3">
      <c r="B212" s="92">
        <v>201</v>
      </c>
      <c r="C212" s="143"/>
      <c r="D212" s="138"/>
      <c r="E212" s="120"/>
      <c r="F212" s="335" t="str">
        <f>IF(D212="","",VLOOKUP(D212,'G-6 Hedgerow Data'!$B$2:$AG$15,2,FALSE))</f>
        <v/>
      </c>
      <c r="G212" s="291" t="str">
        <f>IF(D212="","",VLOOKUP(D212,'G-6 Hedgerow Data'!$B$2:$AG$15,3,FALSE))</f>
        <v/>
      </c>
      <c r="H212" s="95"/>
      <c r="I212" s="291" t="str">
        <f>IFERROR(IF(H212="","",IF(AND(D212="Non-native and ornamental hedgerow", H212&lt;&gt;"Poor"),"Not possible ▲", (VLOOKUP(H212,'G-1 All Habitats'!$Z$2:$AA$9,2,FALSE)))),"")</f>
        <v/>
      </c>
      <c r="J212" s="95"/>
      <c r="K212" s="310" t="str">
        <f>IF(J212="","",IF(VLOOKUP(J212,'G-3 Multipliers'!$L$3:$N$6,2,FALSE)=0,"Spatial Data Missing ⚠",VLOOKUP(J212,'G-3 Multipliers'!$L$3:$N$6,2,FALSE)))</f>
        <v/>
      </c>
      <c r="L212" s="296" t="str">
        <f>IF(J212="","",IF(VLOOKUP(J212,'G-3 Multipliers'!$L$3:$N$6,3,FALSE)=0,"Spatial Data Missing ⚠",VLOOKUP(J212,'G-3 Multipliers'!$L$3:$N$6,3,FALSE)))</f>
        <v/>
      </c>
      <c r="M212" s="290" t="str">
        <f>IF(OR(D212="",H212=""),"",(INDEX('G-6 Hedgerow Data'!$E$3:$I$15,MATCH(D212,'G-6 Hedgerow Data'!$B$3:$B$15,0),MATCH(H212,'G-6 Hedgerow Data'!$E$2:$I$2,0))))</f>
        <v/>
      </c>
      <c r="N212" s="138"/>
      <c r="O212" s="138"/>
      <c r="P212" s="298" t="str">
        <f t="shared" si="19"/>
        <v/>
      </c>
      <c r="Q212" s="311" t="str">
        <f t="shared" si="20"/>
        <v/>
      </c>
      <c r="R212" s="312" t="str">
        <f t="shared" si="18"/>
        <v/>
      </c>
      <c r="S212" s="325" t="str">
        <f>IF(D212="","",VLOOKUP(D212,'G-6 Hedgerow Data'!$B$3:$AG$15,31,FALSE))</f>
        <v/>
      </c>
      <c r="T212" s="298" t="str">
        <f t="shared" si="21"/>
        <v/>
      </c>
      <c r="U212" s="298" t="str">
        <f t="shared" si="22"/>
        <v/>
      </c>
      <c r="V212" s="314" t="str">
        <f>IF(D212="","",VLOOKUP(S212,'G-3 Multipliers'!$P$3:$Q$6,2,FALSE))</f>
        <v/>
      </c>
      <c r="W212" s="317" t="str">
        <f t="shared" si="23"/>
        <v/>
      </c>
      <c r="X212" s="98"/>
      <c r="Y212" s="99"/>
      <c r="Z212" s="101"/>
      <c r="AG212" s="15" t="str">
        <f>IFERROR(INDEX('G-6 Hedgerow Data'!$BJ$3:$BJ$15,MATCH(D212,'G-6 Hedgerow Data'!$B$3:$B$15,0)),"")</f>
        <v/>
      </c>
    </row>
    <row r="213" spans="2:33" ht="14" x14ac:dyDescent="0.3">
      <c r="B213" s="92">
        <v>202</v>
      </c>
      <c r="C213" s="143"/>
      <c r="D213" s="138"/>
      <c r="E213" s="120"/>
      <c r="F213" s="335" t="str">
        <f>IF(D213="","",VLOOKUP(D213,'G-6 Hedgerow Data'!$B$2:$AG$15,2,FALSE))</f>
        <v/>
      </c>
      <c r="G213" s="291" t="str">
        <f>IF(D213="","",VLOOKUP(D213,'G-6 Hedgerow Data'!$B$2:$AG$15,3,FALSE))</f>
        <v/>
      </c>
      <c r="H213" s="95"/>
      <c r="I213" s="291" t="str">
        <f>IFERROR(IF(H213="","",IF(AND(D213="Non-native and ornamental hedgerow", H213&lt;&gt;"Poor"),"Not possible ▲", (VLOOKUP(H213,'G-1 All Habitats'!$Z$2:$AA$9,2,FALSE)))),"")</f>
        <v/>
      </c>
      <c r="J213" s="95"/>
      <c r="K213" s="310" t="str">
        <f>IF(J213="","",IF(VLOOKUP(J213,'G-3 Multipliers'!$L$3:$N$6,2,FALSE)=0,"Spatial Data Missing ⚠",VLOOKUP(J213,'G-3 Multipliers'!$L$3:$N$6,2,FALSE)))</f>
        <v/>
      </c>
      <c r="L213" s="296" t="str">
        <f>IF(J213="","",IF(VLOOKUP(J213,'G-3 Multipliers'!$L$3:$N$6,3,FALSE)=0,"Spatial Data Missing ⚠",VLOOKUP(J213,'G-3 Multipliers'!$L$3:$N$6,3,FALSE)))</f>
        <v/>
      </c>
      <c r="M213" s="290" t="str">
        <f>IF(OR(D213="",H213=""),"",(INDEX('G-6 Hedgerow Data'!$E$3:$I$15,MATCH(D213,'G-6 Hedgerow Data'!$B$3:$B$15,0),MATCH(H213,'G-6 Hedgerow Data'!$E$2:$I$2,0))))</f>
        <v/>
      </c>
      <c r="N213" s="138"/>
      <c r="O213" s="138"/>
      <c r="P213" s="298" t="str">
        <f t="shared" si="19"/>
        <v/>
      </c>
      <c r="Q213" s="311" t="str">
        <f t="shared" si="20"/>
        <v/>
      </c>
      <c r="R213" s="312" t="str">
        <f t="shared" si="18"/>
        <v/>
      </c>
      <c r="S213" s="325" t="str">
        <f>IF(D213="","",VLOOKUP(D213,'G-6 Hedgerow Data'!$B$3:$AG$15,31,FALSE))</f>
        <v/>
      </c>
      <c r="T213" s="298" t="str">
        <f t="shared" si="21"/>
        <v/>
      </c>
      <c r="U213" s="298" t="str">
        <f t="shared" si="22"/>
        <v/>
      </c>
      <c r="V213" s="314" t="str">
        <f>IF(D213="","",VLOOKUP(S213,'G-3 Multipliers'!$P$3:$Q$6,2,FALSE))</f>
        <v/>
      </c>
      <c r="W213" s="317" t="str">
        <f t="shared" si="23"/>
        <v/>
      </c>
      <c r="X213" s="98"/>
      <c r="Y213" s="99"/>
      <c r="Z213" s="101"/>
      <c r="AG213" s="15" t="str">
        <f>IFERROR(INDEX('G-6 Hedgerow Data'!$BJ$3:$BJ$15,MATCH(D213,'G-6 Hedgerow Data'!$B$3:$B$15,0)),"")</f>
        <v/>
      </c>
    </row>
    <row r="214" spans="2:33" ht="14" x14ac:dyDescent="0.3">
      <c r="B214" s="92">
        <v>203</v>
      </c>
      <c r="C214" s="143"/>
      <c r="D214" s="138"/>
      <c r="E214" s="120"/>
      <c r="F214" s="335" t="str">
        <f>IF(D214="","",VLOOKUP(D214,'G-6 Hedgerow Data'!$B$2:$AG$15,2,FALSE))</f>
        <v/>
      </c>
      <c r="G214" s="291" t="str">
        <f>IF(D214="","",VLOOKUP(D214,'G-6 Hedgerow Data'!$B$2:$AG$15,3,FALSE))</f>
        <v/>
      </c>
      <c r="H214" s="95"/>
      <c r="I214" s="291" t="str">
        <f>IFERROR(IF(H214="","",IF(AND(D214="Non-native and ornamental hedgerow", H214&lt;&gt;"Poor"),"Not possible ▲", (VLOOKUP(H214,'G-1 All Habitats'!$Z$2:$AA$9,2,FALSE)))),"")</f>
        <v/>
      </c>
      <c r="J214" s="95"/>
      <c r="K214" s="310" t="str">
        <f>IF(J214="","",IF(VLOOKUP(J214,'G-3 Multipliers'!$L$3:$N$6,2,FALSE)=0,"Spatial Data Missing ⚠",VLOOKUP(J214,'G-3 Multipliers'!$L$3:$N$6,2,FALSE)))</f>
        <v/>
      </c>
      <c r="L214" s="296" t="str">
        <f>IF(J214="","",IF(VLOOKUP(J214,'G-3 Multipliers'!$L$3:$N$6,3,FALSE)=0,"Spatial Data Missing ⚠",VLOOKUP(J214,'G-3 Multipliers'!$L$3:$N$6,3,FALSE)))</f>
        <v/>
      </c>
      <c r="M214" s="290" t="str">
        <f>IF(OR(D214="",H214=""),"",(INDEX('G-6 Hedgerow Data'!$E$3:$I$15,MATCH(D214,'G-6 Hedgerow Data'!$B$3:$B$15,0),MATCH(H214,'G-6 Hedgerow Data'!$E$2:$I$2,0))))</f>
        <v/>
      </c>
      <c r="N214" s="138"/>
      <c r="O214" s="138"/>
      <c r="P214" s="298" t="str">
        <f t="shared" si="19"/>
        <v/>
      </c>
      <c r="Q214" s="311" t="str">
        <f t="shared" si="20"/>
        <v/>
      </c>
      <c r="R214" s="312" t="str">
        <f t="shared" si="18"/>
        <v/>
      </c>
      <c r="S214" s="325" t="str">
        <f>IF(D214="","",VLOOKUP(D214,'G-6 Hedgerow Data'!$B$3:$AG$15,31,FALSE))</f>
        <v/>
      </c>
      <c r="T214" s="298" t="str">
        <f t="shared" si="21"/>
        <v/>
      </c>
      <c r="U214" s="298" t="str">
        <f t="shared" si="22"/>
        <v/>
      </c>
      <c r="V214" s="314" t="str">
        <f>IF(D214="","",VLOOKUP(S214,'G-3 Multipliers'!$P$3:$Q$6,2,FALSE))</f>
        <v/>
      </c>
      <c r="W214" s="317" t="str">
        <f t="shared" si="23"/>
        <v/>
      </c>
      <c r="X214" s="98"/>
      <c r="Y214" s="99"/>
      <c r="Z214" s="101"/>
      <c r="AG214" s="15" t="str">
        <f>IFERROR(INDEX('G-6 Hedgerow Data'!$BJ$3:$BJ$15,MATCH(D214,'G-6 Hedgerow Data'!$B$3:$B$15,0)),"")</f>
        <v/>
      </c>
    </row>
    <row r="215" spans="2:33" ht="14" x14ac:dyDescent="0.3">
      <c r="B215" s="92">
        <v>204</v>
      </c>
      <c r="C215" s="143"/>
      <c r="D215" s="138"/>
      <c r="E215" s="120"/>
      <c r="F215" s="335" t="str">
        <f>IF(D215="","",VLOOKUP(D215,'G-6 Hedgerow Data'!$B$2:$AG$15,2,FALSE))</f>
        <v/>
      </c>
      <c r="G215" s="291" t="str">
        <f>IF(D215="","",VLOOKUP(D215,'G-6 Hedgerow Data'!$B$2:$AG$15,3,FALSE))</f>
        <v/>
      </c>
      <c r="H215" s="95"/>
      <c r="I215" s="291" t="str">
        <f>IFERROR(IF(H215="","",IF(AND(D215="Non-native and ornamental hedgerow", H215&lt;&gt;"Poor"),"Not possible ▲", (VLOOKUP(H215,'G-1 All Habitats'!$Z$2:$AA$9,2,FALSE)))),"")</f>
        <v/>
      </c>
      <c r="J215" s="95"/>
      <c r="K215" s="310" t="str">
        <f>IF(J215="","",IF(VLOOKUP(J215,'G-3 Multipliers'!$L$3:$N$6,2,FALSE)=0,"Spatial Data Missing ⚠",VLOOKUP(J215,'G-3 Multipliers'!$L$3:$N$6,2,FALSE)))</f>
        <v/>
      </c>
      <c r="L215" s="296" t="str">
        <f>IF(J215="","",IF(VLOOKUP(J215,'G-3 Multipliers'!$L$3:$N$6,3,FALSE)=0,"Spatial Data Missing ⚠",VLOOKUP(J215,'G-3 Multipliers'!$L$3:$N$6,3,FALSE)))</f>
        <v/>
      </c>
      <c r="M215" s="290" t="str">
        <f>IF(OR(D215="",H215=""),"",(INDEX('G-6 Hedgerow Data'!$E$3:$I$15,MATCH(D215,'G-6 Hedgerow Data'!$B$3:$B$15,0),MATCH(H215,'G-6 Hedgerow Data'!$E$2:$I$2,0))))</f>
        <v/>
      </c>
      <c r="N215" s="138"/>
      <c r="O215" s="138"/>
      <c r="P215" s="298" t="str">
        <f t="shared" si="19"/>
        <v/>
      </c>
      <c r="Q215" s="311" t="str">
        <f t="shared" si="20"/>
        <v/>
      </c>
      <c r="R215" s="312" t="str">
        <f t="shared" si="18"/>
        <v/>
      </c>
      <c r="S215" s="325" t="str">
        <f>IF(D215="","",VLOOKUP(D215,'G-6 Hedgerow Data'!$B$3:$AG$15,31,FALSE))</f>
        <v/>
      </c>
      <c r="T215" s="298" t="str">
        <f t="shared" si="21"/>
        <v/>
      </c>
      <c r="U215" s="298" t="str">
        <f t="shared" si="22"/>
        <v/>
      </c>
      <c r="V215" s="314" t="str">
        <f>IF(D215="","",VLOOKUP(S215,'G-3 Multipliers'!$P$3:$Q$6,2,FALSE))</f>
        <v/>
      </c>
      <c r="W215" s="317" t="str">
        <f t="shared" si="23"/>
        <v/>
      </c>
      <c r="X215" s="98"/>
      <c r="Y215" s="99"/>
      <c r="Z215" s="101"/>
      <c r="AG215" s="15" t="str">
        <f>IFERROR(INDEX('G-6 Hedgerow Data'!$BJ$3:$BJ$15,MATCH(D215,'G-6 Hedgerow Data'!$B$3:$B$15,0)),"")</f>
        <v/>
      </c>
    </row>
    <row r="216" spans="2:33" ht="14" x14ac:dyDescent="0.3">
      <c r="B216" s="92">
        <v>205</v>
      </c>
      <c r="C216" s="143"/>
      <c r="D216" s="138"/>
      <c r="E216" s="120"/>
      <c r="F216" s="335" t="str">
        <f>IF(D216="","",VLOOKUP(D216,'G-6 Hedgerow Data'!$B$2:$AG$15,2,FALSE))</f>
        <v/>
      </c>
      <c r="G216" s="291" t="str">
        <f>IF(D216="","",VLOOKUP(D216,'G-6 Hedgerow Data'!$B$2:$AG$15,3,FALSE))</f>
        <v/>
      </c>
      <c r="H216" s="95"/>
      <c r="I216" s="291" t="str">
        <f>IFERROR(IF(H216="","",IF(AND(D216="Non-native and ornamental hedgerow", H216&lt;&gt;"Poor"),"Not possible ▲", (VLOOKUP(H216,'G-1 All Habitats'!$Z$2:$AA$9,2,FALSE)))),"")</f>
        <v/>
      </c>
      <c r="J216" s="95"/>
      <c r="K216" s="310" t="str">
        <f>IF(J216="","",IF(VLOOKUP(J216,'G-3 Multipliers'!$L$3:$N$6,2,FALSE)=0,"Spatial Data Missing ⚠",VLOOKUP(J216,'G-3 Multipliers'!$L$3:$N$6,2,FALSE)))</f>
        <v/>
      </c>
      <c r="L216" s="296" t="str">
        <f>IF(J216="","",IF(VLOOKUP(J216,'G-3 Multipliers'!$L$3:$N$6,3,FALSE)=0,"Spatial Data Missing ⚠",VLOOKUP(J216,'G-3 Multipliers'!$L$3:$N$6,3,FALSE)))</f>
        <v/>
      </c>
      <c r="M216" s="290" t="str">
        <f>IF(OR(D216="",H216=""),"",(INDEX('G-6 Hedgerow Data'!$E$3:$I$15,MATCH(D216,'G-6 Hedgerow Data'!$B$3:$B$15,0),MATCH(H216,'G-6 Hedgerow Data'!$E$2:$I$2,0))))</f>
        <v/>
      </c>
      <c r="N216" s="138"/>
      <c r="O216" s="138"/>
      <c r="P216" s="298" t="str">
        <f t="shared" si="19"/>
        <v/>
      </c>
      <c r="Q216" s="311" t="str">
        <f t="shared" si="20"/>
        <v/>
      </c>
      <c r="R216" s="312" t="str">
        <f t="shared" si="18"/>
        <v/>
      </c>
      <c r="S216" s="325" t="str">
        <f>IF(D216="","",VLOOKUP(D216,'G-6 Hedgerow Data'!$B$3:$AG$15,31,FALSE))</f>
        <v/>
      </c>
      <c r="T216" s="298" t="str">
        <f t="shared" si="21"/>
        <v/>
      </c>
      <c r="U216" s="298" t="str">
        <f t="shared" si="22"/>
        <v/>
      </c>
      <c r="V216" s="314" t="str">
        <f>IF(D216="","",VLOOKUP(S216,'G-3 Multipliers'!$P$3:$Q$6,2,FALSE))</f>
        <v/>
      </c>
      <c r="W216" s="317" t="str">
        <f t="shared" si="23"/>
        <v/>
      </c>
      <c r="X216" s="98"/>
      <c r="Y216" s="99"/>
      <c r="Z216" s="101"/>
      <c r="AG216" s="15" t="str">
        <f>IFERROR(INDEX('G-6 Hedgerow Data'!$BJ$3:$BJ$15,MATCH(D216,'G-6 Hedgerow Data'!$B$3:$B$15,0)),"")</f>
        <v/>
      </c>
    </row>
    <row r="217" spans="2:33" ht="14" x14ac:dyDescent="0.3">
      <c r="B217" s="92">
        <v>206</v>
      </c>
      <c r="C217" s="143"/>
      <c r="D217" s="138"/>
      <c r="E217" s="120"/>
      <c r="F217" s="335" t="str">
        <f>IF(D217="","",VLOOKUP(D217,'G-6 Hedgerow Data'!$B$2:$AG$15,2,FALSE))</f>
        <v/>
      </c>
      <c r="G217" s="291" t="str">
        <f>IF(D217="","",VLOOKUP(D217,'G-6 Hedgerow Data'!$B$2:$AG$15,3,FALSE))</f>
        <v/>
      </c>
      <c r="H217" s="95"/>
      <c r="I217" s="291" t="str">
        <f>IFERROR(IF(H217="","",IF(AND(D217="Non-native and ornamental hedgerow", H217&lt;&gt;"Poor"),"Not possible ▲", (VLOOKUP(H217,'G-1 All Habitats'!$Z$2:$AA$9,2,FALSE)))),"")</f>
        <v/>
      </c>
      <c r="J217" s="95"/>
      <c r="K217" s="310" t="str">
        <f>IF(J217="","",IF(VLOOKUP(J217,'G-3 Multipliers'!$L$3:$N$6,2,FALSE)=0,"Spatial Data Missing ⚠",VLOOKUP(J217,'G-3 Multipliers'!$L$3:$N$6,2,FALSE)))</f>
        <v/>
      </c>
      <c r="L217" s="296" t="str">
        <f>IF(J217="","",IF(VLOOKUP(J217,'G-3 Multipliers'!$L$3:$N$6,3,FALSE)=0,"Spatial Data Missing ⚠",VLOOKUP(J217,'G-3 Multipliers'!$L$3:$N$6,3,FALSE)))</f>
        <v/>
      </c>
      <c r="M217" s="290" t="str">
        <f>IF(OR(D217="",H217=""),"",(INDEX('G-6 Hedgerow Data'!$E$3:$I$15,MATCH(D217,'G-6 Hedgerow Data'!$B$3:$B$15,0),MATCH(H217,'G-6 Hedgerow Data'!$E$2:$I$2,0))))</f>
        <v/>
      </c>
      <c r="N217" s="138"/>
      <c r="O217" s="138"/>
      <c r="P217" s="298" t="str">
        <f t="shared" si="19"/>
        <v/>
      </c>
      <c r="Q217" s="311" t="str">
        <f t="shared" si="20"/>
        <v/>
      </c>
      <c r="R217" s="312" t="str">
        <f t="shared" si="18"/>
        <v/>
      </c>
      <c r="S217" s="325" t="str">
        <f>IF(D217="","",VLOOKUP(D217,'G-6 Hedgerow Data'!$B$3:$AG$15,31,FALSE))</f>
        <v/>
      </c>
      <c r="T217" s="298" t="str">
        <f t="shared" si="21"/>
        <v/>
      </c>
      <c r="U217" s="298" t="str">
        <f t="shared" si="22"/>
        <v/>
      </c>
      <c r="V217" s="314" t="str">
        <f>IF(D217="","",VLOOKUP(S217,'G-3 Multipliers'!$P$3:$Q$6,2,FALSE))</f>
        <v/>
      </c>
      <c r="W217" s="317" t="str">
        <f t="shared" si="23"/>
        <v/>
      </c>
      <c r="X217" s="98"/>
      <c r="Y217" s="99"/>
      <c r="Z217" s="101"/>
      <c r="AG217" s="15" t="str">
        <f>IFERROR(INDEX('G-6 Hedgerow Data'!$BJ$3:$BJ$15,MATCH(D217,'G-6 Hedgerow Data'!$B$3:$B$15,0)),"")</f>
        <v/>
      </c>
    </row>
    <row r="218" spans="2:33" ht="14" x14ac:dyDescent="0.3">
      <c r="B218" s="92">
        <v>207</v>
      </c>
      <c r="C218" s="143"/>
      <c r="D218" s="138"/>
      <c r="E218" s="120"/>
      <c r="F218" s="335" t="str">
        <f>IF(D218="","",VLOOKUP(D218,'G-6 Hedgerow Data'!$B$2:$AG$15,2,FALSE))</f>
        <v/>
      </c>
      <c r="G218" s="291" t="str">
        <f>IF(D218="","",VLOOKUP(D218,'G-6 Hedgerow Data'!$B$2:$AG$15,3,FALSE))</f>
        <v/>
      </c>
      <c r="H218" s="95"/>
      <c r="I218" s="291" t="str">
        <f>IFERROR(IF(H218="","",IF(AND(D218="Non-native and ornamental hedgerow", H218&lt;&gt;"Poor"),"Not possible ▲", (VLOOKUP(H218,'G-1 All Habitats'!$Z$2:$AA$9,2,FALSE)))),"")</f>
        <v/>
      </c>
      <c r="J218" s="95"/>
      <c r="K218" s="310" t="str">
        <f>IF(J218="","",IF(VLOOKUP(J218,'G-3 Multipliers'!$L$3:$N$6,2,FALSE)=0,"Spatial Data Missing ⚠",VLOOKUP(J218,'G-3 Multipliers'!$L$3:$N$6,2,FALSE)))</f>
        <v/>
      </c>
      <c r="L218" s="296" t="str">
        <f>IF(J218="","",IF(VLOOKUP(J218,'G-3 Multipliers'!$L$3:$N$6,3,FALSE)=0,"Spatial Data Missing ⚠",VLOOKUP(J218,'G-3 Multipliers'!$L$3:$N$6,3,FALSE)))</f>
        <v/>
      </c>
      <c r="M218" s="290" t="str">
        <f>IF(OR(D218="",H218=""),"",(INDEX('G-6 Hedgerow Data'!$E$3:$I$15,MATCH(D218,'G-6 Hedgerow Data'!$B$3:$B$15,0),MATCH(H218,'G-6 Hedgerow Data'!$E$2:$I$2,0))))</f>
        <v/>
      </c>
      <c r="N218" s="138"/>
      <c r="O218" s="138"/>
      <c r="P218" s="298" t="str">
        <f t="shared" si="19"/>
        <v/>
      </c>
      <c r="Q218" s="311" t="str">
        <f t="shared" si="20"/>
        <v/>
      </c>
      <c r="R218" s="312" t="str">
        <f t="shared" si="18"/>
        <v/>
      </c>
      <c r="S218" s="325" t="str">
        <f>IF(D218="","",VLOOKUP(D218,'G-6 Hedgerow Data'!$B$3:$AG$15,31,FALSE))</f>
        <v/>
      </c>
      <c r="T218" s="298" t="str">
        <f t="shared" si="21"/>
        <v/>
      </c>
      <c r="U218" s="298" t="str">
        <f t="shared" si="22"/>
        <v/>
      </c>
      <c r="V218" s="314" t="str">
        <f>IF(D218="","",VLOOKUP(S218,'G-3 Multipliers'!$P$3:$Q$6,2,FALSE))</f>
        <v/>
      </c>
      <c r="W218" s="317" t="str">
        <f t="shared" si="23"/>
        <v/>
      </c>
      <c r="X218" s="98"/>
      <c r="Y218" s="99"/>
      <c r="Z218" s="101"/>
      <c r="AG218" s="15" t="str">
        <f>IFERROR(INDEX('G-6 Hedgerow Data'!$BJ$3:$BJ$15,MATCH(D218,'G-6 Hedgerow Data'!$B$3:$B$15,0)),"")</f>
        <v/>
      </c>
    </row>
    <row r="219" spans="2:33" ht="14" x14ac:dyDescent="0.3">
      <c r="B219" s="92">
        <v>208</v>
      </c>
      <c r="C219" s="143"/>
      <c r="D219" s="138"/>
      <c r="E219" s="120"/>
      <c r="F219" s="335" t="str">
        <f>IF(D219="","",VLOOKUP(D219,'G-6 Hedgerow Data'!$B$2:$AG$15,2,FALSE))</f>
        <v/>
      </c>
      <c r="G219" s="291" t="str">
        <f>IF(D219="","",VLOOKUP(D219,'G-6 Hedgerow Data'!$B$2:$AG$15,3,FALSE))</f>
        <v/>
      </c>
      <c r="H219" s="95"/>
      <c r="I219" s="291" t="str">
        <f>IFERROR(IF(H219="","",IF(AND(D219="Non-native and ornamental hedgerow", H219&lt;&gt;"Poor"),"Not possible ▲", (VLOOKUP(H219,'G-1 All Habitats'!$Z$2:$AA$9,2,FALSE)))),"")</f>
        <v/>
      </c>
      <c r="J219" s="95"/>
      <c r="K219" s="310" t="str">
        <f>IF(J219="","",IF(VLOOKUP(J219,'G-3 Multipliers'!$L$3:$N$6,2,FALSE)=0,"Spatial Data Missing ⚠",VLOOKUP(J219,'G-3 Multipliers'!$L$3:$N$6,2,FALSE)))</f>
        <v/>
      </c>
      <c r="L219" s="296" t="str">
        <f>IF(J219="","",IF(VLOOKUP(J219,'G-3 Multipliers'!$L$3:$N$6,3,FALSE)=0,"Spatial Data Missing ⚠",VLOOKUP(J219,'G-3 Multipliers'!$L$3:$N$6,3,FALSE)))</f>
        <v/>
      </c>
      <c r="M219" s="290" t="str">
        <f>IF(OR(D219="",H219=""),"",(INDEX('G-6 Hedgerow Data'!$E$3:$I$15,MATCH(D219,'G-6 Hedgerow Data'!$B$3:$B$15,0),MATCH(H219,'G-6 Hedgerow Data'!$E$2:$I$2,0))))</f>
        <v/>
      </c>
      <c r="N219" s="138"/>
      <c r="O219" s="138"/>
      <c r="P219" s="298" t="str">
        <f t="shared" si="19"/>
        <v/>
      </c>
      <c r="Q219" s="311" t="str">
        <f t="shared" si="20"/>
        <v/>
      </c>
      <c r="R219" s="312" t="str">
        <f t="shared" si="18"/>
        <v/>
      </c>
      <c r="S219" s="325" t="str">
        <f>IF(D219="","",VLOOKUP(D219,'G-6 Hedgerow Data'!$B$3:$AG$15,31,FALSE))</f>
        <v/>
      </c>
      <c r="T219" s="298" t="str">
        <f t="shared" si="21"/>
        <v/>
      </c>
      <c r="U219" s="298" t="str">
        <f t="shared" si="22"/>
        <v/>
      </c>
      <c r="V219" s="314" t="str">
        <f>IF(D219="","",VLOOKUP(S219,'G-3 Multipliers'!$P$3:$Q$6,2,FALSE))</f>
        <v/>
      </c>
      <c r="W219" s="317" t="str">
        <f t="shared" si="23"/>
        <v/>
      </c>
      <c r="X219" s="98"/>
      <c r="Y219" s="99"/>
      <c r="Z219" s="101"/>
      <c r="AG219" s="15" t="str">
        <f>IFERROR(INDEX('G-6 Hedgerow Data'!$BJ$3:$BJ$15,MATCH(D219,'G-6 Hedgerow Data'!$B$3:$B$15,0)),"")</f>
        <v/>
      </c>
    </row>
    <row r="220" spans="2:33" ht="14" x14ac:dyDescent="0.3">
      <c r="B220" s="92">
        <v>209</v>
      </c>
      <c r="C220" s="143"/>
      <c r="D220" s="138"/>
      <c r="E220" s="120"/>
      <c r="F220" s="335" t="str">
        <f>IF(D220="","",VLOOKUP(D220,'G-6 Hedgerow Data'!$B$2:$AG$15,2,FALSE))</f>
        <v/>
      </c>
      <c r="G220" s="291" t="str">
        <f>IF(D220="","",VLOOKUP(D220,'G-6 Hedgerow Data'!$B$2:$AG$15,3,FALSE))</f>
        <v/>
      </c>
      <c r="H220" s="95"/>
      <c r="I220" s="291" t="str">
        <f>IFERROR(IF(H220="","",IF(AND(D220="Non-native and ornamental hedgerow", H220&lt;&gt;"Poor"),"Not possible ▲", (VLOOKUP(H220,'G-1 All Habitats'!$Z$2:$AA$9,2,FALSE)))),"")</f>
        <v/>
      </c>
      <c r="J220" s="95"/>
      <c r="K220" s="310" t="str">
        <f>IF(J220="","",IF(VLOOKUP(J220,'G-3 Multipliers'!$L$3:$N$6,2,FALSE)=0,"Spatial Data Missing ⚠",VLOOKUP(J220,'G-3 Multipliers'!$L$3:$N$6,2,FALSE)))</f>
        <v/>
      </c>
      <c r="L220" s="296" t="str">
        <f>IF(J220="","",IF(VLOOKUP(J220,'G-3 Multipliers'!$L$3:$N$6,3,FALSE)=0,"Spatial Data Missing ⚠",VLOOKUP(J220,'G-3 Multipliers'!$L$3:$N$6,3,FALSE)))</f>
        <v/>
      </c>
      <c r="M220" s="290" t="str">
        <f>IF(OR(D220="",H220=""),"",(INDEX('G-6 Hedgerow Data'!$E$3:$I$15,MATCH(D220,'G-6 Hedgerow Data'!$B$3:$B$15,0),MATCH(H220,'G-6 Hedgerow Data'!$E$2:$I$2,0))))</f>
        <v/>
      </c>
      <c r="N220" s="138"/>
      <c r="O220" s="138"/>
      <c r="P220" s="298" t="str">
        <f t="shared" si="19"/>
        <v/>
      </c>
      <c r="Q220" s="311" t="str">
        <f t="shared" si="20"/>
        <v/>
      </c>
      <c r="R220" s="312" t="str">
        <f t="shared" si="18"/>
        <v/>
      </c>
      <c r="S220" s="325" t="str">
        <f>IF(D220="","",VLOOKUP(D220,'G-6 Hedgerow Data'!$B$3:$AG$15,31,FALSE))</f>
        <v/>
      </c>
      <c r="T220" s="298" t="str">
        <f t="shared" si="21"/>
        <v/>
      </c>
      <c r="U220" s="298" t="str">
        <f t="shared" si="22"/>
        <v/>
      </c>
      <c r="V220" s="314" t="str">
        <f>IF(D220="","",VLOOKUP(S220,'G-3 Multipliers'!$P$3:$Q$6,2,FALSE))</f>
        <v/>
      </c>
      <c r="W220" s="317" t="str">
        <f t="shared" si="23"/>
        <v/>
      </c>
      <c r="X220" s="98"/>
      <c r="Y220" s="99"/>
      <c r="Z220" s="101"/>
      <c r="AG220" s="15" t="str">
        <f>IFERROR(INDEX('G-6 Hedgerow Data'!$BJ$3:$BJ$15,MATCH(D220,'G-6 Hedgerow Data'!$B$3:$B$15,0)),"")</f>
        <v/>
      </c>
    </row>
    <row r="221" spans="2:33" ht="14" x14ac:dyDescent="0.3">
      <c r="B221" s="92">
        <v>210</v>
      </c>
      <c r="C221" s="143"/>
      <c r="D221" s="138"/>
      <c r="E221" s="120"/>
      <c r="F221" s="335" t="str">
        <f>IF(D221="","",VLOOKUP(D221,'G-6 Hedgerow Data'!$B$2:$AG$15,2,FALSE))</f>
        <v/>
      </c>
      <c r="G221" s="291" t="str">
        <f>IF(D221="","",VLOOKUP(D221,'G-6 Hedgerow Data'!$B$2:$AG$15,3,FALSE))</f>
        <v/>
      </c>
      <c r="H221" s="95"/>
      <c r="I221" s="291" t="str">
        <f>IFERROR(IF(H221="","",IF(AND(D221="Non-native and ornamental hedgerow", H221&lt;&gt;"Poor"),"Not possible ▲", (VLOOKUP(H221,'G-1 All Habitats'!$Z$2:$AA$9,2,FALSE)))),"")</f>
        <v/>
      </c>
      <c r="J221" s="95"/>
      <c r="K221" s="310" t="str">
        <f>IF(J221="","",IF(VLOOKUP(J221,'G-3 Multipliers'!$L$3:$N$6,2,FALSE)=0,"Spatial Data Missing ⚠",VLOOKUP(J221,'G-3 Multipliers'!$L$3:$N$6,2,FALSE)))</f>
        <v/>
      </c>
      <c r="L221" s="296" t="str">
        <f>IF(J221="","",IF(VLOOKUP(J221,'G-3 Multipliers'!$L$3:$N$6,3,FALSE)=0,"Spatial Data Missing ⚠",VLOOKUP(J221,'G-3 Multipliers'!$L$3:$N$6,3,FALSE)))</f>
        <v/>
      </c>
      <c r="M221" s="290" t="str">
        <f>IF(OR(D221="",H221=""),"",(INDEX('G-6 Hedgerow Data'!$E$3:$I$15,MATCH(D221,'G-6 Hedgerow Data'!$B$3:$B$15,0),MATCH(H221,'G-6 Hedgerow Data'!$E$2:$I$2,0))))</f>
        <v/>
      </c>
      <c r="N221" s="138"/>
      <c r="O221" s="138"/>
      <c r="P221" s="298" t="str">
        <f t="shared" si="19"/>
        <v/>
      </c>
      <c r="Q221" s="311" t="str">
        <f t="shared" si="20"/>
        <v/>
      </c>
      <c r="R221" s="312" t="str">
        <f t="shared" si="18"/>
        <v/>
      </c>
      <c r="S221" s="325" t="str">
        <f>IF(D221="","",VLOOKUP(D221,'G-6 Hedgerow Data'!$B$3:$AG$15,31,FALSE))</f>
        <v/>
      </c>
      <c r="T221" s="298" t="str">
        <f t="shared" si="21"/>
        <v/>
      </c>
      <c r="U221" s="298" t="str">
        <f t="shared" si="22"/>
        <v/>
      </c>
      <c r="V221" s="314" t="str">
        <f>IF(D221="","",VLOOKUP(S221,'G-3 Multipliers'!$P$3:$Q$6,2,FALSE))</f>
        <v/>
      </c>
      <c r="W221" s="317" t="str">
        <f t="shared" si="23"/>
        <v/>
      </c>
      <c r="X221" s="98"/>
      <c r="Y221" s="99"/>
      <c r="Z221" s="101"/>
      <c r="AG221" s="15" t="str">
        <f>IFERROR(INDEX('G-6 Hedgerow Data'!$BJ$3:$BJ$15,MATCH(D221,'G-6 Hedgerow Data'!$B$3:$B$15,0)),"")</f>
        <v/>
      </c>
    </row>
    <row r="222" spans="2:33" ht="14" x14ac:dyDescent="0.3">
      <c r="B222" s="92">
        <v>211</v>
      </c>
      <c r="C222" s="143"/>
      <c r="D222" s="138"/>
      <c r="E222" s="120"/>
      <c r="F222" s="335" t="str">
        <f>IF(D222="","",VLOOKUP(D222,'G-6 Hedgerow Data'!$B$2:$AG$15,2,FALSE))</f>
        <v/>
      </c>
      <c r="G222" s="291" t="str">
        <f>IF(D222="","",VLOOKUP(D222,'G-6 Hedgerow Data'!$B$2:$AG$15,3,FALSE))</f>
        <v/>
      </c>
      <c r="H222" s="95"/>
      <c r="I222" s="291" t="str">
        <f>IFERROR(IF(H222="","",IF(AND(D222="Non-native and ornamental hedgerow", H222&lt;&gt;"Poor"),"Not possible ▲", (VLOOKUP(H222,'G-1 All Habitats'!$Z$2:$AA$9,2,FALSE)))),"")</f>
        <v/>
      </c>
      <c r="J222" s="95"/>
      <c r="K222" s="310" t="str">
        <f>IF(J222="","",IF(VLOOKUP(J222,'G-3 Multipliers'!$L$3:$N$6,2,FALSE)=0,"Spatial Data Missing ⚠",VLOOKUP(J222,'G-3 Multipliers'!$L$3:$N$6,2,FALSE)))</f>
        <v/>
      </c>
      <c r="L222" s="296" t="str">
        <f>IF(J222="","",IF(VLOOKUP(J222,'G-3 Multipliers'!$L$3:$N$6,3,FALSE)=0,"Spatial Data Missing ⚠",VLOOKUP(J222,'G-3 Multipliers'!$L$3:$N$6,3,FALSE)))</f>
        <v/>
      </c>
      <c r="M222" s="290" t="str">
        <f>IF(OR(D222="",H222=""),"",(INDEX('G-6 Hedgerow Data'!$E$3:$I$15,MATCH(D222,'G-6 Hedgerow Data'!$B$3:$B$15,0),MATCH(H222,'G-6 Hedgerow Data'!$E$2:$I$2,0))))</f>
        <v/>
      </c>
      <c r="N222" s="138"/>
      <c r="O222" s="138"/>
      <c r="P222" s="298" t="str">
        <f t="shared" si="19"/>
        <v/>
      </c>
      <c r="Q222" s="311" t="str">
        <f t="shared" si="20"/>
        <v/>
      </c>
      <c r="R222" s="312" t="str">
        <f t="shared" si="18"/>
        <v/>
      </c>
      <c r="S222" s="325" t="str">
        <f>IF(D222="","",VLOOKUP(D222,'G-6 Hedgerow Data'!$B$3:$AG$15,31,FALSE))</f>
        <v/>
      </c>
      <c r="T222" s="298" t="str">
        <f t="shared" si="21"/>
        <v/>
      </c>
      <c r="U222" s="298" t="str">
        <f t="shared" si="22"/>
        <v/>
      </c>
      <c r="V222" s="314" t="str">
        <f>IF(D222="","",VLOOKUP(S222,'G-3 Multipliers'!$P$3:$Q$6,2,FALSE))</f>
        <v/>
      </c>
      <c r="W222" s="317" t="str">
        <f t="shared" si="23"/>
        <v/>
      </c>
      <c r="X222" s="98"/>
      <c r="Y222" s="99"/>
      <c r="Z222" s="101"/>
      <c r="AG222" s="15" t="str">
        <f>IFERROR(INDEX('G-6 Hedgerow Data'!$BJ$3:$BJ$15,MATCH(D222,'G-6 Hedgerow Data'!$B$3:$B$15,0)),"")</f>
        <v/>
      </c>
    </row>
    <row r="223" spans="2:33" ht="14" x14ac:dyDescent="0.3">
      <c r="B223" s="92">
        <v>212</v>
      </c>
      <c r="C223" s="143"/>
      <c r="D223" s="138"/>
      <c r="E223" s="120"/>
      <c r="F223" s="335" t="str">
        <f>IF(D223="","",VLOOKUP(D223,'G-6 Hedgerow Data'!$B$2:$AG$15,2,FALSE))</f>
        <v/>
      </c>
      <c r="G223" s="291" t="str">
        <f>IF(D223="","",VLOOKUP(D223,'G-6 Hedgerow Data'!$B$2:$AG$15,3,FALSE))</f>
        <v/>
      </c>
      <c r="H223" s="95"/>
      <c r="I223" s="291" t="str">
        <f>IFERROR(IF(H223="","",IF(AND(D223="Non-native and ornamental hedgerow", H223&lt;&gt;"Poor"),"Not possible ▲", (VLOOKUP(H223,'G-1 All Habitats'!$Z$2:$AA$9,2,FALSE)))),"")</f>
        <v/>
      </c>
      <c r="J223" s="95"/>
      <c r="K223" s="310" t="str">
        <f>IF(J223="","",IF(VLOOKUP(J223,'G-3 Multipliers'!$L$3:$N$6,2,FALSE)=0,"Spatial Data Missing ⚠",VLOOKUP(J223,'G-3 Multipliers'!$L$3:$N$6,2,FALSE)))</f>
        <v/>
      </c>
      <c r="L223" s="296" t="str">
        <f>IF(J223="","",IF(VLOOKUP(J223,'G-3 Multipliers'!$L$3:$N$6,3,FALSE)=0,"Spatial Data Missing ⚠",VLOOKUP(J223,'G-3 Multipliers'!$L$3:$N$6,3,FALSE)))</f>
        <v/>
      </c>
      <c r="M223" s="290" t="str">
        <f>IF(OR(D223="",H223=""),"",(INDEX('G-6 Hedgerow Data'!$E$3:$I$15,MATCH(D223,'G-6 Hedgerow Data'!$B$3:$B$15,0),MATCH(H223,'G-6 Hedgerow Data'!$E$2:$I$2,0))))</f>
        <v/>
      </c>
      <c r="N223" s="138"/>
      <c r="O223" s="138"/>
      <c r="P223" s="298" t="str">
        <f t="shared" si="19"/>
        <v/>
      </c>
      <c r="Q223" s="311" t="str">
        <f t="shared" si="20"/>
        <v/>
      </c>
      <c r="R223" s="312" t="str">
        <f t="shared" si="18"/>
        <v/>
      </c>
      <c r="S223" s="325" t="str">
        <f>IF(D223="","",VLOOKUP(D223,'G-6 Hedgerow Data'!$B$3:$AG$15,31,FALSE))</f>
        <v/>
      </c>
      <c r="T223" s="298" t="str">
        <f t="shared" si="21"/>
        <v/>
      </c>
      <c r="U223" s="298" t="str">
        <f t="shared" si="22"/>
        <v/>
      </c>
      <c r="V223" s="314" t="str">
        <f>IF(D223="","",VLOOKUP(S223,'G-3 Multipliers'!$P$3:$Q$6,2,FALSE))</f>
        <v/>
      </c>
      <c r="W223" s="317" t="str">
        <f t="shared" si="23"/>
        <v/>
      </c>
      <c r="X223" s="98"/>
      <c r="Y223" s="99"/>
      <c r="Z223" s="101"/>
      <c r="AG223" s="15" t="str">
        <f>IFERROR(INDEX('G-6 Hedgerow Data'!$BJ$3:$BJ$15,MATCH(D223,'G-6 Hedgerow Data'!$B$3:$B$15,0)),"")</f>
        <v/>
      </c>
    </row>
    <row r="224" spans="2:33" ht="14" x14ac:dyDescent="0.3">
      <c r="B224" s="92">
        <v>213</v>
      </c>
      <c r="C224" s="143"/>
      <c r="D224" s="138"/>
      <c r="E224" s="120"/>
      <c r="F224" s="335" t="str">
        <f>IF(D224="","",VLOOKUP(D224,'G-6 Hedgerow Data'!$B$2:$AG$15,2,FALSE))</f>
        <v/>
      </c>
      <c r="G224" s="291" t="str">
        <f>IF(D224="","",VLOOKUP(D224,'G-6 Hedgerow Data'!$B$2:$AG$15,3,FALSE))</f>
        <v/>
      </c>
      <c r="H224" s="95"/>
      <c r="I224" s="291" t="str">
        <f>IFERROR(IF(H224="","",IF(AND(D224="Non-native and ornamental hedgerow", H224&lt;&gt;"Poor"),"Not possible ▲", (VLOOKUP(H224,'G-1 All Habitats'!$Z$2:$AA$9,2,FALSE)))),"")</f>
        <v/>
      </c>
      <c r="J224" s="95"/>
      <c r="K224" s="310" t="str">
        <f>IF(J224="","",IF(VLOOKUP(J224,'G-3 Multipliers'!$L$3:$N$6,2,FALSE)=0,"Spatial Data Missing ⚠",VLOOKUP(J224,'G-3 Multipliers'!$L$3:$N$6,2,FALSE)))</f>
        <v/>
      </c>
      <c r="L224" s="296" t="str">
        <f>IF(J224="","",IF(VLOOKUP(J224,'G-3 Multipliers'!$L$3:$N$6,3,FALSE)=0,"Spatial Data Missing ⚠",VLOOKUP(J224,'G-3 Multipliers'!$L$3:$N$6,3,FALSE)))</f>
        <v/>
      </c>
      <c r="M224" s="290" t="str">
        <f>IF(OR(D224="",H224=""),"",(INDEX('G-6 Hedgerow Data'!$E$3:$I$15,MATCH(D224,'G-6 Hedgerow Data'!$B$3:$B$15,0),MATCH(H224,'G-6 Hedgerow Data'!$E$2:$I$2,0))))</f>
        <v/>
      </c>
      <c r="N224" s="138"/>
      <c r="O224" s="138"/>
      <c r="P224" s="298" t="str">
        <f t="shared" si="19"/>
        <v/>
      </c>
      <c r="Q224" s="311" t="str">
        <f t="shared" si="20"/>
        <v/>
      </c>
      <c r="R224" s="312" t="str">
        <f t="shared" si="18"/>
        <v/>
      </c>
      <c r="S224" s="325" t="str">
        <f>IF(D224="","",VLOOKUP(D224,'G-6 Hedgerow Data'!$B$3:$AG$15,31,FALSE))</f>
        <v/>
      </c>
      <c r="T224" s="298" t="str">
        <f t="shared" si="21"/>
        <v/>
      </c>
      <c r="U224" s="298" t="str">
        <f t="shared" si="22"/>
        <v/>
      </c>
      <c r="V224" s="314" t="str">
        <f>IF(D224="","",VLOOKUP(S224,'G-3 Multipliers'!$P$3:$Q$6,2,FALSE))</f>
        <v/>
      </c>
      <c r="W224" s="317" t="str">
        <f t="shared" si="23"/>
        <v/>
      </c>
      <c r="X224" s="98"/>
      <c r="Y224" s="99"/>
      <c r="Z224" s="101"/>
      <c r="AG224" s="15" t="str">
        <f>IFERROR(INDEX('G-6 Hedgerow Data'!$BJ$3:$BJ$15,MATCH(D224,'G-6 Hedgerow Data'!$B$3:$B$15,0)),"")</f>
        <v/>
      </c>
    </row>
    <row r="225" spans="2:33" ht="14" x14ac:dyDescent="0.3">
      <c r="B225" s="92">
        <v>214</v>
      </c>
      <c r="C225" s="143"/>
      <c r="D225" s="138"/>
      <c r="E225" s="120"/>
      <c r="F225" s="335" t="str">
        <f>IF(D225="","",VLOOKUP(D225,'G-6 Hedgerow Data'!$B$2:$AG$15,2,FALSE))</f>
        <v/>
      </c>
      <c r="G225" s="291" t="str">
        <f>IF(D225="","",VLOOKUP(D225,'G-6 Hedgerow Data'!$B$2:$AG$15,3,FALSE))</f>
        <v/>
      </c>
      <c r="H225" s="95"/>
      <c r="I225" s="291" t="str">
        <f>IFERROR(IF(H225="","",IF(AND(D225="Non-native and ornamental hedgerow", H225&lt;&gt;"Poor"),"Not possible ▲", (VLOOKUP(H225,'G-1 All Habitats'!$Z$2:$AA$9,2,FALSE)))),"")</f>
        <v/>
      </c>
      <c r="J225" s="95"/>
      <c r="K225" s="310" t="str">
        <f>IF(J225="","",IF(VLOOKUP(J225,'G-3 Multipliers'!$L$3:$N$6,2,FALSE)=0,"Spatial Data Missing ⚠",VLOOKUP(J225,'G-3 Multipliers'!$L$3:$N$6,2,FALSE)))</f>
        <v/>
      </c>
      <c r="L225" s="296" t="str">
        <f>IF(J225="","",IF(VLOOKUP(J225,'G-3 Multipliers'!$L$3:$N$6,3,FALSE)=0,"Spatial Data Missing ⚠",VLOOKUP(J225,'G-3 Multipliers'!$L$3:$N$6,3,FALSE)))</f>
        <v/>
      </c>
      <c r="M225" s="290" t="str">
        <f>IF(OR(D225="",H225=""),"",(INDEX('G-6 Hedgerow Data'!$E$3:$I$15,MATCH(D225,'G-6 Hedgerow Data'!$B$3:$B$15,0),MATCH(H225,'G-6 Hedgerow Data'!$E$2:$I$2,0))))</f>
        <v/>
      </c>
      <c r="N225" s="138"/>
      <c r="O225" s="138"/>
      <c r="P225" s="298" t="str">
        <f t="shared" si="19"/>
        <v/>
      </c>
      <c r="Q225" s="311" t="str">
        <f t="shared" si="20"/>
        <v/>
      </c>
      <c r="R225" s="312" t="str">
        <f t="shared" si="18"/>
        <v/>
      </c>
      <c r="S225" s="325" t="str">
        <f>IF(D225="","",VLOOKUP(D225,'G-6 Hedgerow Data'!$B$3:$AG$15,31,FALSE))</f>
        <v/>
      </c>
      <c r="T225" s="298" t="str">
        <f t="shared" si="21"/>
        <v/>
      </c>
      <c r="U225" s="298" t="str">
        <f t="shared" si="22"/>
        <v/>
      </c>
      <c r="V225" s="314" t="str">
        <f>IF(D225="","",VLOOKUP(S225,'G-3 Multipliers'!$P$3:$Q$6,2,FALSE))</f>
        <v/>
      </c>
      <c r="W225" s="317" t="str">
        <f t="shared" si="23"/>
        <v/>
      </c>
      <c r="X225" s="98"/>
      <c r="Y225" s="99"/>
      <c r="Z225" s="101"/>
      <c r="AG225" s="15" t="str">
        <f>IFERROR(INDEX('G-6 Hedgerow Data'!$BJ$3:$BJ$15,MATCH(D225,'G-6 Hedgerow Data'!$B$3:$B$15,0)),"")</f>
        <v/>
      </c>
    </row>
    <row r="226" spans="2:33" ht="14" x14ac:dyDescent="0.3">
      <c r="B226" s="92">
        <v>215</v>
      </c>
      <c r="C226" s="143"/>
      <c r="D226" s="138"/>
      <c r="E226" s="120"/>
      <c r="F226" s="335" t="str">
        <f>IF(D226="","",VLOOKUP(D226,'G-6 Hedgerow Data'!$B$2:$AG$15,2,FALSE))</f>
        <v/>
      </c>
      <c r="G226" s="291" t="str">
        <f>IF(D226="","",VLOOKUP(D226,'G-6 Hedgerow Data'!$B$2:$AG$15,3,FALSE))</f>
        <v/>
      </c>
      <c r="H226" s="95"/>
      <c r="I226" s="291" t="str">
        <f>IFERROR(IF(H226="","",IF(AND(D226="Non-native and ornamental hedgerow", H226&lt;&gt;"Poor"),"Not possible ▲", (VLOOKUP(H226,'G-1 All Habitats'!$Z$2:$AA$9,2,FALSE)))),"")</f>
        <v/>
      </c>
      <c r="J226" s="95"/>
      <c r="K226" s="310" t="str">
        <f>IF(J226="","",IF(VLOOKUP(J226,'G-3 Multipliers'!$L$3:$N$6,2,FALSE)=0,"Spatial Data Missing ⚠",VLOOKUP(J226,'G-3 Multipliers'!$L$3:$N$6,2,FALSE)))</f>
        <v/>
      </c>
      <c r="L226" s="296" t="str">
        <f>IF(J226="","",IF(VLOOKUP(J226,'G-3 Multipliers'!$L$3:$N$6,3,FALSE)=0,"Spatial Data Missing ⚠",VLOOKUP(J226,'G-3 Multipliers'!$L$3:$N$6,3,FALSE)))</f>
        <v/>
      </c>
      <c r="M226" s="290" t="str">
        <f>IF(OR(D226="",H226=""),"",(INDEX('G-6 Hedgerow Data'!$E$3:$I$15,MATCH(D226,'G-6 Hedgerow Data'!$B$3:$B$15,0),MATCH(H226,'G-6 Hedgerow Data'!$E$2:$I$2,0))))</f>
        <v/>
      </c>
      <c r="N226" s="138"/>
      <c r="O226" s="138"/>
      <c r="P226" s="298" t="str">
        <f t="shared" si="19"/>
        <v/>
      </c>
      <c r="Q226" s="311" t="str">
        <f t="shared" si="20"/>
        <v/>
      </c>
      <c r="R226" s="312" t="str">
        <f t="shared" si="18"/>
        <v/>
      </c>
      <c r="S226" s="325" t="str">
        <f>IF(D226="","",VLOOKUP(D226,'G-6 Hedgerow Data'!$B$3:$AG$15,31,FALSE))</f>
        <v/>
      </c>
      <c r="T226" s="298" t="str">
        <f t="shared" si="21"/>
        <v/>
      </c>
      <c r="U226" s="298" t="str">
        <f t="shared" si="22"/>
        <v/>
      </c>
      <c r="V226" s="314" t="str">
        <f>IF(D226="","",VLOOKUP(S226,'G-3 Multipliers'!$P$3:$Q$6,2,FALSE))</f>
        <v/>
      </c>
      <c r="W226" s="317" t="str">
        <f t="shared" si="23"/>
        <v/>
      </c>
      <c r="X226" s="98"/>
      <c r="Y226" s="99"/>
      <c r="Z226" s="101"/>
      <c r="AG226" s="15" t="str">
        <f>IFERROR(INDEX('G-6 Hedgerow Data'!$BJ$3:$BJ$15,MATCH(D226,'G-6 Hedgerow Data'!$B$3:$B$15,0)),"")</f>
        <v/>
      </c>
    </row>
    <row r="227" spans="2:33" ht="14" x14ac:dyDescent="0.3">
      <c r="B227" s="92">
        <v>216</v>
      </c>
      <c r="C227" s="143"/>
      <c r="D227" s="138"/>
      <c r="E227" s="120"/>
      <c r="F227" s="335" t="str">
        <f>IF(D227="","",VLOOKUP(D227,'G-6 Hedgerow Data'!$B$2:$AG$15,2,FALSE))</f>
        <v/>
      </c>
      <c r="G227" s="291" t="str">
        <f>IF(D227="","",VLOOKUP(D227,'G-6 Hedgerow Data'!$B$2:$AG$15,3,FALSE))</f>
        <v/>
      </c>
      <c r="H227" s="95"/>
      <c r="I227" s="291" t="str">
        <f>IFERROR(IF(H227="","",IF(AND(D227="Non-native and ornamental hedgerow", H227&lt;&gt;"Poor"),"Not possible ▲", (VLOOKUP(H227,'G-1 All Habitats'!$Z$2:$AA$9,2,FALSE)))),"")</f>
        <v/>
      </c>
      <c r="J227" s="95"/>
      <c r="K227" s="310" t="str">
        <f>IF(J227="","",IF(VLOOKUP(J227,'G-3 Multipliers'!$L$3:$N$6,2,FALSE)=0,"Spatial Data Missing ⚠",VLOOKUP(J227,'G-3 Multipliers'!$L$3:$N$6,2,FALSE)))</f>
        <v/>
      </c>
      <c r="L227" s="296" t="str">
        <f>IF(J227="","",IF(VLOOKUP(J227,'G-3 Multipliers'!$L$3:$N$6,3,FALSE)=0,"Spatial Data Missing ⚠",VLOOKUP(J227,'G-3 Multipliers'!$L$3:$N$6,3,FALSE)))</f>
        <v/>
      </c>
      <c r="M227" s="290" t="str">
        <f>IF(OR(D227="",H227=""),"",(INDEX('G-6 Hedgerow Data'!$E$3:$I$15,MATCH(D227,'G-6 Hedgerow Data'!$B$3:$B$15,0),MATCH(H227,'G-6 Hedgerow Data'!$E$2:$I$2,0))))</f>
        <v/>
      </c>
      <c r="N227" s="138"/>
      <c r="O227" s="138"/>
      <c r="P227" s="298" t="str">
        <f t="shared" si="19"/>
        <v/>
      </c>
      <c r="Q227" s="311" t="str">
        <f t="shared" si="20"/>
        <v/>
      </c>
      <c r="R227" s="312" t="str">
        <f t="shared" si="18"/>
        <v/>
      </c>
      <c r="S227" s="325" t="str">
        <f>IF(D227="","",VLOOKUP(D227,'G-6 Hedgerow Data'!$B$3:$AG$15,31,FALSE))</f>
        <v/>
      </c>
      <c r="T227" s="298" t="str">
        <f t="shared" si="21"/>
        <v/>
      </c>
      <c r="U227" s="298" t="str">
        <f t="shared" si="22"/>
        <v/>
      </c>
      <c r="V227" s="314" t="str">
        <f>IF(D227="","",VLOOKUP(S227,'G-3 Multipliers'!$P$3:$Q$6,2,FALSE))</f>
        <v/>
      </c>
      <c r="W227" s="317" t="str">
        <f t="shared" si="23"/>
        <v/>
      </c>
      <c r="X227" s="98"/>
      <c r="Y227" s="99"/>
      <c r="Z227" s="101"/>
      <c r="AG227" s="15" t="str">
        <f>IFERROR(INDEX('G-6 Hedgerow Data'!$BJ$3:$BJ$15,MATCH(D227,'G-6 Hedgerow Data'!$B$3:$B$15,0)),"")</f>
        <v/>
      </c>
    </row>
    <row r="228" spans="2:33" ht="14" x14ac:dyDescent="0.3">
      <c r="B228" s="92">
        <v>217</v>
      </c>
      <c r="C228" s="143"/>
      <c r="D228" s="138"/>
      <c r="E228" s="120"/>
      <c r="F228" s="335" t="str">
        <f>IF(D228="","",VLOOKUP(D228,'G-6 Hedgerow Data'!$B$2:$AG$15,2,FALSE))</f>
        <v/>
      </c>
      <c r="G228" s="291" t="str">
        <f>IF(D228="","",VLOOKUP(D228,'G-6 Hedgerow Data'!$B$2:$AG$15,3,FALSE))</f>
        <v/>
      </c>
      <c r="H228" s="95"/>
      <c r="I228" s="291" t="str">
        <f>IFERROR(IF(H228="","",IF(AND(D228="Non-native and ornamental hedgerow", H228&lt;&gt;"Poor"),"Not possible ▲", (VLOOKUP(H228,'G-1 All Habitats'!$Z$2:$AA$9,2,FALSE)))),"")</f>
        <v/>
      </c>
      <c r="J228" s="95"/>
      <c r="K228" s="310" t="str">
        <f>IF(J228="","",IF(VLOOKUP(J228,'G-3 Multipliers'!$L$3:$N$6,2,FALSE)=0,"Spatial Data Missing ⚠",VLOOKUP(J228,'G-3 Multipliers'!$L$3:$N$6,2,FALSE)))</f>
        <v/>
      </c>
      <c r="L228" s="296" t="str">
        <f>IF(J228="","",IF(VLOOKUP(J228,'G-3 Multipliers'!$L$3:$N$6,3,FALSE)=0,"Spatial Data Missing ⚠",VLOOKUP(J228,'G-3 Multipliers'!$L$3:$N$6,3,FALSE)))</f>
        <v/>
      </c>
      <c r="M228" s="290" t="str">
        <f>IF(OR(D228="",H228=""),"",(INDEX('G-6 Hedgerow Data'!$E$3:$I$15,MATCH(D228,'G-6 Hedgerow Data'!$B$3:$B$15,0),MATCH(H228,'G-6 Hedgerow Data'!$E$2:$I$2,0))))</f>
        <v/>
      </c>
      <c r="N228" s="138"/>
      <c r="O228" s="138"/>
      <c r="P228" s="298" t="str">
        <f t="shared" si="19"/>
        <v/>
      </c>
      <c r="Q228" s="311" t="str">
        <f t="shared" si="20"/>
        <v/>
      </c>
      <c r="R228" s="312" t="str">
        <f t="shared" si="18"/>
        <v/>
      </c>
      <c r="S228" s="325" t="str">
        <f>IF(D228="","",VLOOKUP(D228,'G-6 Hedgerow Data'!$B$3:$AG$15,31,FALSE))</f>
        <v/>
      </c>
      <c r="T228" s="298" t="str">
        <f t="shared" si="21"/>
        <v/>
      </c>
      <c r="U228" s="298" t="str">
        <f t="shared" si="22"/>
        <v/>
      </c>
      <c r="V228" s="314" t="str">
        <f>IF(D228="","",VLOOKUP(S228,'G-3 Multipliers'!$P$3:$Q$6,2,FALSE))</f>
        <v/>
      </c>
      <c r="W228" s="317" t="str">
        <f t="shared" si="23"/>
        <v/>
      </c>
      <c r="X228" s="98"/>
      <c r="Y228" s="99"/>
      <c r="Z228" s="101"/>
      <c r="AG228" s="15" t="str">
        <f>IFERROR(INDEX('G-6 Hedgerow Data'!$BJ$3:$BJ$15,MATCH(D228,'G-6 Hedgerow Data'!$B$3:$B$15,0)),"")</f>
        <v/>
      </c>
    </row>
    <row r="229" spans="2:33" ht="14" x14ac:dyDescent="0.3">
      <c r="B229" s="92">
        <v>218</v>
      </c>
      <c r="C229" s="143"/>
      <c r="D229" s="138"/>
      <c r="E229" s="120"/>
      <c r="F229" s="335" t="str">
        <f>IF(D229="","",VLOOKUP(D229,'G-6 Hedgerow Data'!$B$2:$AG$15,2,FALSE))</f>
        <v/>
      </c>
      <c r="G229" s="291" t="str">
        <f>IF(D229="","",VLOOKUP(D229,'G-6 Hedgerow Data'!$B$2:$AG$15,3,FALSE))</f>
        <v/>
      </c>
      <c r="H229" s="95"/>
      <c r="I229" s="291" t="str">
        <f>IFERROR(IF(H229="","",IF(AND(D229="Non-native and ornamental hedgerow", H229&lt;&gt;"Poor"),"Not possible ▲", (VLOOKUP(H229,'G-1 All Habitats'!$Z$2:$AA$9,2,FALSE)))),"")</f>
        <v/>
      </c>
      <c r="J229" s="95"/>
      <c r="K229" s="310" t="str">
        <f>IF(J229="","",IF(VLOOKUP(J229,'G-3 Multipliers'!$L$3:$N$6,2,FALSE)=0,"Spatial Data Missing ⚠",VLOOKUP(J229,'G-3 Multipliers'!$L$3:$N$6,2,FALSE)))</f>
        <v/>
      </c>
      <c r="L229" s="296" t="str">
        <f>IF(J229="","",IF(VLOOKUP(J229,'G-3 Multipliers'!$L$3:$N$6,3,FALSE)=0,"Spatial Data Missing ⚠",VLOOKUP(J229,'G-3 Multipliers'!$L$3:$N$6,3,FALSE)))</f>
        <v/>
      </c>
      <c r="M229" s="290" t="str">
        <f>IF(OR(D229="",H229=""),"",(INDEX('G-6 Hedgerow Data'!$E$3:$I$15,MATCH(D229,'G-6 Hedgerow Data'!$B$3:$B$15,0),MATCH(H229,'G-6 Hedgerow Data'!$E$2:$I$2,0))))</f>
        <v/>
      </c>
      <c r="N229" s="138"/>
      <c r="O229" s="138"/>
      <c r="P229" s="298" t="str">
        <f t="shared" si="19"/>
        <v/>
      </c>
      <c r="Q229" s="311" t="str">
        <f t="shared" si="20"/>
        <v/>
      </c>
      <c r="R229" s="312" t="str">
        <f t="shared" si="18"/>
        <v/>
      </c>
      <c r="S229" s="325" t="str">
        <f>IF(D229="","",VLOOKUP(D229,'G-6 Hedgerow Data'!$B$3:$AG$15,31,FALSE))</f>
        <v/>
      </c>
      <c r="T229" s="298" t="str">
        <f t="shared" si="21"/>
        <v/>
      </c>
      <c r="U229" s="298" t="str">
        <f t="shared" si="22"/>
        <v/>
      </c>
      <c r="V229" s="314" t="str">
        <f>IF(D229="","",VLOOKUP(S229,'G-3 Multipliers'!$P$3:$Q$6,2,FALSE))</f>
        <v/>
      </c>
      <c r="W229" s="317" t="str">
        <f t="shared" si="23"/>
        <v/>
      </c>
      <c r="X229" s="98"/>
      <c r="Y229" s="99"/>
      <c r="Z229" s="101"/>
      <c r="AG229" s="15" t="str">
        <f>IFERROR(INDEX('G-6 Hedgerow Data'!$BJ$3:$BJ$15,MATCH(D229,'G-6 Hedgerow Data'!$B$3:$B$15,0)),"")</f>
        <v/>
      </c>
    </row>
    <row r="230" spans="2:33" ht="14" x14ac:dyDescent="0.3">
      <c r="B230" s="92">
        <v>219</v>
      </c>
      <c r="C230" s="143"/>
      <c r="D230" s="138"/>
      <c r="E230" s="120"/>
      <c r="F230" s="335" t="str">
        <f>IF(D230="","",VLOOKUP(D230,'G-6 Hedgerow Data'!$B$2:$AG$15,2,FALSE))</f>
        <v/>
      </c>
      <c r="G230" s="291" t="str">
        <f>IF(D230="","",VLOOKUP(D230,'G-6 Hedgerow Data'!$B$2:$AG$15,3,FALSE))</f>
        <v/>
      </c>
      <c r="H230" s="95"/>
      <c r="I230" s="291" t="str">
        <f>IFERROR(IF(H230="","",IF(AND(D230="Non-native and ornamental hedgerow", H230&lt;&gt;"Poor"),"Not possible ▲", (VLOOKUP(H230,'G-1 All Habitats'!$Z$2:$AA$9,2,FALSE)))),"")</f>
        <v/>
      </c>
      <c r="J230" s="95"/>
      <c r="K230" s="310" t="str">
        <f>IF(J230="","",IF(VLOOKUP(J230,'G-3 Multipliers'!$L$3:$N$6,2,FALSE)=0,"Spatial Data Missing ⚠",VLOOKUP(J230,'G-3 Multipliers'!$L$3:$N$6,2,FALSE)))</f>
        <v/>
      </c>
      <c r="L230" s="296" t="str">
        <f>IF(J230="","",IF(VLOOKUP(J230,'G-3 Multipliers'!$L$3:$N$6,3,FALSE)=0,"Spatial Data Missing ⚠",VLOOKUP(J230,'G-3 Multipliers'!$L$3:$N$6,3,FALSE)))</f>
        <v/>
      </c>
      <c r="M230" s="290" t="str">
        <f>IF(OR(D230="",H230=""),"",(INDEX('G-6 Hedgerow Data'!$E$3:$I$15,MATCH(D230,'G-6 Hedgerow Data'!$B$3:$B$15,0),MATCH(H230,'G-6 Hedgerow Data'!$E$2:$I$2,0))))</f>
        <v/>
      </c>
      <c r="N230" s="138"/>
      <c r="O230" s="138"/>
      <c r="P230" s="298" t="str">
        <f t="shared" si="19"/>
        <v/>
      </c>
      <c r="Q230" s="311" t="str">
        <f t="shared" si="20"/>
        <v/>
      </c>
      <c r="R230" s="312" t="str">
        <f t="shared" si="18"/>
        <v/>
      </c>
      <c r="S230" s="325" t="str">
        <f>IF(D230="","",VLOOKUP(D230,'G-6 Hedgerow Data'!$B$3:$AG$15,31,FALSE))</f>
        <v/>
      </c>
      <c r="T230" s="298" t="str">
        <f t="shared" si="21"/>
        <v/>
      </c>
      <c r="U230" s="298" t="str">
        <f t="shared" si="22"/>
        <v/>
      </c>
      <c r="V230" s="314" t="str">
        <f>IF(D230="","",VLOOKUP(S230,'G-3 Multipliers'!$P$3:$Q$6,2,FALSE))</f>
        <v/>
      </c>
      <c r="W230" s="317" t="str">
        <f t="shared" si="23"/>
        <v/>
      </c>
      <c r="X230" s="98"/>
      <c r="Y230" s="99"/>
      <c r="Z230" s="101"/>
      <c r="AG230" s="15" t="str">
        <f>IFERROR(INDEX('G-6 Hedgerow Data'!$BJ$3:$BJ$15,MATCH(D230,'G-6 Hedgerow Data'!$B$3:$B$15,0)),"")</f>
        <v/>
      </c>
    </row>
    <row r="231" spans="2:33" ht="14" x14ac:dyDescent="0.3">
      <c r="B231" s="92">
        <v>220</v>
      </c>
      <c r="C231" s="143"/>
      <c r="D231" s="138"/>
      <c r="E231" s="120"/>
      <c r="F231" s="335" t="str">
        <f>IF(D231="","",VLOOKUP(D231,'G-6 Hedgerow Data'!$B$2:$AG$15,2,FALSE))</f>
        <v/>
      </c>
      <c r="G231" s="291" t="str">
        <f>IF(D231="","",VLOOKUP(D231,'G-6 Hedgerow Data'!$B$2:$AG$15,3,FALSE))</f>
        <v/>
      </c>
      <c r="H231" s="95"/>
      <c r="I231" s="291" t="str">
        <f>IFERROR(IF(H231="","",IF(AND(D231="Non-native and ornamental hedgerow", H231&lt;&gt;"Poor"),"Not possible ▲", (VLOOKUP(H231,'G-1 All Habitats'!$Z$2:$AA$9,2,FALSE)))),"")</f>
        <v/>
      </c>
      <c r="J231" s="95"/>
      <c r="K231" s="310" t="str">
        <f>IF(J231="","",IF(VLOOKUP(J231,'G-3 Multipliers'!$L$3:$N$6,2,FALSE)=0,"Spatial Data Missing ⚠",VLOOKUP(J231,'G-3 Multipliers'!$L$3:$N$6,2,FALSE)))</f>
        <v/>
      </c>
      <c r="L231" s="296" t="str">
        <f>IF(J231="","",IF(VLOOKUP(J231,'G-3 Multipliers'!$L$3:$N$6,3,FALSE)=0,"Spatial Data Missing ⚠",VLOOKUP(J231,'G-3 Multipliers'!$L$3:$N$6,3,FALSE)))</f>
        <v/>
      </c>
      <c r="M231" s="290" t="str">
        <f>IF(OR(D231="",H231=""),"",(INDEX('G-6 Hedgerow Data'!$E$3:$I$15,MATCH(D231,'G-6 Hedgerow Data'!$B$3:$B$15,0),MATCH(H231,'G-6 Hedgerow Data'!$E$2:$I$2,0))))</f>
        <v/>
      </c>
      <c r="N231" s="138"/>
      <c r="O231" s="138"/>
      <c r="P231" s="298" t="str">
        <f t="shared" si="19"/>
        <v/>
      </c>
      <c r="Q231" s="311" t="str">
        <f t="shared" si="20"/>
        <v/>
      </c>
      <c r="R231" s="312" t="str">
        <f t="shared" si="18"/>
        <v/>
      </c>
      <c r="S231" s="325" t="str">
        <f>IF(D231="","",VLOOKUP(D231,'G-6 Hedgerow Data'!$B$3:$AG$15,31,FALSE))</f>
        <v/>
      </c>
      <c r="T231" s="298" t="str">
        <f t="shared" si="21"/>
        <v/>
      </c>
      <c r="U231" s="298" t="str">
        <f t="shared" si="22"/>
        <v/>
      </c>
      <c r="V231" s="314" t="str">
        <f>IF(D231="","",VLOOKUP(S231,'G-3 Multipliers'!$P$3:$Q$6,2,FALSE))</f>
        <v/>
      </c>
      <c r="W231" s="317" t="str">
        <f t="shared" si="23"/>
        <v/>
      </c>
      <c r="X231" s="98"/>
      <c r="Y231" s="99"/>
      <c r="Z231" s="101"/>
      <c r="AG231" s="15" t="str">
        <f>IFERROR(INDEX('G-6 Hedgerow Data'!$BJ$3:$BJ$15,MATCH(D231,'G-6 Hedgerow Data'!$B$3:$B$15,0)),"")</f>
        <v/>
      </c>
    </row>
    <row r="232" spans="2:33" ht="14" x14ac:dyDescent="0.3">
      <c r="B232" s="92">
        <v>221</v>
      </c>
      <c r="C232" s="143"/>
      <c r="D232" s="138"/>
      <c r="E232" s="120"/>
      <c r="F232" s="335" t="str">
        <f>IF(D232="","",VLOOKUP(D232,'G-6 Hedgerow Data'!$B$2:$AG$15,2,FALSE))</f>
        <v/>
      </c>
      <c r="G232" s="291" t="str">
        <f>IF(D232="","",VLOOKUP(D232,'G-6 Hedgerow Data'!$B$2:$AG$15,3,FALSE))</f>
        <v/>
      </c>
      <c r="H232" s="95"/>
      <c r="I232" s="291" t="str">
        <f>IFERROR(IF(H232="","",IF(AND(D232="Non-native and ornamental hedgerow", H232&lt;&gt;"Poor"),"Not possible ▲", (VLOOKUP(H232,'G-1 All Habitats'!$Z$2:$AA$9,2,FALSE)))),"")</f>
        <v/>
      </c>
      <c r="J232" s="95"/>
      <c r="K232" s="310" t="str">
        <f>IF(J232="","",IF(VLOOKUP(J232,'G-3 Multipliers'!$L$3:$N$6,2,FALSE)=0,"Spatial Data Missing ⚠",VLOOKUP(J232,'G-3 Multipliers'!$L$3:$N$6,2,FALSE)))</f>
        <v/>
      </c>
      <c r="L232" s="296" t="str">
        <f>IF(J232="","",IF(VLOOKUP(J232,'G-3 Multipliers'!$L$3:$N$6,3,FALSE)=0,"Spatial Data Missing ⚠",VLOOKUP(J232,'G-3 Multipliers'!$L$3:$N$6,3,FALSE)))</f>
        <v/>
      </c>
      <c r="M232" s="290" t="str">
        <f>IF(OR(D232="",H232=""),"",(INDEX('G-6 Hedgerow Data'!$E$3:$I$15,MATCH(D232,'G-6 Hedgerow Data'!$B$3:$B$15,0),MATCH(H232,'G-6 Hedgerow Data'!$E$2:$I$2,0))))</f>
        <v/>
      </c>
      <c r="N232" s="138"/>
      <c r="O232" s="138"/>
      <c r="P232" s="298" t="str">
        <f t="shared" si="19"/>
        <v/>
      </c>
      <c r="Q232" s="311" t="str">
        <f t="shared" si="20"/>
        <v/>
      </c>
      <c r="R232" s="312" t="str">
        <f t="shared" si="18"/>
        <v/>
      </c>
      <c r="S232" s="325" t="str">
        <f>IF(D232="","",VLOOKUP(D232,'G-6 Hedgerow Data'!$B$3:$AG$15,31,FALSE))</f>
        <v/>
      </c>
      <c r="T232" s="298" t="str">
        <f t="shared" si="21"/>
        <v/>
      </c>
      <c r="U232" s="298" t="str">
        <f t="shared" si="22"/>
        <v/>
      </c>
      <c r="V232" s="314" t="str">
        <f>IF(D232="","",VLOOKUP(S232,'G-3 Multipliers'!$P$3:$Q$6,2,FALSE))</f>
        <v/>
      </c>
      <c r="W232" s="317" t="str">
        <f t="shared" si="23"/>
        <v/>
      </c>
      <c r="X232" s="98"/>
      <c r="Y232" s="99"/>
      <c r="Z232" s="101"/>
      <c r="AG232" s="15" t="str">
        <f>IFERROR(INDEX('G-6 Hedgerow Data'!$BJ$3:$BJ$15,MATCH(D232,'G-6 Hedgerow Data'!$B$3:$B$15,0)),"")</f>
        <v/>
      </c>
    </row>
    <row r="233" spans="2:33" ht="14" x14ac:dyDescent="0.3">
      <c r="B233" s="92">
        <v>222</v>
      </c>
      <c r="C233" s="143"/>
      <c r="D233" s="138"/>
      <c r="E233" s="120"/>
      <c r="F233" s="335" t="str">
        <f>IF(D233="","",VLOOKUP(D233,'G-6 Hedgerow Data'!$B$2:$AG$15,2,FALSE))</f>
        <v/>
      </c>
      <c r="G233" s="291" t="str">
        <f>IF(D233="","",VLOOKUP(D233,'G-6 Hedgerow Data'!$B$2:$AG$15,3,FALSE))</f>
        <v/>
      </c>
      <c r="H233" s="95"/>
      <c r="I233" s="291" t="str">
        <f>IFERROR(IF(H233="","",IF(AND(D233="Non-native and ornamental hedgerow", H233&lt;&gt;"Poor"),"Not possible ▲", (VLOOKUP(H233,'G-1 All Habitats'!$Z$2:$AA$9,2,FALSE)))),"")</f>
        <v/>
      </c>
      <c r="J233" s="95"/>
      <c r="K233" s="310" t="str">
        <f>IF(J233="","",IF(VLOOKUP(J233,'G-3 Multipliers'!$L$3:$N$6,2,FALSE)=0,"Spatial Data Missing ⚠",VLOOKUP(J233,'G-3 Multipliers'!$L$3:$N$6,2,FALSE)))</f>
        <v/>
      </c>
      <c r="L233" s="296" t="str">
        <f>IF(J233="","",IF(VLOOKUP(J233,'G-3 Multipliers'!$L$3:$N$6,3,FALSE)=0,"Spatial Data Missing ⚠",VLOOKUP(J233,'G-3 Multipliers'!$L$3:$N$6,3,FALSE)))</f>
        <v/>
      </c>
      <c r="M233" s="290" t="str">
        <f>IF(OR(D233="",H233=""),"",(INDEX('G-6 Hedgerow Data'!$E$3:$I$15,MATCH(D233,'G-6 Hedgerow Data'!$B$3:$B$15,0),MATCH(H233,'G-6 Hedgerow Data'!$E$2:$I$2,0))))</f>
        <v/>
      </c>
      <c r="N233" s="138"/>
      <c r="O233" s="138"/>
      <c r="P233" s="298" t="str">
        <f t="shared" si="19"/>
        <v/>
      </c>
      <c r="Q233" s="311" t="str">
        <f t="shared" si="20"/>
        <v/>
      </c>
      <c r="R233" s="312" t="str">
        <f t="shared" si="18"/>
        <v/>
      </c>
      <c r="S233" s="325" t="str">
        <f>IF(D233="","",VLOOKUP(D233,'G-6 Hedgerow Data'!$B$3:$AG$15,31,FALSE))</f>
        <v/>
      </c>
      <c r="T233" s="298" t="str">
        <f t="shared" si="21"/>
        <v/>
      </c>
      <c r="U233" s="298" t="str">
        <f t="shared" si="22"/>
        <v/>
      </c>
      <c r="V233" s="314" t="str">
        <f>IF(D233="","",VLOOKUP(S233,'G-3 Multipliers'!$P$3:$Q$6,2,FALSE))</f>
        <v/>
      </c>
      <c r="W233" s="317" t="str">
        <f t="shared" si="23"/>
        <v/>
      </c>
      <c r="X233" s="98"/>
      <c r="Y233" s="99"/>
      <c r="Z233" s="101"/>
      <c r="AG233" s="15" t="str">
        <f>IFERROR(INDEX('G-6 Hedgerow Data'!$BJ$3:$BJ$15,MATCH(D233,'G-6 Hedgerow Data'!$B$3:$B$15,0)),"")</f>
        <v/>
      </c>
    </row>
    <row r="234" spans="2:33" ht="14" x14ac:dyDescent="0.3">
      <c r="B234" s="92">
        <v>223</v>
      </c>
      <c r="C234" s="143"/>
      <c r="D234" s="138"/>
      <c r="E234" s="120"/>
      <c r="F234" s="335" t="str">
        <f>IF(D234="","",VLOOKUP(D234,'G-6 Hedgerow Data'!$B$2:$AG$15,2,FALSE))</f>
        <v/>
      </c>
      <c r="G234" s="291" t="str">
        <f>IF(D234="","",VLOOKUP(D234,'G-6 Hedgerow Data'!$B$2:$AG$15,3,FALSE))</f>
        <v/>
      </c>
      <c r="H234" s="95"/>
      <c r="I234" s="291" t="str">
        <f>IFERROR(IF(H234="","",IF(AND(D234="Non-native and ornamental hedgerow", H234&lt;&gt;"Poor"),"Not possible ▲", (VLOOKUP(H234,'G-1 All Habitats'!$Z$2:$AA$9,2,FALSE)))),"")</f>
        <v/>
      </c>
      <c r="J234" s="95"/>
      <c r="K234" s="310" t="str">
        <f>IF(J234="","",IF(VLOOKUP(J234,'G-3 Multipliers'!$L$3:$N$6,2,FALSE)=0,"Spatial Data Missing ⚠",VLOOKUP(J234,'G-3 Multipliers'!$L$3:$N$6,2,FALSE)))</f>
        <v/>
      </c>
      <c r="L234" s="296" t="str">
        <f>IF(J234="","",IF(VLOOKUP(J234,'G-3 Multipliers'!$L$3:$N$6,3,FALSE)=0,"Spatial Data Missing ⚠",VLOOKUP(J234,'G-3 Multipliers'!$L$3:$N$6,3,FALSE)))</f>
        <v/>
      </c>
      <c r="M234" s="290" t="str">
        <f>IF(OR(D234="",H234=""),"",(INDEX('G-6 Hedgerow Data'!$E$3:$I$15,MATCH(D234,'G-6 Hedgerow Data'!$B$3:$B$15,0),MATCH(H234,'G-6 Hedgerow Data'!$E$2:$I$2,0))))</f>
        <v/>
      </c>
      <c r="N234" s="138"/>
      <c r="O234" s="138"/>
      <c r="P234" s="298" t="str">
        <f t="shared" si="19"/>
        <v/>
      </c>
      <c r="Q234" s="311" t="str">
        <f t="shared" si="20"/>
        <v/>
      </c>
      <c r="R234" s="312" t="str">
        <f t="shared" si="18"/>
        <v/>
      </c>
      <c r="S234" s="325" t="str">
        <f>IF(D234="","",VLOOKUP(D234,'G-6 Hedgerow Data'!$B$3:$AG$15,31,FALSE))</f>
        <v/>
      </c>
      <c r="T234" s="298" t="str">
        <f t="shared" si="21"/>
        <v/>
      </c>
      <c r="U234" s="298" t="str">
        <f t="shared" si="22"/>
        <v/>
      </c>
      <c r="V234" s="314" t="str">
        <f>IF(D234="","",VLOOKUP(S234,'G-3 Multipliers'!$P$3:$Q$6,2,FALSE))</f>
        <v/>
      </c>
      <c r="W234" s="317" t="str">
        <f t="shared" si="23"/>
        <v/>
      </c>
      <c r="X234" s="98"/>
      <c r="Y234" s="99"/>
      <c r="Z234" s="101"/>
      <c r="AG234" s="15" t="str">
        <f>IFERROR(INDEX('G-6 Hedgerow Data'!$BJ$3:$BJ$15,MATCH(D234,'G-6 Hedgerow Data'!$B$3:$B$15,0)),"")</f>
        <v/>
      </c>
    </row>
    <row r="235" spans="2:33" ht="14" x14ac:dyDescent="0.3">
      <c r="B235" s="92">
        <v>224</v>
      </c>
      <c r="C235" s="143"/>
      <c r="D235" s="138"/>
      <c r="E235" s="120"/>
      <c r="F235" s="335" t="str">
        <f>IF(D235="","",VLOOKUP(D235,'G-6 Hedgerow Data'!$B$2:$AG$15,2,FALSE))</f>
        <v/>
      </c>
      <c r="G235" s="291" t="str">
        <f>IF(D235="","",VLOOKUP(D235,'G-6 Hedgerow Data'!$B$2:$AG$15,3,FALSE))</f>
        <v/>
      </c>
      <c r="H235" s="95"/>
      <c r="I235" s="291" t="str">
        <f>IFERROR(IF(H235="","",IF(AND(D235="Non-native and ornamental hedgerow", H235&lt;&gt;"Poor"),"Not possible ▲", (VLOOKUP(H235,'G-1 All Habitats'!$Z$2:$AA$9,2,FALSE)))),"")</f>
        <v/>
      </c>
      <c r="J235" s="95"/>
      <c r="K235" s="310" t="str">
        <f>IF(J235="","",IF(VLOOKUP(J235,'G-3 Multipliers'!$L$3:$N$6,2,FALSE)=0,"Spatial Data Missing ⚠",VLOOKUP(J235,'G-3 Multipliers'!$L$3:$N$6,2,FALSE)))</f>
        <v/>
      </c>
      <c r="L235" s="296" t="str">
        <f>IF(J235="","",IF(VLOOKUP(J235,'G-3 Multipliers'!$L$3:$N$6,3,FALSE)=0,"Spatial Data Missing ⚠",VLOOKUP(J235,'G-3 Multipliers'!$L$3:$N$6,3,FALSE)))</f>
        <v/>
      </c>
      <c r="M235" s="290" t="str">
        <f>IF(OR(D235="",H235=""),"",(INDEX('G-6 Hedgerow Data'!$E$3:$I$15,MATCH(D235,'G-6 Hedgerow Data'!$B$3:$B$15,0),MATCH(H235,'G-6 Hedgerow Data'!$E$2:$I$2,0))))</f>
        <v/>
      </c>
      <c r="N235" s="138"/>
      <c r="O235" s="138"/>
      <c r="P235" s="298" t="str">
        <f t="shared" si="19"/>
        <v/>
      </c>
      <c r="Q235" s="311" t="str">
        <f t="shared" si="20"/>
        <v/>
      </c>
      <c r="R235" s="312" t="str">
        <f t="shared" si="18"/>
        <v/>
      </c>
      <c r="S235" s="325" t="str">
        <f>IF(D235="","",VLOOKUP(D235,'G-6 Hedgerow Data'!$B$3:$AG$15,31,FALSE))</f>
        <v/>
      </c>
      <c r="T235" s="298" t="str">
        <f t="shared" si="21"/>
        <v/>
      </c>
      <c r="U235" s="298" t="str">
        <f t="shared" si="22"/>
        <v/>
      </c>
      <c r="V235" s="314" t="str">
        <f>IF(D235="","",VLOOKUP(S235,'G-3 Multipliers'!$P$3:$Q$6,2,FALSE))</f>
        <v/>
      </c>
      <c r="W235" s="317" t="str">
        <f t="shared" si="23"/>
        <v/>
      </c>
      <c r="X235" s="98"/>
      <c r="Y235" s="99"/>
      <c r="Z235" s="101"/>
      <c r="AG235" s="15" t="str">
        <f>IFERROR(INDEX('G-6 Hedgerow Data'!$BJ$3:$BJ$15,MATCH(D235,'G-6 Hedgerow Data'!$B$3:$B$15,0)),"")</f>
        <v/>
      </c>
    </row>
    <row r="236" spans="2:33" ht="14" x14ac:dyDescent="0.3">
      <c r="B236" s="92">
        <v>225</v>
      </c>
      <c r="C236" s="143"/>
      <c r="D236" s="138"/>
      <c r="E236" s="120"/>
      <c r="F236" s="335" t="str">
        <f>IF(D236="","",VLOOKUP(D236,'G-6 Hedgerow Data'!$B$2:$AG$15,2,FALSE))</f>
        <v/>
      </c>
      <c r="G236" s="291" t="str">
        <f>IF(D236="","",VLOOKUP(D236,'G-6 Hedgerow Data'!$B$2:$AG$15,3,FALSE))</f>
        <v/>
      </c>
      <c r="H236" s="95"/>
      <c r="I236" s="291" t="str">
        <f>IFERROR(IF(H236="","",IF(AND(D236="Non-native and ornamental hedgerow", H236&lt;&gt;"Poor"),"Not possible ▲", (VLOOKUP(H236,'G-1 All Habitats'!$Z$2:$AA$9,2,FALSE)))),"")</f>
        <v/>
      </c>
      <c r="J236" s="95"/>
      <c r="K236" s="310" t="str">
        <f>IF(J236="","",IF(VLOOKUP(J236,'G-3 Multipliers'!$L$3:$N$6,2,FALSE)=0,"Spatial Data Missing ⚠",VLOOKUP(J236,'G-3 Multipliers'!$L$3:$N$6,2,FALSE)))</f>
        <v/>
      </c>
      <c r="L236" s="296" t="str">
        <f>IF(J236="","",IF(VLOOKUP(J236,'G-3 Multipliers'!$L$3:$N$6,3,FALSE)=0,"Spatial Data Missing ⚠",VLOOKUP(J236,'G-3 Multipliers'!$L$3:$N$6,3,FALSE)))</f>
        <v/>
      </c>
      <c r="M236" s="290" t="str">
        <f>IF(OR(D236="",H236=""),"",(INDEX('G-6 Hedgerow Data'!$E$3:$I$15,MATCH(D236,'G-6 Hedgerow Data'!$B$3:$B$15,0),MATCH(H236,'G-6 Hedgerow Data'!$E$2:$I$2,0))))</f>
        <v/>
      </c>
      <c r="N236" s="138"/>
      <c r="O236" s="138"/>
      <c r="P236" s="298" t="str">
        <f t="shared" si="19"/>
        <v/>
      </c>
      <c r="Q236" s="311" t="str">
        <f t="shared" si="20"/>
        <v/>
      </c>
      <c r="R236" s="312" t="str">
        <f t="shared" si="18"/>
        <v/>
      </c>
      <c r="S236" s="325" t="str">
        <f>IF(D236="","",VLOOKUP(D236,'G-6 Hedgerow Data'!$B$3:$AG$15,31,FALSE))</f>
        <v/>
      </c>
      <c r="T236" s="298" t="str">
        <f t="shared" si="21"/>
        <v/>
      </c>
      <c r="U236" s="298" t="str">
        <f t="shared" si="22"/>
        <v/>
      </c>
      <c r="V236" s="314" t="str">
        <f>IF(D236="","",VLOOKUP(S236,'G-3 Multipliers'!$P$3:$Q$6,2,FALSE))</f>
        <v/>
      </c>
      <c r="W236" s="317" t="str">
        <f t="shared" si="23"/>
        <v/>
      </c>
      <c r="X236" s="98"/>
      <c r="Y236" s="99"/>
      <c r="Z236" s="101"/>
      <c r="AG236" s="15" t="str">
        <f>IFERROR(INDEX('G-6 Hedgerow Data'!$BJ$3:$BJ$15,MATCH(D236,'G-6 Hedgerow Data'!$B$3:$B$15,0)),"")</f>
        <v/>
      </c>
    </row>
    <row r="237" spans="2:33" ht="14" x14ac:dyDescent="0.3">
      <c r="B237" s="92">
        <v>226</v>
      </c>
      <c r="C237" s="143"/>
      <c r="D237" s="138"/>
      <c r="E237" s="120"/>
      <c r="F237" s="335" t="str">
        <f>IF(D237="","",VLOOKUP(D237,'G-6 Hedgerow Data'!$B$2:$AG$15,2,FALSE))</f>
        <v/>
      </c>
      <c r="G237" s="291" t="str">
        <f>IF(D237="","",VLOOKUP(D237,'G-6 Hedgerow Data'!$B$2:$AG$15,3,FALSE))</f>
        <v/>
      </c>
      <c r="H237" s="95"/>
      <c r="I237" s="291" t="str">
        <f>IFERROR(IF(H237="","",IF(AND(D237="Non-native and ornamental hedgerow", H237&lt;&gt;"Poor"),"Not possible ▲", (VLOOKUP(H237,'G-1 All Habitats'!$Z$2:$AA$9,2,FALSE)))),"")</f>
        <v/>
      </c>
      <c r="J237" s="95"/>
      <c r="K237" s="310" t="str">
        <f>IF(J237="","",IF(VLOOKUP(J237,'G-3 Multipliers'!$L$3:$N$6,2,FALSE)=0,"Spatial Data Missing ⚠",VLOOKUP(J237,'G-3 Multipliers'!$L$3:$N$6,2,FALSE)))</f>
        <v/>
      </c>
      <c r="L237" s="296" t="str">
        <f>IF(J237="","",IF(VLOOKUP(J237,'G-3 Multipliers'!$L$3:$N$6,3,FALSE)=0,"Spatial Data Missing ⚠",VLOOKUP(J237,'G-3 Multipliers'!$L$3:$N$6,3,FALSE)))</f>
        <v/>
      </c>
      <c r="M237" s="290" t="str">
        <f>IF(OR(D237="",H237=""),"",(INDEX('G-6 Hedgerow Data'!$E$3:$I$15,MATCH(D237,'G-6 Hedgerow Data'!$B$3:$B$15,0),MATCH(H237,'G-6 Hedgerow Data'!$E$2:$I$2,0))))</f>
        <v/>
      </c>
      <c r="N237" s="138"/>
      <c r="O237" s="138"/>
      <c r="P237" s="298" t="str">
        <f t="shared" si="19"/>
        <v/>
      </c>
      <c r="Q237" s="311" t="str">
        <f t="shared" si="20"/>
        <v/>
      </c>
      <c r="R237" s="312" t="str">
        <f t="shared" si="18"/>
        <v/>
      </c>
      <c r="S237" s="325" t="str">
        <f>IF(D237="","",VLOOKUP(D237,'G-6 Hedgerow Data'!$B$3:$AG$15,31,FALSE))</f>
        <v/>
      </c>
      <c r="T237" s="298" t="str">
        <f t="shared" si="21"/>
        <v/>
      </c>
      <c r="U237" s="298" t="str">
        <f t="shared" si="22"/>
        <v/>
      </c>
      <c r="V237" s="314" t="str">
        <f>IF(D237="","",VLOOKUP(S237,'G-3 Multipliers'!$P$3:$Q$6,2,FALSE))</f>
        <v/>
      </c>
      <c r="W237" s="317" t="str">
        <f t="shared" si="23"/>
        <v/>
      </c>
      <c r="X237" s="98"/>
      <c r="Y237" s="99"/>
      <c r="Z237" s="101"/>
      <c r="AG237" s="15" t="str">
        <f>IFERROR(INDEX('G-6 Hedgerow Data'!$BJ$3:$BJ$15,MATCH(D237,'G-6 Hedgerow Data'!$B$3:$B$15,0)),"")</f>
        <v/>
      </c>
    </row>
    <row r="238" spans="2:33" ht="14" x14ac:dyDescent="0.3">
      <c r="B238" s="92">
        <v>227</v>
      </c>
      <c r="C238" s="143"/>
      <c r="D238" s="138"/>
      <c r="E238" s="120"/>
      <c r="F238" s="335" t="str">
        <f>IF(D238="","",VLOOKUP(D238,'G-6 Hedgerow Data'!$B$2:$AG$15,2,FALSE))</f>
        <v/>
      </c>
      <c r="G238" s="291" t="str">
        <f>IF(D238="","",VLOOKUP(D238,'G-6 Hedgerow Data'!$B$2:$AG$15,3,FALSE))</f>
        <v/>
      </c>
      <c r="H238" s="95"/>
      <c r="I238" s="291" t="str">
        <f>IFERROR(IF(H238="","",IF(AND(D238="Non-native and ornamental hedgerow", H238&lt;&gt;"Poor"),"Not possible ▲", (VLOOKUP(H238,'G-1 All Habitats'!$Z$2:$AA$9,2,FALSE)))),"")</f>
        <v/>
      </c>
      <c r="J238" s="95"/>
      <c r="K238" s="310" t="str">
        <f>IF(J238="","",IF(VLOOKUP(J238,'G-3 Multipliers'!$L$3:$N$6,2,FALSE)=0,"Spatial Data Missing ⚠",VLOOKUP(J238,'G-3 Multipliers'!$L$3:$N$6,2,FALSE)))</f>
        <v/>
      </c>
      <c r="L238" s="296" t="str">
        <f>IF(J238="","",IF(VLOOKUP(J238,'G-3 Multipliers'!$L$3:$N$6,3,FALSE)=0,"Spatial Data Missing ⚠",VLOOKUP(J238,'G-3 Multipliers'!$L$3:$N$6,3,FALSE)))</f>
        <v/>
      </c>
      <c r="M238" s="290" t="str">
        <f>IF(OR(D238="",H238=""),"",(INDEX('G-6 Hedgerow Data'!$E$3:$I$15,MATCH(D238,'G-6 Hedgerow Data'!$B$3:$B$15,0),MATCH(H238,'G-6 Hedgerow Data'!$E$2:$I$2,0))))</f>
        <v/>
      </c>
      <c r="N238" s="138"/>
      <c r="O238" s="138"/>
      <c r="P238" s="298" t="str">
        <f t="shared" si="19"/>
        <v/>
      </c>
      <c r="Q238" s="311" t="str">
        <f t="shared" si="20"/>
        <v/>
      </c>
      <c r="R238" s="312" t="str">
        <f t="shared" si="18"/>
        <v/>
      </c>
      <c r="S238" s="325" t="str">
        <f>IF(D238="","",VLOOKUP(D238,'G-6 Hedgerow Data'!$B$3:$AG$15,31,FALSE))</f>
        <v/>
      </c>
      <c r="T238" s="298" t="str">
        <f t="shared" si="21"/>
        <v/>
      </c>
      <c r="U238" s="298" t="str">
        <f t="shared" si="22"/>
        <v/>
      </c>
      <c r="V238" s="314" t="str">
        <f>IF(D238="","",VLOOKUP(S238,'G-3 Multipliers'!$P$3:$Q$6,2,FALSE))</f>
        <v/>
      </c>
      <c r="W238" s="317" t="str">
        <f t="shared" si="23"/>
        <v/>
      </c>
      <c r="X238" s="98"/>
      <c r="Y238" s="99"/>
      <c r="Z238" s="101"/>
      <c r="AG238" s="15" t="str">
        <f>IFERROR(INDEX('G-6 Hedgerow Data'!$BJ$3:$BJ$15,MATCH(D238,'G-6 Hedgerow Data'!$B$3:$B$15,0)),"")</f>
        <v/>
      </c>
    </row>
    <row r="239" spans="2:33" ht="14" x14ac:dyDescent="0.3">
      <c r="B239" s="92">
        <v>228</v>
      </c>
      <c r="C239" s="143"/>
      <c r="D239" s="138"/>
      <c r="E239" s="120"/>
      <c r="F239" s="335" t="str">
        <f>IF(D239="","",VLOOKUP(D239,'G-6 Hedgerow Data'!$B$2:$AG$15,2,FALSE))</f>
        <v/>
      </c>
      <c r="G239" s="291" t="str">
        <f>IF(D239="","",VLOOKUP(D239,'G-6 Hedgerow Data'!$B$2:$AG$15,3,FALSE))</f>
        <v/>
      </c>
      <c r="H239" s="95"/>
      <c r="I239" s="291" t="str">
        <f>IFERROR(IF(H239="","",IF(AND(D239="Non-native and ornamental hedgerow", H239&lt;&gt;"Poor"),"Not possible ▲", (VLOOKUP(H239,'G-1 All Habitats'!$Z$2:$AA$9,2,FALSE)))),"")</f>
        <v/>
      </c>
      <c r="J239" s="95"/>
      <c r="K239" s="310" t="str">
        <f>IF(J239="","",IF(VLOOKUP(J239,'G-3 Multipliers'!$L$3:$N$6,2,FALSE)=0,"Spatial Data Missing ⚠",VLOOKUP(J239,'G-3 Multipliers'!$L$3:$N$6,2,FALSE)))</f>
        <v/>
      </c>
      <c r="L239" s="296" t="str">
        <f>IF(J239="","",IF(VLOOKUP(J239,'G-3 Multipliers'!$L$3:$N$6,3,FALSE)=0,"Spatial Data Missing ⚠",VLOOKUP(J239,'G-3 Multipliers'!$L$3:$N$6,3,FALSE)))</f>
        <v/>
      </c>
      <c r="M239" s="290" t="str">
        <f>IF(OR(D239="",H239=""),"",(INDEX('G-6 Hedgerow Data'!$E$3:$I$15,MATCH(D239,'G-6 Hedgerow Data'!$B$3:$B$15,0),MATCH(H239,'G-6 Hedgerow Data'!$E$2:$I$2,0))))</f>
        <v/>
      </c>
      <c r="N239" s="138"/>
      <c r="O239" s="138"/>
      <c r="P239" s="298" t="str">
        <f t="shared" si="19"/>
        <v/>
      </c>
      <c r="Q239" s="311" t="str">
        <f t="shared" si="20"/>
        <v/>
      </c>
      <c r="R239" s="312" t="str">
        <f t="shared" si="18"/>
        <v/>
      </c>
      <c r="S239" s="325" t="str">
        <f>IF(D239="","",VLOOKUP(D239,'G-6 Hedgerow Data'!$B$3:$AG$15,31,FALSE))</f>
        <v/>
      </c>
      <c r="T239" s="298" t="str">
        <f t="shared" si="21"/>
        <v/>
      </c>
      <c r="U239" s="298" t="str">
        <f t="shared" si="22"/>
        <v/>
      </c>
      <c r="V239" s="314" t="str">
        <f>IF(D239="","",VLOOKUP(S239,'G-3 Multipliers'!$P$3:$Q$6,2,FALSE))</f>
        <v/>
      </c>
      <c r="W239" s="317" t="str">
        <f t="shared" si="23"/>
        <v/>
      </c>
      <c r="X239" s="98"/>
      <c r="Y239" s="99"/>
      <c r="Z239" s="101"/>
      <c r="AG239" s="15" t="str">
        <f>IFERROR(INDEX('G-6 Hedgerow Data'!$BJ$3:$BJ$15,MATCH(D239,'G-6 Hedgerow Data'!$B$3:$B$15,0)),"")</f>
        <v/>
      </c>
    </row>
    <row r="240" spans="2:33" ht="14" x14ac:dyDescent="0.3">
      <c r="B240" s="92">
        <v>229</v>
      </c>
      <c r="C240" s="143"/>
      <c r="D240" s="138"/>
      <c r="E240" s="120"/>
      <c r="F240" s="335" t="str">
        <f>IF(D240="","",VLOOKUP(D240,'G-6 Hedgerow Data'!$B$2:$AG$15,2,FALSE))</f>
        <v/>
      </c>
      <c r="G240" s="291" t="str">
        <f>IF(D240="","",VLOOKUP(D240,'G-6 Hedgerow Data'!$B$2:$AG$15,3,FALSE))</f>
        <v/>
      </c>
      <c r="H240" s="95"/>
      <c r="I240" s="291" t="str">
        <f>IFERROR(IF(H240="","",IF(AND(D240="Non-native and ornamental hedgerow", H240&lt;&gt;"Poor"),"Not possible ▲", (VLOOKUP(H240,'G-1 All Habitats'!$Z$2:$AA$9,2,FALSE)))),"")</f>
        <v/>
      </c>
      <c r="J240" s="95"/>
      <c r="K240" s="310" t="str">
        <f>IF(J240="","",IF(VLOOKUP(J240,'G-3 Multipliers'!$L$3:$N$6,2,FALSE)=0,"Spatial Data Missing ⚠",VLOOKUP(J240,'G-3 Multipliers'!$L$3:$N$6,2,FALSE)))</f>
        <v/>
      </c>
      <c r="L240" s="296" t="str">
        <f>IF(J240="","",IF(VLOOKUP(J240,'G-3 Multipliers'!$L$3:$N$6,3,FALSE)=0,"Spatial Data Missing ⚠",VLOOKUP(J240,'G-3 Multipliers'!$L$3:$N$6,3,FALSE)))</f>
        <v/>
      </c>
      <c r="M240" s="290" t="str">
        <f>IF(OR(D240="",H240=""),"",(INDEX('G-6 Hedgerow Data'!$E$3:$I$15,MATCH(D240,'G-6 Hedgerow Data'!$B$3:$B$15,0),MATCH(H240,'G-6 Hedgerow Data'!$E$2:$I$2,0))))</f>
        <v/>
      </c>
      <c r="N240" s="138"/>
      <c r="O240" s="138"/>
      <c r="P240" s="298" t="str">
        <f t="shared" si="19"/>
        <v/>
      </c>
      <c r="Q240" s="311" t="str">
        <f t="shared" si="20"/>
        <v/>
      </c>
      <c r="R240" s="312" t="str">
        <f t="shared" si="18"/>
        <v/>
      </c>
      <c r="S240" s="325" t="str">
        <f>IF(D240="","",VLOOKUP(D240,'G-6 Hedgerow Data'!$B$3:$AG$15,31,FALSE))</f>
        <v/>
      </c>
      <c r="T240" s="298" t="str">
        <f t="shared" si="21"/>
        <v/>
      </c>
      <c r="U240" s="298" t="str">
        <f t="shared" si="22"/>
        <v/>
      </c>
      <c r="V240" s="314" t="str">
        <f>IF(D240="","",VLOOKUP(S240,'G-3 Multipliers'!$P$3:$Q$6,2,FALSE))</f>
        <v/>
      </c>
      <c r="W240" s="317" t="str">
        <f t="shared" si="23"/>
        <v/>
      </c>
      <c r="X240" s="98"/>
      <c r="Y240" s="99"/>
      <c r="Z240" s="101"/>
      <c r="AG240" s="15" t="str">
        <f>IFERROR(INDEX('G-6 Hedgerow Data'!$BJ$3:$BJ$15,MATCH(D240,'G-6 Hedgerow Data'!$B$3:$B$15,0)),"")</f>
        <v/>
      </c>
    </row>
    <row r="241" spans="2:33" ht="14" x14ac:dyDescent="0.3">
      <c r="B241" s="92">
        <v>230</v>
      </c>
      <c r="C241" s="143"/>
      <c r="D241" s="138"/>
      <c r="E241" s="120"/>
      <c r="F241" s="335" t="str">
        <f>IF(D241="","",VLOOKUP(D241,'G-6 Hedgerow Data'!$B$2:$AG$15,2,FALSE))</f>
        <v/>
      </c>
      <c r="G241" s="291" t="str">
        <f>IF(D241="","",VLOOKUP(D241,'G-6 Hedgerow Data'!$B$2:$AG$15,3,FALSE))</f>
        <v/>
      </c>
      <c r="H241" s="95"/>
      <c r="I241" s="291" t="str">
        <f>IFERROR(IF(H241="","",IF(AND(D241="Non-native and ornamental hedgerow", H241&lt;&gt;"Poor"),"Not possible ▲", (VLOOKUP(H241,'G-1 All Habitats'!$Z$2:$AA$9,2,FALSE)))),"")</f>
        <v/>
      </c>
      <c r="J241" s="95"/>
      <c r="K241" s="310" t="str">
        <f>IF(J241="","",IF(VLOOKUP(J241,'G-3 Multipliers'!$L$3:$N$6,2,FALSE)=0,"Spatial Data Missing ⚠",VLOOKUP(J241,'G-3 Multipliers'!$L$3:$N$6,2,FALSE)))</f>
        <v/>
      </c>
      <c r="L241" s="296" t="str">
        <f>IF(J241="","",IF(VLOOKUP(J241,'G-3 Multipliers'!$L$3:$N$6,3,FALSE)=0,"Spatial Data Missing ⚠",VLOOKUP(J241,'G-3 Multipliers'!$L$3:$N$6,3,FALSE)))</f>
        <v/>
      </c>
      <c r="M241" s="290" t="str">
        <f>IF(OR(D241="",H241=""),"",(INDEX('G-6 Hedgerow Data'!$E$3:$I$15,MATCH(D241,'G-6 Hedgerow Data'!$B$3:$B$15,0),MATCH(H241,'G-6 Hedgerow Data'!$E$2:$I$2,0))))</f>
        <v/>
      </c>
      <c r="N241" s="138"/>
      <c r="O241" s="138"/>
      <c r="P241" s="298" t="str">
        <f t="shared" si="19"/>
        <v/>
      </c>
      <c r="Q241" s="311" t="str">
        <f t="shared" si="20"/>
        <v/>
      </c>
      <c r="R241" s="312" t="str">
        <f t="shared" si="18"/>
        <v/>
      </c>
      <c r="S241" s="325" t="str">
        <f>IF(D241="","",VLOOKUP(D241,'G-6 Hedgerow Data'!$B$3:$AG$15,31,FALSE))</f>
        <v/>
      </c>
      <c r="T241" s="298" t="str">
        <f t="shared" si="21"/>
        <v/>
      </c>
      <c r="U241" s="298" t="str">
        <f t="shared" si="22"/>
        <v/>
      </c>
      <c r="V241" s="314" t="str">
        <f>IF(D241="","",VLOOKUP(S241,'G-3 Multipliers'!$P$3:$Q$6,2,FALSE))</f>
        <v/>
      </c>
      <c r="W241" s="317" t="str">
        <f t="shared" si="23"/>
        <v/>
      </c>
      <c r="X241" s="98"/>
      <c r="Y241" s="99"/>
      <c r="Z241" s="101"/>
      <c r="AG241" s="15" t="str">
        <f>IFERROR(INDEX('G-6 Hedgerow Data'!$BJ$3:$BJ$15,MATCH(D241,'G-6 Hedgerow Data'!$B$3:$B$15,0)),"")</f>
        <v/>
      </c>
    </row>
    <row r="242" spans="2:33" ht="14" x14ac:dyDescent="0.3">
      <c r="B242" s="92">
        <v>231</v>
      </c>
      <c r="C242" s="143"/>
      <c r="D242" s="138"/>
      <c r="E242" s="120"/>
      <c r="F242" s="335" t="str">
        <f>IF(D242="","",VLOOKUP(D242,'G-6 Hedgerow Data'!$B$2:$AG$15,2,FALSE))</f>
        <v/>
      </c>
      <c r="G242" s="291" t="str">
        <f>IF(D242="","",VLOOKUP(D242,'G-6 Hedgerow Data'!$B$2:$AG$15,3,FALSE))</f>
        <v/>
      </c>
      <c r="H242" s="95"/>
      <c r="I242" s="291" t="str">
        <f>IFERROR(IF(H242="","",IF(AND(D242="Non-native and ornamental hedgerow", H242&lt;&gt;"Poor"),"Not possible ▲", (VLOOKUP(H242,'G-1 All Habitats'!$Z$2:$AA$9,2,FALSE)))),"")</f>
        <v/>
      </c>
      <c r="J242" s="95"/>
      <c r="K242" s="310" t="str">
        <f>IF(J242="","",IF(VLOOKUP(J242,'G-3 Multipliers'!$L$3:$N$6,2,FALSE)=0,"Spatial Data Missing ⚠",VLOOKUP(J242,'G-3 Multipliers'!$L$3:$N$6,2,FALSE)))</f>
        <v/>
      </c>
      <c r="L242" s="296" t="str">
        <f>IF(J242="","",IF(VLOOKUP(J242,'G-3 Multipliers'!$L$3:$N$6,3,FALSE)=0,"Spatial Data Missing ⚠",VLOOKUP(J242,'G-3 Multipliers'!$L$3:$N$6,3,FALSE)))</f>
        <v/>
      </c>
      <c r="M242" s="290" t="str">
        <f>IF(OR(D242="",H242=""),"",(INDEX('G-6 Hedgerow Data'!$E$3:$I$15,MATCH(D242,'G-6 Hedgerow Data'!$B$3:$B$15,0),MATCH(H242,'G-6 Hedgerow Data'!$E$2:$I$2,0))))</f>
        <v/>
      </c>
      <c r="N242" s="138"/>
      <c r="O242" s="138"/>
      <c r="P242" s="298" t="str">
        <f t="shared" si="19"/>
        <v/>
      </c>
      <c r="Q242" s="311" t="str">
        <f t="shared" si="20"/>
        <v/>
      </c>
      <c r="R242" s="312" t="str">
        <f t="shared" si="18"/>
        <v/>
      </c>
      <c r="S242" s="325" t="str">
        <f>IF(D242="","",VLOOKUP(D242,'G-6 Hedgerow Data'!$B$3:$AG$15,31,FALSE))</f>
        <v/>
      </c>
      <c r="T242" s="298" t="str">
        <f t="shared" si="21"/>
        <v/>
      </c>
      <c r="U242" s="298" t="str">
        <f t="shared" si="22"/>
        <v/>
      </c>
      <c r="V242" s="314" t="str">
        <f>IF(D242="","",VLOOKUP(S242,'G-3 Multipliers'!$P$3:$Q$6,2,FALSE))</f>
        <v/>
      </c>
      <c r="W242" s="317" t="str">
        <f t="shared" si="23"/>
        <v/>
      </c>
      <c r="X242" s="98"/>
      <c r="Y242" s="99"/>
      <c r="Z242" s="101"/>
      <c r="AG242" s="15" t="str">
        <f>IFERROR(INDEX('G-6 Hedgerow Data'!$BJ$3:$BJ$15,MATCH(D242,'G-6 Hedgerow Data'!$B$3:$B$15,0)),"")</f>
        <v/>
      </c>
    </row>
    <row r="243" spans="2:33" ht="14" x14ac:dyDescent="0.3">
      <c r="B243" s="92">
        <v>232</v>
      </c>
      <c r="C243" s="143"/>
      <c r="D243" s="138"/>
      <c r="E243" s="120"/>
      <c r="F243" s="335" t="str">
        <f>IF(D243="","",VLOOKUP(D243,'G-6 Hedgerow Data'!$B$2:$AG$15,2,FALSE))</f>
        <v/>
      </c>
      <c r="G243" s="291" t="str">
        <f>IF(D243="","",VLOOKUP(D243,'G-6 Hedgerow Data'!$B$2:$AG$15,3,FALSE))</f>
        <v/>
      </c>
      <c r="H243" s="95"/>
      <c r="I243" s="291" t="str">
        <f>IFERROR(IF(H243="","",IF(AND(D243="Non-native and ornamental hedgerow", H243&lt;&gt;"Poor"),"Not possible ▲", (VLOOKUP(H243,'G-1 All Habitats'!$Z$2:$AA$9,2,FALSE)))),"")</f>
        <v/>
      </c>
      <c r="J243" s="95"/>
      <c r="K243" s="310" t="str">
        <f>IF(J243="","",IF(VLOOKUP(J243,'G-3 Multipliers'!$L$3:$N$6,2,FALSE)=0,"Spatial Data Missing ⚠",VLOOKUP(J243,'G-3 Multipliers'!$L$3:$N$6,2,FALSE)))</f>
        <v/>
      </c>
      <c r="L243" s="296" t="str">
        <f>IF(J243="","",IF(VLOOKUP(J243,'G-3 Multipliers'!$L$3:$N$6,3,FALSE)=0,"Spatial Data Missing ⚠",VLOOKUP(J243,'G-3 Multipliers'!$L$3:$N$6,3,FALSE)))</f>
        <v/>
      </c>
      <c r="M243" s="290" t="str">
        <f>IF(OR(D243="",H243=""),"",(INDEX('G-6 Hedgerow Data'!$E$3:$I$15,MATCH(D243,'G-6 Hedgerow Data'!$B$3:$B$15,0),MATCH(H243,'G-6 Hedgerow Data'!$E$2:$I$2,0))))</f>
        <v/>
      </c>
      <c r="N243" s="138"/>
      <c r="O243" s="138"/>
      <c r="P243" s="298" t="str">
        <f t="shared" si="19"/>
        <v/>
      </c>
      <c r="Q243" s="311" t="str">
        <f t="shared" si="20"/>
        <v/>
      </c>
      <c r="R243" s="312" t="str">
        <f t="shared" si="18"/>
        <v/>
      </c>
      <c r="S243" s="325" t="str">
        <f>IF(D243="","",VLOOKUP(D243,'G-6 Hedgerow Data'!$B$3:$AG$15,31,FALSE))</f>
        <v/>
      </c>
      <c r="T243" s="298" t="str">
        <f t="shared" si="21"/>
        <v/>
      </c>
      <c r="U243" s="298" t="str">
        <f t="shared" si="22"/>
        <v/>
      </c>
      <c r="V243" s="314" t="str">
        <f>IF(D243="","",VLOOKUP(S243,'G-3 Multipliers'!$P$3:$Q$6,2,FALSE))</f>
        <v/>
      </c>
      <c r="W243" s="317" t="str">
        <f t="shared" si="23"/>
        <v/>
      </c>
      <c r="X243" s="98"/>
      <c r="Y243" s="99"/>
      <c r="Z243" s="101"/>
      <c r="AG243" s="15" t="str">
        <f>IFERROR(INDEX('G-6 Hedgerow Data'!$BJ$3:$BJ$15,MATCH(D243,'G-6 Hedgerow Data'!$B$3:$B$15,0)),"")</f>
        <v/>
      </c>
    </row>
    <row r="244" spans="2:33" ht="14" x14ac:dyDescent="0.3">
      <c r="B244" s="92">
        <v>233</v>
      </c>
      <c r="C244" s="143"/>
      <c r="D244" s="138"/>
      <c r="E244" s="120"/>
      <c r="F244" s="335" t="str">
        <f>IF(D244="","",VLOOKUP(D244,'G-6 Hedgerow Data'!$B$2:$AG$15,2,FALSE))</f>
        <v/>
      </c>
      <c r="G244" s="291" t="str">
        <f>IF(D244="","",VLOOKUP(D244,'G-6 Hedgerow Data'!$B$2:$AG$15,3,FALSE))</f>
        <v/>
      </c>
      <c r="H244" s="95"/>
      <c r="I244" s="291" t="str">
        <f>IFERROR(IF(H244="","",IF(AND(D244="Non-native and ornamental hedgerow", H244&lt;&gt;"Poor"),"Not possible ▲", (VLOOKUP(H244,'G-1 All Habitats'!$Z$2:$AA$9,2,FALSE)))),"")</f>
        <v/>
      </c>
      <c r="J244" s="95"/>
      <c r="K244" s="310" t="str">
        <f>IF(J244="","",IF(VLOOKUP(J244,'G-3 Multipliers'!$L$3:$N$6,2,FALSE)=0,"Spatial Data Missing ⚠",VLOOKUP(J244,'G-3 Multipliers'!$L$3:$N$6,2,FALSE)))</f>
        <v/>
      </c>
      <c r="L244" s="296" t="str">
        <f>IF(J244="","",IF(VLOOKUP(J244,'G-3 Multipliers'!$L$3:$N$6,3,FALSE)=0,"Spatial Data Missing ⚠",VLOOKUP(J244,'G-3 Multipliers'!$L$3:$N$6,3,FALSE)))</f>
        <v/>
      </c>
      <c r="M244" s="290" t="str">
        <f>IF(OR(D244="",H244=""),"",(INDEX('G-6 Hedgerow Data'!$E$3:$I$15,MATCH(D244,'G-6 Hedgerow Data'!$B$3:$B$15,0),MATCH(H244,'G-6 Hedgerow Data'!$E$2:$I$2,0))))</f>
        <v/>
      </c>
      <c r="N244" s="138"/>
      <c r="O244" s="138"/>
      <c r="P244" s="298" t="str">
        <f t="shared" si="19"/>
        <v/>
      </c>
      <c r="Q244" s="311" t="str">
        <f t="shared" si="20"/>
        <v/>
      </c>
      <c r="R244" s="312" t="str">
        <f t="shared" si="18"/>
        <v/>
      </c>
      <c r="S244" s="325" t="str">
        <f>IF(D244="","",VLOOKUP(D244,'G-6 Hedgerow Data'!$B$3:$AG$15,31,FALSE))</f>
        <v/>
      </c>
      <c r="T244" s="298" t="str">
        <f t="shared" si="21"/>
        <v/>
      </c>
      <c r="U244" s="298" t="str">
        <f t="shared" si="22"/>
        <v/>
      </c>
      <c r="V244" s="314" t="str">
        <f>IF(D244="","",VLOOKUP(S244,'G-3 Multipliers'!$P$3:$Q$6,2,FALSE))</f>
        <v/>
      </c>
      <c r="W244" s="317" t="str">
        <f t="shared" si="23"/>
        <v/>
      </c>
      <c r="X244" s="98"/>
      <c r="Y244" s="99"/>
      <c r="Z244" s="101"/>
      <c r="AG244" s="15" t="str">
        <f>IFERROR(INDEX('G-6 Hedgerow Data'!$BJ$3:$BJ$15,MATCH(D244,'G-6 Hedgerow Data'!$B$3:$B$15,0)),"")</f>
        <v/>
      </c>
    </row>
    <row r="245" spans="2:33" ht="14" x14ac:dyDescent="0.3">
      <c r="B245" s="92">
        <v>234</v>
      </c>
      <c r="C245" s="143"/>
      <c r="D245" s="138"/>
      <c r="E245" s="120"/>
      <c r="F245" s="335" t="str">
        <f>IF(D245="","",VLOOKUP(D245,'G-6 Hedgerow Data'!$B$2:$AG$15,2,FALSE))</f>
        <v/>
      </c>
      <c r="G245" s="291" t="str">
        <f>IF(D245="","",VLOOKUP(D245,'G-6 Hedgerow Data'!$B$2:$AG$15,3,FALSE))</f>
        <v/>
      </c>
      <c r="H245" s="95"/>
      <c r="I245" s="291" t="str">
        <f>IFERROR(IF(H245="","",IF(AND(D245="Non-native and ornamental hedgerow", H245&lt;&gt;"Poor"),"Not possible ▲", (VLOOKUP(H245,'G-1 All Habitats'!$Z$2:$AA$9,2,FALSE)))),"")</f>
        <v/>
      </c>
      <c r="J245" s="95"/>
      <c r="K245" s="310" t="str">
        <f>IF(J245="","",IF(VLOOKUP(J245,'G-3 Multipliers'!$L$3:$N$6,2,FALSE)=0,"Spatial Data Missing ⚠",VLOOKUP(J245,'G-3 Multipliers'!$L$3:$N$6,2,FALSE)))</f>
        <v/>
      </c>
      <c r="L245" s="296" t="str">
        <f>IF(J245="","",IF(VLOOKUP(J245,'G-3 Multipliers'!$L$3:$N$6,3,FALSE)=0,"Spatial Data Missing ⚠",VLOOKUP(J245,'G-3 Multipliers'!$L$3:$N$6,3,FALSE)))</f>
        <v/>
      </c>
      <c r="M245" s="290" t="str">
        <f>IF(OR(D245="",H245=""),"",(INDEX('G-6 Hedgerow Data'!$E$3:$I$15,MATCH(D245,'G-6 Hedgerow Data'!$B$3:$B$15,0),MATCH(H245,'G-6 Hedgerow Data'!$E$2:$I$2,0))))</f>
        <v/>
      </c>
      <c r="N245" s="138"/>
      <c r="O245" s="138"/>
      <c r="P245" s="298" t="str">
        <f t="shared" si="19"/>
        <v/>
      </c>
      <c r="Q245" s="311" t="str">
        <f t="shared" si="20"/>
        <v/>
      </c>
      <c r="R245" s="312" t="str">
        <f t="shared" si="18"/>
        <v/>
      </c>
      <c r="S245" s="325" t="str">
        <f>IF(D245="","",VLOOKUP(D245,'G-6 Hedgerow Data'!$B$3:$AG$15,31,FALSE))</f>
        <v/>
      </c>
      <c r="T245" s="298" t="str">
        <f t="shared" si="21"/>
        <v/>
      </c>
      <c r="U245" s="298" t="str">
        <f t="shared" si="22"/>
        <v/>
      </c>
      <c r="V245" s="314" t="str">
        <f>IF(D245="","",VLOOKUP(S245,'G-3 Multipliers'!$P$3:$Q$6,2,FALSE))</f>
        <v/>
      </c>
      <c r="W245" s="317" t="str">
        <f t="shared" si="23"/>
        <v/>
      </c>
      <c r="X245" s="98"/>
      <c r="Y245" s="99"/>
      <c r="Z245" s="101"/>
      <c r="AG245" s="15" t="str">
        <f>IFERROR(INDEX('G-6 Hedgerow Data'!$BJ$3:$BJ$15,MATCH(D245,'G-6 Hedgerow Data'!$B$3:$B$15,0)),"")</f>
        <v/>
      </c>
    </row>
    <row r="246" spans="2:33" ht="14" x14ac:dyDescent="0.3">
      <c r="B246" s="92">
        <v>235</v>
      </c>
      <c r="C246" s="143"/>
      <c r="D246" s="138"/>
      <c r="E246" s="120"/>
      <c r="F246" s="335" t="str">
        <f>IF(D246="","",VLOOKUP(D246,'G-6 Hedgerow Data'!$B$2:$AG$15,2,FALSE))</f>
        <v/>
      </c>
      <c r="G246" s="291" t="str">
        <f>IF(D246="","",VLOOKUP(D246,'G-6 Hedgerow Data'!$B$2:$AG$15,3,FALSE))</f>
        <v/>
      </c>
      <c r="H246" s="95"/>
      <c r="I246" s="291" t="str">
        <f>IFERROR(IF(H246="","",IF(AND(D246="Non-native and ornamental hedgerow", H246&lt;&gt;"Poor"),"Not possible ▲", (VLOOKUP(H246,'G-1 All Habitats'!$Z$2:$AA$9,2,FALSE)))),"")</f>
        <v/>
      </c>
      <c r="J246" s="95"/>
      <c r="K246" s="310" t="str">
        <f>IF(J246="","",IF(VLOOKUP(J246,'G-3 Multipliers'!$L$3:$N$6,2,FALSE)=0,"Spatial Data Missing ⚠",VLOOKUP(J246,'G-3 Multipliers'!$L$3:$N$6,2,FALSE)))</f>
        <v/>
      </c>
      <c r="L246" s="296" t="str">
        <f>IF(J246="","",IF(VLOOKUP(J246,'G-3 Multipliers'!$L$3:$N$6,3,FALSE)=0,"Spatial Data Missing ⚠",VLOOKUP(J246,'G-3 Multipliers'!$L$3:$N$6,3,FALSE)))</f>
        <v/>
      </c>
      <c r="M246" s="290" t="str">
        <f>IF(OR(D246="",H246=""),"",(INDEX('G-6 Hedgerow Data'!$E$3:$I$15,MATCH(D246,'G-6 Hedgerow Data'!$B$3:$B$15,0),MATCH(H246,'G-6 Hedgerow Data'!$E$2:$I$2,0))))</f>
        <v/>
      </c>
      <c r="N246" s="138"/>
      <c r="O246" s="138"/>
      <c r="P246" s="298" t="str">
        <f t="shared" si="19"/>
        <v/>
      </c>
      <c r="Q246" s="311" t="str">
        <f t="shared" si="20"/>
        <v/>
      </c>
      <c r="R246" s="312" t="str">
        <f t="shared" si="18"/>
        <v/>
      </c>
      <c r="S246" s="325" t="str">
        <f>IF(D246="","",VLOOKUP(D246,'G-6 Hedgerow Data'!$B$3:$AG$15,31,FALSE))</f>
        <v/>
      </c>
      <c r="T246" s="298" t="str">
        <f t="shared" si="21"/>
        <v/>
      </c>
      <c r="U246" s="298" t="str">
        <f t="shared" si="22"/>
        <v/>
      </c>
      <c r="V246" s="314" t="str">
        <f>IF(D246="","",VLOOKUP(S246,'G-3 Multipliers'!$P$3:$Q$6,2,FALSE))</f>
        <v/>
      </c>
      <c r="W246" s="317" t="str">
        <f t="shared" si="23"/>
        <v/>
      </c>
      <c r="X246" s="98"/>
      <c r="Y246" s="99"/>
      <c r="Z246" s="101"/>
      <c r="AG246" s="15" t="str">
        <f>IFERROR(INDEX('G-6 Hedgerow Data'!$BJ$3:$BJ$15,MATCH(D246,'G-6 Hedgerow Data'!$B$3:$B$15,0)),"")</f>
        <v/>
      </c>
    </row>
    <row r="247" spans="2:33" ht="14" x14ac:dyDescent="0.3">
      <c r="B247" s="92">
        <v>236</v>
      </c>
      <c r="C247" s="143"/>
      <c r="D247" s="138"/>
      <c r="E247" s="120"/>
      <c r="F247" s="335" t="str">
        <f>IF(D247="","",VLOOKUP(D247,'G-6 Hedgerow Data'!$B$2:$AG$15,2,FALSE))</f>
        <v/>
      </c>
      <c r="G247" s="291" t="str">
        <f>IF(D247="","",VLOOKUP(D247,'G-6 Hedgerow Data'!$B$2:$AG$15,3,FALSE))</f>
        <v/>
      </c>
      <c r="H247" s="95"/>
      <c r="I247" s="291" t="str">
        <f>IFERROR(IF(H247="","",IF(AND(D247="Non-native and ornamental hedgerow", H247&lt;&gt;"Poor"),"Not possible ▲", (VLOOKUP(H247,'G-1 All Habitats'!$Z$2:$AA$9,2,FALSE)))),"")</f>
        <v/>
      </c>
      <c r="J247" s="95"/>
      <c r="K247" s="310" t="str">
        <f>IF(J247="","",IF(VLOOKUP(J247,'G-3 Multipliers'!$L$3:$N$6,2,FALSE)=0,"Spatial Data Missing ⚠",VLOOKUP(J247,'G-3 Multipliers'!$L$3:$N$6,2,FALSE)))</f>
        <v/>
      </c>
      <c r="L247" s="296" t="str">
        <f>IF(J247="","",IF(VLOOKUP(J247,'G-3 Multipliers'!$L$3:$N$6,3,FALSE)=0,"Spatial Data Missing ⚠",VLOOKUP(J247,'G-3 Multipliers'!$L$3:$N$6,3,FALSE)))</f>
        <v/>
      </c>
      <c r="M247" s="290" t="str">
        <f>IF(OR(D247="",H247=""),"",(INDEX('G-6 Hedgerow Data'!$E$3:$I$15,MATCH(D247,'G-6 Hedgerow Data'!$B$3:$B$15,0),MATCH(H247,'G-6 Hedgerow Data'!$E$2:$I$2,0))))</f>
        <v/>
      </c>
      <c r="N247" s="138"/>
      <c r="O247" s="138"/>
      <c r="P247" s="298" t="str">
        <f t="shared" si="19"/>
        <v/>
      </c>
      <c r="Q247" s="311" t="str">
        <f t="shared" si="20"/>
        <v/>
      </c>
      <c r="R247" s="312" t="str">
        <f t="shared" si="18"/>
        <v/>
      </c>
      <c r="S247" s="325" t="str">
        <f>IF(D247="","",VLOOKUP(D247,'G-6 Hedgerow Data'!$B$3:$AG$15,31,FALSE))</f>
        <v/>
      </c>
      <c r="T247" s="298" t="str">
        <f t="shared" si="21"/>
        <v/>
      </c>
      <c r="U247" s="298" t="str">
        <f t="shared" si="22"/>
        <v/>
      </c>
      <c r="V247" s="314" t="str">
        <f>IF(D247="","",VLOOKUP(S247,'G-3 Multipliers'!$P$3:$Q$6,2,FALSE))</f>
        <v/>
      </c>
      <c r="W247" s="317" t="str">
        <f t="shared" si="23"/>
        <v/>
      </c>
      <c r="X247" s="98"/>
      <c r="Y247" s="99"/>
      <c r="Z247" s="101"/>
      <c r="AG247" s="15" t="str">
        <f>IFERROR(INDEX('G-6 Hedgerow Data'!$BJ$3:$BJ$15,MATCH(D247,'G-6 Hedgerow Data'!$B$3:$B$15,0)),"")</f>
        <v/>
      </c>
    </row>
    <row r="248" spans="2:33" ht="14" x14ac:dyDescent="0.3">
      <c r="B248" s="92">
        <v>237</v>
      </c>
      <c r="C248" s="143"/>
      <c r="D248" s="138"/>
      <c r="E248" s="120"/>
      <c r="F248" s="335" t="str">
        <f>IF(D248="","",VLOOKUP(D248,'G-6 Hedgerow Data'!$B$2:$AG$15,2,FALSE))</f>
        <v/>
      </c>
      <c r="G248" s="291" t="str">
        <f>IF(D248="","",VLOOKUP(D248,'G-6 Hedgerow Data'!$B$2:$AG$15,3,FALSE))</f>
        <v/>
      </c>
      <c r="H248" s="95"/>
      <c r="I248" s="291" t="str">
        <f>IFERROR(IF(H248="","",IF(AND(D248="Non-native and ornamental hedgerow", H248&lt;&gt;"Poor"),"Not possible ▲", (VLOOKUP(H248,'G-1 All Habitats'!$Z$2:$AA$9,2,FALSE)))),"")</f>
        <v/>
      </c>
      <c r="J248" s="95"/>
      <c r="K248" s="310" t="str">
        <f>IF(J248="","",IF(VLOOKUP(J248,'G-3 Multipliers'!$L$3:$N$6,2,FALSE)=0,"Spatial Data Missing ⚠",VLOOKUP(J248,'G-3 Multipliers'!$L$3:$N$6,2,FALSE)))</f>
        <v/>
      </c>
      <c r="L248" s="296" t="str">
        <f>IF(J248="","",IF(VLOOKUP(J248,'G-3 Multipliers'!$L$3:$N$6,3,FALSE)=0,"Spatial Data Missing ⚠",VLOOKUP(J248,'G-3 Multipliers'!$L$3:$N$6,3,FALSE)))</f>
        <v/>
      </c>
      <c r="M248" s="290" t="str">
        <f>IF(OR(D248="",H248=""),"",(INDEX('G-6 Hedgerow Data'!$E$3:$I$15,MATCH(D248,'G-6 Hedgerow Data'!$B$3:$B$15,0),MATCH(H248,'G-6 Hedgerow Data'!$E$2:$I$2,0))))</f>
        <v/>
      </c>
      <c r="N248" s="138"/>
      <c r="O248" s="138"/>
      <c r="P248" s="298" t="str">
        <f t="shared" si="19"/>
        <v/>
      </c>
      <c r="Q248" s="311" t="str">
        <f t="shared" si="20"/>
        <v/>
      </c>
      <c r="R248" s="312" t="str">
        <f t="shared" si="18"/>
        <v/>
      </c>
      <c r="S248" s="325" t="str">
        <f>IF(D248="","",VLOOKUP(D248,'G-6 Hedgerow Data'!$B$3:$AG$15,31,FALSE))</f>
        <v/>
      </c>
      <c r="T248" s="298" t="str">
        <f t="shared" si="21"/>
        <v/>
      </c>
      <c r="U248" s="298" t="str">
        <f t="shared" si="22"/>
        <v/>
      </c>
      <c r="V248" s="314" t="str">
        <f>IF(D248="","",VLOOKUP(S248,'G-3 Multipliers'!$P$3:$Q$6,2,FALSE))</f>
        <v/>
      </c>
      <c r="W248" s="317" t="str">
        <f t="shared" si="23"/>
        <v/>
      </c>
      <c r="X248" s="98"/>
      <c r="Y248" s="99"/>
      <c r="Z248" s="101"/>
      <c r="AG248" s="15" t="str">
        <f>IFERROR(INDEX('G-6 Hedgerow Data'!$BJ$3:$BJ$15,MATCH(D248,'G-6 Hedgerow Data'!$B$3:$B$15,0)),"")</f>
        <v/>
      </c>
    </row>
    <row r="249" spans="2:33" ht="14" x14ac:dyDescent="0.3">
      <c r="B249" s="92">
        <v>238</v>
      </c>
      <c r="C249" s="143"/>
      <c r="D249" s="138"/>
      <c r="E249" s="120"/>
      <c r="F249" s="335" t="str">
        <f>IF(D249="","",VLOOKUP(D249,'G-6 Hedgerow Data'!$B$2:$AG$15,2,FALSE))</f>
        <v/>
      </c>
      <c r="G249" s="291" t="str">
        <f>IF(D249="","",VLOOKUP(D249,'G-6 Hedgerow Data'!$B$2:$AG$15,3,FALSE))</f>
        <v/>
      </c>
      <c r="H249" s="95"/>
      <c r="I249" s="291" t="str">
        <f>IFERROR(IF(H249="","",IF(AND(D249="Non-native and ornamental hedgerow", H249&lt;&gt;"Poor"),"Not possible ▲", (VLOOKUP(H249,'G-1 All Habitats'!$Z$2:$AA$9,2,FALSE)))),"")</f>
        <v/>
      </c>
      <c r="J249" s="95"/>
      <c r="K249" s="310" t="str">
        <f>IF(J249="","",IF(VLOOKUP(J249,'G-3 Multipliers'!$L$3:$N$6,2,FALSE)=0,"Spatial Data Missing ⚠",VLOOKUP(J249,'G-3 Multipliers'!$L$3:$N$6,2,FALSE)))</f>
        <v/>
      </c>
      <c r="L249" s="296" t="str">
        <f>IF(J249="","",IF(VLOOKUP(J249,'G-3 Multipliers'!$L$3:$N$6,3,FALSE)=0,"Spatial Data Missing ⚠",VLOOKUP(J249,'G-3 Multipliers'!$L$3:$N$6,3,FALSE)))</f>
        <v/>
      </c>
      <c r="M249" s="290" t="str">
        <f>IF(OR(D249="",H249=""),"",(INDEX('G-6 Hedgerow Data'!$E$3:$I$15,MATCH(D249,'G-6 Hedgerow Data'!$B$3:$B$15,0),MATCH(H249,'G-6 Hedgerow Data'!$E$2:$I$2,0))))</f>
        <v/>
      </c>
      <c r="N249" s="138"/>
      <c r="O249" s="138"/>
      <c r="P249" s="298" t="str">
        <f t="shared" si="19"/>
        <v/>
      </c>
      <c r="Q249" s="311" t="str">
        <f t="shared" si="20"/>
        <v/>
      </c>
      <c r="R249" s="312" t="str">
        <f t="shared" si="18"/>
        <v/>
      </c>
      <c r="S249" s="325" t="str">
        <f>IF(D249="","",VLOOKUP(D249,'G-6 Hedgerow Data'!$B$3:$AG$15,31,FALSE))</f>
        <v/>
      </c>
      <c r="T249" s="298" t="str">
        <f t="shared" si="21"/>
        <v/>
      </c>
      <c r="U249" s="298" t="str">
        <f t="shared" si="22"/>
        <v/>
      </c>
      <c r="V249" s="314" t="str">
        <f>IF(D249="","",VLOOKUP(S249,'G-3 Multipliers'!$P$3:$Q$6,2,FALSE))</f>
        <v/>
      </c>
      <c r="W249" s="317" t="str">
        <f t="shared" si="23"/>
        <v/>
      </c>
      <c r="X249" s="98"/>
      <c r="Y249" s="99"/>
      <c r="Z249" s="101"/>
      <c r="AG249" s="15" t="str">
        <f>IFERROR(INDEX('G-6 Hedgerow Data'!$BJ$3:$BJ$15,MATCH(D249,'G-6 Hedgerow Data'!$B$3:$B$15,0)),"")</f>
        <v/>
      </c>
    </row>
    <row r="250" spans="2:33" ht="14" x14ac:dyDescent="0.3">
      <c r="B250" s="92">
        <v>239</v>
      </c>
      <c r="C250" s="143"/>
      <c r="D250" s="138"/>
      <c r="E250" s="120"/>
      <c r="F250" s="335" t="str">
        <f>IF(D250="","",VLOOKUP(D250,'G-6 Hedgerow Data'!$B$2:$AG$15,2,FALSE))</f>
        <v/>
      </c>
      <c r="G250" s="291" t="str">
        <f>IF(D250="","",VLOOKUP(D250,'G-6 Hedgerow Data'!$B$2:$AG$15,3,FALSE))</f>
        <v/>
      </c>
      <c r="H250" s="95"/>
      <c r="I250" s="291" t="str">
        <f>IFERROR(IF(H250="","",IF(AND(D250="Non-native and ornamental hedgerow", H250&lt;&gt;"Poor"),"Not possible ▲", (VLOOKUP(H250,'G-1 All Habitats'!$Z$2:$AA$9,2,FALSE)))),"")</f>
        <v/>
      </c>
      <c r="J250" s="95"/>
      <c r="K250" s="310" t="str">
        <f>IF(J250="","",IF(VLOOKUP(J250,'G-3 Multipliers'!$L$3:$N$6,2,FALSE)=0,"Spatial Data Missing ⚠",VLOOKUP(J250,'G-3 Multipliers'!$L$3:$N$6,2,FALSE)))</f>
        <v/>
      </c>
      <c r="L250" s="296" t="str">
        <f>IF(J250="","",IF(VLOOKUP(J250,'G-3 Multipliers'!$L$3:$N$6,3,FALSE)=0,"Spatial Data Missing ⚠",VLOOKUP(J250,'G-3 Multipliers'!$L$3:$N$6,3,FALSE)))</f>
        <v/>
      </c>
      <c r="M250" s="290" t="str">
        <f>IF(OR(D250="",H250=""),"",(INDEX('G-6 Hedgerow Data'!$E$3:$I$15,MATCH(D250,'G-6 Hedgerow Data'!$B$3:$B$15,0),MATCH(H250,'G-6 Hedgerow Data'!$E$2:$I$2,0))))</f>
        <v/>
      </c>
      <c r="N250" s="138"/>
      <c r="O250" s="138"/>
      <c r="P250" s="298" t="str">
        <f t="shared" si="19"/>
        <v/>
      </c>
      <c r="Q250" s="311" t="str">
        <f t="shared" si="20"/>
        <v/>
      </c>
      <c r="R250" s="312" t="str">
        <f t="shared" si="18"/>
        <v/>
      </c>
      <c r="S250" s="325" t="str">
        <f>IF(D250="","",VLOOKUP(D250,'G-6 Hedgerow Data'!$B$3:$AG$15,31,FALSE))</f>
        <v/>
      </c>
      <c r="T250" s="298" t="str">
        <f t="shared" si="21"/>
        <v/>
      </c>
      <c r="U250" s="298" t="str">
        <f t="shared" si="22"/>
        <v/>
      </c>
      <c r="V250" s="314" t="str">
        <f>IF(D250="","",VLOOKUP(S250,'G-3 Multipliers'!$P$3:$Q$6,2,FALSE))</f>
        <v/>
      </c>
      <c r="W250" s="317" t="str">
        <f t="shared" si="23"/>
        <v/>
      </c>
      <c r="X250" s="98"/>
      <c r="Y250" s="99"/>
      <c r="Z250" s="101"/>
      <c r="AG250" s="15" t="str">
        <f>IFERROR(INDEX('G-6 Hedgerow Data'!$BJ$3:$BJ$15,MATCH(D250,'G-6 Hedgerow Data'!$B$3:$B$15,0)),"")</f>
        <v/>
      </c>
    </row>
    <row r="251" spans="2:33" ht="14" x14ac:dyDescent="0.3">
      <c r="B251" s="92">
        <v>240</v>
      </c>
      <c r="C251" s="143"/>
      <c r="D251" s="138"/>
      <c r="E251" s="120"/>
      <c r="F251" s="335" t="str">
        <f>IF(D251="","",VLOOKUP(D251,'G-6 Hedgerow Data'!$B$2:$AG$15,2,FALSE))</f>
        <v/>
      </c>
      <c r="G251" s="291" t="str">
        <f>IF(D251="","",VLOOKUP(D251,'G-6 Hedgerow Data'!$B$2:$AG$15,3,FALSE))</f>
        <v/>
      </c>
      <c r="H251" s="95"/>
      <c r="I251" s="291" t="str">
        <f>IFERROR(IF(H251="","",IF(AND(D251="Non-native and ornamental hedgerow", H251&lt;&gt;"Poor"),"Not possible ▲", (VLOOKUP(H251,'G-1 All Habitats'!$Z$2:$AA$9,2,FALSE)))),"")</f>
        <v/>
      </c>
      <c r="J251" s="95"/>
      <c r="K251" s="310" t="str">
        <f>IF(J251="","",IF(VLOOKUP(J251,'G-3 Multipliers'!$L$3:$N$6,2,FALSE)=0,"Spatial Data Missing ⚠",VLOOKUP(J251,'G-3 Multipliers'!$L$3:$N$6,2,FALSE)))</f>
        <v/>
      </c>
      <c r="L251" s="296" t="str">
        <f>IF(J251="","",IF(VLOOKUP(J251,'G-3 Multipliers'!$L$3:$N$6,3,FALSE)=0,"Spatial Data Missing ⚠",VLOOKUP(J251,'G-3 Multipliers'!$L$3:$N$6,3,FALSE)))</f>
        <v/>
      </c>
      <c r="M251" s="290" t="str">
        <f>IF(OR(D251="",H251=""),"",(INDEX('G-6 Hedgerow Data'!$E$3:$I$15,MATCH(D251,'G-6 Hedgerow Data'!$B$3:$B$15,0),MATCH(H251,'G-6 Hedgerow Data'!$E$2:$I$2,0))))</f>
        <v/>
      </c>
      <c r="N251" s="138"/>
      <c r="O251" s="138"/>
      <c r="P251" s="298" t="str">
        <f t="shared" si="19"/>
        <v/>
      </c>
      <c r="Q251" s="311" t="str">
        <f t="shared" si="20"/>
        <v/>
      </c>
      <c r="R251" s="312" t="str">
        <f t="shared" si="18"/>
        <v/>
      </c>
      <c r="S251" s="325" t="str">
        <f>IF(D251="","",VLOOKUP(D251,'G-6 Hedgerow Data'!$B$3:$AG$15,31,FALSE))</f>
        <v/>
      </c>
      <c r="T251" s="298" t="str">
        <f t="shared" si="21"/>
        <v/>
      </c>
      <c r="U251" s="298" t="str">
        <f t="shared" si="22"/>
        <v/>
      </c>
      <c r="V251" s="314" t="str">
        <f>IF(D251="","",VLOOKUP(S251,'G-3 Multipliers'!$P$3:$Q$6,2,FALSE))</f>
        <v/>
      </c>
      <c r="W251" s="317" t="str">
        <f t="shared" si="23"/>
        <v/>
      </c>
      <c r="X251" s="98"/>
      <c r="Y251" s="99"/>
      <c r="Z251" s="101"/>
      <c r="AG251" s="15" t="str">
        <f>IFERROR(INDEX('G-6 Hedgerow Data'!$BJ$3:$BJ$15,MATCH(D251,'G-6 Hedgerow Data'!$B$3:$B$15,0)),"")</f>
        <v/>
      </c>
    </row>
    <row r="252" spans="2:33" ht="14" x14ac:dyDescent="0.3">
      <c r="B252" s="92">
        <v>241</v>
      </c>
      <c r="C252" s="143"/>
      <c r="D252" s="138"/>
      <c r="E252" s="120"/>
      <c r="F252" s="335" t="str">
        <f>IF(D252="","",VLOOKUP(D252,'G-6 Hedgerow Data'!$B$2:$AG$15,2,FALSE))</f>
        <v/>
      </c>
      <c r="G252" s="291" t="str">
        <f>IF(D252="","",VLOOKUP(D252,'G-6 Hedgerow Data'!$B$2:$AG$15,3,FALSE))</f>
        <v/>
      </c>
      <c r="H252" s="95"/>
      <c r="I252" s="291" t="str">
        <f>IFERROR(IF(H252="","",IF(AND(D252="Non-native and ornamental hedgerow", H252&lt;&gt;"Poor"),"Not possible ▲", (VLOOKUP(H252,'G-1 All Habitats'!$Z$2:$AA$9,2,FALSE)))),"")</f>
        <v/>
      </c>
      <c r="J252" s="95"/>
      <c r="K252" s="310" t="str">
        <f>IF(J252="","",IF(VLOOKUP(J252,'G-3 Multipliers'!$L$3:$N$6,2,FALSE)=0,"Spatial Data Missing ⚠",VLOOKUP(J252,'G-3 Multipliers'!$L$3:$N$6,2,FALSE)))</f>
        <v/>
      </c>
      <c r="L252" s="296" t="str">
        <f>IF(J252="","",IF(VLOOKUP(J252,'G-3 Multipliers'!$L$3:$N$6,3,FALSE)=0,"Spatial Data Missing ⚠",VLOOKUP(J252,'G-3 Multipliers'!$L$3:$N$6,3,FALSE)))</f>
        <v/>
      </c>
      <c r="M252" s="290" t="str">
        <f>IF(OR(D252="",H252=""),"",(INDEX('G-6 Hedgerow Data'!$E$3:$I$15,MATCH(D252,'G-6 Hedgerow Data'!$B$3:$B$15,0),MATCH(H252,'G-6 Hedgerow Data'!$E$2:$I$2,0))))</f>
        <v/>
      </c>
      <c r="N252" s="138"/>
      <c r="O252" s="138"/>
      <c r="P252" s="298" t="str">
        <f t="shared" si="19"/>
        <v/>
      </c>
      <c r="Q252" s="311" t="str">
        <f t="shared" si="20"/>
        <v/>
      </c>
      <c r="R252" s="312" t="str">
        <f t="shared" si="18"/>
        <v/>
      </c>
      <c r="S252" s="325" t="str">
        <f>IF(D252="","",VLOOKUP(D252,'G-6 Hedgerow Data'!$B$3:$AG$15,31,FALSE))</f>
        <v/>
      </c>
      <c r="T252" s="298" t="str">
        <f t="shared" si="21"/>
        <v/>
      </c>
      <c r="U252" s="298" t="str">
        <f t="shared" si="22"/>
        <v/>
      </c>
      <c r="V252" s="314" t="str">
        <f>IF(D252="","",VLOOKUP(S252,'G-3 Multipliers'!$P$3:$Q$6,2,FALSE))</f>
        <v/>
      </c>
      <c r="W252" s="317" t="str">
        <f t="shared" si="23"/>
        <v/>
      </c>
      <c r="X252" s="98"/>
      <c r="Y252" s="99"/>
      <c r="Z252" s="101"/>
      <c r="AG252" s="15" t="str">
        <f>IFERROR(INDEX('G-6 Hedgerow Data'!$BJ$3:$BJ$15,MATCH(D252,'G-6 Hedgerow Data'!$B$3:$B$15,0)),"")</f>
        <v/>
      </c>
    </row>
    <row r="253" spans="2:33" ht="14" x14ac:dyDescent="0.3">
      <c r="B253" s="92">
        <v>242</v>
      </c>
      <c r="C253" s="143"/>
      <c r="D253" s="138"/>
      <c r="E253" s="120"/>
      <c r="F253" s="335" t="str">
        <f>IF(D253="","",VLOOKUP(D253,'G-6 Hedgerow Data'!$B$2:$AG$15,2,FALSE))</f>
        <v/>
      </c>
      <c r="G253" s="291" t="str">
        <f>IF(D253="","",VLOOKUP(D253,'G-6 Hedgerow Data'!$B$2:$AG$15,3,FALSE))</f>
        <v/>
      </c>
      <c r="H253" s="95"/>
      <c r="I253" s="291" t="str">
        <f>IFERROR(IF(H253="","",IF(AND(D253="Non-native and ornamental hedgerow", H253&lt;&gt;"Poor"),"Not possible ▲", (VLOOKUP(H253,'G-1 All Habitats'!$Z$2:$AA$9,2,FALSE)))),"")</f>
        <v/>
      </c>
      <c r="J253" s="95"/>
      <c r="K253" s="310" t="str">
        <f>IF(J253="","",IF(VLOOKUP(J253,'G-3 Multipliers'!$L$3:$N$6,2,FALSE)=0,"Spatial Data Missing ⚠",VLOOKUP(J253,'G-3 Multipliers'!$L$3:$N$6,2,FALSE)))</f>
        <v/>
      </c>
      <c r="L253" s="296" t="str">
        <f>IF(J253="","",IF(VLOOKUP(J253,'G-3 Multipliers'!$L$3:$N$6,3,FALSE)=0,"Spatial Data Missing ⚠",VLOOKUP(J253,'G-3 Multipliers'!$L$3:$N$6,3,FALSE)))</f>
        <v/>
      </c>
      <c r="M253" s="290" t="str">
        <f>IF(OR(D253="",H253=""),"",(INDEX('G-6 Hedgerow Data'!$E$3:$I$15,MATCH(D253,'G-6 Hedgerow Data'!$B$3:$B$15,0),MATCH(H253,'G-6 Hedgerow Data'!$E$2:$I$2,0))))</f>
        <v/>
      </c>
      <c r="N253" s="138"/>
      <c r="O253" s="138"/>
      <c r="P253" s="298" t="str">
        <f t="shared" si="19"/>
        <v/>
      </c>
      <c r="Q253" s="311" t="str">
        <f t="shared" si="20"/>
        <v/>
      </c>
      <c r="R253" s="312" t="str">
        <f t="shared" si="18"/>
        <v/>
      </c>
      <c r="S253" s="325" t="str">
        <f>IF(D253="","",VLOOKUP(D253,'G-6 Hedgerow Data'!$B$3:$AG$15,31,FALSE))</f>
        <v/>
      </c>
      <c r="T253" s="298" t="str">
        <f t="shared" si="21"/>
        <v/>
      </c>
      <c r="U253" s="298" t="str">
        <f t="shared" si="22"/>
        <v/>
      </c>
      <c r="V253" s="314" t="str">
        <f>IF(D253="","",VLOOKUP(S253,'G-3 Multipliers'!$P$3:$Q$6,2,FALSE))</f>
        <v/>
      </c>
      <c r="W253" s="317" t="str">
        <f t="shared" si="23"/>
        <v/>
      </c>
      <c r="X253" s="98"/>
      <c r="Y253" s="99"/>
      <c r="Z253" s="101"/>
      <c r="AG253" s="15" t="str">
        <f>IFERROR(INDEX('G-6 Hedgerow Data'!$BJ$3:$BJ$15,MATCH(D253,'G-6 Hedgerow Data'!$B$3:$B$15,0)),"")</f>
        <v/>
      </c>
    </row>
    <row r="254" spans="2:33" ht="14" x14ac:dyDescent="0.3">
      <c r="B254" s="92">
        <v>243</v>
      </c>
      <c r="C254" s="143"/>
      <c r="D254" s="138"/>
      <c r="E254" s="120"/>
      <c r="F254" s="335" t="str">
        <f>IF(D254="","",VLOOKUP(D254,'G-6 Hedgerow Data'!$B$2:$AG$15,2,FALSE))</f>
        <v/>
      </c>
      <c r="G254" s="291" t="str">
        <f>IF(D254="","",VLOOKUP(D254,'G-6 Hedgerow Data'!$B$2:$AG$15,3,FALSE))</f>
        <v/>
      </c>
      <c r="H254" s="95"/>
      <c r="I254" s="291" t="str">
        <f>IFERROR(IF(H254="","",IF(AND(D254="Non-native and ornamental hedgerow", H254&lt;&gt;"Poor"),"Not possible ▲", (VLOOKUP(H254,'G-1 All Habitats'!$Z$2:$AA$9,2,FALSE)))),"")</f>
        <v/>
      </c>
      <c r="J254" s="95"/>
      <c r="K254" s="310" t="str">
        <f>IF(J254="","",IF(VLOOKUP(J254,'G-3 Multipliers'!$L$3:$N$6,2,FALSE)=0,"Spatial Data Missing ⚠",VLOOKUP(J254,'G-3 Multipliers'!$L$3:$N$6,2,FALSE)))</f>
        <v/>
      </c>
      <c r="L254" s="296" t="str">
        <f>IF(J254="","",IF(VLOOKUP(J254,'G-3 Multipliers'!$L$3:$N$6,3,FALSE)=0,"Spatial Data Missing ⚠",VLOOKUP(J254,'G-3 Multipliers'!$L$3:$N$6,3,FALSE)))</f>
        <v/>
      </c>
      <c r="M254" s="290" t="str">
        <f>IF(OR(D254="",H254=""),"",(INDEX('G-6 Hedgerow Data'!$E$3:$I$15,MATCH(D254,'G-6 Hedgerow Data'!$B$3:$B$15,0),MATCH(H254,'G-6 Hedgerow Data'!$E$2:$I$2,0))))</f>
        <v/>
      </c>
      <c r="N254" s="138"/>
      <c r="O254" s="138"/>
      <c r="P254" s="298" t="str">
        <f t="shared" si="19"/>
        <v/>
      </c>
      <c r="Q254" s="311" t="str">
        <f t="shared" si="20"/>
        <v/>
      </c>
      <c r="R254" s="312" t="str">
        <f t="shared" si="18"/>
        <v/>
      </c>
      <c r="S254" s="325" t="str">
        <f>IF(D254="","",VLOOKUP(D254,'G-6 Hedgerow Data'!$B$3:$AG$15,31,FALSE))</f>
        <v/>
      </c>
      <c r="T254" s="298" t="str">
        <f t="shared" si="21"/>
        <v/>
      </c>
      <c r="U254" s="298" t="str">
        <f t="shared" si="22"/>
        <v/>
      </c>
      <c r="V254" s="314" t="str">
        <f>IF(D254="","",VLOOKUP(S254,'G-3 Multipliers'!$P$3:$Q$6,2,FALSE))</f>
        <v/>
      </c>
      <c r="W254" s="317" t="str">
        <f t="shared" si="23"/>
        <v/>
      </c>
      <c r="X254" s="98"/>
      <c r="Y254" s="99"/>
      <c r="Z254" s="101"/>
      <c r="AG254" s="15" t="str">
        <f>IFERROR(INDEX('G-6 Hedgerow Data'!$BJ$3:$BJ$15,MATCH(D254,'G-6 Hedgerow Data'!$B$3:$B$15,0)),"")</f>
        <v/>
      </c>
    </row>
    <row r="255" spans="2:33" ht="14" x14ac:dyDescent="0.3">
      <c r="B255" s="92">
        <v>244</v>
      </c>
      <c r="C255" s="143"/>
      <c r="D255" s="138"/>
      <c r="E255" s="120"/>
      <c r="F255" s="335" t="str">
        <f>IF(D255="","",VLOOKUP(D255,'G-6 Hedgerow Data'!$B$2:$AG$15,2,FALSE))</f>
        <v/>
      </c>
      <c r="G255" s="291" t="str">
        <f>IF(D255="","",VLOOKUP(D255,'G-6 Hedgerow Data'!$B$2:$AG$15,3,FALSE))</f>
        <v/>
      </c>
      <c r="H255" s="95"/>
      <c r="I255" s="291" t="str">
        <f>IFERROR(IF(H255="","",IF(AND(D255="Non-native and ornamental hedgerow", H255&lt;&gt;"Poor"),"Not possible ▲", (VLOOKUP(H255,'G-1 All Habitats'!$Z$2:$AA$9,2,FALSE)))),"")</f>
        <v/>
      </c>
      <c r="J255" s="95"/>
      <c r="K255" s="310" t="str">
        <f>IF(J255="","",IF(VLOOKUP(J255,'G-3 Multipliers'!$L$3:$N$6,2,FALSE)=0,"Spatial Data Missing ⚠",VLOOKUP(J255,'G-3 Multipliers'!$L$3:$N$6,2,FALSE)))</f>
        <v/>
      </c>
      <c r="L255" s="296" t="str">
        <f>IF(J255="","",IF(VLOOKUP(J255,'G-3 Multipliers'!$L$3:$N$6,3,FALSE)=0,"Spatial Data Missing ⚠",VLOOKUP(J255,'G-3 Multipliers'!$L$3:$N$6,3,FALSE)))</f>
        <v/>
      </c>
      <c r="M255" s="290" t="str">
        <f>IF(OR(D255="",H255=""),"",(INDEX('G-6 Hedgerow Data'!$E$3:$I$15,MATCH(D255,'G-6 Hedgerow Data'!$B$3:$B$15,0),MATCH(H255,'G-6 Hedgerow Data'!$E$2:$I$2,0))))</f>
        <v/>
      </c>
      <c r="N255" s="138"/>
      <c r="O255" s="138"/>
      <c r="P255" s="298" t="str">
        <f t="shared" si="19"/>
        <v/>
      </c>
      <c r="Q255" s="311" t="str">
        <f t="shared" si="20"/>
        <v/>
      </c>
      <c r="R255" s="312" t="str">
        <f t="shared" si="18"/>
        <v/>
      </c>
      <c r="S255" s="325" t="str">
        <f>IF(D255="","",VLOOKUP(D255,'G-6 Hedgerow Data'!$B$3:$AG$15,31,FALSE))</f>
        <v/>
      </c>
      <c r="T255" s="298" t="str">
        <f t="shared" si="21"/>
        <v/>
      </c>
      <c r="U255" s="298" t="str">
        <f t="shared" si="22"/>
        <v/>
      </c>
      <c r="V255" s="314" t="str">
        <f>IF(D255="","",VLOOKUP(S255,'G-3 Multipliers'!$P$3:$Q$6,2,FALSE))</f>
        <v/>
      </c>
      <c r="W255" s="317" t="str">
        <f t="shared" si="23"/>
        <v/>
      </c>
      <c r="X255" s="98"/>
      <c r="Y255" s="99"/>
      <c r="Z255" s="101"/>
      <c r="AG255" s="15" t="str">
        <f>IFERROR(INDEX('G-6 Hedgerow Data'!$BJ$3:$BJ$15,MATCH(D255,'G-6 Hedgerow Data'!$B$3:$B$15,0)),"")</f>
        <v/>
      </c>
    </row>
    <row r="256" spans="2:33" ht="14" x14ac:dyDescent="0.3">
      <c r="B256" s="92">
        <v>245</v>
      </c>
      <c r="C256" s="143"/>
      <c r="D256" s="138"/>
      <c r="E256" s="120"/>
      <c r="F256" s="335" t="str">
        <f>IF(D256="","",VLOOKUP(D256,'G-6 Hedgerow Data'!$B$2:$AG$15,2,FALSE))</f>
        <v/>
      </c>
      <c r="G256" s="291" t="str">
        <f>IF(D256="","",VLOOKUP(D256,'G-6 Hedgerow Data'!$B$2:$AG$15,3,FALSE))</f>
        <v/>
      </c>
      <c r="H256" s="95"/>
      <c r="I256" s="291" t="str">
        <f>IFERROR(IF(H256="","",IF(AND(D256="Non-native and ornamental hedgerow", H256&lt;&gt;"Poor"),"Not possible ▲", (VLOOKUP(H256,'G-1 All Habitats'!$Z$2:$AA$9,2,FALSE)))),"")</f>
        <v/>
      </c>
      <c r="J256" s="95"/>
      <c r="K256" s="310" t="str">
        <f>IF(J256="","",IF(VLOOKUP(J256,'G-3 Multipliers'!$L$3:$N$6,2,FALSE)=0,"Spatial Data Missing ⚠",VLOOKUP(J256,'G-3 Multipliers'!$L$3:$N$6,2,FALSE)))</f>
        <v/>
      </c>
      <c r="L256" s="296" t="str">
        <f>IF(J256="","",IF(VLOOKUP(J256,'G-3 Multipliers'!$L$3:$N$6,3,FALSE)=0,"Spatial Data Missing ⚠",VLOOKUP(J256,'G-3 Multipliers'!$L$3:$N$6,3,FALSE)))</f>
        <v/>
      </c>
      <c r="M256" s="290" t="str">
        <f>IF(OR(D256="",H256=""),"",(INDEX('G-6 Hedgerow Data'!$E$3:$I$15,MATCH(D256,'G-6 Hedgerow Data'!$B$3:$B$15,0),MATCH(H256,'G-6 Hedgerow Data'!$E$2:$I$2,0))))</f>
        <v/>
      </c>
      <c r="N256" s="138"/>
      <c r="O256" s="138"/>
      <c r="P256" s="298" t="str">
        <f t="shared" si="19"/>
        <v/>
      </c>
      <c r="Q256" s="311" t="str">
        <f t="shared" si="20"/>
        <v/>
      </c>
      <c r="R256" s="312" t="str">
        <f t="shared" si="18"/>
        <v/>
      </c>
      <c r="S256" s="325" t="str">
        <f>IF(D256="","",VLOOKUP(D256,'G-6 Hedgerow Data'!$B$3:$AG$15,31,FALSE))</f>
        <v/>
      </c>
      <c r="T256" s="298" t="str">
        <f t="shared" si="21"/>
        <v/>
      </c>
      <c r="U256" s="298" t="str">
        <f t="shared" si="22"/>
        <v/>
      </c>
      <c r="V256" s="314" t="str">
        <f>IF(D256="","",VLOOKUP(S256,'G-3 Multipliers'!$P$3:$Q$6,2,FALSE))</f>
        <v/>
      </c>
      <c r="W256" s="317" t="str">
        <f t="shared" si="23"/>
        <v/>
      </c>
      <c r="X256" s="98"/>
      <c r="Y256" s="99"/>
      <c r="Z256" s="101"/>
      <c r="AG256" s="15" t="str">
        <f>IFERROR(INDEX('G-6 Hedgerow Data'!$BJ$3:$BJ$15,MATCH(D256,'G-6 Hedgerow Data'!$B$3:$B$15,0)),"")</f>
        <v/>
      </c>
    </row>
    <row r="257" spans="2:33" ht="14" x14ac:dyDescent="0.3">
      <c r="B257" s="92">
        <v>246</v>
      </c>
      <c r="C257" s="143"/>
      <c r="D257" s="138"/>
      <c r="E257" s="120"/>
      <c r="F257" s="335" t="str">
        <f>IF(D257="","",VLOOKUP(D257,'G-6 Hedgerow Data'!$B$2:$AG$15,2,FALSE))</f>
        <v/>
      </c>
      <c r="G257" s="291" t="str">
        <f>IF(D257="","",VLOOKUP(D257,'G-6 Hedgerow Data'!$B$2:$AG$15,3,FALSE))</f>
        <v/>
      </c>
      <c r="H257" s="95"/>
      <c r="I257" s="291" t="str">
        <f>IFERROR(IF(H257="","",IF(AND(D257="Non-native and ornamental hedgerow", H257&lt;&gt;"Poor"),"Not possible ▲", (VLOOKUP(H257,'G-1 All Habitats'!$Z$2:$AA$9,2,FALSE)))),"")</f>
        <v/>
      </c>
      <c r="J257" s="95"/>
      <c r="K257" s="310" t="str">
        <f>IF(J257="","",IF(VLOOKUP(J257,'G-3 Multipliers'!$L$3:$N$6,2,FALSE)=0,"Spatial Data Missing ⚠",VLOOKUP(J257,'G-3 Multipliers'!$L$3:$N$6,2,FALSE)))</f>
        <v/>
      </c>
      <c r="L257" s="296" t="str">
        <f>IF(J257="","",IF(VLOOKUP(J257,'G-3 Multipliers'!$L$3:$N$6,3,FALSE)=0,"Spatial Data Missing ⚠",VLOOKUP(J257,'G-3 Multipliers'!$L$3:$N$6,3,FALSE)))</f>
        <v/>
      </c>
      <c r="M257" s="290" t="str">
        <f>IF(OR(D257="",H257=""),"",(INDEX('G-6 Hedgerow Data'!$E$3:$I$15,MATCH(D257,'G-6 Hedgerow Data'!$B$3:$B$15,0),MATCH(H257,'G-6 Hedgerow Data'!$E$2:$I$2,0))))</f>
        <v/>
      </c>
      <c r="N257" s="138"/>
      <c r="O257" s="138"/>
      <c r="P257" s="298" t="str">
        <f t="shared" si="19"/>
        <v/>
      </c>
      <c r="Q257" s="311" t="str">
        <f t="shared" si="20"/>
        <v/>
      </c>
      <c r="R257" s="312" t="str">
        <f t="shared" si="18"/>
        <v/>
      </c>
      <c r="S257" s="325" t="str">
        <f>IF(D257="","",VLOOKUP(D257,'G-6 Hedgerow Data'!$B$3:$AG$15,31,FALSE))</f>
        <v/>
      </c>
      <c r="T257" s="298" t="str">
        <f t="shared" si="21"/>
        <v/>
      </c>
      <c r="U257" s="298" t="str">
        <f t="shared" si="22"/>
        <v/>
      </c>
      <c r="V257" s="314" t="str">
        <f>IF(D257="","",VLOOKUP(S257,'G-3 Multipliers'!$P$3:$Q$6,2,FALSE))</f>
        <v/>
      </c>
      <c r="W257" s="317" t="str">
        <f t="shared" si="23"/>
        <v/>
      </c>
      <c r="X257" s="98"/>
      <c r="Y257" s="99"/>
      <c r="Z257" s="101"/>
      <c r="AG257" s="15" t="str">
        <f>IFERROR(INDEX('G-6 Hedgerow Data'!$BJ$3:$BJ$15,MATCH(D257,'G-6 Hedgerow Data'!$B$3:$B$15,0)),"")</f>
        <v/>
      </c>
    </row>
    <row r="258" spans="2:33" ht="14" x14ac:dyDescent="0.3">
      <c r="B258" s="92">
        <v>247</v>
      </c>
      <c r="C258" s="143"/>
      <c r="D258" s="138"/>
      <c r="E258" s="120"/>
      <c r="F258" s="335" t="str">
        <f>IF(D258="","",VLOOKUP(D258,'G-6 Hedgerow Data'!$B$2:$AG$15,2,FALSE))</f>
        <v/>
      </c>
      <c r="G258" s="291" t="str">
        <f>IF(D258="","",VLOOKUP(D258,'G-6 Hedgerow Data'!$B$2:$AG$15,3,FALSE))</f>
        <v/>
      </c>
      <c r="H258" s="95"/>
      <c r="I258" s="291" t="str">
        <f>IFERROR(IF(H258="","",IF(AND(D258="Non-native and ornamental hedgerow", H258&lt;&gt;"Poor"),"Not possible ▲", (VLOOKUP(H258,'G-1 All Habitats'!$Z$2:$AA$9,2,FALSE)))),"")</f>
        <v/>
      </c>
      <c r="J258" s="95"/>
      <c r="K258" s="310" t="str">
        <f>IF(J258="","",IF(VLOOKUP(J258,'G-3 Multipliers'!$L$3:$N$6,2,FALSE)=0,"Spatial Data Missing ⚠",VLOOKUP(J258,'G-3 Multipliers'!$L$3:$N$6,2,FALSE)))</f>
        <v/>
      </c>
      <c r="L258" s="296" t="str">
        <f>IF(J258="","",IF(VLOOKUP(J258,'G-3 Multipliers'!$L$3:$N$6,3,FALSE)=0,"Spatial Data Missing ⚠",VLOOKUP(J258,'G-3 Multipliers'!$L$3:$N$6,3,FALSE)))</f>
        <v/>
      </c>
      <c r="M258" s="290" t="str">
        <f>IF(OR(D258="",H258=""),"",(INDEX('G-6 Hedgerow Data'!$E$3:$I$15,MATCH(D258,'G-6 Hedgerow Data'!$B$3:$B$15,0),MATCH(H258,'G-6 Hedgerow Data'!$E$2:$I$2,0))))</f>
        <v/>
      </c>
      <c r="N258" s="138"/>
      <c r="O258" s="138"/>
      <c r="P258" s="298" t="str">
        <f t="shared" si="19"/>
        <v/>
      </c>
      <c r="Q258" s="311" t="str">
        <f t="shared" si="20"/>
        <v/>
      </c>
      <c r="R258" s="312" t="str">
        <f t="shared" si="18"/>
        <v/>
      </c>
      <c r="S258" s="325" t="str">
        <f>IF(D258="","",VLOOKUP(D258,'G-6 Hedgerow Data'!$B$3:$AG$15,31,FALSE))</f>
        <v/>
      </c>
      <c r="T258" s="298" t="str">
        <f t="shared" si="21"/>
        <v/>
      </c>
      <c r="U258" s="298" t="str">
        <f t="shared" si="22"/>
        <v/>
      </c>
      <c r="V258" s="314" t="str">
        <f>IF(D258="","",VLOOKUP(S258,'G-3 Multipliers'!$P$3:$Q$6,2,FALSE))</f>
        <v/>
      </c>
      <c r="W258" s="317" t="str">
        <f t="shared" si="23"/>
        <v/>
      </c>
      <c r="X258" s="98"/>
      <c r="Y258" s="99"/>
      <c r="Z258" s="101"/>
      <c r="AG258" s="15" t="str">
        <f>IFERROR(INDEX('G-6 Hedgerow Data'!$BJ$3:$BJ$15,MATCH(D258,'G-6 Hedgerow Data'!$B$3:$B$15,0)),"")</f>
        <v/>
      </c>
    </row>
    <row r="259" spans="2:33" ht="14.5" thickBot="1" x14ac:dyDescent="0.35">
      <c r="B259" s="107">
        <v>248</v>
      </c>
      <c r="C259" s="212"/>
      <c r="D259" s="144"/>
      <c r="E259" s="109"/>
      <c r="F259" s="316" t="str">
        <f>IF(D259="","",VLOOKUP(D259,'G-6 Hedgerow Data'!$B$2:$AG$15,2,FALSE))</f>
        <v/>
      </c>
      <c r="G259" s="291" t="str">
        <f>IF(D259="","",VLOOKUP(D259,'G-6 Hedgerow Data'!$B$2:$AG$15,3,FALSE))</f>
        <v/>
      </c>
      <c r="H259" s="110"/>
      <c r="I259" s="291" t="str">
        <f>IFERROR(IF(H259="","",IF(AND(D259="Non-native and ornamental hedgerow", H259&lt;&gt;"Poor"),"Not possible ▲", (VLOOKUP(H259,'G-1 All Habitats'!$Z$2:$AA$9,2,FALSE)))),"")</f>
        <v/>
      </c>
      <c r="J259" s="110"/>
      <c r="K259" s="299" t="str">
        <f>IF(J259="","",IF(VLOOKUP(J259,'G-3 Multipliers'!$L$3:$N$6,2,FALSE)=0,"Spatial Data Missing ⚠",VLOOKUP(J259,'G-3 Multipliers'!$L$3:$N$6,2,FALSE)))</f>
        <v/>
      </c>
      <c r="L259" s="300" t="str">
        <f>IF(J259="","",IF(VLOOKUP(J259,'G-3 Multipliers'!$L$3:$N$6,3,FALSE)=0,"Spatial Data Missing ⚠",VLOOKUP(J259,'G-3 Multipliers'!$L$3:$N$6,3,FALSE)))</f>
        <v/>
      </c>
      <c r="M259" s="292" t="str">
        <f>IF(OR(D259="",H259=""),"",(INDEX('G-6 Hedgerow Data'!$E$3:$I$15,MATCH(D259,'G-6 Hedgerow Data'!$B$3:$B$15,0),MATCH(H259,'G-6 Hedgerow Data'!$E$2:$I$2,0))))</f>
        <v/>
      </c>
      <c r="N259" s="138"/>
      <c r="O259" s="144"/>
      <c r="P259" s="298" t="str">
        <f t="shared" si="19"/>
        <v/>
      </c>
      <c r="Q259" s="311" t="str">
        <f t="shared" si="20"/>
        <v/>
      </c>
      <c r="R259" s="312" t="str">
        <f t="shared" si="18"/>
        <v/>
      </c>
      <c r="S259" s="292" t="str">
        <f>IF(D259="","",VLOOKUP(D259,'G-6 Hedgerow Data'!$B$3:$AG$15,31,FALSE))</f>
        <v/>
      </c>
      <c r="T259" s="298" t="str">
        <f t="shared" si="21"/>
        <v/>
      </c>
      <c r="U259" s="298" t="str">
        <f t="shared" si="22"/>
        <v/>
      </c>
      <c r="V259" s="293" t="str">
        <f>IF(D259="","",VLOOKUP(S259,'G-3 Multipliers'!$P$3:$Q$6,2,FALSE))</f>
        <v/>
      </c>
      <c r="W259" s="317" t="str">
        <f t="shared" si="23"/>
        <v/>
      </c>
      <c r="X259" s="111"/>
      <c r="Y259" s="112"/>
      <c r="Z259" s="112"/>
      <c r="AG259" s="15" t="str">
        <f>IFERROR(INDEX('G-6 Hedgerow Data'!$BJ$3:$BJ$15,MATCH(D259,'G-6 Hedgerow Data'!$B$3:$B$15,0)),"")</f>
        <v/>
      </c>
    </row>
    <row r="260" spans="2:33" ht="15.75" customHeight="1" thickBot="1" x14ac:dyDescent="0.35">
      <c r="B260" s="19"/>
      <c r="C260" s="19"/>
      <c r="D260" s="181"/>
      <c r="E260" s="294">
        <f>SUM(E12:E259)</f>
        <v>0</v>
      </c>
      <c r="F260" s="19"/>
      <c r="G260" s="19"/>
      <c r="H260" s="19"/>
      <c r="I260" s="19"/>
      <c r="J260" s="19"/>
      <c r="K260" s="19"/>
      <c r="L260" s="19"/>
      <c r="M260" s="19"/>
      <c r="N260" s="19"/>
      <c r="O260" s="19"/>
      <c r="P260" s="19"/>
      <c r="Q260" s="19"/>
      <c r="R260" s="19"/>
      <c r="S260" s="19"/>
      <c r="T260" s="19"/>
      <c r="U260" s="1263"/>
      <c r="V260" s="1264"/>
      <c r="W260" s="294">
        <f>SUM(W12:W259)</f>
        <v>0</v>
      </c>
      <c r="X260" s="19"/>
      <c r="Y260" s="19"/>
    </row>
    <row r="261" spans="2:33" ht="28.9" customHeight="1" x14ac:dyDescent="0.3">
      <c r="E261" s="1262"/>
      <c r="F261" s="1262"/>
      <c r="G261" s="1262"/>
      <c r="H261" s="1262"/>
      <c r="I261" s="1262"/>
      <c r="J261" s="1262"/>
    </row>
    <row r="262" spans="2:33" ht="27" customHeight="1" x14ac:dyDescent="0.3"/>
    <row r="263" spans="2:33" ht="14" x14ac:dyDescent="0.3"/>
    <row r="264" spans="2:33" ht="14" x14ac:dyDescent="0.3"/>
    <row r="265" spans="2:33" ht="14" x14ac:dyDescent="0.3"/>
    <row r="266" spans="2:33" ht="14" x14ac:dyDescent="0.3"/>
    <row r="267" spans="2:33" ht="14" x14ac:dyDescent="0.3"/>
    <row r="268" spans="2:33" ht="14" x14ac:dyDescent="0.3"/>
  </sheetData>
  <sheetProtection algorithmName="SHA-512" hashValue="54HEYRDi8iPlSVadfcwQhd5qawAhYKnnvtCT/QRXI/JJeIQOK7lUDyARkQ2NFj7O963qguy4nO4xxVFjeItLvA==" saltValue="LqTKt2M6kKFKTJeF8l1f4w==" spinCount="100000" sheet="1" objects="1" scenarios="1"/>
  <customSheetViews>
    <customSheetView guid="{8BDA793C-C9C5-4FC6-A0A5-F1109F6D4F22}" state="hidden">
      <pane ySplit="11" topLeftCell="A12" activePane="bottomLeft" state="frozen"/>
      <selection pane="bottomLeft" activeCell="D14" sqref="D14"/>
    </customSheetView>
  </customSheetViews>
  <mergeCells count="20">
    <mergeCell ref="X10:Z10"/>
    <mergeCell ref="U260:V260"/>
    <mergeCell ref="M3:R5"/>
    <mergeCell ref="I3:J3"/>
    <mergeCell ref="W10:W11"/>
    <mergeCell ref="S10:V10"/>
    <mergeCell ref="M10:R10"/>
    <mergeCell ref="E261:J261"/>
    <mergeCell ref="B2:D2"/>
    <mergeCell ref="B3:D4"/>
    <mergeCell ref="D10:E10"/>
    <mergeCell ref="H10:I10"/>
    <mergeCell ref="J10:L10"/>
    <mergeCell ref="F10:G10"/>
    <mergeCell ref="F3:H3"/>
    <mergeCell ref="F4:H4"/>
    <mergeCell ref="I4:J4"/>
    <mergeCell ref="F2:J2"/>
    <mergeCell ref="F5:H5"/>
    <mergeCell ref="I5:J5"/>
  </mergeCells>
  <conditionalFormatting sqref="W12:W259">
    <cfRule type="containsText" dxfId="204" priority="28" operator="containsText" text="Existing Value Not Required">
      <formula>NOT(ISERROR(SEARCH("Existing Value Not Required",W12)))</formula>
    </cfRule>
    <cfRule type="containsText" dxfId="203" priority="29" operator="containsText" text="Existing Value Required">
      <formula>NOT(ISERROR(SEARCH("Existing Value Required",W12)))</formula>
    </cfRule>
  </conditionalFormatting>
  <conditionalFormatting sqref="K12:K259">
    <cfRule type="containsText" dxfId="202" priority="27" operator="containsText" text="Spatial">
      <formula>NOT(ISERROR(SEARCH("Spatial",K12)))</formula>
    </cfRule>
  </conditionalFormatting>
  <conditionalFormatting sqref="L12:L259">
    <cfRule type="containsText" dxfId="201" priority="26" operator="containsText" text="Spatial">
      <formula>NOT(ISERROR(SEARCH("Spatial",L12)))</formula>
    </cfRule>
  </conditionalFormatting>
  <conditionalFormatting sqref="M6:Q7 M3">
    <cfRule type="containsText" dxfId="200" priority="25" operator="containsText" text="Note">
      <formula>NOT(ISERROR(SEARCH("Note",M3)))</formula>
    </cfRule>
  </conditionalFormatting>
  <conditionalFormatting sqref="P12:P259">
    <cfRule type="containsText" dxfId="199" priority="23" operator="containsText" text="Check">
      <formula>NOT(ISERROR(SEARCH("Check",P12)))</formula>
    </cfRule>
    <cfRule type="containsText" dxfId="198" priority="24" operator="containsText" text="Error">
      <formula>NOT(ISERROR(SEARCH("Error",P12)))</formula>
    </cfRule>
  </conditionalFormatting>
  <conditionalFormatting sqref="Q12:Q259">
    <cfRule type="containsText" dxfId="197" priority="22" operator="containsText" text="Check">
      <formula>NOT(ISERROR(SEARCH("Check",Q12)))</formula>
    </cfRule>
  </conditionalFormatting>
  <conditionalFormatting sqref="R12:R259">
    <cfRule type="containsText" dxfId="196" priority="21" operator="containsText" text="Check">
      <formula>NOT(ISERROR(SEARCH("Check",R12)))</formula>
    </cfRule>
  </conditionalFormatting>
  <conditionalFormatting sqref="T12:T259">
    <cfRule type="containsText" dxfId="195" priority="19" operator="containsText" text="No - Low Difficulty">
      <formula>NOT(ISERROR(SEARCH("No - Low Difficulty",T12)))</formula>
    </cfRule>
    <cfRule type="containsText" dxfId="194" priority="20" operator="containsText" text="Check">
      <formula>NOT(ISERROR(SEARCH("Check",T12)))</formula>
    </cfRule>
  </conditionalFormatting>
  <conditionalFormatting sqref="E261:J261">
    <cfRule type="containsText" dxfId="193" priority="18" operator="containsText" text="Check">
      <formula>NOT(ISERROR(SEARCH("Check",E261)))</formula>
    </cfRule>
  </conditionalFormatting>
  <conditionalFormatting sqref="Q12:Q259">
    <cfRule type="containsText" dxfId="192" priority="17" operator="containsText" text="30+">
      <formula>NOT(ISERROR(SEARCH("30+",Q12)))</formula>
    </cfRule>
  </conditionalFormatting>
  <conditionalFormatting sqref="I3">
    <cfRule type="containsText" dxfId="191" priority="15" operator="containsText" text="Error">
      <formula>NOT(ISERROR(SEARCH("Error",I3)))</formula>
    </cfRule>
    <cfRule type="containsText" dxfId="190" priority="16" operator="containsText" text="Check">
      <formula>NOT(ISERROR(SEARCH("Check",I3)))</formula>
    </cfRule>
  </conditionalFormatting>
  <conditionalFormatting sqref="I4">
    <cfRule type="containsText" dxfId="189" priority="6" operator="containsText" text="Error">
      <formula>NOT(ISERROR(SEARCH("Error",I4)))</formula>
    </cfRule>
    <cfRule type="containsText" dxfId="188" priority="7" operator="containsText" text="Check">
      <formula>NOT(ISERROR(SEARCH("Check",I4)))</formula>
    </cfRule>
  </conditionalFormatting>
  <conditionalFormatting sqref="I5">
    <cfRule type="containsText" dxfId="187" priority="9" operator="containsText" text="No">
      <formula>NOT(ISERROR(SEARCH("No",I5)))</formula>
    </cfRule>
    <cfRule type="containsText" dxfId="186" priority="10" operator="containsText" text="Yes">
      <formula>NOT(ISERROR(SEARCH("Yes",I5)))</formula>
    </cfRule>
  </conditionalFormatting>
  <conditionalFormatting sqref="I12:I259">
    <cfRule type="containsText" dxfId="185" priority="8" operator="containsText" text="Not possible">
      <formula>NOT(ISERROR(SEARCH("Not possible",I12)))</formula>
    </cfRule>
  </conditionalFormatting>
  <conditionalFormatting sqref="I4:J4">
    <cfRule type="cellIs" dxfId="184" priority="5" operator="equal">
      <formula>0</formula>
    </cfRule>
    <cfRule type="cellIs" dxfId="183" priority="438" operator="lessThan">
      <formula>0</formula>
    </cfRule>
  </conditionalFormatting>
  <conditionalFormatting sqref="I3:J5">
    <cfRule type="containsText" dxfId="182" priority="4" operator="containsText" text="N/A">
      <formula>NOT(ISERROR(SEARCH("N/A",I3)))</formula>
    </cfRule>
  </conditionalFormatting>
  <conditionalFormatting sqref="T1:T1048576">
    <cfRule type="containsText" dxfId="181" priority="1" operator="containsText" text="⚠">
      <formula>NOT(ISERROR(SEARCH("⚠",T1)))</formula>
    </cfRule>
  </conditionalFormatting>
  <dataValidations count="1">
    <dataValidation type="list" allowBlank="1" showInputMessage="1" showErrorMessage="1" sqref="H12:H259" xr:uid="{00000000-0002-0000-1200-000000000000}">
      <formula1>INDIRECT(AG12)</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2" id="{0D0773DD-E195-4EFE-93EC-DEAE45F36D11}">
            <xm:f>#REF!=0</xm:f>
            <x14:dxf>
              <font>
                <color auto="1"/>
              </font>
              <fill>
                <patternFill>
                  <bgColor rgb="FFE0DCD3"/>
                </patternFill>
              </fill>
            </x14:dxf>
          </x14:cfRule>
          <xm:sqref>I4:J4</xm:sqref>
        </x14:conditionalFormatting>
        <x14:conditionalFormatting xmlns:xm="http://schemas.microsoft.com/office/excel/2006/main">
          <x14:cfRule type="cellIs" priority="3" operator="lessThan" id="{96391D0B-65D4-461C-B97E-32341A4ADCD7}">
            <xm:f>Start!$F$22</xm:f>
            <x14:dxf>
              <font>
                <color rgb="FF383745"/>
              </font>
              <fill>
                <patternFill>
                  <bgColor rgb="FFFFC000"/>
                </patternFill>
              </fill>
            </x14:dxf>
          </x14:cfRule>
          <x14:cfRule type="cellIs" priority="439" operator="greaterThanOrEqual" id="{88A1BD4A-F951-4071-B5B8-A7E8DD286AB5}">
            <xm:f>Start!$F$22</xm:f>
            <x14:dxf>
              <font>
                <color rgb="FF383745"/>
              </font>
              <fill>
                <patternFill>
                  <bgColor rgb="FF92D050"/>
                </patternFill>
              </fill>
            </x14:dxf>
          </x14:cfRule>
          <xm:sqref>I4:J4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1000000}">
          <x14:formula1>
            <xm:f>'G-6 Hedgerow Data'!$B$3:$B$15</xm:f>
          </x14:formula1>
          <xm:sqref>D12:D259</xm:sqref>
        </x14:dataValidation>
        <x14:dataValidation type="list" allowBlank="1" showInputMessage="1" showErrorMessage="1" xr:uid="{00000000-0002-0000-1200-000002000000}">
          <x14:formula1>
            <xm:f>'G-3 Multipliers'!$L$4:$L$6</xm:f>
          </x14:formula1>
          <xm:sqref>J12:J259</xm:sqref>
        </x14:dataValidation>
        <x14:dataValidation type="list" allowBlank="1" showInputMessage="1" showErrorMessage="1" xr:uid="{00000000-0002-0000-1200-000004000000}">
          <x14:formula1>
            <xm:f>'G-4 Temporal multipliers'!$A$42:$A$73</xm:f>
          </x14:formula1>
          <xm:sqref>N12:O259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rgb="FF663300"/>
  </sheetPr>
  <dimension ref="A1:AT266"/>
  <sheetViews>
    <sheetView topLeftCell="W1" zoomScaleNormal="80" workbookViewId="0">
      <pane ySplit="11" topLeftCell="A12" activePane="bottomLeft" state="frozen"/>
      <selection activeCell="U12" sqref="U12"/>
      <selection pane="bottomLeft" activeCell="U12" sqref="U12"/>
    </sheetView>
  </sheetViews>
  <sheetFormatPr defaultColWidth="0" defaultRowHeight="0" customHeight="1" zeroHeight="1" x14ac:dyDescent="0.3"/>
  <cols>
    <col min="1" max="1" width="2.81640625" style="15" customWidth="1"/>
    <col min="2" max="2" width="10" style="15" customWidth="1"/>
    <col min="3" max="3" width="53.26953125" style="15" customWidth="1"/>
    <col min="4" max="4" width="9" style="15" customWidth="1"/>
    <col min="5" max="5" width="18.7265625" style="15" customWidth="1"/>
    <col min="6" max="6" width="17.54296875" style="15" customWidth="1"/>
    <col min="7" max="7" width="18.1796875" style="15" customWidth="1"/>
    <col min="8" max="11" width="19.26953125" style="15" customWidth="1"/>
    <col min="12" max="12" width="33.453125" style="15" customWidth="1"/>
    <col min="13" max="13" width="68.7265625" style="15" customWidth="1"/>
    <col min="14" max="15" width="34.26953125" style="15" customWidth="1"/>
    <col min="16" max="16" width="10.26953125" style="15" customWidth="1"/>
    <col min="17" max="17" width="17.54296875" style="15" customWidth="1"/>
    <col min="18" max="18" width="13.1796875" style="15" customWidth="1"/>
    <col min="19" max="19" width="12.54296875" style="15" bestFit="1" customWidth="1"/>
    <col min="20" max="20" width="12.54296875" style="15" customWidth="1"/>
    <col min="21" max="21" width="41.7265625" style="15" customWidth="1"/>
    <col min="22" max="22" width="15.453125" style="15" customWidth="1"/>
    <col min="23" max="23" width="12.26953125" style="15" customWidth="1"/>
    <col min="24" max="24" width="18.81640625" style="15" customWidth="1"/>
    <col min="25" max="25" width="21.7265625" style="15" customWidth="1"/>
    <col min="26" max="26" width="22.81640625" style="15" customWidth="1"/>
    <col min="27" max="27" width="33.54296875" style="15" customWidth="1"/>
    <col min="28" max="28" width="18.81640625" style="15" customWidth="1"/>
    <col min="29" max="29" width="15.26953125" style="15" customWidth="1"/>
    <col min="30" max="30" width="15.7265625" style="15" customWidth="1"/>
    <col min="31" max="31" width="24" style="15" customWidth="1"/>
    <col min="32" max="32" width="22.1796875" style="15" customWidth="1"/>
    <col min="33" max="33" width="13.453125" style="15" customWidth="1"/>
    <col min="34" max="34" width="12.7265625" style="15" customWidth="1"/>
    <col min="35" max="36" width="34.81640625" style="15" customWidth="1"/>
    <col min="37" max="37" width="13.54296875" style="15" customWidth="1"/>
    <col min="38" max="39" width="8.81640625" style="15" customWidth="1"/>
    <col min="40" max="45" width="8.81640625" style="15" hidden="1" customWidth="1"/>
    <col min="46" max="46" width="15.7265625" style="15" hidden="1" customWidth="1"/>
    <col min="47" max="16384" width="8.81640625" style="15" hidden="1"/>
  </cols>
  <sheetData>
    <row r="1" spans="2:46" ht="15.75" customHeight="1" thickBot="1" x14ac:dyDescent="0.35"/>
    <row r="2" spans="2:46" ht="19.899999999999999" customHeight="1" thickBot="1" x14ac:dyDescent="0.35">
      <c r="B2" s="1245" t="str">
        <f>CONCATENATE("Project Name:", " ", Start!F12, "     ", "Map Reference:", " ", Start!K55)</f>
        <v xml:space="preserve">Project Name: Gain Site 2 for Digital     Map Reference: </v>
      </c>
      <c r="C2" s="1246"/>
      <c r="D2" s="1247"/>
      <c r="M2" s="402"/>
      <c r="N2" s="1267" t="s">
        <v>226</v>
      </c>
      <c r="O2" s="1268"/>
      <c r="P2" s="1269"/>
      <c r="X2" s="1171" t="str">
        <f>IF(OR(COUNTIF($X$12:X257,"*30+*")&gt;0,COUNTIF($AB$12:AB257,"*30+*")&gt;0),"Note; Habitat selected has a time to target condition greater than 30 years. Non standard agreement may be required.","")</f>
        <v/>
      </c>
      <c r="Y2" s="1171"/>
      <c r="Z2" s="1171"/>
      <c r="AA2" s="1171"/>
      <c r="AB2" s="1171"/>
      <c r="AC2" s="1171"/>
    </row>
    <row r="3" spans="2:46" ht="21" customHeight="1" x14ac:dyDescent="0.3">
      <c r="B3" s="1221" t="str">
        <f ca="1">MID(CELL("filename",A1),FIND("]",CELL("filename",A1))+1,256)</f>
        <v>B-3 On-Site Hedge Enhancement</v>
      </c>
      <c r="C3" s="1222"/>
      <c r="D3" s="1223"/>
      <c r="N3" s="421" t="s">
        <v>131</v>
      </c>
      <c r="O3" s="1212" t="e">
        <f>#REF!</f>
        <v>#REF!</v>
      </c>
      <c r="P3" s="1213"/>
      <c r="X3" s="1171"/>
      <c r="Y3" s="1171"/>
      <c r="Z3" s="1171"/>
      <c r="AA3" s="1171"/>
      <c r="AB3" s="1171"/>
      <c r="AC3" s="1171"/>
    </row>
    <row r="4" spans="2:46" ht="15.75" customHeight="1" thickBot="1" x14ac:dyDescent="0.35">
      <c r="B4" s="1224"/>
      <c r="C4" s="1225"/>
      <c r="D4" s="1226"/>
      <c r="N4" s="404" t="s">
        <v>133</v>
      </c>
      <c r="O4" s="1257" t="e">
        <f>#REF!</f>
        <v>#REF!</v>
      </c>
      <c r="P4" s="1258"/>
      <c r="V4" s="16"/>
      <c r="W4" s="137"/>
      <c r="X4" s="1171"/>
      <c r="Y4" s="1171"/>
      <c r="Z4" s="1171"/>
      <c r="AA4" s="1171"/>
      <c r="AB4" s="1171"/>
      <c r="AC4" s="1171"/>
      <c r="AD4" s="137"/>
      <c r="AE4" s="137"/>
      <c r="AF4" s="137"/>
      <c r="AG4" s="137"/>
      <c r="AH4" s="137"/>
      <c r="AI4" s="137"/>
      <c r="AJ4" s="137"/>
    </row>
    <row r="5" spans="2:46" ht="15.75" customHeight="1" thickBot="1" x14ac:dyDescent="0.35">
      <c r="N5" s="422" t="s">
        <v>135</v>
      </c>
      <c r="O5" s="917" t="e" cm="1">
        <f t="array" ref="O5">IF(OR('Trading Summary Hedgerows'!G5:H9="No ▲"), "No - check trading summary ▲", "Yes ✓")</f>
        <v>#REF!</v>
      </c>
      <c r="P5" s="1259"/>
      <c r="Q5" s="405"/>
      <c r="X5" s="256"/>
      <c r="Y5" s="256"/>
      <c r="Z5" s="256"/>
      <c r="AA5" s="256"/>
      <c r="AB5" s="256"/>
    </row>
    <row r="6" spans="2:46" ht="15.75" customHeight="1" x14ac:dyDescent="0.3">
      <c r="X6" s="256"/>
      <c r="Y6" s="256"/>
      <c r="Z6" s="256"/>
      <c r="AA6" s="256"/>
      <c r="AB6" s="256"/>
    </row>
    <row r="7" spans="2:46" ht="14" x14ac:dyDescent="0.3">
      <c r="B7" s="86"/>
      <c r="C7" s="86"/>
      <c r="M7" s="85"/>
    </row>
    <row r="8" spans="2:46" ht="19.899999999999999" customHeight="1" thickBot="1" x14ac:dyDescent="0.35"/>
    <row r="9" spans="2:46" ht="14.5" thickBot="1" x14ac:dyDescent="0.35">
      <c r="C9" s="85"/>
      <c r="D9" s="85"/>
      <c r="E9" s="85"/>
      <c r="F9" s="85"/>
      <c r="G9" s="85"/>
      <c r="H9" s="85"/>
      <c r="I9" s="85"/>
      <c r="J9" s="85"/>
      <c r="K9" s="85"/>
      <c r="L9" s="85"/>
      <c r="M9" s="1248" t="s">
        <v>177</v>
      </c>
      <c r="N9" s="1249"/>
      <c r="O9" s="1249"/>
      <c r="P9" s="1249"/>
      <c r="Q9" s="1249"/>
      <c r="R9" s="1249"/>
      <c r="S9" s="1249"/>
      <c r="T9" s="1249"/>
      <c r="U9" s="1249"/>
      <c r="V9" s="1249"/>
      <c r="W9" s="1249"/>
      <c r="X9" s="1249"/>
      <c r="Y9" s="1249"/>
      <c r="Z9" s="1249"/>
      <c r="AA9" s="1249"/>
      <c r="AB9" s="1249"/>
      <c r="AC9" s="1249"/>
      <c r="AD9" s="1249"/>
      <c r="AE9" s="1249"/>
      <c r="AF9" s="1249"/>
      <c r="AG9" s="1250"/>
    </row>
    <row r="10" spans="2:46" ht="28.15" customHeight="1" thickBot="1" x14ac:dyDescent="0.35">
      <c r="B10" s="139"/>
      <c r="C10" s="1240" t="s">
        <v>239</v>
      </c>
      <c r="D10" s="1240"/>
      <c r="E10" s="1240"/>
      <c r="F10" s="1240"/>
      <c r="G10" s="1240"/>
      <c r="H10" s="1240"/>
      <c r="I10" s="1240"/>
      <c r="J10" s="1240"/>
      <c r="K10" s="1240"/>
      <c r="L10" s="1240"/>
      <c r="M10" s="1228" t="s">
        <v>179</v>
      </c>
      <c r="N10" s="1266" t="s">
        <v>199</v>
      </c>
      <c r="O10" s="1266"/>
      <c r="P10" s="1228" t="s">
        <v>28</v>
      </c>
      <c r="Q10" s="947" t="s">
        <v>137</v>
      </c>
      <c r="R10" s="945"/>
      <c r="S10" s="1239" t="s">
        <v>138</v>
      </c>
      <c r="T10" s="945"/>
      <c r="U10" s="1231" t="s">
        <v>139</v>
      </c>
      <c r="V10" s="1231"/>
      <c r="W10" s="1231"/>
      <c r="X10" s="1252" t="s">
        <v>180</v>
      </c>
      <c r="Y10" s="1253"/>
      <c r="Z10" s="1253"/>
      <c r="AA10" s="1253"/>
      <c r="AB10" s="1253"/>
      <c r="AC10" s="1254"/>
      <c r="AD10" s="1241" t="s">
        <v>202</v>
      </c>
      <c r="AE10" s="1241"/>
      <c r="AF10" s="1241"/>
      <c r="AG10" s="1241"/>
      <c r="AH10" s="1241" t="s">
        <v>236</v>
      </c>
      <c r="AI10" s="1236" t="s">
        <v>144</v>
      </c>
      <c r="AJ10" s="1237"/>
      <c r="AK10" s="1238"/>
    </row>
    <row r="11" spans="2:46" ht="61.5" customHeight="1" thickBot="1" x14ac:dyDescent="0.35">
      <c r="B11" s="121" t="s">
        <v>204</v>
      </c>
      <c r="C11" s="126" t="s">
        <v>205</v>
      </c>
      <c r="D11" s="126" t="s">
        <v>28</v>
      </c>
      <c r="E11" s="126" t="s">
        <v>207</v>
      </c>
      <c r="F11" s="126" t="s">
        <v>208</v>
      </c>
      <c r="G11" s="126" t="s">
        <v>209</v>
      </c>
      <c r="H11" s="126" t="s">
        <v>210</v>
      </c>
      <c r="I11" s="126" t="s">
        <v>211</v>
      </c>
      <c r="J11" s="126" t="s">
        <v>212</v>
      </c>
      <c r="K11" s="126" t="s">
        <v>213</v>
      </c>
      <c r="L11" s="125" t="s">
        <v>140</v>
      </c>
      <c r="M11" s="1228"/>
      <c r="N11" s="113" t="s">
        <v>240</v>
      </c>
      <c r="O11" s="507" t="s">
        <v>241</v>
      </c>
      <c r="P11" s="1228"/>
      <c r="Q11" s="107" t="s">
        <v>137</v>
      </c>
      <c r="R11" s="580" t="s">
        <v>154</v>
      </c>
      <c r="S11" s="584" t="s">
        <v>138</v>
      </c>
      <c r="T11" s="580" t="s">
        <v>154</v>
      </c>
      <c r="U11" s="113" t="s">
        <v>139</v>
      </c>
      <c r="V11" s="562" t="s">
        <v>139</v>
      </c>
      <c r="W11" s="507" t="s">
        <v>183</v>
      </c>
      <c r="X11" s="113" t="s">
        <v>238</v>
      </c>
      <c r="Y11" s="562" t="s">
        <v>224</v>
      </c>
      <c r="Z11" s="562" t="s">
        <v>219</v>
      </c>
      <c r="AA11" s="562" t="s">
        <v>187</v>
      </c>
      <c r="AB11" s="562" t="s">
        <v>188</v>
      </c>
      <c r="AC11" s="507" t="s">
        <v>242</v>
      </c>
      <c r="AD11" s="113" t="s">
        <v>243</v>
      </c>
      <c r="AE11" s="562" t="s">
        <v>1491</v>
      </c>
      <c r="AF11" s="562" t="s">
        <v>244</v>
      </c>
      <c r="AG11" s="507" t="s">
        <v>193</v>
      </c>
      <c r="AH11" s="1265"/>
      <c r="AI11" s="581" t="s">
        <v>163</v>
      </c>
      <c r="AJ11" s="680" t="s">
        <v>164</v>
      </c>
      <c r="AK11" s="586" t="s">
        <v>1539</v>
      </c>
      <c r="AT11" s="85" t="s">
        <v>148</v>
      </c>
    </row>
    <row r="12" spans="2:46" ht="14" x14ac:dyDescent="0.3">
      <c r="B12" s="582" t="str">
        <f>'B-1 On-Site Hedge Baseline'!AK10</f>
        <v/>
      </c>
      <c r="C12" s="298" t="str">
        <f>IF(B12="","",IF(ISNA(VLOOKUP($B12,'B-1 On-Site Hedge Baseline'!$B$1:$L$257,3,FALSE)),"",(VLOOKUP($B12,'B-1 On-Site Hedge Baseline'!$B$1:$L$257,3,FALSE))))</f>
        <v/>
      </c>
      <c r="D12" s="298" t="str">
        <f>IF(B12="","",IF(ISNA(VLOOKUP($B12,'B-1 On-Site Hedge Baseline'!$B$1:$L$257,4,FALSE)),"",(VLOOKUP($B12,'B-1 On-Site Hedge Baseline'!$B$1:$L$257,4,FALSE))))</f>
        <v/>
      </c>
      <c r="E12" s="298" t="str">
        <f>IF(B12="","",IF(ISNA(VLOOKUP($B12,'B-1 On-Site Hedge Baseline'!$B$1:$L$257,5,FALSE)),"",(VLOOKUP($B12,'B-1 On-Site Hedge Baseline'!$B$1:$L$257,5,FALSE))))</f>
        <v/>
      </c>
      <c r="F12" s="298" t="str">
        <f>IF(B12="","",IF(ISNA(VLOOKUP($B12,'B-1 On-Site Hedge Baseline'!$B$1:$L$257,6,FALSE)),"",(VLOOKUP($B12,'B-1 On-Site Hedge Baseline'!$B$1:$L$257,6,FALSE))))</f>
        <v/>
      </c>
      <c r="G12" s="298" t="str">
        <f>IF(B12="","",IF(ISNA(VLOOKUP($B12,'B-1 On-Site Hedge Baseline'!$B$1:$L$257,7,FALSE)),"",(VLOOKUP($B12,'B-1 On-Site Hedge Baseline'!$B$1:$L$257,7,FALSE))))</f>
        <v/>
      </c>
      <c r="H12" s="298" t="str">
        <f>IF(B12="","",IF(ISNA(VLOOKUP($B12,'B-1 On-Site Hedge Baseline'!$B$1:$L$257,8,FALSE)),"",(VLOOKUP($B12,'B-1 On-Site Hedge Baseline'!$B$1:$L$257,8,FALSE))))</f>
        <v/>
      </c>
      <c r="I12" s="298" t="str">
        <f>IF(B12="","",IF(ISNA(VLOOKUP($B12,'B-1 On-Site Hedge Baseline'!$B$1:$L$257,10,FALSE)),"",(VLOOKUP($B12,'B-1 On-Site Hedge Baseline'!$B$1:$L$257,10,FALSE))))</f>
        <v/>
      </c>
      <c r="J12" s="298" t="str">
        <f>IF(B12="","",IF(ISNA(VLOOKUP($B12,'B-1 On-Site Hedge Baseline'!$B$1:$L$257,11,FALSE)),"",(VLOOKUP($B12,'B-1 On-Site Hedge Baseline'!$B$1:$L$257,11,FALSE))))</f>
        <v/>
      </c>
      <c r="K12" s="298" t="str">
        <f>IF(B12="","",IF(ISNA(VLOOKUP($B12,'B-1 On-Site Hedge Baseline'!$B$1:$U$257,13,FALSE)),"",(VLOOKUP($B12,'B-1 On-Site Hedge Baseline'!$B$1:$U$257,13,FALSE))))</f>
        <v/>
      </c>
      <c r="L12" s="291" t="str">
        <f>IF(B12="","",IF(ISNA(VLOOKUP($B12,'B-1 On-Site Hedge Baseline'!$B$1:$U$257,12,FALSE)),"",(VLOOKUP($B12,'B-1 On-Site Hedge Baseline'!$B$1:$U$257,12,FALSE))))</f>
        <v/>
      </c>
      <c r="M12" s="583"/>
      <c r="N12" s="290" t="str">
        <f>IFERROR(IF(B12="","",INDEX('G-6 Hedgerow Data'!$AN$3:$AZ$15,MATCH(C12,'G-6 Hedgerow Data'!$AM$3:$AM$15,0),MATCH(M12,'G-6 Hedgerow Data'!$AN$2:$AZ$2,0))),"")</f>
        <v/>
      </c>
      <c r="O12" s="291" t="str">
        <f>IFERROR(IF(B12="","",IF(AND(LEFT(C12,55)&lt;&gt;LEFT(M12,55),N12="High - High"),"Error - Not like for like ▲",IF(H12&gt;T12,"Error - Can not reduce condition ▲",IF(AND(F12=R12,H12=T12),"Error - No enhancement ▲",IF(AND(C12&lt;&gt;M12,F12&lt;R12),"Lower Distinctiveness Habitat"&amp;" - "&amp;S12,G12&amp;" - "&amp;S12))))),"")</f>
        <v/>
      </c>
      <c r="P12" s="341" t="str">
        <f>IF(B12="","",VLOOKUP(B12,'B-1 On-Site Hedge Baseline'!$B$10:T257,16,FALSE))</f>
        <v/>
      </c>
      <c r="Q12" s="290" t="str">
        <f>IF(M12="","",VLOOKUP(M12,'G-6 Hedgerow Data'!$B$2:$AG$15,2,FALSE))</f>
        <v/>
      </c>
      <c r="R12" s="291" t="str">
        <f>IF(M12="","",VLOOKUP(M12,'G-6 Hedgerow Data'!$B$2:$AG$15,3,FALSE))</f>
        <v/>
      </c>
      <c r="S12" s="95"/>
      <c r="T12" s="328" t="str">
        <f>IFERROR(IF(S12="","",IF(AND(M12="Non-native and ornamental hedgerow", S12&lt;&gt;"Poor"),"Not possible ▲", (VLOOKUP(S12,'G-1 All Habitats'!$Z$2:$AA$9,2,FALSE)))),"")</f>
        <v/>
      </c>
      <c r="U12" s="95"/>
      <c r="V12" s="298" t="str">
        <f>IF(U12="","",IF(VLOOKUP(U12,'G-3 Multipliers'!$L$3:$N$6,2,FALSE)=0,"Spatial Data Missing ⚠",VLOOKUP(U12,'G-3 Multipliers'!$L$3:$N$6,2,FALSE)))</f>
        <v/>
      </c>
      <c r="W12" s="291" t="str">
        <f>IF(U12="","",IF(VLOOKUP(U12,'G-3 Multipliers'!$L$3:$N$6,3,FALSE)=0,"Spatial Data Missing ⚠",VLOOKUP(U12,'G-3 Multipliers'!$L$3:$N$6,3,FALSE)))</f>
        <v/>
      </c>
      <c r="X12" s="290" t="str">
        <f>IFERROR(IF(OR(LEFT(O12,5)="Error",LEFT(N12,5)="Error",T12="Error"),"Check Data ⚠",IF(F12&lt;R12,INDEX('G-6 Hedgerow Data'!$S$3:$AE$14,MATCH(C12,'G-6 Hedgerow Data'!$B$3:$B$14,0),MATCH(M12,'G-6 Hedgerow Data'!$S$2:$AE$2,0)),INDEX('G-6 Hedgerow Data'!$K$3:$Q$14,MATCH(M12,'G-6 Hedgerow Data'!$B$3:$B$14,0),MATCH(O12,'G-6 Hedgerow Data'!$K$2:$Q$2,0)))),"")</f>
        <v/>
      </c>
      <c r="Y12" s="138"/>
      <c r="Z12" s="138"/>
      <c r="AA12" s="298" t="str">
        <f>IF(X12="Check Data ⚠","Check Data ⚠",IF(M12="","",IF(AND(Y12&gt;0,Z12&gt;0),"Error -both advance and delayed habitat creation ▲",IF(AND(OR(Y12="Habitat already in target condition",X12&lt;=Y12),Z12=0),"Check details - Is there evidence that habitat has reached target condition? ⚠",IF(X12="","",IF(Y12&gt;0,"Check details - Is there evidence habitat creation started/in place? ⚠",IF(Z12&gt;0,"Check details- Delay in starting habitat in required condition? ⚠","Standard time to target condition applied")))))))</f>
        <v/>
      </c>
      <c r="AB12" s="311" t="str">
        <f>IF(X12="","",IF(AA12="Check Data ⚠","Check Data ⚠",IF(Y12="30+",0,IF(Z12="30+","30+ ⚠",IF(X12+Z12&gt;30,"30+",IF(AA12="Error -both advance and delayed habitat creation ▲","Check Data ⚠",IF(X12+Z12-Y12&gt;0,X12+Z12-Y12,IF(X12-Y12&lt;=0,0,))))))))</f>
        <v/>
      </c>
      <c r="AC12" s="312" t="str">
        <f t="shared" ref="AC12:AC75" si="0">IF(OR(S12="",M12=""),"",IF(LEFT(AB12,5)="Error ▲","Check Data ⚠",IF(AB12="Check Data ⚠","Check Data ⚠",VLOOKUP(AB12,TemporalMultipliers,3,FALSE))))</f>
        <v/>
      </c>
      <c r="AD12" s="290" t="str">
        <f>IF(M12="","",VLOOKUP(M12,'G-6 Hedgerow Data'!$B$3:$AG$15,31,FALSE))</f>
        <v/>
      </c>
      <c r="AE12" s="298" t="str">
        <f>IF(M12="","",IF(OR(LEFT(AA12,5)="Error ▲",AA12="Check Data ⚠"),"Check Data ⚠",IF(X12="","",IF($AA12="Check details - Is there evidence that habitat has reached target condition? ⚠","Low Difficulty - only applicable if all habitat created before losses ⚠","Standard difficulty applied"))))</f>
        <v/>
      </c>
      <c r="AF12" s="298" t="str">
        <f>(IF(AND(AE12="Standard difficulty applied",X12&gt;Y12),AD12,IF(AND(AE12="Low Difficulty - only applicable if all habitat created before losses ⚠",Y12&gt;=X12),"Low",AD12)))</f>
        <v/>
      </c>
      <c r="AG12" s="291" t="str">
        <f>IFERROR(IF(O12="","",VLOOKUP(AD12,'G-3 Multipliers'!$P$3:$Q$6,2,FALSE)),"")</f>
        <v/>
      </c>
      <c r="AH12" s="304" t="str">
        <f>IFERROR(IF(K12="Check data ⚠", "Check data ⚠", (IF(OR(M12="",S12="",U12=""),"",(((((P12*R12*T12)-(P12*F12*H12))*(AG12*AC12))+(P12*F12*H12))*(W12))))),"")</f>
        <v/>
      </c>
      <c r="AI12" s="258"/>
      <c r="AJ12" s="164"/>
      <c r="AK12" s="99"/>
      <c r="AT12" s="15" t="str">
        <f>IFERROR(INDEX('G-6 Hedgerow Data'!$BJ$3:$BJ$15,MATCH(M12,'G-6 Hedgerow Data'!$B$3:$B$15,0)),"")</f>
        <v/>
      </c>
    </row>
    <row r="13" spans="2:46" ht="14" x14ac:dyDescent="0.3">
      <c r="B13" s="319" t="str">
        <f>'B-1 On-Site Hedge Baseline'!AK11</f>
        <v/>
      </c>
      <c r="C13" s="310" t="str">
        <f>IF(B13="","",IF(ISNA(VLOOKUP($B13,'B-1 On-Site Hedge Baseline'!$B$1:$L$257,3,FALSE)),"",(VLOOKUP($B13,'B-1 On-Site Hedge Baseline'!$B$1:$L$257,3,FALSE))))</f>
        <v/>
      </c>
      <c r="D13" s="310" t="str">
        <f>IF(B13="","",IF(ISNA(VLOOKUP($B13,'B-1 On-Site Hedge Baseline'!$B$1:$L$257,4,FALSE)),"",(VLOOKUP($B13,'B-1 On-Site Hedge Baseline'!$B$1:$L$257,4,FALSE))))</f>
        <v/>
      </c>
      <c r="E13" s="310" t="str">
        <f>IF(B13="","",IF(ISNA(VLOOKUP($B13,'B-1 On-Site Hedge Baseline'!$B$1:$L$257,5,FALSE)),"",(VLOOKUP($B13,'B-1 On-Site Hedge Baseline'!$B$1:$L$257,5,FALSE))))</f>
        <v/>
      </c>
      <c r="F13" s="310" t="str">
        <f>IF(B13="","",IF(ISNA(VLOOKUP($B13,'B-1 On-Site Hedge Baseline'!$B$1:$L$257,6,FALSE)),"",(VLOOKUP($B13,'B-1 On-Site Hedge Baseline'!$B$1:$L$257,6,FALSE))))</f>
        <v/>
      </c>
      <c r="G13" s="310" t="str">
        <f>IF(B13="","",IF(ISNA(VLOOKUP($B13,'B-1 On-Site Hedge Baseline'!$B$1:$L$257,7,FALSE)),"",(VLOOKUP($B13,'B-1 On-Site Hedge Baseline'!$B$1:$L$257,7,FALSE))))</f>
        <v/>
      </c>
      <c r="H13" s="310" t="str">
        <f>IF(B13="","",IF(ISNA(VLOOKUP($B13,'B-1 On-Site Hedge Baseline'!$B$1:$L$257,8,FALSE)),"",(VLOOKUP($B13,'B-1 On-Site Hedge Baseline'!$B$1:$L$257,8,FALSE))))</f>
        <v/>
      </c>
      <c r="I13" s="310" t="str">
        <f>IF(B13="","",IF(ISNA(VLOOKUP($B13,'B-1 On-Site Hedge Baseline'!$B$1:$L$257,10,FALSE)),"",(VLOOKUP($B13,'B-1 On-Site Hedge Baseline'!$B$1:$L$257,10,FALSE))))</f>
        <v/>
      </c>
      <c r="J13" s="310" t="str">
        <f>IF(B13="","",IF(ISNA(VLOOKUP($B13,'B-1 On-Site Hedge Baseline'!$B$1:$L$257,11,FALSE)),"",(VLOOKUP($B13,'B-1 On-Site Hedge Baseline'!$B$1:$L$257,11,FALSE))))</f>
        <v/>
      </c>
      <c r="K13" s="310" t="str">
        <f>IF(B13="","",IF(ISNA(VLOOKUP($B13,'B-1 On-Site Hedge Baseline'!$B$1:$U$257,13,FALSE)),"",(VLOOKUP($B13,'B-1 On-Site Hedge Baseline'!$B$1:$U$257,13,FALSE))))</f>
        <v/>
      </c>
      <c r="L13" s="314" t="str">
        <f>IF(B13="","",IF(ISNA(VLOOKUP($B13,'B-1 On-Site Hedge Baseline'!$B$1:$U$257,12,FALSE)),"",(VLOOKUP($B13,'B-1 On-Site Hedge Baseline'!$B$1:$U$257,12,FALSE))))</f>
        <v/>
      </c>
      <c r="M13" s="583"/>
      <c r="N13" s="290" t="str">
        <f>IFERROR(IF(B13="","",INDEX('G-6 Hedgerow Data'!$AN$3:$AZ$15,MATCH(C13,'G-6 Hedgerow Data'!$AM$3:$AM$15,0),MATCH(M13,'G-6 Hedgerow Data'!$AN$2:$AZ$2,0))),"")</f>
        <v/>
      </c>
      <c r="O13" s="291" t="str">
        <f t="shared" ref="O13:O76" si="1">IFERROR(IF(B13="","",IF(AND(LEFT(C13,55)&lt;&gt;LEFT(M13,55),N13="High - High"),"Error - Not like for like ▲",IF(H13&gt;T13,"Error - Can not reduce condition ▲",IF(AND(F13=R13,H13=T13),"Error - No enhancement ▲",IF(AND(C13&lt;&gt;M13,F13&lt;R13),"Lower Distinctiveness Habitat"&amp;" - "&amp;S13,G13&amp;" - "&amp;S13))))),"")</f>
        <v/>
      </c>
      <c r="P13" s="341" t="str">
        <f>IF(B13="","",VLOOKUP(B13,'B-1 On-Site Hedge Baseline'!$B$10:T258,16,FALSE))</f>
        <v/>
      </c>
      <c r="Q13" s="290" t="str">
        <f>IF(M13="","",VLOOKUP(M13,'G-6 Hedgerow Data'!$B$2:$AG$15,2,FALSE))</f>
        <v/>
      </c>
      <c r="R13" s="291" t="str">
        <f>IF(M13="","",VLOOKUP(M13,'G-6 Hedgerow Data'!$B$2:$AG$15,3,FALSE))</f>
        <v/>
      </c>
      <c r="S13" s="95"/>
      <c r="T13" s="328" t="str">
        <f>IFERROR(IF(S13="","",IF(AND(M13="Non-native and ornamental hedgerow", S13&lt;&gt;"Poor"),"Not possible ▲", (VLOOKUP(S13,'G-1 All Habitats'!$Z$2:$AA$9,2,FALSE)))),"")</f>
        <v/>
      </c>
      <c r="U13" s="95"/>
      <c r="V13" s="310" t="str">
        <f>IF(U13="","",IF(VLOOKUP(U13,'G-3 Multipliers'!$L$3:$N$6,2,FALSE)=0,"Spatial Data Missing ⚠",VLOOKUP(U13,'G-3 Multipliers'!$L$3:$N$6,2,FALSE)))</f>
        <v/>
      </c>
      <c r="W13" s="314" t="str">
        <f>IF(U13="","",IF(VLOOKUP(U13,'G-3 Multipliers'!$L$3:$N$6,3,FALSE)=0,"Spatial Data Missing ⚠",VLOOKUP(U13,'G-3 Multipliers'!$L$3:$N$6,3,FALSE)))</f>
        <v/>
      </c>
      <c r="X13" s="290" t="str">
        <f>IFERROR(IF(OR(LEFT(O13,5)="Error",LEFT(N13,5)="Error",T13="Error"),"Check Data ⚠",IF(F13&lt;R13,INDEX('G-6 Hedgerow Data'!$S$3:$AE$14,MATCH(C13,'G-6 Hedgerow Data'!$B$3:$B$14,0),MATCH(M13,'G-6 Hedgerow Data'!$S$2:$AE$2,0)),INDEX('G-6 Hedgerow Data'!$K$3:$Q$14,MATCH(M13,'G-6 Hedgerow Data'!$B$3:$B$14,0),MATCH(O13,'G-6 Hedgerow Data'!$K$2:$Q$2,0)))),"")</f>
        <v/>
      </c>
      <c r="Y13" s="138"/>
      <c r="Z13" s="138"/>
      <c r="AA13" s="298" t="str">
        <f t="shared" ref="AA13:AA76" si="2">IF(X13="Check Data ⚠","Check Data ⚠",IF(M13="","",IF(AND(Y13&gt;0,Z13&gt;0),"Error -both advance and delayed habitat creation ▲",IF(AND(OR(Y13="Habitat already in target condition",X13&lt;=Y13),Z13=0),"Check details - Is there evidence that habitat has reached target condition? ⚠",IF(X13="","",IF(Y13&gt;0,"Check details - Is there evidence habitat creation started/in place? ⚠",IF(Z13&gt;0,"Check details- Delay in starting habitat in required condition? ⚠","Standard time to target condition applied")))))))</f>
        <v/>
      </c>
      <c r="AB13" s="311" t="str">
        <f t="shared" ref="AB13:AB76" si="3">IF(X13="","",IF(AA13="Check Data ⚠","Check Data ⚠",IF(Y13="30+",0,IF(Z13="30+","30+ ⚠",IF(X13+Z13&gt;30,"30+",IF(AA13="Error -both advance and delayed habitat creation ▲","Check Data ⚠",IF(X13+Z13-Y13&gt;0,X13+Z13-Y13,IF(X13-Y13&lt;=0,0,))))))))</f>
        <v/>
      </c>
      <c r="AC13" s="312" t="str">
        <f t="shared" si="0"/>
        <v/>
      </c>
      <c r="AD13" s="325" t="str">
        <f>IF(M13="","",VLOOKUP(M13,'G-6 Hedgerow Data'!$B$3:$AG$15,31,FALSE))</f>
        <v/>
      </c>
      <c r="AE13" s="298" t="str">
        <f t="shared" ref="AE13:AE76" si="4">IF(M13="","",IF(OR(LEFT(AA13,5)="Error ▲",AA13="Check Data ⚠"),"Check Data ⚠",IF(X13="","",IF($AA13="Check details - Is there evidence that habitat has reached target condition? ⚠","Low Difficulty - only applicable if all habitat created before losses ⚠","Standard difficulty applied"))))</f>
        <v/>
      </c>
      <c r="AF13" s="298" t="str">
        <f t="shared" ref="AF13:AF76" si="5">(IF(AND(AE13="Standard difficulty applied",X13&gt;Y13),AD13,IF(AND(AE13="Low Difficulty - only applicable if all habitat created before losses ⚠",Y13&gt;=X13),"Low",AD13)))</f>
        <v/>
      </c>
      <c r="AG13" s="314" t="str">
        <f>IFERROR(IF(O13="","",VLOOKUP(AD13,'G-3 Multipliers'!$P$3:$Q$6,2,FALSE)),"")</f>
        <v/>
      </c>
      <c r="AH13" s="304" t="str">
        <f t="shared" ref="AH13:AH76" si="6">IFERROR(IF(K13="Check data ⚠", "Check data ⚠", (IF(OR(M13="",S13="",U13=""),"",(((((P13*R13*T13)-(P13*F13*H13))*(AG13*AC13))+(P13*F13*H13))*(W13))))),"")</f>
        <v/>
      </c>
      <c r="AI13" s="258"/>
      <c r="AJ13" s="164"/>
      <c r="AK13" s="101"/>
      <c r="AT13" s="15" t="str">
        <f>IFERROR(INDEX('G-6 Hedgerow Data'!$BJ$3:$BJ$15,MATCH(M13,'G-6 Hedgerow Data'!$B$3:$B$15,0)),"")</f>
        <v/>
      </c>
    </row>
    <row r="14" spans="2:46" ht="14" x14ac:dyDescent="0.3">
      <c r="B14" s="319" t="str">
        <f>'B-1 On-Site Hedge Baseline'!AK12</f>
        <v/>
      </c>
      <c r="C14" s="310" t="str">
        <f>IF(B14="","",IF(ISNA(VLOOKUP($B14,'B-1 On-Site Hedge Baseline'!$B$1:$L$257,3,FALSE)),"",(VLOOKUP($B14,'B-1 On-Site Hedge Baseline'!$B$1:$L$257,3,FALSE))))</f>
        <v/>
      </c>
      <c r="D14" s="310" t="str">
        <f>IF(B14="","",IF(ISNA(VLOOKUP($B14,'B-1 On-Site Hedge Baseline'!$B$1:$L$257,4,FALSE)),"",(VLOOKUP($B14,'B-1 On-Site Hedge Baseline'!$B$1:$L$257,4,FALSE))))</f>
        <v/>
      </c>
      <c r="E14" s="310" t="str">
        <f>IF(B14="","",IF(ISNA(VLOOKUP($B14,'B-1 On-Site Hedge Baseline'!$B$1:$L$257,5,FALSE)),"",(VLOOKUP($B14,'B-1 On-Site Hedge Baseline'!$B$1:$L$257,5,FALSE))))</f>
        <v/>
      </c>
      <c r="F14" s="310" t="str">
        <f>IF(B14="","",IF(ISNA(VLOOKUP($B14,'B-1 On-Site Hedge Baseline'!$B$1:$L$257,6,FALSE)),"",(VLOOKUP($B14,'B-1 On-Site Hedge Baseline'!$B$1:$L$257,6,FALSE))))</f>
        <v/>
      </c>
      <c r="G14" s="310" t="str">
        <f>IF(B14="","",IF(ISNA(VLOOKUP($B14,'B-1 On-Site Hedge Baseline'!$B$1:$L$257,7,FALSE)),"",(VLOOKUP($B14,'B-1 On-Site Hedge Baseline'!$B$1:$L$257,7,FALSE))))</f>
        <v/>
      </c>
      <c r="H14" s="310" t="str">
        <f>IF(B14="","",IF(ISNA(VLOOKUP($B14,'B-1 On-Site Hedge Baseline'!$B$1:$L$257,8,FALSE)),"",(VLOOKUP($B14,'B-1 On-Site Hedge Baseline'!$B$1:$L$257,8,FALSE))))</f>
        <v/>
      </c>
      <c r="I14" s="310" t="str">
        <f>IF(B14="","",IF(ISNA(VLOOKUP($B14,'B-1 On-Site Hedge Baseline'!$B$1:$L$257,10,FALSE)),"",(VLOOKUP($B14,'B-1 On-Site Hedge Baseline'!$B$1:$L$257,10,FALSE))))</f>
        <v/>
      </c>
      <c r="J14" s="310" t="str">
        <f>IF(B14="","",IF(ISNA(VLOOKUP($B14,'B-1 On-Site Hedge Baseline'!$B$1:$L$257,11,FALSE)),"",(VLOOKUP($B14,'B-1 On-Site Hedge Baseline'!$B$1:$L$257,11,FALSE))))</f>
        <v/>
      </c>
      <c r="K14" s="310" t="str">
        <f>IF(B14="","",IF(ISNA(VLOOKUP($B14,'B-1 On-Site Hedge Baseline'!$B$1:$U$257,13,FALSE)),"",(VLOOKUP($B14,'B-1 On-Site Hedge Baseline'!$B$1:$U$257,13,FALSE))))</f>
        <v/>
      </c>
      <c r="L14" s="314" t="str">
        <f>IF(B14="","",IF(ISNA(VLOOKUP($B14,'B-1 On-Site Hedge Baseline'!$B$1:$U$257,12,FALSE)),"",(VLOOKUP($B14,'B-1 On-Site Hedge Baseline'!$B$1:$U$257,12,FALSE))))</f>
        <v/>
      </c>
      <c r="M14" s="583"/>
      <c r="N14" s="290" t="str">
        <f>IFERROR(IF(B14="","",INDEX('G-6 Hedgerow Data'!$AN$3:$AZ$15,MATCH(C14,'G-6 Hedgerow Data'!$AM$3:$AM$15,0),MATCH(M14,'G-6 Hedgerow Data'!$AN$2:$AZ$2,0))),"")</f>
        <v/>
      </c>
      <c r="O14" s="291" t="str">
        <f t="shared" si="1"/>
        <v/>
      </c>
      <c r="P14" s="341" t="str">
        <f>IF(B14="","",VLOOKUP(B14,'B-1 On-Site Hedge Baseline'!$B$10:T259,16,FALSE))</f>
        <v/>
      </c>
      <c r="Q14" s="290" t="str">
        <f>IF(M14="","",VLOOKUP(M14,'G-6 Hedgerow Data'!$B$2:$AG$15,2,FALSE))</f>
        <v/>
      </c>
      <c r="R14" s="291" t="str">
        <f>IF(M14="","",VLOOKUP(M14,'G-6 Hedgerow Data'!$B$2:$AG$15,3,FALSE))</f>
        <v/>
      </c>
      <c r="S14" s="95"/>
      <c r="T14" s="328" t="str">
        <f>IFERROR(IF(S14="","",IF(AND(M14="Non-native and ornamental hedgerow", S14&lt;&gt;"Poor"),"Not possible ▲", (VLOOKUP(S14,'G-1 All Habitats'!$Z$2:$AA$9,2,FALSE)))),"")</f>
        <v/>
      </c>
      <c r="U14" s="95"/>
      <c r="V14" s="310" t="str">
        <f>IF(U14="","",IF(VLOOKUP(U14,'G-3 Multipliers'!$L$3:$N$6,2,FALSE)=0,"Spatial Data Missing ⚠",VLOOKUP(U14,'G-3 Multipliers'!$L$3:$N$6,2,FALSE)))</f>
        <v/>
      </c>
      <c r="W14" s="314" t="str">
        <f>IF(U14="","",IF(VLOOKUP(U14,'G-3 Multipliers'!$L$3:$N$6,3,FALSE)=0,"Spatial Data Missing ⚠",VLOOKUP(U14,'G-3 Multipliers'!$L$3:$N$6,3,FALSE)))</f>
        <v/>
      </c>
      <c r="X14" s="290" t="str">
        <f>IFERROR(IF(OR(LEFT(O14,5)="Error",LEFT(N14,5)="Error",T14="Error"),"Check Data ⚠",IF(F14&lt;R14,INDEX('G-6 Hedgerow Data'!$S$3:$AE$14,MATCH(C14,'G-6 Hedgerow Data'!$B$3:$B$14,0),MATCH(M14,'G-6 Hedgerow Data'!$S$2:$AE$2,0)),INDEX('G-6 Hedgerow Data'!$K$3:$Q$14,MATCH(M14,'G-6 Hedgerow Data'!$B$3:$B$14,0),MATCH(O14,'G-6 Hedgerow Data'!$K$2:$Q$2,0)))),"")</f>
        <v/>
      </c>
      <c r="Y14" s="138"/>
      <c r="Z14" s="138"/>
      <c r="AA14" s="298" t="str">
        <f t="shared" si="2"/>
        <v/>
      </c>
      <c r="AB14" s="311" t="str">
        <f t="shared" si="3"/>
        <v/>
      </c>
      <c r="AC14" s="312" t="str">
        <f t="shared" si="0"/>
        <v/>
      </c>
      <c r="AD14" s="325" t="str">
        <f>IF(M14="","",VLOOKUP(M14,'G-6 Hedgerow Data'!$B$3:$AG$15,31,FALSE))</f>
        <v/>
      </c>
      <c r="AE14" s="298" t="str">
        <f t="shared" si="4"/>
        <v/>
      </c>
      <c r="AF14" s="298" t="str">
        <f t="shared" si="5"/>
        <v/>
      </c>
      <c r="AG14" s="314" t="str">
        <f>IFERROR(IF(O14="","",VLOOKUP(AD14,'G-3 Multipliers'!$P$3:$Q$6,2,FALSE)),"")</f>
        <v/>
      </c>
      <c r="AH14" s="304" t="str">
        <f t="shared" si="6"/>
        <v/>
      </c>
      <c r="AI14" s="258"/>
      <c r="AJ14" s="164"/>
      <c r="AK14" s="101"/>
      <c r="AT14" s="15" t="str">
        <f>IFERROR(INDEX('G-6 Hedgerow Data'!$BJ$3:$BJ$15,MATCH(M14,'G-6 Hedgerow Data'!$B$3:$B$15,0)),"")</f>
        <v/>
      </c>
    </row>
    <row r="15" spans="2:46" ht="14" x14ac:dyDescent="0.3">
      <c r="B15" s="319" t="str">
        <f>'B-1 On-Site Hedge Baseline'!AK13</f>
        <v/>
      </c>
      <c r="C15" s="310" t="str">
        <f>IF(B15="","",IF(ISNA(VLOOKUP($B15,'B-1 On-Site Hedge Baseline'!$B$1:$L$257,3,FALSE)),"",(VLOOKUP($B15,'B-1 On-Site Hedge Baseline'!$B$1:$L$257,3,FALSE))))</f>
        <v/>
      </c>
      <c r="D15" s="310" t="str">
        <f>IF(B15="","",IF(ISNA(VLOOKUP($B15,'B-1 On-Site Hedge Baseline'!$B$1:$L$257,4,FALSE)),"",(VLOOKUP($B15,'B-1 On-Site Hedge Baseline'!$B$1:$L$257,4,FALSE))))</f>
        <v/>
      </c>
      <c r="E15" s="310" t="str">
        <f>IF(B15="","",IF(ISNA(VLOOKUP($B15,'B-1 On-Site Hedge Baseline'!$B$1:$L$257,5,FALSE)),"",(VLOOKUP($B15,'B-1 On-Site Hedge Baseline'!$B$1:$L$257,5,FALSE))))</f>
        <v/>
      </c>
      <c r="F15" s="310" t="str">
        <f>IF(B15="","",IF(ISNA(VLOOKUP($B15,'B-1 On-Site Hedge Baseline'!$B$1:$L$257,6,FALSE)),"",(VLOOKUP($B15,'B-1 On-Site Hedge Baseline'!$B$1:$L$257,6,FALSE))))</f>
        <v/>
      </c>
      <c r="G15" s="310" t="str">
        <f>IF(B15="","",IF(ISNA(VLOOKUP($B15,'B-1 On-Site Hedge Baseline'!$B$1:$L$257,7,FALSE)),"",(VLOOKUP($B15,'B-1 On-Site Hedge Baseline'!$B$1:$L$257,7,FALSE))))</f>
        <v/>
      </c>
      <c r="H15" s="310" t="str">
        <f>IF(B15="","",IF(ISNA(VLOOKUP($B15,'B-1 On-Site Hedge Baseline'!$B$1:$L$257,8,FALSE)),"",(VLOOKUP($B15,'B-1 On-Site Hedge Baseline'!$B$1:$L$257,8,FALSE))))</f>
        <v/>
      </c>
      <c r="I15" s="310" t="str">
        <f>IF(B15="","",IF(ISNA(VLOOKUP($B15,'B-1 On-Site Hedge Baseline'!$B$1:$L$257,10,FALSE)),"",(VLOOKUP($B15,'B-1 On-Site Hedge Baseline'!$B$1:$L$257,10,FALSE))))</f>
        <v/>
      </c>
      <c r="J15" s="310" t="str">
        <f>IF(B15="","",IF(ISNA(VLOOKUP($B15,'B-1 On-Site Hedge Baseline'!$B$1:$L$257,11,FALSE)),"",(VLOOKUP($B15,'B-1 On-Site Hedge Baseline'!$B$1:$L$257,11,FALSE))))</f>
        <v/>
      </c>
      <c r="K15" s="310" t="str">
        <f>IF(B15="","",IF(ISNA(VLOOKUP($B15,'B-1 On-Site Hedge Baseline'!$B$1:$U$257,13,FALSE)),"",(VLOOKUP($B15,'B-1 On-Site Hedge Baseline'!$B$1:$U$257,13,FALSE))))</f>
        <v/>
      </c>
      <c r="L15" s="314" t="str">
        <f>IF(B15="","",IF(ISNA(VLOOKUP($B15,'B-1 On-Site Hedge Baseline'!$B$1:$U$257,12,FALSE)),"",(VLOOKUP($B15,'B-1 On-Site Hedge Baseline'!$B$1:$U$257,12,FALSE))))</f>
        <v/>
      </c>
      <c r="M15" s="583"/>
      <c r="N15" s="290" t="str">
        <f>IFERROR(IF(B15="","",INDEX('G-6 Hedgerow Data'!$AN$3:$AZ$15,MATCH(C15,'G-6 Hedgerow Data'!$AM$3:$AM$15,0),MATCH(M15,'G-6 Hedgerow Data'!$AN$2:$AZ$2,0))),"")</f>
        <v/>
      </c>
      <c r="O15" s="291" t="str">
        <f t="shared" si="1"/>
        <v/>
      </c>
      <c r="P15" s="341" t="str">
        <f>IF(B15="","",VLOOKUP(B15,'B-1 On-Site Hedge Baseline'!$B$10:T260,16,FALSE))</f>
        <v/>
      </c>
      <c r="Q15" s="290" t="str">
        <f>IF(M15="","",VLOOKUP(M15,'G-6 Hedgerow Data'!$B$2:$AG$15,2,FALSE))</f>
        <v/>
      </c>
      <c r="R15" s="291" t="str">
        <f>IF(M15="","",VLOOKUP(M15,'G-6 Hedgerow Data'!$B$2:$AG$15,3,FALSE))</f>
        <v/>
      </c>
      <c r="S15" s="95"/>
      <c r="T15" s="328" t="str">
        <f>IFERROR(IF(S15="","",IF(AND(M15="Non-native and ornamental hedgerow", S15&lt;&gt;"Poor"),"Not possible ▲", (VLOOKUP(S15,'G-1 All Habitats'!$Z$2:$AA$9,2,FALSE)))),"")</f>
        <v/>
      </c>
      <c r="U15" s="95"/>
      <c r="V15" s="310" t="str">
        <f>IF(U15="","",IF(VLOOKUP(U15,'G-3 Multipliers'!$L$3:$N$6,2,FALSE)=0,"Spatial Data Missing ⚠",VLOOKUP(U15,'G-3 Multipliers'!$L$3:$N$6,2,FALSE)))</f>
        <v/>
      </c>
      <c r="W15" s="314" t="str">
        <f>IF(U15="","",IF(VLOOKUP(U15,'G-3 Multipliers'!$L$3:$N$6,3,FALSE)=0,"Spatial Data Missing ⚠",VLOOKUP(U15,'G-3 Multipliers'!$L$3:$N$6,3,FALSE)))</f>
        <v/>
      </c>
      <c r="X15" s="290" t="str">
        <f>IFERROR(IF(OR(LEFT(O15,5)="Error",LEFT(N15,5)="Error",T15="Error"),"Check Data ⚠",IF(F15&lt;R15,INDEX('G-6 Hedgerow Data'!$S$3:$AE$14,MATCH(C15,'G-6 Hedgerow Data'!$B$3:$B$14,0),MATCH(M15,'G-6 Hedgerow Data'!$S$2:$AE$2,0)),INDEX('G-6 Hedgerow Data'!$K$3:$Q$14,MATCH(M15,'G-6 Hedgerow Data'!$B$3:$B$14,0),MATCH(O15,'G-6 Hedgerow Data'!$K$2:$Q$2,0)))),"")</f>
        <v/>
      </c>
      <c r="Y15" s="138"/>
      <c r="Z15" s="138"/>
      <c r="AA15" s="298" t="str">
        <f t="shared" si="2"/>
        <v/>
      </c>
      <c r="AB15" s="311" t="str">
        <f t="shared" si="3"/>
        <v/>
      </c>
      <c r="AC15" s="312" t="str">
        <f t="shared" si="0"/>
        <v/>
      </c>
      <c r="AD15" s="325" t="str">
        <f>IF(M15="","",VLOOKUP(M15,'G-6 Hedgerow Data'!$B$3:$AG$15,31,FALSE))</f>
        <v/>
      </c>
      <c r="AE15" s="298" t="str">
        <f t="shared" si="4"/>
        <v/>
      </c>
      <c r="AF15" s="298" t="str">
        <f t="shared" si="5"/>
        <v/>
      </c>
      <c r="AG15" s="314" t="str">
        <f>IFERROR(IF(O15="","",VLOOKUP(AD15,'G-3 Multipliers'!$P$3:$Q$6,2,FALSE)),"")</f>
        <v/>
      </c>
      <c r="AH15" s="304" t="str">
        <f t="shared" si="6"/>
        <v/>
      </c>
      <c r="AI15" s="258"/>
      <c r="AJ15" s="164"/>
      <c r="AK15" s="101"/>
      <c r="AT15" s="15" t="str">
        <f>IFERROR(INDEX('G-6 Hedgerow Data'!$BJ$3:$BJ$15,MATCH(M15,'G-6 Hedgerow Data'!$B$3:$B$15,0)),"")</f>
        <v/>
      </c>
    </row>
    <row r="16" spans="2:46" ht="14" x14ac:dyDescent="0.3">
      <c r="B16" s="319" t="str">
        <f>'B-1 On-Site Hedge Baseline'!AK14</f>
        <v/>
      </c>
      <c r="C16" s="310" t="str">
        <f>IF(B16="","",IF(ISNA(VLOOKUP($B16,'B-1 On-Site Hedge Baseline'!$B$1:$L$257,3,FALSE)),"",(VLOOKUP($B16,'B-1 On-Site Hedge Baseline'!$B$1:$L$257,3,FALSE))))</f>
        <v/>
      </c>
      <c r="D16" s="310" t="str">
        <f>IF(B16="","",IF(ISNA(VLOOKUP($B16,'B-1 On-Site Hedge Baseline'!$B$1:$L$257,4,FALSE)),"",(VLOOKUP($B16,'B-1 On-Site Hedge Baseline'!$B$1:$L$257,4,FALSE))))</f>
        <v/>
      </c>
      <c r="E16" s="310" t="str">
        <f>IF(B16="","",IF(ISNA(VLOOKUP($B16,'B-1 On-Site Hedge Baseline'!$B$1:$L$257,5,FALSE)),"",(VLOOKUP($B16,'B-1 On-Site Hedge Baseline'!$B$1:$L$257,5,FALSE))))</f>
        <v/>
      </c>
      <c r="F16" s="310" t="str">
        <f>IF(B16="","",IF(ISNA(VLOOKUP($B16,'B-1 On-Site Hedge Baseline'!$B$1:$L$257,6,FALSE)),"",(VLOOKUP($B16,'B-1 On-Site Hedge Baseline'!$B$1:$L$257,6,FALSE))))</f>
        <v/>
      </c>
      <c r="G16" s="310" t="str">
        <f>IF(B16="","",IF(ISNA(VLOOKUP($B16,'B-1 On-Site Hedge Baseline'!$B$1:$L$257,7,FALSE)),"",(VLOOKUP($B16,'B-1 On-Site Hedge Baseline'!$B$1:$L$257,7,FALSE))))</f>
        <v/>
      </c>
      <c r="H16" s="310" t="str">
        <f>IF(B16="","",IF(ISNA(VLOOKUP($B16,'B-1 On-Site Hedge Baseline'!$B$1:$L$257,8,FALSE)),"",(VLOOKUP($B16,'B-1 On-Site Hedge Baseline'!$B$1:$L$257,8,FALSE))))</f>
        <v/>
      </c>
      <c r="I16" s="310" t="str">
        <f>IF(B16="","",IF(ISNA(VLOOKUP($B16,'B-1 On-Site Hedge Baseline'!$B$1:$L$257,10,FALSE)),"",(VLOOKUP($B16,'B-1 On-Site Hedge Baseline'!$B$1:$L$257,10,FALSE))))</f>
        <v/>
      </c>
      <c r="J16" s="310" t="str">
        <f>IF(B16="","",IF(ISNA(VLOOKUP($B16,'B-1 On-Site Hedge Baseline'!$B$1:$L$257,11,FALSE)),"",(VLOOKUP($B16,'B-1 On-Site Hedge Baseline'!$B$1:$L$257,11,FALSE))))</f>
        <v/>
      </c>
      <c r="K16" s="310" t="str">
        <f>IF(B16="","",IF(ISNA(VLOOKUP($B16,'B-1 On-Site Hedge Baseline'!$B$1:$U$257,13,FALSE)),"",(VLOOKUP($B16,'B-1 On-Site Hedge Baseline'!$B$1:$U$257,13,FALSE))))</f>
        <v/>
      </c>
      <c r="L16" s="314" t="str">
        <f>IF(B16="","",IF(ISNA(VLOOKUP($B16,'B-1 On-Site Hedge Baseline'!$B$1:$U$257,12,FALSE)),"",(VLOOKUP($B16,'B-1 On-Site Hedge Baseline'!$B$1:$U$257,12,FALSE))))</f>
        <v/>
      </c>
      <c r="M16" s="583"/>
      <c r="N16" s="290" t="str">
        <f>IFERROR(IF(B16="","",INDEX('G-6 Hedgerow Data'!$AN$3:$AZ$15,MATCH(C16,'G-6 Hedgerow Data'!$AM$3:$AM$15,0),MATCH(M16,'G-6 Hedgerow Data'!$AN$2:$AZ$2,0))),"")</f>
        <v/>
      </c>
      <c r="O16" s="291" t="str">
        <f t="shared" si="1"/>
        <v/>
      </c>
      <c r="P16" s="341" t="str">
        <f>IF(B16="","",VLOOKUP(B16,'B-1 On-Site Hedge Baseline'!$B$10:T261,16,FALSE))</f>
        <v/>
      </c>
      <c r="Q16" s="290" t="str">
        <f>IF(M16="","",VLOOKUP(M16,'G-6 Hedgerow Data'!$B$2:$AG$15,2,FALSE))</f>
        <v/>
      </c>
      <c r="R16" s="291" t="str">
        <f>IF(M16="","",VLOOKUP(M16,'G-6 Hedgerow Data'!$B$2:$AG$15,3,FALSE))</f>
        <v/>
      </c>
      <c r="S16" s="95"/>
      <c r="T16" s="328" t="str">
        <f>IFERROR(IF(S16="","",IF(AND(M16="Non-native and ornamental hedgerow", S16&lt;&gt;"Poor"),"Not possible ▲", (VLOOKUP(S16,'G-1 All Habitats'!$Z$2:$AA$9,2,FALSE)))),"")</f>
        <v/>
      </c>
      <c r="U16" s="95"/>
      <c r="V16" s="310" t="str">
        <f>IF(U16="","",IF(VLOOKUP(U16,'G-3 Multipliers'!$L$3:$N$6,2,FALSE)=0,"Spatial Data Missing ⚠",VLOOKUP(U16,'G-3 Multipliers'!$L$3:$N$6,2,FALSE)))</f>
        <v/>
      </c>
      <c r="W16" s="314" t="str">
        <f>IF(U16="","",IF(VLOOKUP(U16,'G-3 Multipliers'!$L$3:$N$6,3,FALSE)=0,"Spatial Data Missing ⚠",VLOOKUP(U16,'G-3 Multipliers'!$L$3:$N$6,3,FALSE)))</f>
        <v/>
      </c>
      <c r="X16" s="290" t="str">
        <f>IFERROR(IF(OR(LEFT(O16,5)="Error",LEFT(N16,5)="Error",T16="Error"),"Check Data ⚠",IF(F16&lt;R16,INDEX('G-6 Hedgerow Data'!$S$3:$AE$14,MATCH(C16,'G-6 Hedgerow Data'!$B$3:$B$14,0),MATCH(M16,'G-6 Hedgerow Data'!$S$2:$AE$2,0)),INDEX('G-6 Hedgerow Data'!$K$3:$Q$14,MATCH(M16,'G-6 Hedgerow Data'!$B$3:$B$14,0),MATCH(O16,'G-6 Hedgerow Data'!$K$2:$Q$2,0)))),"")</f>
        <v/>
      </c>
      <c r="Y16" s="138"/>
      <c r="Z16" s="138"/>
      <c r="AA16" s="298" t="str">
        <f t="shared" si="2"/>
        <v/>
      </c>
      <c r="AB16" s="311" t="str">
        <f t="shared" si="3"/>
        <v/>
      </c>
      <c r="AC16" s="312" t="str">
        <f t="shared" si="0"/>
        <v/>
      </c>
      <c r="AD16" s="325" t="str">
        <f>IF(M16="","",VLOOKUP(M16,'G-6 Hedgerow Data'!$B$3:$AG$15,31,FALSE))</f>
        <v/>
      </c>
      <c r="AE16" s="298" t="str">
        <f t="shared" si="4"/>
        <v/>
      </c>
      <c r="AF16" s="298" t="str">
        <f t="shared" si="5"/>
        <v/>
      </c>
      <c r="AG16" s="314" t="str">
        <f>IFERROR(IF(O16="","",VLOOKUP(AD16,'G-3 Multipliers'!$P$3:$Q$6,2,FALSE)),"")</f>
        <v/>
      </c>
      <c r="AH16" s="304" t="str">
        <f t="shared" si="6"/>
        <v/>
      </c>
      <c r="AI16" s="157"/>
      <c r="AJ16" s="99"/>
      <c r="AK16" s="101"/>
      <c r="AT16" s="15" t="str">
        <f>IFERROR(INDEX('G-6 Hedgerow Data'!$BJ$3:$BJ$15,MATCH(M16,'G-6 Hedgerow Data'!$B$3:$B$15,0)),"")</f>
        <v/>
      </c>
    </row>
    <row r="17" spans="2:46" ht="14" x14ac:dyDescent="0.3">
      <c r="B17" s="319" t="str">
        <f>'B-1 On-Site Hedge Baseline'!AK15</f>
        <v/>
      </c>
      <c r="C17" s="310" t="str">
        <f>IF(B17="","",IF(ISNA(VLOOKUP($B17,'B-1 On-Site Hedge Baseline'!$B$1:$L$257,3,FALSE)),"",(VLOOKUP($B17,'B-1 On-Site Hedge Baseline'!$B$1:$L$257,3,FALSE))))</f>
        <v/>
      </c>
      <c r="D17" s="310" t="str">
        <f>IF(B17="","",IF(ISNA(VLOOKUP($B17,'B-1 On-Site Hedge Baseline'!$B$1:$L$257,4,FALSE)),"",(VLOOKUP($B17,'B-1 On-Site Hedge Baseline'!$B$1:$L$257,4,FALSE))))</f>
        <v/>
      </c>
      <c r="E17" s="310" t="str">
        <f>IF(B17="","",IF(ISNA(VLOOKUP($B17,'B-1 On-Site Hedge Baseline'!$B$1:$L$257,5,FALSE)),"",(VLOOKUP($B17,'B-1 On-Site Hedge Baseline'!$B$1:$L$257,5,FALSE))))</f>
        <v/>
      </c>
      <c r="F17" s="310" t="str">
        <f>IF(B17="","",IF(ISNA(VLOOKUP($B17,'B-1 On-Site Hedge Baseline'!$B$1:$L$257,6,FALSE)),"",(VLOOKUP($B17,'B-1 On-Site Hedge Baseline'!$B$1:$L$257,6,FALSE))))</f>
        <v/>
      </c>
      <c r="G17" s="310" t="str">
        <f>IF(B17="","",IF(ISNA(VLOOKUP($B17,'B-1 On-Site Hedge Baseline'!$B$1:$L$257,7,FALSE)),"",(VLOOKUP($B17,'B-1 On-Site Hedge Baseline'!$B$1:$L$257,7,FALSE))))</f>
        <v/>
      </c>
      <c r="H17" s="310" t="str">
        <f>IF(B17="","",IF(ISNA(VLOOKUP($B17,'B-1 On-Site Hedge Baseline'!$B$1:$L$257,8,FALSE)),"",(VLOOKUP($B17,'B-1 On-Site Hedge Baseline'!$B$1:$L$257,8,FALSE))))</f>
        <v/>
      </c>
      <c r="I17" s="310" t="str">
        <f>IF(B17="","",IF(ISNA(VLOOKUP($B17,'B-1 On-Site Hedge Baseline'!$B$1:$L$257,10,FALSE)),"",(VLOOKUP($B17,'B-1 On-Site Hedge Baseline'!$B$1:$L$257,10,FALSE))))</f>
        <v/>
      </c>
      <c r="J17" s="310" t="str">
        <f>IF(B17="","",IF(ISNA(VLOOKUP($B17,'B-1 On-Site Hedge Baseline'!$B$1:$L$257,11,FALSE)),"",(VLOOKUP($B17,'B-1 On-Site Hedge Baseline'!$B$1:$L$257,11,FALSE))))</f>
        <v/>
      </c>
      <c r="K17" s="310" t="str">
        <f>IF(B17="","",IF(ISNA(VLOOKUP($B17,'B-1 On-Site Hedge Baseline'!$B$1:$U$257,13,FALSE)),"",(VLOOKUP($B17,'B-1 On-Site Hedge Baseline'!$B$1:$U$257,13,FALSE))))</f>
        <v/>
      </c>
      <c r="L17" s="314" t="str">
        <f>IF(B17="","",IF(ISNA(VLOOKUP($B17,'B-1 On-Site Hedge Baseline'!$B$1:$U$257,12,FALSE)),"",(VLOOKUP($B17,'B-1 On-Site Hedge Baseline'!$B$1:$U$257,12,FALSE))))</f>
        <v/>
      </c>
      <c r="M17" s="583"/>
      <c r="N17" s="290" t="str">
        <f>IFERROR(IF(B17="","",INDEX('G-6 Hedgerow Data'!$AN$3:$AZ$15,MATCH(C17,'G-6 Hedgerow Data'!$AM$3:$AM$15,0),MATCH(M17,'G-6 Hedgerow Data'!$AN$2:$AZ$2,0))),"")</f>
        <v/>
      </c>
      <c r="O17" s="291" t="str">
        <f t="shared" si="1"/>
        <v/>
      </c>
      <c r="P17" s="341" t="str">
        <f>IF(B17="","",VLOOKUP(B17,'B-1 On-Site Hedge Baseline'!$B$10:T262,16,FALSE))</f>
        <v/>
      </c>
      <c r="Q17" s="290" t="str">
        <f>IF(M17="","",VLOOKUP(M17,'G-6 Hedgerow Data'!$B$2:$AG$15,2,FALSE))</f>
        <v/>
      </c>
      <c r="R17" s="291" t="str">
        <f>IF(M17="","",VLOOKUP(M17,'G-6 Hedgerow Data'!$B$2:$AG$15,3,FALSE))</f>
        <v/>
      </c>
      <c r="S17" s="39"/>
      <c r="T17" s="328" t="str">
        <f>IFERROR(IF(S17="","",IF(AND(M17="Non-native and ornamental hedgerow", S17&lt;&gt;"Poor"),"Not possible ▲", (VLOOKUP(S17,'G-1 All Habitats'!$Z$2:$AA$9,2,FALSE)))),"")</f>
        <v/>
      </c>
      <c r="U17" s="95"/>
      <c r="V17" s="310" t="str">
        <f>IF(U17="","",IF(VLOOKUP(U17,'G-3 Multipliers'!$L$3:$N$6,2,FALSE)=0,"Spatial Data Missing ⚠",VLOOKUP(U17,'G-3 Multipliers'!$L$3:$N$6,2,FALSE)))</f>
        <v/>
      </c>
      <c r="W17" s="314" t="str">
        <f>IF(U17="","",IF(VLOOKUP(U17,'G-3 Multipliers'!$L$3:$N$6,3,FALSE)=0,"Spatial Data Missing ⚠",VLOOKUP(U17,'G-3 Multipliers'!$L$3:$N$6,3,FALSE)))</f>
        <v/>
      </c>
      <c r="X17" s="290" t="str">
        <f>IFERROR(IF(OR(LEFT(O17,5)="Error",LEFT(N17,5)="Error",T17="Error"),"Check Data ⚠",IF(F17&lt;R17,INDEX('G-6 Hedgerow Data'!$S$3:$AE$14,MATCH(C17,'G-6 Hedgerow Data'!$B$3:$B$14,0),MATCH(M17,'G-6 Hedgerow Data'!$S$2:$AE$2,0)),INDEX('G-6 Hedgerow Data'!$K$3:$Q$14,MATCH(M17,'G-6 Hedgerow Data'!$B$3:$B$14,0),MATCH(O17,'G-6 Hedgerow Data'!$K$2:$Q$2,0)))),"")</f>
        <v/>
      </c>
      <c r="Y17" s="138"/>
      <c r="Z17" s="138"/>
      <c r="AA17" s="298" t="str">
        <f t="shared" si="2"/>
        <v/>
      </c>
      <c r="AB17" s="311" t="str">
        <f t="shared" si="3"/>
        <v/>
      </c>
      <c r="AC17" s="312" t="str">
        <f t="shared" si="0"/>
        <v/>
      </c>
      <c r="AD17" s="325" t="str">
        <f>IF(M17="","",VLOOKUP(M17,'G-6 Hedgerow Data'!$B$3:$AG$15,31,FALSE))</f>
        <v/>
      </c>
      <c r="AE17" s="298" t="str">
        <f t="shared" si="4"/>
        <v/>
      </c>
      <c r="AF17" s="298" t="str">
        <f t="shared" si="5"/>
        <v/>
      </c>
      <c r="AG17" s="314" t="str">
        <f>IFERROR(IF(O17="","",VLOOKUP(AD17,'G-3 Multipliers'!$P$3:$Q$6,2,FALSE)),"")</f>
        <v/>
      </c>
      <c r="AH17" s="304" t="str">
        <f t="shared" si="6"/>
        <v/>
      </c>
      <c r="AI17" s="157"/>
      <c r="AJ17" s="99"/>
      <c r="AK17" s="101"/>
      <c r="AT17" s="15" t="str">
        <f>IFERROR(INDEX('G-6 Hedgerow Data'!$BJ$3:$BJ$15,MATCH(M17,'G-6 Hedgerow Data'!$B$3:$B$15,0)),"")</f>
        <v/>
      </c>
    </row>
    <row r="18" spans="2:46" ht="14" x14ac:dyDescent="0.3">
      <c r="B18" s="319" t="str">
        <f>'B-1 On-Site Hedge Baseline'!AK16</f>
        <v/>
      </c>
      <c r="C18" s="310" t="str">
        <f>IF(B18="","",IF(ISNA(VLOOKUP($B18,'B-1 On-Site Hedge Baseline'!$B$1:$L$257,3,FALSE)),"",(VLOOKUP($B18,'B-1 On-Site Hedge Baseline'!$B$1:$L$257,3,FALSE))))</f>
        <v/>
      </c>
      <c r="D18" s="310" t="str">
        <f>IF(B18="","",IF(ISNA(VLOOKUP($B18,'B-1 On-Site Hedge Baseline'!$B$1:$L$257,4,FALSE)),"",(VLOOKUP($B18,'B-1 On-Site Hedge Baseline'!$B$1:$L$257,4,FALSE))))</f>
        <v/>
      </c>
      <c r="E18" s="310" t="str">
        <f>IF(B18="","",IF(ISNA(VLOOKUP($B18,'B-1 On-Site Hedge Baseline'!$B$1:$L$257,5,FALSE)),"",(VLOOKUP($B18,'B-1 On-Site Hedge Baseline'!$B$1:$L$257,5,FALSE))))</f>
        <v/>
      </c>
      <c r="F18" s="310" t="str">
        <f>IF(B18="","",IF(ISNA(VLOOKUP($B18,'B-1 On-Site Hedge Baseline'!$B$1:$L$257,6,FALSE)),"",(VLOOKUP($B18,'B-1 On-Site Hedge Baseline'!$B$1:$L$257,6,FALSE))))</f>
        <v/>
      </c>
      <c r="G18" s="310" t="str">
        <f>IF(B18="","",IF(ISNA(VLOOKUP($B18,'B-1 On-Site Hedge Baseline'!$B$1:$L$257,7,FALSE)),"",(VLOOKUP($B18,'B-1 On-Site Hedge Baseline'!$B$1:$L$257,7,FALSE))))</f>
        <v/>
      </c>
      <c r="H18" s="310" t="str">
        <f>IF(B18="","",IF(ISNA(VLOOKUP($B18,'B-1 On-Site Hedge Baseline'!$B$1:$L$257,8,FALSE)),"",(VLOOKUP($B18,'B-1 On-Site Hedge Baseline'!$B$1:$L$257,8,FALSE))))</f>
        <v/>
      </c>
      <c r="I18" s="310" t="str">
        <f>IF(B18="","",IF(ISNA(VLOOKUP($B18,'B-1 On-Site Hedge Baseline'!$B$1:$L$257,10,FALSE)),"",(VLOOKUP($B18,'B-1 On-Site Hedge Baseline'!$B$1:$L$257,10,FALSE))))</f>
        <v/>
      </c>
      <c r="J18" s="310" t="str">
        <f>IF(B18="","",IF(ISNA(VLOOKUP($B18,'B-1 On-Site Hedge Baseline'!$B$1:$L$257,11,FALSE)),"",(VLOOKUP($B18,'B-1 On-Site Hedge Baseline'!$B$1:$L$257,11,FALSE))))</f>
        <v/>
      </c>
      <c r="K18" s="310" t="str">
        <f>IF(B18="","",IF(ISNA(VLOOKUP($B18,'B-1 On-Site Hedge Baseline'!$B$1:$U$257,13,FALSE)),"",(VLOOKUP($B18,'B-1 On-Site Hedge Baseline'!$B$1:$U$257,13,FALSE))))</f>
        <v/>
      </c>
      <c r="L18" s="314" t="str">
        <f>IF(B18="","",IF(ISNA(VLOOKUP($B18,'B-1 On-Site Hedge Baseline'!$B$1:$U$257,12,FALSE)),"",(VLOOKUP($B18,'B-1 On-Site Hedge Baseline'!$B$1:$U$257,12,FALSE))))</f>
        <v/>
      </c>
      <c r="M18" s="583"/>
      <c r="N18" s="290" t="str">
        <f>IFERROR(IF(B18="","",INDEX('G-6 Hedgerow Data'!$AN$3:$AZ$15,MATCH(C18,'G-6 Hedgerow Data'!$AM$3:$AM$15,0),MATCH(M18,'G-6 Hedgerow Data'!$AN$2:$AZ$2,0))),"")</f>
        <v/>
      </c>
      <c r="O18" s="291" t="str">
        <f t="shared" si="1"/>
        <v/>
      </c>
      <c r="P18" s="341" t="str">
        <f>IF(B18="","",VLOOKUP(B18,'B-1 On-Site Hedge Baseline'!$B$10:T263,16,FALSE))</f>
        <v/>
      </c>
      <c r="Q18" s="290" t="str">
        <f>IF(M18="","",VLOOKUP(M18,'G-6 Hedgerow Data'!$B$2:$AG$15,2,FALSE))</f>
        <v/>
      </c>
      <c r="R18" s="291" t="str">
        <f>IF(M18="","",VLOOKUP(M18,'G-6 Hedgerow Data'!$B$2:$AG$15,3,FALSE))</f>
        <v/>
      </c>
      <c r="S18" s="39"/>
      <c r="T18" s="328" t="str">
        <f>IFERROR(IF(S18="","",IF(AND(M18="Non-native and ornamental hedgerow", S18&lt;&gt;"Poor"),"Not possible ▲", (VLOOKUP(S18,'G-1 All Habitats'!$Z$2:$AA$9,2,FALSE)))),"")</f>
        <v/>
      </c>
      <c r="U18" s="95"/>
      <c r="V18" s="310" t="str">
        <f>IF(U18="","",IF(VLOOKUP(U18,'G-3 Multipliers'!$L$3:$N$6,2,FALSE)=0,"Spatial Data Missing ⚠",VLOOKUP(U18,'G-3 Multipliers'!$L$3:$N$6,2,FALSE)))</f>
        <v/>
      </c>
      <c r="W18" s="314" t="str">
        <f>IF(U18="","",IF(VLOOKUP(U18,'G-3 Multipliers'!$L$3:$N$6,3,FALSE)=0,"Spatial Data Missing ⚠",VLOOKUP(U18,'G-3 Multipliers'!$L$3:$N$6,3,FALSE)))</f>
        <v/>
      </c>
      <c r="X18" s="290" t="str">
        <f>IFERROR(IF(OR(LEFT(O18,5)="Error",LEFT(N18,5)="Error",T18="Error"),"Check Data ⚠",IF(F18&lt;R18,INDEX('G-6 Hedgerow Data'!$S$3:$AE$14,MATCH(C18,'G-6 Hedgerow Data'!$B$3:$B$14,0),MATCH(M18,'G-6 Hedgerow Data'!$S$2:$AE$2,0)),INDEX('G-6 Hedgerow Data'!$K$3:$Q$14,MATCH(M18,'G-6 Hedgerow Data'!$B$3:$B$14,0),MATCH(O18,'G-6 Hedgerow Data'!$K$2:$Q$2,0)))),"")</f>
        <v/>
      </c>
      <c r="Y18" s="138"/>
      <c r="Z18" s="138"/>
      <c r="AA18" s="298" t="str">
        <f t="shared" si="2"/>
        <v/>
      </c>
      <c r="AB18" s="311" t="str">
        <f t="shared" si="3"/>
        <v/>
      </c>
      <c r="AC18" s="312" t="str">
        <f t="shared" si="0"/>
        <v/>
      </c>
      <c r="AD18" s="325" t="str">
        <f>IF(M18="","",VLOOKUP(M18,'G-6 Hedgerow Data'!$B$3:$AG$15,31,FALSE))</f>
        <v/>
      </c>
      <c r="AE18" s="298" t="str">
        <f t="shared" si="4"/>
        <v/>
      </c>
      <c r="AF18" s="298" t="str">
        <f t="shared" si="5"/>
        <v/>
      </c>
      <c r="AG18" s="314" t="str">
        <f>IFERROR(IF(O18="","",VLOOKUP(AD18,'G-3 Multipliers'!$P$3:$Q$6,2,FALSE)),"")</f>
        <v/>
      </c>
      <c r="AH18" s="304" t="str">
        <f t="shared" si="6"/>
        <v/>
      </c>
      <c r="AI18" s="157"/>
      <c r="AJ18" s="99"/>
      <c r="AK18" s="101"/>
      <c r="AT18" s="15" t="str">
        <f>IFERROR(INDEX('G-6 Hedgerow Data'!$BJ$3:$BJ$15,MATCH(M18,'G-6 Hedgerow Data'!$B$3:$B$15,0)),"")</f>
        <v/>
      </c>
    </row>
    <row r="19" spans="2:46" ht="14" x14ac:dyDescent="0.3">
      <c r="B19" s="319" t="str">
        <f>'B-1 On-Site Hedge Baseline'!AK17</f>
        <v/>
      </c>
      <c r="C19" s="310" t="str">
        <f>IF(B19="","",IF(ISNA(VLOOKUP($B19,'B-1 On-Site Hedge Baseline'!$B$1:$L$257,3,FALSE)),"",(VLOOKUP($B19,'B-1 On-Site Hedge Baseline'!$B$1:$L$257,3,FALSE))))</f>
        <v/>
      </c>
      <c r="D19" s="310" t="str">
        <f>IF(B19="","",IF(ISNA(VLOOKUP($B19,'B-1 On-Site Hedge Baseline'!$B$1:$L$257,4,FALSE)),"",(VLOOKUP($B19,'B-1 On-Site Hedge Baseline'!$B$1:$L$257,4,FALSE))))</f>
        <v/>
      </c>
      <c r="E19" s="310" t="str">
        <f>IF(B19="","",IF(ISNA(VLOOKUP($B19,'B-1 On-Site Hedge Baseline'!$B$1:$L$257,5,FALSE)),"",(VLOOKUP($B19,'B-1 On-Site Hedge Baseline'!$B$1:$L$257,5,FALSE))))</f>
        <v/>
      </c>
      <c r="F19" s="310" t="str">
        <f>IF(B19="","",IF(ISNA(VLOOKUP($B19,'B-1 On-Site Hedge Baseline'!$B$1:$L$257,6,FALSE)),"",(VLOOKUP($B19,'B-1 On-Site Hedge Baseline'!$B$1:$L$257,6,FALSE))))</f>
        <v/>
      </c>
      <c r="G19" s="310" t="str">
        <f>IF(B19="","",IF(ISNA(VLOOKUP($B19,'B-1 On-Site Hedge Baseline'!$B$1:$L$257,7,FALSE)),"",(VLOOKUP($B19,'B-1 On-Site Hedge Baseline'!$B$1:$L$257,7,FALSE))))</f>
        <v/>
      </c>
      <c r="H19" s="310" t="str">
        <f>IF(B19="","",IF(ISNA(VLOOKUP($B19,'B-1 On-Site Hedge Baseline'!$B$1:$L$257,8,FALSE)),"",(VLOOKUP($B19,'B-1 On-Site Hedge Baseline'!$B$1:$L$257,8,FALSE))))</f>
        <v/>
      </c>
      <c r="I19" s="310" t="str">
        <f>IF(B19="","",IF(ISNA(VLOOKUP($B19,'B-1 On-Site Hedge Baseline'!$B$1:$L$257,10,FALSE)),"",(VLOOKUP($B19,'B-1 On-Site Hedge Baseline'!$B$1:$L$257,10,FALSE))))</f>
        <v/>
      </c>
      <c r="J19" s="310" t="str">
        <f>IF(B19="","",IF(ISNA(VLOOKUP($B19,'B-1 On-Site Hedge Baseline'!$B$1:$L$257,11,FALSE)),"",(VLOOKUP($B19,'B-1 On-Site Hedge Baseline'!$B$1:$L$257,11,FALSE))))</f>
        <v/>
      </c>
      <c r="K19" s="310" t="str">
        <f>IF(B19="","",IF(ISNA(VLOOKUP($B19,'B-1 On-Site Hedge Baseline'!$B$1:$U$257,13,FALSE)),"",(VLOOKUP($B19,'B-1 On-Site Hedge Baseline'!$B$1:$U$257,13,FALSE))))</f>
        <v/>
      </c>
      <c r="L19" s="314" t="str">
        <f>IF(B19="","",IF(ISNA(VLOOKUP($B19,'B-1 On-Site Hedge Baseline'!$B$1:$U$257,12,FALSE)),"",(VLOOKUP($B19,'B-1 On-Site Hedge Baseline'!$B$1:$U$257,12,FALSE))))</f>
        <v/>
      </c>
      <c r="M19" s="583"/>
      <c r="N19" s="290" t="str">
        <f>IFERROR(IF(B19="","",INDEX('G-6 Hedgerow Data'!$AN$3:$AZ$15,MATCH(C19,'G-6 Hedgerow Data'!$AM$3:$AM$15,0),MATCH(M19,'G-6 Hedgerow Data'!$AN$2:$AZ$2,0))),"")</f>
        <v/>
      </c>
      <c r="O19" s="291" t="str">
        <f t="shared" si="1"/>
        <v/>
      </c>
      <c r="P19" s="341" t="str">
        <f>IF(B19="","",VLOOKUP(B19,'B-1 On-Site Hedge Baseline'!$B$10:T264,16,FALSE))</f>
        <v/>
      </c>
      <c r="Q19" s="290" t="str">
        <f>IF(M19="","",VLOOKUP(M19,'G-6 Hedgerow Data'!$B$2:$AG$15,2,FALSE))</f>
        <v/>
      </c>
      <c r="R19" s="291" t="str">
        <f>IF(M19="","",VLOOKUP(M19,'G-6 Hedgerow Data'!$B$2:$AG$15,3,FALSE))</f>
        <v/>
      </c>
      <c r="S19" s="39"/>
      <c r="T19" s="328" t="str">
        <f>IFERROR(IF(S19="","",IF(AND(M19="Non-native and ornamental hedgerow", S19&lt;&gt;"Poor"),"Not possible ▲", (VLOOKUP(S19,'G-1 All Habitats'!$Z$2:$AA$9,2,FALSE)))),"")</f>
        <v/>
      </c>
      <c r="U19" s="95"/>
      <c r="V19" s="310" t="str">
        <f>IF(U19="","",IF(VLOOKUP(U19,'G-3 Multipliers'!$L$3:$N$6,2,FALSE)=0,"Spatial Data Missing ⚠",VLOOKUP(U19,'G-3 Multipliers'!$L$3:$N$6,2,FALSE)))</f>
        <v/>
      </c>
      <c r="W19" s="314" t="str">
        <f>IF(U19="","",IF(VLOOKUP(U19,'G-3 Multipliers'!$L$3:$N$6,3,FALSE)=0,"Spatial Data Missing ⚠",VLOOKUP(U19,'G-3 Multipliers'!$L$3:$N$6,3,FALSE)))</f>
        <v/>
      </c>
      <c r="X19" s="290" t="str">
        <f>IFERROR(IF(OR(LEFT(O19,5)="Error",LEFT(N19,5)="Error",T19="Error"),"Check Data ⚠",IF(F19&lt;R19,INDEX('G-6 Hedgerow Data'!$S$3:$AE$14,MATCH(C19,'G-6 Hedgerow Data'!$B$3:$B$14,0),MATCH(M19,'G-6 Hedgerow Data'!$S$2:$AE$2,0)),INDEX('G-6 Hedgerow Data'!$K$3:$Q$14,MATCH(M19,'G-6 Hedgerow Data'!$B$3:$B$14,0),MATCH(O19,'G-6 Hedgerow Data'!$K$2:$Q$2,0)))),"")</f>
        <v/>
      </c>
      <c r="Y19" s="138"/>
      <c r="Z19" s="138"/>
      <c r="AA19" s="298" t="str">
        <f t="shared" si="2"/>
        <v/>
      </c>
      <c r="AB19" s="311" t="str">
        <f t="shared" si="3"/>
        <v/>
      </c>
      <c r="AC19" s="312" t="str">
        <f t="shared" si="0"/>
        <v/>
      </c>
      <c r="AD19" s="325" t="str">
        <f>IF(M19="","",VLOOKUP(M19,'G-6 Hedgerow Data'!$B$3:$AG$15,31,FALSE))</f>
        <v/>
      </c>
      <c r="AE19" s="298" t="str">
        <f t="shared" si="4"/>
        <v/>
      </c>
      <c r="AF19" s="298" t="str">
        <f t="shared" si="5"/>
        <v/>
      </c>
      <c r="AG19" s="314" t="str">
        <f>IFERROR(IF(O19="","",VLOOKUP(AD19,'G-3 Multipliers'!$P$3:$Q$6,2,FALSE)),"")</f>
        <v/>
      </c>
      <c r="AH19" s="304" t="str">
        <f t="shared" si="6"/>
        <v/>
      </c>
      <c r="AI19" s="157"/>
      <c r="AJ19" s="99"/>
      <c r="AK19" s="101"/>
      <c r="AT19" s="15" t="str">
        <f>IFERROR(INDEX('G-6 Hedgerow Data'!$BJ$3:$BJ$15,MATCH(M19,'G-6 Hedgerow Data'!$B$3:$B$15,0)),"")</f>
        <v/>
      </c>
    </row>
    <row r="20" spans="2:46" ht="14" x14ac:dyDescent="0.3">
      <c r="B20" s="319" t="str">
        <f>'B-1 On-Site Hedge Baseline'!AK18</f>
        <v/>
      </c>
      <c r="C20" s="310" t="str">
        <f>IF(B20="","",IF(ISNA(VLOOKUP($B20,'B-1 On-Site Hedge Baseline'!$B$1:$L$257,3,FALSE)),"",(VLOOKUP($B20,'B-1 On-Site Hedge Baseline'!$B$1:$L$257,3,FALSE))))</f>
        <v/>
      </c>
      <c r="D20" s="310" t="str">
        <f>IF(B20="","",IF(ISNA(VLOOKUP($B20,'B-1 On-Site Hedge Baseline'!$B$1:$L$257,4,FALSE)),"",(VLOOKUP($B20,'B-1 On-Site Hedge Baseline'!$B$1:$L$257,4,FALSE))))</f>
        <v/>
      </c>
      <c r="E20" s="310" t="str">
        <f>IF(B20="","",IF(ISNA(VLOOKUP($B20,'B-1 On-Site Hedge Baseline'!$B$1:$L$257,5,FALSE)),"",(VLOOKUP($B20,'B-1 On-Site Hedge Baseline'!$B$1:$L$257,5,FALSE))))</f>
        <v/>
      </c>
      <c r="F20" s="310" t="str">
        <f>IF(B20="","",IF(ISNA(VLOOKUP($B20,'B-1 On-Site Hedge Baseline'!$B$1:$L$257,6,FALSE)),"",(VLOOKUP($B20,'B-1 On-Site Hedge Baseline'!$B$1:$L$257,6,FALSE))))</f>
        <v/>
      </c>
      <c r="G20" s="310" t="str">
        <f>IF(B20="","",IF(ISNA(VLOOKUP($B20,'B-1 On-Site Hedge Baseline'!$B$1:$L$257,7,FALSE)),"",(VLOOKUP($B20,'B-1 On-Site Hedge Baseline'!$B$1:$L$257,7,FALSE))))</f>
        <v/>
      </c>
      <c r="H20" s="310" t="str">
        <f>IF(B20="","",IF(ISNA(VLOOKUP($B20,'B-1 On-Site Hedge Baseline'!$B$1:$L$257,8,FALSE)),"",(VLOOKUP($B20,'B-1 On-Site Hedge Baseline'!$B$1:$L$257,8,FALSE))))</f>
        <v/>
      </c>
      <c r="I20" s="310" t="str">
        <f>IF(B20="","",IF(ISNA(VLOOKUP($B20,'B-1 On-Site Hedge Baseline'!$B$1:$L$257,10,FALSE)),"",(VLOOKUP($B20,'B-1 On-Site Hedge Baseline'!$B$1:$L$257,10,FALSE))))</f>
        <v/>
      </c>
      <c r="J20" s="310" t="str">
        <f>IF(B20="","",IF(ISNA(VLOOKUP($B20,'B-1 On-Site Hedge Baseline'!$B$1:$L$257,11,FALSE)),"",(VLOOKUP($B20,'B-1 On-Site Hedge Baseline'!$B$1:$L$257,11,FALSE))))</f>
        <v/>
      </c>
      <c r="K20" s="310" t="str">
        <f>IF(B20="","",IF(ISNA(VLOOKUP($B20,'B-1 On-Site Hedge Baseline'!$B$1:$U$257,13,FALSE)),"",(VLOOKUP($B20,'B-1 On-Site Hedge Baseline'!$B$1:$U$257,13,FALSE))))</f>
        <v/>
      </c>
      <c r="L20" s="314" t="str">
        <f>IF(B20="","",IF(ISNA(VLOOKUP($B20,'B-1 On-Site Hedge Baseline'!$B$1:$U$257,12,FALSE)),"",(VLOOKUP($B20,'B-1 On-Site Hedge Baseline'!$B$1:$U$257,12,FALSE))))</f>
        <v/>
      </c>
      <c r="M20" s="583"/>
      <c r="N20" s="290" t="str">
        <f>IFERROR(IF(B20="","",INDEX('G-6 Hedgerow Data'!$AN$3:$AZ$15,MATCH(C20,'G-6 Hedgerow Data'!$AM$3:$AM$15,0),MATCH(M20,'G-6 Hedgerow Data'!$AN$2:$AZ$2,0))),"")</f>
        <v/>
      </c>
      <c r="O20" s="291" t="str">
        <f t="shared" si="1"/>
        <v/>
      </c>
      <c r="P20" s="341" t="str">
        <f>IF(B20="","",VLOOKUP(B20,'B-1 On-Site Hedge Baseline'!$B$10:T265,16,FALSE))</f>
        <v/>
      </c>
      <c r="Q20" s="290" t="str">
        <f>IF(M20="","",VLOOKUP(M20,'G-6 Hedgerow Data'!$B$2:$AG$15,2,FALSE))</f>
        <v/>
      </c>
      <c r="R20" s="291" t="str">
        <f>IF(M20="","",VLOOKUP(M20,'G-6 Hedgerow Data'!$B$2:$AG$15,3,FALSE))</f>
        <v/>
      </c>
      <c r="S20" s="39"/>
      <c r="T20" s="328" t="str">
        <f>IFERROR(IF(S20="","",IF(AND(M20="Non-native and ornamental hedgerow", S20&lt;&gt;"Poor"),"Not possible ▲", (VLOOKUP(S20,'G-1 All Habitats'!$Z$2:$AA$9,2,FALSE)))),"")</f>
        <v/>
      </c>
      <c r="U20" s="95"/>
      <c r="V20" s="310" t="str">
        <f>IF(U20="","",IF(VLOOKUP(U20,'G-3 Multipliers'!$L$3:$N$6,2,FALSE)=0,"Spatial Data Missing ⚠",VLOOKUP(U20,'G-3 Multipliers'!$L$3:$N$6,2,FALSE)))</f>
        <v/>
      </c>
      <c r="W20" s="314" t="str">
        <f>IF(U20="","",IF(VLOOKUP(U20,'G-3 Multipliers'!$L$3:$N$6,3,FALSE)=0,"Spatial Data Missing ⚠",VLOOKUP(U20,'G-3 Multipliers'!$L$3:$N$6,3,FALSE)))</f>
        <v/>
      </c>
      <c r="X20" s="290" t="str">
        <f>IFERROR(IF(OR(LEFT(O20,5)="Error",LEFT(N20,5)="Error",T20="Error"),"Check Data ⚠",IF(F20&lt;R20,INDEX('G-6 Hedgerow Data'!$S$3:$AE$14,MATCH(C20,'G-6 Hedgerow Data'!$B$3:$B$14,0),MATCH(M20,'G-6 Hedgerow Data'!$S$2:$AE$2,0)),INDEX('G-6 Hedgerow Data'!$K$3:$Q$14,MATCH(M20,'G-6 Hedgerow Data'!$B$3:$B$14,0),MATCH(O20,'G-6 Hedgerow Data'!$K$2:$Q$2,0)))),"")</f>
        <v/>
      </c>
      <c r="Y20" s="138"/>
      <c r="Z20" s="138"/>
      <c r="AA20" s="298" t="str">
        <f t="shared" si="2"/>
        <v/>
      </c>
      <c r="AB20" s="311" t="str">
        <f t="shared" si="3"/>
        <v/>
      </c>
      <c r="AC20" s="312" t="str">
        <f t="shared" si="0"/>
        <v/>
      </c>
      <c r="AD20" s="325" t="str">
        <f>IF(M20="","",VLOOKUP(M20,'G-6 Hedgerow Data'!$B$3:$AG$15,31,FALSE))</f>
        <v/>
      </c>
      <c r="AE20" s="298" t="str">
        <f t="shared" si="4"/>
        <v/>
      </c>
      <c r="AF20" s="298" t="str">
        <f t="shared" si="5"/>
        <v/>
      </c>
      <c r="AG20" s="314" t="str">
        <f>IFERROR(IF(O20="","",VLOOKUP(AD20,'G-3 Multipliers'!$P$3:$Q$6,2,FALSE)),"")</f>
        <v/>
      </c>
      <c r="AH20" s="304" t="str">
        <f t="shared" si="6"/>
        <v/>
      </c>
      <c r="AI20" s="157"/>
      <c r="AJ20" s="99"/>
      <c r="AK20" s="101"/>
      <c r="AT20" s="15" t="str">
        <f>IFERROR(INDEX('G-6 Hedgerow Data'!$BJ$3:$BJ$15,MATCH(M20,'G-6 Hedgerow Data'!$B$3:$B$15,0)),"")</f>
        <v/>
      </c>
    </row>
    <row r="21" spans="2:46" ht="14" x14ac:dyDescent="0.3">
      <c r="B21" s="319" t="str">
        <f>'B-1 On-Site Hedge Baseline'!AK19</f>
        <v/>
      </c>
      <c r="C21" s="310" t="str">
        <f>IF(B21="","",IF(ISNA(VLOOKUP($B21,'B-1 On-Site Hedge Baseline'!$B$1:$L$257,3,FALSE)),"",(VLOOKUP($B21,'B-1 On-Site Hedge Baseline'!$B$1:$L$257,3,FALSE))))</f>
        <v/>
      </c>
      <c r="D21" s="310" t="str">
        <f>IF(B21="","",IF(ISNA(VLOOKUP($B21,'B-1 On-Site Hedge Baseline'!$B$1:$L$257,4,FALSE)),"",(VLOOKUP($B21,'B-1 On-Site Hedge Baseline'!$B$1:$L$257,4,FALSE))))</f>
        <v/>
      </c>
      <c r="E21" s="310" t="str">
        <f>IF(B21="","",IF(ISNA(VLOOKUP($B21,'B-1 On-Site Hedge Baseline'!$B$1:$L$257,5,FALSE)),"",(VLOOKUP($B21,'B-1 On-Site Hedge Baseline'!$B$1:$L$257,5,FALSE))))</f>
        <v/>
      </c>
      <c r="F21" s="310" t="str">
        <f>IF(B21="","",IF(ISNA(VLOOKUP($B21,'B-1 On-Site Hedge Baseline'!$B$1:$L$257,6,FALSE)),"",(VLOOKUP($B21,'B-1 On-Site Hedge Baseline'!$B$1:$L$257,6,FALSE))))</f>
        <v/>
      </c>
      <c r="G21" s="310" t="str">
        <f>IF(B21="","",IF(ISNA(VLOOKUP($B21,'B-1 On-Site Hedge Baseline'!$B$1:$L$257,7,FALSE)),"",(VLOOKUP($B21,'B-1 On-Site Hedge Baseline'!$B$1:$L$257,7,FALSE))))</f>
        <v/>
      </c>
      <c r="H21" s="310" t="str">
        <f>IF(B21="","",IF(ISNA(VLOOKUP($B21,'B-1 On-Site Hedge Baseline'!$B$1:$L$257,8,FALSE)),"",(VLOOKUP($B21,'B-1 On-Site Hedge Baseline'!$B$1:$L$257,8,FALSE))))</f>
        <v/>
      </c>
      <c r="I21" s="310" t="str">
        <f>IF(B21="","",IF(ISNA(VLOOKUP($B21,'B-1 On-Site Hedge Baseline'!$B$1:$L$257,10,FALSE)),"",(VLOOKUP($B21,'B-1 On-Site Hedge Baseline'!$B$1:$L$257,10,FALSE))))</f>
        <v/>
      </c>
      <c r="J21" s="310" t="str">
        <f>IF(B21="","",IF(ISNA(VLOOKUP($B21,'B-1 On-Site Hedge Baseline'!$B$1:$L$257,11,FALSE)),"",(VLOOKUP($B21,'B-1 On-Site Hedge Baseline'!$B$1:$L$257,11,FALSE))))</f>
        <v/>
      </c>
      <c r="K21" s="310" t="str">
        <f>IF(B21="","",IF(ISNA(VLOOKUP($B21,'B-1 On-Site Hedge Baseline'!$B$1:$U$257,13,FALSE)),"",(VLOOKUP($B21,'B-1 On-Site Hedge Baseline'!$B$1:$U$257,13,FALSE))))</f>
        <v/>
      </c>
      <c r="L21" s="314" t="str">
        <f>IF(B21="","",IF(ISNA(VLOOKUP($B21,'B-1 On-Site Hedge Baseline'!$B$1:$U$257,12,FALSE)),"",(VLOOKUP($B21,'B-1 On-Site Hedge Baseline'!$B$1:$U$257,12,FALSE))))</f>
        <v/>
      </c>
      <c r="M21" s="583"/>
      <c r="N21" s="290" t="str">
        <f>IFERROR(IF(B21="","",INDEX('G-6 Hedgerow Data'!$AN$3:$AZ$15,MATCH(C21,'G-6 Hedgerow Data'!$AM$3:$AM$15,0),MATCH(M21,'G-6 Hedgerow Data'!$AN$2:$AZ$2,0))),"")</f>
        <v/>
      </c>
      <c r="O21" s="291" t="str">
        <f t="shared" si="1"/>
        <v/>
      </c>
      <c r="P21" s="341" t="str">
        <f>IF(B21="","",VLOOKUP(B21,'B-1 On-Site Hedge Baseline'!$B$10:T266,16,FALSE))</f>
        <v/>
      </c>
      <c r="Q21" s="290" t="str">
        <f>IF(M21="","",VLOOKUP(M21,'G-6 Hedgerow Data'!$B$2:$AG$15,2,FALSE))</f>
        <v/>
      </c>
      <c r="R21" s="291" t="str">
        <f>IF(M21="","",VLOOKUP(M21,'G-6 Hedgerow Data'!$B$2:$AG$15,3,FALSE))</f>
        <v/>
      </c>
      <c r="S21" s="39"/>
      <c r="T21" s="328" t="str">
        <f>IFERROR(IF(S21="","",IF(AND(M21="Non-native and ornamental hedgerow", S21&lt;&gt;"Poor"),"Not possible ▲", (VLOOKUP(S21,'G-1 All Habitats'!$Z$2:$AA$9,2,FALSE)))),"")</f>
        <v/>
      </c>
      <c r="U21" s="95"/>
      <c r="V21" s="310" t="str">
        <f>IF(U21="","",IF(VLOOKUP(U21,'G-3 Multipliers'!$L$3:$N$6,2,FALSE)=0,"Spatial Data Missing ⚠",VLOOKUP(U21,'G-3 Multipliers'!$L$3:$N$6,2,FALSE)))</f>
        <v/>
      </c>
      <c r="W21" s="314" t="str">
        <f>IF(U21="","",IF(VLOOKUP(U21,'G-3 Multipliers'!$L$3:$N$6,3,FALSE)=0,"Spatial Data Missing ⚠",VLOOKUP(U21,'G-3 Multipliers'!$L$3:$N$6,3,FALSE)))</f>
        <v/>
      </c>
      <c r="X21" s="290" t="str">
        <f>IFERROR(IF(OR(LEFT(O21,5)="Error",LEFT(N21,5)="Error",T21="Error"),"Check Data ⚠",IF(F21&lt;R21,INDEX('G-6 Hedgerow Data'!$S$3:$AE$14,MATCH(C21,'G-6 Hedgerow Data'!$B$3:$B$14,0),MATCH(M21,'G-6 Hedgerow Data'!$S$2:$AE$2,0)),INDEX('G-6 Hedgerow Data'!$K$3:$Q$14,MATCH(M21,'G-6 Hedgerow Data'!$B$3:$B$14,0),MATCH(O21,'G-6 Hedgerow Data'!$K$2:$Q$2,0)))),"")</f>
        <v/>
      </c>
      <c r="Y21" s="138"/>
      <c r="Z21" s="138"/>
      <c r="AA21" s="298" t="str">
        <f t="shared" si="2"/>
        <v/>
      </c>
      <c r="AB21" s="311" t="str">
        <f t="shared" si="3"/>
        <v/>
      </c>
      <c r="AC21" s="312" t="str">
        <f t="shared" si="0"/>
        <v/>
      </c>
      <c r="AD21" s="325" t="str">
        <f>IF(M21="","",VLOOKUP(M21,'G-6 Hedgerow Data'!$B$3:$AG$15,31,FALSE))</f>
        <v/>
      </c>
      <c r="AE21" s="298" t="str">
        <f t="shared" si="4"/>
        <v/>
      </c>
      <c r="AF21" s="298" t="str">
        <f t="shared" si="5"/>
        <v/>
      </c>
      <c r="AG21" s="314" t="str">
        <f>IFERROR(IF(O21="","",VLOOKUP(AD21,'G-3 Multipliers'!$P$3:$Q$6,2,FALSE)),"")</f>
        <v/>
      </c>
      <c r="AH21" s="304" t="str">
        <f t="shared" si="6"/>
        <v/>
      </c>
      <c r="AI21" s="157"/>
      <c r="AJ21" s="99"/>
      <c r="AK21" s="101"/>
      <c r="AT21" s="15" t="str">
        <f>IFERROR(INDEX('G-6 Hedgerow Data'!$BJ$3:$BJ$15,MATCH(M21,'G-6 Hedgerow Data'!$B$3:$B$15,0)),"")</f>
        <v/>
      </c>
    </row>
    <row r="22" spans="2:46" ht="14" x14ac:dyDescent="0.3">
      <c r="B22" s="319" t="str">
        <f>'B-1 On-Site Hedge Baseline'!AK20</f>
        <v/>
      </c>
      <c r="C22" s="310" t="str">
        <f>IF(B22="","",IF(ISNA(VLOOKUP($B22,'B-1 On-Site Hedge Baseline'!$B$1:$L$257,3,FALSE)),"",(VLOOKUP($B22,'B-1 On-Site Hedge Baseline'!$B$1:$L$257,3,FALSE))))</f>
        <v/>
      </c>
      <c r="D22" s="310" t="str">
        <f>IF(B22="","",IF(ISNA(VLOOKUP($B22,'B-1 On-Site Hedge Baseline'!$B$1:$L$257,4,FALSE)),"",(VLOOKUP($B22,'B-1 On-Site Hedge Baseline'!$B$1:$L$257,4,FALSE))))</f>
        <v/>
      </c>
      <c r="E22" s="310" t="str">
        <f>IF(B22="","",IF(ISNA(VLOOKUP($B22,'B-1 On-Site Hedge Baseline'!$B$1:$L$257,5,FALSE)),"",(VLOOKUP($B22,'B-1 On-Site Hedge Baseline'!$B$1:$L$257,5,FALSE))))</f>
        <v/>
      </c>
      <c r="F22" s="310" t="str">
        <f>IF(B22="","",IF(ISNA(VLOOKUP($B22,'B-1 On-Site Hedge Baseline'!$B$1:$L$257,6,FALSE)),"",(VLOOKUP($B22,'B-1 On-Site Hedge Baseline'!$B$1:$L$257,6,FALSE))))</f>
        <v/>
      </c>
      <c r="G22" s="310" t="str">
        <f>IF(B22="","",IF(ISNA(VLOOKUP($B22,'B-1 On-Site Hedge Baseline'!$B$1:$L$257,7,FALSE)),"",(VLOOKUP($B22,'B-1 On-Site Hedge Baseline'!$B$1:$L$257,7,FALSE))))</f>
        <v/>
      </c>
      <c r="H22" s="310" t="str">
        <f>IF(B22="","",IF(ISNA(VLOOKUP($B22,'B-1 On-Site Hedge Baseline'!$B$1:$L$257,8,FALSE)),"",(VLOOKUP($B22,'B-1 On-Site Hedge Baseline'!$B$1:$L$257,8,FALSE))))</f>
        <v/>
      </c>
      <c r="I22" s="310" t="str">
        <f>IF(B22="","",IF(ISNA(VLOOKUP($B22,'B-1 On-Site Hedge Baseline'!$B$1:$L$257,10,FALSE)),"",(VLOOKUP($B22,'B-1 On-Site Hedge Baseline'!$B$1:$L$257,10,FALSE))))</f>
        <v/>
      </c>
      <c r="J22" s="310" t="str">
        <f>IF(B22="","",IF(ISNA(VLOOKUP($B22,'B-1 On-Site Hedge Baseline'!$B$1:$L$257,11,FALSE)),"",(VLOOKUP($B22,'B-1 On-Site Hedge Baseline'!$B$1:$L$257,11,FALSE))))</f>
        <v/>
      </c>
      <c r="K22" s="310" t="str">
        <f>IF(B22="","",IF(ISNA(VLOOKUP($B22,'B-1 On-Site Hedge Baseline'!$B$1:$U$257,13,FALSE)),"",(VLOOKUP($B22,'B-1 On-Site Hedge Baseline'!$B$1:$U$257,13,FALSE))))</f>
        <v/>
      </c>
      <c r="L22" s="314" t="str">
        <f>IF(B22="","",IF(ISNA(VLOOKUP($B22,'B-1 On-Site Hedge Baseline'!$B$1:$U$257,12,FALSE)),"",(VLOOKUP($B22,'B-1 On-Site Hedge Baseline'!$B$1:$U$257,12,FALSE))))</f>
        <v/>
      </c>
      <c r="M22" s="583"/>
      <c r="N22" s="290" t="str">
        <f>IFERROR(IF(B22="","",INDEX('G-6 Hedgerow Data'!$AN$3:$AZ$15,MATCH(C22,'G-6 Hedgerow Data'!$AM$3:$AM$15,0),MATCH(M22,'G-6 Hedgerow Data'!$AN$2:$AZ$2,0))),"")</f>
        <v/>
      </c>
      <c r="O22" s="291" t="str">
        <f t="shared" si="1"/>
        <v/>
      </c>
      <c r="P22" s="341" t="str">
        <f>IF(B22="","",VLOOKUP(B22,'B-1 On-Site Hedge Baseline'!$B$10:T267,16,FALSE))</f>
        <v/>
      </c>
      <c r="Q22" s="290" t="str">
        <f>IF(M22="","",VLOOKUP(M22,'G-6 Hedgerow Data'!$B$2:$AG$15,2,FALSE))</f>
        <v/>
      </c>
      <c r="R22" s="291" t="str">
        <f>IF(M22="","",VLOOKUP(M22,'G-6 Hedgerow Data'!$B$2:$AG$15,3,FALSE))</f>
        <v/>
      </c>
      <c r="S22" s="39"/>
      <c r="T22" s="328" t="str">
        <f>IFERROR(IF(S22="","",IF(AND(M22="Non-native and ornamental hedgerow", S22&lt;&gt;"Poor"),"Not possible ▲", (VLOOKUP(S22,'G-1 All Habitats'!$Z$2:$AA$9,2,FALSE)))),"")</f>
        <v/>
      </c>
      <c r="U22" s="95"/>
      <c r="V22" s="310" t="str">
        <f>IF(U22="","",IF(VLOOKUP(U22,'G-3 Multipliers'!$L$3:$N$6,2,FALSE)=0,"Spatial Data Missing ⚠",VLOOKUP(U22,'G-3 Multipliers'!$L$3:$N$6,2,FALSE)))</f>
        <v/>
      </c>
      <c r="W22" s="314" t="str">
        <f>IF(U22="","",IF(VLOOKUP(U22,'G-3 Multipliers'!$L$3:$N$6,3,FALSE)=0,"Spatial Data Missing ⚠",VLOOKUP(U22,'G-3 Multipliers'!$L$3:$N$6,3,FALSE)))</f>
        <v/>
      </c>
      <c r="X22" s="290" t="str">
        <f>IFERROR(IF(OR(LEFT(O22,5)="Error",LEFT(N22,5)="Error",T22="Error"),"Check Data ⚠",IF(F22&lt;R22,INDEX('G-6 Hedgerow Data'!$S$3:$AE$14,MATCH(C22,'G-6 Hedgerow Data'!$B$3:$B$14,0),MATCH(M22,'G-6 Hedgerow Data'!$S$2:$AE$2,0)),INDEX('G-6 Hedgerow Data'!$K$3:$Q$14,MATCH(M22,'G-6 Hedgerow Data'!$B$3:$B$14,0),MATCH(O22,'G-6 Hedgerow Data'!$K$2:$Q$2,0)))),"")</f>
        <v/>
      </c>
      <c r="Y22" s="138"/>
      <c r="Z22" s="138"/>
      <c r="AA22" s="298" t="str">
        <f t="shared" si="2"/>
        <v/>
      </c>
      <c r="AB22" s="311" t="str">
        <f t="shared" si="3"/>
        <v/>
      </c>
      <c r="AC22" s="312" t="str">
        <f t="shared" si="0"/>
        <v/>
      </c>
      <c r="AD22" s="325" t="str">
        <f>IF(M22="","",VLOOKUP(M22,'G-6 Hedgerow Data'!$B$3:$AG$15,31,FALSE))</f>
        <v/>
      </c>
      <c r="AE22" s="298" t="str">
        <f t="shared" si="4"/>
        <v/>
      </c>
      <c r="AF22" s="298" t="str">
        <f t="shared" si="5"/>
        <v/>
      </c>
      <c r="AG22" s="314" t="str">
        <f>IFERROR(IF(O22="","",VLOOKUP(AD22,'G-3 Multipliers'!$P$3:$Q$6,2,FALSE)),"")</f>
        <v/>
      </c>
      <c r="AH22" s="304" t="str">
        <f t="shared" si="6"/>
        <v/>
      </c>
      <c r="AI22" s="157"/>
      <c r="AJ22" s="99"/>
      <c r="AK22" s="101"/>
      <c r="AT22" s="15" t="str">
        <f>IFERROR(INDEX('G-6 Hedgerow Data'!$BJ$3:$BJ$15,MATCH(M22,'G-6 Hedgerow Data'!$B$3:$B$15,0)),"")</f>
        <v/>
      </c>
    </row>
    <row r="23" spans="2:46" ht="14" x14ac:dyDescent="0.3">
      <c r="B23" s="319" t="str">
        <f>'B-1 On-Site Hedge Baseline'!AK21</f>
        <v/>
      </c>
      <c r="C23" s="310" t="str">
        <f>IF(B23="","",IF(ISNA(VLOOKUP($B23,'B-1 On-Site Hedge Baseline'!$B$1:$L$257,3,FALSE)),"",(VLOOKUP($B23,'B-1 On-Site Hedge Baseline'!$B$1:$L$257,3,FALSE))))</f>
        <v/>
      </c>
      <c r="D23" s="310" t="str">
        <f>IF(B23="","",IF(ISNA(VLOOKUP($B23,'B-1 On-Site Hedge Baseline'!$B$1:$L$257,4,FALSE)),"",(VLOOKUP($B23,'B-1 On-Site Hedge Baseline'!$B$1:$L$257,4,FALSE))))</f>
        <v/>
      </c>
      <c r="E23" s="310" t="str">
        <f>IF(B23="","",IF(ISNA(VLOOKUP($B23,'B-1 On-Site Hedge Baseline'!$B$1:$L$257,5,FALSE)),"",(VLOOKUP($B23,'B-1 On-Site Hedge Baseline'!$B$1:$L$257,5,FALSE))))</f>
        <v/>
      </c>
      <c r="F23" s="310" t="str">
        <f>IF(B23="","",IF(ISNA(VLOOKUP($B23,'B-1 On-Site Hedge Baseline'!$B$1:$L$257,6,FALSE)),"",(VLOOKUP($B23,'B-1 On-Site Hedge Baseline'!$B$1:$L$257,6,FALSE))))</f>
        <v/>
      </c>
      <c r="G23" s="310" t="str">
        <f>IF(B23="","",IF(ISNA(VLOOKUP($B23,'B-1 On-Site Hedge Baseline'!$B$1:$L$257,7,FALSE)),"",(VLOOKUP($B23,'B-1 On-Site Hedge Baseline'!$B$1:$L$257,7,FALSE))))</f>
        <v/>
      </c>
      <c r="H23" s="310" t="str">
        <f>IF(B23="","",IF(ISNA(VLOOKUP($B23,'B-1 On-Site Hedge Baseline'!$B$1:$L$257,8,FALSE)),"",(VLOOKUP($B23,'B-1 On-Site Hedge Baseline'!$B$1:$L$257,8,FALSE))))</f>
        <v/>
      </c>
      <c r="I23" s="310" t="str">
        <f>IF(B23="","",IF(ISNA(VLOOKUP($B23,'B-1 On-Site Hedge Baseline'!$B$1:$L$257,10,FALSE)),"",(VLOOKUP($B23,'B-1 On-Site Hedge Baseline'!$B$1:$L$257,10,FALSE))))</f>
        <v/>
      </c>
      <c r="J23" s="310" t="str">
        <f>IF(B23="","",IF(ISNA(VLOOKUP($B23,'B-1 On-Site Hedge Baseline'!$B$1:$L$257,11,FALSE)),"",(VLOOKUP($B23,'B-1 On-Site Hedge Baseline'!$B$1:$L$257,11,FALSE))))</f>
        <v/>
      </c>
      <c r="K23" s="310" t="str">
        <f>IF(B23="","",IF(ISNA(VLOOKUP($B23,'B-1 On-Site Hedge Baseline'!$B$1:$U$257,13,FALSE)),"",(VLOOKUP($B23,'B-1 On-Site Hedge Baseline'!$B$1:$U$257,13,FALSE))))</f>
        <v/>
      </c>
      <c r="L23" s="314" t="str">
        <f>IF(B23="","",IF(ISNA(VLOOKUP($B23,'B-1 On-Site Hedge Baseline'!$B$1:$U$257,12,FALSE)),"",(VLOOKUP($B23,'B-1 On-Site Hedge Baseline'!$B$1:$U$257,12,FALSE))))</f>
        <v/>
      </c>
      <c r="M23" s="583"/>
      <c r="N23" s="290" t="str">
        <f>IFERROR(IF(B23="","",INDEX('G-6 Hedgerow Data'!$AN$3:$AZ$15,MATCH(C23,'G-6 Hedgerow Data'!$AM$3:$AM$15,0),MATCH(M23,'G-6 Hedgerow Data'!$AN$2:$AZ$2,0))),"")</f>
        <v/>
      </c>
      <c r="O23" s="291" t="str">
        <f t="shared" si="1"/>
        <v/>
      </c>
      <c r="P23" s="341" t="str">
        <f>IF(B23="","",VLOOKUP(B23,'B-1 On-Site Hedge Baseline'!$B$10:T268,16,FALSE))</f>
        <v/>
      </c>
      <c r="Q23" s="290" t="str">
        <f>IF(M23="","",VLOOKUP(M23,'G-6 Hedgerow Data'!$B$2:$AG$15,2,FALSE))</f>
        <v/>
      </c>
      <c r="R23" s="291" t="str">
        <f>IF(M23="","",VLOOKUP(M23,'G-6 Hedgerow Data'!$B$2:$AG$15,3,FALSE))</f>
        <v/>
      </c>
      <c r="S23" s="39"/>
      <c r="T23" s="328" t="str">
        <f>IFERROR(IF(S23="","",IF(AND(M23="Non-native and ornamental hedgerow", S23&lt;&gt;"Poor"),"Not possible ▲", (VLOOKUP(S23,'G-1 All Habitats'!$Z$2:$AA$9,2,FALSE)))),"")</f>
        <v/>
      </c>
      <c r="U23" s="95"/>
      <c r="V23" s="310" t="str">
        <f>IF(U23="","",IF(VLOOKUP(U23,'G-3 Multipliers'!$L$3:$N$6,2,FALSE)=0,"Spatial Data Missing ⚠",VLOOKUP(U23,'G-3 Multipliers'!$L$3:$N$6,2,FALSE)))</f>
        <v/>
      </c>
      <c r="W23" s="314" t="str">
        <f>IF(U23="","",IF(VLOOKUP(U23,'G-3 Multipliers'!$L$3:$N$6,3,FALSE)=0,"Spatial Data Missing ⚠",VLOOKUP(U23,'G-3 Multipliers'!$L$3:$N$6,3,FALSE)))</f>
        <v/>
      </c>
      <c r="X23" s="290" t="str">
        <f>IFERROR(IF(OR(LEFT(O23,5)="Error",LEFT(N23,5)="Error",T23="Error"),"Check Data ⚠",IF(F23&lt;R23,INDEX('G-6 Hedgerow Data'!$S$3:$AE$14,MATCH(C23,'G-6 Hedgerow Data'!$B$3:$B$14,0),MATCH(M23,'G-6 Hedgerow Data'!$S$2:$AE$2,0)),INDEX('G-6 Hedgerow Data'!$K$3:$Q$14,MATCH(M23,'G-6 Hedgerow Data'!$B$3:$B$14,0),MATCH(O23,'G-6 Hedgerow Data'!$K$2:$Q$2,0)))),"")</f>
        <v/>
      </c>
      <c r="Y23" s="138"/>
      <c r="Z23" s="138"/>
      <c r="AA23" s="298" t="str">
        <f t="shared" si="2"/>
        <v/>
      </c>
      <c r="AB23" s="311" t="str">
        <f t="shared" si="3"/>
        <v/>
      </c>
      <c r="AC23" s="312" t="str">
        <f t="shared" si="0"/>
        <v/>
      </c>
      <c r="AD23" s="325" t="str">
        <f>IF(M23="","",VLOOKUP(M23,'G-6 Hedgerow Data'!$B$3:$AG$15,31,FALSE))</f>
        <v/>
      </c>
      <c r="AE23" s="298" t="str">
        <f t="shared" si="4"/>
        <v/>
      </c>
      <c r="AF23" s="298" t="str">
        <f t="shared" si="5"/>
        <v/>
      </c>
      <c r="AG23" s="314" t="str">
        <f>IFERROR(IF(O23="","",VLOOKUP(AD23,'G-3 Multipliers'!$P$3:$Q$6,2,FALSE)),"")</f>
        <v/>
      </c>
      <c r="AH23" s="304" t="str">
        <f t="shared" si="6"/>
        <v/>
      </c>
      <c r="AI23" s="157"/>
      <c r="AJ23" s="99"/>
      <c r="AK23" s="101"/>
      <c r="AT23" s="15" t="str">
        <f>IFERROR(INDEX('G-6 Hedgerow Data'!$BJ$3:$BJ$15,MATCH(M23,'G-6 Hedgerow Data'!$B$3:$B$15,0)),"")</f>
        <v/>
      </c>
    </row>
    <row r="24" spans="2:46" ht="14" x14ac:dyDescent="0.3">
      <c r="B24" s="319" t="str">
        <f>'B-1 On-Site Hedge Baseline'!AK22</f>
        <v/>
      </c>
      <c r="C24" s="310" t="str">
        <f>IF(B24="","",IF(ISNA(VLOOKUP($B24,'B-1 On-Site Hedge Baseline'!$B$1:$L$257,3,FALSE)),"",(VLOOKUP($B24,'B-1 On-Site Hedge Baseline'!$B$1:$L$257,3,FALSE))))</f>
        <v/>
      </c>
      <c r="D24" s="310" t="str">
        <f>IF(B24="","",IF(ISNA(VLOOKUP($B24,'B-1 On-Site Hedge Baseline'!$B$1:$L$257,4,FALSE)),"",(VLOOKUP($B24,'B-1 On-Site Hedge Baseline'!$B$1:$L$257,4,FALSE))))</f>
        <v/>
      </c>
      <c r="E24" s="310" t="str">
        <f>IF(B24="","",IF(ISNA(VLOOKUP($B24,'B-1 On-Site Hedge Baseline'!$B$1:$L$257,5,FALSE)),"",(VLOOKUP($B24,'B-1 On-Site Hedge Baseline'!$B$1:$L$257,5,FALSE))))</f>
        <v/>
      </c>
      <c r="F24" s="310" t="str">
        <f>IF(B24="","",IF(ISNA(VLOOKUP($B24,'B-1 On-Site Hedge Baseline'!$B$1:$L$257,6,FALSE)),"",(VLOOKUP($B24,'B-1 On-Site Hedge Baseline'!$B$1:$L$257,6,FALSE))))</f>
        <v/>
      </c>
      <c r="G24" s="310" t="str">
        <f>IF(B24="","",IF(ISNA(VLOOKUP($B24,'B-1 On-Site Hedge Baseline'!$B$1:$L$257,7,FALSE)),"",(VLOOKUP($B24,'B-1 On-Site Hedge Baseline'!$B$1:$L$257,7,FALSE))))</f>
        <v/>
      </c>
      <c r="H24" s="310" t="str">
        <f>IF(B24="","",IF(ISNA(VLOOKUP($B24,'B-1 On-Site Hedge Baseline'!$B$1:$L$257,8,FALSE)),"",(VLOOKUP($B24,'B-1 On-Site Hedge Baseline'!$B$1:$L$257,8,FALSE))))</f>
        <v/>
      </c>
      <c r="I24" s="310" t="str">
        <f>IF(B24="","",IF(ISNA(VLOOKUP($B24,'B-1 On-Site Hedge Baseline'!$B$1:$L$257,10,FALSE)),"",(VLOOKUP($B24,'B-1 On-Site Hedge Baseline'!$B$1:$L$257,10,FALSE))))</f>
        <v/>
      </c>
      <c r="J24" s="310" t="str">
        <f>IF(B24="","",IF(ISNA(VLOOKUP($B24,'B-1 On-Site Hedge Baseline'!$B$1:$L$257,11,FALSE)),"",(VLOOKUP($B24,'B-1 On-Site Hedge Baseline'!$B$1:$L$257,11,FALSE))))</f>
        <v/>
      </c>
      <c r="K24" s="310" t="str">
        <f>IF(B24="","",IF(ISNA(VLOOKUP($B24,'B-1 On-Site Hedge Baseline'!$B$1:$U$257,13,FALSE)),"",(VLOOKUP($B24,'B-1 On-Site Hedge Baseline'!$B$1:$U$257,13,FALSE))))</f>
        <v/>
      </c>
      <c r="L24" s="314" t="str">
        <f>IF(B24="","",IF(ISNA(VLOOKUP($B24,'B-1 On-Site Hedge Baseline'!$B$1:$U$257,12,FALSE)),"",(VLOOKUP($B24,'B-1 On-Site Hedge Baseline'!$B$1:$U$257,12,FALSE))))</f>
        <v/>
      </c>
      <c r="M24" s="583"/>
      <c r="N24" s="290" t="str">
        <f>IFERROR(IF(B24="","",INDEX('G-6 Hedgerow Data'!$AN$3:$AZ$15,MATCH(C24,'G-6 Hedgerow Data'!$AM$3:$AM$15,0),MATCH(M24,'G-6 Hedgerow Data'!$AN$2:$AZ$2,0))),"")</f>
        <v/>
      </c>
      <c r="O24" s="291" t="str">
        <f t="shared" si="1"/>
        <v/>
      </c>
      <c r="P24" s="341" t="str">
        <f>IF(B24="","",VLOOKUP(B24,'B-1 On-Site Hedge Baseline'!$B$10:T269,16,FALSE))</f>
        <v/>
      </c>
      <c r="Q24" s="290" t="str">
        <f>IF(M24="","",VLOOKUP(M24,'G-6 Hedgerow Data'!$B$2:$AG$15,2,FALSE))</f>
        <v/>
      </c>
      <c r="R24" s="291" t="str">
        <f>IF(M24="","",VLOOKUP(M24,'G-6 Hedgerow Data'!$B$2:$AG$15,3,FALSE))</f>
        <v/>
      </c>
      <c r="S24" s="95"/>
      <c r="T24" s="328" t="str">
        <f>IFERROR(IF(S24="","",IF(AND(M24="Non-native and ornamental hedgerow", S24&lt;&gt;"Poor"),"Not possible ▲", (VLOOKUP(S24,'G-1 All Habitats'!$Z$2:$AA$9,2,FALSE)))),"")</f>
        <v/>
      </c>
      <c r="U24" s="95"/>
      <c r="V24" s="310" t="str">
        <f>IF(U24="","",IF(VLOOKUP(U24,'G-3 Multipliers'!$L$3:$N$6,2,FALSE)=0,"Spatial Data Missing ⚠",VLOOKUP(U24,'G-3 Multipliers'!$L$3:$N$6,2,FALSE)))</f>
        <v/>
      </c>
      <c r="W24" s="314" t="str">
        <f>IF(U24="","",IF(VLOOKUP(U24,'G-3 Multipliers'!$L$3:$N$6,3,FALSE)=0,"Spatial Data Missing ⚠",VLOOKUP(U24,'G-3 Multipliers'!$L$3:$N$6,3,FALSE)))</f>
        <v/>
      </c>
      <c r="X24" s="290" t="str">
        <f>IFERROR(IF(OR(LEFT(O24,5)="Error",LEFT(N24,5)="Error",T24="Error"),"Check Data ⚠",IF(F24&lt;R24,INDEX('G-6 Hedgerow Data'!$S$3:$AE$14,MATCH(C24,'G-6 Hedgerow Data'!$B$3:$B$14,0),MATCH(M24,'G-6 Hedgerow Data'!$S$2:$AE$2,0)),INDEX('G-6 Hedgerow Data'!$K$3:$Q$14,MATCH(M24,'G-6 Hedgerow Data'!$B$3:$B$14,0),MATCH(O24,'G-6 Hedgerow Data'!$K$2:$Q$2,0)))),"")</f>
        <v/>
      </c>
      <c r="Y24" s="138"/>
      <c r="Z24" s="138"/>
      <c r="AA24" s="298" t="str">
        <f t="shared" si="2"/>
        <v/>
      </c>
      <c r="AB24" s="311" t="str">
        <f t="shared" si="3"/>
        <v/>
      </c>
      <c r="AC24" s="312" t="str">
        <f t="shared" si="0"/>
        <v/>
      </c>
      <c r="AD24" s="325" t="str">
        <f>IF(M24="","",VLOOKUP(M24,'G-6 Hedgerow Data'!$B$3:$AG$15,31,FALSE))</f>
        <v/>
      </c>
      <c r="AE24" s="298" t="str">
        <f t="shared" si="4"/>
        <v/>
      </c>
      <c r="AF24" s="298" t="str">
        <f t="shared" si="5"/>
        <v/>
      </c>
      <c r="AG24" s="314" t="str">
        <f>IFERROR(IF(O24="","",VLOOKUP(AD24,'G-3 Multipliers'!$P$3:$Q$6,2,FALSE)),"")</f>
        <v/>
      </c>
      <c r="AH24" s="304" t="str">
        <f t="shared" si="6"/>
        <v/>
      </c>
      <c r="AI24" s="157"/>
      <c r="AJ24" s="99"/>
      <c r="AK24" s="101"/>
      <c r="AT24" s="15" t="str">
        <f>IFERROR(INDEX('G-6 Hedgerow Data'!$BJ$3:$BJ$15,MATCH(M24,'G-6 Hedgerow Data'!$B$3:$B$15,0)),"")</f>
        <v/>
      </c>
    </row>
    <row r="25" spans="2:46" ht="14" x14ac:dyDescent="0.3">
      <c r="B25" s="319" t="str">
        <f>'B-1 On-Site Hedge Baseline'!AK23</f>
        <v/>
      </c>
      <c r="C25" s="310" t="str">
        <f>IF(B25="","",IF(ISNA(VLOOKUP($B25,'B-1 On-Site Hedge Baseline'!$B$1:$L$257,3,FALSE)),"",(VLOOKUP($B25,'B-1 On-Site Hedge Baseline'!$B$1:$L$257,3,FALSE))))</f>
        <v/>
      </c>
      <c r="D25" s="310" t="str">
        <f>IF(B25="","",IF(ISNA(VLOOKUP($B25,'B-1 On-Site Hedge Baseline'!$B$1:$L$257,4,FALSE)),"",(VLOOKUP($B25,'B-1 On-Site Hedge Baseline'!$B$1:$L$257,4,FALSE))))</f>
        <v/>
      </c>
      <c r="E25" s="310" t="str">
        <f>IF(B25="","",IF(ISNA(VLOOKUP($B25,'B-1 On-Site Hedge Baseline'!$B$1:$L$257,5,FALSE)),"",(VLOOKUP($B25,'B-1 On-Site Hedge Baseline'!$B$1:$L$257,5,FALSE))))</f>
        <v/>
      </c>
      <c r="F25" s="310" t="str">
        <f>IF(B25="","",IF(ISNA(VLOOKUP($B25,'B-1 On-Site Hedge Baseline'!$B$1:$L$257,6,FALSE)),"",(VLOOKUP($B25,'B-1 On-Site Hedge Baseline'!$B$1:$L$257,6,FALSE))))</f>
        <v/>
      </c>
      <c r="G25" s="310" t="str">
        <f>IF(B25="","",IF(ISNA(VLOOKUP($B25,'B-1 On-Site Hedge Baseline'!$B$1:$L$257,7,FALSE)),"",(VLOOKUP($B25,'B-1 On-Site Hedge Baseline'!$B$1:$L$257,7,FALSE))))</f>
        <v/>
      </c>
      <c r="H25" s="310" t="str">
        <f>IF(B25="","",IF(ISNA(VLOOKUP($B25,'B-1 On-Site Hedge Baseline'!$B$1:$L$257,8,FALSE)),"",(VLOOKUP($B25,'B-1 On-Site Hedge Baseline'!$B$1:$L$257,8,FALSE))))</f>
        <v/>
      </c>
      <c r="I25" s="310" t="str">
        <f>IF(B25="","",IF(ISNA(VLOOKUP($B25,'B-1 On-Site Hedge Baseline'!$B$1:$L$257,10,FALSE)),"",(VLOOKUP($B25,'B-1 On-Site Hedge Baseline'!$B$1:$L$257,10,FALSE))))</f>
        <v/>
      </c>
      <c r="J25" s="310" t="str">
        <f>IF(B25="","",IF(ISNA(VLOOKUP($B25,'B-1 On-Site Hedge Baseline'!$B$1:$L$257,11,FALSE)),"",(VLOOKUP($B25,'B-1 On-Site Hedge Baseline'!$B$1:$L$257,11,FALSE))))</f>
        <v/>
      </c>
      <c r="K25" s="310" t="str">
        <f>IF(B25="","",IF(ISNA(VLOOKUP($B25,'B-1 On-Site Hedge Baseline'!$B$1:$U$257,13,FALSE)),"",(VLOOKUP($B25,'B-1 On-Site Hedge Baseline'!$B$1:$U$257,13,FALSE))))</f>
        <v/>
      </c>
      <c r="L25" s="314" t="str">
        <f>IF(B25="","",IF(ISNA(VLOOKUP($B25,'B-1 On-Site Hedge Baseline'!$B$1:$U$257,12,FALSE)),"",(VLOOKUP($B25,'B-1 On-Site Hedge Baseline'!$B$1:$U$257,12,FALSE))))</f>
        <v/>
      </c>
      <c r="M25" s="583"/>
      <c r="N25" s="290" t="str">
        <f>IFERROR(IF(B25="","",INDEX('G-6 Hedgerow Data'!$AN$3:$AZ$15,MATCH(C25,'G-6 Hedgerow Data'!$AM$3:$AM$15,0),MATCH(M25,'G-6 Hedgerow Data'!$AN$2:$AZ$2,0))),"")</f>
        <v/>
      </c>
      <c r="O25" s="291" t="str">
        <f t="shared" si="1"/>
        <v/>
      </c>
      <c r="P25" s="341" t="str">
        <f>IF(B25="","",VLOOKUP(B25,'B-1 On-Site Hedge Baseline'!$B$10:T270,16,FALSE))</f>
        <v/>
      </c>
      <c r="Q25" s="290" t="str">
        <f>IF(M25="","",VLOOKUP(M25,'G-6 Hedgerow Data'!$B$2:$AG$15,2,FALSE))</f>
        <v/>
      </c>
      <c r="R25" s="291" t="str">
        <f>IF(M25="","",VLOOKUP(M25,'G-6 Hedgerow Data'!$B$2:$AG$15,3,FALSE))</f>
        <v/>
      </c>
      <c r="S25" s="95"/>
      <c r="T25" s="328" t="str">
        <f>IFERROR(IF(S25="","",IF(AND(M25="Non-native and ornamental hedgerow", S25&lt;&gt;"Poor"),"Not possible ▲", (VLOOKUP(S25,'G-1 All Habitats'!$Z$2:$AA$9,2,FALSE)))),"")</f>
        <v/>
      </c>
      <c r="U25" s="95"/>
      <c r="V25" s="310" t="str">
        <f>IF(U25="","",IF(VLOOKUP(U25,'G-3 Multipliers'!$L$3:$N$6,2,FALSE)=0,"Spatial Data Missing ⚠",VLOOKUP(U25,'G-3 Multipliers'!$L$3:$N$6,2,FALSE)))</f>
        <v/>
      </c>
      <c r="W25" s="314" t="str">
        <f>IF(U25="","",IF(VLOOKUP(U25,'G-3 Multipliers'!$L$3:$N$6,3,FALSE)=0,"Spatial Data Missing ⚠",VLOOKUP(U25,'G-3 Multipliers'!$L$3:$N$6,3,FALSE)))</f>
        <v/>
      </c>
      <c r="X25" s="290" t="str">
        <f>IFERROR(IF(OR(LEFT(O25,5)="Error",LEFT(N25,5)="Error",T25="Error"),"Check Data ⚠",IF(F25&lt;R25,INDEX('G-6 Hedgerow Data'!$S$3:$AE$14,MATCH(C25,'G-6 Hedgerow Data'!$B$3:$B$14,0),MATCH(M25,'G-6 Hedgerow Data'!$S$2:$AE$2,0)),INDEX('G-6 Hedgerow Data'!$K$3:$Q$14,MATCH(M25,'G-6 Hedgerow Data'!$B$3:$B$14,0),MATCH(O25,'G-6 Hedgerow Data'!$K$2:$Q$2,0)))),"")</f>
        <v/>
      </c>
      <c r="Y25" s="138"/>
      <c r="Z25" s="138"/>
      <c r="AA25" s="298" t="str">
        <f t="shared" si="2"/>
        <v/>
      </c>
      <c r="AB25" s="311" t="str">
        <f t="shared" si="3"/>
        <v/>
      </c>
      <c r="AC25" s="312" t="str">
        <f t="shared" si="0"/>
        <v/>
      </c>
      <c r="AD25" s="325" t="str">
        <f>IF(M25="","",VLOOKUP(M25,'G-6 Hedgerow Data'!$B$3:$AG$15,31,FALSE))</f>
        <v/>
      </c>
      <c r="AE25" s="298" t="str">
        <f t="shared" si="4"/>
        <v/>
      </c>
      <c r="AF25" s="298" t="str">
        <f t="shared" si="5"/>
        <v/>
      </c>
      <c r="AG25" s="314" t="str">
        <f>IFERROR(IF(O25="","",VLOOKUP(AD25,'G-3 Multipliers'!$P$3:$Q$6,2,FALSE)),"")</f>
        <v/>
      </c>
      <c r="AH25" s="304" t="str">
        <f t="shared" si="6"/>
        <v/>
      </c>
      <c r="AI25" s="157"/>
      <c r="AJ25" s="99"/>
      <c r="AK25" s="101"/>
      <c r="AT25" s="15" t="str">
        <f>IFERROR(INDEX('G-6 Hedgerow Data'!$BJ$3:$BJ$15,MATCH(M25,'G-6 Hedgerow Data'!$B$3:$B$15,0)),"")</f>
        <v/>
      </c>
    </row>
    <row r="26" spans="2:46" ht="14" x14ac:dyDescent="0.3">
      <c r="B26" s="319" t="str">
        <f>'B-1 On-Site Hedge Baseline'!AK24</f>
        <v/>
      </c>
      <c r="C26" s="310" t="str">
        <f>IF(B26="","",IF(ISNA(VLOOKUP($B26,'B-1 On-Site Hedge Baseline'!$B$1:$L$257,3,FALSE)),"",(VLOOKUP($B26,'B-1 On-Site Hedge Baseline'!$B$1:$L$257,3,FALSE))))</f>
        <v/>
      </c>
      <c r="D26" s="310" t="str">
        <f>IF(B26="","",IF(ISNA(VLOOKUP($B26,'B-1 On-Site Hedge Baseline'!$B$1:$L$257,4,FALSE)),"",(VLOOKUP($B26,'B-1 On-Site Hedge Baseline'!$B$1:$L$257,4,FALSE))))</f>
        <v/>
      </c>
      <c r="E26" s="310" t="str">
        <f>IF(B26="","",IF(ISNA(VLOOKUP($B26,'B-1 On-Site Hedge Baseline'!$B$1:$L$257,5,FALSE)),"",(VLOOKUP($B26,'B-1 On-Site Hedge Baseline'!$B$1:$L$257,5,FALSE))))</f>
        <v/>
      </c>
      <c r="F26" s="310" t="str">
        <f>IF(B26="","",IF(ISNA(VLOOKUP($B26,'B-1 On-Site Hedge Baseline'!$B$1:$L$257,6,FALSE)),"",(VLOOKUP($B26,'B-1 On-Site Hedge Baseline'!$B$1:$L$257,6,FALSE))))</f>
        <v/>
      </c>
      <c r="G26" s="310" t="str">
        <f>IF(B26="","",IF(ISNA(VLOOKUP($B26,'B-1 On-Site Hedge Baseline'!$B$1:$L$257,7,FALSE)),"",(VLOOKUP($B26,'B-1 On-Site Hedge Baseline'!$B$1:$L$257,7,FALSE))))</f>
        <v/>
      </c>
      <c r="H26" s="310" t="str">
        <f>IF(B26="","",IF(ISNA(VLOOKUP($B26,'B-1 On-Site Hedge Baseline'!$B$1:$L$257,8,FALSE)),"",(VLOOKUP($B26,'B-1 On-Site Hedge Baseline'!$B$1:$L$257,8,FALSE))))</f>
        <v/>
      </c>
      <c r="I26" s="310" t="str">
        <f>IF(B26="","",IF(ISNA(VLOOKUP($B26,'B-1 On-Site Hedge Baseline'!$B$1:$L$257,10,FALSE)),"",(VLOOKUP($B26,'B-1 On-Site Hedge Baseline'!$B$1:$L$257,10,FALSE))))</f>
        <v/>
      </c>
      <c r="J26" s="310" t="str">
        <f>IF(B26="","",IF(ISNA(VLOOKUP($B26,'B-1 On-Site Hedge Baseline'!$B$1:$L$257,11,FALSE)),"",(VLOOKUP($B26,'B-1 On-Site Hedge Baseline'!$B$1:$L$257,11,FALSE))))</f>
        <v/>
      </c>
      <c r="K26" s="310" t="str">
        <f>IF(B26="","",IF(ISNA(VLOOKUP($B26,'B-1 On-Site Hedge Baseline'!$B$1:$U$257,13,FALSE)),"",(VLOOKUP($B26,'B-1 On-Site Hedge Baseline'!$B$1:$U$257,13,FALSE))))</f>
        <v/>
      </c>
      <c r="L26" s="314" t="str">
        <f>IF(B26="","",IF(ISNA(VLOOKUP($B26,'B-1 On-Site Hedge Baseline'!$B$1:$U$257,12,FALSE)),"",(VLOOKUP($B26,'B-1 On-Site Hedge Baseline'!$B$1:$U$257,12,FALSE))))</f>
        <v/>
      </c>
      <c r="M26" s="583"/>
      <c r="N26" s="290" t="str">
        <f>IFERROR(IF(B26="","",INDEX('G-6 Hedgerow Data'!$AN$3:$AZ$15,MATCH(C26,'G-6 Hedgerow Data'!$AM$3:$AM$15,0),MATCH(M26,'G-6 Hedgerow Data'!$AN$2:$AZ$2,0))),"")</f>
        <v/>
      </c>
      <c r="O26" s="291" t="str">
        <f t="shared" si="1"/>
        <v/>
      </c>
      <c r="P26" s="341" t="str">
        <f>IF(B26="","",VLOOKUP(B26,'B-1 On-Site Hedge Baseline'!$B$10:T271,16,FALSE))</f>
        <v/>
      </c>
      <c r="Q26" s="290" t="str">
        <f>IF(M26="","",VLOOKUP(M26,'G-6 Hedgerow Data'!$B$2:$AG$15,2,FALSE))</f>
        <v/>
      </c>
      <c r="R26" s="291" t="str">
        <f>IF(M26="","",VLOOKUP(M26,'G-6 Hedgerow Data'!$B$2:$AG$15,3,FALSE))</f>
        <v/>
      </c>
      <c r="S26" s="95"/>
      <c r="T26" s="328" t="str">
        <f>IFERROR(IF(S26="","",IF(AND(M26="Non-native and ornamental hedgerow", S26&lt;&gt;"Poor"),"Not possible ▲", (VLOOKUP(S26,'G-1 All Habitats'!$Z$2:$AA$9,2,FALSE)))),"")</f>
        <v/>
      </c>
      <c r="U26" s="95"/>
      <c r="V26" s="310" t="str">
        <f>IF(U26="","",IF(VLOOKUP(U26,'G-3 Multipliers'!$L$3:$N$6,2,FALSE)=0,"Spatial Data Missing ⚠",VLOOKUP(U26,'G-3 Multipliers'!$L$3:$N$6,2,FALSE)))</f>
        <v/>
      </c>
      <c r="W26" s="314" t="str">
        <f>IF(U26="","",IF(VLOOKUP(U26,'G-3 Multipliers'!$L$3:$N$6,3,FALSE)=0,"Spatial Data Missing ⚠",VLOOKUP(U26,'G-3 Multipliers'!$L$3:$N$6,3,FALSE)))</f>
        <v/>
      </c>
      <c r="X26" s="290" t="str">
        <f>IFERROR(IF(OR(LEFT(O26,5)="Error",LEFT(N26,5)="Error",T26="Error"),"Check Data ⚠",IF(F26&lt;R26,INDEX('G-6 Hedgerow Data'!$S$3:$AE$14,MATCH(C26,'G-6 Hedgerow Data'!$B$3:$B$14,0),MATCH(M26,'G-6 Hedgerow Data'!$S$2:$AE$2,0)),INDEX('G-6 Hedgerow Data'!$K$3:$Q$14,MATCH(M26,'G-6 Hedgerow Data'!$B$3:$B$14,0),MATCH(O26,'G-6 Hedgerow Data'!$K$2:$Q$2,0)))),"")</f>
        <v/>
      </c>
      <c r="Y26" s="138"/>
      <c r="Z26" s="138"/>
      <c r="AA26" s="298" t="str">
        <f t="shared" si="2"/>
        <v/>
      </c>
      <c r="AB26" s="311" t="str">
        <f t="shared" si="3"/>
        <v/>
      </c>
      <c r="AC26" s="312" t="str">
        <f t="shared" si="0"/>
        <v/>
      </c>
      <c r="AD26" s="325" t="str">
        <f>IF(M26="","",VLOOKUP(M26,'G-6 Hedgerow Data'!$B$3:$AG$15,31,FALSE))</f>
        <v/>
      </c>
      <c r="AE26" s="298" t="str">
        <f t="shared" si="4"/>
        <v/>
      </c>
      <c r="AF26" s="298" t="str">
        <f t="shared" si="5"/>
        <v/>
      </c>
      <c r="AG26" s="314" t="str">
        <f>IFERROR(IF(O26="","",VLOOKUP(AD26,'G-3 Multipliers'!$P$3:$Q$6,2,FALSE)),"")</f>
        <v/>
      </c>
      <c r="AH26" s="304" t="str">
        <f t="shared" si="6"/>
        <v/>
      </c>
      <c r="AI26" s="157"/>
      <c r="AJ26" s="99"/>
      <c r="AK26" s="101"/>
      <c r="AT26" s="15" t="str">
        <f>IFERROR(INDEX('G-6 Hedgerow Data'!$BJ$3:$BJ$15,MATCH(M26,'G-6 Hedgerow Data'!$B$3:$B$15,0)),"")</f>
        <v/>
      </c>
    </row>
    <row r="27" spans="2:46" ht="14" x14ac:dyDescent="0.3">
      <c r="B27" s="319" t="str">
        <f>'B-1 On-Site Hedge Baseline'!AK25</f>
        <v/>
      </c>
      <c r="C27" s="310" t="str">
        <f>IF(B27="","",IF(ISNA(VLOOKUP($B27,'B-1 On-Site Hedge Baseline'!$B$1:$L$257,3,FALSE)),"",(VLOOKUP($B27,'B-1 On-Site Hedge Baseline'!$B$1:$L$257,3,FALSE))))</f>
        <v/>
      </c>
      <c r="D27" s="310" t="str">
        <f>IF(B27="","",IF(ISNA(VLOOKUP($B27,'B-1 On-Site Hedge Baseline'!$B$1:$L$257,4,FALSE)),"",(VLOOKUP($B27,'B-1 On-Site Hedge Baseline'!$B$1:$L$257,4,FALSE))))</f>
        <v/>
      </c>
      <c r="E27" s="310" t="str">
        <f>IF(B27="","",IF(ISNA(VLOOKUP($B27,'B-1 On-Site Hedge Baseline'!$B$1:$L$257,5,FALSE)),"",(VLOOKUP($B27,'B-1 On-Site Hedge Baseline'!$B$1:$L$257,5,FALSE))))</f>
        <v/>
      </c>
      <c r="F27" s="310" t="str">
        <f>IF(B27="","",IF(ISNA(VLOOKUP($B27,'B-1 On-Site Hedge Baseline'!$B$1:$L$257,6,FALSE)),"",(VLOOKUP($B27,'B-1 On-Site Hedge Baseline'!$B$1:$L$257,6,FALSE))))</f>
        <v/>
      </c>
      <c r="G27" s="310" t="str">
        <f>IF(B27="","",IF(ISNA(VLOOKUP($B27,'B-1 On-Site Hedge Baseline'!$B$1:$L$257,7,FALSE)),"",(VLOOKUP($B27,'B-1 On-Site Hedge Baseline'!$B$1:$L$257,7,FALSE))))</f>
        <v/>
      </c>
      <c r="H27" s="310" t="str">
        <f>IF(B27="","",IF(ISNA(VLOOKUP($B27,'B-1 On-Site Hedge Baseline'!$B$1:$L$257,8,FALSE)),"",(VLOOKUP($B27,'B-1 On-Site Hedge Baseline'!$B$1:$L$257,8,FALSE))))</f>
        <v/>
      </c>
      <c r="I27" s="310" t="str">
        <f>IF(B27="","",IF(ISNA(VLOOKUP($B27,'B-1 On-Site Hedge Baseline'!$B$1:$L$257,10,FALSE)),"",(VLOOKUP($B27,'B-1 On-Site Hedge Baseline'!$B$1:$L$257,10,FALSE))))</f>
        <v/>
      </c>
      <c r="J27" s="310" t="str">
        <f>IF(B27="","",IF(ISNA(VLOOKUP($B27,'B-1 On-Site Hedge Baseline'!$B$1:$L$257,11,FALSE)),"",(VLOOKUP($B27,'B-1 On-Site Hedge Baseline'!$B$1:$L$257,11,FALSE))))</f>
        <v/>
      </c>
      <c r="K27" s="310" t="str">
        <f>IF(B27="","",IF(ISNA(VLOOKUP($B27,'B-1 On-Site Hedge Baseline'!$B$1:$U$257,13,FALSE)),"",(VLOOKUP($B27,'B-1 On-Site Hedge Baseline'!$B$1:$U$257,13,FALSE))))</f>
        <v/>
      </c>
      <c r="L27" s="314" t="str">
        <f>IF(B27="","",IF(ISNA(VLOOKUP($B27,'B-1 On-Site Hedge Baseline'!$B$1:$U$257,12,FALSE)),"",(VLOOKUP($B27,'B-1 On-Site Hedge Baseline'!$B$1:$U$257,12,FALSE))))</f>
        <v/>
      </c>
      <c r="M27" s="583"/>
      <c r="N27" s="290" t="str">
        <f>IFERROR(IF(B27="","",INDEX('G-6 Hedgerow Data'!$AN$3:$AZ$15,MATCH(C27,'G-6 Hedgerow Data'!$AM$3:$AM$15,0),MATCH(M27,'G-6 Hedgerow Data'!$AN$2:$AZ$2,0))),"")</f>
        <v/>
      </c>
      <c r="O27" s="291" t="str">
        <f t="shared" si="1"/>
        <v/>
      </c>
      <c r="P27" s="341" t="str">
        <f>IF(B27="","",VLOOKUP(B27,'B-1 On-Site Hedge Baseline'!$B$10:T272,16,FALSE))</f>
        <v/>
      </c>
      <c r="Q27" s="290" t="str">
        <f>IF(M27="","",VLOOKUP(M27,'G-6 Hedgerow Data'!$B$2:$AG$15,2,FALSE))</f>
        <v/>
      </c>
      <c r="R27" s="291" t="str">
        <f>IF(M27="","",VLOOKUP(M27,'G-6 Hedgerow Data'!$B$2:$AG$15,3,FALSE))</f>
        <v/>
      </c>
      <c r="S27" s="95"/>
      <c r="T27" s="328" t="str">
        <f>IFERROR(IF(S27="","",IF(AND(M27="Non-native and ornamental hedgerow", S27&lt;&gt;"Poor"),"Not possible ▲", (VLOOKUP(S27,'G-1 All Habitats'!$Z$2:$AA$9,2,FALSE)))),"")</f>
        <v/>
      </c>
      <c r="U27" s="95"/>
      <c r="V27" s="310" t="str">
        <f>IF(U27="","",IF(VLOOKUP(U27,'G-3 Multipliers'!$L$3:$N$6,2,FALSE)=0,"Spatial Data Missing ⚠",VLOOKUP(U27,'G-3 Multipliers'!$L$3:$N$6,2,FALSE)))</f>
        <v/>
      </c>
      <c r="W27" s="314" t="str">
        <f>IF(U27="","",IF(VLOOKUP(U27,'G-3 Multipliers'!$L$3:$N$6,3,FALSE)=0,"Spatial Data Missing ⚠",VLOOKUP(U27,'G-3 Multipliers'!$L$3:$N$6,3,FALSE)))</f>
        <v/>
      </c>
      <c r="X27" s="290" t="str">
        <f>IFERROR(IF(OR(LEFT(O27,5)="Error",LEFT(N27,5)="Error",T27="Error"),"Check Data ⚠",IF(F27&lt;R27,INDEX('G-6 Hedgerow Data'!$S$3:$AE$14,MATCH(C27,'G-6 Hedgerow Data'!$B$3:$B$14,0),MATCH(M27,'G-6 Hedgerow Data'!$S$2:$AE$2,0)),INDEX('G-6 Hedgerow Data'!$K$3:$Q$14,MATCH(M27,'G-6 Hedgerow Data'!$B$3:$B$14,0),MATCH(O27,'G-6 Hedgerow Data'!$K$2:$Q$2,0)))),"")</f>
        <v/>
      </c>
      <c r="Y27" s="138"/>
      <c r="Z27" s="138"/>
      <c r="AA27" s="298" t="str">
        <f t="shared" si="2"/>
        <v/>
      </c>
      <c r="AB27" s="311" t="str">
        <f t="shared" si="3"/>
        <v/>
      </c>
      <c r="AC27" s="312" t="str">
        <f t="shared" si="0"/>
        <v/>
      </c>
      <c r="AD27" s="325" t="str">
        <f>IF(M27="","",VLOOKUP(M27,'G-6 Hedgerow Data'!$B$3:$AG$15,31,FALSE))</f>
        <v/>
      </c>
      <c r="AE27" s="298" t="str">
        <f t="shared" si="4"/>
        <v/>
      </c>
      <c r="AF27" s="298" t="str">
        <f t="shared" si="5"/>
        <v/>
      </c>
      <c r="AG27" s="314" t="str">
        <f>IFERROR(IF(O27="","",VLOOKUP(AD27,'G-3 Multipliers'!$P$3:$Q$6,2,FALSE)),"")</f>
        <v/>
      </c>
      <c r="AH27" s="304" t="str">
        <f t="shared" si="6"/>
        <v/>
      </c>
      <c r="AI27" s="157"/>
      <c r="AJ27" s="99"/>
      <c r="AK27" s="101"/>
      <c r="AT27" s="15" t="str">
        <f>IFERROR(INDEX('G-6 Hedgerow Data'!$BJ$3:$BJ$15,MATCH(M27,'G-6 Hedgerow Data'!$B$3:$B$15,0)),"")</f>
        <v/>
      </c>
    </row>
    <row r="28" spans="2:46" ht="14" x14ac:dyDescent="0.3">
      <c r="B28" s="319" t="str">
        <f>'B-1 On-Site Hedge Baseline'!AK26</f>
        <v/>
      </c>
      <c r="C28" s="310" t="str">
        <f>IF(B28="","",IF(ISNA(VLOOKUP($B28,'B-1 On-Site Hedge Baseline'!$B$1:$L$257,3,FALSE)),"",(VLOOKUP($B28,'B-1 On-Site Hedge Baseline'!$B$1:$L$257,3,FALSE))))</f>
        <v/>
      </c>
      <c r="D28" s="310" t="str">
        <f>IF(B28="","",IF(ISNA(VLOOKUP($B28,'B-1 On-Site Hedge Baseline'!$B$1:$L$257,4,FALSE)),"",(VLOOKUP($B28,'B-1 On-Site Hedge Baseline'!$B$1:$L$257,4,FALSE))))</f>
        <v/>
      </c>
      <c r="E28" s="310" t="str">
        <f>IF(B28="","",IF(ISNA(VLOOKUP($B28,'B-1 On-Site Hedge Baseline'!$B$1:$L$257,5,FALSE)),"",(VLOOKUP($B28,'B-1 On-Site Hedge Baseline'!$B$1:$L$257,5,FALSE))))</f>
        <v/>
      </c>
      <c r="F28" s="310" t="str">
        <f>IF(B28="","",IF(ISNA(VLOOKUP($B28,'B-1 On-Site Hedge Baseline'!$B$1:$L$257,6,FALSE)),"",(VLOOKUP($B28,'B-1 On-Site Hedge Baseline'!$B$1:$L$257,6,FALSE))))</f>
        <v/>
      </c>
      <c r="G28" s="310" t="str">
        <f>IF(B28="","",IF(ISNA(VLOOKUP($B28,'B-1 On-Site Hedge Baseline'!$B$1:$L$257,7,FALSE)),"",(VLOOKUP($B28,'B-1 On-Site Hedge Baseline'!$B$1:$L$257,7,FALSE))))</f>
        <v/>
      </c>
      <c r="H28" s="310" t="str">
        <f>IF(B28="","",IF(ISNA(VLOOKUP($B28,'B-1 On-Site Hedge Baseline'!$B$1:$L$257,8,FALSE)),"",(VLOOKUP($B28,'B-1 On-Site Hedge Baseline'!$B$1:$L$257,8,FALSE))))</f>
        <v/>
      </c>
      <c r="I28" s="310" t="str">
        <f>IF(B28="","",IF(ISNA(VLOOKUP($B28,'B-1 On-Site Hedge Baseline'!$B$1:$L$257,10,FALSE)),"",(VLOOKUP($B28,'B-1 On-Site Hedge Baseline'!$B$1:$L$257,10,FALSE))))</f>
        <v/>
      </c>
      <c r="J28" s="310" t="str">
        <f>IF(B28="","",IF(ISNA(VLOOKUP($B28,'B-1 On-Site Hedge Baseline'!$B$1:$L$257,11,FALSE)),"",(VLOOKUP($B28,'B-1 On-Site Hedge Baseline'!$B$1:$L$257,11,FALSE))))</f>
        <v/>
      </c>
      <c r="K28" s="310" t="str">
        <f>IF(B28="","",IF(ISNA(VLOOKUP($B28,'B-1 On-Site Hedge Baseline'!$B$1:$U$257,13,FALSE)),"",(VLOOKUP($B28,'B-1 On-Site Hedge Baseline'!$B$1:$U$257,13,FALSE))))</f>
        <v/>
      </c>
      <c r="L28" s="314" t="str">
        <f>IF(B28="","",IF(ISNA(VLOOKUP($B28,'B-1 On-Site Hedge Baseline'!$B$1:$U$257,12,FALSE)),"",(VLOOKUP($B28,'B-1 On-Site Hedge Baseline'!$B$1:$U$257,12,FALSE))))</f>
        <v/>
      </c>
      <c r="M28" s="583"/>
      <c r="N28" s="290" t="str">
        <f>IFERROR(IF(B28="","",INDEX('G-6 Hedgerow Data'!$AN$3:$AZ$15,MATCH(C28,'G-6 Hedgerow Data'!$AM$3:$AM$15,0),MATCH(M28,'G-6 Hedgerow Data'!$AN$2:$AZ$2,0))),"")</f>
        <v/>
      </c>
      <c r="O28" s="291" t="str">
        <f t="shared" si="1"/>
        <v/>
      </c>
      <c r="P28" s="341" t="str">
        <f>IF(B28="","",VLOOKUP(B28,'B-1 On-Site Hedge Baseline'!$B$10:T273,16,FALSE))</f>
        <v/>
      </c>
      <c r="Q28" s="290" t="str">
        <f>IF(M28="","",VLOOKUP(M28,'G-6 Hedgerow Data'!$B$2:$AG$15,2,FALSE))</f>
        <v/>
      </c>
      <c r="R28" s="291" t="str">
        <f>IF(M28="","",VLOOKUP(M28,'G-6 Hedgerow Data'!$B$2:$AG$15,3,FALSE))</f>
        <v/>
      </c>
      <c r="S28" s="95"/>
      <c r="T28" s="328" t="str">
        <f>IFERROR(IF(S28="","",IF(AND(M28="Non-native and ornamental hedgerow", S28&lt;&gt;"Poor"),"Not possible ▲", (VLOOKUP(S28,'G-1 All Habitats'!$Z$2:$AA$9,2,FALSE)))),"")</f>
        <v/>
      </c>
      <c r="U28" s="95"/>
      <c r="V28" s="310" t="str">
        <f>IF(U28="","",IF(VLOOKUP(U28,'G-3 Multipliers'!$L$3:$N$6,2,FALSE)=0,"Spatial Data Missing ⚠",VLOOKUP(U28,'G-3 Multipliers'!$L$3:$N$6,2,FALSE)))</f>
        <v/>
      </c>
      <c r="W28" s="314" t="str">
        <f>IF(U28="","",IF(VLOOKUP(U28,'G-3 Multipliers'!$L$3:$N$6,3,FALSE)=0,"Spatial Data Missing ⚠",VLOOKUP(U28,'G-3 Multipliers'!$L$3:$N$6,3,FALSE)))</f>
        <v/>
      </c>
      <c r="X28" s="290" t="str">
        <f>IFERROR(IF(OR(LEFT(O28,5)="Error",LEFT(N28,5)="Error",T28="Error"),"Check Data ⚠",IF(F28&lt;R28,INDEX('G-6 Hedgerow Data'!$S$3:$AE$14,MATCH(C28,'G-6 Hedgerow Data'!$B$3:$B$14,0),MATCH(M28,'G-6 Hedgerow Data'!$S$2:$AE$2,0)),INDEX('G-6 Hedgerow Data'!$K$3:$Q$14,MATCH(M28,'G-6 Hedgerow Data'!$B$3:$B$14,0),MATCH(O28,'G-6 Hedgerow Data'!$K$2:$Q$2,0)))),"")</f>
        <v/>
      </c>
      <c r="Y28" s="138"/>
      <c r="Z28" s="138"/>
      <c r="AA28" s="298" t="str">
        <f t="shared" si="2"/>
        <v/>
      </c>
      <c r="AB28" s="311" t="str">
        <f t="shared" si="3"/>
        <v/>
      </c>
      <c r="AC28" s="312" t="str">
        <f t="shared" si="0"/>
        <v/>
      </c>
      <c r="AD28" s="325" t="str">
        <f>IF(M28="","",VLOOKUP(M28,'G-6 Hedgerow Data'!$B$3:$AG$15,31,FALSE))</f>
        <v/>
      </c>
      <c r="AE28" s="298" t="str">
        <f t="shared" si="4"/>
        <v/>
      </c>
      <c r="AF28" s="298" t="str">
        <f t="shared" si="5"/>
        <v/>
      </c>
      <c r="AG28" s="314" t="str">
        <f>IFERROR(IF(O28="","",VLOOKUP(AD28,'G-3 Multipliers'!$P$3:$Q$6,2,FALSE)),"")</f>
        <v/>
      </c>
      <c r="AH28" s="304" t="str">
        <f t="shared" si="6"/>
        <v/>
      </c>
      <c r="AI28" s="157"/>
      <c r="AJ28" s="99"/>
      <c r="AK28" s="101"/>
      <c r="AT28" s="15" t="str">
        <f>IFERROR(INDEX('G-6 Hedgerow Data'!$BJ$3:$BJ$15,MATCH(M28,'G-6 Hedgerow Data'!$B$3:$B$15,0)),"")</f>
        <v/>
      </c>
    </row>
    <row r="29" spans="2:46" ht="14" x14ac:dyDescent="0.3">
      <c r="B29" s="319" t="str">
        <f>'B-1 On-Site Hedge Baseline'!AK27</f>
        <v/>
      </c>
      <c r="C29" s="310" t="str">
        <f>IF(B29="","",IF(ISNA(VLOOKUP($B29,'B-1 On-Site Hedge Baseline'!$B$1:$L$257,3,FALSE)),"",(VLOOKUP($B29,'B-1 On-Site Hedge Baseline'!$B$1:$L$257,3,FALSE))))</f>
        <v/>
      </c>
      <c r="D29" s="310" t="str">
        <f>IF(B29="","",IF(ISNA(VLOOKUP($B29,'B-1 On-Site Hedge Baseline'!$B$1:$L$257,4,FALSE)),"",(VLOOKUP($B29,'B-1 On-Site Hedge Baseline'!$B$1:$L$257,4,FALSE))))</f>
        <v/>
      </c>
      <c r="E29" s="310" t="str">
        <f>IF(B29="","",IF(ISNA(VLOOKUP($B29,'B-1 On-Site Hedge Baseline'!$B$1:$L$257,5,FALSE)),"",(VLOOKUP($B29,'B-1 On-Site Hedge Baseline'!$B$1:$L$257,5,FALSE))))</f>
        <v/>
      </c>
      <c r="F29" s="310" t="str">
        <f>IF(B29="","",IF(ISNA(VLOOKUP($B29,'B-1 On-Site Hedge Baseline'!$B$1:$L$257,6,FALSE)),"",(VLOOKUP($B29,'B-1 On-Site Hedge Baseline'!$B$1:$L$257,6,FALSE))))</f>
        <v/>
      </c>
      <c r="G29" s="310" t="str">
        <f>IF(B29="","",IF(ISNA(VLOOKUP($B29,'B-1 On-Site Hedge Baseline'!$B$1:$L$257,7,FALSE)),"",(VLOOKUP($B29,'B-1 On-Site Hedge Baseline'!$B$1:$L$257,7,FALSE))))</f>
        <v/>
      </c>
      <c r="H29" s="310" t="str">
        <f>IF(B29="","",IF(ISNA(VLOOKUP($B29,'B-1 On-Site Hedge Baseline'!$B$1:$L$257,8,FALSE)),"",(VLOOKUP($B29,'B-1 On-Site Hedge Baseline'!$B$1:$L$257,8,FALSE))))</f>
        <v/>
      </c>
      <c r="I29" s="310" t="str">
        <f>IF(B29="","",IF(ISNA(VLOOKUP($B29,'B-1 On-Site Hedge Baseline'!$B$1:$L$257,10,FALSE)),"",(VLOOKUP($B29,'B-1 On-Site Hedge Baseline'!$B$1:$L$257,10,FALSE))))</f>
        <v/>
      </c>
      <c r="J29" s="310" t="str">
        <f>IF(B29="","",IF(ISNA(VLOOKUP($B29,'B-1 On-Site Hedge Baseline'!$B$1:$L$257,11,FALSE)),"",(VLOOKUP($B29,'B-1 On-Site Hedge Baseline'!$B$1:$L$257,11,FALSE))))</f>
        <v/>
      </c>
      <c r="K29" s="310" t="str">
        <f>IF(B29="","",IF(ISNA(VLOOKUP($B29,'B-1 On-Site Hedge Baseline'!$B$1:$U$257,13,FALSE)),"",(VLOOKUP($B29,'B-1 On-Site Hedge Baseline'!$B$1:$U$257,13,FALSE))))</f>
        <v/>
      </c>
      <c r="L29" s="314" t="str">
        <f>IF(B29="","",IF(ISNA(VLOOKUP($B29,'B-1 On-Site Hedge Baseline'!$B$1:$U$257,12,FALSE)),"",(VLOOKUP($B29,'B-1 On-Site Hedge Baseline'!$B$1:$U$257,12,FALSE))))</f>
        <v/>
      </c>
      <c r="M29" s="583"/>
      <c r="N29" s="290" t="str">
        <f>IFERROR(IF(B29="","",INDEX('G-6 Hedgerow Data'!$AN$3:$AZ$15,MATCH(C29,'G-6 Hedgerow Data'!$AM$3:$AM$15,0),MATCH(M29,'G-6 Hedgerow Data'!$AN$2:$AZ$2,0))),"")</f>
        <v/>
      </c>
      <c r="O29" s="291" t="str">
        <f t="shared" si="1"/>
        <v/>
      </c>
      <c r="P29" s="341" t="str">
        <f>IF(B29="","",VLOOKUP(B29,'B-1 On-Site Hedge Baseline'!$B$10:T274,16,FALSE))</f>
        <v/>
      </c>
      <c r="Q29" s="290" t="str">
        <f>IF(M29="","",VLOOKUP(M29,'G-6 Hedgerow Data'!$B$2:$AG$15,2,FALSE))</f>
        <v/>
      </c>
      <c r="R29" s="291" t="str">
        <f>IF(M29="","",VLOOKUP(M29,'G-6 Hedgerow Data'!$B$2:$AG$15,3,FALSE))</f>
        <v/>
      </c>
      <c r="S29" s="95"/>
      <c r="T29" s="328" t="str">
        <f>IFERROR(IF(S29="","",IF(AND(M29="Non-native and ornamental hedgerow", S29&lt;&gt;"Poor"),"Not possible ▲", (VLOOKUP(S29,'G-1 All Habitats'!$Z$2:$AA$9,2,FALSE)))),"")</f>
        <v/>
      </c>
      <c r="U29" s="95"/>
      <c r="V29" s="310" t="str">
        <f>IF(U29="","",IF(VLOOKUP(U29,'G-3 Multipliers'!$L$3:$N$6,2,FALSE)=0,"Spatial Data Missing ⚠",VLOOKUP(U29,'G-3 Multipliers'!$L$3:$N$6,2,FALSE)))</f>
        <v/>
      </c>
      <c r="W29" s="314" t="str">
        <f>IF(U29="","",IF(VLOOKUP(U29,'G-3 Multipliers'!$L$3:$N$6,3,FALSE)=0,"Spatial Data Missing ⚠",VLOOKUP(U29,'G-3 Multipliers'!$L$3:$N$6,3,FALSE)))</f>
        <v/>
      </c>
      <c r="X29" s="290" t="str">
        <f>IFERROR(IF(OR(LEFT(O29,5)="Error",LEFT(N29,5)="Error",T29="Error"),"Check Data ⚠",IF(F29&lt;R29,INDEX('G-6 Hedgerow Data'!$S$3:$AE$14,MATCH(C29,'G-6 Hedgerow Data'!$B$3:$B$14,0),MATCH(M29,'G-6 Hedgerow Data'!$S$2:$AE$2,0)),INDEX('G-6 Hedgerow Data'!$K$3:$Q$14,MATCH(M29,'G-6 Hedgerow Data'!$B$3:$B$14,0),MATCH(O29,'G-6 Hedgerow Data'!$K$2:$Q$2,0)))),"")</f>
        <v/>
      </c>
      <c r="Y29" s="138"/>
      <c r="Z29" s="138"/>
      <c r="AA29" s="298" t="str">
        <f t="shared" si="2"/>
        <v/>
      </c>
      <c r="AB29" s="311" t="str">
        <f t="shared" si="3"/>
        <v/>
      </c>
      <c r="AC29" s="312" t="str">
        <f t="shared" si="0"/>
        <v/>
      </c>
      <c r="AD29" s="325" t="str">
        <f>IF(M29="","",VLOOKUP(M29,'G-6 Hedgerow Data'!$B$3:$AG$15,31,FALSE))</f>
        <v/>
      </c>
      <c r="AE29" s="298" t="str">
        <f t="shared" si="4"/>
        <v/>
      </c>
      <c r="AF29" s="298" t="str">
        <f t="shared" si="5"/>
        <v/>
      </c>
      <c r="AG29" s="314" t="str">
        <f>IFERROR(IF(O29="","",VLOOKUP(AD29,'G-3 Multipliers'!$P$3:$Q$6,2,FALSE)),"")</f>
        <v/>
      </c>
      <c r="AH29" s="304" t="str">
        <f t="shared" si="6"/>
        <v/>
      </c>
      <c r="AI29" s="157"/>
      <c r="AJ29" s="99"/>
      <c r="AK29" s="101"/>
      <c r="AT29" s="15" t="str">
        <f>IFERROR(INDEX('G-6 Hedgerow Data'!$BJ$3:$BJ$15,MATCH(M29,'G-6 Hedgerow Data'!$B$3:$B$15,0)),"")</f>
        <v/>
      </c>
    </row>
    <row r="30" spans="2:46" ht="14" x14ac:dyDescent="0.3">
      <c r="B30" s="319" t="str">
        <f>'B-1 On-Site Hedge Baseline'!AK28</f>
        <v/>
      </c>
      <c r="C30" s="310" t="str">
        <f>IF(B30="","",IF(ISNA(VLOOKUP($B30,'B-1 On-Site Hedge Baseline'!$B$1:$L$257,3,FALSE)),"",(VLOOKUP($B30,'B-1 On-Site Hedge Baseline'!$B$1:$L$257,3,FALSE))))</f>
        <v/>
      </c>
      <c r="D30" s="310" t="str">
        <f>IF(B30="","",IF(ISNA(VLOOKUP($B30,'B-1 On-Site Hedge Baseline'!$B$1:$L$257,4,FALSE)),"",(VLOOKUP($B30,'B-1 On-Site Hedge Baseline'!$B$1:$L$257,4,FALSE))))</f>
        <v/>
      </c>
      <c r="E30" s="310" t="str">
        <f>IF(B30="","",IF(ISNA(VLOOKUP($B30,'B-1 On-Site Hedge Baseline'!$B$1:$L$257,5,FALSE)),"",(VLOOKUP($B30,'B-1 On-Site Hedge Baseline'!$B$1:$L$257,5,FALSE))))</f>
        <v/>
      </c>
      <c r="F30" s="310" t="str">
        <f>IF(B30="","",IF(ISNA(VLOOKUP($B30,'B-1 On-Site Hedge Baseline'!$B$1:$L$257,6,FALSE)),"",(VLOOKUP($B30,'B-1 On-Site Hedge Baseline'!$B$1:$L$257,6,FALSE))))</f>
        <v/>
      </c>
      <c r="G30" s="310" t="str">
        <f>IF(B30="","",IF(ISNA(VLOOKUP($B30,'B-1 On-Site Hedge Baseline'!$B$1:$L$257,7,FALSE)),"",(VLOOKUP($B30,'B-1 On-Site Hedge Baseline'!$B$1:$L$257,7,FALSE))))</f>
        <v/>
      </c>
      <c r="H30" s="310" t="str">
        <f>IF(B30="","",IF(ISNA(VLOOKUP($B30,'B-1 On-Site Hedge Baseline'!$B$1:$L$257,8,FALSE)),"",(VLOOKUP($B30,'B-1 On-Site Hedge Baseline'!$B$1:$L$257,8,FALSE))))</f>
        <v/>
      </c>
      <c r="I30" s="310" t="str">
        <f>IF(B30="","",IF(ISNA(VLOOKUP($B30,'B-1 On-Site Hedge Baseline'!$B$1:$L$257,10,FALSE)),"",(VLOOKUP($B30,'B-1 On-Site Hedge Baseline'!$B$1:$L$257,10,FALSE))))</f>
        <v/>
      </c>
      <c r="J30" s="310" t="str">
        <f>IF(B30="","",IF(ISNA(VLOOKUP($B30,'B-1 On-Site Hedge Baseline'!$B$1:$L$257,11,FALSE)),"",(VLOOKUP($B30,'B-1 On-Site Hedge Baseline'!$B$1:$L$257,11,FALSE))))</f>
        <v/>
      </c>
      <c r="K30" s="310" t="str">
        <f>IF(B30="","",IF(ISNA(VLOOKUP($B30,'B-1 On-Site Hedge Baseline'!$B$1:$U$257,13,FALSE)),"",(VLOOKUP($B30,'B-1 On-Site Hedge Baseline'!$B$1:$U$257,13,FALSE))))</f>
        <v/>
      </c>
      <c r="L30" s="314" t="str">
        <f>IF(B30="","",IF(ISNA(VLOOKUP($B30,'B-1 On-Site Hedge Baseline'!$B$1:$U$257,12,FALSE)),"",(VLOOKUP($B30,'B-1 On-Site Hedge Baseline'!$B$1:$U$257,12,FALSE))))</f>
        <v/>
      </c>
      <c r="M30" s="583"/>
      <c r="N30" s="290" t="str">
        <f>IFERROR(IF(B30="","",INDEX('G-6 Hedgerow Data'!$AN$3:$AZ$15,MATCH(C30,'G-6 Hedgerow Data'!$AM$3:$AM$15,0),MATCH(M30,'G-6 Hedgerow Data'!$AN$2:$AZ$2,0))),"")</f>
        <v/>
      </c>
      <c r="O30" s="291" t="str">
        <f t="shared" si="1"/>
        <v/>
      </c>
      <c r="P30" s="341" t="str">
        <f>IF(B30="","",VLOOKUP(B30,'B-1 On-Site Hedge Baseline'!$B$10:T275,16,FALSE))</f>
        <v/>
      </c>
      <c r="Q30" s="290" t="str">
        <f>IF(M30="","",VLOOKUP(M30,'G-6 Hedgerow Data'!$B$2:$AG$15,2,FALSE))</f>
        <v/>
      </c>
      <c r="R30" s="291" t="str">
        <f>IF(M30="","",VLOOKUP(M30,'G-6 Hedgerow Data'!$B$2:$AG$15,3,FALSE))</f>
        <v/>
      </c>
      <c r="S30" s="39"/>
      <c r="T30" s="328" t="str">
        <f>IFERROR(IF(S30="","",IF(AND(M30="Non-native and ornamental hedgerow", S30&lt;&gt;"Poor"),"Not possible ▲", (VLOOKUP(S30,'G-1 All Habitats'!$Z$2:$AA$9,2,FALSE)))),"")</f>
        <v/>
      </c>
      <c r="U30" s="95"/>
      <c r="V30" s="310" t="str">
        <f>IF(U30="","",IF(VLOOKUP(U30,'G-3 Multipliers'!$L$3:$N$6,2,FALSE)=0,"Spatial Data Missing ⚠",VLOOKUP(U30,'G-3 Multipliers'!$L$3:$N$6,2,FALSE)))</f>
        <v/>
      </c>
      <c r="W30" s="314" t="str">
        <f>IF(U30="","",IF(VLOOKUP(U30,'G-3 Multipliers'!$L$3:$N$6,3,FALSE)=0,"Spatial Data Missing ⚠",VLOOKUP(U30,'G-3 Multipliers'!$L$3:$N$6,3,FALSE)))</f>
        <v/>
      </c>
      <c r="X30" s="290" t="str">
        <f>IFERROR(IF(OR(LEFT(O30,5)="Error",LEFT(N30,5)="Error",T30="Error"),"Check Data ⚠",IF(F30&lt;R30,INDEX('G-6 Hedgerow Data'!$S$3:$AE$14,MATCH(C30,'G-6 Hedgerow Data'!$B$3:$B$14,0),MATCH(M30,'G-6 Hedgerow Data'!$S$2:$AE$2,0)),INDEX('G-6 Hedgerow Data'!$K$3:$Q$14,MATCH(M30,'G-6 Hedgerow Data'!$B$3:$B$14,0),MATCH(O30,'G-6 Hedgerow Data'!$K$2:$Q$2,0)))),"")</f>
        <v/>
      </c>
      <c r="Y30" s="138"/>
      <c r="Z30" s="138"/>
      <c r="AA30" s="298" t="str">
        <f t="shared" si="2"/>
        <v/>
      </c>
      <c r="AB30" s="311" t="str">
        <f t="shared" si="3"/>
        <v/>
      </c>
      <c r="AC30" s="312" t="str">
        <f t="shared" si="0"/>
        <v/>
      </c>
      <c r="AD30" s="325" t="str">
        <f>IF(M30="","",VLOOKUP(M30,'G-6 Hedgerow Data'!$B$3:$AG$15,31,FALSE))</f>
        <v/>
      </c>
      <c r="AE30" s="298" t="str">
        <f t="shared" si="4"/>
        <v/>
      </c>
      <c r="AF30" s="298" t="str">
        <f t="shared" si="5"/>
        <v/>
      </c>
      <c r="AG30" s="314" t="str">
        <f>IFERROR(IF(O30="","",VLOOKUP(AD30,'G-3 Multipliers'!$P$3:$Q$6,2,FALSE)),"")</f>
        <v/>
      </c>
      <c r="AH30" s="304" t="str">
        <f t="shared" si="6"/>
        <v/>
      </c>
      <c r="AI30" s="157"/>
      <c r="AJ30" s="99"/>
      <c r="AK30" s="101"/>
      <c r="AT30" s="15" t="str">
        <f>IFERROR(INDEX('G-6 Hedgerow Data'!$BJ$3:$BJ$15,MATCH(M30,'G-6 Hedgerow Data'!$B$3:$B$15,0)),"")</f>
        <v/>
      </c>
    </row>
    <row r="31" spans="2:46" ht="14" x14ac:dyDescent="0.3">
      <c r="B31" s="319" t="str">
        <f>'B-1 On-Site Hedge Baseline'!AK29</f>
        <v/>
      </c>
      <c r="C31" s="310" t="str">
        <f>IF(B31="","",IF(ISNA(VLOOKUP($B31,'B-1 On-Site Hedge Baseline'!$B$1:$L$257,3,FALSE)),"",(VLOOKUP($B31,'B-1 On-Site Hedge Baseline'!$B$1:$L$257,3,FALSE))))</f>
        <v/>
      </c>
      <c r="D31" s="310" t="str">
        <f>IF(B31="","",IF(ISNA(VLOOKUP($B31,'B-1 On-Site Hedge Baseline'!$B$1:$L$257,4,FALSE)),"",(VLOOKUP($B31,'B-1 On-Site Hedge Baseline'!$B$1:$L$257,4,FALSE))))</f>
        <v/>
      </c>
      <c r="E31" s="310" t="str">
        <f>IF(B31="","",IF(ISNA(VLOOKUP($B31,'B-1 On-Site Hedge Baseline'!$B$1:$L$257,5,FALSE)),"",(VLOOKUP($B31,'B-1 On-Site Hedge Baseline'!$B$1:$L$257,5,FALSE))))</f>
        <v/>
      </c>
      <c r="F31" s="310" t="str">
        <f>IF(B31="","",IF(ISNA(VLOOKUP($B31,'B-1 On-Site Hedge Baseline'!$B$1:$L$257,6,FALSE)),"",(VLOOKUP($B31,'B-1 On-Site Hedge Baseline'!$B$1:$L$257,6,FALSE))))</f>
        <v/>
      </c>
      <c r="G31" s="310" t="str">
        <f>IF(B31="","",IF(ISNA(VLOOKUP($B31,'B-1 On-Site Hedge Baseline'!$B$1:$L$257,7,FALSE)),"",(VLOOKUP($B31,'B-1 On-Site Hedge Baseline'!$B$1:$L$257,7,FALSE))))</f>
        <v/>
      </c>
      <c r="H31" s="310" t="str">
        <f>IF(B31="","",IF(ISNA(VLOOKUP($B31,'B-1 On-Site Hedge Baseline'!$B$1:$L$257,8,FALSE)),"",(VLOOKUP($B31,'B-1 On-Site Hedge Baseline'!$B$1:$L$257,8,FALSE))))</f>
        <v/>
      </c>
      <c r="I31" s="310" t="str">
        <f>IF(B31="","",IF(ISNA(VLOOKUP($B31,'B-1 On-Site Hedge Baseline'!$B$1:$L$257,10,FALSE)),"",(VLOOKUP($B31,'B-1 On-Site Hedge Baseline'!$B$1:$L$257,10,FALSE))))</f>
        <v/>
      </c>
      <c r="J31" s="310" t="str">
        <f>IF(B31="","",IF(ISNA(VLOOKUP($B31,'B-1 On-Site Hedge Baseline'!$B$1:$L$257,11,FALSE)),"",(VLOOKUP($B31,'B-1 On-Site Hedge Baseline'!$B$1:$L$257,11,FALSE))))</f>
        <v/>
      </c>
      <c r="K31" s="310" t="str">
        <f>IF(B31="","",IF(ISNA(VLOOKUP($B31,'B-1 On-Site Hedge Baseline'!$B$1:$U$257,13,FALSE)),"",(VLOOKUP($B31,'B-1 On-Site Hedge Baseline'!$B$1:$U$257,13,FALSE))))</f>
        <v/>
      </c>
      <c r="L31" s="314" t="str">
        <f>IF(B31="","",IF(ISNA(VLOOKUP($B31,'B-1 On-Site Hedge Baseline'!$B$1:$U$257,12,FALSE)),"",(VLOOKUP($B31,'B-1 On-Site Hedge Baseline'!$B$1:$U$257,12,FALSE))))</f>
        <v/>
      </c>
      <c r="M31" s="583"/>
      <c r="N31" s="290" t="str">
        <f>IFERROR(IF(B31="","",INDEX('G-6 Hedgerow Data'!$AN$3:$AZ$15,MATCH(C31,'G-6 Hedgerow Data'!$AM$3:$AM$15,0),MATCH(M31,'G-6 Hedgerow Data'!$AN$2:$AZ$2,0))),"")</f>
        <v/>
      </c>
      <c r="O31" s="291" t="str">
        <f t="shared" si="1"/>
        <v/>
      </c>
      <c r="P31" s="341" t="str">
        <f>IF(B31="","",VLOOKUP(B31,'B-1 On-Site Hedge Baseline'!$B$10:T276,16,FALSE))</f>
        <v/>
      </c>
      <c r="Q31" s="290" t="str">
        <f>IF(M31="","",VLOOKUP(M31,'G-6 Hedgerow Data'!$B$2:$AG$15,2,FALSE))</f>
        <v/>
      </c>
      <c r="R31" s="291" t="str">
        <f>IF(M31="","",VLOOKUP(M31,'G-6 Hedgerow Data'!$B$2:$AG$15,3,FALSE))</f>
        <v/>
      </c>
      <c r="S31" s="39"/>
      <c r="T31" s="328" t="str">
        <f>IFERROR(IF(S31="","",IF(AND(M31="Non-native and ornamental hedgerow", S31&lt;&gt;"Poor"),"Not possible ▲", (VLOOKUP(S31,'G-1 All Habitats'!$Z$2:$AA$9,2,FALSE)))),"")</f>
        <v/>
      </c>
      <c r="U31" s="95"/>
      <c r="V31" s="310" t="str">
        <f>IF(U31="","",IF(VLOOKUP(U31,'G-3 Multipliers'!$L$3:$N$6,2,FALSE)=0,"Spatial Data Missing ⚠",VLOOKUP(U31,'G-3 Multipliers'!$L$3:$N$6,2,FALSE)))</f>
        <v/>
      </c>
      <c r="W31" s="314" t="str">
        <f>IF(U31="","",IF(VLOOKUP(U31,'G-3 Multipliers'!$L$3:$N$6,3,FALSE)=0,"Spatial Data Missing ⚠",VLOOKUP(U31,'G-3 Multipliers'!$L$3:$N$6,3,FALSE)))</f>
        <v/>
      </c>
      <c r="X31" s="290" t="str">
        <f>IFERROR(IF(OR(LEFT(O31,5)="Error",LEFT(N31,5)="Error",T31="Error"),"Check Data ⚠",IF(F31&lt;R31,INDEX('G-6 Hedgerow Data'!$S$3:$AE$14,MATCH(C31,'G-6 Hedgerow Data'!$B$3:$B$14,0),MATCH(M31,'G-6 Hedgerow Data'!$S$2:$AE$2,0)),INDEX('G-6 Hedgerow Data'!$K$3:$Q$14,MATCH(M31,'G-6 Hedgerow Data'!$B$3:$B$14,0),MATCH(O31,'G-6 Hedgerow Data'!$K$2:$Q$2,0)))),"")</f>
        <v/>
      </c>
      <c r="Y31" s="138"/>
      <c r="Z31" s="138"/>
      <c r="AA31" s="298" t="str">
        <f t="shared" si="2"/>
        <v/>
      </c>
      <c r="AB31" s="311" t="str">
        <f t="shared" si="3"/>
        <v/>
      </c>
      <c r="AC31" s="312" t="str">
        <f t="shared" si="0"/>
        <v/>
      </c>
      <c r="AD31" s="325" t="str">
        <f>IF(M31="","",VLOOKUP(M31,'G-6 Hedgerow Data'!$B$3:$AG$15,31,FALSE))</f>
        <v/>
      </c>
      <c r="AE31" s="298" t="str">
        <f t="shared" si="4"/>
        <v/>
      </c>
      <c r="AF31" s="298" t="str">
        <f t="shared" si="5"/>
        <v/>
      </c>
      <c r="AG31" s="314" t="str">
        <f>IFERROR(IF(O31="","",VLOOKUP(AD31,'G-3 Multipliers'!$P$3:$Q$6,2,FALSE)),"")</f>
        <v/>
      </c>
      <c r="AH31" s="304" t="str">
        <f t="shared" si="6"/>
        <v/>
      </c>
      <c r="AI31" s="157"/>
      <c r="AJ31" s="99"/>
      <c r="AK31" s="101"/>
      <c r="AT31" s="15" t="str">
        <f>IFERROR(INDEX('G-6 Hedgerow Data'!$BJ$3:$BJ$15,MATCH(M31,'G-6 Hedgerow Data'!$B$3:$B$15,0)),"")</f>
        <v/>
      </c>
    </row>
    <row r="32" spans="2:46" ht="14" x14ac:dyDescent="0.3">
      <c r="B32" s="319" t="str">
        <f>'B-1 On-Site Hedge Baseline'!AK30</f>
        <v/>
      </c>
      <c r="C32" s="310" t="str">
        <f>IF(B32="","",IF(ISNA(VLOOKUP($B32,'B-1 On-Site Hedge Baseline'!$B$1:$L$257,3,FALSE)),"",(VLOOKUP($B32,'B-1 On-Site Hedge Baseline'!$B$1:$L$257,3,FALSE))))</f>
        <v/>
      </c>
      <c r="D32" s="310" t="str">
        <f>IF(B32="","",IF(ISNA(VLOOKUP($B32,'B-1 On-Site Hedge Baseline'!$B$1:$L$257,4,FALSE)),"",(VLOOKUP($B32,'B-1 On-Site Hedge Baseline'!$B$1:$L$257,4,FALSE))))</f>
        <v/>
      </c>
      <c r="E32" s="310" t="str">
        <f>IF(B32="","",IF(ISNA(VLOOKUP($B32,'B-1 On-Site Hedge Baseline'!$B$1:$L$257,5,FALSE)),"",(VLOOKUP($B32,'B-1 On-Site Hedge Baseline'!$B$1:$L$257,5,FALSE))))</f>
        <v/>
      </c>
      <c r="F32" s="310" t="str">
        <f>IF(B32="","",IF(ISNA(VLOOKUP($B32,'B-1 On-Site Hedge Baseline'!$B$1:$L$257,6,FALSE)),"",(VLOOKUP($B32,'B-1 On-Site Hedge Baseline'!$B$1:$L$257,6,FALSE))))</f>
        <v/>
      </c>
      <c r="G32" s="310" t="str">
        <f>IF(B32="","",IF(ISNA(VLOOKUP($B32,'B-1 On-Site Hedge Baseline'!$B$1:$L$257,7,FALSE)),"",(VLOOKUP($B32,'B-1 On-Site Hedge Baseline'!$B$1:$L$257,7,FALSE))))</f>
        <v/>
      </c>
      <c r="H32" s="310" t="str">
        <f>IF(B32="","",IF(ISNA(VLOOKUP($B32,'B-1 On-Site Hedge Baseline'!$B$1:$L$257,8,FALSE)),"",(VLOOKUP($B32,'B-1 On-Site Hedge Baseline'!$B$1:$L$257,8,FALSE))))</f>
        <v/>
      </c>
      <c r="I32" s="310" t="str">
        <f>IF(B32="","",IF(ISNA(VLOOKUP($B32,'B-1 On-Site Hedge Baseline'!$B$1:$L$257,10,FALSE)),"",(VLOOKUP($B32,'B-1 On-Site Hedge Baseline'!$B$1:$L$257,10,FALSE))))</f>
        <v/>
      </c>
      <c r="J32" s="310" t="str">
        <f>IF(B32="","",IF(ISNA(VLOOKUP($B32,'B-1 On-Site Hedge Baseline'!$B$1:$L$257,11,FALSE)),"",(VLOOKUP($B32,'B-1 On-Site Hedge Baseline'!$B$1:$L$257,11,FALSE))))</f>
        <v/>
      </c>
      <c r="K32" s="310" t="str">
        <f>IF(B32="","",IF(ISNA(VLOOKUP($B32,'B-1 On-Site Hedge Baseline'!$B$1:$U$257,13,FALSE)),"",(VLOOKUP($B32,'B-1 On-Site Hedge Baseline'!$B$1:$U$257,13,FALSE))))</f>
        <v/>
      </c>
      <c r="L32" s="314" t="str">
        <f>IF(B32="","",IF(ISNA(VLOOKUP($B32,'B-1 On-Site Hedge Baseline'!$B$1:$U$257,12,FALSE)),"",(VLOOKUP($B32,'B-1 On-Site Hedge Baseline'!$B$1:$U$257,12,FALSE))))</f>
        <v/>
      </c>
      <c r="M32" s="583"/>
      <c r="N32" s="290" t="str">
        <f>IFERROR(IF(B32="","",INDEX('G-6 Hedgerow Data'!$AN$3:$AZ$15,MATCH(C32,'G-6 Hedgerow Data'!$AM$3:$AM$15,0),MATCH(M32,'G-6 Hedgerow Data'!$AN$2:$AZ$2,0))),"")</f>
        <v/>
      </c>
      <c r="O32" s="291" t="str">
        <f t="shared" si="1"/>
        <v/>
      </c>
      <c r="P32" s="341" t="str">
        <f>IF(B32="","",VLOOKUP(B32,'B-1 On-Site Hedge Baseline'!$B$10:T277,16,FALSE))</f>
        <v/>
      </c>
      <c r="Q32" s="290" t="str">
        <f>IF(M32="","",VLOOKUP(M32,'G-6 Hedgerow Data'!$B$2:$AG$15,2,FALSE))</f>
        <v/>
      </c>
      <c r="R32" s="291" t="str">
        <f>IF(M32="","",VLOOKUP(M32,'G-6 Hedgerow Data'!$B$2:$AG$15,3,FALSE))</f>
        <v/>
      </c>
      <c r="S32" s="39"/>
      <c r="T32" s="328" t="str">
        <f>IFERROR(IF(S32="","",IF(AND(M32="Non-native and ornamental hedgerow", S32&lt;&gt;"Poor"),"Not possible ▲", (VLOOKUP(S32,'G-1 All Habitats'!$Z$2:$AA$9,2,FALSE)))),"")</f>
        <v/>
      </c>
      <c r="U32" s="95"/>
      <c r="V32" s="310" t="str">
        <f>IF(U32="","",IF(VLOOKUP(U32,'G-3 Multipliers'!$L$3:$N$6,2,FALSE)=0,"Spatial Data Missing ⚠",VLOOKUP(U32,'G-3 Multipliers'!$L$3:$N$6,2,FALSE)))</f>
        <v/>
      </c>
      <c r="W32" s="314" t="str">
        <f>IF(U32="","",IF(VLOOKUP(U32,'G-3 Multipliers'!$L$3:$N$6,3,FALSE)=0,"Spatial Data Missing ⚠",VLOOKUP(U32,'G-3 Multipliers'!$L$3:$N$6,3,FALSE)))</f>
        <v/>
      </c>
      <c r="X32" s="290" t="str">
        <f>IFERROR(IF(OR(LEFT(O32,5)="Error",LEFT(N32,5)="Error",T32="Error"),"Check Data ⚠",IF(F32&lt;R32,INDEX('G-6 Hedgerow Data'!$S$3:$AE$14,MATCH(C32,'G-6 Hedgerow Data'!$B$3:$B$14,0),MATCH(M32,'G-6 Hedgerow Data'!$S$2:$AE$2,0)),INDEX('G-6 Hedgerow Data'!$K$3:$Q$14,MATCH(M32,'G-6 Hedgerow Data'!$B$3:$B$14,0),MATCH(O32,'G-6 Hedgerow Data'!$K$2:$Q$2,0)))),"")</f>
        <v/>
      </c>
      <c r="Y32" s="138"/>
      <c r="Z32" s="138"/>
      <c r="AA32" s="298" t="str">
        <f t="shared" si="2"/>
        <v/>
      </c>
      <c r="AB32" s="311" t="str">
        <f t="shared" si="3"/>
        <v/>
      </c>
      <c r="AC32" s="312" t="str">
        <f t="shared" si="0"/>
        <v/>
      </c>
      <c r="AD32" s="325" t="str">
        <f>IF(M32="","",VLOOKUP(M32,'G-6 Hedgerow Data'!$B$3:$AG$15,31,FALSE))</f>
        <v/>
      </c>
      <c r="AE32" s="298" t="str">
        <f t="shared" si="4"/>
        <v/>
      </c>
      <c r="AF32" s="298" t="str">
        <f t="shared" si="5"/>
        <v/>
      </c>
      <c r="AG32" s="314" t="str">
        <f>IFERROR(IF(O32="","",VLOOKUP(AD32,'G-3 Multipliers'!$P$3:$Q$6,2,FALSE)),"")</f>
        <v/>
      </c>
      <c r="AH32" s="304" t="str">
        <f t="shared" si="6"/>
        <v/>
      </c>
      <c r="AI32" s="157"/>
      <c r="AJ32" s="99"/>
      <c r="AK32" s="101"/>
      <c r="AT32" s="15" t="str">
        <f>IFERROR(INDEX('G-6 Hedgerow Data'!$BJ$3:$BJ$15,MATCH(M32,'G-6 Hedgerow Data'!$B$3:$B$15,0)),"")</f>
        <v/>
      </c>
    </row>
    <row r="33" spans="2:46" ht="14" x14ac:dyDescent="0.3">
      <c r="B33" s="319" t="str">
        <f>'B-1 On-Site Hedge Baseline'!AK31</f>
        <v/>
      </c>
      <c r="C33" s="310" t="str">
        <f>IF(B33="","",IF(ISNA(VLOOKUP($B33,'B-1 On-Site Hedge Baseline'!$B$1:$L$257,3,FALSE)),"",(VLOOKUP($B33,'B-1 On-Site Hedge Baseline'!$B$1:$L$257,3,FALSE))))</f>
        <v/>
      </c>
      <c r="D33" s="310" t="str">
        <f>IF(B33="","",IF(ISNA(VLOOKUP($B33,'B-1 On-Site Hedge Baseline'!$B$1:$L$257,4,FALSE)),"",(VLOOKUP($B33,'B-1 On-Site Hedge Baseline'!$B$1:$L$257,4,FALSE))))</f>
        <v/>
      </c>
      <c r="E33" s="310" t="str">
        <f>IF(B33="","",IF(ISNA(VLOOKUP($B33,'B-1 On-Site Hedge Baseline'!$B$1:$L$257,5,FALSE)),"",(VLOOKUP($B33,'B-1 On-Site Hedge Baseline'!$B$1:$L$257,5,FALSE))))</f>
        <v/>
      </c>
      <c r="F33" s="310" t="str">
        <f>IF(B33="","",IF(ISNA(VLOOKUP($B33,'B-1 On-Site Hedge Baseline'!$B$1:$L$257,6,FALSE)),"",(VLOOKUP($B33,'B-1 On-Site Hedge Baseline'!$B$1:$L$257,6,FALSE))))</f>
        <v/>
      </c>
      <c r="G33" s="310" t="str">
        <f>IF(B33="","",IF(ISNA(VLOOKUP($B33,'B-1 On-Site Hedge Baseline'!$B$1:$L$257,7,FALSE)),"",(VLOOKUP($B33,'B-1 On-Site Hedge Baseline'!$B$1:$L$257,7,FALSE))))</f>
        <v/>
      </c>
      <c r="H33" s="310" t="str">
        <f>IF(B33="","",IF(ISNA(VLOOKUP($B33,'B-1 On-Site Hedge Baseline'!$B$1:$L$257,8,FALSE)),"",(VLOOKUP($B33,'B-1 On-Site Hedge Baseline'!$B$1:$L$257,8,FALSE))))</f>
        <v/>
      </c>
      <c r="I33" s="310" t="str">
        <f>IF(B33="","",IF(ISNA(VLOOKUP($B33,'B-1 On-Site Hedge Baseline'!$B$1:$L$257,10,FALSE)),"",(VLOOKUP($B33,'B-1 On-Site Hedge Baseline'!$B$1:$L$257,10,FALSE))))</f>
        <v/>
      </c>
      <c r="J33" s="310" t="str">
        <f>IF(B33="","",IF(ISNA(VLOOKUP($B33,'B-1 On-Site Hedge Baseline'!$B$1:$L$257,11,FALSE)),"",(VLOOKUP($B33,'B-1 On-Site Hedge Baseline'!$B$1:$L$257,11,FALSE))))</f>
        <v/>
      </c>
      <c r="K33" s="310" t="str">
        <f>IF(B33="","",IF(ISNA(VLOOKUP($B33,'B-1 On-Site Hedge Baseline'!$B$1:$U$257,13,FALSE)),"",(VLOOKUP($B33,'B-1 On-Site Hedge Baseline'!$B$1:$U$257,13,FALSE))))</f>
        <v/>
      </c>
      <c r="L33" s="314" t="str">
        <f>IF(B33="","",IF(ISNA(VLOOKUP($B33,'B-1 On-Site Hedge Baseline'!$B$1:$U$257,12,FALSE)),"",(VLOOKUP($B33,'B-1 On-Site Hedge Baseline'!$B$1:$U$257,12,FALSE))))</f>
        <v/>
      </c>
      <c r="M33" s="583"/>
      <c r="N33" s="290" t="str">
        <f>IFERROR(IF(B33="","",INDEX('G-6 Hedgerow Data'!$AN$3:$AZ$15,MATCH(C33,'G-6 Hedgerow Data'!$AM$3:$AM$15,0),MATCH(M33,'G-6 Hedgerow Data'!$AN$2:$AZ$2,0))),"")</f>
        <v/>
      </c>
      <c r="O33" s="291" t="str">
        <f t="shared" si="1"/>
        <v/>
      </c>
      <c r="P33" s="341" t="str">
        <f>IF(B33="","",VLOOKUP(B33,'B-1 On-Site Hedge Baseline'!$B$10:T278,16,FALSE))</f>
        <v/>
      </c>
      <c r="Q33" s="290" t="str">
        <f>IF(M33="","",VLOOKUP(M33,'G-6 Hedgerow Data'!$B$2:$AG$15,2,FALSE))</f>
        <v/>
      </c>
      <c r="R33" s="291" t="str">
        <f>IF(M33="","",VLOOKUP(M33,'G-6 Hedgerow Data'!$B$2:$AG$15,3,FALSE))</f>
        <v/>
      </c>
      <c r="S33" s="39"/>
      <c r="T33" s="328" t="str">
        <f>IFERROR(IF(S33="","",IF(AND(M33="Non-native and ornamental hedgerow", S33&lt;&gt;"Poor"),"Not possible ▲", (VLOOKUP(S33,'G-1 All Habitats'!$Z$2:$AA$9,2,FALSE)))),"")</f>
        <v/>
      </c>
      <c r="U33" s="95"/>
      <c r="V33" s="310" t="str">
        <f>IF(U33="","",IF(VLOOKUP(U33,'G-3 Multipliers'!$L$3:$N$6,2,FALSE)=0,"Spatial Data Missing ⚠",VLOOKUP(U33,'G-3 Multipliers'!$L$3:$N$6,2,FALSE)))</f>
        <v/>
      </c>
      <c r="W33" s="314" t="str">
        <f>IF(U33="","",IF(VLOOKUP(U33,'G-3 Multipliers'!$L$3:$N$6,3,FALSE)=0,"Spatial Data Missing ⚠",VLOOKUP(U33,'G-3 Multipliers'!$L$3:$N$6,3,FALSE)))</f>
        <v/>
      </c>
      <c r="X33" s="290" t="str">
        <f>IFERROR(IF(OR(LEFT(O33,5)="Error",LEFT(N33,5)="Error",T33="Error"),"Check Data ⚠",IF(F33&lt;R33,INDEX('G-6 Hedgerow Data'!$S$3:$AE$14,MATCH(C33,'G-6 Hedgerow Data'!$B$3:$B$14,0),MATCH(M33,'G-6 Hedgerow Data'!$S$2:$AE$2,0)),INDEX('G-6 Hedgerow Data'!$K$3:$Q$14,MATCH(M33,'G-6 Hedgerow Data'!$B$3:$B$14,0),MATCH(O33,'G-6 Hedgerow Data'!$K$2:$Q$2,0)))),"")</f>
        <v/>
      </c>
      <c r="Y33" s="138"/>
      <c r="Z33" s="138"/>
      <c r="AA33" s="298" t="str">
        <f t="shared" si="2"/>
        <v/>
      </c>
      <c r="AB33" s="311" t="str">
        <f t="shared" si="3"/>
        <v/>
      </c>
      <c r="AC33" s="312" t="str">
        <f t="shared" si="0"/>
        <v/>
      </c>
      <c r="AD33" s="325" t="str">
        <f>IF(M33="","",VLOOKUP(M33,'G-6 Hedgerow Data'!$B$3:$AG$15,31,FALSE))</f>
        <v/>
      </c>
      <c r="AE33" s="298" t="str">
        <f t="shared" si="4"/>
        <v/>
      </c>
      <c r="AF33" s="298" t="str">
        <f t="shared" si="5"/>
        <v/>
      </c>
      <c r="AG33" s="314" t="str">
        <f>IFERROR(IF(O33="","",VLOOKUP(AD33,'G-3 Multipliers'!$P$3:$Q$6,2,FALSE)),"")</f>
        <v/>
      </c>
      <c r="AH33" s="304" t="str">
        <f t="shared" si="6"/>
        <v/>
      </c>
      <c r="AI33" s="157"/>
      <c r="AJ33" s="99"/>
      <c r="AK33" s="101"/>
      <c r="AT33" s="15" t="str">
        <f>IFERROR(INDEX('G-6 Hedgerow Data'!$BJ$3:$BJ$15,MATCH(M33,'G-6 Hedgerow Data'!$B$3:$B$15,0)),"")</f>
        <v/>
      </c>
    </row>
    <row r="34" spans="2:46" ht="14" x14ac:dyDescent="0.3">
      <c r="B34" s="319" t="str">
        <f>'B-1 On-Site Hedge Baseline'!AK32</f>
        <v/>
      </c>
      <c r="C34" s="310" t="str">
        <f>IF(B34="","",IF(ISNA(VLOOKUP($B34,'B-1 On-Site Hedge Baseline'!$B$1:$L$257,3,FALSE)),"",(VLOOKUP($B34,'B-1 On-Site Hedge Baseline'!$B$1:$L$257,3,FALSE))))</f>
        <v/>
      </c>
      <c r="D34" s="310" t="str">
        <f>IF(B34="","",IF(ISNA(VLOOKUP($B34,'B-1 On-Site Hedge Baseline'!$B$1:$L$257,4,FALSE)),"",(VLOOKUP($B34,'B-1 On-Site Hedge Baseline'!$B$1:$L$257,4,FALSE))))</f>
        <v/>
      </c>
      <c r="E34" s="310" t="str">
        <f>IF(B34="","",IF(ISNA(VLOOKUP($B34,'B-1 On-Site Hedge Baseline'!$B$1:$L$257,5,FALSE)),"",(VLOOKUP($B34,'B-1 On-Site Hedge Baseline'!$B$1:$L$257,5,FALSE))))</f>
        <v/>
      </c>
      <c r="F34" s="310" t="str">
        <f>IF(B34="","",IF(ISNA(VLOOKUP($B34,'B-1 On-Site Hedge Baseline'!$B$1:$L$257,6,FALSE)),"",(VLOOKUP($B34,'B-1 On-Site Hedge Baseline'!$B$1:$L$257,6,FALSE))))</f>
        <v/>
      </c>
      <c r="G34" s="310" t="str">
        <f>IF(B34="","",IF(ISNA(VLOOKUP($B34,'B-1 On-Site Hedge Baseline'!$B$1:$L$257,7,FALSE)),"",(VLOOKUP($B34,'B-1 On-Site Hedge Baseline'!$B$1:$L$257,7,FALSE))))</f>
        <v/>
      </c>
      <c r="H34" s="310" t="str">
        <f>IF(B34="","",IF(ISNA(VLOOKUP($B34,'B-1 On-Site Hedge Baseline'!$B$1:$L$257,8,FALSE)),"",(VLOOKUP($B34,'B-1 On-Site Hedge Baseline'!$B$1:$L$257,8,FALSE))))</f>
        <v/>
      </c>
      <c r="I34" s="310" t="str">
        <f>IF(B34="","",IF(ISNA(VLOOKUP($B34,'B-1 On-Site Hedge Baseline'!$B$1:$L$257,10,FALSE)),"",(VLOOKUP($B34,'B-1 On-Site Hedge Baseline'!$B$1:$L$257,10,FALSE))))</f>
        <v/>
      </c>
      <c r="J34" s="310" t="str">
        <f>IF(B34="","",IF(ISNA(VLOOKUP($B34,'B-1 On-Site Hedge Baseline'!$B$1:$L$257,11,FALSE)),"",(VLOOKUP($B34,'B-1 On-Site Hedge Baseline'!$B$1:$L$257,11,FALSE))))</f>
        <v/>
      </c>
      <c r="K34" s="310" t="str">
        <f>IF(B34="","",IF(ISNA(VLOOKUP($B34,'B-1 On-Site Hedge Baseline'!$B$1:$U$257,13,FALSE)),"",(VLOOKUP($B34,'B-1 On-Site Hedge Baseline'!$B$1:$U$257,13,FALSE))))</f>
        <v/>
      </c>
      <c r="L34" s="314" t="str">
        <f>IF(B34="","",IF(ISNA(VLOOKUP($B34,'B-1 On-Site Hedge Baseline'!$B$1:$U$257,12,FALSE)),"",(VLOOKUP($B34,'B-1 On-Site Hedge Baseline'!$B$1:$U$257,12,FALSE))))</f>
        <v/>
      </c>
      <c r="M34" s="583"/>
      <c r="N34" s="290" t="str">
        <f>IFERROR(IF(B34="","",INDEX('G-6 Hedgerow Data'!$AN$3:$AZ$15,MATCH(C34,'G-6 Hedgerow Data'!$AM$3:$AM$15,0),MATCH(M34,'G-6 Hedgerow Data'!$AN$2:$AZ$2,0))),"")</f>
        <v/>
      </c>
      <c r="O34" s="291" t="str">
        <f t="shared" si="1"/>
        <v/>
      </c>
      <c r="P34" s="341" t="str">
        <f>IF(B34="","",VLOOKUP(B34,'B-1 On-Site Hedge Baseline'!$B$10:T279,16,FALSE))</f>
        <v/>
      </c>
      <c r="Q34" s="290" t="str">
        <f>IF(M34="","",VLOOKUP(M34,'G-6 Hedgerow Data'!$B$2:$AG$15,2,FALSE))</f>
        <v/>
      </c>
      <c r="R34" s="291" t="str">
        <f>IF(M34="","",VLOOKUP(M34,'G-6 Hedgerow Data'!$B$2:$AG$15,3,FALSE))</f>
        <v/>
      </c>
      <c r="S34" s="39"/>
      <c r="T34" s="328" t="str">
        <f>IFERROR(IF(S34="","",IF(AND(M34="Non-native and ornamental hedgerow", S34&lt;&gt;"Poor"),"Not possible ▲", (VLOOKUP(S34,'G-1 All Habitats'!$Z$2:$AA$9,2,FALSE)))),"")</f>
        <v/>
      </c>
      <c r="U34" s="95"/>
      <c r="V34" s="310" t="str">
        <f>IF(U34="","",IF(VLOOKUP(U34,'G-3 Multipliers'!$L$3:$N$6,2,FALSE)=0,"Spatial Data Missing ⚠",VLOOKUP(U34,'G-3 Multipliers'!$L$3:$N$6,2,FALSE)))</f>
        <v/>
      </c>
      <c r="W34" s="314" t="str">
        <f>IF(U34="","",IF(VLOOKUP(U34,'G-3 Multipliers'!$L$3:$N$6,3,FALSE)=0,"Spatial Data Missing ⚠",VLOOKUP(U34,'G-3 Multipliers'!$L$3:$N$6,3,FALSE)))</f>
        <v/>
      </c>
      <c r="X34" s="290" t="str">
        <f>IFERROR(IF(OR(LEFT(O34,5)="Error",LEFT(N34,5)="Error",T34="Error"),"Check Data ⚠",IF(F34&lt;R34,INDEX('G-6 Hedgerow Data'!$S$3:$AE$14,MATCH(C34,'G-6 Hedgerow Data'!$B$3:$B$14,0),MATCH(M34,'G-6 Hedgerow Data'!$S$2:$AE$2,0)),INDEX('G-6 Hedgerow Data'!$K$3:$Q$14,MATCH(M34,'G-6 Hedgerow Data'!$B$3:$B$14,0),MATCH(O34,'G-6 Hedgerow Data'!$K$2:$Q$2,0)))),"")</f>
        <v/>
      </c>
      <c r="Y34" s="138"/>
      <c r="Z34" s="138"/>
      <c r="AA34" s="298" t="str">
        <f t="shared" si="2"/>
        <v/>
      </c>
      <c r="AB34" s="311" t="str">
        <f t="shared" si="3"/>
        <v/>
      </c>
      <c r="AC34" s="312" t="str">
        <f t="shared" si="0"/>
        <v/>
      </c>
      <c r="AD34" s="325" t="str">
        <f>IF(M34="","",VLOOKUP(M34,'G-6 Hedgerow Data'!$B$3:$AG$15,31,FALSE))</f>
        <v/>
      </c>
      <c r="AE34" s="298" t="str">
        <f t="shared" si="4"/>
        <v/>
      </c>
      <c r="AF34" s="298" t="str">
        <f t="shared" si="5"/>
        <v/>
      </c>
      <c r="AG34" s="314" t="str">
        <f>IFERROR(IF(O34="","",VLOOKUP(AD34,'G-3 Multipliers'!$P$3:$Q$6,2,FALSE)),"")</f>
        <v/>
      </c>
      <c r="AH34" s="304" t="str">
        <f t="shared" si="6"/>
        <v/>
      </c>
      <c r="AI34" s="157"/>
      <c r="AJ34" s="99"/>
      <c r="AK34" s="101"/>
      <c r="AT34" s="15" t="str">
        <f>IFERROR(INDEX('G-6 Hedgerow Data'!$BJ$3:$BJ$15,MATCH(M34,'G-6 Hedgerow Data'!$B$3:$B$15,0)),"")</f>
        <v/>
      </c>
    </row>
    <row r="35" spans="2:46" ht="14" x14ac:dyDescent="0.3">
      <c r="B35" s="319" t="str">
        <f>'B-1 On-Site Hedge Baseline'!AK33</f>
        <v/>
      </c>
      <c r="C35" s="310" t="str">
        <f>IF(B35="","",IF(ISNA(VLOOKUP($B35,'B-1 On-Site Hedge Baseline'!$B$1:$L$257,3,FALSE)),"",(VLOOKUP($B35,'B-1 On-Site Hedge Baseline'!$B$1:$L$257,3,FALSE))))</f>
        <v/>
      </c>
      <c r="D35" s="310" t="str">
        <f>IF(B35="","",IF(ISNA(VLOOKUP($B35,'B-1 On-Site Hedge Baseline'!$B$1:$L$257,4,FALSE)),"",(VLOOKUP($B35,'B-1 On-Site Hedge Baseline'!$B$1:$L$257,4,FALSE))))</f>
        <v/>
      </c>
      <c r="E35" s="310" t="str">
        <f>IF(B35="","",IF(ISNA(VLOOKUP($B35,'B-1 On-Site Hedge Baseline'!$B$1:$L$257,5,FALSE)),"",(VLOOKUP($B35,'B-1 On-Site Hedge Baseline'!$B$1:$L$257,5,FALSE))))</f>
        <v/>
      </c>
      <c r="F35" s="310" t="str">
        <f>IF(B35="","",IF(ISNA(VLOOKUP($B35,'B-1 On-Site Hedge Baseline'!$B$1:$L$257,6,FALSE)),"",(VLOOKUP($B35,'B-1 On-Site Hedge Baseline'!$B$1:$L$257,6,FALSE))))</f>
        <v/>
      </c>
      <c r="G35" s="310" t="str">
        <f>IF(B35="","",IF(ISNA(VLOOKUP($B35,'B-1 On-Site Hedge Baseline'!$B$1:$L$257,7,FALSE)),"",(VLOOKUP($B35,'B-1 On-Site Hedge Baseline'!$B$1:$L$257,7,FALSE))))</f>
        <v/>
      </c>
      <c r="H35" s="310" t="str">
        <f>IF(B35="","",IF(ISNA(VLOOKUP($B35,'B-1 On-Site Hedge Baseline'!$B$1:$L$257,8,FALSE)),"",(VLOOKUP($B35,'B-1 On-Site Hedge Baseline'!$B$1:$L$257,8,FALSE))))</f>
        <v/>
      </c>
      <c r="I35" s="310" t="str">
        <f>IF(B35="","",IF(ISNA(VLOOKUP($B35,'B-1 On-Site Hedge Baseline'!$B$1:$L$257,10,FALSE)),"",(VLOOKUP($B35,'B-1 On-Site Hedge Baseline'!$B$1:$L$257,10,FALSE))))</f>
        <v/>
      </c>
      <c r="J35" s="310" t="str">
        <f>IF(B35="","",IF(ISNA(VLOOKUP($B35,'B-1 On-Site Hedge Baseline'!$B$1:$L$257,11,FALSE)),"",(VLOOKUP($B35,'B-1 On-Site Hedge Baseline'!$B$1:$L$257,11,FALSE))))</f>
        <v/>
      </c>
      <c r="K35" s="310" t="str">
        <f>IF(B35="","",IF(ISNA(VLOOKUP($B35,'B-1 On-Site Hedge Baseline'!$B$1:$U$257,13,FALSE)),"",(VLOOKUP($B35,'B-1 On-Site Hedge Baseline'!$B$1:$U$257,13,FALSE))))</f>
        <v/>
      </c>
      <c r="L35" s="314" t="str">
        <f>IF(B35="","",IF(ISNA(VLOOKUP($B35,'B-1 On-Site Hedge Baseline'!$B$1:$U$257,12,FALSE)),"",(VLOOKUP($B35,'B-1 On-Site Hedge Baseline'!$B$1:$U$257,12,FALSE))))</f>
        <v/>
      </c>
      <c r="M35" s="583"/>
      <c r="N35" s="290" t="str">
        <f>IFERROR(IF(B35="","",INDEX('G-6 Hedgerow Data'!$AN$3:$AZ$15,MATCH(C35,'G-6 Hedgerow Data'!$AM$3:$AM$15,0),MATCH(M35,'G-6 Hedgerow Data'!$AN$2:$AZ$2,0))),"")</f>
        <v/>
      </c>
      <c r="O35" s="291" t="str">
        <f t="shared" si="1"/>
        <v/>
      </c>
      <c r="P35" s="341" t="str">
        <f>IF(B35="","",VLOOKUP(B35,'B-1 On-Site Hedge Baseline'!$B$10:T280,16,FALSE))</f>
        <v/>
      </c>
      <c r="Q35" s="290" t="str">
        <f>IF(M35="","",VLOOKUP(M35,'G-6 Hedgerow Data'!$B$2:$AG$15,2,FALSE))</f>
        <v/>
      </c>
      <c r="R35" s="291" t="str">
        <f>IF(M35="","",VLOOKUP(M35,'G-6 Hedgerow Data'!$B$2:$AG$15,3,FALSE))</f>
        <v/>
      </c>
      <c r="S35" s="39"/>
      <c r="T35" s="328" t="str">
        <f>IFERROR(IF(S35="","",IF(AND(M35="Non-native and ornamental hedgerow", S35&lt;&gt;"Poor"),"Not possible ▲", (VLOOKUP(S35,'G-1 All Habitats'!$Z$2:$AA$9,2,FALSE)))),"")</f>
        <v/>
      </c>
      <c r="U35" s="95"/>
      <c r="V35" s="310" t="str">
        <f>IF(U35="","",IF(VLOOKUP(U35,'G-3 Multipliers'!$L$3:$N$6,2,FALSE)=0,"Spatial Data Missing ⚠",VLOOKUP(U35,'G-3 Multipliers'!$L$3:$N$6,2,FALSE)))</f>
        <v/>
      </c>
      <c r="W35" s="314" t="str">
        <f>IF(U35="","",IF(VLOOKUP(U35,'G-3 Multipliers'!$L$3:$N$6,3,FALSE)=0,"Spatial Data Missing ⚠",VLOOKUP(U35,'G-3 Multipliers'!$L$3:$N$6,3,FALSE)))</f>
        <v/>
      </c>
      <c r="X35" s="290" t="str">
        <f>IFERROR(IF(OR(LEFT(O35,5)="Error",LEFT(N35,5)="Error",T35="Error"),"Check Data ⚠",IF(F35&lt;R35,INDEX('G-6 Hedgerow Data'!$S$3:$AE$14,MATCH(C35,'G-6 Hedgerow Data'!$B$3:$B$14,0),MATCH(M35,'G-6 Hedgerow Data'!$S$2:$AE$2,0)),INDEX('G-6 Hedgerow Data'!$K$3:$Q$14,MATCH(M35,'G-6 Hedgerow Data'!$B$3:$B$14,0),MATCH(O35,'G-6 Hedgerow Data'!$K$2:$Q$2,0)))),"")</f>
        <v/>
      </c>
      <c r="Y35" s="138"/>
      <c r="Z35" s="138"/>
      <c r="AA35" s="298" t="str">
        <f t="shared" si="2"/>
        <v/>
      </c>
      <c r="AB35" s="311" t="str">
        <f t="shared" si="3"/>
        <v/>
      </c>
      <c r="AC35" s="312" t="str">
        <f t="shared" si="0"/>
        <v/>
      </c>
      <c r="AD35" s="325" t="str">
        <f>IF(M35="","",VLOOKUP(M35,'G-6 Hedgerow Data'!$B$3:$AG$15,31,FALSE))</f>
        <v/>
      </c>
      <c r="AE35" s="298" t="str">
        <f t="shared" si="4"/>
        <v/>
      </c>
      <c r="AF35" s="298" t="str">
        <f t="shared" si="5"/>
        <v/>
      </c>
      <c r="AG35" s="314" t="str">
        <f>IFERROR(IF(O35="","",VLOOKUP(AD35,'G-3 Multipliers'!$P$3:$Q$6,2,FALSE)),"")</f>
        <v/>
      </c>
      <c r="AH35" s="304" t="str">
        <f t="shared" si="6"/>
        <v/>
      </c>
      <c r="AI35" s="157"/>
      <c r="AJ35" s="99"/>
      <c r="AK35" s="101"/>
      <c r="AT35" s="15" t="str">
        <f>IFERROR(INDEX('G-6 Hedgerow Data'!$BJ$3:$BJ$15,MATCH(M35,'G-6 Hedgerow Data'!$B$3:$B$15,0)),"")</f>
        <v/>
      </c>
    </row>
    <row r="36" spans="2:46" ht="14" x14ac:dyDescent="0.3">
      <c r="B36" s="319" t="str">
        <f>'B-1 On-Site Hedge Baseline'!AK34</f>
        <v/>
      </c>
      <c r="C36" s="310" t="str">
        <f>IF(B36="","",IF(ISNA(VLOOKUP($B36,'B-1 On-Site Hedge Baseline'!$B$1:$L$257,3,FALSE)),"",(VLOOKUP($B36,'B-1 On-Site Hedge Baseline'!$B$1:$L$257,3,FALSE))))</f>
        <v/>
      </c>
      <c r="D36" s="310" t="str">
        <f>IF(B36="","",IF(ISNA(VLOOKUP($B36,'B-1 On-Site Hedge Baseline'!$B$1:$L$257,4,FALSE)),"",(VLOOKUP($B36,'B-1 On-Site Hedge Baseline'!$B$1:$L$257,4,FALSE))))</f>
        <v/>
      </c>
      <c r="E36" s="310" t="str">
        <f>IF(B36="","",IF(ISNA(VLOOKUP($B36,'B-1 On-Site Hedge Baseline'!$B$1:$L$257,5,FALSE)),"",(VLOOKUP($B36,'B-1 On-Site Hedge Baseline'!$B$1:$L$257,5,FALSE))))</f>
        <v/>
      </c>
      <c r="F36" s="310" t="str">
        <f>IF(B36="","",IF(ISNA(VLOOKUP($B36,'B-1 On-Site Hedge Baseline'!$B$1:$L$257,6,FALSE)),"",(VLOOKUP($B36,'B-1 On-Site Hedge Baseline'!$B$1:$L$257,6,FALSE))))</f>
        <v/>
      </c>
      <c r="G36" s="310" t="str">
        <f>IF(B36="","",IF(ISNA(VLOOKUP($B36,'B-1 On-Site Hedge Baseline'!$B$1:$L$257,7,FALSE)),"",(VLOOKUP($B36,'B-1 On-Site Hedge Baseline'!$B$1:$L$257,7,FALSE))))</f>
        <v/>
      </c>
      <c r="H36" s="310" t="str">
        <f>IF(B36="","",IF(ISNA(VLOOKUP($B36,'B-1 On-Site Hedge Baseline'!$B$1:$L$257,8,FALSE)),"",(VLOOKUP($B36,'B-1 On-Site Hedge Baseline'!$B$1:$L$257,8,FALSE))))</f>
        <v/>
      </c>
      <c r="I36" s="310" t="str">
        <f>IF(B36="","",IF(ISNA(VLOOKUP($B36,'B-1 On-Site Hedge Baseline'!$B$1:$L$257,10,FALSE)),"",(VLOOKUP($B36,'B-1 On-Site Hedge Baseline'!$B$1:$L$257,10,FALSE))))</f>
        <v/>
      </c>
      <c r="J36" s="310" t="str">
        <f>IF(B36="","",IF(ISNA(VLOOKUP($B36,'B-1 On-Site Hedge Baseline'!$B$1:$L$257,11,FALSE)),"",(VLOOKUP($B36,'B-1 On-Site Hedge Baseline'!$B$1:$L$257,11,FALSE))))</f>
        <v/>
      </c>
      <c r="K36" s="310" t="str">
        <f>IF(B36="","",IF(ISNA(VLOOKUP($B36,'B-1 On-Site Hedge Baseline'!$B$1:$U$257,13,FALSE)),"",(VLOOKUP($B36,'B-1 On-Site Hedge Baseline'!$B$1:$U$257,13,FALSE))))</f>
        <v/>
      </c>
      <c r="L36" s="314" t="str">
        <f>IF(B36="","",IF(ISNA(VLOOKUP($B36,'B-1 On-Site Hedge Baseline'!$B$1:$U$257,12,FALSE)),"",(VLOOKUP($B36,'B-1 On-Site Hedge Baseline'!$B$1:$U$257,12,FALSE))))</f>
        <v/>
      </c>
      <c r="M36" s="583"/>
      <c r="N36" s="290" t="str">
        <f>IFERROR(IF(B36="","",INDEX('G-6 Hedgerow Data'!$AN$3:$AZ$15,MATCH(C36,'G-6 Hedgerow Data'!$AM$3:$AM$15,0),MATCH(M36,'G-6 Hedgerow Data'!$AN$2:$AZ$2,0))),"")</f>
        <v/>
      </c>
      <c r="O36" s="291" t="str">
        <f t="shared" si="1"/>
        <v/>
      </c>
      <c r="P36" s="341" t="str">
        <f>IF(B36="","",VLOOKUP(B36,'B-1 On-Site Hedge Baseline'!$B$10:T281,16,FALSE))</f>
        <v/>
      </c>
      <c r="Q36" s="290" t="str">
        <f>IF(M36="","",VLOOKUP(M36,'G-6 Hedgerow Data'!$B$2:$AG$15,2,FALSE))</f>
        <v/>
      </c>
      <c r="R36" s="291" t="str">
        <f>IF(M36="","",VLOOKUP(M36,'G-6 Hedgerow Data'!$B$2:$AG$15,3,FALSE))</f>
        <v/>
      </c>
      <c r="S36" s="39"/>
      <c r="T36" s="328" t="str">
        <f>IFERROR(IF(S36="","",IF(AND(M36="Non-native and ornamental hedgerow", S36&lt;&gt;"Poor"),"Not possible ▲", (VLOOKUP(S36,'G-1 All Habitats'!$Z$2:$AA$9,2,FALSE)))),"")</f>
        <v/>
      </c>
      <c r="U36" s="95"/>
      <c r="V36" s="310" t="str">
        <f>IF(U36="","",IF(VLOOKUP(U36,'G-3 Multipliers'!$L$3:$N$6,2,FALSE)=0,"Spatial Data Missing ⚠",VLOOKUP(U36,'G-3 Multipliers'!$L$3:$N$6,2,FALSE)))</f>
        <v/>
      </c>
      <c r="W36" s="314" t="str">
        <f>IF(U36="","",IF(VLOOKUP(U36,'G-3 Multipliers'!$L$3:$N$6,3,FALSE)=0,"Spatial Data Missing ⚠",VLOOKUP(U36,'G-3 Multipliers'!$L$3:$N$6,3,FALSE)))</f>
        <v/>
      </c>
      <c r="X36" s="290" t="str">
        <f>IFERROR(IF(OR(LEFT(O36,5)="Error",LEFT(N36,5)="Error",T36="Error"),"Check Data ⚠",IF(F36&lt;R36,INDEX('G-6 Hedgerow Data'!$S$3:$AE$14,MATCH(C36,'G-6 Hedgerow Data'!$B$3:$B$14,0),MATCH(M36,'G-6 Hedgerow Data'!$S$2:$AE$2,0)),INDEX('G-6 Hedgerow Data'!$K$3:$Q$14,MATCH(M36,'G-6 Hedgerow Data'!$B$3:$B$14,0),MATCH(O36,'G-6 Hedgerow Data'!$K$2:$Q$2,0)))),"")</f>
        <v/>
      </c>
      <c r="Y36" s="138"/>
      <c r="Z36" s="138"/>
      <c r="AA36" s="298" t="str">
        <f t="shared" si="2"/>
        <v/>
      </c>
      <c r="AB36" s="311" t="str">
        <f t="shared" si="3"/>
        <v/>
      </c>
      <c r="AC36" s="312" t="str">
        <f t="shared" si="0"/>
        <v/>
      </c>
      <c r="AD36" s="325" t="str">
        <f>IF(M36="","",VLOOKUP(M36,'G-6 Hedgerow Data'!$B$3:$AG$15,31,FALSE))</f>
        <v/>
      </c>
      <c r="AE36" s="298" t="str">
        <f t="shared" si="4"/>
        <v/>
      </c>
      <c r="AF36" s="298" t="str">
        <f t="shared" si="5"/>
        <v/>
      </c>
      <c r="AG36" s="314" t="str">
        <f>IFERROR(IF(O36="","",VLOOKUP(AD36,'G-3 Multipliers'!$P$3:$Q$6,2,FALSE)),"")</f>
        <v/>
      </c>
      <c r="AH36" s="304" t="str">
        <f t="shared" si="6"/>
        <v/>
      </c>
      <c r="AI36" s="157"/>
      <c r="AJ36" s="99"/>
      <c r="AK36" s="101"/>
      <c r="AT36" s="15" t="str">
        <f>IFERROR(INDEX('G-6 Hedgerow Data'!$BJ$3:$BJ$15,MATCH(M36,'G-6 Hedgerow Data'!$B$3:$B$15,0)),"")</f>
        <v/>
      </c>
    </row>
    <row r="37" spans="2:46" ht="14" x14ac:dyDescent="0.3">
      <c r="B37" s="319" t="str">
        <f>'B-1 On-Site Hedge Baseline'!AK35</f>
        <v/>
      </c>
      <c r="C37" s="310" t="str">
        <f>IF(B37="","",IF(ISNA(VLOOKUP($B37,'B-1 On-Site Hedge Baseline'!$B$1:$L$257,3,FALSE)),"",(VLOOKUP($B37,'B-1 On-Site Hedge Baseline'!$B$1:$L$257,3,FALSE))))</f>
        <v/>
      </c>
      <c r="D37" s="310" t="str">
        <f>IF(B37="","",IF(ISNA(VLOOKUP($B37,'B-1 On-Site Hedge Baseline'!$B$1:$L$257,4,FALSE)),"",(VLOOKUP($B37,'B-1 On-Site Hedge Baseline'!$B$1:$L$257,4,FALSE))))</f>
        <v/>
      </c>
      <c r="E37" s="310" t="str">
        <f>IF(B37="","",IF(ISNA(VLOOKUP($B37,'B-1 On-Site Hedge Baseline'!$B$1:$L$257,5,FALSE)),"",(VLOOKUP($B37,'B-1 On-Site Hedge Baseline'!$B$1:$L$257,5,FALSE))))</f>
        <v/>
      </c>
      <c r="F37" s="310" t="str">
        <f>IF(B37="","",IF(ISNA(VLOOKUP($B37,'B-1 On-Site Hedge Baseline'!$B$1:$L$257,6,FALSE)),"",(VLOOKUP($B37,'B-1 On-Site Hedge Baseline'!$B$1:$L$257,6,FALSE))))</f>
        <v/>
      </c>
      <c r="G37" s="310" t="str">
        <f>IF(B37="","",IF(ISNA(VLOOKUP($B37,'B-1 On-Site Hedge Baseline'!$B$1:$L$257,7,FALSE)),"",(VLOOKUP($B37,'B-1 On-Site Hedge Baseline'!$B$1:$L$257,7,FALSE))))</f>
        <v/>
      </c>
      <c r="H37" s="310" t="str">
        <f>IF(B37="","",IF(ISNA(VLOOKUP($B37,'B-1 On-Site Hedge Baseline'!$B$1:$L$257,8,FALSE)),"",(VLOOKUP($B37,'B-1 On-Site Hedge Baseline'!$B$1:$L$257,8,FALSE))))</f>
        <v/>
      </c>
      <c r="I37" s="310" t="str">
        <f>IF(B37="","",IF(ISNA(VLOOKUP($B37,'B-1 On-Site Hedge Baseline'!$B$1:$L$257,10,FALSE)),"",(VLOOKUP($B37,'B-1 On-Site Hedge Baseline'!$B$1:$L$257,10,FALSE))))</f>
        <v/>
      </c>
      <c r="J37" s="310" t="str">
        <f>IF(B37="","",IF(ISNA(VLOOKUP($B37,'B-1 On-Site Hedge Baseline'!$B$1:$L$257,11,FALSE)),"",(VLOOKUP($B37,'B-1 On-Site Hedge Baseline'!$B$1:$L$257,11,FALSE))))</f>
        <v/>
      </c>
      <c r="K37" s="310" t="str">
        <f>IF(B37="","",IF(ISNA(VLOOKUP($B37,'B-1 On-Site Hedge Baseline'!$B$1:$U$257,13,FALSE)),"",(VLOOKUP($B37,'B-1 On-Site Hedge Baseline'!$B$1:$U$257,13,FALSE))))</f>
        <v/>
      </c>
      <c r="L37" s="314" t="str">
        <f>IF(B37="","",IF(ISNA(VLOOKUP($B37,'B-1 On-Site Hedge Baseline'!$B$1:$U$257,12,FALSE)),"",(VLOOKUP($B37,'B-1 On-Site Hedge Baseline'!$B$1:$U$257,12,FALSE))))</f>
        <v/>
      </c>
      <c r="M37" s="583"/>
      <c r="N37" s="290" t="str">
        <f>IFERROR(IF(B37="","",INDEX('G-6 Hedgerow Data'!$AN$3:$AZ$15,MATCH(C37,'G-6 Hedgerow Data'!$AM$3:$AM$15,0),MATCH(M37,'G-6 Hedgerow Data'!$AN$2:$AZ$2,0))),"")</f>
        <v/>
      </c>
      <c r="O37" s="291" t="str">
        <f t="shared" si="1"/>
        <v/>
      </c>
      <c r="P37" s="341" t="str">
        <f>IF(B37="","",VLOOKUP(B37,'B-1 On-Site Hedge Baseline'!$B$10:T282,16,FALSE))</f>
        <v/>
      </c>
      <c r="Q37" s="290" t="str">
        <f>IF(M37="","",VLOOKUP(M37,'G-6 Hedgerow Data'!$B$2:$AG$15,2,FALSE))</f>
        <v/>
      </c>
      <c r="R37" s="291" t="str">
        <f>IF(M37="","",VLOOKUP(M37,'G-6 Hedgerow Data'!$B$2:$AG$15,3,FALSE))</f>
        <v/>
      </c>
      <c r="S37" s="95"/>
      <c r="T37" s="328" t="str">
        <f>IFERROR(IF(S37="","",IF(AND(M37="Non-native and ornamental hedgerow", S37&lt;&gt;"Poor"),"Not possible ▲", (VLOOKUP(S37,'G-1 All Habitats'!$Z$2:$AA$9,2,FALSE)))),"")</f>
        <v/>
      </c>
      <c r="U37" s="95"/>
      <c r="V37" s="310" t="str">
        <f>IF(U37="","",IF(VLOOKUP(U37,'G-3 Multipliers'!$L$3:$N$6,2,FALSE)=0,"Spatial Data Missing ⚠",VLOOKUP(U37,'G-3 Multipliers'!$L$3:$N$6,2,FALSE)))</f>
        <v/>
      </c>
      <c r="W37" s="314" t="str">
        <f>IF(U37="","",IF(VLOOKUP(U37,'G-3 Multipliers'!$L$3:$N$6,3,FALSE)=0,"Spatial Data Missing ⚠",VLOOKUP(U37,'G-3 Multipliers'!$L$3:$N$6,3,FALSE)))</f>
        <v/>
      </c>
      <c r="X37" s="290" t="str">
        <f>IFERROR(IF(OR(LEFT(O37,5)="Error",LEFT(N37,5)="Error",T37="Error"),"Check Data ⚠",IF(F37&lt;R37,INDEX('G-6 Hedgerow Data'!$S$3:$AE$14,MATCH(C37,'G-6 Hedgerow Data'!$B$3:$B$14,0),MATCH(M37,'G-6 Hedgerow Data'!$S$2:$AE$2,0)),INDEX('G-6 Hedgerow Data'!$K$3:$Q$14,MATCH(M37,'G-6 Hedgerow Data'!$B$3:$B$14,0),MATCH(O37,'G-6 Hedgerow Data'!$K$2:$Q$2,0)))),"")</f>
        <v/>
      </c>
      <c r="Y37" s="138"/>
      <c r="Z37" s="138"/>
      <c r="AA37" s="298" t="str">
        <f t="shared" si="2"/>
        <v/>
      </c>
      <c r="AB37" s="311" t="str">
        <f t="shared" si="3"/>
        <v/>
      </c>
      <c r="AC37" s="312" t="str">
        <f t="shared" si="0"/>
        <v/>
      </c>
      <c r="AD37" s="325" t="str">
        <f>IF(M37="","",VLOOKUP(M37,'G-6 Hedgerow Data'!$B$3:$AG$15,31,FALSE))</f>
        <v/>
      </c>
      <c r="AE37" s="298" t="str">
        <f t="shared" si="4"/>
        <v/>
      </c>
      <c r="AF37" s="298" t="str">
        <f t="shared" si="5"/>
        <v/>
      </c>
      <c r="AG37" s="314" t="str">
        <f>IFERROR(IF(O37="","",VLOOKUP(AD37,'G-3 Multipliers'!$P$3:$Q$6,2,FALSE)),"")</f>
        <v/>
      </c>
      <c r="AH37" s="304" t="str">
        <f t="shared" si="6"/>
        <v/>
      </c>
      <c r="AI37" s="157"/>
      <c r="AJ37" s="99"/>
      <c r="AK37" s="101"/>
      <c r="AT37" s="15" t="str">
        <f>IFERROR(INDEX('G-6 Hedgerow Data'!$BJ$3:$BJ$15,MATCH(M37,'G-6 Hedgerow Data'!$B$3:$B$15,0)),"")</f>
        <v/>
      </c>
    </row>
    <row r="38" spans="2:46" ht="14" x14ac:dyDescent="0.3">
      <c r="B38" s="319" t="str">
        <f>'B-1 On-Site Hedge Baseline'!AK36</f>
        <v/>
      </c>
      <c r="C38" s="310" t="str">
        <f>IF(B38="","",IF(ISNA(VLOOKUP($B38,'B-1 On-Site Hedge Baseline'!$B$1:$L$257,3,FALSE)),"",(VLOOKUP($B38,'B-1 On-Site Hedge Baseline'!$B$1:$L$257,3,FALSE))))</f>
        <v/>
      </c>
      <c r="D38" s="310" t="str">
        <f>IF(B38="","",IF(ISNA(VLOOKUP($B38,'B-1 On-Site Hedge Baseline'!$B$1:$L$257,4,FALSE)),"",(VLOOKUP($B38,'B-1 On-Site Hedge Baseline'!$B$1:$L$257,4,FALSE))))</f>
        <v/>
      </c>
      <c r="E38" s="310" t="str">
        <f>IF(B38="","",IF(ISNA(VLOOKUP($B38,'B-1 On-Site Hedge Baseline'!$B$1:$L$257,5,FALSE)),"",(VLOOKUP($B38,'B-1 On-Site Hedge Baseline'!$B$1:$L$257,5,FALSE))))</f>
        <v/>
      </c>
      <c r="F38" s="310" t="str">
        <f>IF(B38="","",IF(ISNA(VLOOKUP($B38,'B-1 On-Site Hedge Baseline'!$B$1:$L$257,6,FALSE)),"",(VLOOKUP($B38,'B-1 On-Site Hedge Baseline'!$B$1:$L$257,6,FALSE))))</f>
        <v/>
      </c>
      <c r="G38" s="310" t="str">
        <f>IF(B38="","",IF(ISNA(VLOOKUP($B38,'B-1 On-Site Hedge Baseline'!$B$1:$L$257,7,FALSE)),"",(VLOOKUP($B38,'B-1 On-Site Hedge Baseline'!$B$1:$L$257,7,FALSE))))</f>
        <v/>
      </c>
      <c r="H38" s="310" t="str">
        <f>IF(B38="","",IF(ISNA(VLOOKUP($B38,'B-1 On-Site Hedge Baseline'!$B$1:$L$257,8,FALSE)),"",(VLOOKUP($B38,'B-1 On-Site Hedge Baseline'!$B$1:$L$257,8,FALSE))))</f>
        <v/>
      </c>
      <c r="I38" s="310" t="str">
        <f>IF(B38="","",IF(ISNA(VLOOKUP($B38,'B-1 On-Site Hedge Baseline'!$B$1:$L$257,10,FALSE)),"",(VLOOKUP($B38,'B-1 On-Site Hedge Baseline'!$B$1:$L$257,10,FALSE))))</f>
        <v/>
      </c>
      <c r="J38" s="310" t="str">
        <f>IF(B38="","",IF(ISNA(VLOOKUP($B38,'B-1 On-Site Hedge Baseline'!$B$1:$L$257,11,FALSE)),"",(VLOOKUP($B38,'B-1 On-Site Hedge Baseline'!$B$1:$L$257,11,FALSE))))</f>
        <v/>
      </c>
      <c r="K38" s="310" t="str">
        <f>IF(B38="","",IF(ISNA(VLOOKUP($B38,'B-1 On-Site Hedge Baseline'!$B$1:$U$257,13,FALSE)),"",(VLOOKUP($B38,'B-1 On-Site Hedge Baseline'!$B$1:$U$257,13,FALSE))))</f>
        <v/>
      </c>
      <c r="L38" s="314" t="str">
        <f>IF(B38="","",IF(ISNA(VLOOKUP($B38,'B-1 On-Site Hedge Baseline'!$B$1:$U$257,12,FALSE)),"",(VLOOKUP($B38,'B-1 On-Site Hedge Baseline'!$B$1:$U$257,12,FALSE))))</f>
        <v/>
      </c>
      <c r="M38" s="583"/>
      <c r="N38" s="290" t="str">
        <f>IFERROR(IF(B38="","",INDEX('G-6 Hedgerow Data'!$AN$3:$AZ$15,MATCH(C38,'G-6 Hedgerow Data'!$AM$3:$AM$15,0),MATCH(M38,'G-6 Hedgerow Data'!$AN$2:$AZ$2,0))),"")</f>
        <v/>
      </c>
      <c r="O38" s="291" t="str">
        <f t="shared" si="1"/>
        <v/>
      </c>
      <c r="P38" s="341" t="str">
        <f>IF(B38="","",VLOOKUP(B38,'B-1 On-Site Hedge Baseline'!$B$10:T283,16,FALSE))</f>
        <v/>
      </c>
      <c r="Q38" s="290" t="str">
        <f>IF(M38="","",VLOOKUP(M38,'G-6 Hedgerow Data'!$B$2:$AG$15,2,FALSE))</f>
        <v/>
      </c>
      <c r="R38" s="291" t="str">
        <f>IF(M38="","",VLOOKUP(M38,'G-6 Hedgerow Data'!$B$2:$AG$15,3,FALSE))</f>
        <v/>
      </c>
      <c r="S38" s="106"/>
      <c r="T38" s="328" t="str">
        <f>IFERROR(IF(S38="","",IF(AND(M38="Non-native and ornamental hedgerow", S38&lt;&gt;"Poor"),"Not possible ▲", (VLOOKUP(S38,'G-1 All Habitats'!$Z$2:$AA$9,2,FALSE)))),"")</f>
        <v/>
      </c>
      <c r="U38" s="103"/>
      <c r="V38" s="310" t="str">
        <f>IF(U38="","",IF(VLOOKUP(U38,'G-3 Multipliers'!$L$3:$N$6,2,FALSE)=0,"Spatial Data Missing ⚠",VLOOKUP(U38,'G-3 Multipliers'!$L$3:$N$6,2,FALSE)))</f>
        <v/>
      </c>
      <c r="W38" s="314" t="str">
        <f>IF(U38="","",IF(VLOOKUP(U38,'G-3 Multipliers'!$L$3:$N$6,3,FALSE)=0,"Spatial Data Missing ⚠",VLOOKUP(U38,'G-3 Multipliers'!$L$3:$N$6,3,FALSE)))</f>
        <v/>
      </c>
      <c r="X38" s="290" t="str">
        <f>IFERROR(IF(OR(LEFT(O38,5)="Error",LEFT(N38,5)="Error",T38="Error"),"Check Data ⚠",IF(F38&lt;R38,INDEX('G-6 Hedgerow Data'!$S$3:$AE$14,MATCH(C38,'G-6 Hedgerow Data'!$B$3:$B$14,0),MATCH(M38,'G-6 Hedgerow Data'!$S$2:$AE$2,0)),INDEX('G-6 Hedgerow Data'!$K$3:$Q$14,MATCH(M38,'G-6 Hedgerow Data'!$B$3:$B$14,0),MATCH(O38,'G-6 Hedgerow Data'!$K$2:$Q$2,0)))),"")</f>
        <v/>
      </c>
      <c r="Y38" s="138"/>
      <c r="Z38" s="138"/>
      <c r="AA38" s="298" t="str">
        <f t="shared" si="2"/>
        <v/>
      </c>
      <c r="AB38" s="311" t="str">
        <f t="shared" si="3"/>
        <v/>
      </c>
      <c r="AC38" s="312" t="str">
        <f t="shared" si="0"/>
        <v/>
      </c>
      <c r="AD38" s="325" t="str">
        <f>IF(M38="","",VLOOKUP(M38,'G-6 Hedgerow Data'!$B$3:$AG$15,31,FALSE))</f>
        <v/>
      </c>
      <c r="AE38" s="298" t="str">
        <f t="shared" si="4"/>
        <v/>
      </c>
      <c r="AF38" s="298" t="str">
        <f t="shared" si="5"/>
        <v/>
      </c>
      <c r="AG38" s="314" t="str">
        <f>IFERROR(IF(O38="","",VLOOKUP(AD38,'G-3 Multipliers'!$P$3:$Q$6,2,FALSE)),"")</f>
        <v/>
      </c>
      <c r="AH38" s="304" t="str">
        <f t="shared" si="6"/>
        <v/>
      </c>
      <c r="AI38" s="157"/>
      <c r="AJ38" s="99"/>
      <c r="AK38" s="101"/>
      <c r="AT38" s="15" t="str">
        <f>IFERROR(INDEX('G-6 Hedgerow Data'!$BJ$3:$BJ$15,MATCH(M38,'G-6 Hedgerow Data'!$B$3:$B$15,0)),"")</f>
        <v/>
      </c>
    </row>
    <row r="39" spans="2:46" ht="14" x14ac:dyDescent="0.3">
      <c r="B39" s="319" t="str">
        <f>'B-1 On-Site Hedge Baseline'!AK37</f>
        <v/>
      </c>
      <c r="C39" s="310" t="str">
        <f>IF(B39="","",IF(ISNA(VLOOKUP($B39,'B-1 On-Site Hedge Baseline'!$B$1:$L$257,3,FALSE)),"",(VLOOKUP($B39,'B-1 On-Site Hedge Baseline'!$B$1:$L$257,3,FALSE))))</f>
        <v/>
      </c>
      <c r="D39" s="310" t="str">
        <f>IF(B39="","",IF(ISNA(VLOOKUP($B39,'B-1 On-Site Hedge Baseline'!$B$1:$L$257,4,FALSE)),"",(VLOOKUP($B39,'B-1 On-Site Hedge Baseline'!$B$1:$L$257,4,FALSE))))</f>
        <v/>
      </c>
      <c r="E39" s="310" t="str">
        <f>IF(B39="","",IF(ISNA(VLOOKUP($B39,'B-1 On-Site Hedge Baseline'!$B$1:$L$257,5,FALSE)),"",(VLOOKUP($B39,'B-1 On-Site Hedge Baseline'!$B$1:$L$257,5,FALSE))))</f>
        <v/>
      </c>
      <c r="F39" s="310" t="str">
        <f>IF(B39="","",IF(ISNA(VLOOKUP($B39,'B-1 On-Site Hedge Baseline'!$B$1:$L$257,6,FALSE)),"",(VLOOKUP($B39,'B-1 On-Site Hedge Baseline'!$B$1:$L$257,6,FALSE))))</f>
        <v/>
      </c>
      <c r="G39" s="310" t="str">
        <f>IF(B39="","",IF(ISNA(VLOOKUP($B39,'B-1 On-Site Hedge Baseline'!$B$1:$L$257,7,FALSE)),"",(VLOOKUP($B39,'B-1 On-Site Hedge Baseline'!$B$1:$L$257,7,FALSE))))</f>
        <v/>
      </c>
      <c r="H39" s="310" t="str">
        <f>IF(B39="","",IF(ISNA(VLOOKUP($B39,'B-1 On-Site Hedge Baseline'!$B$1:$L$257,8,FALSE)),"",(VLOOKUP($B39,'B-1 On-Site Hedge Baseline'!$B$1:$L$257,8,FALSE))))</f>
        <v/>
      </c>
      <c r="I39" s="310" t="str">
        <f>IF(B39="","",IF(ISNA(VLOOKUP($B39,'B-1 On-Site Hedge Baseline'!$B$1:$L$257,10,FALSE)),"",(VLOOKUP($B39,'B-1 On-Site Hedge Baseline'!$B$1:$L$257,10,FALSE))))</f>
        <v/>
      </c>
      <c r="J39" s="310" t="str">
        <f>IF(B39="","",IF(ISNA(VLOOKUP($B39,'B-1 On-Site Hedge Baseline'!$B$1:$L$257,11,FALSE)),"",(VLOOKUP($B39,'B-1 On-Site Hedge Baseline'!$B$1:$L$257,11,FALSE))))</f>
        <v/>
      </c>
      <c r="K39" s="310" t="str">
        <f>IF(B39="","",IF(ISNA(VLOOKUP($B39,'B-1 On-Site Hedge Baseline'!$B$1:$U$257,13,FALSE)),"",(VLOOKUP($B39,'B-1 On-Site Hedge Baseline'!$B$1:$U$257,13,FALSE))))</f>
        <v/>
      </c>
      <c r="L39" s="314" t="str">
        <f>IF(B39="","",IF(ISNA(VLOOKUP($B39,'B-1 On-Site Hedge Baseline'!$B$1:$U$257,12,FALSE)),"",(VLOOKUP($B39,'B-1 On-Site Hedge Baseline'!$B$1:$U$257,12,FALSE))))</f>
        <v/>
      </c>
      <c r="M39" s="583"/>
      <c r="N39" s="290" t="str">
        <f>IFERROR(IF(B39="","",INDEX('G-6 Hedgerow Data'!$AN$3:$AZ$15,MATCH(C39,'G-6 Hedgerow Data'!$AM$3:$AM$15,0),MATCH(M39,'G-6 Hedgerow Data'!$AN$2:$AZ$2,0))),"")</f>
        <v/>
      </c>
      <c r="O39" s="291" t="str">
        <f t="shared" si="1"/>
        <v/>
      </c>
      <c r="P39" s="341" t="str">
        <f>IF(B39="","",VLOOKUP(B39,'B-1 On-Site Hedge Baseline'!$B$10:T284,16,FALSE))</f>
        <v/>
      </c>
      <c r="Q39" s="290" t="str">
        <f>IF(M39="","",VLOOKUP(M39,'G-6 Hedgerow Data'!$B$2:$AG$15,2,FALSE))</f>
        <v/>
      </c>
      <c r="R39" s="291" t="str">
        <f>IF(M39="","",VLOOKUP(M39,'G-6 Hedgerow Data'!$B$2:$AG$15,3,FALSE))</f>
        <v/>
      </c>
      <c r="S39" s="106"/>
      <c r="T39" s="328" t="str">
        <f>IFERROR(IF(S39="","",IF(AND(M39="Non-native and ornamental hedgerow", S39&lt;&gt;"Poor"),"Not possible ▲", (VLOOKUP(S39,'G-1 All Habitats'!$Z$2:$AA$9,2,FALSE)))),"")</f>
        <v/>
      </c>
      <c r="U39" s="103"/>
      <c r="V39" s="310" t="str">
        <f>IF(U39="","",IF(VLOOKUP(U39,'G-3 Multipliers'!$L$3:$N$6,2,FALSE)=0,"Spatial Data Missing ⚠",VLOOKUP(U39,'G-3 Multipliers'!$L$3:$N$6,2,FALSE)))</f>
        <v/>
      </c>
      <c r="W39" s="314" t="str">
        <f>IF(U39="","",IF(VLOOKUP(U39,'G-3 Multipliers'!$L$3:$N$6,3,FALSE)=0,"Spatial Data Missing ⚠",VLOOKUP(U39,'G-3 Multipliers'!$L$3:$N$6,3,FALSE)))</f>
        <v/>
      </c>
      <c r="X39" s="290" t="str">
        <f>IFERROR(IF(OR(LEFT(O39,5)="Error",LEFT(N39,5)="Error",T39="Error"),"Check Data ⚠",IF(F39&lt;R39,INDEX('G-6 Hedgerow Data'!$S$3:$AE$14,MATCH(C39,'G-6 Hedgerow Data'!$B$3:$B$14,0),MATCH(M39,'G-6 Hedgerow Data'!$S$2:$AE$2,0)),INDEX('G-6 Hedgerow Data'!$K$3:$Q$14,MATCH(M39,'G-6 Hedgerow Data'!$B$3:$B$14,0),MATCH(O39,'G-6 Hedgerow Data'!$K$2:$Q$2,0)))),"")</f>
        <v/>
      </c>
      <c r="Y39" s="138"/>
      <c r="Z39" s="138"/>
      <c r="AA39" s="298" t="str">
        <f t="shared" si="2"/>
        <v/>
      </c>
      <c r="AB39" s="311" t="str">
        <f t="shared" si="3"/>
        <v/>
      </c>
      <c r="AC39" s="312" t="str">
        <f t="shared" si="0"/>
        <v/>
      </c>
      <c r="AD39" s="325" t="str">
        <f>IF(M39="","",VLOOKUP(M39,'G-6 Hedgerow Data'!$B$3:$AG$15,31,FALSE))</f>
        <v/>
      </c>
      <c r="AE39" s="298" t="str">
        <f t="shared" si="4"/>
        <v/>
      </c>
      <c r="AF39" s="298" t="str">
        <f t="shared" si="5"/>
        <v/>
      </c>
      <c r="AG39" s="314" t="str">
        <f>IFERROR(IF(O39="","",VLOOKUP(AD39,'G-3 Multipliers'!$P$3:$Q$6,2,FALSE)),"")</f>
        <v/>
      </c>
      <c r="AH39" s="304" t="str">
        <f t="shared" si="6"/>
        <v/>
      </c>
      <c r="AI39" s="157"/>
      <c r="AJ39" s="99"/>
      <c r="AK39" s="101"/>
      <c r="AT39" s="15" t="str">
        <f>IFERROR(INDEX('G-6 Hedgerow Data'!$BJ$3:$BJ$15,MATCH(M39,'G-6 Hedgerow Data'!$B$3:$B$15,0)),"")</f>
        <v/>
      </c>
    </row>
    <row r="40" spans="2:46" ht="14" x14ac:dyDescent="0.3">
      <c r="B40" s="319" t="str">
        <f>'B-1 On-Site Hedge Baseline'!AK38</f>
        <v/>
      </c>
      <c r="C40" s="310" t="str">
        <f>IF(B40="","",IF(ISNA(VLOOKUP($B40,'B-1 On-Site Hedge Baseline'!$B$1:$L$257,3,FALSE)),"",(VLOOKUP($B40,'B-1 On-Site Hedge Baseline'!$B$1:$L$257,3,FALSE))))</f>
        <v/>
      </c>
      <c r="D40" s="310" t="str">
        <f>IF(B40="","",IF(ISNA(VLOOKUP($B40,'B-1 On-Site Hedge Baseline'!$B$1:$L$257,4,FALSE)),"",(VLOOKUP($B40,'B-1 On-Site Hedge Baseline'!$B$1:$L$257,4,FALSE))))</f>
        <v/>
      </c>
      <c r="E40" s="310" t="str">
        <f>IF(B40="","",IF(ISNA(VLOOKUP($B40,'B-1 On-Site Hedge Baseline'!$B$1:$L$257,5,FALSE)),"",(VLOOKUP($B40,'B-1 On-Site Hedge Baseline'!$B$1:$L$257,5,FALSE))))</f>
        <v/>
      </c>
      <c r="F40" s="310" t="str">
        <f>IF(B40="","",IF(ISNA(VLOOKUP($B40,'B-1 On-Site Hedge Baseline'!$B$1:$L$257,6,FALSE)),"",(VLOOKUP($B40,'B-1 On-Site Hedge Baseline'!$B$1:$L$257,6,FALSE))))</f>
        <v/>
      </c>
      <c r="G40" s="310" t="str">
        <f>IF(B40="","",IF(ISNA(VLOOKUP($B40,'B-1 On-Site Hedge Baseline'!$B$1:$L$257,7,FALSE)),"",(VLOOKUP($B40,'B-1 On-Site Hedge Baseline'!$B$1:$L$257,7,FALSE))))</f>
        <v/>
      </c>
      <c r="H40" s="310" t="str">
        <f>IF(B40="","",IF(ISNA(VLOOKUP($B40,'B-1 On-Site Hedge Baseline'!$B$1:$L$257,8,FALSE)),"",(VLOOKUP($B40,'B-1 On-Site Hedge Baseline'!$B$1:$L$257,8,FALSE))))</f>
        <v/>
      </c>
      <c r="I40" s="310" t="str">
        <f>IF(B40="","",IF(ISNA(VLOOKUP($B40,'B-1 On-Site Hedge Baseline'!$B$1:$L$257,10,FALSE)),"",(VLOOKUP($B40,'B-1 On-Site Hedge Baseline'!$B$1:$L$257,10,FALSE))))</f>
        <v/>
      </c>
      <c r="J40" s="310" t="str">
        <f>IF(B40="","",IF(ISNA(VLOOKUP($B40,'B-1 On-Site Hedge Baseline'!$B$1:$L$257,11,FALSE)),"",(VLOOKUP($B40,'B-1 On-Site Hedge Baseline'!$B$1:$L$257,11,FALSE))))</f>
        <v/>
      </c>
      <c r="K40" s="310" t="str">
        <f>IF(B40="","",IF(ISNA(VLOOKUP($B40,'B-1 On-Site Hedge Baseline'!$B$1:$U$257,13,FALSE)),"",(VLOOKUP($B40,'B-1 On-Site Hedge Baseline'!$B$1:$U$257,13,FALSE))))</f>
        <v/>
      </c>
      <c r="L40" s="314" t="str">
        <f>IF(B40="","",IF(ISNA(VLOOKUP($B40,'B-1 On-Site Hedge Baseline'!$B$1:$U$257,12,FALSE)),"",(VLOOKUP($B40,'B-1 On-Site Hedge Baseline'!$B$1:$U$257,12,FALSE))))</f>
        <v/>
      </c>
      <c r="M40" s="583"/>
      <c r="N40" s="290" t="str">
        <f>IFERROR(IF(B40="","",INDEX('G-6 Hedgerow Data'!$AN$3:$AZ$15,MATCH(C40,'G-6 Hedgerow Data'!$AM$3:$AM$15,0),MATCH(M40,'G-6 Hedgerow Data'!$AN$2:$AZ$2,0))),"")</f>
        <v/>
      </c>
      <c r="O40" s="291" t="str">
        <f t="shared" si="1"/>
        <v/>
      </c>
      <c r="P40" s="341" t="str">
        <f>IF(B40="","",VLOOKUP(B40,'B-1 On-Site Hedge Baseline'!$B$10:T285,16,FALSE))</f>
        <v/>
      </c>
      <c r="Q40" s="290" t="str">
        <f>IF(M40="","",VLOOKUP(M40,'G-6 Hedgerow Data'!$B$2:$AG$15,2,FALSE))</f>
        <v/>
      </c>
      <c r="R40" s="291" t="str">
        <f>IF(M40="","",VLOOKUP(M40,'G-6 Hedgerow Data'!$B$2:$AG$15,3,FALSE))</f>
        <v/>
      </c>
      <c r="S40" s="106"/>
      <c r="T40" s="328" t="str">
        <f>IFERROR(IF(S40="","",IF(AND(M40="Non-native and ornamental hedgerow", S40&lt;&gt;"Poor"),"Not possible ▲", (VLOOKUP(S40,'G-1 All Habitats'!$Z$2:$AA$9,2,FALSE)))),"")</f>
        <v/>
      </c>
      <c r="U40" s="103"/>
      <c r="V40" s="310" t="str">
        <f>IF(U40="","",IF(VLOOKUP(U40,'G-3 Multipliers'!$L$3:$N$6,2,FALSE)=0,"Spatial Data Missing ⚠",VLOOKUP(U40,'G-3 Multipliers'!$L$3:$N$6,2,FALSE)))</f>
        <v/>
      </c>
      <c r="W40" s="314" t="str">
        <f>IF(U40="","",IF(VLOOKUP(U40,'G-3 Multipliers'!$L$3:$N$6,3,FALSE)=0,"Spatial Data Missing ⚠",VLOOKUP(U40,'G-3 Multipliers'!$L$3:$N$6,3,FALSE)))</f>
        <v/>
      </c>
      <c r="X40" s="290" t="str">
        <f>IFERROR(IF(OR(LEFT(O40,5)="Error",LEFT(N40,5)="Error",T40="Error"),"Check Data ⚠",IF(F40&lt;R40,INDEX('G-6 Hedgerow Data'!$S$3:$AE$14,MATCH(C40,'G-6 Hedgerow Data'!$B$3:$B$14,0),MATCH(M40,'G-6 Hedgerow Data'!$S$2:$AE$2,0)),INDEX('G-6 Hedgerow Data'!$K$3:$Q$14,MATCH(M40,'G-6 Hedgerow Data'!$B$3:$B$14,0),MATCH(O40,'G-6 Hedgerow Data'!$K$2:$Q$2,0)))),"")</f>
        <v/>
      </c>
      <c r="Y40" s="138"/>
      <c r="Z40" s="138"/>
      <c r="AA40" s="298" t="str">
        <f t="shared" si="2"/>
        <v/>
      </c>
      <c r="AB40" s="311" t="str">
        <f t="shared" si="3"/>
        <v/>
      </c>
      <c r="AC40" s="312" t="str">
        <f t="shared" si="0"/>
        <v/>
      </c>
      <c r="AD40" s="325" t="str">
        <f>IF(M40="","",VLOOKUP(M40,'G-6 Hedgerow Data'!$B$3:$AG$15,31,FALSE))</f>
        <v/>
      </c>
      <c r="AE40" s="298" t="str">
        <f t="shared" si="4"/>
        <v/>
      </c>
      <c r="AF40" s="298" t="str">
        <f t="shared" si="5"/>
        <v/>
      </c>
      <c r="AG40" s="314" t="str">
        <f>IFERROR(IF(O40="","",VLOOKUP(AD40,'G-3 Multipliers'!$P$3:$Q$6,2,FALSE)),"")</f>
        <v/>
      </c>
      <c r="AH40" s="304" t="str">
        <f t="shared" si="6"/>
        <v/>
      </c>
      <c r="AI40" s="157"/>
      <c r="AJ40" s="99"/>
      <c r="AK40" s="101"/>
      <c r="AT40" s="15" t="str">
        <f>IFERROR(INDEX('G-6 Hedgerow Data'!$BJ$3:$BJ$15,MATCH(M40,'G-6 Hedgerow Data'!$B$3:$B$15,0)),"")</f>
        <v/>
      </c>
    </row>
    <row r="41" spans="2:46" ht="14" x14ac:dyDescent="0.3">
      <c r="B41" s="319" t="str">
        <f>'B-1 On-Site Hedge Baseline'!AK39</f>
        <v/>
      </c>
      <c r="C41" s="310" t="str">
        <f>IF(B41="","",IF(ISNA(VLOOKUP($B41,'B-1 On-Site Hedge Baseline'!$B$1:$L$257,3,FALSE)),"",(VLOOKUP($B41,'B-1 On-Site Hedge Baseline'!$B$1:$L$257,3,FALSE))))</f>
        <v/>
      </c>
      <c r="D41" s="310" t="str">
        <f>IF(B41="","",IF(ISNA(VLOOKUP($B41,'B-1 On-Site Hedge Baseline'!$B$1:$L$257,4,FALSE)),"",(VLOOKUP($B41,'B-1 On-Site Hedge Baseline'!$B$1:$L$257,4,FALSE))))</f>
        <v/>
      </c>
      <c r="E41" s="310" t="str">
        <f>IF(B41="","",IF(ISNA(VLOOKUP($B41,'B-1 On-Site Hedge Baseline'!$B$1:$L$257,5,FALSE)),"",(VLOOKUP($B41,'B-1 On-Site Hedge Baseline'!$B$1:$L$257,5,FALSE))))</f>
        <v/>
      </c>
      <c r="F41" s="310" t="str">
        <f>IF(B41="","",IF(ISNA(VLOOKUP($B41,'B-1 On-Site Hedge Baseline'!$B$1:$L$257,6,FALSE)),"",(VLOOKUP($B41,'B-1 On-Site Hedge Baseline'!$B$1:$L$257,6,FALSE))))</f>
        <v/>
      </c>
      <c r="G41" s="310" t="str">
        <f>IF(B41="","",IF(ISNA(VLOOKUP($B41,'B-1 On-Site Hedge Baseline'!$B$1:$L$257,7,FALSE)),"",(VLOOKUP($B41,'B-1 On-Site Hedge Baseline'!$B$1:$L$257,7,FALSE))))</f>
        <v/>
      </c>
      <c r="H41" s="310" t="str">
        <f>IF(B41="","",IF(ISNA(VLOOKUP($B41,'B-1 On-Site Hedge Baseline'!$B$1:$L$257,8,FALSE)),"",(VLOOKUP($B41,'B-1 On-Site Hedge Baseline'!$B$1:$L$257,8,FALSE))))</f>
        <v/>
      </c>
      <c r="I41" s="310" t="str">
        <f>IF(B41="","",IF(ISNA(VLOOKUP($B41,'B-1 On-Site Hedge Baseline'!$B$1:$L$257,10,FALSE)),"",(VLOOKUP($B41,'B-1 On-Site Hedge Baseline'!$B$1:$L$257,10,FALSE))))</f>
        <v/>
      </c>
      <c r="J41" s="310" t="str">
        <f>IF(B41="","",IF(ISNA(VLOOKUP($B41,'B-1 On-Site Hedge Baseline'!$B$1:$L$257,11,FALSE)),"",(VLOOKUP($B41,'B-1 On-Site Hedge Baseline'!$B$1:$L$257,11,FALSE))))</f>
        <v/>
      </c>
      <c r="K41" s="310" t="str">
        <f>IF(B41="","",IF(ISNA(VLOOKUP($B41,'B-1 On-Site Hedge Baseline'!$B$1:$U$257,13,FALSE)),"",(VLOOKUP($B41,'B-1 On-Site Hedge Baseline'!$B$1:$U$257,13,FALSE))))</f>
        <v/>
      </c>
      <c r="L41" s="314" t="str">
        <f>IF(B41="","",IF(ISNA(VLOOKUP($B41,'B-1 On-Site Hedge Baseline'!$B$1:$U$257,12,FALSE)),"",(VLOOKUP($B41,'B-1 On-Site Hedge Baseline'!$B$1:$U$257,12,FALSE))))</f>
        <v/>
      </c>
      <c r="M41" s="583"/>
      <c r="N41" s="290" t="str">
        <f>IFERROR(IF(B41="","",INDEX('G-6 Hedgerow Data'!$AN$3:$AZ$15,MATCH(C41,'G-6 Hedgerow Data'!$AM$3:$AM$15,0),MATCH(M41,'G-6 Hedgerow Data'!$AN$2:$AZ$2,0))),"")</f>
        <v/>
      </c>
      <c r="O41" s="291" t="str">
        <f t="shared" si="1"/>
        <v/>
      </c>
      <c r="P41" s="341" t="str">
        <f>IF(B41="","",VLOOKUP(B41,'B-1 On-Site Hedge Baseline'!$B$10:T286,16,FALSE))</f>
        <v/>
      </c>
      <c r="Q41" s="290" t="str">
        <f>IF(M41="","",VLOOKUP(M41,'G-6 Hedgerow Data'!$B$2:$AG$15,2,FALSE))</f>
        <v/>
      </c>
      <c r="R41" s="291" t="str">
        <f>IF(M41="","",VLOOKUP(M41,'G-6 Hedgerow Data'!$B$2:$AG$15,3,FALSE))</f>
        <v/>
      </c>
      <c r="S41" s="106"/>
      <c r="T41" s="328" t="str">
        <f>IFERROR(IF(S41="","",IF(AND(M41="Non-native and ornamental hedgerow", S41&lt;&gt;"Poor"),"Not possible ▲", (VLOOKUP(S41,'G-1 All Habitats'!$Z$2:$AA$9,2,FALSE)))),"")</f>
        <v/>
      </c>
      <c r="U41" s="103"/>
      <c r="V41" s="310" t="str">
        <f>IF(U41="","",IF(VLOOKUP(U41,'G-3 Multipliers'!$L$3:$N$6,2,FALSE)=0,"Spatial Data Missing ⚠",VLOOKUP(U41,'G-3 Multipliers'!$L$3:$N$6,2,FALSE)))</f>
        <v/>
      </c>
      <c r="W41" s="314" t="str">
        <f>IF(U41="","",IF(VLOOKUP(U41,'G-3 Multipliers'!$L$3:$N$6,3,FALSE)=0,"Spatial Data Missing ⚠",VLOOKUP(U41,'G-3 Multipliers'!$L$3:$N$6,3,FALSE)))</f>
        <v/>
      </c>
      <c r="X41" s="290" t="str">
        <f>IFERROR(IF(OR(LEFT(O41,5)="Error",LEFT(N41,5)="Error",T41="Error"),"Check Data ⚠",IF(F41&lt;R41,INDEX('G-6 Hedgerow Data'!$S$3:$AE$14,MATCH(C41,'G-6 Hedgerow Data'!$B$3:$B$14,0),MATCH(M41,'G-6 Hedgerow Data'!$S$2:$AE$2,0)),INDEX('G-6 Hedgerow Data'!$K$3:$Q$14,MATCH(M41,'G-6 Hedgerow Data'!$B$3:$B$14,0),MATCH(O41,'G-6 Hedgerow Data'!$K$2:$Q$2,0)))),"")</f>
        <v/>
      </c>
      <c r="Y41" s="138"/>
      <c r="Z41" s="138"/>
      <c r="AA41" s="298" t="str">
        <f t="shared" si="2"/>
        <v/>
      </c>
      <c r="AB41" s="311" t="str">
        <f t="shared" si="3"/>
        <v/>
      </c>
      <c r="AC41" s="312" t="str">
        <f t="shared" si="0"/>
        <v/>
      </c>
      <c r="AD41" s="325" t="str">
        <f>IF(M41="","",VLOOKUP(M41,'G-6 Hedgerow Data'!$B$3:$AG$15,31,FALSE))</f>
        <v/>
      </c>
      <c r="AE41" s="298" t="str">
        <f t="shared" si="4"/>
        <v/>
      </c>
      <c r="AF41" s="298" t="str">
        <f t="shared" si="5"/>
        <v/>
      </c>
      <c r="AG41" s="314" t="str">
        <f>IFERROR(IF(O41="","",VLOOKUP(AD41,'G-3 Multipliers'!$P$3:$Q$6,2,FALSE)),"")</f>
        <v/>
      </c>
      <c r="AH41" s="304" t="str">
        <f t="shared" si="6"/>
        <v/>
      </c>
      <c r="AI41" s="157"/>
      <c r="AJ41" s="99"/>
      <c r="AK41" s="101"/>
      <c r="AT41" s="15" t="str">
        <f>IFERROR(INDEX('G-6 Hedgerow Data'!$BJ$3:$BJ$15,MATCH(M41,'G-6 Hedgerow Data'!$B$3:$B$15,0)),"")</f>
        <v/>
      </c>
    </row>
    <row r="42" spans="2:46" ht="14" x14ac:dyDescent="0.3">
      <c r="B42" s="319" t="str">
        <f>'B-1 On-Site Hedge Baseline'!AK40</f>
        <v/>
      </c>
      <c r="C42" s="310" t="str">
        <f>IF(B42="","",IF(ISNA(VLOOKUP($B42,'B-1 On-Site Hedge Baseline'!$B$1:$L$257,3,FALSE)),"",(VLOOKUP($B42,'B-1 On-Site Hedge Baseline'!$B$1:$L$257,3,FALSE))))</f>
        <v/>
      </c>
      <c r="D42" s="310" t="str">
        <f>IF(B42="","",IF(ISNA(VLOOKUP($B42,'B-1 On-Site Hedge Baseline'!$B$1:$L$257,4,FALSE)),"",(VLOOKUP($B42,'B-1 On-Site Hedge Baseline'!$B$1:$L$257,4,FALSE))))</f>
        <v/>
      </c>
      <c r="E42" s="310" t="str">
        <f>IF(B42="","",IF(ISNA(VLOOKUP($B42,'B-1 On-Site Hedge Baseline'!$B$1:$L$257,5,FALSE)),"",(VLOOKUP($B42,'B-1 On-Site Hedge Baseline'!$B$1:$L$257,5,FALSE))))</f>
        <v/>
      </c>
      <c r="F42" s="310" t="str">
        <f>IF(B42="","",IF(ISNA(VLOOKUP($B42,'B-1 On-Site Hedge Baseline'!$B$1:$L$257,6,FALSE)),"",(VLOOKUP($B42,'B-1 On-Site Hedge Baseline'!$B$1:$L$257,6,FALSE))))</f>
        <v/>
      </c>
      <c r="G42" s="310" t="str">
        <f>IF(B42="","",IF(ISNA(VLOOKUP($B42,'B-1 On-Site Hedge Baseline'!$B$1:$L$257,7,FALSE)),"",(VLOOKUP($B42,'B-1 On-Site Hedge Baseline'!$B$1:$L$257,7,FALSE))))</f>
        <v/>
      </c>
      <c r="H42" s="310" t="str">
        <f>IF(B42="","",IF(ISNA(VLOOKUP($B42,'B-1 On-Site Hedge Baseline'!$B$1:$L$257,8,FALSE)),"",(VLOOKUP($B42,'B-1 On-Site Hedge Baseline'!$B$1:$L$257,8,FALSE))))</f>
        <v/>
      </c>
      <c r="I42" s="310" t="str">
        <f>IF(B42="","",IF(ISNA(VLOOKUP($B42,'B-1 On-Site Hedge Baseline'!$B$1:$L$257,10,FALSE)),"",(VLOOKUP($B42,'B-1 On-Site Hedge Baseline'!$B$1:$L$257,10,FALSE))))</f>
        <v/>
      </c>
      <c r="J42" s="310" t="str">
        <f>IF(B42="","",IF(ISNA(VLOOKUP($B42,'B-1 On-Site Hedge Baseline'!$B$1:$L$257,11,FALSE)),"",(VLOOKUP($B42,'B-1 On-Site Hedge Baseline'!$B$1:$L$257,11,FALSE))))</f>
        <v/>
      </c>
      <c r="K42" s="310" t="str">
        <f>IF(B42="","",IF(ISNA(VLOOKUP($B42,'B-1 On-Site Hedge Baseline'!$B$1:$U$257,13,FALSE)),"",(VLOOKUP($B42,'B-1 On-Site Hedge Baseline'!$B$1:$U$257,13,FALSE))))</f>
        <v/>
      </c>
      <c r="L42" s="314" t="str">
        <f>IF(B42="","",IF(ISNA(VLOOKUP($B42,'B-1 On-Site Hedge Baseline'!$B$1:$U$257,12,FALSE)),"",(VLOOKUP($B42,'B-1 On-Site Hedge Baseline'!$B$1:$U$257,12,FALSE))))</f>
        <v/>
      </c>
      <c r="M42" s="583"/>
      <c r="N42" s="290" t="str">
        <f>IFERROR(IF(B42="","",INDEX('G-6 Hedgerow Data'!$AN$3:$AZ$15,MATCH(C42,'G-6 Hedgerow Data'!$AM$3:$AM$15,0),MATCH(M42,'G-6 Hedgerow Data'!$AN$2:$AZ$2,0))),"")</f>
        <v/>
      </c>
      <c r="O42" s="291" t="str">
        <f t="shared" si="1"/>
        <v/>
      </c>
      <c r="P42" s="341" t="str">
        <f>IF(B42="","",VLOOKUP(B42,'B-1 On-Site Hedge Baseline'!$B$10:T287,16,FALSE))</f>
        <v/>
      </c>
      <c r="Q42" s="290" t="str">
        <f>IF(M42="","",VLOOKUP(M42,'G-6 Hedgerow Data'!$B$2:$AG$15,2,FALSE))</f>
        <v/>
      </c>
      <c r="R42" s="291" t="str">
        <f>IF(M42="","",VLOOKUP(M42,'G-6 Hedgerow Data'!$B$2:$AG$15,3,FALSE))</f>
        <v/>
      </c>
      <c r="S42" s="106"/>
      <c r="T42" s="328" t="str">
        <f>IFERROR(IF(S42="","",IF(AND(M42="Non-native and ornamental hedgerow", S42&lt;&gt;"Poor"),"Not possible ▲", (VLOOKUP(S42,'G-1 All Habitats'!$Z$2:$AA$9,2,FALSE)))),"")</f>
        <v/>
      </c>
      <c r="U42" s="103"/>
      <c r="V42" s="310" t="str">
        <f>IF(U42="","",IF(VLOOKUP(U42,'G-3 Multipliers'!$L$3:$N$6,2,FALSE)=0,"Spatial Data Missing ⚠",VLOOKUP(U42,'G-3 Multipliers'!$L$3:$N$6,2,FALSE)))</f>
        <v/>
      </c>
      <c r="W42" s="314" t="str">
        <f>IF(U42="","",IF(VLOOKUP(U42,'G-3 Multipliers'!$L$3:$N$6,3,FALSE)=0,"Spatial Data Missing ⚠",VLOOKUP(U42,'G-3 Multipliers'!$L$3:$N$6,3,FALSE)))</f>
        <v/>
      </c>
      <c r="X42" s="290" t="str">
        <f>IFERROR(IF(OR(LEFT(O42,5)="Error",LEFT(N42,5)="Error",T42="Error"),"Check Data ⚠",IF(F42&lt;R42,INDEX('G-6 Hedgerow Data'!$S$3:$AE$14,MATCH(C42,'G-6 Hedgerow Data'!$B$3:$B$14,0),MATCH(M42,'G-6 Hedgerow Data'!$S$2:$AE$2,0)),INDEX('G-6 Hedgerow Data'!$K$3:$Q$14,MATCH(M42,'G-6 Hedgerow Data'!$B$3:$B$14,0),MATCH(O42,'G-6 Hedgerow Data'!$K$2:$Q$2,0)))),"")</f>
        <v/>
      </c>
      <c r="Y42" s="138"/>
      <c r="Z42" s="138"/>
      <c r="AA42" s="298" t="str">
        <f t="shared" si="2"/>
        <v/>
      </c>
      <c r="AB42" s="311" t="str">
        <f t="shared" si="3"/>
        <v/>
      </c>
      <c r="AC42" s="312" t="str">
        <f t="shared" si="0"/>
        <v/>
      </c>
      <c r="AD42" s="325" t="str">
        <f>IF(M42="","",VLOOKUP(M42,'G-6 Hedgerow Data'!$B$3:$AG$15,31,FALSE))</f>
        <v/>
      </c>
      <c r="AE42" s="298" t="str">
        <f t="shared" si="4"/>
        <v/>
      </c>
      <c r="AF42" s="298" t="str">
        <f t="shared" si="5"/>
        <v/>
      </c>
      <c r="AG42" s="314" t="str">
        <f>IFERROR(IF(O42="","",VLOOKUP(AD42,'G-3 Multipliers'!$P$3:$Q$6,2,FALSE)),"")</f>
        <v/>
      </c>
      <c r="AH42" s="304" t="str">
        <f t="shared" si="6"/>
        <v/>
      </c>
      <c r="AI42" s="157"/>
      <c r="AJ42" s="99"/>
      <c r="AK42" s="101"/>
      <c r="AT42" s="15" t="str">
        <f>IFERROR(INDEX('G-6 Hedgerow Data'!$BJ$3:$BJ$15,MATCH(M42,'G-6 Hedgerow Data'!$B$3:$B$15,0)),"")</f>
        <v/>
      </c>
    </row>
    <row r="43" spans="2:46" ht="14" x14ac:dyDescent="0.3">
      <c r="B43" s="319" t="str">
        <f>'B-1 On-Site Hedge Baseline'!AK41</f>
        <v/>
      </c>
      <c r="C43" s="310" t="str">
        <f>IF(B43="","",IF(ISNA(VLOOKUP($B43,'B-1 On-Site Hedge Baseline'!$B$1:$L$257,3,FALSE)),"",(VLOOKUP($B43,'B-1 On-Site Hedge Baseline'!$B$1:$L$257,3,FALSE))))</f>
        <v/>
      </c>
      <c r="D43" s="310" t="str">
        <f>IF(B43="","",IF(ISNA(VLOOKUP($B43,'B-1 On-Site Hedge Baseline'!$B$1:$L$257,4,FALSE)),"",(VLOOKUP($B43,'B-1 On-Site Hedge Baseline'!$B$1:$L$257,4,FALSE))))</f>
        <v/>
      </c>
      <c r="E43" s="310" t="str">
        <f>IF(B43="","",IF(ISNA(VLOOKUP($B43,'B-1 On-Site Hedge Baseline'!$B$1:$L$257,5,FALSE)),"",(VLOOKUP($B43,'B-1 On-Site Hedge Baseline'!$B$1:$L$257,5,FALSE))))</f>
        <v/>
      </c>
      <c r="F43" s="310" t="str">
        <f>IF(B43="","",IF(ISNA(VLOOKUP($B43,'B-1 On-Site Hedge Baseline'!$B$1:$L$257,6,FALSE)),"",(VLOOKUP($B43,'B-1 On-Site Hedge Baseline'!$B$1:$L$257,6,FALSE))))</f>
        <v/>
      </c>
      <c r="G43" s="310" t="str">
        <f>IF(B43="","",IF(ISNA(VLOOKUP($B43,'B-1 On-Site Hedge Baseline'!$B$1:$L$257,7,FALSE)),"",(VLOOKUP($B43,'B-1 On-Site Hedge Baseline'!$B$1:$L$257,7,FALSE))))</f>
        <v/>
      </c>
      <c r="H43" s="310" t="str">
        <f>IF(B43="","",IF(ISNA(VLOOKUP($B43,'B-1 On-Site Hedge Baseline'!$B$1:$L$257,8,FALSE)),"",(VLOOKUP($B43,'B-1 On-Site Hedge Baseline'!$B$1:$L$257,8,FALSE))))</f>
        <v/>
      </c>
      <c r="I43" s="310" t="str">
        <f>IF(B43="","",IF(ISNA(VLOOKUP($B43,'B-1 On-Site Hedge Baseline'!$B$1:$L$257,10,FALSE)),"",(VLOOKUP($B43,'B-1 On-Site Hedge Baseline'!$B$1:$L$257,10,FALSE))))</f>
        <v/>
      </c>
      <c r="J43" s="310" t="str">
        <f>IF(B43="","",IF(ISNA(VLOOKUP($B43,'B-1 On-Site Hedge Baseline'!$B$1:$L$257,11,FALSE)),"",(VLOOKUP($B43,'B-1 On-Site Hedge Baseline'!$B$1:$L$257,11,FALSE))))</f>
        <v/>
      </c>
      <c r="K43" s="310" t="str">
        <f>IF(B43="","",IF(ISNA(VLOOKUP($B43,'B-1 On-Site Hedge Baseline'!$B$1:$U$257,13,FALSE)),"",(VLOOKUP($B43,'B-1 On-Site Hedge Baseline'!$B$1:$U$257,13,FALSE))))</f>
        <v/>
      </c>
      <c r="L43" s="314" t="str">
        <f>IF(B43="","",IF(ISNA(VLOOKUP($B43,'B-1 On-Site Hedge Baseline'!$B$1:$U$257,12,FALSE)),"",(VLOOKUP($B43,'B-1 On-Site Hedge Baseline'!$B$1:$U$257,12,FALSE))))</f>
        <v/>
      </c>
      <c r="M43" s="583"/>
      <c r="N43" s="290" t="str">
        <f>IFERROR(IF(B43="","",INDEX('G-6 Hedgerow Data'!$AN$3:$AZ$15,MATCH(C43,'G-6 Hedgerow Data'!$AM$3:$AM$15,0),MATCH(M43,'G-6 Hedgerow Data'!$AN$2:$AZ$2,0))),"")</f>
        <v/>
      </c>
      <c r="O43" s="291" t="str">
        <f t="shared" si="1"/>
        <v/>
      </c>
      <c r="P43" s="341" t="str">
        <f>IF(B43="","",VLOOKUP(B43,'B-1 On-Site Hedge Baseline'!$B$10:T288,16,FALSE))</f>
        <v/>
      </c>
      <c r="Q43" s="290" t="str">
        <f>IF(M43="","",VLOOKUP(M43,'G-6 Hedgerow Data'!$B$2:$AG$15,2,FALSE))</f>
        <v/>
      </c>
      <c r="R43" s="291" t="str">
        <f>IF(M43="","",VLOOKUP(M43,'G-6 Hedgerow Data'!$B$2:$AG$15,3,FALSE))</f>
        <v/>
      </c>
      <c r="S43" s="106"/>
      <c r="T43" s="328" t="str">
        <f>IFERROR(IF(S43="","",IF(AND(M43="Non-native and ornamental hedgerow", S43&lt;&gt;"Poor"),"Not possible ▲", (VLOOKUP(S43,'G-1 All Habitats'!$Z$2:$AA$9,2,FALSE)))),"")</f>
        <v/>
      </c>
      <c r="U43" s="103"/>
      <c r="V43" s="310" t="str">
        <f>IF(U43="","",IF(VLOOKUP(U43,'G-3 Multipliers'!$L$3:$N$6,2,FALSE)=0,"Spatial Data Missing ⚠",VLOOKUP(U43,'G-3 Multipliers'!$L$3:$N$6,2,FALSE)))</f>
        <v/>
      </c>
      <c r="W43" s="314" t="str">
        <f>IF(U43="","",IF(VLOOKUP(U43,'G-3 Multipliers'!$L$3:$N$6,3,FALSE)=0,"Spatial Data Missing ⚠",VLOOKUP(U43,'G-3 Multipliers'!$L$3:$N$6,3,FALSE)))</f>
        <v/>
      </c>
      <c r="X43" s="290" t="str">
        <f>IFERROR(IF(OR(LEFT(O43,5)="Error",LEFT(N43,5)="Error",T43="Error"),"Check Data ⚠",IF(F43&lt;R43,INDEX('G-6 Hedgerow Data'!$S$3:$AE$14,MATCH(C43,'G-6 Hedgerow Data'!$B$3:$B$14,0),MATCH(M43,'G-6 Hedgerow Data'!$S$2:$AE$2,0)),INDEX('G-6 Hedgerow Data'!$K$3:$Q$14,MATCH(M43,'G-6 Hedgerow Data'!$B$3:$B$14,0),MATCH(O43,'G-6 Hedgerow Data'!$K$2:$Q$2,0)))),"")</f>
        <v/>
      </c>
      <c r="Y43" s="138"/>
      <c r="Z43" s="138"/>
      <c r="AA43" s="298" t="str">
        <f t="shared" si="2"/>
        <v/>
      </c>
      <c r="AB43" s="311" t="str">
        <f t="shared" si="3"/>
        <v/>
      </c>
      <c r="AC43" s="312" t="str">
        <f t="shared" si="0"/>
        <v/>
      </c>
      <c r="AD43" s="325" t="str">
        <f>IF(M43="","",VLOOKUP(M43,'G-6 Hedgerow Data'!$B$3:$AG$15,31,FALSE))</f>
        <v/>
      </c>
      <c r="AE43" s="298" t="str">
        <f t="shared" si="4"/>
        <v/>
      </c>
      <c r="AF43" s="298" t="str">
        <f t="shared" si="5"/>
        <v/>
      </c>
      <c r="AG43" s="314" t="str">
        <f>IFERROR(IF(O43="","",VLOOKUP(AD43,'G-3 Multipliers'!$P$3:$Q$6,2,FALSE)),"")</f>
        <v/>
      </c>
      <c r="AH43" s="304" t="str">
        <f t="shared" si="6"/>
        <v/>
      </c>
      <c r="AI43" s="157"/>
      <c r="AJ43" s="99"/>
      <c r="AK43" s="101"/>
      <c r="AT43" s="15" t="str">
        <f>IFERROR(INDEX('G-6 Hedgerow Data'!$BJ$3:$BJ$15,MATCH(M43,'G-6 Hedgerow Data'!$B$3:$B$15,0)),"")</f>
        <v/>
      </c>
    </row>
    <row r="44" spans="2:46" ht="14" x14ac:dyDescent="0.3">
      <c r="B44" s="319" t="str">
        <f>'B-1 On-Site Hedge Baseline'!AK42</f>
        <v/>
      </c>
      <c r="C44" s="310" t="str">
        <f>IF(B44="","",IF(ISNA(VLOOKUP($B44,'B-1 On-Site Hedge Baseline'!$B$1:$L$257,3,FALSE)),"",(VLOOKUP($B44,'B-1 On-Site Hedge Baseline'!$B$1:$L$257,3,FALSE))))</f>
        <v/>
      </c>
      <c r="D44" s="310" t="str">
        <f>IF(B44="","",IF(ISNA(VLOOKUP($B44,'B-1 On-Site Hedge Baseline'!$B$1:$L$257,4,FALSE)),"",(VLOOKUP($B44,'B-1 On-Site Hedge Baseline'!$B$1:$L$257,4,FALSE))))</f>
        <v/>
      </c>
      <c r="E44" s="310" t="str">
        <f>IF(B44="","",IF(ISNA(VLOOKUP($B44,'B-1 On-Site Hedge Baseline'!$B$1:$L$257,5,FALSE)),"",(VLOOKUP($B44,'B-1 On-Site Hedge Baseline'!$B$1:$L$257,5,FALSE))))</f>
        <v/>
      </c>
      <c r="F44" s="310" t="str">
        <f>IF(B44="","",IF(ISNA(VLOOKUP($B44,'B-1 On-Site Hedge Baseline'!$B$1:$L$257,6,FALSE)),"",(VLOOKUP($B44,'B-1 On-Site Hedge Baseline'!$B$1:$L$257,6,FALSE))))</f>
        <v/>
      </c>
      <c r="G44" s="310" t="str">
        <f>IF(B44="","",IF(ISNA(VLOOKUP($B44,'B-1 On-Site Hedge Baseline'!$B$1:$L$257,7,FALSE)),"",(VLOOKUP($B44,'B-1 On-Site Hedge Baseline'!$B$1:$L$257,7,FALSE))))</f>
        <v/>
      </c>
      <c r="H44" s="310" t="str">
        <f>IF(B44="","",IF(ISNA(VLOOKUP($B44,'B-1 On-Site Hedge Baseline'!$B$1:$L$257,8,FALSE)),"",(VLOOKUP($B44,'B-1 On-Site Hedge Baseline'!$B$1:$L$257,8,FALSE))))</f>
        <v/>
      </c>
      <c r="I44" s="310" t="str">
        <f>IF(B44="","",IF(ISNA(VLOOKUP($B44,'B-1 On-Site Hedge Baseline'!$B$1:$L$257,10,FALSE)),"",(VLOOKUP($B44,'B-1 On-Site Hedge Baseline'!$B$1:$L$257,10,FALSE))))</f>
        <v/>
      </c>
      <c r="J44" s="310" t="str">
        <f>IF(B44="","",IF(ISNA(VLOOKUP($B44,'B-1 On-Site Hedge Baseline'!$B$1:$L$257,11,FALSE)),"",(VLOOKUP($B44,'B-1 On-Site Hedge Baseline'!$B$1:$L$257,11,FALSE))))</f>
        <v/>
      </c>
      <c r="K44" s="310" t="str">
        <f>IF(B44="","",IF(ISNA(VLOOKUP($B44,'B-1 On-Site Hedge Baseline'!$B$1:$U$257,13,FALSE)),"",(VLOOKUP($B44,'B-1 On-Site Hedge Baseline'!$B$1:$U$257,13,FALSE))))</f>
        <v/>
      </c>
      <c r="L44" s="314" t="str">
        <f>IF(B44="","",IF(ISNA(VLOOKUP($B44,'B-1 On-Site Hedge Baseline'!$B$1:$U$257,12,FALSE)),"",(VLOOKUP($B44,'B-1 On-Site Hedge Baseline'!$B$1:$U$257,12,FALSE))))</f>
        <v/>
      </c>
      <c r="M44" s="583"/>
      <c r="N44" s="290" t="str">
        <f>IFERROR(IF(B44="","",INDEX('G-6 Hedgerow Data'!$AN$3:$AZ$15,MATCH(C44,'G-6 Hedgerow Data'!$AM$3:$AM$15,0),MATCH(M44,'G-6 Hedgerow Data'!$AN$2:$AZ$2,0))),"")</f>
        <v/>
      </c>
      <c r="O44" s="291" t="str">
        <f t="shared" si="1"/>
        <v/>
      </c>
      <c r="P44" s="341" t="str">
        <f>IF(B44="","",VLOOKUP(B44,'B-1 On-Site Hedge Baseline'!$B$10:T289,16,FALSE))</f>
        <v/>
      </c>
      <c r="Q44" s="290" t="str">
        <f>IF(M44="","",VLOOKUP(M44,'G-6 Hedgerow Data'!$B$2:$AG$15,2,FALSE))</f>
        <v/>
      </c>
      <c r="R44" s="291" t="str">
        <f>IF(M44="","",VLOOKUP(M44,'G-6 Hedgerow Data'!$B$2:$AG$15,3,FALSE))</f>
        <v/>
      </c>
      <c r="S44" s="106"/>
      <c r="T44" s="328" t="str">
        <f>IFERROR(IF(S44="","",IF(AND(M44="Non-native and ornamental hedgerow", S44&lt;&gt;"Poor"),"Not possible ▲", (VLOOKUP(S44,'G-1 All Habitats'!$Z$2:$AA$9,2,FALSE)))),"")</f>
        <v/>
      </c>
      <c r="U44" s="103"/>
      <c r="V44" s="310" t="str">
        <f>IF(U44="","",IF(VLOOKUP(U44,'G-3 Multipliers'!$L$3:$N$6,2,FALSE)=0,"Spatial Data Missing ⚠",VLOOKUP(U44,'G-3 Multipliers'!$L$3:$N$6,2,FALSE)))</f>
        <v/>
      </c>
      <c r="W44" s="314" t="str">
        <f>IF(U44="","",IF(VLOOKUP(U44,'G-3 Multipliers'!$L$3:$N$6,3,FALSE)=0,"Spatial Data Missing ⚠",VLOOKUP(U44,'G-3 Multipliers'!$L$3:$N$6,3,FALSE)))</f>
        <v/>
      </c>
      <c r="X44" s="290" t="str">
        <f>IFERROR(IF(OR(LEFT(O44,5)="Error",LEFT(N44,5)="Error",T44="Error"),"Check Data ⚠",IF(F44&lt;R44,INDEX('G-6 Hedgerow Data'!$S$3:$AE$14,MATCH(C44,'G-6 Hedgerow Data'!$B$3:$B$14,0),MATCH(M44,'G-6 Hedgerow Data'!$S$2:$AE$2,0)),INDEX('G-6 Hedgerow Data'!$K$3:$Q$14,MATCH(M44,'G-6 Hedgerow Data'!$B$3:$B$14,0),MATCH(O44,'G-6 Hedgerow Data'!$K$2:$Q$2,0)))),"")</f>
        <v/>
      </c>
      <c r="Y44" s="138"/>
      <c r="Z44" s="138"/>
      <c r="AA44" s="298" t="str">
        <f t="shared" si="2"/>
        <v/>
      </c>
      <c r="AB44" s="311" t="str">
        <f t="shared" si="3"/>
        <v/>
      </c>
      <c r="AC44" s="312" t="str">
        <f t="shared" si="0"/>
        <v/>
      </c>
      <c r="AD44" s="325" t="str">
        <f>IF(M44="","",VLOOKUP(M44,'G-6 Hedgerow Data'!$B$3:$AG$15,31,FALSE))</f>
        <v/>
      </c>
      <c r="AE44" s="298" t="str">
        <f t="shared" si="4"/>
        <v/>
      </c>
      <c r="AF44" s="298" t="str">
        <f t="shared" si="5"/>
        <v/>
      </c>
      <c r="AG44" s="314" t="str">
        <f>IFERROR(IF(O44="","",VLOOKUP(AD44,'G-3 Multipliers'!$P$3:$Q$6,2,FALSE)),"")</f>
        <v/>
      </c>
      <c r="AH44" s="304" t="str">
        <f t="shared" si="6"/>
        <v/>
      </c>
      <c r="AI44" s="157"/>
      <c r="AJ44" s="99"/>
      <c r="AK44" s="101"/>
      <c r="AT44" s="15" t="str">
        <f>IFERROR(INDEX('G-6 Hedgerow Data'!$BJ$3:$BJ$15,MATCH(M44,'G-6 Hedgerow Data'!$B$3:$B$15,0)),"")</f>
        <v/>
      </c>
    </row>
    <row r="45" spans="2:46" ht="14" x14ac:dyDescent="0.3">
      <c r="B45" s="319" t="str">
        <f>'B-1 On-Site Hedge Baseline'!AK43</f>
        <v/>
      </c>
      <c r="C45" s="310" t="str">
        <f>IF(B45="","",IF(ISNA(VLOOKUP($B45,'B-1 On-Site Hedge Baseline'!$B$1:$L$257,3,FALSE)),"",(VLOOKUP($B45,'B-1 On-Site Hedge Baseline'!$B$1:$L$257,3,FALSE))))</f>
        <v/>
      </c>
      <c r="D45" s="310" t="str">
        <f>IF(B45="","",IF(ISNA(VLOOKUP($B45,'B-1 On-Site Hedge Baseline'!$B$1:$L$257,4,FALSE)),"",(VLOOKUP($B45,'B-1 On-Site Hedge Baseline'!$B$1:$L$257,4,FALSE))))</f>
        <v/>
      </c>
      <c r="E45" s="310" t="str">
        <f>IF(B45="","",IF(ISNA(VLOOKUP($B45,'B-1 On-Site Hedge Baseline'!$B$1:$L$257,5,FALSE)),"",(VLOOKUP($B45,'B-1 On-Site Hedge Baseline'!$B$1:$L$257,5,FALSE))))</f>
        <v/>
      </c>
      <c r="F45" s="310" t="str">
        <f>IF(B45="","",IF(ISNA(VLOOKUP($B45,'B-1 On-Site Hedge Baseline'!$B$1:$L$257,6,FALSE)),"",(VLOOKUP($B45,'B-1 On-Site Hedge Baseline'!$B$1:$L$257,6,FALSE))))</f>
        <v/>
      </c>
      <c r="G45" s="310" t="str">
        <f>IF(B45="","",IF(ISNA(VLOOKUP($B45,'B-1 On-Site Hedge Baseline'!$B$1:$L$257,7,FALSE)),"",(VLOOKUP($B45,'B-1 On-Site Hedge Baseline'!$B$1:$L$257,7,FALSE))))</f>
        <v/>
      </c>
      <c r="H45" s="310" t="str">
        <f>IF(B45="","",IF(ISNA(VLOOKUP($B45,'B-1 On-Site Hedge Baseline'!$B$1:$L$257,8,FALSE)),"",(VLOOKUP($B45,'B-1 On-Site Hedge Baseline'!$B$1:$L$257,8,FALSE))))</f>
        <v/>
      </c>
      <c r="I45" s="310" t="str">
        <f>IF(B45="","",IF(ISNA(VLOOKUP($B45,'B-1 On-Site Hedge Baseline'!$B$1:$L$257,10,FALSE)),"",(VLOOKUP($B45,'B-1 On-Site Hedge Baseline'!$B$1:$L$257,10,FALSE))))</f>
        <v/>
      </c>
      <c r="J45" s="310" t="str">
        <f>IF(B45="","",IF(ISNA(VLOOKUP($B45,'B-1 On-Site Hedge Baseline'!$B$1:$L$257,11,FALSE)),"",(VLOOKUP($B45,'B-1 On-Site Hedge Baseline'!$B$1:$L$257,11,FALSE))))</f>
        <v/>
      </c>
      <c r="K45" s="310" t="str">
        <f>IF(B45="","",IF(ISNA(VLOOKUP($B45,'B-1 On-Site Hedge Baseline'!$B$1:$U$257,13,FALSE)),"",(VLOOKUP($B45,'B-1 On-Site Hedge Baseline'!$B$1:$U$257,13,FALSE))))</f>
        <v/>
      </c>
      <c r="L45" s="314" t="str">
        <f>IF(B45="","",IF(ISNA(VLOOKUP($B45,'B-1 On-Site Hedge Baseline'!$B$1:$U$257,12,FALSE)),"",(VLOOKUP($B45,'B-1 On-Site Hedge Baseline'!$B$1:$U$257,12,FALSE))))</f>
        <v/>
      </c>
      <c r="M45" s="583"/>
      <c r="N45" s="290" t="str">
        <f>IFERROR(IF(B45="","",INDEX('G-6 Hedgerow Data'!$AN$3:$AZ$15,MATCH(C45,'G-6 Hedgerow Data'!$AM$3:$AM$15,0),MATCH(M45,'G-6 Hedgerow Data'!$AN$2:$AZ$2,0))),"")</f>
        <v/>
      </c>
      <c r="O45" s="291" t="str">
        <f t="shared" si="1"/>
        <v/>
      </c>
      <c r="P45" s="341" t="str">
        <f>IF(B45="","",VLOOKUP(B45,'B-1 On-Site Hedge Baseline'!$B$10:T290,16,FALSE))</f>
        <v/>
      </c>
      <c r="Q45" s="290" t="str">
        <f>IF(M45="","",VLOOKUP(M45,'G-6 Hedgerow Data'!$B$2:$AG$15,2,FALSE))</f>
        <v/>
      </c>
      <c r="R45" s="291" t="str">
        <f>IF(M45="","",VLOOKUP(M45,'G-6 Hedgerow Data'!$B$2:$AG$15,3,FALSE))</f>
        <v/>
      </c>
      <c r="S45" s="106"/>
      <c r="T45" s="328" t="str">
        <f>IFERROR(IF(S45="","",IF(AND(M45="Non-native and ornamental hedgerow", S45&lt;&gt;"Poor"),"Not possible ▲", (VLOOKUP(S45,'G-1 All Habitats'!$Z$2:$AA$9,2,FALSE)))),"")</f>
        <v/>
      </c>
      <c r="U45" s="103"/>
      <c r="V45" s="310" t="str">
        <f>IF(U45="","",IF(VLOOKUP(U45,'G-3 Multipliers'!$L$3:$N$6,2,FALSE)=0,"Spatial Data Missing ⚠",VLOOKUP(U45,'G-3 Multipliers'!$L$3:$N$6,2,FALSE)))</f>
        <v/>
      </c>
      <c r="W45" s="314" t="str">
        <f>IF(U45="","",IF(VLOOKUP(U45,'G-3 Multipliers'!$L$3:$N$6,3,FALSE)=0,"Spatial Data Missing ⚠",VLOOKUP(U45,'G-3 Multipliers'!$L$3:$N$6,3,FALSE)))</f>
        <v/>
      </c>
      <c r="X45" s="290" t="str">
        <f>IFERROR(IF(OR(LEFT(O45,5)="Error",LEFT(N45,5)="Error",T45="Error"),"Check Data ⚠",IF(F45&lt;R45,INDEX('G-6 Hedgerow Data'!$S$3:$AE$14,MATCH(C45,'G-6 Hedgerow Data'!$B$3:$B$14,0),MATCH(M45,'G-6 Hedgerow Data'!$S$2:$AE$2,0)),INDEX('G-6 Hedgerow Data'!$K$3:$Q$14,MATCH(M45,'G-6 Hedgerow Data'!$B$3:$B$14,0),MATCH(O45,'G-6 Hedgerow Data'!$K$2:$Q$2,0)))),"")</f>
        <v/>
      </c>
      <c r="Y45" s="138"/>
      <c r="Z45" s="138"/>
      <c r="AA45" s="298" t="str">
        <f t="shared" si="2"/>
        <v/>
      </c>
      <c r="AB45" s="311" t="str">
        <f t="shared" si="3"/>
        <v/>
      </c>
      <c r="AC45" s="312" t="str">
        <f t="shared" si="0"/>
        <v/>
      </c>
      <c r="AD45" s="325" t="str">
        <f>IF(M45="","",VLOOKUP(M45,'G-6 Hedgerow Data'!$B$3:$AG$15,31,FALSE))</f>
        <v/>
      </c>
      <c r="AE45" s="298" t="str">
        <f t="shared" si="4"/>
        <v/>
      </c>
      <c r="AF45" s="298" t="str">
        <f t="shared" si="5"/>
        <v/>
      </c>
      <c r="AG45" s="314" t="str">
        <f>IFERROR(IF(O45="","",VLOOKUP(AD45,'G-3 Multipliers'!$P$3:$Q$6,2,FALSE)),"")</f>
        <v/>
      </c>
      <c r="AH45" s="304" t="str">
        <f t="shared" si="6"/>
        <v/>
      </c>
      <c r="AI45" s="157"/>
      <c r="AJ45" s="99"/>
      <c r="AK45" s="101"/>
      <c r="AT45" s="15" t="str">
        <f>IFERROR(INDEX('G-6 Hedgerow Data'!$BJ$3:$BJ$15,MATCH(M45,'G-6 Hedgerow Data'!$B$3:$B$15,0)),"")</f>
        <v/>
      </c>
    </row>
    <row r="46" spans="2:46" ht="14" x14ac:dyDescent="0.3">
      <c r="B46" s="319" t="str">
        <f>'B-1 On-Site Hedge Baseline'!AK44</f>
        <v/>
      </c>
      <c r="C46" s="310" t="str">
        <f>IF(B46="","",IF(ISNA(VLOOKUP($B46,'B-1 On-Site Hedge Baseline'!$B$1:$L$257,3,FALSE)),"",(VLOOKUP($B46,'B-1 On-Site Hedge Baseline'!$B$1:$L$257,3,FALSE))))</f>
        <v/>
      </c>
      <c r="D46" s="310" t="str">
        <f>IF(B46="","",IF(ISNA(VLOOKUP($B46,'B-1 On-Site Hedge Baseline'!$B$1:$L$257,4,FALSE)),"",(VLOOKUP($B46,'B-1 On-Site Hedge Baseline'!$B$1:$L$257,4,FALSE))))</f>
        <v/>
      </c>
      <c r="E46" s="310" t="str">
        <f>IF(B46="","",IF(ISNA(VLOOKUP($B46,'B-1 On-Site Hedge Baseline'!$B$1:$L$257,5,FALSE)),"",(VLOOKUP($B46,'B-1 On-Site Hedge Baseline'!$B$1:$L$257,5,FALSE))))</f>
        <v/>
      </c>
      <c r="F46" s="310" t="str">
        <f>IF(B46="","",IF(ISNA(VLOOKUP($B46,'B-1 On-Site Hedge Baseline'!$B$1:$L$257,6,FALSE)),"",(VLOOKUP($B46,'B-1 On-Site Hedge Baseline'!$B$1:$L$257,6,FALSE))))</f>
        <v/>
      </c>
      <c r="G46" s="310" t="str">
        <f>IF(B46="","",IF(ISNA(VLOOKUP($B46,'B-1 On-Site Hedge Baseline'!$B$1:$L$257,7,FALSE)),"",(VLOOKUP($B46,'B-1 On-Site Hedge Baseline'!$B$1:$L$257,7,FALSE))))</f>
        <v/>
      </c>
      <c r="H46" s="310" t="str">
        <f>IF(B46="","",IF(ISNA(VLOOKUP($B46,'B-1 On-Site Hedge Baseline'!$B$1:$L$257,8,FALSE)),"",(VLOOKUP($B46,'B-1 On-Site Hedge Baseline'!$B$1:$L$257,8,FALSE))))</f>
        <v/>
      </c>
      <c r="I46" s="310" t="str">
        <f>IF(B46="","",IF(ISNA(VLOOKUP($B46,'B-1 On-Site Hedge Baseline'!$B$1:$L$257,10,FALSE)),"",(VLOOKUP($B46,'B-1 On-Site Hedge Baseline'!$B$1:$L$257,10,FALSE))))</f>
        <v/>
      </c>
      <c r="J46" s="310" t="str">
        <f>IF(B46="","",IF(ISNA(VLOOKUP($B46,'B-1 On-Site Hedge Baseline'!$B$1:$L$257,11,FALSE)),"",(VLOOKUP($B46,'B-1 On-Site Hedge Baseline'!$B$1:$L$257,11,FALSE))))</f>
        <v/>
      </c>
      <c r="K46" s="310" t="str">
        <f>IF(B46="","",IF(ISNA(VLOOKUP($B46,'B-1 On-Site Hedge Baseline'!$B$1:$U$257,13,FALSE)),"",(VLOOKUP($B46,'B-1 On-Site Hedge Baseline'!$B$1:$U$257,13,FALSE))))</f>
        <v/>
      </c>
      <c r="L46" s="314" t="str">
        <f>IF(B46="","",IF(ISNA(VLOOKUP($B46,'B-1 On-Site Hedge Baseline'!$B$1:$U$257,12,FALSE)),"",(VLOOKUP($B46,'B-1 On-Site Hedge Baseline'!$B$1:$U$257,12,FALSE))))</f>
        <v/>
      </c>
      <c r="M46" s="583"/>
      <c r="N46" s="290" t="str">
        <f>IFERROR(IF(B46="","",INDEX('G-6 Hedgerow Data'!$AN$3:$AZ$15,MATCH(C46,'G-6 Hedgerow Data'!$AM$3:$AM$15,0),MATCH(M46,'G-6 Hedgerow Data'!$AN$2:$AZ$2,0))),"")</f>
        <v/>
      </c>
      <c r="O46" s="291" t="str">
        <f t="shared" si="1"/>
        <v/>
      </c>
      <c r="P46" s="341" t="str">
        <f>IF(B46="","",VLOOKUP(B46,'B-1 On-Site Hedge Baseline'!$B$10:T291,16,FALSE))</f>
        <v/>
      </c>
      <c r="Q46" s="290" t="str">
        <f>IF(M46="","",VLOOKUP(M46,'G-6 Hedgerow Data'!$B$2:$AG$15,2,FALSE))</f>
        <v/>
      </c>
      <c r="R46" s="291" t="str">
        <f>IF(M46="","",VLOOKUP(M46,'G-6 Hedgerow Data'!$B$2:$AG$15,3,FALSE))</f>
        <v/>
      </c>
      <c r="S46" s="106"/>
      <c r="T46" s="328" t="str">
        <f>IFERROR(IF(S46="","",IF(AND(M46="Non-native and ornamental hedgerow", S46&lt;&gt;"Poor"),"Not possible ▲", (VLOOKUP(S46,'G-1 All Habitats'!$Z$2:$AA$9,2,FALSE)))),"")</f>
        <v/>
      </c>
      <c r="U46" s="103"/>
      <c r="V46" s="310" t="str">
        <f>IF(U46="","",IF(VLOOKUP(U46,'G-3 Multipliers'!$L$3:$N$6,2,FALSE)=0,"Spatial Data Missing ⚠",VLOOKUP(U46,'G-3 Multipliers'!$L$3:$N$6,2,FALSE)))</f>
        <v/>
      </c>
      <c r="W46" s="314" t="str">
        <f>IF(U46="","",IF(VLOOKUP(U46,'G-3 Multipliers'!$L$3:$N$6,3,FALSE)=0,"Spatial Data Missing ⚠",VLOOKUP(U46,'G-3 Multipliers'!$L$3:$N$6,3,FALSE)))</f>
        <v/>
      </c>
      <c r="X46" s="290" t="str">
        <f>IFERROR(IF(OR(LEFT(O46,5)="Error",LEFT(N46,5)="Error",T46="Error"),"Check Data ⚠",IF(F46&lt;R46,INDEX('G-6 Hedgerow Data'!$S$3:$AE$14,MATCH(C46,'G-6 Hedgerow Data'!$B$3:$B$14,0),MATCH(M46,'G-6 Hedgerow Data'!$S$2:$AE$2,0)),INDEX('G-6 Hedgerow Data'!$K$3:$Q$14,MATCH(M46,'G-6 Hedgerow Data'!$B$3:$B$14,0),MATCH(O46,'G-6 Hedgerow Data'!$K$2:$Q$2,0)))),"")</f>
        <v/>
      </c>
      <c r="Y46" s="138"/>
      <c r="Z46" s="138"/>
      <c r="AA46" s="298" t="str">
        <f t="shared" si="2"/>
        <v/>
      </c>
      <c r="AB46" s="311" t="str">
        <f t="shared" si="3"/>
        <v/>
      </c>
      <c r="AC46" s="312" t="str">
        <f t="shared" si="0"/>
        <v/>
      </c>
      <c r="AD46" s="325" t="str">
        <f>IF(M46="","",VLOOKUP(M46,'G-6 Hedgerow Data'!$B$3:$AG$15,31,FALSE))</f>
        <v/>
      </c>
      <c r="AE46" s="298" t="str">
        <f t="shared" si="4"/>
        <v/>
      </c>
      <c r="AF46" s="298" t="str">
        <f t="shared" si="5"/>
        <v/>
      </c>
      <c r="AG46" s="314" t="str">
        <f>IFERROR(IF(O46="","",VLOOKUP(AD46,'G-3 Multipliers'!$P$3:$Q$6,2,FALSE)),"")</f>
        <v/>
      </c>
      <c r="AH46" s="304" t="str">
        <f t="shared" si="6"/>
        <v/>
      </c>
      <c r="AI46" s="157"/>
      <c r="AJ46" s="99"/>
      <c r="AK46" s="101"/>
      <c r="AT46" s="15" t="str">
        <f>IFERROR(INDEX('G-6 Hedgerow Data'!$BJ$3:$BJ$15,MATCH(M46,'G-6 Hedgerow Data'!$B$3:$B$15,0)),"")</f>
        <v/>
      </c>
    </row>
    <row r="47" spans="2:46" ht="14" x14ac:dyDescent="0.3">
      <c r="B47" s="319" t="str">
        <f>'B-1 On-Site Hedge Baseline'!AK45</f>
        <v/>
      </c>
      <c r="C47" s="310" t="str">
        <f>IF(B47="","",IF(ISNA(VLOOKUP($B47,'B-1 On-Site Hedge Baseline'!$B$1:$L$257,3,FALSE)),"",(VLOOKUP($B47,'B-1 On-Site Hedge Baseline'!$B$1:$L$257,3,FALSE))))</f>
        <v/>
      </c>
      <c r="D47" s="310" t="str">
        <f>IF(B47="","",IF(ISNA(VLOOKUP($B47,'B-1 On-Site Hedge Baseline'!$B$1:$L$257,4,FALSE)),"",(VLOOKUP($B47,'B-1 On-Site Hedge Baseline'!$B$1:$L$257,4,FALSE))))</f>
        <v/>
      </c>
      <c r="E47" s="310" t="str">
        <f>IF(B47="","",IF(ISNA(VLOOKUP($B47,'B-1 On-Site Hedge Baseline'!$B$1:$L$257,5,FALSE)),"",(VLOOKUP($B47,'B-1 On-Site Hedge Baseline'!$B$1:$L$257,5,FALSE))))</f>
        <v/>
      </c>
      <c r="F47" s="310" t="str">
        <f>IF(B47="","",IF(ISNA(VLOOKUP($B47,'B-1 On-Site Hedge Baseline'!$B$1:$L$257,6,FALSE)),"",(VLOOKUP($B47,'B-1 On-Site Hedge Baseline'!$B$1:$L$257,6,FALSE))))</f>
        <v/>
      </c>
      <c r="G47" s="310" t="str">
        <f>IF(B47="","",IF(ISNA(VLOOKUP($B47,'B-1 On-Site Hedge Baseline'!$B$1:$L$257,7,FALSE)),"",(VLOOKUP($B47,'B-1 On-Site Hedge Baseline'!$B$1:$L$257,7,FALSE))))</f>
        <v/>
      </c>
      <c r="H47" s="310" t="str">
        <f>IF(B47="","",IF(ISNA(VLOOKUP($B47,'B-1 On-Site Hedge Baseline'!$B$1:$L$257,8,FALSE)),"",(VLOOKUP($B47,'B-1 On-Site Hedge Baseline'!$B$1:$L$257,8,FALSE))))</f>
        <v/>
      </c>
      <c r="I47" s="310" t="str">
        <f>IF(B47="","",IF(ISNA(VLOOKUP($B47,'B-1 On-Site Hedge Baseline'!$B$1:$L$257,10,FALSE)),"",(VLOOKUP($B47,'B-1 On-Site Hedge Baseline'!$B$1:$L$257,10,FALSE))))</f>
        <v/>
      </c>
      <c r="J47" s="310" t="str">
        <f>IF(B47="","",IF(ISNA(VLOOKUP($B47,'B-1 On-Site Hedge Baseline'!$B$1:$L$257,11,FALSE)),"",(VLOOKUP($B47,'B-1 On-Site Hedge Baseline'!$B$1:$L$257,11,FALSE))))</f>
        <v/>
      </c>
      <c r="K47" s="310" t="str">
        <f>IF(B47="","",IF(ISNA(VLOOKUP($B47,'B-1 On-Site Hedge Baseline'!$B$1:$U$257,13,FALSE)),"",(VLOOKUP($B47,'B-1 On-Site Hedge Baseline'!$B$1:$U$257,13,FALSE))))</f>
        <v/>
      </c>
      <c r="L47" s="314" t="str">
        <f>IF(B47="","",IF(ISNA(VLOOKUP($B47,'B-1 On-Site Hedge Baseline'!$B$1:$U$257,12,FALSE)),"",(VLOOKUP($B47,'B-1 On-Site Hedge Baseline'!$B$1:$U$257,12,FALSE))))</f>
        <v/>
      </c>
      <c r="M47" s="583"/>
      <c r="N47" s="290" t="str">
        <f>IFERROR(IF(B47="","",INDEX('G-6 Hedgerow Data'!$AN$3:$AZ$15,MATCH(C47,'G-6 Hedgerow Data'!$AM$3:$AM$15,0),MATCH(M47,'G-6 Hedgerow Data'!$AN$2:$AZ$2,0))),"")</f>
        <v/>
      </c>
      <c r="O47" s="291" t="str">
        <f t="shared" si="1"/>
        <v/>
      </c>
      <c r="P47" s="341" t="str">
        <f>IF(B47="","",VLOOKUP(B47,'B-1 On-Site Hedge Baseline'!$B$10:T292,16,FALSE))</f>
        <v/>
      </c>
      <c r="Q47" s="290" t="str">
        <f>IF(M47="","",VLOOKUP(M47,'G-6 Hedgerow Data'!$B$2:$AG$15,2,FALSE))</f>
        <v/>
      </c>
      <c r="R47" s="291" t="str">
        <f>IF(M47="","",VLOOKUP(M47,'G-6 Hedgerow Data'!$B$2:$AG$15,3,FALSE))</f>
        <v/>
      </c>
      <c r="S47" s="106"/>
      <c r="T47" s="328" t="str">
        <f>IFERROR(IF(S47="","",IF(AND(M47="Non-native and ornamental hedgerow", S47&lt;&gt;"Poor"),"Not possible ▲", (VLOOKUP(S47,'G-1 All Habitats'!$Z$2:$AA$9,2,FALSE)))),"")</f>
        <v/>
      </c>
      <c r="U47" s="103"/>
      <c r="V47" s="310" t="str">
        <f>IF(U47="","",IF(VLOOKUP(U47,'G-3 Multipliers'!$L$3:$N$6,2,FALSE)=0,"Spatial Data Missing ⚠",VLOOKUP(U47,'G-3 Multipliers'!$L$3:$N$6,2,FALSE)))</f>
        <v/>
      </c>
      <c r="W47" s="314" t="str">
        <f>IF(U47="","",IF(VLOOKUP(U47,'G-3 Multipliers'!$L$3:$N$6,3,FALSE)=0,"Spatial Data Missing ⚠",VLOOKUP(U47,'G-3 Multipliers'!$L$3:$N$6,3,FALSE)))</f>
        <v/>
      </c>
      <c r="X47" s="290" t="str">
        <f>IFERROR(IF(OR(LEFT(O47,5)="Error",LEFT(N47,5)="Error",T47="Error"),"Check Data ⚠",IF(F47&lt;R47,INDEX('G-6 Hedgerow Data'!$S$3:$AE$14,MATCH(C47,'G-6 Hedgerow Data'!$B$3:$B$14,0),MATCH(M47,'G-6 Hedgerow Data'!$S$2:$AE$2,0)),INDEX('G-6 Hedgerow Data'!$K$3:$Q$14,MATCH(M47,'G-6 Hedgerow Data'!$B$3:$B$14,0),MATCH(O47,'G-6 Hedgerow Data'!$K$2:$Q$2,0)))),"")</f>
        <v/>
      </c>
      <c r="Y47" s="138"/>
      <c r="Z47" s="138"/>
      <c r="AA47" s="298" t="str">
        <f t="shared" si="2"/>
        <v/>
      </c>
      <c r="AB47" s="311" t="str">
        <f t="shared" si="3"/>
        <v/>
      </c>
      <c r="AC47" s="312" t="str">
        <f t="shared" si="0"/>
        <v/>
      </c>
      <c r="AD47" s="325" t="str">
        <f>IF(M47="","",VLOOKUP(M47,'G-6 Hedgerow Data'!$B$3:$AG$15,31,FALSE))</f>
        <v/>
      </c>
      <c r="AE47" s="298" t="str">
        <f t="shared" si="4"/>
        <v/>
      </c>
      <c r="AF47" s="298" t="str">
        <f t="shared" si="5"/>
        <v/>
      </c>
      <c r="AG47" s="314" t="str">
        <f>IFERROR(IF(O47="","",VLOOKUP(AD47,'G-3 Multipliers'!$P$3:$Q$6,2,FALSE)),"")</f>
        <v/>
      </c>
      <c r="AH47" s="304" t="str">
        <f t="shared" si="6"/>
        <v/>
      </c>
      <c r="AI47" s="157"/>
      <c r="AJ47" s="99"/>
      <c r="AK47" s="101"/>
      <c r="AT47" s="15" t="str">
        <f>IFERROR(INDEX('G-6 Hedgerow Data'!$BJ$3:$BJ$15,MATCH(M47,'G-6 Hedgerow Data'!$B$3:$B$15,0)),"")</f>
        <v/>
      </c>
    </row>
    <row r="48" spans="2:46" ht="14" x14ac:dyDescent="0.3">
      <c r="B48" s="319" t="str">
        <f>'B-1 On-Site Hedge Baseline'!AK46</f>
        <v/>
      </c>
      <c r="C48" s="310" t="str">
        <f>IF(B48="","",IF(ISNA(VLOOKUP($B48,'B-1 On-Site Hedge Baseline'!$B$1:$L$257,3,FALSE)),"",(VLOOKUP($B48,'B-1 On-Site Hedge Baseline'!$B$1:$L$257,3,FALSE))))</f>
        <v/>
      </c>
      <c r="D48" s="310" t="str">
        <f>IF(B48="","",IF(ISNA(VLOOKUP($B48,'B-1 On-Site Hedge Baseline'!$B$1:$L$257,4,FALSE)),"",(VLOOKUP($B48,'B-1 On-Site Hedge Baseline'!$B$1:$L$257,4,FALSE))))</f>
        <v/>
      </c>
      <c r="E48" s="310" t="str">
        <f>IF(B48="","",IF(ISNA(VLOOKUP($B48,'B-1 On-Site Hedge Baseline'!$B$1:$L$257,5,FALSE)),"",(VLOOKUP($B48,'B-1 On-Site Hedge Baseline'!$B$1:$L$257,5,FALSE))))</f>
        <v/>
      </c>
      <c r="F48" s="310" t="str">
        <f>IF(B48="","",IF(ISNA(VLOOKUP($B48,'B-1 On-Site Hedge Baseline'!$B$1:$L$257,6,FALSE)),"",(VLOOKUP($B48,'B-1 On-Site Hedge Baseline'!$B$1:$L$257,6,FALSE))))</f>
        <v/>
      </c>
      <c r="G48" s="310" t="str">
        <f>IF(B48="","",IF(ISNA(VLOOKUP($B48,'B-1 On-Site Hedge Baseline'!$B$1:$L$257,7,FALSE)),"",(VLOOKUP($B48,'B-1 On-Site Hedge Baseline'!$B$1:$L$257,7,FALSE))))</f>
        <v/>
      </c>
      <c r="H48" s="310" t="str">
        <f>IF(B48="","",IF(ISNA(VLOOKUP($B48,'B-1 On-Site Hedge Baseline'!$B$1:$L$257,8,FALSE)),"",(VLOOKUP($B48,'B-1 On-Site Hedge Baseline'!$B$1:$L$257,8,FALSE))))</f>
        <v/>
      </c>
      <c r="I48" s="310" t="str">
        <f>IF(B48="","",IF(ISNA(VLOOKUP($B48,'B-1 On-Site Hedge Baseline'!$B$1:$L$257,10,FALSE)),"",(VLOOKUP($B48,'B-1 On-Site Hedge Baseline'!$B$1:$L$257,10,FALSE))))</f>
        <v/>
      </c>
      <c r="J48" s="310" t="str">
        <f>IF(B48="","",IF(ISNA(VLOOKUP($B48,'B-1 On-Site Hedge Baseline'!$B$1:$L$257,11,FALSE)),"",(VLOOKUP($B48,'B-1 On-Site Hedge Baseline'!$B$1:$L$257,11,FALSE))))</f>
        <v/>
      </c>
      <c r="K48" s="310" t="str">
        <f>IF(B48="","",IF(ISNA(VLOOKUP($B48,'B-1 On-Site Hedge Baseline'!$B$1:$U$257,13,FALSE)),"",(VLOOKUP($B48,'B-1 On-Site Hedge Baseline'!$B$1:$U$257,13,FALSE))))</f>
        <v/>
      </c>
      <c r="L48" s="314" t="str">
        <f>IF(B48="","",IF(ISNA(VLOOKUP($B48,'B-1 On-Site Hedge Baseline'!$B$1:$U$257,12,FALSE)),"",(VLOOKUP($B48,'B-1 On-Site Hedge Baseline'!$B$1:$U$257,12,FALSE))))</f>
        <v/>
      </c>
      <c r="M48" s="583"/>
      <c r="N48" s="290" t="str">
        <f>IFERROR(IF(B48="","",INDEX('G-6 Hedgerow Data'!$AN$3:$AZ$15,MATCH(C48,'G-6 Hedgerow Data'!$AM$3:$AM$15,0),MATCH(M48,'G-6 Hedgerow Data'!$AN$2:$AZ$2,0))),"")</f>
        <v/>
      </c>
      <c r="O48" s="291" t="str">
        <f t="shared" si="1"/>
        <v/>
      </c>
      <c r="P48" s="341" t="str">
        <f>IF(B48="","",VLOOKUP(B48,'B-1 On-Site Hedge Baseline'!$B$10:T293,16,FALSE))</f>
        <v/>
      </c>
      <c r="Q48" s="290" t="str">
        <f>IF(M48="","",VLOOKUP(M48,'G-6 Hedgerow Data'!$B$2:$AG$15,2,FALSE))</f>
        <v/>
      </c>
      <c r="R48" s="291" t="str">
        <f>IF(M48="","",VLOOKUP(M48,'G-6 Hedgerow Data'!$B$2:$AG$15,3,FALSE))</f>
        <v/>
      </c>
      <c r="S48" s="106"/>
      <c r="T48" s="328" t="str">
        <f>IFERROR(IF(S48="","",IF(AND(M48="Non-native and ornamental hedgerow", S48&lt;&gt;"Poor"),"Not possible ▲", (VLOOKUP(S48,'G-1 All Habitats'!$Z$2:$AA$9,2,FALSE)))),"")</f>
        <v/>
      </c>
      <c r="U48" s="103"/>
      <c r="V48" s="310" t="str">
        <f>IF(U48="","",IF(VLOOKUP(U48,'G-3 Multipliers'!$L$3:$N$6,2,FALSE)=0,"Spatial Data Missing ⚠",VLOOKUP(U48,'G-3 Multipliers'!$L$3:$N$6,2,FALSE)))</f>
        <v/>
      </c>
      <c r="W48" s="314" t="str">
        <f>IF(U48="","",IF(VLOOKUP(U48,'G-3 Multipliers'!$L$3:$N$6,3,FALSE)=0,"Spatial Data Missing ⚠",VLOOKUP(U48,'G-3 Multipliers'!$L$3:$N$6,3,FALSE)))</f>
        <v/>
      </c>
      <c r="X48" s="290" t="str">
        <f>IFERROR(IF(OR(LEFT(O48,5)="Error",LEFT(N48,5)="Error",T48="Error"),"Check Data ⚠",IF(F48&lt;R48,INDEX('G-6 Hedgerow Data'!$S$3:$AE$14,MATCH(C48,'G-6 Hedgerow Data'!$B$3:$B$14,0),MATCH(M48,'G-6 Hedgerow Data'!$S$2:$AE$2,0)),INDEX('G-6 Hedgerow Data'!$K$3:$Q$14,MATCH(M48,'G-6 Hedgerow Data'!$B$3:$B$14,0),MATCH(O48,'G-6 Hedgerow Data'!$K$2:$Q$2,0)))),"")</f>
        <v/>
      </c>
      <c r="Y48" s="138"/>
      <c r="Z48" s="138"/>
      <c r="AA48" s="298" t="str">
        <f t="shared" si="2"/>
        <v/>
      </c>
      <c r="AB48" s="311" t="str">
        <f t="shared" si="3"/>
        <v/>
      </c>
      <c r="AC48" s="312" t="str">
        <f t="shared" si="0"/>
        <v/>
      </c>
      <c r="AD48" s="325" t="str">
        <f>IF(M48="","",VLOOKUP(M48,'G-6 Hedgerow Data'!$B$3:$AG$15,31,FALSE))</f>
        <v/>
      </c>
      <c r="AE48" s="298" t="str">
        <f t="shared" si="4"/>
        <v/>
      </c>
      <c r="AF48" s="298" t="str">
        <f t="shared" si="5"/>
        <v/>
      </c>
      <c r="AG48" s="314" t="str">
        <f>IFERROR(IF(O48="","",VLOOKUP(AD48,'G-3 Multipliers'!$P$3:$Q$6,2,FALSE)),"")</f>
        <v/>
      </c>
      <c r="AH48" s="304" t="str">
        <f t="shared" si="6"/>
        <v/>
      </c>
      <c r="AI48" s="157"/>
      <c r="AJ48" s="99"/>
      <c r="AK48" s="101"/>
      <c r="AT48" s="15" t="str">
        <f>IFERROR(INDEX('G-6 Hedgerow Data'!$BJ$3:$BJ$15,MATCH(M48,'G-6 Hedgerow Data'!$B$3:$B$15,0)),"")</f>
        <v/>
      </c>
    </row>
    <row r="49" spans="2:46" ht="14" x14ac:dyDescent="0.3">
      <c r="B49" s="319" t="str">
        <f>'B-1 On-Site Hedge Baseline'!AK47</f>
        <v/>
      </c>
      <c r="C49" s="310" t="str">
        <f>IF(B49="","",IF(ISNA(VLOOKUP($B49,'B-1 On-Site Hedge Baseline'!$B$1:$L$257,3,FALSE)),"",(VLOOKUP($B49,'B-1 On-Site Hedge Baseline'!$B$1:$L$257,3,FALSE))))</f>
        <v/>
      </c>
      <c r="D49" s="310" t="str">
        <f>IF(B49="","",IF(ISNA(VLOOKUP($B49,'B-1 On-Site Hedge Baseline'!$B$1:$L$257,4,FALSE)),"",(VLOOKUP($B49,'B-1 On-Site Hedge Baseline'!$B$1:$L$257,4,FALSE))))</f>
        <v/>
      </c>
      <c r="E49" s="310" t="str">
        <f>IF(B49="","",IF(ISNA(VLOOKUP($B49,'B-1 On-Site Hedge Baseline'!$B$1:$L$257,5,FALSE)),"",(VLOOKUP($B49,'B-1 On-Site Hedge Baseline'!$B$1:$L$257,5,FALSE))))</f>
        <v/>
      </c>
      <c r="F49" s="310" t="str">
        <f>IF(B49="","",IF(ISNA(VLOOKUP($B49,'B-1 On-Site Hedge Baseline'!$B$1:$L$257,6,FALSE)),"",(VLOOKUP($B49,'B-1 On-Site Hedge Baseline'!$B$1:$L$257,6,FALSE))))</f>
        <v/>
      </c>
      <c r="G49" s="310" t="str">
        <f>IF(B49="","",IF(ISNA(VLOOKUP($B49,'B-1 On-Site Hedge Baseline'!$B$1:$L$257,7,FALSE)),"",(VLOOKUP($B49,'B-1 On-Site Hedge Baseline'!$B$1:$L$257,7,FALSE))))</f>
        <v/>
      </c>
      <c r="H49" s="310" t="str">
        <f>IF(B49="","",IF(ISNA(VLOOKUP($B49,'B-1 On-Site Hedge Baseline'!$B$1:$L$257,8,FALSE)),"",(VLOOKUP($B49,'B-1 On-Site Hedge Baseline'!$B$1:$L$257,8,FALSE))))</f>
        <v/>
      </c>
      <c r="I49" s="310" t="str">
        <f>IF(B49="","",IF(ISNA(VLOOKUP($B49,'B-1 On-Site Hedge Baseline'!$B$1:$L$257,10,FALSE)),"",(VLOOKUP($B49,'B-1 On-Site Hedge Baseline'!$B$1:$L$257,10,FALSE))))</f>
        <v/>
      </c>
      <c r="J49" s="310" t="str">
        <f>IF(B49="","",IF(ISNA(VLOOKUP($B49,'B-1 On-Site Hedge Baseline'!$B$1:$L$257,11,FALSE)),"",(VLOOKUP($B49,'B-1 On-Site Hedge Baseline'!$B$1:$L$257,11,FALSE))))</f>
        <v/>
      </c>
      <c r="K49" s="310" t="str">
        <f>IF(B49="","",IF(ISNA(VLOOKUP($B49,'B-1 On-Site Hedge Baseline'!$B$1:$U$257,13,FALSE)),"",(VLOOKUP($B49,'B-1 On-Site Hedge Baseline'!$B$1:$U$257,13,FALSE))))</f>
        <v/>
      </c>
      <c r="L49" s="314" t="str">
        <f>IF(B49="","",IF(ISNA(VLOOKUP($B49,'B-1 On-Site Hedge Baseline'!$B$1:$U$257,12,FALSE)),"",(VLOOKUP($B49,'B-1 On-Site Hedge Baseline'!$B$1:$U$257,12,FALSE))))</f>
        <v/>
      </c>
      <c r="M49" s="583"/>
      <c r="N49" s="290" t="str">
        <f>IFERROR(IF(B49="","",INDEX('G-6 Hedgerow Data'!$AN$3:$AZ$15,MATCH(C49,'G-6 Hedgerow Data'!$AM$3:$AM$15,0),MATCH(M49,'G-6 Hedgerow Data'!$AN$2:$AZ$2,0))),"")</f>
        <v/>
      </c>
      <c r="O49" s="291" t="str">
        <f t="shared" si="1"/>
        <v/>
      </c>
      <c r="P49" s="341" t="str">
        <f>IF(B49="","",VLOOKUP(B49,'B-1 On-Site Hedge Baseline'!$B$10:T294,16,FALSE))</f>
        <v/>
      </c>
      <c r="Q49" s="290" t="str">
        <f>IF(M49="","",VLOOKUP(M49,'G-6 Hedgerow Data'!$B$2:$AG$15,2,FALSE))</f>
        <v/>
      </c>
      <c r="R49" s="291" t="str">
        <f>IF(M49="","",VLOOKUP(M49,'G-6 Hedgerow Data'!$B$2:$AG$15,3,FALSE))</f>
        <v/>
      </c>
      <c r="S49" s="106"/>
      <c r="T49" s="328" t="str">
        <f>IFERROR(IF(S49="","",IF(AND(M49="Non-native and ornamental hedgerow", S49&lt;&gt;"Poor"),"Not possible ▲", (VLOOKUP(S49,'G-1 All Habitats'!$Z$2:$AA$9,2,FALSE)))),"")</f>
        <v/>
      </c>
      <c r="U49" s="103"/>
      <c r="V49" s="310" t="str">
        <f>IF(U49="","",IF(VLOOKUP(U49,'G-3 Multipliers'!$L$3:$N$6,2,FALSE)=0,"Spatial Data Missing ⚠",VLOOKUP(U49,'G-3 Multipliers'!$L$3:$N$6,2,FALSE)))</f>
        <v/>
      </c>
      <c r="W49" s="314" t="str">
        <f>IF(U49="","",IF(VLOOKUP(U49,'G-3 Multipliers'!$L$3:$N$6,3,FALSE)=0,"Spatial Data Missing ⚠",VLOOKUP(U49,'G-3 Multipliers'!$L$3:$N$6,3,FALSE)))</f>
        <v/>
      </c>
      <c r="X49" s="290" t="str">
        <f>IFERROR(IF(OR(LEFT(O49,5)="Error",LEFT(N49,5)="Error",T49="Error"),"Check Data ⚠",IF(F49&lt;R49,INDEX('G-6 Hedgerow Data'!$S$3:$AE$14,MATCH(C49,'G-6 Hedgerow Data'!$B$3:$B$14,0),MATCH(M49,'G-6 Hedgerow Data'!$S$2:$AE$2,0)),INDEX('G-6 Hedgerow Data'!$K$3:$Q$14,MATCH(M49,'G-6 Hedgerow Data'!$B$3:$B$14,0),MATCH(O49,'G-6 Hedgerow Data'!$K$2:$Q$2,0)))),"")</f>
        <v/>
      </c>
      <c r="Y49" s="138"/>
      <c r="Z49" s="138"/>
      <c r="AA49" s="298" t="str">
        <f t="shared" si="2"/>
        <v/>
      </c>
      <c r="AB49" s="311" t="str">
        <f t="shared" si="3"/>
        <v/>
      </c>
      <c r="AC49" s="312" t="str">
        <f t="shared" si="0"/>
        <v/>
      </c>
      <c r="AD49" s="325" t="str">
        <f>IF(M49="","",VLOOKUP(M49,'G-6 Hedgerow Data'!$B$3:$AG$15,31,FALSE))</f>
        <v/>
      </c>
      <c r="AE49" s="298" t="str">
        <f t="shared" si="4"/>
        <v/>
      </c>
      <c r="AF49" s="298" t="str">
        <f t="shared" si="5"/>
        <v/>
      </c>
      <c r="AG49" s="314" t="str">
        <f>IFERROR(IF(O49="","",VLOOKUP(AD49,'G-3 Multipliers'!$P$3:$Q$6,2,FALSE)),"")</f>
        <v/>
      </c>
      <c r="AH49" s="304" t="str">
        <f t="shared" si="6"/>
        <v/>
      </c>
      <c r="AI49" s="157"/>
      <c r="AJ49" s="99"/>
      <c r="AK49" s="101"/>
      <c r="AT49" s="15" t="str">
        <f>IFERROR(INDEX('G-6 Hedgerow Data'!$BJ$3:$BJ$15,MATCH(M49,'G-6 Hedgerow Data'!$B$3:$B$15,0)),"")</f>
        <v/>
      </c>
    </row>
    <row r="50" spans="2:46" ht="14" x14ac:dyDescent="0.3">
      <c r="B50" s="319" t="str">
        <f>'B-1 On-Site Hedge Baseline'!AK48</f>
        <v/>
      </c>
      <c r="C50" s="310" t="str">
        <f>IF(B50="","",IF(ISNA(VLOOKUP($B50,'B-1 On-Site Hedge Baseline'!$B$1:$L$257,3,FALSE)),"",(VLOOKUP($B50,'B-1 On-Site Hedge Baseline'!$B$1:$L$257,3,FALSE))))</f>
        <v/>
      </c>
      <c r="D50" s="310" t="str">
        <f>IF(B50="","",IF(ISNA(VLOOKUP($B50,'B-1 On-Site Hedge Baseline'!$B$1:$L$257,4,FALSE)),"",(VLOOKUP($B50,'B-1 On-Site Hedge Baseline'!$B$1:$L$257,4,FALSE))))</f>
        <v/>
      </c>
      <c r="E50" s="310" t="str">
        <f>IF(B50="","",IF(ISNA(VLOOKUP($B50,'B-1 On-Site Hedge Baseline'!$B$1:$L$257,5,FALSE)),"",(VLOOKUP($B50,'B-1 On-Site Hedge Baseline'!$B$1:$L$257,5,FALSE))))</f>
        <v/>
      </c>
      <c r="F50" s="310" t="str">
        <f>IF(B50="","",IF(ISNA(VLOOKUP($B50,'B-1 On-Site Hedge Baseline'!$B$1:$L$257,6,FALSE)),"",(VLOOKUP($B50,'B-1 On-Site Hedge Baseline'!$B$1:$L$257,6,FALSE))))</f>
        <v/>
      </c>
      <c r="G50" s="310" t="str">
        <f>IF(B50="","",IF(ISNA(VLOOKUP($B50,'B-1 On-Site Hedge Baseline'!$B$1:$L$257,7,FALSE)),"",(VLOOKUP($B50,'B-1 On-Site Hedge Baseline'!$B$1:$L$257,7,FALSE))))</f>
        <v/>
      </c>
      <c r="H50" s="310" t="str">
        <f>IF(B50="","",IF(ISNA(VLOOKUP($B50,'B-1 On-Site Hedge Baseline'!$B$1:$L$257,8,FALSE)),"",(VLOOKUP($B50,'B-1 On-Site Hedge Baseline'!$B$1:$L$257,8,FALSE))))</f>
        <v/>
      </c>
      <c r="I50" s="310" t="str">
        <f>IF(B50="","",IF(ISNA(VLOOKUP($B50,'B-1 On-Site Hedge Baseline'!$B$1:$L$257,10,FALSE)),"",(VLOOKUP($B50,'B-1 On-Site Hedge Baseline'!$B$1:$L$257,10,FALSE))))</f>
        <v/>
      </c>
      <c r="J50" s="310" t="str">
        <f>IF(B50="","",IF(ISNA(VLOOKUP($B50,'B-1 On-Site Hedge Baseline'!$B$1:$L$257,11,FALSE)),"",(VLOOKUP($B50,'B-1 On-Site Hedge Baseline'!$B$1:$L$257,11,FALSE))))</f>
        <v/>
      </c>
      <c r="K50" s="310" t="str">
        <f>IF(B50="","",IF(ISNA(VLOOKUP($B50,'B-1 On-Site Hedge Baseline'!$B$1:$U$257,13,FALSE)),"",(VLOOKUP($B50,'B-1 On-Site Hedge Baseline'!$B$1:$U$257,13,FALSE))))</f>
        <v/>
      </c>
      <c r="L50" s="314" t="str">
        <f>IF(B50="","",IF(ISNA(VLOOKUP($B50,'B-1 On-Site Hedge Baseline'!$B$1:$U$257,12,FALSE)),"",(VLOOKUP($B50,'B-1 On-Site Hedge Baseline'!$B$1:$U$257,12,FALSE))))</f>
        <v/>
      </c>
      <c r="M50" s="583"/>
      <c r="N50" s="290" t="str">
        <f>IFERROR(IF(B50="","",INDEX('G-6 Hedgerow Data'!$AN$3:$AZ$15,MATCH(C50,'G-6 Hedgerow Data'!$AM$3:$AM$15,0),MATCH(M50,'G-6 Hedgerow Data'!$AN$2:$AZ$2,0))),"")</f>
        <v/>
      </c>
      <c r="O50" s="291" t="str">
        <f t="shared" si="1"/>
        <v/>
      </c>
      <c r="P50" s="341" t="str">
        <f>IF(B50="","",VLOOKUP(B50,'B-1 On-Site Hedge Baseline'!$B$10:T295,16,FALSE))</f>
        <v/>
      </c>
      <c r="Q50" s="290" t="str">
        <f>IF(M50="","",VLOOKUP(M50,'G-6 Hedgerow Data'!$B$2:$AG$15,2,FALSE))</f>
        <v/>
      </c>
      <c r="R50" s="291" t="str">
        <f>IF(M50="","",VLOOKUP(M50,'G-6 Hedgerow Data'!$B$2:$AG$15,3,FALSE))</f>
        <v/>
      </c>
      <c r="S50" s="106"/>
      <c r="T50" s="328" t="str">
        <f>IFERROR(IF(S50="","",IF(AND(M50="Non-native and ornamental hedgerow", S50&lt;&gt;"Poor"),"Not possible ▲", (VLOOKUP(S50,'G-1 All Habitats'!$Z$2:$AA$9,2,FALSE)))),"")</f>
        <v/>
      </c>
      <c r="U50" s="103"/>
      <c r="V50" s="310" t="str">
        <f>IF(U50="","",IF(VLOOKUP(U50,'G-3 Multipliers'!$L$3:$N$6,2,FALSE)=0,"Spatial Data Missing ⚠",VLOOKUP(U50,'G-3 Multipliers'!$L$3:$N$6,2,FALSE)))</f>
        <v/>
      </c>
      <c r="W50" s="314" t="str">
        <f>IF(U50="","",IF(VLOOKUP(U50,'G-3 Multipliers'!$L$3:$N$6,3,FALSE)=0,"Spatial Data Missing ⚠",VLOOKUP(U50,'G-3 Multipliers'!$L$3:$N$6,3,FALSE)))</f>
        <v/>
      </c>
      <c r="X50" s="290" t="str">
        <f>IFERROR(IF(OR(LEFT(O50,5)="Error",LEFT(N50,5)="Error",T50="Error"),"Check Data ⚠",IF(F50&lt;R50,INDEX('G-6 Hedgerow Data'!$S$3:$AE$14,MATCH(C50,'G-6 Hedgerow Data'!$B$3:$B$14,0),MATCH(M50,'G-6 Hedgerow Data'!$S$2:$AE$2,0)),INDEX('G-6 Hedgerow Data'!$K$3:$Q$14,MATCH(M50,'G-6 Hedgerow Data'!$B$3:$B$14,0),MATCH(O50,'G-6 Hedgerow Data'!$K$2:$Q$2,0)))),"")</f>
        <v/>
      </c>
      <c r="Y50" s="138"/>
      <c r="Z50" s="138"/>
      <c r="AA50" s="298" t="str">
        <f t="shared" si="2"/>
        <v/>
      </c>
      <c r="AB50" s="311" t="str">
        <f t="shared" si="3"/>
        <v/>
      </c>
      <c r="AC50" s="312" t="str">
        <f t="shared" si="0"/>
        <v/>
      </c>
      <c r="AD50" s="325" t="str">
        <f>IF(M50="","",VLOOKUP(M50,'G-6 Hedgerow Data'!$B$3:$AG$15,31,FALSE))</f>
        <v/>
      </c>
      <c r="AE50" s="298" t="str">
        <f t="shared" si="4"/>
        <v/>
      </c>
      <c r="AF50" s="298" t="str">
        <f t="shared" si="5"/>
        <v/>
      </c>
      <c r="AG50" s="314" t="str">
        <f>IFERROR(IF(O50="","",VLOOKUP(AD50,'G-3 Multipliers'!$P$3:$Q$6,2,FALSE)),"")</f>
        <v/>
      </c>
      <c r="AH50" s="304" t="str">
        <f t="shared" si="6"/>
        <v/>
      </c>
      <c r="AI50" s="157"/>
      <c r="AJ50" s="99"/>
      <c r="AK50" s="101"/>
      <c r="AT50" s="15" t="str">
        <f>IFERROR(INDEX('G-6 Hedgerow Data'!$BJ$3:$BJ$15,MATCH(M50,'G-6 Hedgerow Data'!$B$3:$B$15,0)),"")</f>
        <v/>
      </c>
    </row>
    <row r="51" spans="2:46" ht="14" x14ac:dyDescent="0.3">
      <c r="B51" s="319" t="str">
        <f>'B-1 On-Site Hedge Baseline'!AK49</f>
        <v/>
      </c>
      <c r="C51" s="310" t="str">
        <f>IF(B51="","",IF(ISNA(VLOOKUP($B51,'B-1 On-Site Hedge Baseline'!$B$1:$L$257,3,FALSE)),"",(VLOOKUP($B51,'B-1 On-Site Hedge Baseline'!$B$1:$L$257,3,FALSE))))</f>
        <v/>
      </c>
      <c r="D51" s="310" t="str">
        <f>IF(B51="","",IF(ISNA(VLOOKUP($B51,'B-1 On-Site Hedge Baseline'!$B$1:$L$257,4,FALSE)),"",(VLOOKUP($B51,'B-1 On-Site Hedge Baseline'!$B$1:$L$257,4,FALSE))))</f>
        <v/>
      </c>
      <c r="E51" s="310" t="str">
        <f>IF(B51="","",IF(ISNA(VLOOKUP($B51,'B-1 On-Site Hedge Baseline'!$B$1:$L$257,5,FALSE)),"",(VLOOKUP($B51,'B-1 On-Site Hedge Baseline'!$B$1:$L$257,5,FALSE))))</f>
        <v/>
      </c>
      <c r="F51" s="310" t="str">
        <f>IF(B51="","",IF(ISNA(VLOOKUP($B51,'B-1 On-Site Hedge Baseline'!$B$1:$L$257,6,FALSE)),"",(VLOOKUP($B51,'B-1 On-Site Hedge Baseline'!$B$1:$L$257,6,FALSE))))</f>
        <v/>
      </c>
      <c r="G51" s="310" t="str">
        <f>IF(B51="","",IF(ISNA(VLOOKUP($B51,'B-1 On-Site Hedge Baseline'!$B$1:$L$257,7,FALSE)),"",(VLOOKUP($B51,'B-1 On-Site Hedge Baseline'!$B$1:$L$257,7,FALSE))))</f>
        <v/>
      </c>
      <c r="H51" s="310" t="str">
        <f>IF(B51="","",IF(ISNA(VLOOKUP($B51,'B-1 On-Site Hedge Baseline'!$B$1:$L$257,8,FALSE)),"",(VLOOKUP($B51,'B-1 On-Site Hedge Baseline'!$B$1:$L$257,8,FALSE))))</f>
        <v/>
      </c>
      <c r="I51" s="310" t="str">
        <f>IF(B51="","",IF(ISNA(VLOOKUP($B51,'B-1 On-Site Hedge Baseline'!$B$1:$L$257,10,FALSE)),"",(VLOOKUP($B51,'B-1 On-Site Hedge Baseline'!$B$1:$L$257,10,FALSE))))</f>
        <v/>
      </c>
      <c r="J51" s="310" t="str">
        <f>IF(B51="","",IF(ISNA(VLOOKUP($B51,'B-1 On-Site Hedge Baseline'!$B$1:$L$257,11,FALSE)),"",(VLOOKUP($B51,'B-1 On-Site Hedge Baseline'!$B$1:$L$257,11,FALSE))))</f>
        <v/>
      </c>
      <c r="K51" s="310" t="str">
        <f>IF(B51="","",IF(ISNA(VLOOKUP($B51,'B-1 On-Site Hedge Baseline'!$B$1:$U$257,13,FALSE)),"",(VLOOKUP($B51,'B-1 On-Site Hedge Baseline'!$B$1:$U$257,13,FALSE))))</f>
        <v/>
      </c>
      <c r="L51" s="314" t="str">
        <f>IF(B51="","",IF(ISNA(VLOOKUP($B51,'B-1 On-Site Hedge Baseline'!$B$1:$U$257,12,FALSE)),"",(VLOOKUP($B51,'B-1 On-Site Hedge Baseline'!$B$1:$U$257,12,FALSE))))</f>
        <v/>
      </c>
      <c r="M51" s="583"/>
      <c r="N51" s="290" t="str">
        <f>IFERROR(IF(B51="","",INDEX('G-6 Hedgerow Data'!$AN$3:$AZ$15,MATCH(C51,'G-6 Hedgerow Data'!$AM$3:$AM$15,0),MATCH(M51,'G-6 Hedgerow Data'!$AN$2:$AZ$2,0))),"")</f>
        <v/>
      </c>
      <c r="O51" s="291" t="str">
        <f t="shared" si="1"/>
        <v/>
      </c>
      <c r="P51" s="341" t="str">
        <f>IF(B51="","",VLOOKUP(B51,'B-1 On-Site Hedge Baseline'!$B$10:T296,16,FALSE))</f>
        <v/>
      </c>
      <c r="Q51" s="290" t="str">
        <f>IF(M51="","",VLOOKUP(M51,'G-6 Hedgerow Data'!$B$2:$AG$15,2,FALSE))</f>
        <v/>
      </c>
      <c r="R51" s="291" t="str">
        <f>IF(M51="","",VLOOKUP(M51,'G-6 Hedgerow Data'!$B$2:$AG$15,3,FALSE))</f>
        <v/>
      </c>
      <c r="S51" s="106"/>
      <c r="T51" s="328" t="str">
        <f>IFERROR(IF(S51="","",IF(AND(M51="Non-native and ornamental hedgerow", S51&lt;&gt;"Poor"),"Not possible ▲", (VLOOKUP(S51,'G-1 All Habitats'!$Z$2:$AA$9,2,FALSE)))),"")</f>
        <v/>
      </c>
      <c r="U51" s="103"/>
      <c r="V51" s="310" t="str">
        <f>IF(U51="","",IF(VLOOKUP(U51,'G-3 Multipliers'!$L$3:$N$6,2,FALSE)=0,"Spatial Data Missing ⚠",VLOOKUP(U51,'G-3 Multipliers'!$L$3:$N$6,2,FALSE)))</f>
        <v/>
      </c>
      <c r="W51" s="314" t="str">
        <f>IF(U51="","",IF(VLOOKUP(U51,'G-3 Multipliers'!$L$3:$N$6,3,FALSE)=0,"Spatial Data Missing ⚠",VLOOKUP(U51,'G-3 Multipliers'!$L$3:$N$6,3,FALSE)))</f>
        <v/>
      </c>
      <c r="X51" s="290" t="str">
        <f>IFERROR(IF(OR(LEFT(O51,5)="Error",LEFT(N51,5)="Error",T51="Error"),"Check Data ⚠",IF(F51&lt;R51,INDEX('G-6 Hedgerow Data'!$S$3:$AE$14,MATCH(C51,'G-6 Hedgerow Data'!$B$3:$B$14,0),MATCH(M51,'G-6 Hedgerow Data'!$S$2:$AE$2,0)),INDEX('G-6 Hedgerow Data'!$K$3:$Q$14,MATCH(M51,'G-6 Hedgerow Data'!$B$3:$B$14,0),MATCH(O51,'G-6 Hedgerow Data'!$K$2:$Q$2,0)))),"")</f>
        <v/>
      </c>
      <c r="Y51" s="138"/>
      <c r="Z51" s="138"/>
      <c r="AA51" s="298" t="str">
        <f t="shared" si="2"/>
        <v/>
      </c>
      <c r="AB51" s="311" t="str">
        <f t="shared" si="3"/>
        <v/>
      </c>
      <c r="AC51" s="312" t="str">
        <f t="shared" si="0"/>
        <v/>
      </c>
      <c r="AD51" s="325" t="str">
        <f>IF(M51="","",VLOOKUP(M51,'G-6 Hedgerow Data'!$B$3:$AG$15,31,FALSE))</f>
        <v/>
      </c>
      <c r="AE51" s="298" t="str">
        <f t="shared" si="4"/>
        <v/>
      </c>
      <c r="AF51" s="298" t="str">
        <f t="shared" si="5"/>
        <v/>
      </c>
      <c r="AG51" s="314" t="str">
        <f>IFERROR(IF(O51="","",VLOOKUP(AD51,'G-3 Multipliers'!$P$3:$Q$6,2,FALSE)),"")</f>
        <v/>
      </c>
      <c r="AH51" s="304" t="str">
        <f t="shared" si="6"/>
        <v/>
      </c>
      <c r="AI51" s="157"/>
      <c r="AJ51" s="99"/>
      <c r="AK51" s="101"/>
      <c r="AT51" s="15" t="str">
        <f>IFERROR(INDEX('G-6 Hedgerow Data'!$BJ$3:$BJ$15,MATCH(M51,'G-6 Hedgerow Data'!$B$3:$B$15,0)),"")</f>
        <v/>
      </c>
    </row>
    <row r="52" spans="2:46" ht="14" x14ac:dyDescent="0.3">
      <c r="B52" s="319" t="str">
        <f>'B-1 On-Site Hedge Baseline'!AK50</f>
        <v/>
      </c>
      <c r="C52" s="310" t="str">
        <f>IF(B52="","",IF(ISNA(VLOOKUP($B52,'B-1 On-Site Hedge Baseline'!$B$1:$L$257,3,FALSE)),"",(VLOOKUP($B52,'B-1 On-Site Hedge Baseline'!$B$1:$L$257,3,FALSE))))</f>
        <v/>
      </c>
      <c r="D52" s="310" t="str">
        <f>IF(B52="","",IF(ISNA(VLOOKUP($B52,'B-1 On-Site Hedge Baseline'!$B$1:$L$257,4,FALSE)),"",(VLOOKUP($B52,'B-1 On-Site Hedge Baseline'!$B$1:$L$257,4,FALSE))))</f>
        <v/>
      </c>
      <c r="E52" s="310" t="str">
        <f>IF(B52="","",IF(ISNA(VLOOKUP($B52,'B-1 On-Site Hedge Baseline'!$B$1:$L$257,5,FALSE)),"",(VLOOKUP($B52,'B-1 On-Site Hedge Baseline'!$B$1:$L$257,5,FALSE))))</f>
        <v/>
      </c>
      <c r="F52" s="310" t="str">
        <f>IF(B52="","",IF(ISNA(VLOOKUP($B52,'B-1 On-Site Hedge Baseline'!$B$1:$L$257,6,FALSE)),"",(VLOOKUP($B52,'B-1 On-Site Hedge Baseline'!$B$1:$L$257,6,FALSE))))</f>
        <v/>
      </c>
      <c r="G52" s="310" t="str">
        <f>IF(B52="","",IF(ISNA(VLOOKUP($B52,'B-1 On-Site Hedge Baseline'!$B$1:$L$257,7,FALSE)),"",(VLOOKUP($B52,'B-1 On-Site Hedge Baseline'!$B$1:$L$257,7,FALSE))))</f>
        <v/>
      </c>
      <c r="H52" s="310" t="str">
        <f>IF(B52="","",IF(ISNA(VLOOKUP($B52,'B-1 On-Site Hedge Baseline'!$B$1:$L$257,8,FALSE)),"",(VLOOKUP($B52,'B-1 On-Site Hedge Baseline'!$B$1:$L$257,8,FALSE))))</f>
        <v/>
      </c>
      <c r="I52" s="310" t="str">
        <f>IF(B52="","",IF(ISNA(VLOOKUP($B52,'B-1 On-Site Hedge Baseline'!$B$1:$L$257,10,FALSE)),"",(VLOOKUP($B52,'B-1 On-Site Hedge Baseline'!$B$1:$L$257,10,FALSE))))</f>
        <v/>
      </c>
      <c r="J52" s="310" t="str">
        <f>IF(B52="","",IF(ISNA(VLOOKUP($B52,'B-1 On-Site Hedge Baseline'!$B$1:$L$257,11,FALSE)),"",(VLOOKUP($B52,'B-1 On-Site Hedge Baseline'!$B$1:$L$257,11,FALSE))))</f>
        <v/>
      </c>
      <c r="K52" s="310" t="str">
        <f>IF(B52="","",IF(ISNA(VLOOKUP($B52,'B-1 On-Site Hedge Baseline'!$B$1:$U$257,13,FALSE)),"",(VLOOKUP($B52,'B-1 On-Site Hedge Baseline'!$B$1:$U$257,13,FALSE))))</f>
        <v/>
      </c>
      <c r="L52" s="314" t="str">
        <f>IF(B52="","",IF(ISNA(VLOOKUP($B52,'B-1 On-Site Hedge Baseline'!$B$1:$U$257,12,FALSE)),"",(VLOOKUP($B52,'B-1 On-Site Hedge Baseline'!$B$1:$U$257,12,FALSE))))</f>
        <v/>
      </c>
      <c r="M52" s="583"/>
      <c r="N52" s="290" t="str">
        <f>IFERROR(IF(B52="","",INDEX('G-6 Hedgerow Data'!$AN$3:$AZ$15,MATCH(C52,'G-6 Hedgerow Data'!$AM$3:$AM$15,0),MATCH(M52,'G-6 Hedgerow Data'!$AN$2:$AZ$2,0))),"")</f>
        <v/>
      </c>
      <c r="O52" s="291" t="str">
        <f t="shared" si="1"/>
        <v/>
      </c>
      <c r="P52" s="341" t="str">
        <f>IF(B52="","",VLOOKUP(B52,'B-1 On-Site Hedge Baseline'!$B$10:T297,16,FALSE))</f>
        <v/>
      </c>
      <c r="Q52" s="290" t="str">
        <f>IF(M52="","",VLOOKUP(M52,'G-6 Hedgerow Data'!$B$2:$AG$15,2,FALSE))</f>
        <v/>
      </c>
      <c r="R52" s="291" t="str">
        <f>IF(M52="","",VLOOKUP(M52,'G-6 Hedgerow Data'!$B$2:$AG$15,3,FALSE))</f>
        <v/>
      </c>
      <c r="S52" s="106"/>
      <c r="T52" s="328" t="str">
        <f>IFERROR(IF(S52="","",IF(AND(M52="Non-native and ornamental hedgerow", S52&lt;&gt;"Poor"),"Not possible ▲", (VLOOKUP(S52,'G-1 All Habitats'!$Z$2:$AA$9,2,FALSE)))),"")</f>
        <v/>
      </c>
      <c r="U52" s="103"/>
      <c r="V52" s="310" t="str">
        <f>IF(U52="","",IF(VLOOKUP(U52,'G-3 Multipliers'!$L$3:$N$6,2,FALSE)=0,"Spatial Data Missing ⚠",VLOOKUP(U52,'G-3 Multipliers'!$L$3:$N$6,2,FALSE)))</f>
        <v/>
      </c>
      <c r="W52" s="314" t="str">
        <f>IF(U52="","",IF(VLOOKUP(U52,'G-3 Multipliers'!$L$3:$N$6,3,FALSE)=0,"Spatial Data Missing ⚠",VLOOKUP(U52,'G-3 Multipliers'!$L$3:$N$6,3,FALSE)))</f>
        <v/>
      </c>
      <c r="X52" s="290" t="str">
        <f>IFERROR(IF(OR(LEFT(O52,5)="Error",LEFT(N52,5)="Error",T52="Error"),"Check Data ⚠",IF(F52&lt;R52,INDEX('G-6 Hedgerow Data'!$S$3:$AE$14,MATCH(C52,'G-6 Hedgerow Data'!$B$3:$B$14,0),MATCH(M52,'G-6 Hedgerow Data'!$S$2:$AE$2,0)),INDEX('G-6 Hedgerow Data'!$K$3:$Q$14,MATCH(M52,'G-6 Hedgerow Data'!$B$3:$B$14,0),MATCH(O52,'G-6 Hedgerow Data'!$K$2:$Q$2,0)))),"")</f>
        <v/>
      </c>
      <c r="Y52" s="138"/>
      <c r="Z52" s="138"/>
      <c r="AA52" s="298" t="str">
        <f t="shared" si="2"/>
        <v/>
      </c>
      <c r="AB52" s="311" t="str">
        <f t="shared" si="3"/>
        <v/>
      </c>
      <c r="AC52" s="312" t="str">
        <f t="shared" si="0"/>
        <v/>
      </c>
      <c r="AD52" s="325" t="str">
        <f>IF(M52="","",VLOOKUP(M52,'G-6 Hedgerow Data'!$B$3:$AG$15,31,FALSE))</f>
        <v/>
      </c>
      <c r="AE52" s="298" t="str">
        <f t="shared" si="4"/>
        <v/>
      </c>
      <c r="AF52" s="298" t="str">
        <f t="shared" si="5"/>
        <v/>
      </c>
      <c r="AG52" s="314" t="str">
        <f>IFERROR(IF(O52="","",VLOOKUP(AD52,'G-3 Multipliers'!$P$3:$Q$6,2,FALSE)),"")</f>
        <v/>
      </c>
      <c r="AH52" s="304" t="str">
        <f t="shared" si="6"/>
        <v/>
      </c>
      <c r="AI52" s="157"/>
      <c r="AJ52" s="99"/>
      <c r="AK52" s="101"/>
      <c r="AT52" s="15" t="str">
        <f>IFERROR(INDEX('G-6 Hedgerow Data'!$BJ$3:$BJ$15,MATCH(M52,'G-6 Hedgerow Data'!$B$3:$B$15,0)),"")</f>
        <v/>
      </c>
    </row>
    <row r="53" spans="2:46" ht="14" x14ac:dyDescent="0.3">
      <c r="B53" s="319" t="str">
        <f>'B-1 On-Site Hedge Baseline'!AK51</f>
        <v/>
      </c>
      <c r="C53" s="310" t="str">
        <f>IF(B53="","",IF(ISNA(VLOOKUP($B53,'B-1 On-Site Hedge Baseline'!$B$1:$L$257,3,FALSE)),"",(VLOOKUP($B53,'B-1 On-Site Hedge Baseline'!$B$1:$L$257,3,FALSE))))</f>
        <v/>
      </c>
      <c r="D53" s="310" t="str">
        <f>IF(B53="","",IF(ISNA(VLOOKUP($B53,'B-1 On-Site Hedge Baseline'!$B$1:$L$257,4,FALSE)),"",(VLOOKUP($B53,'B-1 On-Site Hedge Baseline'!$B$1:$L$257,4,FALSE))))</f>
        <v/>
      </c>
      <c r="E53" s="310" t="str">
        <f>IF(B53="","",IF(ISNA(VLOOKUP($B53,'B-1 On-Site Hedge Baseline'!$B$1:$L$257,5,FALSE)),"",(VLOOKUP($B53,'B-1 On-Site Hedge Baseline'!$B$1:$L$257,5,FALSE))))</f>
        <v/>
      </c>
      <c r="F53" s="310" t="str">
        <f>IF(B53="","",IF(ISNA(VLOOKUP($B53,'B-1 On-Site Hedge Baseline'!$B$1:$L$257,6,FALSE)),"",(VLOOKUP($B53,'B-1 On-Site Hedge Baseline'!$B$1:$L$257,6,FALSE))))</f>
        <v/>
      </c>
      <c r="G53" s="310" t="str">
        <f>IF(B53="","",IF(ISNA(VLOOKUP($B53,'B-1 On-Site Hedge Baseline'!$B$1:$L$257,7,FALSE)),"",(VLOOKUP($B53,'B-1 On-Site Hedge Baseline'!$B$1:$L$257,7,FALSE))))</f>
        <v/>
      </c>
      <c r="H53" s="310" t="str">
        <f>IF(B53="","",IF(ISNA(VLOOKUP($B53,'B-1 On-Site Hedge Baseline'!$B$1:$L$257,8,FALSE)),"",(VLOOKUP($B53,'B-1 On-Site Hedge Baseline'!$B$1:$L$257,8,FALSE))))</f>
        <v/>
      </c>
      <c r="I53" s="310" t="str">
        <f>IF(B53="","",IF(ISNA(VLOOKUP($B53,'B-1 On-Site Hedge Baseline'!$B$1:$L$257,10,FALSE)),"",(VLOOKUP($B53,'B-1 On-Site Hedge Baseline'!$B$1:$L$257,10,FALSE))))</f>
        <v/>
      </c>
      <c r="J53" s="310" t="str">
        <f>IF(B53="","",IF(ISNA(VLOOKUP($B53,'B-1 On-Site Hedge Baseline'!$B$1:$L$257,11,FALSE)),"",(VLOOKUP($B53,'B-1 On-Site Hedge Baseline'!$B$1:$L$257,11,FALSE))))</f>
        <v/>
      </c>
      <c r="K53" s="310" t="str">
        <f>IF(B53="","",IF(ISNA(VLOOKUP($B53,'B-1 On-Site Hedge Baseline'!$B$1:$U$257,13,FALSE)),"",(VLOOKUP($B53,'B-1 On-Site Hedge Baseline'!$B$1:$U$257,13,FALSE))))</f>
        <v/>
      </c>
      <c r="L53" s="314" t="str">
        <f>IF(B53="","",IF(ISNA(VLOOKUP($B53,'B-1 On-Site Hedge Baseline'!$B$1:$U$257,12,FALSE)),"",(VLOOKUP($B53,'B-1 On-Site Hedge Baseline'!$B$1:$U$257,12,FALSE))))</f>
        <v/>
      </c>
      <c r="M53" s="583"/>
      <c r="N53" s="290" t="str">
        <f>IFERROR(IF(B53="","",INDEX('G-6 Hedgerow Data'!$AN$3:$AZ$15,MATCH(C53,'G-6 Hedgerow Data'!$AM$3:$AM$15,0),MATCH(M53,'G-6 Hedgerow Data'!$AN$2:$AZ$2,0))),"")</f>
        <v/>
      </c>
      <c r="O53" s="291" t="str">
        <f t="shared" si="1"/>
        <v/>
      </c>
      <c r="P53" s="341" t="str">
        <f>IF(B53="","",VLOOKUP(B53,'B-1 On-Site Hedge Baseline'!$B$10:T298,16,FALSE))</f>
        <v/>
      </c>
      <c r="Q53" s="290" t="str">
        <f>IF(M53="","",VLOOKUP(M53,'G-6 Hedgerow Data'!$B$2:$AG$15,2,FALSE))</f>
        <v/>
      </c>
      <c r="R53" s="291" t="str">
        <f>IF(M53="","",VLOOKUP(M53,'G-6 Hedgerow Data'!$B$2:$AG$15,3,FALSE))</f>
        <v/>
      </c>
      <c r="S53" s="106"/>
      <c r="T53" s="328" t="str">
        <f>IFERROR(IF(S53="","",IF(AND(M53="Non-native and ornamental hedgerow", S53&lt;&gt;"Poor"),"Not possible ▲", (VLOOKUP(S53,'G-1 All Habitats'!$Z$2:$AA$9,2,FALSE)))),"")</f>
        <v/>
      </c>
      <c r="U53" s="103"/>
      <c r="V53" s="310" t="str">
        <f>IF(U53="","",IF(VLOOKUP(U53,'G-3 Multipliers'!$L$3:$N$6,2,FALSE)=0,"Spatial Data Missing ⚠",VLOOKUP(U53,'G-3 Multipliers'!$L$3:$N$6,2,FALSE)))</f>
        <v/>
      </c>
      <c r="W53" s="314" t="str">
        <f>IF(U53="","",IF(VLOOKUP(U53,'G-3 Multipliers'!$L$3:$N$6,3,FALSE)=0,"Spatial Data Missing ⚠",VLOOKUP(U53,'G-3 Multipliers'!$L$3:$N$6,3,FALSE)))</f>
        <v/>
      </c>
      <c r="X53" s="290" t="str">
        <f>IFERROR(IF(OR(LEFT(O53,5)="Error",LEFT(N53,5)="Error",T53="Error"),"Check Data ⚠",IF(F53&lt;R53,INDEX('G-6 Hedgerow Data'!$S$3:$AE$14,MATCH(C53,'G-6 Hedgerow Data'!$B$3:$B$14,0),MATCH(M53,'G-6 Hedgerow Data'!$S$2:$AE$2,0)),INDEX('G-6 Hedgerow Data'!$K$3:$Q$14,MATCH(M53,'G-6 Hedgerow Data'!$B$3:$B$14,0),MATCH(O53,'G-6 Hedgerow Data'!$K$2:$Q$2,0)))),"")</f>
        <v/>
      </c>
      <c r="Y53" s="138"/>
      <c r="Z53" s="138"/>
      <c r="AA53" s="298" t="str">
        <f t="shared" si="2"/>
        <v/>
      </c>
      <c r="AB53" s="311" t="str">
        <f t="shared" si="3"/>
        <v/>
      </c>
      <c r="AC53" s="312" t="str">
        <f t="shared" si="0"/>
        <v/>
      </c>
      <c r="AD53" s="325" t="str">
        <f>IF(M53="","",VLOOKUP(M53,'G-6 Hedgerow Data'!$B$3:$AG$15,31,FALSE))</f>
        <v/>
      </c>
      <c r="AE53" s="298" t="str">
        <f t="shared" si="4"/>
        <v/>
      </c>
      <c r="AF53" s="298" t="str">
        <f t="shared" si="5"/>
        <v/>
      </c>
      <c r="AG53" s="314" t="str">
        <f>IFERROR(IF(O53="","",VLOOKUP(AD53,'G-3 Multipliers'!$P$3:$Q$6,2,FALSE)),"")</f>
        <v/>
      </c>
      <c r="AH53" s="304" t="str">
        <f t="shared" si="6"/>
        <v/>
      </c>
      <c r="AI53" s="157"/>
      <c r="AJ53" s="99"/>
      <c r="AK53" s="101"/>
      <c r="AT53" s="15" t="str">
        <f>IFERROR(INDEX('G-6 Hedgerow Data'!$BJ$3:$BJ$15,MATCH(M53,'G-6 Hedgerow Data'!$B$3:$B$15,0)),"")</f>
        <v/>
      </c>
    </row>
    <row r="54" spans="2:46" ht="14" x14ac:dyDescent="0.3">
      <c r="B54" s="319" t="str">
        <f>'B-1 On-Site Hedge Baseline'!AK52</f>
        <v/>
      </c>
      <c r="C54" s="310" t="str">
        <f>IF(B54="","",IF(ISNA(VLOOKUP($B54,'B-1 On-Site Hedge Baseline'!$B$1:$L$257,3,FALSE)),"",(VLOOKUP($B54,'B-1 On-Site Hedge Baseline'!$B$1:$L$257,3,FALSE))))</f>
        <v/>
      </c>
      <c r="D54" s="310" t="str">
        <f>IF(B54="","",IF(ISNA(VLOOKUP($B54,'B-1 On-Site Hedge Baseline'!$B$1:$L$257,4,FALSE)),"",(VLOOKUP($B54,'B-1 On-Site Hedge Baseline'!$B$1:$L$257,4,FALSE))))</f>
        <v/>
      </c>
      <c r="E54" s="310" t="str">
        <f>IF(B54="","",IF(ISNA(VLOOKUP($B54,'B-1 On-Site Hedge Baseline'!$B$1:$L$257,5,FALSE)),"",(VLOOKUP($B54,'B-1 On-Site Hedge Baseline'!$B$1:$L$257,5,FALSE))))</f>
        <v/>
      </c>
      <c r="F54" s="310" t="str">
        <f>IF(B54="","",IF(ISNA(VLOOKUP($B54,'B-1 On-Site Hedge Baseline'!$B$1:$L$257,6,FALSE)),"",(VLOOKUP($B54,'B-1 On-Site Hedge Baseline'!$B$1:$L$257,6,FALSE))))</f>
        <v/>
      </c>
      <c r="G54" s="310" t="str">
        <f>IF(B54="","",IF(ISNA(VLOOKUP($B54,'B-1 On-Site Hedge Baseline'!$B$1:$L$257,7,FALSE)),"",(VLOOKUP($B54,'B-1 On-Site Hedge Baseline'!$B$1:$L$257,7,FALSE))))</f>
        <v/>
      </c>
      <c r="H54" s="310" t="str">
        <f>IF(B54="","",IF(ISNA(VLOOKUP($B54,'B-1 On-Site Hedge Baseline'!$B$1:$L$257,8,FALSE)),"",(VLOOKUP($B54,'B-1 On-Site Hedge Baseline'!$B$1:$L$257,8,FALSE))))</f>
        <v/>
      </c>
      <c r="I54" s="310" t="str">
        <f>IF(B54="","",IF(ISNA(VLOOKUP($B54,'B-1 On-Site Hedge Baseline'!$B$1:$L$257,10,FALSE)),"",(VLOOKUP($B54,'B-1 On-Site Hedge Baseline'!$B$1:$L$257,10,FALSE))))</f>
        <v/>
      </c>
      <c r="J54" s="310" t="str">
        <f>IF(B54="","",IF(ISNA(VLOOKUP($B54,'B-1 On-Site Hedge Baseline'!$B$1:$L$257,11,FALSE)),"",(VLOOKUP($B54,'B-1 On-Site Hedge Baseline'!$B$1:$L$257,11,FALSE))))</f>
        <v/>
      </c>
      <c r="K54" s="310" t="str">
        <f>IF(B54="","",IF(ISNA(VLOOKUP($B54,'B-1 On-Site Hedge Baseline'!$B$1:$U$257,13,FALSE)),"",(VLOOKUP($B54,'B-1 On-Site Hedge Baseline'!$B$1:$U$257,13,FALSE))))</f>
        <v/>
      </c>
      <c r="L54" s="314" t="str">
        <f>IF(B54="","",IF(ISNA(VLOOKUP($B54,'B-1 On-Site Hedge Baseline'!$B$1:$U$257,12,FALSE)),"",(VLOOKUP($B54,'B-1 On-Site Hedge Baseline'!$B$1:$U$257,12,FALSE))))</f>
        <v/>
      </c>
      <c r="M54" s="583"/>
      <c r="N54" s="290" t="str">
        <f>IFERROR(IF(B54="","",INDEX('G-6 Hedgerow Data'!$AN$3:$AZ$15,MATCH(C54,'G-6 Hedgerow Data'!$AM$3:$AM$15,0),MATCH(M54,'G-6 Hedgerow Data'!$AN$2:$AZ$2,0))),"")</f>
        <v/>
      </c>
      <c r="O54" s="291" t="str">
        <f t="shared" si="1"/>
        <v/>
      </c>
      <c r="P54" s="341" t="str">
        <f>IF(B54="","",VLOOKUP(B54,'B-1 On-Site Hedge Baseline'!$B$10:T299,16,FALSE))</f>
        <v/>
      </c>
      <c r="Q54" s="290" t="str">
        <f>IF(M54="","",VLOOKUP(M54,'G-6 Hedgerow Data'!$B$2:$AG$15,2,FALSE))</f>
        <v/>
      </c>
      <c r="R54" s="291" t="str">
        <f>IF(M54="","",VLOOKUP(M54,'G-6 Hedgerow Data'!$B$2:$AG$15,3,FALSE))</f>
        <v/>
      </c>
      <c r="S54" s="106"/>
      <c r="T54" s="328" t="str">
        <f>IFERROR(IF(S54="","",IF(AND(M54="Non-native and ornamental hedgerow", S54&lt;&gt;"Poor"),"Not possible ▲", (VLOOKUP(S54,'G-1 All Habitats'!$Z$2:$AA$9,2,FALSE)))),"")</f>
        <v/>
      </c>
      <c r="U54" s="103"/>
      <c r="V54" s="310" t="str">
        <f>IF(U54="","",IF(VLOOKUP(U54,'G-3 Multipliers'!$L$3:$N$6,2,FALSE)=0,"Spatial Data Missing ⚠",VLOOKUP(U54,'G-3 Multipliers'!$L$3:$N$6,2,FALSE)))</f>
        <v/>
      </c>
      <c r="W54" s="314" t="str">
        <f>IF(U54="","",IF(VLOOKUP(U54,'G-3 Multipliers'!$L$3:$N$6,3,FALSE)=0,"Spatial Data Missing ⚠",VLOOKUP(U54,'G-3 Multipliers'!$L$3:$N$6,3,FALSE)))</f>
        <v/>
      </c>
      <c r="X54" s="290" t="str">
        <f>IFERROR(IF(OR(LEFT(O54,5)="Error",LEFT(N54,5)="Error",T54="Error"),"Check Data ⚠",IF(F54&lt;R54,INDEX('G-6 Hedgerow Data'!$S$3:$AE$14,MATCH(C54,'G-6 Hedgerow Data'!$B$3:$B$14,0),MATCH(M54,'G-6 Hedgerow Data'!$S$2:$AE$2,0)),INDEX('G-6 Hedgerow Data'!$K$3:$Q$14,MATCH(M54,'G-6 Hedgerow Data'!$B$3:$B$14,0),MATCH(O54,'G-6 Hedgerow Data'!$K$2:$Q$2,0)))),"")</f>
        <v/>
      </c>
      <c r="Y54" s="138"/>
      <c r="Z54" s="138"/>
      <c r="AA54" s="298" t="str">
        <f t="shared" si="2"/>
        <v/>
      </c>
      <c r="AB54" s="311" t="str">
        <f t="shared" si="3"/>
        <v/>
      </c>
      <c r="AC54" s="312" t="str">
        <f t="shared" si="0"/>
        <v/>
      </c>
      <c r="AD54" s="325" t="str">
        <f>IF(M54="","",VLOOKUP(M54,'G-6 Hedgerow Data'!$B$3:$AG$15,31,FALSE))</f>
        <v/>
      </c>
      <c r="AE54" s="298" t="str">
        <f t="shared" si="4"/>
        <v/>
      </c>
      <c r="AF54" s="298" t="str">
        <f t="shared" si="5"/>
        <v/>
      </c>
      <c r="AG54" s="314" t="str">
        <f>IFERROR(IF(O54="","",VLOOKUP(AD54,'G-3 Multipliers'!$P$3:$Q$6,2,FALSE)),"")</f>
        <v/>
      </c>
      <c r="AH54" s="304" t="str">
        <f t="shared" si="6"/>
        <v/>
      </c>
      <c r="AI54" s="157"/>
      <c r="AJ54" s="99"/>
      <c r="AK54" s="101"/>
      <c r="AT54" s="15" t="str">
        <f>IFERROR(INDEX('G-6 Hedgerow Data'!$BJ$3:$BJ$15,MATCH(M54,'G-6 Hedgerow Data'!$B$3:$B$15,0)),"")</f>
        <v/>
      </c>
    </row>
    <row r="55" spans="2:46" ht="14" x14ac:dyDescent="0.3">
      <c r="B55" s="319" t="str">
        <f>'B-1 On-Site Hedge Baseline'!AK53</f>
        <v/>
      </c>
      <c r="C55" s="310" t="str">
        <f>IF(B55="","",IF(ISNA(VLOOKUP($B55,'B-1 On-Site Hedge Baseline'!$B$1:$L$257,3,FALSE)),"",(VLOOKUP($B55,'B-1 On-Site Hedge Baseline'!$B$1:$L$257,3,FALSE))))</f>
        <v/>
      </c>
      <c r="D55" s="310" t="str">
        <f>IF(B55="","",IF(ISNA(VLOOKUP($B55,'B-1 On-Site Hedge Baseline'!$B$1:$L$257,4,FALSE)),"",(VLOOKUP($B55,'B-1 On-Site Hedge Baseline'!$B$1:$L$257,4,FALSE))))</f>
        <v/>
      </c>
      <c r="E55" s="310" t="str">
        <f>IF(B55="","",IF(ISNA(VLOOKUP($B55,'B-1 On-Site Hedge Baseline'!$B$1:$L$257,5,FALSE)),"",(VLOOKUP($B55,'B-1 On-Site Hedge Baseline'!$B$1:$L$257,5,FALSE))))</f>
        <v/>
      </c>
      <c r="F55" s="310" t="str">
        <f>IF(B55="","",IF(ISNA(VLOOKUP($B55,'B-1 On-Site Hedge Baseline'!$B$1:$L$257,6,FALSE)),"",(VLOOKUP($B55,'B-1 On-Site Hedge Baseline'!$B$1:$L$257,6,FALSE))))</f>
        <v/>
      </c>
      <c r="G55" s="310" t="str">
        <f>IF(B55="","",IF(ISNA(VLOOKUP($B55,'B-1 On-Site Hedge Baseline'!$B$1:$L$257,7,FALSE)),"",(VLOOKUP($B55,'B-1 On-Site Hedge Baseline'!$B$1:$L$257,7,FALSE))))</f>
        <v/>
      </c>
      <c r="H55" s="310" t="str">
        <f>IF(B55="","",IF(ISNA(VLOOKUP($B55,'B-1 On-Site Hedge Baseline'!$B$1:$L$257,8,FALSE)),"",(VLOOKUP($B55,'B-1 On-Site Hedge Baseline'!$B$1:$L$257,8,FALSE))))</f>
        <v/>
      </c>
      <c r="I55" s="310" t="str">
        <f>IF(B55="","",IF(ISNA(VLOOKUP($B55,'B-1 On-Site Hedge Baseline'!$B$1:$L$257,10,FALSE)),"",(VLOOKUP($B55,'B-1 On-Site Hedge Baseline'!$B$1:$L$257,10,FALSE))))</f>
        <v/>
      </c>
      <c r="J55" s="310" t="str">
        <f>IF(B55="","",IF(ISNA(VLOOKUP($B55,'B-1 On-Site Hedge Baseline'!$B$1:$L$257,11,FALSE)),"",(VLOOKUP($B55,'B-1 On-Site Hedge Baseline'!$B$1:$L$257,11,FALSE))))</f>
        <v/>
      </c>
      <c r="K55" s="310" t="str">
        <f>IF(B55="","",IF(ISNA(VLOOKUP($B55,'B-1 On-Site Hedge Baseline'!$B$1:$U$257,13,FALSE)),"",(VLOOKUP($B55,'B-1 On-Site Hedge Baseline'!$B$1:$U$257,13,FALSE))))</f>
        <v/>
      </c>
      <c r="L55" s="314" t="str">
        <f>IF(B55="","",IF(ISNA(VLOOKUP($B55,'B-1 On-Site Hedge Baseline'!$B$1:$U$257,12,FALSE)),"",(VLOOKUP($B55,'B-1 On-Site Hedge Baseline'!$B$1:$U$257,12,FALSE))))</f>
        <v/>
      </c>
      <c r="M55" s="583"/>
      <c r="N55" s="290" t="str">
        <f>IFERROR(IF(B55="","",INDEX('G-6 Hedgerow Data'!$AN$3:$AZ$15,MATCH(C55,'G-6 Hedgerow Data'!$AM$3:$AM$15,0),MATCH(M55,'G-6 Hedgerow Data'!$AN$2:$AZ$2,0))),"")</f>
        <v/>
      </c>
      <c r="O55" s="291" t="str">
        <f t="shared" si="1"/>
        <v/>
      </c>
      <c r="P55" s="341" t="str">
        <f>IF(B55="","",VLOOKUP(B55,'B-1 On-Site Hedge Baseline'!$B$10:T300,16,FALSE))</f>
        <v/>
      </c>
      <c r="Q55" s="290" t="str">
        <f>IF(M55="","",VLOOKUP(M55,'G-6 Hedgerow Data'!$B$2:$AG$15,2,FALSE))</f>
        <v/>
      </c>
      <c r="R55" s="291" t="str">
        <f>IF(M55="","",VLOOKUP(M55,'G-6 Hedgerow Data'!$B$2:$AG$15,3,FALSE))</f>
        <v/>
      </c>
      <c r="S55" s="106"/>
      <c r="T55" s="328" t="str">
        <f>IFERROR(IF(S55="","",IF(AND(M55="Non-native and ornamental hedgerow", S55&lt;&gt;"Poor"),"Not possible ▲", (VLOOKUP(S55,'G-1 All Habitats'!$Z$2:$AA$9,2,FALSE)))),"")</f>
        <v/>
      </c>
      <c r="U55" s="103"/>
      <c r="V55" s="310" t="str">
        <f>IF(U55="","",IF(VLOOKUP(U55,'G-3 Multipliers'!$L$3:$N$6,2,FALSE)=0,"Spatial Data Missing ⚠",VLOOKUP(U55,'G-3 Multipliers'!$L$3:$N$6,2,FALSE)))</f>
        <v/>
      </c>
      <c r="W55" s="314" t="str">
        <f>IF(U55="","",IF(VLOOKUP(U55,'G-3 Multipliers'!$L$3:$N$6,3,FALSE)=0,"Spatial Data Missing ⚠",VLOOKUP(U55,'G-3 Multipliers'!$L$3:$N$6,3,FALSE)))</f>
        <v/>
      </c>
      <c r="X55" s="290" t="str">
        <f>IFERROR(IF(OR(LEFT(O55,5)="Error",LEFT(N55,5)="Error",T55="Error"),"Check Data ⚠",IF(F55&lt;R55,INDEX('G-6 Hedgerow Data'!$S$3:$AE$14,MATCH(C55,'G-6 Hedgerow Data'!$B$3:$B$14,0),MATCH(M55,'G-6 Hedgerow Data'!$S$2:$AE$2,0)),INDEX('G-6 Hedgerow Data'!$K$3:$Q$14,MATCH(M55,'G-6 Hedgerow Data'!$B$3:$B$14,0),MATCH(O55,'G-6 Hedgerow Data'!$K$2:$Q$2,0)))),"")</f>
        <v/>
      </c>
      <c r="Y55" s="138"/>
      <c r="Z55" s="138"/>
      <c r="AA55" s="298" t="str">
        <f t="shared" si="2"/>
        <v/>
      </c>
      <c r="AB55" s="311" t="str">
        <f t="shared" si="3"/>
        <v/>
      </c>
      <c r="AC55" s="312" t="str">
        <f t="shared" si="0"/>
        <v/>
      </c>
      <c r="AD55" s="325" t="str">
        <f>IF(M55="","",VLOOKUP(M55,'G-6 Hedgerow Data'!$B$3:$AG$15,31,FALSE))</f>
        <v/>
      </c>
      <c r="AE55" s="298" t="str">
        <f t="shared" si="4"/>
        <v/>
      </c>
      <c r="AF55" s="298" t="str">
        <f t="shared" si="5"/>
        <v/>
      </c>
      <c r="AG55" s="314" t="str">
        <f>IFERROR(IF(O55="","",VLOOKUP(AD55,'G-3 Multipliers'!$P$3:$Q$6,2,FALSE)),"")</f>
        <v/>
      </c>
      <c r="AH55" s="304" t="str">
        <f t="shared" si="6"/>
        <v/>
      </c>
      <c r="AI55" s="157"/>
      <c r="AJ55" s="99"/>
      <c r="AK55" s="101"/>
      <c r="AT55" s="15" t="str">
        <f>IFERROR(INDEX('G-6 Hedgerow Data'!$BJ$3:$BJ$15,MATCH(M55,'G-6 Hedgerow Data'!$B$3:$B$15,0)),"")</f>
        <v/>
      </c>
    </row>
    <row r="56" spans="2:46" ht="14" x14ac:dyDescent="0.3">
      <c r="B56" s="319" t="str">
        <f>'B-1 On-Site Hedge Baseline'!AK54</f>
        <v/>
      </c>
      <c r="C56" s="310" t="str">
        <f>IF(B56="","",IF(ISNA(VLOOKUP($B56,'B-1 On-Site Hedge Baseline'!$B$1:$L$257,3,FALSE)),"",(VLOOKUP($B56,'B-1 On-Site Hedge Baseline'!$B$1:$L$257,3,FALSE))))</f>
        <v/>
      </c>
      <c r="D56" s="310" t="str">
        <f>IF(B56="","",IF(ISNA(VLOOKUP($B56,'B-1 On-Site Hedge Baseline'!$B$1:$L$257,4,FALSE)),"",(VLOOKUP($B56,'B-1 On-Site Hedge Baseline'!$B$1:$L$257,4,FALSE))))</f>
        <v/>
      </c>
      <c r="E56" s="310" t="str">
        <f>IF(B56="","",IF(ISNA(VLOOKUP($B56,'B-1 On-Site Hedge Baseline'!$B$1:$L$257,5,FALSE)),"",(VLOOKUP($B56,'B-1 On-Site Hedge Baseline'!$B$1:$L$257,5,FALSE))))</f>
        <v/>
      </c>
      <c r="F56" s="310" t="str">
        <f>IF(B56="","",IF(ISNA(VLOOKUP($B56,'B-1 On-Site Hedge Baseline'!$B$1:$L$257,6,FALSE)),"",(VLOOKUP($B56,'B-1 On-Site Hedge Baseline'!$B$1:$L$257,6,FALSE))))</f>
        <v/>
      </c>
      <c r="G56" s="310" t="str">
        <f>IF(B56="","",IF(ISNA(VLOOKUP($B56,'B-1 On-Site Hedge Baseline'!$B$1:$L$257,7,FALSE)),"",(VLOOKUP($B56,'B-1 On-Site Hedge Baseline'!$B$1:$L$257,7,FALSE))))</f>
        <v/>
      </c>
      <c r="H56" s="310" t="str">
        <f>IF(B56="","",IF(ISNA(VLOOKUP($B56,'B-1 On-Site Hedge Baseline'!$B$1:$L$257,8,FALSE)),"",(VLOOKUP($B56,'B-1 On-Site Hedge Baseline'!$B$1:$L$257,8,FALSE))))</f>
        <v/>
      </c>
      <c r="I56" s="310" t="str">
        <f>IF(B56="","",IF(ISNA(VLOOKUP($B56,'B-1 On-Site Hedge Baseline'!$B$1:$L$257,10,FALSE)),"",(VLOOKUP($B56,'B-1 On-Site Hedge Baseline'!$B$1:$L$257,10,FALSE))))</f>
        <v/>
      </c>
      <c r="J56" s="310" t="str">
        <f>IF(B56="","",IF(ISNA(VLOOKUP($B56,'B-1 On-Site Hedge Baseline'!$B$1:$L$257,11,FALSE)),"",(VLOOKUP($B56,'B-1 On-Site Hedge Baseline'!$B$1:$L$257,11,FALSE))))</f>
        <v/>
      </c>
      <c r="K56" s="310" t="str">
        <f>IF(B56="","",IF(ISNA(VLOOKUP($B56,'B-1 On-Site Hedge Baseline'!$B$1:$U$257,13,FALSE)),"",(VLOOKUP($B56,'B-1 On-Site Hedge Baseline'!$B$1:$U$257,13,FALSE))))</f>
        <v/>
      </c>
      <c r="L56" s="314" t="str">
        <f>IF(B56="","",IF(ISNA(VLOOKUP($B56,'B-1 On-Site Hedge Baseline'!$B$1:$U$257,12,FALSE)),"",(VLOOKUP($B56,'B-1 On-Site Hedge Baseline'!$B$1:$U$257,12,FALSE))))</f>
        <v/>
      </c>
      <c r="M56" s="583"/>
      <c r="N56" s="290" t="str">
        <f>IFERROR(IF(B56="","",INDEX('G-6 Hedgerow Data'!$AN$3:$AZ$15,MATCH(C56,'G-6 Hedgerow Data'!$AM$3:$AM$15,0),MATCH(M56,'G-6 Hedgerow Data'!$AN$2:$AZ$2,0))),"")</f>
        <v/>
      </c>
      <c r="O56" s="291" t="str">
        <f t="shared" si="1"/>
        <v/>
      </c>
      <c r="P56" s="341" t="str">
        <f>IF(B56="","",VLOOKUP(B56,'B-1 On-Site Hedge Baseline'!$B$10:T301,16,FALSE))</f>
        <v/>
      </c>
      <c r="Q56" s="290" t="str">
        <f>IF(M56="","",VLOOKUP(M56,'G-6 Hedgerow Data'!$B$2:$AG$15,2,FALSE))</f>
        <v/>
      </c>
      <c r="R56" s="291" t="str">
        <f>IF(M56="","",VLOOKUP(M56,'G-6 Hedgerow Data'!$B$2:$AG$15,3,FALSE))</f>
        <v/>
      </c>
      <c r="S56" s="106"/>
      <c r="T56" s="328" t="str">
        <f>IFERROR(IF(S56="","",IF(AND(M56="Non-native and ornamental hedgerow", S56&lt;&gt;"Poor"),"Not possible ▲", (VLOOKUP(S56,'G-1 All Habitats'!$Z$2:$AA$9,2,FALSE)))),"")</f>
        <v/>
      </c>
      <c r="U56" s="103"/>
      <c r="V56" s="310" t="str">
        <f>IF(U56="","",IF(VLOOKUP(U56,'G-3 Multipliers'!$L$3:$N$6,2,FALSE)=0,"Spatial Data Missing ⚠",VLOOKUP(U56,'G-3 Multipliers'!$L$3:$N$6,2,FALSE)))</f>
        <v/>
      </c>
      <c r="W56" s="314" t="str">
        <f>IF(U56="","",IF(VLOOKUP(U56,'G-3 Multipliers'!$L$3:$N$6,3,FALSE)=0,"Spatial Data Missing ⚠",VLOOKUP(U56,'G-3 Multipliers'!$L$3:$N$6,3,FALSE)))</f>
        <v/>
      </c>
      <c r="X56" s="290" t="str">
        <f>IFERROR(IF(OR(LEFT(O56,5)="Error",LEFT(N56,5)="Error",T56="Error"),"Check Data ⚠",IF(F56&lt;R56,INDEX('G-6 Hedgerow Data'!$S$3:$AE$14,MATCH(C56,'G-6 Hedgerow Data'!$B$3:$B$14,0),MATCH(M56,'G-6 Hedgerow Data'!$S$2:$AE$2,0)),INDEX('G-6 Hedgerow Data'!$K$3:$Q$14,MATCH(M56,'G-6 Hedgerow Data'!$B$3:$B$14,0),MATCH(O56,'G-6 Hedgerow Data'!$K$2:$Q$2,0)))),"")</f>
        <v/>
      </c>
      <c r="Y56" s="138"/>
      <c r="Z56" s="138"/>
      <c r="AA56" s="298" t="str">
        <f t="shared" si="2"/>
        <v/>
      </c>
      <c r="AB56" s="311" t="str">
        <f t="shared" si="3"/>
        <v/>
      </c>
      <c r="AC56" s="312" t="str">
        <f t="shared" si="0"/>
        <v/>
      </c>
      <c r="AD56" s="325" t="str">
        <f>IF(M56="","",VLOOKUP(M56,'G-6 Hedgerow Data'!$B$3:$AG$15,31,FALSE))</f>
        <v/>
      </c>
      <c r="AE56" s="298" t="str">
        <f t="shared" si="4"/>
        <v/>
      </c>
      <c r="AF56" s="298" t="str">
        <f t="shared" si="5"/>
        <v/>
      </c>
      <c r="AG56" s="314" t="str">
        <f>IFERROR(IF(O56="","",VLOOKUP(AD56,'G-3 Multipliers'!$P$3:$Q$6,2,FALSE)),"")</f>
        <v/>
      </c>
      <c r="AH56" s="304" t="str">
        <f t="shared" si="6"/>
        <v/>
      </c>
      <c r="AI56" s="157"/>
      <c r="AJ56" s="99"/>
      <c r="AK56" s="101"/>
      <c r="AT56" s="15" t="str">
        <f>IFERROR(INDEX('G-6 Hedgerow Data'!$BJ$3:$BJ$15,MATCH(M56,'G-6 Hedgerow Data'!$B$3:$B$15,0)),"")</f>
        <v/>
      </c>
    </row>
    <row r="57" spans="2:46" ht="14" x14ac:dyDescent="0.3">
      <c r="B57" s="319" t="str">
        <f>'B-1 On-Site Hedge Baseline'!AK55</f>
        <v/>
      </c>
      <c r="C57" s="310" t="str">
        <f>IF(B57="","",IF(ISNA(VLOOKUP($B57,'B-1 On-Site Hedge Baseline'!$B$1:$L$257,3,FALSE)),"",(VLOOKUP($B57,'B-1 On-Site Hedge Baseline'!$B$1:$L$257,3,FALSE))))</f>
        <v/>
      </c>
      <c r="D57" s="310" t="str">
        <f>IF(B57="","",IF(ISNA(VLOOKUP($B57,'B-1 On-Site Hedge Baseline'!$B$1:$L$257,4,FALSE)),"",(VLOOKUP($B57,'B-1 On-Site Hedge Baseline'!$B$1:$L$257,4,FALSE))))</f>
        <v/>
      </c>
      <c r="E57" s="310" t="str">
        <f>IF(B57="","",IF(ISNA(VLOOKUP($B57,'B-1 On-Site Hedge Baseline'!$B$1:$L$257,5,FALSE)),"",(VLOOKUP($B57,'B-1 On-Site Hedge Baseline'!$B$1:$L$257,5,FALSE))))</f>
        <v/>
      </c>
      <c r="F57" s="310" t="str">
        <f>IF(B57="","",IF(ISNA(VLOOKUP($B57,'B-1 On-Site Hedge Baseline'!$B$1:$L$257,6,FALSE)),"",(VLOOKUP($B57,'B-1 On-Site Hedge Baseline'!$B$1:$L$257,6,FALSE))))</f>
        <v/>
      </c>
      <c r="G57" s="310" t="str">
        <f>IF(B57="","",IF(ISNA(VLOOKUP($B57,'B-1 On-Site Hedge Baseline'!$B$1:$L$257,7,FALSE)),"",(VLOOKUP($B57,'B-1 On-Site Hedge Baseline'!$B$1:$L$257,7,FALSE))))</f>
        <v/>
      </c>
      <c r="H57" s="310" t="str">
        <f>IF(B57="","",IF(ISNA(VLOOKUP($B57,'B-1 On-Site Hedge Baseline'!$B$1:$L$257,8,FALSE)),"",(VLOOKUP($B57,'B-1 On-Site Hedge Baseline'!$B$1:$L$257,8,FALSE))))</f>
        <v/>
      </c>
      <c r="I57" s="310" t="str">
        <f>IF(B57="","",IF(ISNA(VLOOKUP($B57,'B-1 On-Site Hedge Baseline'!$B$1:$L$257,10,FALSE)),"",(VLOOKUP($B57,'B-1 On-Site Hedge Baseline'!$B$1:$L$257,10,FALSE))))</f>
        <v/>
      </c>
      <c r="J57" s="310" t="str">
        <f>IF(B57="","",IF(ISNA(VLOOKUP($B57,'B-1 On-Site Hedge Baseline'!$B$1:$L$257,11,FALSE)),"",(VLOOKUP($B57,'B-1 On-Site Hedge Baseline'!$B$1:$L$257,11,FALSE))))</f>
        <v/>
      </c>
      <c r="K57" s="310" t="str">
        <f>IF(B57="","",IF(ISNA(VLOOKUP($B57,'B-1 On-Site Hedge Baseline'!$B$1:$U$257,13,FALSE)),"",(VLOOKUP($B57,'B-1 On-Site Hedge Baseline'!$B$1:$U$257,13,FALSE))))</f>
        <v/>
      </c>
      <c r="L57" s="314" t="str">
        <f>IF(B57="","",IF(ISNA(VLOOKUP($B57,'B-1 On-Site Hedge Baseline'!$B$1:$U$257,12,FALSE)),"",(VLOOKUP($B57,'B-1 On-Site Hedge Baseline'!$B$1:$U$257,12,FALSE))))</f>
        <v/>
      </c>
      <c r="M57" s="583"/>
      <c r="N57" s="290" t="str">
        <f>IFERROR(IF(B57="","",INDEX('G-6 Hedgerow Data'!$AN$3:$AZ$15,MATCH(C57,'G-6 Hedgerow Data'!$AM$3:$AM$15,0),MATCH(M57,'G-6 Hedgerow Data'!$AN$2:$AZ$2,0))),"")</f>
        <v/>
      </c>
      <c r="O57" s="291" t="str">
        <f t="shared" si="1"/>
        <v/>
      </c>
      <c r="P57" s="341" t="str">
        <f>IF(B57="","",VLOOKUP(B57,'B-1 On-Site Hedge Baseline'!$B$10:T302,16,FALSE))</f>
        <v/>
      </c>
      <c r="Q57" s="290" t="str">
        <f>IF(M57="","",VLOOKUP(M57,'G-6 Hedgerow Data'!$B$2:$AG$15,2,FALSE))</f>
        <v/>
      </c>
      <c r="R57" s="291" t="str">
        <f>IF(M57="","",VLOOKUP(M57,'G-6 Hedgerow Data'!$B$2:$AG$15,3,FALSE))</f>
        <v/>
      </c>
      <c r="S57" s="106"/>
      <c r="T57" s="328" t="str">
        <f>IFERROR(IF(S57="","",IF(AND(M57="Non-native and ornamental hedgerow", S57&lt;&gt;"Poor"),"Not possible ▲", (VLOOKUP(S57,'G-1 All Habitats'!$Z$2:$AA$9,2,FALSE)))),"")</f>
        <v/>
      </c>
      <c r="U57" s="103"/>
      <c r="V57" s="310" t="str">
        <f>IF(U57="","",IF(VLOOKUP(U57,'G-3 Multipliers'!$L$3:$N$6,2,FALSE)=0,"Spatial Data Missing ⚠",VLOOKUP(U57,'G-3 Multipliers'!$L$3:$N$6,2,FALSE)))</f>
        <v/>
      </c>
      <c r="W57" s="314" t="str">
        <f>IF(U57="","",IF(VLOOKUP(U57,'G-3 Multipliers'!$L$3:$N$6,3,FALSE)=0,"Spatial Data Missing ⚠",VLOOKUP(U57,'G-3 Multipliers'!$L$3:$N$6,3,FALSE)))</f>
        <v/>
      </c>
      <c r="X57" s="290" t="str">
        <f>IFERROR(IF(OR(LEFT(O57,5)="Error",LEFT(N57,5)="Error",T57="Error"),"Check Data ⚠",IF(F57&lt;R57,INDEX('G-6 Hedgerow Data'!$S$3:$AE$14,MATCH(C57,'G-6 Hedgerow Data'!$B$3:$B$14,0),MATCH(M57,'G-6 Hedgerow Data'!$S$2:$AE$2,0)),INDEX('G-6 Hedgerow Data'!$K$3:$Q$14,MATCH(M57,'G-6 Hedgerow Data'!$B$3:$B$14,0),MATCH(O57,'G-6 Hedgerow Data'!$K$2:$Q$2,0)))),"")</f>
        <v/>
      </c>
      <c r="Y57" s="138"/>
      <c r="Z57" s="138"/>
      <c r="AA57" s="298" t="str">
        <f t="shared" si="2"/>
        <v/>
      </c>
      <c r="AB57" s="311" t="str">
        <f t="shared" si="3"/>
        <v/>
      </c>
      <c r="AC57" s="312" t="str">
        <f t="shared" si="0"/>
        <v/>
      </c>
      <c r="AD57" s="325" t="str">
        <f>IF(M57="","",VLOOKUP(M57,'G-6 Hedgerow Data'!$B$3:$AG$15,31,FALSE))</f>
        <v/>
      </c>
      <c r="AE57" s="298" t="str">
        <f t="shared" si="4"/>
        <v/>
      </c>
      <c r="AF57" s="298" t="str">
        <f t="shared" si="5"/>
        <v/>
      </c>
      <c r="AG57" s="314" t="str">
        <f>IFERROR(IF(O57="","",VLOOKUP(AD57,'G-3 Multipliers'!$P$3:$Q$6,2,FALSE)),"")</f>
        <v/>
      </c>
      <c r="AH57" s="304" t="str">
        <f t="shared" si="6"/>
        <v/>
      </c>
      <c r="AI57" s="157"/>
      <c r="AJ57" s="99"/>
      <c r="AK57" s="101"/>
      <c r="AT57" s="15" t="str">
        <f>IFERROR(INDEX('G-6 Hedgerow Data'!$BJ$3:$BJ$15,MATCH(M57,'G-6 Hedgerow Data'!$B$3:$B$15,0)),"")</f>
        <v/>
      </c>
    </row>
    <row r="58" spans="2:46" ht="14" x14ac:dyDescent="0.3">
      <c r="B58" s="319" t="str">
        <f>'B-1 On-Site Hedge Baseline'!AK56</f>
        <v/>
      </c>
      <c r="C58" s="310" t="str">
        <f>IF(B58="","",IF(ISNA(VLOOKUP($B58,'B-1 On-Site Hedge Baseline'!$B$1:$L$257,3,FALSE)),"",(VLOOKUP($B58,'B-1 On-Site Hedge Baseline'!$B$1:$L$257,3,FALSE))))</f>
        <v/>
      </c>
      <c r="D58" s="310" t="str">
        <f>IF(B58="","",IF(ISNA(VLOOKUP($B58,'B-1 On-Site Hedge Baseline'!$B$1:$L$257,4,FALSE)),"",(VLOOKUP($B58,'B-1 On-Site Hedge Baseline'!$B$1:$L$257,4,FALSE))))</f>
        <v/>
      </c>
      <c r="E58" s="310" t="str">
        <f>IF(B58="","",IF(ISNA(VLOOKUP($B58,'B-1 On-Site Hedge Baseline'!$B$1:$L$257,5,FALSE)),"",(VLOOKUP($B58,'B-1 On-Site Hedge Baseline'!$B$1:$L$257,5,FALSE))))</f>
        <v/>
      </c>
      <c r="F58" s="310" t="str">
        <f>IF(B58="","",IF(ISNA(VLOOKUP($B58,'B-1 On-Site Hedge Baseline'!$B$1:$L$257,6,FALSE)),"",(VLOOKUP($B58,'B-1 On-Site Hedge Baseline'!$B$1:$L$257,6,FALSE))))</f>
        <v/>
      </c>
      <c r="G58" s="310" t="str">
        <f>IF(B58="","",IF(ISNA(VLOOKUP($B58,'B-1 On-Site Hedge Baseline'!$B$1:$L$257,7,FALSE)),"",(VLOOKUP($B58,'B-1 On-Site Hedge Baseline'!$B$1:$L$257,7,FALSE))))</f>
        <v/>
      </c>
      <c r="H58" s="310" t="str">
        <f>IF(B58="","",IF(ISNA(VLOOKUP($B58,'B-1 On-Site Hedge Baseline'!$B$1:$L$257,8,FALSE)),"",(VLOOKUP($B58,'B-1 On-Site Hedge Baseline'!$B$1:$L$257,8,FALSE))))</f>
        <v/>
      </c>
      <c r="I58" s="310" t="str">
        <f>IF(B58="","",IF(ISNA(VLOOKUP($B58,'B-1 On-Site Hedge Baseline'!$B$1:$L$257,10,FALSE)),"",(VLOOKUP($B58,'B-1 On-Site Hedge Baseline'!$B$1:$L$257,10,FALSE))))</f>
        <v/>
      </c>
      <c r="J58" s="310" t="str">
        <f>IF(B58="","",IF(ISNA(VLOOKUP($B58,'B-1 On-Site Hedge Baseline'!$B$1:$L$257,11,FALSE)),"",(VLOOKUP($B58,'B-1 On-Site Hedge Baseline'!$B$1:$L$257,11,FALSE))))</f>
        <v/>
      </c>
      <c r="K58" s="310" t="str">
        <f>IF(B58="","",IF(ISNA(VLOOKUP($B58,'B-1 On-Site Hedge Baseline'!$B$1:$U$257,13,FALSE)),"",(VLOOKUP($B58,'B-1 On-Site Hedge Baseline'!$B$1:$U$257,13,FALSE))))</f>
        <v/>
      </c>
      <c r="L58" s="314" t="str">
        <f>IF(B58="","",IF(ISNA(VLOOKUP($B58,'B-1 On-Site Hedge Baseline'!$B$1:$U$257,12,FALSE)),"",(VLOOKUP($B58,'B-1 On-Site Hedge Baseline'!$B$1:$U$257,12,FALSE))))</f>
        <v/>
      </c>
      <c r="M58" s="583"/>
      <c r="N58" s="290" t="str">
        <f>IFERROR(IF(B58="","",INDEX('G-6 Hedgerow Data'!$AN$3:$AZ$15,MATCH(C58,'G-6 Hedgerow Data'!$AM$3:$AM$15,0),MATCH(M58,'G-6 Hedgerow Data'!$AN$2:$AZ$2,0))),"")</f>
        <v/>
      </c>
      <c r="O58" s="291" t="str">
        <f t="shared" si="1"/>
        <v/>
      </c>
      <c r="P58" s="341" t="str">
        <f>IF(B58="","",VLOOKUP(B58,'B-1 On-Site Hedge Baseline'!$B$10:T303,16,FALSE))</f>
        <v/>
      </c>
      <c r="Q58" s="290" t="str">
        <f>IF(M58="","",VLOOKUP(M58,'G-6 Hedgerow Data'!$B$2:$AG$15,2,FALSE))</f>
        <v/>
      </c>
      <c r="R58" s="291" t="str">
        <f>IF(M58="","",VLOOKUP(M58,'G-6 Hedgerow Data'!$B$2:$AG$15,3,FALSE))</f>
        <v/>
      </c>
      <c r="S58" s="106"/>
      <c r="T58" s="328" t="str">
        <f>IFERROR(IF(S58="","",IF(AND(M58="Non-native and ornamental hedgerow", S58&lt;&gt;"Poor"),"Not possible ▲", (VLOOKUP(S58,'G-1 All Habitats'!$Z$2:$AA$9,2,FALSE)))),"")</f>
        <v/>
      </c>
      <c r="U58" s="103"/>
      <c r="V58" s="310" t="str">
        <f>IF(U58="","",IF(VLOOKUP(U58,'G-3 Multipliers'!$L$3:$N$6,2,FALSE)=0,"Spatial Data Missing ⚠",VLOOKUP(U58,'G-3 Multipliers'!$L$3:$N$6,2,FALSE)))</f>
        <v/>
      </c>
      <c r="W58" s="314" t="str">
        <f>IF(U58="","",IF(VLOOKUP(U58,'G-3 Multipliers'!$L$3:$N$6,3,FALSE)=0,"Spatial Data Missing ⚠",VLOOKUP(U58,'G-3 Multipliers'!$L$3:$N$6,3,FALSE)))</f>
        <v/>
      </c>
      <c r="X58" s="290" t="str">
        <f>IFERROR(IF(OR(LEFT(O58,5)="Error",LEFT(N58,5)="Error",T58="Error"),"Check Data ⚠",IF(F58&lt;R58,INDEX('G-6 Hedgerow Data'!$S$3:$AE$14,MATCH(C58,'G-6 Hedgerow Data'!$B$3:$B$14,0),MATCH(M58,'G-6 Hedgerow Data'!$S$2:$AE$2,0)),INDEX('G-6 Hedgerow Data'!$K$3:$Q$14,MATCH(M58,'G-6 Hedgerow Data'!$B$3:$B$14,0),MATCH(O58,'G-6 Hedgerow Data'!$K$2:$Q$2,0)))),"")</f>
        <v/>
      </c>
      <c r="Y58" s="138"/>
      <c r="Z58" s="138"/>
      <c r="AA58" s="298" t="str">
        <f t="shared" si="2"/>
        <v/>
      </c>
      <c r="AB58" s="311" t="str">
        <f t="shared" si="3"/>
        <v/>
      </c>
      <c r="AC58" s="312" t="str">
        <f t="shared" si="0"/>
        <v/>
      </c>
      <c r="AD58" s="325" t="str">
        <f>IF(M58="","",VLOOKUP(M58,'G-6 Hedgerow Data'!$B$3:$AG$15,31,FALSE))</f>
        <v/>
      </c>
      <c r="AE58" s="298" t="str">
        <f t="shared" si="4"/>
        <v/>
      </c>
      <c r="AF58" s="298" t="str">
        <f t="shared" si="5"/>
        <v/>
      </c>
      <c r="AG58" s="314" t="str">
        <f>IFERROR(IF(O58="","",VLOOKUP(AD58,'G-3 Multipliers'!$P$3:$Q$6,2,FALSE)),"")</f>
        <v/>
      </c>
      <c r="AH58" s="304" t="str">
        <f t="shared" si="6"/>
        <v/>
      </c>
      <c r="AI58" s="157"/>
      <c r="AJ58" s="99"/>
      <c r="AK58" s="101"/>
      <c r="AT58" s="15" t="str">
        <f>IFERROR(INDEX('G-6 Hedgerow Data'!$BJ$3:$BJ$15,MATCH(M58,'G-6 Hedgerow Data'!$B$3:$B$15,0)),"")</f>
        <v/>
      </c>
    </row>
    <row r="59" spans="2:46" ht="14" x14ac:dyDescent="0.3">
      <c r="B59" s="319" t="str">
        <f>'B-1 On-Site Hedge Baseline'!AK57</f>
        <v/>
      </c>
      <c r="C59" s="310" t="str">
        <f>IF(B59="","",IF(ISNA(VLOOKUP($B59,'B-1 On-Site Hedge Baseline'!$B$1:$L$257,3,FALSE)),"",(VLOOKUP($B59,'B-1 On-Site Hedge Baseline'!$B$1:$L$257,3,FALSE))))</f>
        <v/>
      </c>
      <c r="D59" s="310" t="str">
        <f>IF(B59="","",IF(ISNA(VLOOKUP($B59,'B-1 On-Site Hedge Baseline'!$B$1:$L$257,4,FALSE)),"",(VLOOKUP($B59,'B-1 On-Site Hedge Baseline'!$B$1:$L$257,4,FALSE))))</f>
        <v/>
      </c>
      <c r="E59" s="310" t="str">
        <f>IF(B59="","",IF(ISNA(VLOOKUP($B59,'B-1 On-Site Hedge Baseline'!$B$1:$L$257,5,FALSE)),"",(VLOOKUP($B59,'B-1 On-Site Hedge Baseline'!$B$1:$L$257,5,FALSE))))</f>
        <v/>
      </c>
      <c r="F59" s="310" t="str">
        <f>IF(B59="","",IF(ISNA(VLOOKUP($B59,'B-1 On-Site Hedge Baseline'!$B$1:$L$257,6,FALSE)),"",(VLOOKUP($B59,'B-1 On-Site Hedge Baseline'!$B$1:$L$257,6,FALSE))))</f>
        <v/>
      </c>
      <c r="G59" s="310" t="str">
        <f>IF(B59="","",IF(ISNA(VLOOKUP($B59,'B-1 On-Site Hedge Baseline'!$B$1:$L$257,7,FALSE)),"",(VLOOKUP($B59,'B-1 On-Site Hedge Baseline'!$B$1:$L$257,7,FALSE))))</f>
        <v/>
      </c>
      <c r="H59" s="310" t="str">
        <f>IF(B59="","",IF(ISNA(VLOOKUP($B59,'B-1 On-Site Hedge Baseline'!$B$1:$L$257,8,FALSE)),"",(VLOOKUP($B59,'B-1 On-Site Hedge Baseline'!$B$1:$L$257,8,FALSE))))</f>
        <v/>
      </c>
      <c r="I59" s="310" t="str">
        <f>IF(B59="","",IF(ISNA(VLOOKUP($B59,'B-1 On-Site Hedge Baseline'!$B$1:$L$257,10,FALSE)),"",(VLOOKUP($B59,'B-1 On-Site Hedge Baseline'!$B$1:$L$257,10,FALSE))))</f>
        <v/>
      </c>
      <c r="J59" s="310" t="str">
        <f>IF(B59="","",IF(ISNA(VLOOKUP($B59,'B-1 On-Site Hedge Baseline'!$B$1:$L$257,11,FALSE)),"",(VLOOKUP($B59,'B-1 On-Site Hedge Baseline'!$B$1:$L$257,11,FALSE))))</f>
        <v/>
      </c>
      <c r="K59" s="310" t="str">
        <f>IF(B59="","",IF(ISNA(VLOOKUP($B59,'B-1 On-Site Hedge Baseline'!$B$1:$U$257,13,FALSE)),"",(VLOOKUP($B59,'B-1 On-Site Hedge Baseline'!$B$1:$U$257,13,FALSE))))</f>
        <v/>
      </c>
      <c r="L59" s="314" t="str">
        <f>IF(B59="","",IF(ISNA(VLOOKUP($B59,'B-1 On-Site Hedge Baseline'!$B$1:$U$257,12,FALSE)),"",(VLOOKUP($B59,'B-1 On-Site Hedge Baseline'!$B$1:$U$257,12,FALSE))))</f>
        <v/>
      </c>
      <c r="M59" s="583"/>
      <c r="N59" s="290" t="str">
        <f>IFERROR(IF(B59="","",INDEX('G-6 Hedgerow Data'!$AN$3:$AZ$15,MATCH(C59,'G-6 Hedgerow Data'!$AM$3:$AM$15,0),MATCH(M59,'G-6 Hedgerow Data'!$AN$2:$AZ$2,0))),"")</f>
        <v/>
      </c>
      <c r="O59" s="291" t="str">
        <f t="shared" si="1"/>
        <v/>
      </c>
      <c r="P59" s="341" t="str">
        <f>IF(B59="","",VLOOKUP(B59,'B-1 On-Site Hedge Baseline'!$B$10:T304,16,FALSE))</f>
        <v/>
      </c>
      <c r="Q59" s="290" t="str">
        <f>IF(M59="","",VLOOKUP(M59,'G-6 Hedgerow Data'!$B$2:$AG$15,2,FALSE))</f>
        <v/>
      </c>
      <c r="R59" s="291" t="str">
        <f>IF(M59="","",VLOOKUP(M59,'G-6 Hedgerow Data'!$B$2:$AG$15,3,FALSE))</f>
        <v/>
      </c>
      <c r="S59" s="106"/>
      <c r="T59" s="328" t="str">
        <f>IFERROR(IF(S59="","",IF(AND(M59="Non-native and ornamental hedgerow", S59&lt;&gt;"Poor"),"Not possible ▲", (VLOOKUP(S59,'G-1 All Habitats'!$Z$2:$AA$9,2,FALSE)))),"")</f>
        <v/>
      </c>
      <c r="U59" s="103"/>
      <c r="V59" s="310" t="str">
        <f>IF(U59="","",IF(VLOOKUP(U59,'G-3 Multipliers'!$L$3:$N$6,2,FALSE)=0,"Spatial Data Missing ⚠",VLOOKUP(U59,'G-3 Multipliers'!$L$3:$N$6,2,FALSE)))</f>
        <v/>
      </c>
      <c r="W59" s="314" t="str">
        <f>IF(U59="","",IF(VLOOKUP(U59,'G-3 Multipliers'!$L$3:$N$6,3,FALSE)=0,"Spatial Data Missing ⚠",VLOOKUP(U59,'G-3 Multipliers'!$L$3:$N$6,3,FALSE)))</f>
        <v/>
      </c>
      <c r="X59" s="290" t="str">
        <f>IFERROR(IF(OR(LEFT(O59,5)="Error",LEFT(N59,5)="Error",T59="Error"),"Check Data ⚠",IF(F59&lt;R59,INDEX('G-6 Hedgerow Data'!$S$3:$AE$14,MATCH(C59,'G-6 Hedgerow Data'!$B$3:$B$14,0),MATCH(M59,'G-6 Hedgerow Data'!$S$2:$AE$2,0)),INDEX('G-6 Hedgerow Data'!$K$3:$Q$14,MATCH(M59,'G-6 Hedgerow Data'!$B$3:$B$14,0),MATCH(O59,'G-6 Hedgerow Data'!$K$2:$Q$2,0)))),"")</f>
        <v/>
      </c>
      <c r="Y59" s="138"/>
      <c r="Z59" s="138"/>
      <c r="AA59" s="298" t="str">
        <f t="shared" si="2"/>
        <v/>
      </c>
      <c r="AB59" s="311" t="str">
        <f t="shared" si="3"/>
        <v/>
      </c>
      <c r="AC59" s="312" t="str">
        <f t="shared" si="0"/>
        <v/>
      </c>
      <c r="AD59" s="325" t="str">
        <f>IF(M59="","",VLOOKUP(M59,'G-6 Hedgerow Data'!$B$3:$AG$15,31,FALSE))</f>
        <v/>
      </c>
      <c r="AE59" s="298" t="str">
        <f t="shared" si="4"/>
        <v/>
      </c>
      <c r="AF59" s="298" t="str">
        <f t="shared" si="5"/>
        <v/>
      </c>
      <c r="AG59" s="314" t="str">
        <f>IFERROR(IF(O59="","",VLOOKUP(AD59,'G-3 Multipliers'!$P$3:$Q$6,2,FALSE)),"")</f>
        <v/>
      </c>
      <c r="AH59" s="304" t="str">
        <f t="shared" si="6"/>
        <v/>
      </c>
      <c r="AI59" s="157"/>
      <c r="AJ59" s="99"/>
      <c r="AK59" s="101"/>
      <c r="AT59" s="15" t="str">
        <f>IFERROR(INDEX('G-6 Hedgerow Data'!$BJ$3:$BJ$15,MATCH(M59,'G-6 Hedgerow Data'!$B$3:$B$15,0)),"")</f>
        <v/>
      </c>
    </row>
    <row r="60" spans="2:46" ht="14" x14ac:dyDescent="0.3">
      <c r="B60" s="319" t="str">
        <f>'B-1 On-Site Hedge Baseline'!AK58</f>
        <v/>
      </c>
      <c r="C60" s="310" t="str">
        <f>IF(B60="","",IF(ISNA(VLOOKUP($B60,'B-1 On-Site Hedge Baseline'!$B$1:$L$257,3,FALSE)),"",(VLOOKUP($B60,'B-1 On-Site Hedge Baseline'!$B$1:$L$257,3,FALSE))))</f>
        <v/>
      </c>
      <c r="D60" s="310" t="str">
        <f>IF(B60="","",IF(ISNA(VLOOKUP($B60,'B-1 On-Site Hedge Baseline'!$B$1:$L$257,4,FALSE)),"",(VLOOKUP($B60,'B-1 On-Site Hedge Baseline'!$B$1:$L$257,4,FALSE))))</f>
        <v/>
      </c>
      <c r="E60" s="310" t="str">
        <f>IF(B60="","",IF(ISNA(VLOOKUP($B60,'B-1 On-Site Hedge Baseline'!$B$1:$L$257,5,FALSE)),"",(VLOOKUP($B60,'B-1 On-Site Hedge Baseline'!$B$1:$L$257,5,FALSE))))</f>
        <v/>
      </c>
      <c r="F60" s="310" t="str">
        <f>IF(B60="","",IF(ISNA(VLOOKUP($B60,'B-1 On-Site Hedge Baseline'!$B$1:$L$257,6,FALSE)),"",(VLOOKUP($B60,'B-1 On-Site Hedge Baseline'!$B$1:$L$257,6,FALSE))))</f>
        <v/>
      </c>
      <c r="G60" s="310" t="str">
        <f>IF(B60="","",IF(ISNA(VLOOKUP($B60,'B-1 On-Site Hedge Baseline'!$B$1:$L$257,7,FALSE)),"",(VLOOKUP($B60,'B-1 On-Site Hedge Baseline'!$B$1:$L$257,7,FALSE))))</f>
        <v/>
      </c>
      <c r="H60" s="310" t="str">
        <f>IF(B60="","",IF(ISNA(VLOOKUP($B60,'B-1 On-Site Hedge Baseline'!$B$1:$L$257,8,FALSE)),"",(VLOOKUP($B60,'B-1 On-Site Hedge Baseline'!$B$1:$L$257,8,FALSE))))</f>
        <v/>
      </c>
      <c r="I60" s="310" t="str">
        <f>IF(B60="","",IF(ISNA(VLOOKUP($B60,'B-1 On-Site Hedge Baseline'!$B$1:$L$257,10,FALSE)),"",(VLOOKUP($B60,'B-1 On-Site Hedge Baseline'!$B$1:$L$257,10,FALSE))))</f>
        <v/>
      </c>
      <c r="J60" s="310" t="str">
        <f>IF(B60="","",IF(ISNA(VLOOKUP($B60,'B-1 On-Site Hedge Baseline'!$B$1:$L$257,11,FALSE)),"",(VLOOKUP($B60,'B-1 On-Site Hedge Baseline'!$B$1:$L$257,11,FALSE))))</f>
        <v/>
      </c>
      <c r="K60" s="310" t="str">
        <f>IF(B60="","",IF(ISNA(VLOOKUP($B60,'B-1 On-Site Hedge Baseline'!$B$1:$U$257,13,FALSE)),"",(VLOOKUP($B60,'B-1 On-Site Hedge Baseline'!$B$1:$U$257,13,FALSE))))</f>
        <v/>
      </c>
      <c r="L60" s="314" t="str">
        <f>IF(B60="","",IF(ISNA(VLOOKUP($B60,'B-1 On-Site Hedge Baseline'!$B$1:$U$257,12,FALSE)),"",(VLOOKUP($B60,'B-1 On-Site Hedge Baseline'!$B$1:$U$257,12,FALSE))))</f>
        <v/>
      </c>
      <c r="M60" s="583"/>
      <c r="N60" s="290" t="str">
        <f>IFERROR(IF(B60="","",INDEX('G-6 Hedgerow Data'!$AN$3:$AZ$15,MATCH(C60,'G-6 Hedgerow Data'!$AM$3:$AM$15,0),MATCH(M60,'G-6 Hedgerow Data'!$AN$2:$AZ$2,0))),"")</f>
        <v/>
      </c>
      <c r="O60" s="291" t="str">
        <f t="shared" si="1"/>
        <v/>
      </c>
      <c r="P60" s="341" t="str">
        <f>IF(B60="","",VLOOKUP(B60,'B-1 On-Site Hedge Baseline'!$B$10:T305,16,FALSE))</f>
        <v/>
      </c>
      <c r="Q60" s="290" t="str">
        <f>IF(M60="","",VLOOKUP(M60,'G-6 Hedgerow Data'!$B$2:$AG$15,2,FALSE))</f>
        <v/>
      </c>
      <c r="R60" s="291" t="str">
        <f>IF(M60="","",VLOOKUP(M60,'G-6 Hedgerow Data'!$B$2:$AG$15,3,FALSE))</f>
        <v/>
      </c>
      <c r="S60" s="106"/>
      <c r="T60" s="328" t="str">
        <f>IFERROR(IF(S60="","",IF(AND(M60="Non-native and ornamental hedgerow", S60&lt;&gt;"Poor"),"Not possible ▲", (VLOOKUP(S60,'G-1 All Habitats'!$Z$2:$AA$9,2,FALSE)))),"")</f>
        <v/>
      </c>
      <c r="U60" s="103"/>
      <c r="V60" s="310" t="str">
        <f>IF(U60="","",IF(VLOOKUP(U60,'G-3 Multipliers'!$L$3:$N$6,2,FALSE)=0,"Spatial Data Missing ⚠",VLOOKUP(U60,'G-3 Multipliers'!$L$3:$N$6,2,FALSE)))</f>
        <v/>
      </c>
      <c r="W60" s="314" t="str">
        <f>IF(U60="","",IF(VLOOKUP(U60,'G-3 Multipliers'!$L$3:$N$6,3,FALSE)=0,"Spatial Data Missing ⚠",VLOOKUP(U60,'G-3 Multipliers'!$L$3:$N$6,3,FALSE)))</f>
        <v/>
      </c>
      <c r="X60" s="290" t="str">
        <f>IFERROR(IF(OR(LEFT(O60,5)="Error",LEFT(N60,5)="Error",T60="Error"),"Check Data ⚠",IF(F60&lt;R60,INDEX('G-6 Hedgerow Data'!$S$3:$AE$14,MATCH(C60,'G-6 Hedgerow Data'!$B$3:$B$14,0),MATCH(M60,'G-6 Hedgerow Data'!$S$2:$AE$2,0)),INDEX('G-6 Hedgerow Data'!$K$3:$Q$14,MATCH(M60,'G-6 Hedgerow Data'!$B$3:$B$14,0),MATCH(O60,'G-6 Hedgerow Data'!$K$2:$Q$2,0)))),"")</f>
        <v/>
      </c>
      <c r="Y60" s="138"/>
      <c r="Z60" s="138"/>
      <c r="AA60" s="298" t="str">
        <f t="shared" si="2"/>
        <v/>
      </c>
      <c r="AB60" s="311" t="str">
        <f t="shared" si="3"/>
        <v/>
      </c>
      <c r="AC60" s="312" t="str">
        <f t="shared" si="0"/>
        <v/>
      </c>
      <c r="AD60" s="325" t="str">
        <f>IF(M60="","",VLOOKUP(M60,'G-6 Hedgerow Data'!$B$3:$AG$15,31,FALSE))</f>
        <v/>
      </c>
      <c r="AE60" s="298" t="str">
        <f t="shared" si="4"/>
        <v/>
      </c>
      <c r="AF60" s="298" t="str">
        <f t="shared" si="5"/>
        <v/>
      </c>
      <c r="AG60" s="314" t="str">
        <f>IFERROR(IF(O60="","",VLOOKUP(AD60,'G-3 Multipliers'!$P$3:$Q$6,2,FALSE)),"")</f>
        <v/>
      </c>
      <c r="AH60" s="304" t="str">
        <f t="shared" si="6"/>
        <v/>
      </c>
      <c r="AI60" s="157"/>
      <c r="AJ60" s="99"/>
      <c r="AK60" s="101"/>
      <c r="AT60" s="15" t="str">
        <f>IFERROR(INDEX('G-6 Hedgerow Data'!$BJ$3:$BJ$15,MATCH(M60,'G-6 Hedgerow Data'!$B$3:$B$15,0)),"")</f>
        <v/>
      </c>
    </row>
    <row r="61" spans="2:46" ht="14" x14ac:dyDescent="0.3">
      <c r="B61" s="319" t="str">
        <f>'B-1 On-Site Hedge Baseline'!AK59</f>
        <v/>
      </c>
      <c r="C61" s="310" t="str">
        <f>IF(B61="","",IF(ISNA(VLOOKUP($B61,'B-1 On-Site Hedge Baseline'!$B$1:$L$257,3,FALSE)),"",(VLOOKUP($B61,'B-1 On-Site Hedge Baseline'!$B$1:$L$257,3,FALSE))))</f>
        <v/>
      </c>
      <c r="D61" s="310" t="str">
        <f>IF(B61="","",IF(ISNA(VLOOKUP($B61,'B-1 On-Site Hedge Baseline'!$B$1:$L$257,4,FALSE)),"",(VLOOKUP($B61,'B-1 On-Site Hedge Baseline'!$B$1:$L$257,4,FALSE))))</f>
        <v/>
      </c>
      <c r="E61" s="310" t="str">
        <f>IF(B61="","",IF(ISNA(VLOOKUP($B61,'B-1 On-Site Hedge Baseline'!$B$1:$L$257,5,FALSE)),"",(VLOOKUP($B61,'B-1 On-Site Hedge Baseline'!$B$1:$L$257,5,FALSE))))</f>
        <v/>
      </c>
      <c r="F61" s="310" t="str">
        <f>IF(B61="","",IF(ISNA(VLOOKUP($B61,'B-1 On-Site Hedge Baseline'!$B$1:$L$257,6,FALSE)),"",(VLOOKUP($B61,'B-1 On-Site Hedge Baseline'!$B$1:$L$257,6,FALSE))))</f>
        <v/>
      </c>
      <c r="G61" s="310" t="str">
        <f>IF(B61="","",IF(ISNA(VLOOKUP($B61,'B-1 On-Site Hedge Baseline'!$B$1:$L$257,7,FALSE)),"",(VLOOKUP($B61,'B-1 On-Site Hedge Baseline'!$B$1:$L$257,7,FALSE))))</f>
        <v/>
      </c>
      <c r="H61" s="310" t="str">
        <f>IF(B61="","",IF(ISNA(VLOOKUP($B61,'B-1 On-Site Hedge Baseline'!$B$1:$L$257,8,FALSE)),"",(VLOOKUP($B61,'B-1 On-Site Hedge Baseline'!$B$1:$L$257,8,FALSE))))</f>
        <v/>
      </c>
      <c r="I61" s="310" t="str">
        <f>IF(B61="","",IF(ISNA(VLOOKUP($B61,'B-1 On-Site Hedge Baseline'!$B$1:$L$257,10,FALSE)),"",(VLOOKUP($B61,'B-1 On-Site Hedge Baseline'!$B$1:$L$257,10,FALSE))))</f>
        <v/>
      </c>
      <c r="J61" s="310" t="str">
        <f>IF(B61="","",IF(ISNA(VLOOKUP($B61,'B-1 On-Site Hedge Baseline'!$B$1:$L$257,11,FALSE)),"",(VLOOKUP($B61,'B-1 On-Site Hedge Baseline'!$B$1:$L$257,11,FALSE))))</f>
        <v/>
      </c>
      <c r="K61" s="310" t="str">
        <f>IF(B61="","",IF(ISNA(VLOOKUP($B61,'B-1 On-Site Hedge Baseline'!$B$1:$U$257,13,FALSE)),"",(VLOOKUP($B61,'B-1 On-Site Hedge Baseline'!$B$1:$U$257,13,FALSE))))</f>
        <v/>
      </c>
      <c r="L61" s="314" t="str">
        <f>IF(B61="","",IF(ISNA(VLOOKUP($B61,'B-1 On-Site Hedge Baseline'!$B$1:$U$257,12,FALSE)),"",(VLOOKUP($B61,'B-1 On-Site Hedge Baseline'!$B$1:$U$257,12,FALSE))))</f>
        <v/>
      </c>
      <c r="M61" s="583"/>
      <c r="N61" s="290" t="str">
        <f>IFERROR(IF(B61="","",INDEX('G-6 Hedgerow Data'!$AN$3:$AZ$15,MATCH(C61,'G-6 Hedgerow Data'!$AM$3:$AM$15,0),MATCH(M61,'G-6 Hedgerow Data'!$AN$2:$AZ$2,0))),"")</f>
        <v/>
      </c>
      <c r="O61" s="291" t="str">
        <f t="shared" si="1"/>
        <v/>
      </c>
      <c r="P61" s="341" t="str">
        <f>IF(B61="","",VLOOKUP(B61,'B-1 On-Site Hedge Baseline'!$B$10:T306,16,FALSE))</f>
        <v/>
      </c>
      <c r="Q61" s="290" t="str">
        <f>IF(M61="","",VLOOKUP(M61,'G-6 Hedgerow Data'!$B$2:$AG$15,2,FALSE))</f>
        <v/>
      </c>
      <c r="R61" s="291" t="str">
        <f>IF(M61="","",VLOOKUP(M61,'G-6 Hedgerow Data'!$B$2:$AG$15,3,FALSE))</f>
        <v/>
      </c>
      <c r="S61" s="106"/>
      <c r="T61" s="328" t="str">
        <f>IFERROR(IF(S61="","",IF(AND(M61="Non-native and ornamental hedgerow", S61&lt;&gt;"Poor"),"Not possible ▲", (VLOOKUP(S61,'G-1 All Habitats'!$Z$2:$AA$9,2,FALSE)))),"")</f>
        <v/>
      </c>
      <c r="U61" s="103"/>
      <c r="V61" s="310" t="str">
        <f>IF(U61="","",IF(VLOOKUP(U61,'G-3 Multipliers'!$L$3:$N$6,2,FALSE)=0,"Spatial Data Missing ⚠",VLOOKUP(U61,'G-3 Multipliers'!$L$3:$N$6,2,FALSE)))</f>
        <v/>
      </c>
      <c r="W61" s="314" t="str">
        <f>IF(U61="","",IF(VLOOKUP(U61,'G-3 Multipliers'!$L$3:$N$6,3,FALSE)=0,"Spatial Data Missing ⚠",VLOOKUP(U61,'G-3 Multipliers'!$L$3:$N$6,3,FALSE)))</f>
        <v/>
      </c>
      <c r="X61" s="290" t="str">
        <f>IFERROR(IF(OR(LEFT(O61,5)="Error",LEFT(N61,5)="Error",T61="Error"),"Check Data ⚠",IF(F61&lt;R61,INDEX('G-6 Hedgerow Data'!$S$3:$AE$14,MATCH(C61,'G-6 Hedgerow Data'!$B$3:$B$14,0),MATCH(M61,'G-6 Hedgerow Data'!$S$2:$AE$2,0)),INDEX('G-6 Hedgerow Data'!$K$3:$Q$14,MATCH(M61,'G-6 Hedgerow Data'!$B$3:$B$14,0),MATCH(O61,'G-6 Hedgerow Data'!$K$2:$Q$2,0)))),"")</f>
        <v/>
      </c>
      <c r="Y61" s="138"/>
      <c r="Z61" s="138"/>
      <c r="AA61" s="298" t="str">
        <f t="shared" si="2"/>
        <v/>
      </c>
      <c r="AB61" s="311" t="str">
        <f t="shared" si="3"/>
        <v/>
      </c>
      <c r="AC61" s="312" t="str">
        <f t="shared" si="0"/>
        <v/>
      </c>
      <c r="AD61" s="325" t="str">
        <f>IF(M61="","",VLOOKUP(M61,'G-6 Hedgerow Data'!$B$3:$AG$15,31,FALSE))</f>
        <v/>
      </c>
      <c r="AE61" s="298" t="str">
        <f t="shared" si="4"/>
        <v/>
      </c>
      <c r="AF61" s="298" t="str">
        <f t="shared" si="5"/>
        <v/>
      </c>
      <c r="AG61" s="314" t="str">
        <f>IFERROR(IF(O61="","",VLOOKUP(AD61,'G-3 Multipliers'!$P$3:$Q$6,2,FALSE)),"")</f>
        <v/>
      </c>
      <c r="AH61" s="304" t="str">
        <f t="shared" si="6"/>
        <v/>
      </c>
      <c r="AI61" s="157"/>
      <c r="AJ61" s="99"/>
      <c r="AK61" s="101"/>
      <c r="AT61" s="15" t="str">
        <f>IFERROR(INDEX('G-6 Hedgerow Data'!$BJ$3:$BJ$15,MATCH(M61,'G-6 Hedgerow Data'!$B$3:$B$15,0)),"")</f>
        <v/>
      </c>
    </row>
    <row r="62" spans="2:46" ht="14" x14ac:dyDescent="0.3">
      <c r="B62" s="319" t="str">
        <f>'B-1 On-Site Hedge Baseline'!AK60</f>
        <v/>
      </c>
      <c r="C62" s="310" t="str">
        <f>IF(B62="","",IF(ISNA(VLOOKUP($B62,'B-1 On-Site Hedge Baseline'!$B$1:$L$257,3,FALSE)),"",(VLOOKUP($B62,'B-1 On-Site Hedge Baseline'!$B$1:$L$257,3,FALSE))))</f>
        <v/>
      </c>
      <c r="D62" s="310" t="str">
        <f>IF(B62="","",IF(ISNA(VLOOKUP($B62,'B-1 On-Site Hedge Baseline'!$B$1:$L$257,4,FALSE)),"",(VLOOKUP($B62,'B-1 On-Site Hedge Baseline'!$B$1:$L$257,4,FALSE))))</f>
        <v/>
      </c>
      <c r="E62" s="310" t="str">
        <f>IF(B62="","",IF(ISNA(VLOOKUP($B62,'B-1 On-Site Hedge Baseline'!$B$1:$L$257,5,FALSE)),"",(VLOOKUP($B62,'B-1 On-Site Hedge Baseline'!$B$1:$L$257,5,FALSE))))</f>
        <v/>
      </c>
      <c r="F62" s="310" t="str">
        <f>IF(B62="","",IF(ISNA(VLOOKUP($B62,'B-1 On-Site Hedge Baseline'!$B$1:$L$257,6,FALSE)),"",(VLOOKUP($B62,'B-1 On-Site Hedge Baseline'!$B$1:$L$257,6,FALSE))))</f>
        <v/>
      </c>
      <c r="G62" s="310" t="str">
        <f>IF(B62="","",IF(ISNA(VLOOKUP($B62,'B-1 On-Site Hedge Baseline'!$B$1:$L$257,7,FALSE)),"",(VLOOKUP($B62,'B-1 On-Site Hedge Baseline'!$B$1:$L$257,7,FALSE))))</f>
        <v/>
      </c>
      <c r="H62" s="310" t="str">
        <f>IF(B62="","",IF(ISNA(VLOOKUP($B62,'B-1 On-Site Hedge Baseline'!$B$1:$L$257,8,FALSE)),"",(VLOOKUP($B62,'B-1 On-Site Hedge Baseline'!$B$1:$L$257,8,FALSE))))</f>
        <v/>
      </c>
      <c r="I62" s="310" t="str">
        <f>IF(B62="","",IF(ISNA(VLOOKUP($B62,'B-1 On-Site Hedge Baseline'!$B$1:$L$257,10,FALSE)),"",(VLOOKUP($B62,'B-1 On-Site Hedge Baseline'!$B$1:$L$257,10,FALSE))))</f>
        <v/>
      </c>
      <c r="J62" s="310" t="str">
        <f>IF(B62="","",IF(ISNA(VLOOKUP($B62,'B-1 On-Site Hedge Baseline'!$B$1:$L$257,11,FALSE)),"",(VLOOKUP($B62,'B-1 On-Site Hedge Baseline'!$B$1:$L$257,11,FALSE))))</f>
        <v/>
      </c>
      <c r="K62" s="310" t="str">
        <f>IF(B62="","",IF(ISNA(VLOOKUP($B62,'B-1 On-Site Hedge Baseline'!$B$1:$U$257,13,FALSE)),"",(VLOOKUP($B62,'B-1 On-Site Hedge Baseline'!$B$1:$U$257,13,FALSE))))</f>
        <v/>
      </c>
      <c r="L62" s="314" t="str">
        <f>IF(B62="","",IF(ISNA(VLOOKUP($B62,'B-1 On-Site Hedge Baseline'!$B$1:$U$257,12,FALSE)),"",(VLOOKUP($B62,'B-1 On-Site Hedge Baseline'!$B$1:$U$257,12,FALSE))))</f>
        <v/>
      </c>
      <c r="M62" s="583"/>
      <c r="N62" s="290" t="str">
        <f>IFERROR(IF(B62="","",INDEX('G-6 Hedgerow Data'!$AN$3:$AZ$15,MATCH(C62,'G-6 Hedgerow Data'!$AM$3:$AM$15,0),MATCH(M62,'G-6 Hedgerow Data'!$AN$2:$AZ$2,0))),"")</f>
        <v/>
      </c>
      <c r="O62" s="291" t="str">
        <f t="shared" si="1"/>
        <v/>
      </c>
      <c r="P62" s="341" t="str">
        <f>IF(B62="","",VLOOKUP(B62,'B-1 On-Site Hedge Baseline'!$B$10:T307,16,FALSE))</f>
        <v/>
      </c>
      <c r="Q62" s="290" t="str">
        <f>IF(M62="","",VLOOKUP(M62,'G-6 Hedgerow Data'!$B$2:$AG$15,2,FALSE))</f>
        <v/>
      </c>
      <c r="R62" s="291" t="str">
        <f>IF(M62="","",VLOOKUP(M62,'G-6 Hedgerow Data'!$B$2:$AG$15,3,FALSE))</f>
        <v/>
      </c>
      <c r="S62" s="106"/>
      <c r="T62" s="328" t="str">
        <f>IFERROR(IF(S62="","",IF(AND(M62="Non-native and ornamental hedgerow", S62&lt;&gt;"Poor"),"Not possible ▲", (VLOOKUP(S62,'G-1 All Habitats'!$Z$2:$AA$9,2,FALSE)))),"")</f>
        <v/>
      </c>
      <c r="U62" s="103"/>
      <c r="V62" s="310" t="str">
        <f>IF(U62="","",IF(VLOOKUP(U62,'G-3 Multipliers'!$L$3:$N$6,2,FALSE)=0,"Spatial Data Missing ⚠",VLOOKUP(U62,'G-3 Multipliers'!$L$3:$N$6,2,FALSE)))</f>
        <v/>
      </c>
      <c r="W62" s="314" t="str">
        <f>IF(U62="","",IF(VLOOKUP(U62,'G-3 Multipliers'!$L$3:$N$6,3,FALSE)=0,"Spatial Data Missing ⚠",VLOOKUP(U62,'G-3 Multipliers'!$L$3:$N$6,3,FALSE)))</f>
        <v/>
      </c>
      <c r="X62" s="290" t="str">
        <f>IFERROR(IF(OR(LEFT(O62,5)="Error",LEFT(N62,5)="Error",T62="Error"),"Check Data ⚠",IF(F62&lt;R62,INDEX('G-6 Hedgerow Data'!$S$3:$AE$14,MATCH(C62,'G-6 Hedgerow Data'!$B$3:$B$14,0),MATCH(M62,'G-6 Hedgerow Data'!$S$2:$AE$2,0)),INDEX('G-6 Hedgerow Data'!$K$3:$Q$14,MATCH(M62,'G-6 Hedgerow Data'!$B$3:$B$14,0),MATCH(O62,'G-6 Hedgerow Data'!$K$2:$Q$2,0)))),"")</f>
        <v/>
      </c>
      <c r="Y62" s="138"/>
      <c r="Z62" s="138"/>
      <c r="AA62" s="298" t="str">
        <f t="shared" si="2"/>
        <v/>
      </c>
      <c r="AB62" s="311" t="str">
        <f t="shared" si="3"/>
        <v/>
      </c>
      <c r="AC62" s="312" t="str">
        <f t="shared" si="0"/>
        <v/>
      </c>
      <c r="AD62" s="325" t="str">
        <f>IF(M62="","",VLOOKUP(M62,'G-6 Hedgerow Data'!$B$3:$AG$15,31,FALSE))</f>
        <v/>
      </c>
      <c r="AE62" s="298" t="str">
        <f t="shared" si="4"/>
        <v/>
      </c>
      <c r="AF62" s="298" t="str">
        <f t="shared" si="5"/>
        <v/>
      </c>
      <c r="AG62" s="314" t="str">
        <f>IFERROR(IF(O62="","",VLOOKUP(AD62,'G-3 Multipliers'!$P$3:$Q$6,2,FALSE)),"")</f>
        <v/>
      </c>
      <c r="AH62" s="304" t="str">
        <f t="shared" si="6"/>
        <v/>
      </c>
      <c r="AI62" s="157"/>
      <c r="AJ62" s="99"/>
      <c r="AK62" s="101"/>
      <c r="AT62" s="15" t="str">
        <f>IFERROR(INDEX('G-6 Hedgerow Data'!$BJ$3:$BJ$15,MATCH(M62,'G-6 Hedgerow Data'!$B$3:$B$15,0)),"")</f>
        <v/>
      </c>
    </row>
    <row r="63" spans="2:46" ht="14" x14ac:dyDescent="0.3">
      <c r="B63" s="319" t="str">
        <f>'B-1 On-Site Hedge Baseline'!AK61</f>
        <v/>
      </c>
      <c r="C63" s="310" t="str">
        <f>IF(B63="","",IF(ISNA(VLOOKUP($B63,'B-1 On-Site Hedge Baseline'!$B$1:$L$257,3,FALSE)),"",(VLOOKUP($B63,'B-1 On-Site Hedge Baseline'!$B$1:$L$257,3,FALSE))))</f>
        <v/>
      </c>
      <c r="D63" s="310" t="str">
        <f>IF(B63="","",IF(ISNA(VLOOKUP($B63,'B-1 On-Site Hedge Baseline'!$B$1:$L$257,4,FALSE)),"",(VLOOKUP($B63,'B-1 On-Site Hedge Baseline'!$B$1:$L$257,4,FALSE))))</f>
        <v/>
      </c>
      <c r="E63" s="310" t="str">
        <f>IF(B63="","",IF(ISNA(VLOOKUP($B63,'B-1 On-Site Hedge Baseline'!$B$1:$L$257,5,FALSE)),"",(VLOOKUP($B63,'B-1 On-Site Hedge Baseline'!$B$1:$L$257,5,FALSE))))</f>
        <v/>
      </c>
      <c r="F63" s="310" t="str">
        <f>IF(B63="","",IF(ISNA(VLOOKUP($B63,'B-1 On-Site Hedge Baseline'!$B$1:$L$257,6,FALSE)),"",(VLOOKUP($B63,'B-1 On-Site Hedge Baseline'!$B$1:$L$257,6,FALSE))))</f>
        <v/>
      </c>
      <c r="G63" s="310" t="str">
        <f>IF(B63="","",IF(ISNA(VLOOKUP($B63,'B-1 On-Site Hedge Baseline'!$B$1:$L$257,7,FALSE)),"",(VLOOKUP($B63,'B-1 On-Site Hedge Baseline'!$B$1:$L$257,7,FALSE))))</f>
        <v/>
      </c>
      <c r="H63" s="310" t="str">
        <f>IF(B63="","",IF(ISNA(VLOOKUP($B63,'B-1 On-Site Hedge Baseline'!$B$1:$L$257,8,FALSE)),"",(VLOOKUP($B63,'B-1 On-Site Hedge Baseline'!$B$1:$L$257,8,FALSE))))</f>
        <v/>
      </c>
      <c r="I63" s="310" t="str">
        <f>IF(B63="","",IF(ISNA(VLOOKUP($B63,'B-1 On-Site Hedge Baseline'!$B$1:$L$257,10,FALSE)),"",(VLOOKUP($B63,'B-1 On-Site Hedge Baseline'!$B$1:$L$257,10,FALSE))))</f>
        <v/>
      </c>
      <c r="J63" s="310" t="str">
        <f>IF(B63="","",IF(ISNA(VLOOKUP($B63,'B-1 On-Site Hedge Baseline'!$B$1:$L$257,11,FALSE)),"",(VLOOKUP($B63,'B-1 On-Site Hedge Baseline'!$B$1:$L$257,11,FALSE))))</f>
        <v/>
      </c>
      <c r="K63" s="310" t="str">
        <f>IF(B63="","",IF(ISNA(VLOOKUP($B63,'B-1 On-Site Hedge Baseline'!$B$1:$U$257,13,FALSE)),"",(VLOOKUP($B63,'B-1 On-Site Hedge Baseline'!$B$1:$U$257,13,FALSE))))</f>
        <v/>
      </c>
      <c r="L63" s="314" t="str">
        <f>IF(B63="","",IF(ISNA(VLOOKUP($B63,'B-1 On-Site Hedge Baseline'!$B$1:$U$257,12,FALSE)),"",(VLOOKUP($B63,'B-1 On-Site Hedge Baseline'!$B$1:$U$257,12,FALSE))))</f>
        <v/>
      </c>
      <c r="M63" s="583"/>
      <c r="N63" s="290" t="str">
        <f>IFERROR(IF(B63="","",INDEX('G-6 Hedgerow Data'!$AN$3:$AZ$15,MATCH(C63,'G-6 Hedgerow Data'!$AM$3:$AM$15,0),MATCH(M63,'G-6 Hedgerow Data'!$AN$2:$AZ$2,0))),"")</f>
        <v/>
      </c>
      <c r="O63" s="291" t="str">
        <f t="shared" si="1"/>
        <v/>
      </c>
      <c r="P63" s="341" t="str">
        <f>IF(B63="","",VLOOKUP(B63,'B-1 On-Site Hedge Baseline'!$B$10:T308,16,FALSE))</f>
        <v/>
      </c>
      <c r="Q63" s="290" t="str">
        <f>IF(M63="","",VLOOKUP(M63,'G-6 Hedgerow Data'!$B$2:$AG$15,2,FALSE))</f>
        <v/>
      </c>
      <c r="R63" s="291" t="str">
        <f>IF(M63="","",VLOOKUP(M63,'G-6 Hedgerow Data'!$B$2:$AG$15,3,FALSE))</f>
        <v/>
      </c>
      <c r="S63" s="106"/>
      <c r="T63" s="328" t="str">
        <f>IFERROR(IF(S63="","",IF(AND(M63="Non-native and ornamental hedgerow", S63&lt;&gt;"Poor"),"Not possible ▲", (VLOOKUP(S63,'G-1 All Habitats'!$Z$2:$AA$9,2,FALSE)))),"")</f>
        <v/>
      </c>
      <c r="U63" s="103"/>
      <c r="V63" s="310" t="str">
        <f>IF(U63="","",IF(VLOOKUP(U63,'G-3 Multipliers'!$L$3:$N$6,2,FALSE)=0,"Spatial Data Missing ⚠",VLOOKUP(U63,'G-3 Multipliers'!$L$3:$N$6,2,FALSE)))</f>
        <v/>
      </c>
      <c r="W63" s="314" t="str">
        <f>IF(U63="","",IF(VLOOKUP(U63,'G-3 Multipliers'!$L$3:$N$6,3,FALSE)=0,"Spatial Data Missing ⚠",VLOOKUP(U63,'G-3 Multipliers'!$L$3:$N$6,3,FALSE)))</f>
        <v/>
      </c>
      <c r="X63" s="290" t="str">
        <f>IFERROR(IF(OR(LEFT(O63,5)="Error",LEFT(N63,5)="Error",T63="Error"),"Check Data ⚠",IF(F63&lt;R63,INDEX('G-6 Hedgerow Data'!$S$3:$AE$14,MATCH(C63,'G-6 Hedgerow Data'!$B$3:$B$14,0),MATCH(M63,'G-6 Hedgerow Data'!$S$2:$AE$2,0)),INDEX('G-6 Hedgerow Data'!$K$3:$Q$14,MATCH(M63,'G-6 Hedgerow Data'!$B$3:$B$14,0),MATCH(O63,'G-6 Hedgerow Data'!$K$2:$Q$2,0)))),"")</f>
        <v/>
      </c>
      <c r="Y63" s="138"/>
      <c r="Z63" s="138"/>
      <c r="AA63" s="298" t="str">
        <f t="shared" si="2"/>
        <v/>
      </c>
      <c r="AB63" s="311" t="str">
        <f t="shared" si="3"/>
        <v/>
      </c>
      <c r="AC63" s="312" t="str">
        <f t="shared" si="0"/>
        <v/>
      </c>
      <c r="AD63" s="325" t="str">
        <f>IF(M63="","",VLOOKUP(M63,'G-6 Hedgerow Data'!$B$3:$AG$15,31,FALSE))</f>
        <v/>
      </c>
      <c r="AE63" s="298" t="str">
        <f t="shared" si="4"/>
        <v/>
      </c>
      <c r="AF63" s="298" t="str">
        <f t="shared" si="5"/>
        <v/>
      </c>
      <c r="AG63" s="314" t="str">
        <f>IFERROR(IF(O63="","",VLOOKUP(AD63,'G-3 Multipliers'!$P$3:$Q$6,2,FALSE)),"")</f>
        <v/>
      </c>
      <c r="AH63" s="304" t="str">
        <f t="shared" si="6"/>
        <v/>
      </c>
      <c r="AI63" s="157"/>
      <c r="AJ63" s="99"/>
      <c r="AK63" s="101"/>
      <c r="AT63" s="15" t="str">
        <f>IFERROR(INDEX('G-6 Hedgerow Data'!$BJ$3:$BJ$15,MATCH(M63,'G-6 Hedgerow Data'!$B$3:$B$15,0)),"")</f>
        <v/>
      </c>
    </row>
    <row r="64" spans="2:46" ht="14" x14ac:dyDescent="0.3">
      <c r="B64" s="319" t="str">
        <f>'B-1 On-Site Hedge Baseline'!AK62</f>
        <v/>
      </c>
      <c r="C64" s="310" t="str">
        <f>IF(B64="","",IF(ISNA(VLOOKUP($B64,'B-1 On-Site Hedge Baseline'!$B$1:$L$257,3,FALSE)),"",(VLOOKUP($B64,'B-1 On-Site Hedge Baseline'!$B$1:$L$257,3,FALSE))))</f>
        <v/>
      </c>
      <c r="D64" s="310" t="str">
        <f>IF(B64="","",IF(ISNA(VLOOKUP($B64,'B-1 On-Site Hedge Baseline'!$B$1:$L$257,4,FALSE)),"",(VLOOKUP($B64,'B-1 On-Site Hedge Baseline'!$B$1:$L$257,4,FALSE))))</f>
        <v/>
      </c>
      <c r="E64" s="310" t="str">
        <f>IF(B64="","",IF(ISNA(VLOOKUP($B64,'B-1 On-Site Hedge Baseline'!$B$1:$L$257,5,FALSE)),"",(VLOOKUP($B64,'B-1 On-Site Hedge Baseline'!$B$1:$L$257,5,FALSE))))</f>
        <v/>
      </c>
      <c r="F64" s="310" t="str">
        <f>IF(B64="","",IF(ISNA(VLOOKUP($B64,'B-1 On-Site Hedge Baseline'!$B$1:$L$257,6,FALSE)),"",(VLOOKUP($B64,'B-1 On-Site Hedge Baseline'!$B$1:$L$257,6,FALSE))))</f>
        <v/>
      </c>
      <c r="G64" s="310" t="str">
        <f>IF(B64="","",IF(ISNA(VLOOKUP($B64,'B-1 On-Site Hedge Baseline'!$B$1:$L$257,7,FALSE)),"",(VLOOKUP($B64,'B-1 On-Site Hedge Baseline'!$B$1:$L$257,7,FALSE))))</f>
        <v/>
      </c>
      <c r="H64" s="310" t="str">
        <f>IF(B64="","",IF(ISNA(VLOOKUP($B64,'B-1 On-Site Hedge Baseline'!$B$1:$L$257,8,FALSE)),"",(VLOOKUP($B64,'B-1 On-Site Hedge Baseline'!$B$1:$L$257,8,FALSE))))</f>
        <v/>
      </c>
      <c r="I64" s="310" t="str">
        <f>IF(B64="","",IF(ISNA(VLOOKUP($B64,'B-1 On-Site Hedge Baseline'!$B$1:$L$257,10,FALSE)),"",(VLOOKUP($B64,'B-1 On-Site Hedge Baseline'!$B$1:$L$257,10,FALSE))))</f>
        <v/>
      </c>
      <c r="J64" s="310" t="str">
        <f>IF(B64="","",IF(ISNA(VLOOKUP($B64,'B-1 On-Site Hedge Baseline'!$B$1:$L$257,11,FALSE)),"",(VLOOKUP($B64,'B-1 On-Site Hedge Baseline'!$B$1:$L$257,11,FALSE))))</f>
        <v/>
      </c>
      <c r="K64" s="310" t="str">
        <f>IF(B64="","",IF(ISNA(VLOOKUP($B64,'B-1 On-Site Hedge Baseline'!$B$1:$U$257,13,FALSE)),"",(VLOOKUP($B64,'B-1 On-Site Hedge Baseline'!$B$1:$U$257,13,FALSE))))</f>
        <v/>
      </c>
      <c r="L64" s="314" t="str">
        <f>IF(B64="","",IF(ISNA(VLOOKUP($B64,'B-1 On-Site Hedge Baseline'!$B$1:$U$257,12,FALSE)),"",(VLOOKUP($B64,'B-1 On-Site Hedge Baseline'!$B$1:$U$257,12,FALSE))))</f>
        <v/>
      </c>
      <c r="M64" s="583"/>
      <c r="N64" s="290" t="str">
        <f>IFERROR(IF(B64="","",INDEX('G-6 Hedgerow Data'!$AN$3:$AZ$15,MATCH(C64,'G-6 Hedgerow Data'!$AM$3:$AM$15,0),MATCH(M64,'G-6 Hedgerow Data'!$AN$2:$AZ$2,0))),"")</f>
        <v/>
      </c>
      <c r="O64" s="291" t="str">
        <f t="shared" si="1"/>
        <v/>
      </c>
      <c r="P64" s="341" t="str">
        <f>IF(B64="","",VLOOKUP(B64,'B-1 On-Site Hedge Baseline'!$B$10:T309,16,FALSE))</f>
        <v/>
      </c>
      <c r="Q64" s="290" t="str">
        <f>IF(M64="","",VLOOKUP(M64,'G-6 Hedgerow Data'!$B$2:$AG$15,2,FALSE))</f>
        <v/>
      </c>
      <c r="R64" s="291" t="str">
        <f>IF(M64="","",VLOOKUP(M64,'G-6 Hedgerow Data'!$B$2:$AG$15,3,FALSE))</f>
        <v/>
      </c>
      <c r="S64" s="106"/>
      <c r="T64" s="328" t="str">
        <f>IFERROR(IF(S64="","",IF(AND(M64="Non-native and ornamental hedgerow", S64&lt;&gt;"Poor"),"Not possible ▲", (VLOOKUP(S64,'G-1 All Habitats'!$Z$2:$AA$9,2,FALSE)))),"")</f>
        <v/>
      </c>
      <c r="U64" s="103"/>
      <c r="V64" s="310" t="str">
        <f>IF(U64="","",IF(VLOOKUP(U64,'G-3 Multipliers'!$L$3:$N$6,2,FALSE)=0,"Spatial Data Missing ⚠",VLOOKUP(U64,'G-3 Multipliers'!$L$3:$N$6,2,FALSE)))</f>
        <v/>
      </c>
      <c r="W64" s="314" t="str">
        <f>IF(U64="","",IF(VLOOKUP(U64,'G-3 Multipliers'!$L$3:$N$6,3,FALSE)=0,"Spatial Data Missing ⚠",VLOOKUP(U64,'G-3 Multipliers'!$L$3:$N$6,3,FALSE)))</f>
        <v/>
      </c>
      <c r="X64" s="290" t="str">
        <f>IFERROR(IF(OR(LEFT(O64,5)="Error",LEFT(N64,5)="Error",T64="Error"),"Check Data ⚠",IF(F64&lt;R64,INDEX('G-6 Hedgerow Data'!$S$3:$AE$14,MATCH(C64,'G-6 Hedgerow Data'!$B$3:$B$14,0),MATCH(M64,'G-6 Hedgerow Data'!$S$2:$AE$2,0)),INDEX('G-6 Hedgerow Data'!$K$3:$Q$14,MATCH(M64,'G-6 Hedgerow Data'!$B$3:$B$14,0),MATCH(O64,'G-6 Hedgerow Data'!$K$2:$Q$2,0)))),"")</f>
        <v/>
      </c>
      <c r="Y64" s="138"/>
      <c r="Z64" s="138"/>
      <c r="AA64" s="298" t="str">
        <f t="shared" si="2"/>
        <v/>
      </c>
      <c r="AB64" s="311" t="str">
        <f t="shared" si="3"/>
        <v/>
      </c>
      <c r="AC64" s="312" t="str">
        <f t="shared" si="0"/>
        <v/>
      </c>
      <c r="AD64" s="325" t="str">
        <f>IF(M64="","",VLOOKUP(M64,'G-6 Hedgerow Data'!$B$3:$AG$15,31,FALSE))</f>
        <v/>
      </c>
      <c r="AE64" s="298" t="str">
        <f t="shared" si="4"/>
        <v/>
      </c>
      <c r="AF64" s="298" t="str">
        <f t="shared" si="5"/>
        <v/>
      </c>
      <c r="AG64" s="314" t="str">
        <f>IFERROR(IF(O64="","",VLOOKUP(AD64,'G-3 Multipliers'!$P$3:$Q$6,2,FALSE)),"")</f>
        <v/>
      </c>
      <c r="AH64" s="304" t="str">
        <f t="shared" si="6"/>
        <v/>
      </c>
      <c r="AI64" s="157"/>
      <c r="AJ64" s="99"/>
      <c r="AK64" s="101"/>
      <c r="AT64" s="15" t="str">
        <f>IFERROR(INDEX('G-6 Hedgerow Data'!$BJ$3:$BJ$15,MATCH(M64,'G-6 Hedgerow Data'!$B$3:$B$15,0)),"")</f>
        <v/>
      </c>
    </row>
    <row r="65" spans="2:46" ht="14" x14ac:dyDescent="0.3">
      <c r="B65" s="319" t="str">
        <f>'B-1 On-Site Hedge Baseline'!AK63</f>
        <v/>
      </c>
      <c r="C65" s="310" t="str">
        <f>IF(B65="","",IF(ISNA(VLOOKUP($B65,'B-1 On-Site Hedge Baseline'!$B$1:$L$257,3,FALSE)),"",(VLOOKUP($B65,'B-1 On-Site Hedge Baseline'!$B$1:$L$257,3,FALSE))))</f>
        <v/>
      </c>
      <c r="D65" s="310" t="str">
        <f>IF(B65="","",IF(ISNA(VLOOKUP($B65,'B-1 On-Site Hedge Baseline'!$B$1:$L$257,4,FALSE)),"",(VLOOKUP($B65,'B-1 On-Site Hedge Baseline'!$B$1:$L$257,4,FALSE))))</f>
        <v/>
      </c>
      <c r="E65" s="310" t="str">
        <f>IF(B65="","",IF(ISNA(VLOOKUP($B65,'B-1 On-Site Hedge Baseline'!$B$1:$L$257,5,FALSE)),"",(VLOOKUP($B65,'B-1 On-Site Hedge Baseline'!$B$1:$L$257,5,FALSE))))</f>
        <v/>
      </c>
      <c r="F65" s="310" t="str">
        <f>IF(B65="","",IF(ISNA(VLOOKUP($B65,'B-1 On-Site Hedge Baseline'!$B$1:$L$257,6,FALSE)),"",(VLOOKUP($B65,'B-1 On-Site Hedge Baseline'!$B$1:$L$257,6,FALSE))))</f>
        <v/>
      </c>
      <c r="G65" s="310" t="str">
        <f>IF(B65="","",IF(ISNA(VLOOKUP($B65,'B-1 On-Site Hedge Baseline'!$B$1:$L$257,7,FALSE)),"",(VLOOKUP($B65,'B-1 On-Site Hedge Baseline'!$B$1:$L$257,7,FALSE))))</f>
        <v/>
      </c>
      <c r="H65" s="310" t="str">
        <f>IF(B65="","",IF(ISNA(VLOOKUP($B65,'B-1 On-Site Hedge Baseline'!$B$1:$L$257,8,FALSE)),"",(VLOOKUP($B65,'B-1 On-Site Hedge Baseline'!$B$1:$L$257,8,FALSE))))</f>
        <v/>
      </c>
      <c r="I65" s="310" t="str">
        <f>IF(B65="","",IF(ISNA(VLOOKUP($B65,'B-1 On-Site Hedge Baseline'!$B$1:$L$257,10,FALSE)),"",(VLOOKUP($B65,'B-1 On-Site Hedge Baseline'!$B$1:$L$257,10,FALSE))))</f>
        <v/>
      </c>
      <c r="J65" s="310" t="str">
        <f>IF(B65="","",IF(ISNA(VLOOKUP($B65,'B-1 On-Site Hedge Baseline'!$B$1:$L$257,11,FALSE)),"",(VLOOKUP($B65,'B-1 On-Site Hedge Baseline'!$B$1:$L$257,11,FALSE))))</f>
        <v/>
      </c>
      <c r="K65" s="310" t="str">
        <f>IF(B65="","",IF(ISNA(VLOOKUP($B65,'B-1 On-Site Hedge Baseline'!$B$1:$U$257,13,FALSE)),"",(VLOOKUP($B65,'B-1 On-Site Hedge Baseline'!$B$1:$U$257,13,FALSE))))</f>
        <v/>
      </c>
      <c r="L65" s="314" t="str">
        <f>IF(B65="","",IF(ISNA(VLOOKUP($B65,'B-1 On-Site Hedge Baseline'!$B$1:$U$257,12,FALSE)),"",(VLOOKUP($B65,'B-1 On-Site Hedge Baseline'!$B$1:$U$257,12,FALSE))))</f>
        <v/>
      </c>
      <c r="M65" s="583"/>
      <c r="N65" s="290" t="str">
        <f>IFERROR(IF(B65="","",INDEX('G-6 Hedgerow Data'!$AN$3:$AZ$15,MATCH(C65,'G-6 Hedgerow Data'!$AM$3:$AM$15,0),MATCH(M65,'G-6 Hedgerow Data'!$AN$2:$AZ$2,0))),"")</f>
        <v/>
      </c>
      <c r="O65" s="291" t="str">
        <f t="shared" si="1"/>
        <v/>
      </c>
      <c r="P65" s="341" t="str">
        <f>IF(B65="","",VLOOKUP(B65,'B-1 On-Site Hedge Baseline'!$B$10:T310,16,FALSE))</f>
        <v/>
      </c>
      <c r="Q65" s="290" t="str">
        <f>IF(M65="","",VLOOKUP(M65,'G-6 Hedgerow Data'!$B$2:$AG$15,2,FALSE))</f>
        <v/>
      </c>
      <c r="R65" s="291" t="str">
        <f>IF(M65="","",VLOOKUP(M65,'G-6 Hedgerow Data'!$B$2:$AG$15,3,FALSE))</f>
        <v/>
      </c>
      <c r="S65" s="106"/>
      <c r="T65" s="328" t="str">
        <f>IFERROR(IF(S65="","",IF(AND(M65="Non-native and ornamental hedgerow", S65&lt;&gt;"Poor"),"Not possible ▲", (VLOOKUP(S65,'G-1 All Habitats'!$Z$2:$AA$9,2,FALSE)))),"")</f>
        <v/>
      </c>
      <c r="U65" s="103"/>
      <c r="V65" s="310" t="str">
        <f>IF(U65="","",IF(VLOOKUP(U65,'G-3 Multipliers'!$L$3:$N$6,2,FALSE)=0,"Spatial Data Missing ⚠",VLOOKUP(U65,'G-3 Multipliers'!$L$3:$N$6,2,FALSE)))</f>
        <v/>
      </c>
      <c r="W65" s="314" t="str">
        <f>IF(U65="","",IF(VLOOKUP(U65,'G-3 Multipliers'!$L$3:$N$6,3,FALSE)=0,"Spatial Data Missing ⚠",VLOOKUP(U65,'G-3 Multipliers'!$L$3:$N$6,3,FALSE)))</f>
        <v/>
      </c>
      <c r="X65" s="290" t="str">
        <f>IFERROR(IF(OR(LEFT(O65,5)="Error",LEFT(N65,5)="Error",T65="Error"),"Check Data ⚠",IF(F65&lt;R65,INDEX('G-6 Hedgerow Data'!$S$3:$AE$14,MATCH(C65,'G-6 Hedgerow Data'!$B$3:$B$14,0),MATCH(M65,'G-6 Hedgerow Data'!$S$2:$AE$2,0)),INDEX('G-6 Hedgerow Data'!$K$3:$Q$14,MATCH(M65,'G-6 Hedgerow Data'!$B$3:$B$14,0),MATCH(O65,'G-6 Hedgerow Data'!$K$2:$Q$2,0)))),"")</f>
        <v/>
      </c>
      <c r="Y65" s="138"/>
      <c r="Z65" s="138"/>
      <c r="AA65" s="298" t="str">
        <f t="shared" si="2"/>
        <v/>
      </c>
      <c r="AB65" s="311" t="str">
        <f t="shared" si="3"/>
        <v/>
      </c>
      <c r="AC65" s="312" t="str">
        <f t="shared" si="0"/>
        <v/>
      </c>
      <c r="AD65" s="325" t="str">
        <f>IF(M65="","",VLOOKUP(M65,'G-6 Hedgerow Data'!$B$3:$AG$15,31,FALSE))</f>
        <v/>
      </c>
      <c r="AE65" s="298" t="str">
        <f t="shared" si="4"/>
        <v/>
      </c>
      <c r="AF65" s="298" t="str">
        <f t="shared" si="5"/>
        <v/>
      </c>
      <c r="AG65" s="314" t="str">
        <f>IFERROR(IF(O65="","",VLOOKUP(AD65,'G-3 Multipliers'!$P$3:$Q$6,2,FALSE)),"")</f>
        <v/>
      </c>
      <c r="AH65" s="304" t="str">
        <f t="shared" si="6"/>
        <v/>
      </c>
      <c r="AI65" s="157"/>
      <c r="AJ65" s="99"/>
      <c r="AK65" s="101"/>
      <c r="AT65" s="15" t="str">
        <f>IFERROR(INDEX('G-6 Hedgerow Data'!$BJ$3:$BJ$15,MATCH(M65,'G-6 Hedgerow Data'!$B$3:$B$15,0)),"")</f>
        <v/>
      </c>
    </row>
    <row r="66" spans="2:46" ht="14" x14ac:dyDescent="0.3">
      <c r="B66" s="319" t="str">
        <f>'B-1 On-Site Hedge Baseline'!AK64</f>
        <v/>
      </c>
      <c r="C66" s="310" t="str">
        <f>IF(B66="","",IF(ISNA(VLOOKUP($B66,'B-1 On-Site Hedge Baseline'!$B$1:$L$257,3,FALSE)),"",(VLOOKUP($B66,'B-1 On-Site Hedge Baseline'!$B$1:$L$257,3,FALSE))))</f>
        <v/>
      </c>
      <c r="D66" s="310" t="str">
        <f>IF(B66="","",IF(ISNA(VLOOKUP($B66,'B-1 On-Site Hedge Baseline'!$B$1:$L$257,4,FALSE)),"",(VLOOKUP($B66,'B-1 On-Site Hedge Baseline'!$B$1:$L$257,4,FALSE))))</f>
        <v/>
      </c>
      <c r="E66" s="310" t="str">
        <f>IF(B66="","",IF(ISNA(VLOOKUP($B66,'B-1 On-Site Hedge Baseline'!$B$1:$L$257,5,FALSE)),"",(VLOOKUP($B66,'B-1 On-Site Hedge Baseline'!$B$1:$L$257,5,FALSE))))</f>
        <v/>
      </c>
      <c r="F66" s="310" t="str">
        <f>IF(B66="","",IF(ISNA(VLOOKUP($B66,'B-1 On-Site Hedge Baseline'!$B$1:$L$257,6,FALSE)),"",(VLOOKUP($B66,'B-1 On-Site Hedge Baseline'!$B$1:$L$257,6,FALSE))))</f>
        <v/>
      </c>
      <c r="G66" s="310" t="str">
        <f>IF(B66="","",IF(ISNA(VLOOKUP($B66,'B-1 On-Site Hedge Baseline'!$B$1:$L$257,7,FALSE)),"",(VLOOKUP($B66,'B-1 On-Site Hedge Baseline'!$B$1:$L$257,7,FALSE))))</f>
        <v/>
      </c>
      <c r="H66" s="310" t="str">
        <f>IF(B66="","",IF(ISNA(VLOOKUP($B66,'B-1 On-Site Hedge Baseline'!$B$1:$L$257,8,FALSE)),"",(VLOOKUP($B66,'B-1 On-Site Hedge Baseline'!$B$1:$L$257,8,FALSE))))</f>
        <v/>
      </c>
      <c r="I66" s="310" t="str">
        <f>IF(B66="","",IF(ISNA(VLOOKUP($B66,'B-1 On-Site Hedge Baseline'!$B$1:$L$257,10,FALSE)),"",(VLOOKUP($B66,'B-1 On-Site Hedge Baseline'!$B$1:$L$257,10,FALSE))))</f>
        <v/>
      </c>
      <c r="J66" s="310" t="str">
        <f>IF(B66="","",IF(ISNA(VLOOKUP($B66,'B-1 On-Site Hedge Baseline'!$B$1:$L$257,11,FALSE)),"",(VLOOKUP($B66,'B-1 On-Site Hedge Baseline'!$B$1:$L$257,11,FALSE))))</f>
        <v/>
      </c>
      <c r="K66" s="310" t="str">
        <f>IF(B66="","",IF(ISNA(VLOOKUP($B66,'B-1 On-Site Hedge Baseline'!$B$1:$U$257,13,FALSE)),"",(VLOOKUP($B66,'B-1 On-Site Hedge Baseline'!$B$1:$U$257,13,FALSE))))</f>
        <v/>
      </c>
      <c r="L66" s="314" t="str">
        <f>IF(B66="","",IF(ISNA(VLOOKUP($B66,'B-1 On-Site Hedge Baseline'!$B$1:$U$257,12,FALSE)),"",(VLOOKUP($B66,'B-1 On-Site Hedge Baseline'!$B$1:$U$257,12,FALSE))))</f>
        <v/>
      </c>
      <c r="M66" s="583"/>
      <c r="N66" s="290" t="str">
        <f>IFERROR(IF(B66="","",INDEX('G-6 Hedgerow Data'!$AN$3:$AZ$15,MATCH(C66,'G-6 Hedgerow Data'!$AM$3:$AM$15,0),MATCH(M66,'G-6 Hedgerow Data'!$AN$2:$AZ$2,0))),"")</f>
        <v/>
      </c>
      <c r="O66" s="291" t="str">
        <f t="shared" si="1"/>
        <v/>
      </c>
      <c r="P66" s="341" t="str">
        <f>IF(B66="","",VLOOKUP(B66,'B-1 On-Site Hedge Baseline'!$B$10:T311,16,FALSE))</f>
        <v/>
      </c>
      <c r="Q66" s="290" t="str">
        <f>IF(M66="","",VLOOKUP(M66,'G-6 Hedgerow Data'!$B$2:$AG$15,2,FALSE))</f>
        <v/>
      </c>
      <c r="R66" s="291" t="str">
        <f>IF(M66="","",VLOOKUP(M66,'G-6 Hedgerow Data'!$B$2:$AG$15,3,FALSE))</f>
        <v/>
      </c>
      <c r="S66" s="106"/>
      <c r="T66" s="328" t="str">
        <f>IFERROR(IF(S66="","",IF(AND(M66="Non-native and ornamental hedgerow", S66&lt;&gt;"Poor"),"Not possible ▲", (VLOOKUP(S66,'G-1 All Habitats'!$Z$2:$AA$9,2,FALSE)))),"")</f>
        <v/>
      </c>
      <c r="U66" s="103"/>
      <c r="V66" s="310" t="str">
        <f>IF(U66="","",IF(VLOOKUP(U66,'G-3 Multipliers'!$L$3:$N$6,2,FALSE)=0,"Spatial Data Missing ⚠",VLOOKUP(U66,'G-3 Multipliers'!$L$3:$N$6,2,FALSE)))</f>
        <v/>
      </c>
      <c r="W66" s="314" t="str">
        <f>IF(U66="","",IF(VLOOKUP(U66,'G-3 Multipliers'!$L$3:$N$6,3,FALSE)=0,"Spatial Data Missing ⚠",VLOOKUP(U66,'G-3 Multipliers'!$L$3:$N$6,3,FALSE)))</f>
        <v/>
      </c>
      <c r="X66" s="290" t="str">
        <f>IFERROR(IF(OR(LEFT(O66,5)="Error",LEFT(N66,5)="Error",T66="Error"),"Check Data ⚠",IF(F66&lt;R66,INDEX('G-6 Hedgerow Data'!$S$3:$AE$14,MATCH(C66,'G-6 Hedgerow Data'!$B$3:$B$14,0),MATCH(M66,'G-6 Hedgerow Data'!$S$2:$AE$2,0)),INDEX('G-6 Hedgerow Data'!$K$3:$Q$14,MATCH(M66,'G-6 Hedgerow Data'!$B$3:$B$14,0),MATCH(O66,'G-6 Hedgerow Data'!$K$2:$Q$2,0)))),"")</f>
        <v/>
      </c>
      <c r="Y66" s="138"/>
      <c r="Z66" s="138"/>
      <c r="AA66" s="298" t="str">
        <f t="shared" si="2"/>
        <v/>
      </c>
      <c r="AB66" s="311" t="str">
        <f t="shared" si="3"/>
        <v/>
      </c>
      <c r="AC66" s="312" t="str">
        <f t="shared" si="0"/>
        <v/>
      </c>
      <c r="AD66" s="325" t="str">
        <f>IF(M66="","",VLOOKUP(M66,'G-6 Hedgerow Data'!$B$3:$AG$15,31,FALSE))</f>
        <v/>
      </c>
      <c r="AE66" s="298" t="str">
        <f t="shared" si="4"/>
        <v/>
      </c>
      <c r="AF66" s="298" t="str">
        <f t="shared" si="5"/>
        <v/>
      </c>
      <c r="AG66" s="314" t="str">
        <f>IFERROR(IF(O66="","",VLOOKUP(AD66,'G-3 Multipliers'!$P$3:$Q$6,2,FALSE)),"")</f>
        <v/>
      </c>
      <c r="AH66" s="304" t="str">
        <f t="shared" si="6"/>
        <v/>
      </c>
      <c r="AI66" s="157"/>
      <c r="AJ66" s="99"/>
      <c r="AK66" s="101"/>
      <c r="AT66" s="15" t="str">
        <f>IFERROR(INDEX('G-6 Hedgerow Data'!$BJ$3:$BJ$15,MATCH(M66,'G-6 Hedgerow Data'!$B$3:$B$15,0)),"")</f>
        <v/>
      </c>
    </row>
    <row r="67" spans="2:46" ht="14" x14ac:dyDescent="0.3">
      <c r="B67" s="319" t="str">
        <f>'B-1 On-Site Hedge Baseline'!AK65</f>
        <v/>
      </c>
      <c r="C67" s="310" t="str">
        <f>IF(B67="","",IF(ISNA(VLOOKUP($B67,'B-1 On-Site Hedge Baseline'!$B$1:$L$257,3,FALSE)),"",(VLOOKUP($B67,'B-1 On-Site Hedge Baseline'!$B$1:$L$257,3,FALSE))))</f>
        <v/>
      </c>
      <c r="D67" s="310" t="str">
        <f>IF(B67="","",IF(ISNA(VLOOKUP($B67,'B-1 On-Site Hedge Baseline'!$B$1:$L$257,4,FALSE)),"",(VLOOKUP($B67,'B-1 On-Site Hedge Baseline'!$B$1:$L$257,4,FALSE))))</f>
        <v/>
      </c>
      <c r="E67" s="310" t="str">
        <f>IF(B67="","",IF(ISNA(VLOOKUP($B67,'B-1 On-Site Hedge Baseline'!$B$1:$L$257,5,FALSE)),"",(VLOOKUP($B67,'B-1 On-Site Hedge Baseline'!$B$1:$L$257,5,FALSE))))</f>
        <v/>
      </c>
      <c r="F67" s="310" t="str">
        <f>IF(B67="","",IF(ISNA(VLOOKUP($B67,'B-1 On-Site Hedge Baseline'!$B$1:$L$257,6,FALSE)),"",(VLOOKUP($B67,'B-1 On-Site Hedge Baseline'!$B$1:$L$257,6,FALSE))))</f>
        <v/>
      </c>
      <c r="G67" s="310" t="str">
        <f>IF(B67="","",IF(ISNA(VLOOKUP($B67,'B-1 On-Site Hedge Baseline'!$B$1:$L$257,7,FALSE)),"",(VLOOKUP($B67,'B-1 On-Site Hedge Baseline'!$B$1:$L$257,7,FALSE))))</f>
        <v/>
      </c>
      <c r="H67" s="310" t="str">
        <f>IF(B67="","",IF(ISNA(VLOOKUP($B67,'B-1 On-Site Hedge Baseline'!$B$1:$L$257,8,FALSE)),"",(VLOOKUP($B67,'B-1 On-Site Hedge Baseline'!$B$1:$L$257,8,FALSE))))</f>
        <v/>
      </c>
      <c r="I67" s="310" t="str">
        <f>IF(B67="","",IF(ISNA(VLOOKUP($B67,'B-1 On-Site Hedge Baseline'!$B$1:$L$257,10,FALSE)),"",(VLOOKUP($B67,'B-1 On-Site Hedge Baseline'!$B$1:$L$257,10,FALSE))))</f>
        <v/>
      </c>
      <c r="J67" s="310" t="str">
        <f>IF(B67="","",IF(ISNA(VLOOKUP($B67,'B-1 On-Site Hedge Baseline'!$B$1:$L$257,11,FALSE)),"",(VLOOKUP($B67,'B-1 On-Site Hedge Baseline'!$B$1:$L$257,11,FALSE))))</f>
        <v/>
      </c>
      <c r="K67" s="310" t="str">
        <f>IF(B67="","",IF(ISNA(VLOOKUP($B67,'B-1 On-Site Hedge Baseline'!$B$1:$U$257,13,FALSE)),"",(VLOOKUP($B67,'B-1 On-Site Hedge Baseline'!$B$1:$U$257,13,FALSE))))</f>
        <v/>
      </c>
      <c r="L67" s="314" t="str">
        <f>IF(B67="","",IF(ISNA(VLOOKUP($B67,'B-1 On-Site Hedge Baseline'!$B$1:$U$257,12,FALSE)),"",(VLOOKUP($B67,'B-1 On-Site Hedge Baseline'!$B$1:$U$257,12,FALSE))))</f>
        <v/>
      </c>
      <c r="M67" s="583"/>
      <c r="N67" s="290" t="str">
        <f>IFERROR(IF(B67="","",INDEX('G-6 Hedgerow Data'!$AN$3:$AZ$15,MATCH(C67,'G-6 Hedgerow Data'!$AM$3:$AM$15,0),MATCH(M67,'G-6 Hedgerow Data'!$AN$2:$AZ$2,0))),"")</f>
        <v/>
      </c>
      <c r="O67" s="291" t="str">
        <f t="shared" si="1"/>
        <v/>
      </c>
      <c r="P67" s="341" t="str">
        <f>IF(B67="","",VLOOKUP(B67,'B-1 On-Site Hedge Baseline'!$B$10:T312,16,FALSE))</f>
        <v/>
      </c>
      <c r="Q67" s="290" t="str">
        <f>IF(M67="","",VLOOKUP(M67,'G-6 Hedgerow Data'!$B$2:$AG$15,2,FALSE))</f>
        <v/>
      </c>
      <c r="R67" s="291" t="str">
        <f>IF(M67="","",VLOOKUP(M67,'G-6 Hedgerow Data'!$B$2:$AG$15,3,FALSE))</f>
        <v/>
      </c>
      <c r="S67" s="106"/>
      <c r="T67" s="328" t="str">
        <f>IFERROR(IF(S67="","",IF(AND(M67="Non-native and ornamental hedgerow", S67&lt;&gt;"Poor"),"Not possible ▲", (VLOOKUP(S67,'G-1 All Habitats'!$Z$2:$AA$9,2,FALSE)))),"")</f>
        <v/>
      </c>
      <c r="U67" s="103"/>
      <c r="V67" s="310" t="str">
        <f>IF(U67="","",IF(VLOOKUP(U67,'G-3 Multipliers'!$L$3:$N$6,2,FALSE)=0,"Spatial Data Missing ⚠",VLOOKUP(U67,'G-3 Multipliers'!$L$3:$N$6,2,FALSE)))</f>
        <v/>
      </c>
      <c r="W67" s="314" t="str">
        <f>IF(U67="","",IF(VLOOKUP(U67,'G-3 Multipliers'!$L$3:$N$6,3,FALSE)=0,"Spatial Data Missing ⚠",VLOOKUP(U67,'G-3 Multipliers'!$L$3:$N$6,3,FALSE)))</f>
        <v/>
      </c>
      <c r="X67" s="290" t="str">
        <f>IFERROR(IF(OR(LEFT(O67,5)="Error",LEFT(N67,5)="Error",T67="Error"),"Check Data ⚠",IF(F67&lt;R67,INDEX('G-6 Hedgerow Data'!$S$3:$AE$14,MATCH(C67,'G-6 Hedgerow Data'!$B$3:$B$14,0),MATCH(M67,'G-6 Hedgerow Data'!$S$2:$AE$2,0)),INDEX('G-6 Hedgerow Data'!$K$3:$Q$14,MATCH(M67,'G-6 Hedgerow Data'!$B$3:$B$14,0),MATCH(O67,'G-6 Hedgerow Data'!$K$2:$Q$2,0)))),"")</f>
        <v/>
      </c>
      <c r="Y67" s="138"/>
      <c r="Z67" s="138"/>
      <c r="AA67" s="298" t="str">
        <f t="shared" si="2"/>
        <v/>
      </c>
      <c r="AB67" s="311" t="str">
        <f t="shared" si="3"/>
        <v/>
      </c>
      <c r="AC67" s="312" t="str">
        <f t="shared" si="0"/>
        <v/>
      </c>
      <c r="AD67" s="325" t="str">
        <f>IF(M67="","",VLOOKUP(M67,'G-6 Hedgerow Data'!$B$3:$AG$15,31,FALSE))</f>
        <v/>
      </c>
      <c r="AE67" s="298" t="str">
        <f t="shared" si="4"/>
        <v/>
      </c>
      <c r="AF67" s="298" t="str">
        <f t="shared" si="5"/>
        <v/>
      </c>
      <c r="AG67" s="314" t="str">
        <f>IFERROR(IF(O67="","",VLOOKUP(AD67,'G-3 Multipliers'!$P$3:$Q$6,2,FALSE)),"")</f>
        <v/>
      </c>
      <c r="AH67" s="304" t="str">
        <f t="shared" si="6"/>
        <v/>
      </c>
      <c r="AI67" s="157"/>
      <c r="AJ67" s="99"/>
      <c r="AK67" s="101"/>
      <c r="AT67" s="15" t="str">
        <f>IFERROR(INDEX('G-6 Hedgerow Data'!$BJ$3:$BJ$15,MATCH(M67,'G-6 Hedgerow Data'!$B$3:$B$15,0)),"")</f>
        <v/>
      </c>
    </row>
    <row r="68" spans="2:46" ht="14" x14ac:dyDescent="0.3">
      <c r="B68" s="319" t="str">
        <f>'B-1 On-Site Hedge Baseline'!AK66</f>
        <v/>
      </c>
      <c r="C68" s="310" t="str">
        <f>IF(B68="","",IF(ISNA(VLOOKUP($B68,'B-1 On-Site Hedge Baseline'!$B$1:$L$257,3,FALSE)),"",(VLOOKUP($B68,'B-1 On-Site Hedge Baseline'!$B$1:$L$257,3,FALSE))))</f>
        <v/>
      </c>
      <c r="D68" s="310" t="str">
        <f>IF(B68="","",IF(ISNA(VLOOKUP($B68,'B-1 On-Site Hedge Baseline'!$B$1:$L$257,4,FALSE)),"",(VLOOKUP($B68,'B-1 On-Site Hedge Baseline'!$B$1:$L$257,4,FALSE))))</f>
        <v/>
      </c>
      <c r="E68" s="310" t="str">
        <f>IF(B68="","",IF(ISNA(VLOOKUP($B68,'B-1 On-Site Hedge Baseline'!$B$1:$L$257,5,FALSE)),"",(VLOOKUP($B68,'B-1 On-Site Hedge Baseline'!$B$1:$L$257,5,FALSE))))</f>
        <v/>
      </c>
      <c r="F68" s="310" t="str">
        <f>IF(B68="","",IF(ISNA(VLOOKUP($B68,'B-1 On-Site Hedge Baseline'!$B$1:$L$257,6,FALSE)),"",(VLOOKUP($B68,'B-1 On-Site Hedge Baseline'!$B$1:$L$257,6,FALSE))))</f>
        <v/>
      </c>
      <c r="G68" s="310" t="str">
        <f>IF(B68="","",IF(ISNA(VLOOKUP($B68,'B-1 On-Site Hedge Baseline'!$B$1:$L$257,7,FALSE)),"",(VLOOKUP($B68,'B-1 On-Site Hedge Baseline'!$B$1:$L$257,7,FALSE))))</f>
        <v/>
      </c>
      <c r="H68" s="310" t="str">
        <f>IF(B68="","",IF(ISNA(VLOOKUP($B68,'B-1 On-Site Hedge Baseline'!$B$1:$L$257,8,FALSE)),"",(VLOOKUP($B68,'B-1 On-Site Hedge Baseline'!$B$1:$L$257,8,FALSE))))</f>
        <v/>
      </c>
      <c r="I68" s="310" t="str">
        <f>IF(B68="","",IF(ISNA(VLOOKUP($B68,'B-1 On-Site Hedge Baseline'!$B$1:$L$257,10,FALSE)),"",(VLOOKUP($B68,'B-1 On-Site Hedge Baseline'!$B$1:$L$257,10,FALSE))))</f>
        <v/>
      </c>
      <c r="J68" s="310" t="str">
        <f>IF(B68="","",IF(ISNA(VLOOKUP($B68,'B-1 On-Site Hedge Baseline'!$B$1:$L$257,11,FALSE)),"",(VLOOKUP($B68,'B-1 On-Site Hedge Baseline'!$B$1:$L$257,11,FALSE))))</f>
        <v/>
      </c>
      <c r="K68" s="310" t="str">
        <f>IF(B68="","",IF(ISNA(VLOOKUP($B68,'B-1 On-Site Hedge Baseline'!$B$1:$U$257,13,FALSE)),"",(VLOOKUP($B68,'B-1 On-Site Hedge Baseline'!$B$1:$U$257,13,FALSE))))</f>
        <v/>
      </c>
      <c r="L68" s="314" t="str">
        <f>IF(B68="","",IF(ISNA(VLOOKUP($B68,'B-1 On-Site Hedge Baseline'!$B$1:$U$257,12,FALSE)),"",(VLOOKUP($B68,'B-1 On-Site Hedge Baseline'!$B$1:$U$257,12,FALSE))))</f>
        <v/>
      </c>
      <c r="M68" s="583"/>
      <c r="N68" s="290" t="str">
        <f>IFERROR(IF(B68="","",INDEX('G-6 Hedgerow Data'!$AN$3:$AZ$15,MATCH(C68,'G-6 Hedgerow Data'!$AM$3:$AM$15,0),MATCH(M68,'G-6 Hedgerow Data'!$AN$2:$AZ$2,0))),"")</f>
        <v/>
      </c>
      <c r="O68" s="291" t="str">
        <f t="shared" si="1"/>
        <v/>
      </c>
      <c r="P68" s="341" t="str">
        <f>IF(B68="","",VLOOKUP(B68,'B-1 On-Site Hedge Baseline'!$B$10:T313,16,FALSE))</f>
        <v/>
      </c>
      <c r="Q68" s="290" t="str">
        <f>IF(M68="","",VLOOKUP(M68,'G-6 Hedgerow Data'!$B$2:$AG$15,2,FALSE))</f>
        <v/>
      </c>
      <c r="R68" s="291" t="str">
        <f>IF(M68="","",VLOOKUP(M68,'G-6 Hedgerow Data'!$B$2:$AG$15,3,FALSE))</f>
        <v/>
      </c>
      <c r="S68" s="106"/>
      <c r="T68" s="328" t="str">
        <f>IFERROR(IF(S68="","",IF(AND(M68="Non-native and ornamental hedgerow", S68&lt;&gt;"Poor"),"Not possible ▲", (VLOOKUP(S68,'G-1 All Habitats'!$Z$2:$AA$9,2,FALSE)))),"")</f>
        <v/>
      </c>
      <c r="U68" s="103"/>
      <c r="V68" s="310" t="str">
        <f>IF(U68="","",IF(VLOOKUP(U68,'G-3 Multipliers'!$L$3:$N$6,2,FALSE)=0,"Spatial Data Missing ⚠",VLOOKUP(U68,'G-3 Multipliers'!$L$3:$N$6,2,FALSE)))</f>
        <v/>
      </c>
      <c r="W68" s="314" t="str">
        <f>IF(U68="","",IF(VLOOKUP(U68,'G-3 Multipliers'!$L$3:$N$6,3,FALSE)=0,"Spatial Data Missing ⚠",VLOOKUP(U68,'G-3 Multipliers'!$L$3:$N$6,3,FALSE)))</f>
        <v/>
      </c>
      <c r="X68" s="290" t="str">
        <f>IFERROR(IF(OR(LEFT(O68,5)="Error",LEFT(N68,5)="Error",T68="Error"),"Check Data ⚠",IF(F68&lt;R68,INDEX('G-6 Hedgerow Data'!$S$3:$AE$14,MATCH(C68,'G-6 Hedgerow Data'!$B$3:$B$14,0),MATCH(M68,'G-6 Hedgerow Data'!$S$2:$AE$2,0)),INDEX('G-6 Hedgerow Data'!$K$3:$Q$14,MATCH(M68,'G-6 Hedgerow Data'!$B$3:$B$14,0),MATCH(O68,'G-6 Hedgerow Data'!$K$2:$Q$2,0)))),"")</f>
        <v/>
      </c>
      <c r="Y68" s="138"/>
      <c r="Z68" s="138"/>
      <c r="AA68" s="298" t="str">
        <f t="shared" si="2"/>
        <v/>
      </c>
      <c r="AB68" s="311" t="str">
        <f t="shared" si="3"/>
        <v/>
      </c>
      <c r="AC68" s="312" t="str">
        <f t="shared" si="0"/>
        <v/>
      </c>
      <c r="AD68" s="325" t="str">
        <f>IF(M68="","",VLOOKUP(M68,'G-6 Hedgerow Data'!$B$3:$AG$15,31,FALSE))</f>
        <v/>
      </c>
      <c r="AE68" s="298" t="str">
        <f t="shared" si="4"/>
        <v/>
      </c>
      <c r="AF68" s="298" t="str">
        <f t="shared" si="5"/>
        <v/>
      </c>
      <c r="AG68" s="314" t="str">
        <f>IFERROR(IF(O68="","",VLOOKUP(AD68,'G-3 Multipliers'!$P$3:$Q$6,2,FALSE)),"")</f>
        <v/>
      </c>
      <c r="AH68" s="304" t="str">
        <f t="shared" si="6"/>
        <v/>
      </c>
      <c r="AI68" s="157"/>
      <c r="AJ68" s="99"/>
      <c r="AK68" s="101"/>
      <c r="AT68" s="15" t="str">
        <f>IFERROR(INDEX('G-6 Hedgerow Data'!$BJ$3:$BJ$15,MATCH(M68,'G-6 Hedgerow Data'!$B$3:$B$15,0)),"")</f>
        <v/>
      </c>
    </row>
    <row r="69" spans="2:46" ht="14" x14ac:dyDescent="0.3">
      <c r="B69" s="319" t="str">
        <f>'B-1 On-Site Hedge Baseline'!AK67</f>
        <v/>
      </c>
      <c r="C69" s="310" t="str">
        <f>IF(B69="","",IF(ISNA(VLOOKUP($B69,'B-1 On-Site Hedge Baseline'!$B$1:$L$257,3,FALSE)),"",(VLOOKUP($B69,'B-1 On-Site Hedge Baseline'!$B$1:$L$257,3,FALSE))))</f>
        <v/>
      </c>
      <c r="D69" s="310" t="str">
        <f>IF(B69="","",IF(ISNA(VLOOKUP($B69,'B-1 On-Site Hedge Baseline'!$B$1:$L$257,4,FALSE)),"",(VLOOKUP($B69,'B-1 On-Site Hedge Baseline'!$B$1:$L$257,4,FALSE))))</f>
        <v/>
      </c>
      <c r="E69" s="310" t="str">
        <f>IF(B69="","",IF(ISNA(VLOOKUP($B69,'B-1 On-Site Hedge Baseline'!$B$1:$L$257,5,FALSE)),"",(VLOOKUP($B69,'B-1 On-Site Hedge Baseline'!$B$1:$L$257,5,FALSE))))</f>
        <v/>
      </c>
      <c r="F69" s="310" t="str">
        <f>IF(B69="","",IF(ISNA(VLOOKUP($B69,'B-1 On-Site Hedge Baseline'!$B$1:$L$257,6,FALSE)),"",(VLOOKUP($B69,'B-1 On-Site Hedge Baseline'!$B$1:$L$257,6,FALSE))))</f>
        <v/>
      </c>
      <c r="G69" s="310" t="str">
        <f>IF(B69="","",IF(ISNA(VLOOKUP($B69,'B-1 On-Site Hedge Baseline'!$B$1:$L$257,7,FALSE)),"",(VLOOKUP($B69,'B-1 On-Site Hedge Baseline'!$B$1:$L$257,7,FALSE))))</f>
        <v/>
      </c>
      <c r="H69" s="310" t="str">
        <f>IF(B69="","",IF(ISNA(VLOOKUP($B69,'B-1 On-Site Hedge Baseline'!$B$1:$L$257,8,FALSE)),"",(VLOOKUP($B69,'B-1 On-Site Hedge Baseline'!$B$1:$L$257,8,FALSE))))</f>
        <v/>
      </c>
      <c r="I69" s="310" t="str">
        <f>IF(B69="","",IF(ISNA(VLOOKUP($B69,'B-1 On-Site Hedge Baseline'!$B$1:$L$257,10,FALSE)),"",(VLOOKUP($B69,'B-1 On-Site Hedge Baseline'!$B$1:$L$257,10,FALSE))))</f>
        <v/>
      </c>
      <c r="J69" s="310" t="str">
        <f>IF(B69="","",IF(ISNA(VLOOKUP($B69,'B-1 On-Site Hedge Baseline'!$B$1:$L$257,11,FALSE)),"",(VLOOKUP($B69,'B-1 On-Site Hedge Baseline'!$B$1:$L$257,11,FALSE))))</f>
        <v/>
      </c>
      <c r="K69" s="310" t="str">
        <f>IF(B69="","",IF(ISNA(VLOOKUP($B69,'B-1 On-Site Hedge Baseline'!$B$1:$U$257,13,FALSE)),"",(VLOOKUP($B69,'B-1 On-Site Hedge Baseline'!$B$1:$U$257,13,FALSE))))</f>
        <v/>
      </c>
      <c r="L69" s="314" t="str">
        <f>IF(B69="","",IF(ISNA(VLOOKUP($B69,'B-1 On-Site Hedge Baseline'!$B$1:$U$257,12,FALSE)),"",(VLOOKUP($B69,'B-1 On-Site Hedge Baseline'!$B$1:$U$257,12,FALSE))))</f>
        <v/>
      </c>
      <c r="M69" s="583"/>
      <c r="N69" s="290" t="str">
        <f>IFERROR(IF(B69="","",INDEX('G-6 Hedgerow Data'!$AN$3:$AZ$15,MATCH(C69,'G-6 Hedgerow Data'!$AM$3:$AM$15,0),MATCH(M69,'G-6 Hedgerow Data'!$AN$2:$AZ$2,0))),"")</f>
        <v/>
      </c>
      <c r="O69" s="291" t="str">
        <f t="shared" si="1"/>
        <v/>
      </c>
      <c r="P69" s="341" t="str">
        <f>IF(B69="","",VLOOKUP(B69,'B-1 On-Site Hedge Baseline'!$B$10:T314,16,FALSE))</f>
        <v/>
      </c>
      <c r="Q69" s="290" t="str">
        <f>IF(M69="","",VLOOKUP(M69,'G-6 Hedgerow Data'!$B$2:$AG$15,2,FALSE))</f>
        <v/>
      </c>
      <c r="R69" s="291" t="str">
        <f>IF(M69="","",VLOOKUP(M69,'G-6 Hedgerow Data'!$B$2:$AG$15,3,FALSE))</f>
        <v/>
      </c>
      <c r="S69" s="106"/>
      <c r="T69" s="328" t="str">
        <f>IFERROR(IF(S69="","",IF(AND(M69="Non-native and ornamental hedgerow", S69&lt;&gt;"Poor"),"Not possible ▲", (VLOOKUP(S69,'G-1 All Habitats'!$Z$2:$AA$9,2,FALSE)))),"")</f>
        <v/>
      </c>
      <c r="U69" s="103"/>
      <c r="V69" s="310" t="str">
        <f>IF(U69="","",IF(VLOOKUP(U69,'G-3 Multipliers'!$L$3:$N$6,2,FALSE)=0,"Spatial Data Missing ⚠",VLOOKUP(U69,'G-3 Multipliers'!$L$3:$N$6,2,FALSE)))</f>
        <v/>
      </c>
      <c r="W69" s="314" t="str">
        <f>IF(U69="","",IF(VLOOKUP(U69,'G-3 Multipliers'!$L$3:$N$6,3,FALSE)=0,"Spatial Data Missing ⚠",VLOOKUP(U69,'G-3 Multipliers'!$L$3:$N$6,3,FALSE)))</f>
        <v/>
      </c>
      <c r="X69" s="290" t="str">
        <f>IFERROR(IF(OR(LEFT(O69,5)="Error",LEFT(N69,5)="Error",T69="Error"),"Check Data ⚠",IF(F69&lt;R69,INDEX('G-6 Hedgerow Data'!$S$3:$AE$14,MATCH(C69,'G-6 Hedgerow Data'!$B$3:$B$14,0),MATCH(M69,'G-6 Hedgerow Data'!$S$2:$AE$2,0)),INDEX('G-6 Hedgerow Data'!$K$3:$Q$14,MATCH(M69,'G-6 Hedgerow Data'!$B$3:$B$14,0),MATCH(O69,'G-6 Hedgerow Data'!$K$2:$Q$2,0)))),"")</f>
        <v/>
      </c>
      <c r="Y69" s="138"/>
      <c r="Z69" s="138"/>
      <c r="AA69" s="298" t="str">
        <f t="shared" si="2"/>
        <v/>
      </c>
      <c r="AB69" s="311" t="str">
        <f t="shared" si="3"/>
        <v/>
      </c>
      <c r="AC69" s="312" t="str">
        <f t="shared" si="0"/>
        <v/>
      </c>
      <c r="AD69" s="325" t="str">
        <f>IF(M69="","",VLOOKUP(M69,'G-6 Hedgerow Data'!$B$3:$AG$15,31,FALSE))</f>
        <v/>
      </c>
      <c r="AE69" s="298" t="str">
        <f t="shared" si="4"/>
        <v/>
      </c>
      <c r="AF69" s="298" t="str">
        <f t="shared" si="5"/>
        <v/>
      </c>
      <c r="AG69" s="314" t="str">
        <f>IFERROR(IF(O69="","",VLOOKUP(AD69,'G-3 Multipliers'!$P$3:$Q$6,2,FALSE)),"")</f>
        <v/>
      </c>
      <c r="AH69" s="304" t="str">
        <f t="shared" si="6"/>
        <v/>
      </c>
      <c r="AI69" s="157"/>
      <c r="AJ69" s="99"/>
      <c r="AK69" s="101"/>
      <c r="AT69" s="15" t="str">
        <f>IFERROR(INDEX('G-6 Hedgerow Data'!$BJ$3:$BJ$15,MATCH(M69,'G-6 Hedgerow Data'!$B$3:$B$15,0)),"")</f>
        <v/>
      </c>
    </row>
    <row r="70" spans="2:46" ht="14" x14ac:dyDescent="0.3">
      <c r="B70" s="319" t="str">
        <f>'B-1 On-Site Hedge Baseline'!AK68</f>
        <v/>
      </c>
      <c r="C70" s="310" t="str">
        <f>IF(B70="","",IF(ISNA(VLOOKUP($B70,'B-1 On-Site Hedge Baseline'!$B$1:$L$257,3,FALSE)),"",(VLOOKUP($B70,'B-1 On-Site Hedge Baseline'!$B$1:$L$257,3,FALSE))))</f>
        <v/>
      </c>
      <c r="D70" s="310" t="str">
        <f>IF(B70="","",IF(ISNA(VLOOKUP($B70,'B-1 On-Site Hedge Baseline'!$B$1:$L$257,4,FALSE)),"",(VLOOKUP($B70,'B-1 On-Site Hedge Baseline'!$B$1:$L$257,4,FALSE))))</f>
        <v/>
      </c>
      <c r="E70" s="310" t="str">
        <f>IF(B70="","",IF(ISNA(VLOOKUP($B70,'B-1 On-Site Hedge Baseline'!$B$1:$L$257,5,FALSE)),"",(VLOOKUP($B70,'B-1 On-Site Hedge Baseline'!$B$1:$L$257,5,FALSE))))</f>
        <v/>
      </c>
      <c r="F70" s="310" t="str">
        <f>IF(B70="","",IF(ISNA(VLOOKUP($B70,'B-1 On-Site Hedge Baseline'!$B$1:$L$257,6,FALSE)),"",(VLOOKUP($B70,'B-1 On-Site Hedge Baseline'!$B$1:$L$257,6,FALSE))))</f>
        <v/>
      </c>
      <c r="G70" s="310" t="str">
        <f>IF(B70="","",IF(ISNA(VLOOKUP($B70,'B-1 On-Site Hedge Baseline'!$B$1:$L$257,7,FALSE)),"",(VLOOKUP($B70,'B-1 On-Site Hedge Baseline'!$B$1:$L$257,7,FALSE))))</f>
        <v/>
      </c>
      <c r="H70" s="310" t="str">
        <f>IF(B70="","",IF(ISNA(VLOOKUP($B70,'B-1 On-Site Hedge Baseline'!$B$1:$L$257,8,FALSE)),"",(VLOOKUP($B70,'B-1 On-Site Hedge Baseline'!$B$1:$L$257,8,FALSE))))</f>
        <v/>
      </c>
      <c r="I70" s="310" t="str">
        <f>IF(B70="","",IF(ISNA(VLOOKUP($B70,'B-1 On-Site Hedge Baseline'!$B$1:$L$257,10,FALSE)),"",(VLOOKUP($B70,'B-1 On-Site Hedge Baseline'!$B$1:$L$257,10,FALSE))))</f>
        <v/>
      </c>
      <c r="J70" s="310" t="str">
        <f>IF(B70="","",IF(ISNA(VLOOKUP($B70,'B-1 On-Site Hedge Baseline'!$B$1:$L$257,11,FALSE)),"",(VLOOKUP($B70,'B-1 On-Site Hedge Baseline'!$B$1:$L$257,11,FALSE))))</f>
        <v/>
      </c>
      <c r="K70" s="310" t="str">
        <f>IF(B70="","",IF(ISNA(VLOOKUP($B70,'B-1 On-Site Hedge Baseline'!$B$1:$U$257,13,FALSE)),"",(VLOOKUP($B70,'B-1 On-Site Hedge Baseline'!$B$1:$U$257,13,FALSE))))</f>
        <v/>
      </c>
      <c r="L70" s="314" t="str">
        <f>IF(B70="","",IF(ISNA(VLOOKUP($B70,'B-1 On-Site Hedge Baseline'!$B$1:$U$257,12,FALSE)),"",(VLOOKUP($B70,'B-1 On-Site Hedge Baseline'!$B$1:$U$257,12,FALSE))))</f>
        <v/>
      </c>
      <c r="M70" s="583"/>
      <c r="N70" s="290" t="str">
        <f>IFERROR(IF(B70="","",INDEX('G-6 Hedgerow Data'!$AN$3:$AZ$15,MATCH(C70,'G-6 Hedgerow Data'!$AM$3:$AM$15,0),MATCH(M70,'G-6 Hedgerow Data'!$AN$2:$AZ$2,0))),"")</f>
        <v/>
      </c>
      <c r="O70" s="291" t="str">
        <f t="shared" si="1"/>
        <v/>
      </c>
      <c r="P70" s="341" t="str">
        <f>IF(B70="","",VLOOKUP(B70,'B-1 On-Site Hedge Baseline'!$B$10:T315,16,FALSE))</f>
        <v/>
      </c>
      <c r="Q70" s="290" t="str">
        <f>IF(M70="","",VLOOKUP(M70,'G-6 Hedgerow Data'!$B$2:$AG$15,2,FALSE))</f>
        <v/>
      </c>
      <c r="R70" s="291" t="str">
        <f>IF(M70="","",VLOOKUP(M70,'G-6 Hedgerow Data'!$B$2:$AG$15,3,FALSE))</f>
        <v/>
      </c>
      <c r="S70" s="106"/>
      <c r="T70" s="328" t="str">
        <f>IFERROR(IF(S70="","",IF(AND(M70="Non-native and ornamental hedgerow", S70&lt;&gt;"Poor"),"Not possible ▲", (VLOOKUP(S70,'G-1 All Habitats'!$Z$2:$AA$9,2,FALSE)))),"")</f>
        <v/>
      </c>
      <c r="U70" s="103"/>
      <c r="V70" s="310" t="str">
        <f>IF(U70="","",IF(VLOOKUP(U70,'G-3 Multipliers'!$L$3:$N$6,2,FALSE)=0,"Spatial Data Missing ⚠",VLOOKUP(U70,'G-3 Multipliers'!$L$3:$N$6,2,FALSE)))</f>
        <v/>
      </c>
      <c r="W70" s="314" t="str">
        <f>IF(U70="","",IF(VLOOKUP(U70,'G-3 Multipliers'!$L$3:$N$6,3,FALSE)=0,"Spatial Data Missing ⚠",VLOOKUP(U70,'G-3 Multipliers'!$L$3:$N$6,3,FALSE)))</f>
        <v/>
      </c>
      <c r="X70" s="290" t="str">
        <f>IFERROR(IF(OR(LEFT(O70,5)="Error",LEFT(N70,5)="Error",T70="Error"),"Check Data ⚠",IF(F70&lt;R70,INDEX('G-6 Hedgerow Data'!$S$3:$AE$14,MATCH(C70,'G-6 Hedgerow Data'!$B$3:$B$14,0),MATCH(M70,'G-6 Hedgerow Data'!$S$2:$AE$2,0)),INDEX('G-6 Hedgerow Data'!$K$3:$Q$14,MATCH(M70,'G-6 Hedgerow Data'!$B$3:$B$14,0),MATCH(O70,'G-6 Hedgerow Data'!$K$2:$Q$2,0)))),"")</f>
        <v/>
      </c>
      <c r="Y70" s="138"/>
      <c r="Z70" s="138"/>
      <c r="AA70" s="298" t="str">
        <f t="shared" si="2"/>
        <v/>
      </c>
      <c r="AB70" s="311" t="str">
        <f t="shared" si="3"/>
        <v/>
      </c>
      <c r="AC70" s="312" t="str">
        <f t="shared" si="0"/>
        <v/>
      </c>
      <c r="AD70" s="325" t="str">
        <f>IF(M70="","",VLOOKUP(M70,'G-6 Hedgerow Data'!$B$3:$AG$15,31,FALSE))</f>
        <v/>
      </c>
      <c r="AE70" s="298" t="str">
        <f t="shared" si="4"/>
        <v/>
      </c>
      <c r="AF70" s="298" t="str">
        <f t="shared" si="5"/>
        <v/>
      </c>
      <c r="AG70" s="314" t="str">
        <f>IFERROR(IF(O70="","",VLOOKUP(AD70,'G-3 Multipliers'!$P$3:$Q$6,2,FALSE)),"")</f>
        <v/>
      </c>
      <c r="AH70" s="304" t="str">
        <f t="shared" si="6"/>
        <v/>
      </c>
      <c r="AI70" s="157"/>
      <c r="AJ70" s="99"/>
      <c r="AK70" s="101"/>
      <c r="AT70" s="15" t="str">
        <f>IFERROR(INDEX('G-6 Hedgerow Data'!$BJ$3:$BJ$15,MATCH(M70,'G-6 Hedgerow Data'!$B$3:$B$15,0)),"")</f>
        <v/>
      </c>
    </row>
    <row r="71" spans="2:46" ht="14" x14ac:dyDescent="0.3">
      <c r="B71" s="319" t="str">
        <f>'B-1 On-Site Hedge Baseline'!AK69</f>
        <v/>
      </c>
      <c r="C71" s="310" t="str">
        <f>IF(B71="","",IF(ISNA(VLOOKUP($B71,'B-1 On-Site Hedge Baseline'!$B$1:$L$257,3,FALSE)),"",(VLOOKUP($B71,'B-1 On-Site Hedge Baseline'!$B$1:$L$257,3,FALSE))))</f>
        <v/>
      </c>
      <c r="D71" s="310" t="str">
        <f>IF(B71="","",IF(ISNA(VLOOKUP($B71,'B-1 On-Site Hedge Baseline'!$B$1:$L$257,4,FALSE)),"",(VLOOKUP($B71,'B-1 On-Site Hedge Baseline'!$B$1:$L$257,4,FALSE))))</f>
        <v/>
      </c>
      <c r="E71" s="310" t="str">
        <f>IF(B71="","",IF(ISNA(VLOOKUP($B71,'B-1 On-Site Hedge Baseline'!$B$1:$L$257,5,FALSE)),"",(VLOOKUP($B71,'B-1 On-Site Hedge Baseline'!$B$1:$L$257,5,FALSE))))</f>
        <v/>
      </c>
      <c r="F71" s="310" t="str">
        <f>IF(B71="","",IF(ISNA(VLOOKUP($B71,'B-1 On-Site Hedge Baseline'!$B$1:$L$257,6,FALSE)),"",(VLOOKUP($B71,'B-1 On-Site Hedge Baseline'!$B$1:$L$257,6,FALSE))))</f>
        <v/>
      </c>
      <c r="G71" s="310" t="str">
        <f>IF(B71="","",IF(ISNA(VLOOKUP($B71,'B-1 On-Site Hedge Baseline'!$B$1:$L$257,7,FALSE)),"",(VLOOKUP($B71,'B-1 On-Site Hedge Baseline'!$B$1:$L$257,7,FALSE))))</f>
        <v/>
      </c>
      <c r="H71" s="310" t="str">
        <f>IF(B71="","",IF(ISNA(VLOOKUP($B71,'B-1 On-Site Hedge Baseline'!$B$1:$L$257,8,FALSE)),"",(VLOOKUP($B71,'B-1 On-Site Hedge Baseline'!$B$1:$L$257,8,FALSE))))</f>
        <v/>
      </c>
      <c r="I71" s="310" t="str">
        <f>IF(B71="","",IF(ISNA(VLOOKUP($B71,'B-1 On-Site Hedge Baseline'!$B$1:$L$257,10,FALSE)),"",(VLOOKUP($B71,'B-1 On-Site Hedge Baseline'!$B$1:$L$257,10,FALSE))))</f>
        <v/>
      </c>
      <c r="J71" s="310" t="str">
        <f>IF(B71="","",IF(ISNA(VLOOKUP($B71,'B-1 On-Site Hedge Baseline'!$B$1:$L$257,11,FALSE)),"",(VLOOKUP($B71,'B-1 On-Site Hedge Baseline'!$B$1:$L$257,11,FALSE))))</f>
        <v/>
      </c>
      <c r="K71" s="310" t="str">
        <f>IF(B71="","",IF(ISNA(VLOOKUP($B71,'B-1 On-Site Hedge Baseline'!$B$1:$U$257,13,FALSE)),"",(VLOOKUP($B71,'B-1 On-Site Hedge Baseline'!$B$1:$U$257,13,FALSE))))</f>
        <v/>
      </c>
      <c r="L71" s="314" t="str">
        <f>IF(B71="","",IF(ISNA(VLOOKUP($B71,'B-1 On-Site Hedge Baseline'!$B$1:$U$257,12,FALSE)),"",(VLOOKUP($B71,'B-1 On-Site Hedge Baseline'!$B$1:$U$257,12,FALSE))))</f>
        <v/>
      </c>
      <c r="M71" s="583"/>
      <c r="N71" s="290" t="str">
        <f>IFERROR(IF(B71="","",INDEX('G-6 Hedgerow Data'!$AN$3:$AZ$15,MATCH(C71,'G-6 Hedgerow Data'!$AM$3:$AM$15,0),MATCH(M71,'G-6 Hedgerow Data'!$AN$2:$AZ$2,0))),"")</f>
        <v/>
      </c>
      <c r="O71" s="291" t="str">
        <f t="shared" si="1"/>
        <v/>
      </c>
      <c r="P71" s="341" t="str">
        <f>IF(B71="","",VLOOKUP(B71,'B-1 On-Site Hedge Baseline'!$B$10:T316,16,FALSE))</f>
        <v/>
      </c>
      <c r="Q71" s="290" t="str">
        <f>IF(M71="","",VLOOKUP(M71,'G-6 Hedgerow Data'!$B$2:$AG$15,2,FALSE))</f>
        <v/>
      </c>
      <c r="R71" s="291" t="str">
        <f>IF(M71="","",VLOOKUP(M71,'G-6 Hedgerow Data'!$B$2:$AG$15,3,FALSE))</f>
        <v/>
      </c>
      <c r="S71" s="106"/>
      <c r="T71" s="328" t="str">
        <f>IFERROR(IF(S71="","",IF(AND(M71="Non-native and ornamental hedgerow", S71&lt;&gt;"Poor"),"Not possible ▲", (VLOOKUP(S71,'G-1 All Habitats'!$Z$2:$AA$9,2,FALSE)))),"")</f>
        <v/>
      </c>
      <c r="U71" s="103"/>
      <c r="V71" s="310" t="str">
        <f>IF(U71="","",IF(VLOOKUP(U71,'G-3 Multipliers'!$L$3:$N$6,2,FALSE)=0,"Spatial Data Missing ⚠",VLOOKUP(U71,'G-3 Multipliers'!$L$3:$N$6,2,FALSE)))</f>
        <v/>
      </c>
      <c r="W71" s="314" t="str">
        <f>IF(U71="","",IF(VLOOKUP(U71,'G-3 Multipliers'!$L$3:$N$6,3,FALSE)=0,"Spatial Data Missing ⚠",VLOOKUP(U71,'G-3 Multipliers'!$L$3:$N$6,3,FALSE)))</f>
        <v/>
      </c>
      <c r="X71" s="290" t="str">
        <f>IFERROR(IF(OR(LEFT(O71,5)="Error",LEFT(N71,5)="Error",T71="Error"),"Check Data ⚠",IF(F71&lt;R71,INDEX('G-6 Hedgerow Data'!$S$3:$AE$14,MATCH(C71,'G-6 Hedgerow Data'!$B$3:$B$14,0),MATCH(M71,'G-6 Hedgerow Data'!$S$2:$AE$2,0)),INDEX('G-6 Hedgerow Data'!$K$3:$Q$14,MATCH(M71,'G-6 Hedgerow Data'!$B$3:$B$14,0),MATCH(O71,'G-6 Hedgerow Data'!$K$2:$Q$2,0)))),"")</f>
        <v/>
      </c>
      <c r="Y71" s="138"/>
      <c r="Z71" s="138"/>
      <c r="AA71" s="298" t="str">
        <f t="shared" si="2"/>
        <v/>
      </c>
      <c r="AB71" s="311" t="str">
        <f t="shared" si="3"/>
        <v/>
      </c>
      <c r="AC71" s="312" t="str">
        <f t="shared" si="0"/>
        <v/>
      </c>
      <c r="AD71" s="325" t="str">
        <f>IF(M71="","",VLOOKUP(M71,'G-6 Hedgerow Data'!$B$3:$AG$15,31,FALSE))</f>
        <v/>
      </c>
      <c r="AE71" s="298" t="str">
        <f t="shared" si="4"/>
        <v/>
      </c>
      <c r="AF71" s="298" t="str">
        <f t="shared" si="5"/>
        <v/>
      </c>
      <c r="AG71" s="314" t="str">
        <f>IFERROR(IF(O71="","",VLOOKUP(AD71,'G-3 Multipliers'!$P$3:$Q$6,2,FALSE)),"")</f>
        <v/>
      </c>
      <c r="AH71" s="304" t="str">
        <f t="shared" si="6"/>
        <v/>
      </c>
      <c r="AI71" s="157"/>
      <c r="AJ71" s="99"/>
      <c r="AK71" s="101"/>
      <c r="AT71" s="15" t="str">
        <f>IFERROR(INDEX('G-6 Hedgerow Data'!$BJ$3:$BJ$15,MATCH(M71,'G-6 Hedgerow Data'!$B$3:$B$15,0)),"")</f>
        <v/>
      </c>
    </row>
    <row r="72" spans="2:46" ht="14" x14ac:dyDescent="0.3">
      <c r="B72" s="319" t="str">
        <f>'B-1 On-Site Hedge Baseline'!AK70</f>
        <v/>
      </c>
      <c r="C72" s="310" t="str">
        <f>IF(B72="","",IF(ISNA(VLOOKUP($B72,'B-1 On-Site Hedge Baseline'!$B$1:$L$257,3,FALSE)),"",(VLOOKUP($B72,'B-1 On-Site Hedge Baseline'!$B$1:$L$257,3,FALSE))))</f>
        <v/>
      </c>
      <c r="D72" s="310" t="str">
        <f>IF(B72="","",IF(ISNA(VLOOKUP($B72,'B-1 On-Site Hedge Baseline'!$B$1:$L$257,4,FALSE)),"",(VLOOKUP($B72,'B-1 On-Site Hedge Baseline'!$B$1:$L$257,4,FALSE))))</f>
        <v/>
      </c>
      <c r="E72" s="310" t="str">
        <f>IF(B72="","",IF(ISNA(VLOOKUP($B72,'B-1 On-Site Hedge Baseline'!$B$1:$L$257,5,FALSE)),"",(VLOOKUP($B72,'B-1 On-Site Hedge Baseline'!$B$1:$L$257,5,FALSE))))</f>
        <v/>
      </c>
      <c r="F72" s="310" t="str">
        <f>IF(B72="","",IF(ISNA(VLOOKUP($B72,'B-1 On-Site Hedge Baseline'!$B$1:$L$257,6,FALSE)),"",(VLOOKUP($B72,'B-1 On-Site Hedge Baseline'!$B$1:$L$257,6,FALSE))))</f>
        <v/>
      </c>
      <c r="G72" s="310" t="str">
        <f>IF(B72="","",IF(ISNA(VLOOKUP($B72,'B-1 On-Site Hedge Baseline'!$B$1:$L$257,7,FALSE)),"",(VLOOKUP($B72,'B-1 On-Site Hedge Baseline'!$B$1:$L$257,7,FALSE))))</f>
        <v/>
      </c>
      <c r="H72" s="310" t="str">
        <f>IF(B72="","",IF(ISNA(VLOOKUP($B72,'B-1 On-Site Hedge Baseline'!$B$1:$L$257,8,FALSE)),"",(VLOOKUP($B72,'B-1 On-Site Hedge Baseline'!$B$1:$L$257,8,FALSE))))</f>
        <v/>
      </c>
      <c r="I72" s="310" t="str">
        <f>IF(B72="","",IF(ISNA(VLOOKUP($B72,'B-1 On-Site Hedge Baseline'!$B$1:$L$257,10,FALSE)),"",(VLOOKUP($B72,'B-1 On-Site Hedge Baseline'!$B$1:$L$257,10,FALSE))))</f>
        <v/>
      </c>
      <c r="J72" s="310" t="str">
        <f>IF(B72="","",IF(ISNA(VLOOKUP($B72,'B-1 On-Site Hedge Baseline'!$B$1:$L$257,11,FALSE)),"",(VLOOKUP($B72,'B-1 On-Site Hedge Baseline'!$B$1:$L$257,11,FALSE))))</f>
        <v/>
      </c>
      <c r="K72" s="310" t="str">
        <f>IF(B72="","",IF(ISNA(VLOOKUP($B72,'B-1 On-Site Hedge Baseline'!$B$1:$U$257,13,FALSE)),"",(VLOOKUP($B72,'B-1 On-Site Hedge Baseline'!$B$1:$U$257,13,FALSE))))</f>
        <v/>
      </c>
      <c r="L72" s="314" t="str">
        <f>IF(B72="","",IF(ISNA(VLOOKUP($B72,'B-1 On-Site Hedge Baseline'!$B$1:$U$257,12,FALSE)),"",(VLOOKUP($B72,'B-1 On-Site Hedge Baseline'!$B$1:$U$257,12,FALSE))))</f>
        <v/>
      </c>
      <c r="M72" s="583"/>
      <c r="N72" s="290" t="str">
        <f>IFERROR(IF(B72="","",INDEX('G-6 Hedgerow Data'!$AN$3:$AZ$15,MATCH(C72,'G-6 Hedgerow Data'!$AM$3:$AM$15,0),MATCH(M72,'G-6 Hedgerow Data'!$AN$2:$AZ$2,0))),"")</f>
        <v/>
      </c>
      <c r="O72" s="291" t="str">
        <f t="shared" si="1"/>
        <v/>
      </c>
      <c r="P72" s="341" t="str">
        <f>IF(B72="","",VLOOKUP(B72,'B-1 On-Site Hedge Baseline'!$B$10:T317,16,FALSE))</f>
        <v/>
      </c>
      <c r="Q72" s="290" t="str">
        <f>IF(M72="","",VLOOKUP(M72,'G-6 Hedgerow Data'!$B$2:$AG$15,2,FALSE))</f>
        <v/>
      </c>
      <c r="R72" s="291" t="str">
        <f>IF(M72="","",VLOOKUP(M72,'G-6 Hedgerow Data'!$B$2:$AG$15,3,FALSE))</f>
        <v/>
      </c>
      <c r="S72" s="106"/>
      <c r="T72" s="328" t="str">
        <f>IFERROR(IF(S72="","",IF(AND(M72="Non-native and ornamental hedgerow", S72&lt;&gt;"Poor"),"Not possible ▲", (VLOOKUP(S72,'G-1 All Habitats'!$Z$2:$AA$9,2,FALSE)))),"")</f>
        <v/>
      </c>
      <c r="U72" s="103"/>
      <c r="V72" s="310" t="str">
        <f>IF(U72="","",IF(VLOOKUP(U72,'G-3 Multipliers'!$L$3:$N$6,2,FALSE)=0,"Spatial Data Missing ⚠",VLOOKUP(U72,'G-3 Multipliers'!$L$3:$N$6,2,FALSE)))</f>
        <v/>
      </c>
      <c r="W72" s="314" t="str">
        <f>IF(U72="","",IF(VLOOKUP(U72,'G-3 Multipliers'!$L$3:$N$6,3,FALSE)=0,"Spatial Data Missing ⚠",VLOOKUP(U72,'G-3 Multipliers'!$L$3:$N$6,3,FALSE)))</f>
        <v/>
      </c>
      <c r="X72" s="290" t="str">
        <f>IFERROR(IF(OR(LEFT(O72,5)="Error",LEFT(N72,5)="Error",T72="Error"),"Check Data ⚠",IF(F72&lt;R72,INDEX('G-6 Hedgerow Data'!$S$3:$AE$14,MATCH(C72,'G-6 Hedgerow Data'!$B$3:$B$14,0),MATCH(M72,'G-6 Hedgerow Data'!$S$2:$AE$2,0)),INDEX('G-6 Hedgerow Data'!$K$3:$Q$14,MATCH(M72,'G-6 Hedgerow Data'!$B$3:$B$14,0),MATCH(O72,'G-6 Hedgerow Data'!$K$2:$Q$2,0)))),"")</f>
        <v/>
      </c>
      <c r="Y72" s="138"/>
      <c r="Z72" s="138"/>
      <c r="AA72" s="298" t="str">
        <f t="shared" si="2"/>
        <v/>
      </c>
      <c r="AB72" s="311" t="str">
        <f t="shared" si="3"/>
        <v/>
      </c>
      <c r="AC72" s="312" t="str">
        <f t="shared" si="0"/>
        <v/>
      </c>
      <c r="AD72" s="325" t="str">
        <f>IF(M72="","",VLOOKUP(M72,'G-6 Hedgerow Data'!$B$3:$AG$15,31,FALSE))</f>
        <v/>
      </c>
      <c r="AE72" s="298" t="str">
        <f t="shared" si="4"/>
        <v/>
      </c>
      <c r="AF72" s="298" t="str">
        <f t="shared" si="5"/>
        <v/>
      </c>
      <c r="AG72" s="314" t="str">
        <f>IFERROR(IF(O72="","",VLOOKUP(AD72,'G-3 Multipliers'!$P$3:$Q$6,2,FALSE)),"")</f>
        <v/>
      </c>
      <c r="AH72" s="304" t="str">
        <f t="shared" si="6"/>
        <v/>
      </c>
      <c r="AI72" s="157"/>
      <c r="AJ72" s="99"/>
      <c r="AK72" s="101"/>
      <c r="AT72" s="15" t="str">
        <f>IFERROR(INDEX('G-6 Hedgerow Data'!$BJ$3:$BJ$15,MATCH(M72,'G-6 Hedgerow Data'!$B$3:$B$15,0)),"")</f>
        <v/>
      </c>
    </row>
    <row r="73" spans="2:46" ht="14" x14ac:dyDescent="0.3">
      <c r="B73" s="319" t="str">
        <f>'B-1 On-Site Hedge Baseline'!AK71</f>
        <v/>
      </c>
      <c r="C73" s="310" t="str">
        <f>IF(B73="","",IF(ISNA(VLOOKUP($B73,'B-1 On-Site Hedge Baseline'!$B$1:$L$257,3,FALSE)),"",(VLOOKUP($B73,'B-1 On-Site Hedge Baseline'!$B$1:$L$257,3,FALSE))))</f>
        <v/>
      </c>
      <c r="D73" s="310" t="str">
        <f>IF(B73="","",IF(ISNA(VLOOKUP($B73,'B-1 On-Site Hedge Baseline'!$B$1:$L$257,4,FALSE)),"",(VLOOKUP($B73,'B-1 On-Site Hedge Baseline'!$B$1:$L$257,4,FALSE))))</f>
        <v/>
      </c>
      <c r="E73" s="310" t="str">
        <f>IF(B73="","",IF(ISNA(VLOOKUP($B73,'B-1 On-Site Hedge Baseline'!$B$1:$L$257,5,FALSE)),"",(VLOOKUP($B73,'B-1 On-Site Hedge Baseline'!$B$1:$L$257,5,FALSE))))</f>
        <v/>
      </c>
      <c r="F73" s="310" t="str">
        <f>IF(B73="","",IF(ISNA(VLOOKUP($B73,'B-1 On-Site Hedge Baseline'!$B$1:$L$257,6,FALSE)),"",(VLOOKUP($B73,'B-1 On-Site Hedge Baseline'!$B$1:$L$257,6,FALSE))))</f>
        <v/>
      </c>
      <c r="G73" s="310" t="str">
        <f>IF(B73="","",IF(ISNA(VLOOKUP($B73,'B-1 On-Site Hedge Baseline'!$B$1:$L$257,7,FALSE)),"",(VLOOKUP($B73,'B-1 On-Site Hedge Baseline'!$B$1:$L$257,7,FALSE))))</f>
        <v/>
      </c>
      <c r="H73" s="310" t="str">
        <f>IF(B73="","",IF(ISNA(VLOOKUP($B73,'B-1 On-Site Hedge Baseline'!$B$1:$L$257,8,FALSE)),"",(VLOOKUP($B73,'B-1 On-Site Hedge Baseline'!$B$1:$L$257,8,FALSE))))</f>
        <v/>
      </c>
      <c r="I73" s="310" t="str">
        <f>IF(B73="","",IF(ISNA(VLOOKUP($B73,'B-1 On-Site Hedge Baseline'!$B$1:$L$257,10,FALSE)),"",(VLOOKUP($B73,'B-1 On-Site Hedge Baseline'!$B$1:$L$257,10,FALSE))))</f>
        <v/>
      </c>
      <c r="J73" s="310" t="str">
        <f>IF(B73="","",IF(ISNA(VLOOKUP($B73,'B-1 On-Site Hedge Baseline'!$B$1:$L$257,11,FALSE)),"",(VLOOKUP($B73,'B-1 On-Site Hedge Baseline'!$B$1:$L$257,11,FALSE))))</f>
        <v/>
      </c>
      <c r="K73" s="310" t="str">
        <f>IF(B73="","",IF(ISNA(VLOOKUP($B73,'B-1 On-Site Hedge Baseline'!$B$1:$U$257,13,FALSE)),"",(VLOOKUP($B73,'B-1 On-Site Hedge Baseline'!$B$1:$U$257,13,FALSE))))</f>
        <v/>
      </c>
      <c r="L73" s="314" t="str">
        <f>IF(B73="","",IF(ISNA(VLOOKUP($B73,'B-1 On-Site Hedge Baseline'!$B$1:$U$257,12,FALSE)),"",(VLOOKUP($B73,'B-1 On-Site Hedge Baseline'!$B$1:$U$257,12,FALSE))))</f>
        <v/>
      </c>
      <c r="M73" s="583"/>
      <c r="N73" s="290" t="str">
        <f>IFERROR(IF(B73="","",INDEX('G-6 Hedgerow Data'!$AN$3:$AZ$15,MATCH(C73,'G-6 Hedgerow Data'!$AM$3:$AM$15,0),MATCH(M73,'G-6 Hedgerow Data'!$AN$2:$AZ$2,0))),"")</f>
        <v/>
      </c>
      <c r="O73" s="291" t="str">
        <f t="shared" si="1"/>
        <v/>
      </c>
      <c r="P73" s="341" t="str">
        <f>IF(B73="","",VLOOKUP(B73,'B-1 On-Site Hedge Baseline'!$B$10:T318,16,FALSE))</f>
        <v/>
      </c>
      <c r="Q73" s="290" t="str">
        <f>IF(M73="","",VLOOKUP(M73,'G-6 Hedgerow Data'!$B$2:$AG$15,2,FALSE))</f>
        <v/>
      </c>
      <c r="R73" s="291" t="str">
        <f>IF(M73="","",VLOOKUP(M73,'G-6 Hedgerow Data'!$B$2:$AG$15,3,FALSE))</f>
        <v/>
      </c>
      <c r="S73" s="106"/>
      <c r="T73" s="328" t="str">
        <f>IFERROR(IF(S73="","",IF(AND(M73="Non-native and ornamental hedgerow", S73&lt;&gt;"Poor"),"Not possible ▲", (VLOOKUP(S73,'G-1 All Habitats'!$Z$2:$AA$9,2,FALSE)))),"")</f>
        <v/>
      </c>
      <c r="U73" s="103"/>
      <c r="V73" s="310" t="str">
        <f>IF(U73="","",IF(VLOOKUP(U73,'G-3 Multipliers'!$L$3:$N$6,2,FALSE)=0,"Spatial Data Missing ⚠",VLOOKUP(U73,'G-3 Multipliers'!$L$3:$N$6,2,FALSE)))</f>
        <v/>
      </c>
      <c r="W73" s="314" t="str">
        <f>IF(U73="","",IF(VLOOKUP(U73,'G-3 Multipliers'!$L$3:$N$6,3,FALSE)=0,"Spatial Data Missing ⚠",VLOOKUP(U73,'G-3 Multipliers'!$L$3:$N$6,3,FALSE)))</f>
        <v/>
      </c>
      <c r="X73" s="290" t="str">
        <f>IFERROR(IF(OR(LEFT(O73,5)="Error",LEFT(N73,5)="Error",T73="Error"),"Check Data ⚠",IF(F73&lt;R73,INDEX('G-6 Hedgerow Data'!$S$3:$AE$14,MATCH(C73,'G-6 Hedgerow Data'!$B$3:$B$14,0),MATCH(M73,'G-6 Hedgerow Data'!$S$2:$AE$2,0)),INDEX('G-6 Hedgerow Data'!$K$3:$Q$14,MATCH(M73,'G-6 Hedgerow Data'!$B$3:$B$14,0),MATCH(O73,'G-6 Hedgerow Data'!$K$2:$Q$2,0)))),"")</f>
        <v/>
      </c>
      <c r="Y73" s="138"/>
      <c r="Z73" s="138"/>
      <c r="AA73" s="298" t="str">
        <f t="shared" si="2"/>
        <v/>
      </c>
      <c r="AB73" s="311" t="str">
        <f t="shared" si="3"/>
        <v/>
      </c>
      <c r="AC73" s="312" t="str">
        <f t="shared" si="0"/>
        <v/>
      </c>
      <c r="AD73" s="325" t="str">
        <f>IF(M73="","",VLOOKUP(M73,'G-6 Hedgerow Data'!$B$3:$AG$15,31,FALSE))</f>
        <v/>
      </c>
      <c r="AE73" s="298" t="str">
        <f t="shared" si="4"/>
        <v/>
      </c>
      <c r="AF73" s="298" t="str">
        <f t="shared" si="5"/>
        <v/>
      </c>
      <c r="AG73" s="314" t="str">
        <f>IFERROR(IF(O73="","",VLOOKUP(AD73,'G-3 Multipliers'!$P$3:$Q$6,2,FALSE)),"")</f>
        <v/>
      </c>
      <c r="AH73" s="304" t="str">
        <f t="shared" si="6"/>
        <v/>
      </c>
      <c r="AI73" s="157"/>
      <c r="AJ73" s="99"/>
      <c r="AK73" s="101"/>
      <c r="AT73" s="15" t="str">
        <f>IFERROR(INDEX('G-6 Hedgerow Data'!$BJ$3:$BJ$15,MATCH(M73,'G-6 Hedgerow Data'!$B$3:$B$15,0)),"")</f>
        <v/>
      </c>
    </row>
    <row r="74" spans="2:46" ht="14" x14ac:dyDescent="0.3">
      <c r="B74" s="319" t="str">
        <f>'B-1 On-Site Hedge Baseline'!AK72</f>
        <v/>
      </c>
      <c r="C74" s="310" t="str">
        <f>IF(B74="","",IF(ISNA(VLOOKUP($B74,'B-1 On-Site Hedge Baseline'!$B$1:$L$257,3,FALSE)),"",(VLOOKUP($B74,'B-1 On-Site Hedge Baseline'!$B$1:$L$257,3,FALSE))))</f>
        <v/>
      </c>
      <c r="D74" s="310" t="str">
        <f>IF(B74="","",IF(ISNA(VLOOKUP($B74,'B-1 On-Site Hedge Baseline'!$B$1:$L$257,4,FALSE)),"",(VLOOKUP($B74,'B-1 On-Site Hedge Baseline'!$B$1:$L$257,4,FALSE))))</f>
        <v/>
      </c>
      <c r="E74" s="310" t="str">
        <f>IF(B74="","",IF(ISNA(VLOOKUP($B74,'B-1 On-Site Hedge Baseline'!$B$1:$L$257,5,FALSE)),"",(VLOOKUP($B74,'B-1 On-Site Hedge Baseline'!$B$1:$L$257,5,FALSE))))</f>
        <v/>
      </c>
      <c r="F74" s="310" t="str">
        <f>IF(B74="","",IF(ISNA(VLOOKUP($B74,'B-1 On-Site Hedge Baseline'!$B$1:$L$257,6,FALSE)),"",(VLOOKUP($B74,'B-1 On-Site Hedge Baseline'!$B$1:$L$257,6,FALSE))))</f>
        <v/>
      </c>
      <c r="G74" s="310" t="str">
        <f>IF(B74="","",IF(ISNA(VLOOKUP($B74,'B-1 On-Site Hedge Baseline'!$B$1:$L$257,7,FALSE)),"",(VLOOKUP($B74,'B-1 On-Site Hedge Baseline'!$B$1:$L$257,7,FALSE))))</f>
        <v/>
      </c>
      <c r="H74" s="310" t="str">
        <f>IF(B74="","",IF(ISNA(VLOOKUP($B74,'B-1 On-Site Hedge Baseline'!$B$1:$L$257,8,FALSE)),"",(VLOOKUP($B74,'B-1 On-Site Hedge Baseline'!$B$1:$L$257,8,FALSE))))</f>
        <v/>
      </c>
      <c r="I74" s="310" t="str">
        <f>IF(B74="","",IF(ISNA(VLOOKUP($B74,'B-1 On-Site Hedge Baseline'!$B$1:$L$257,10,FALSE)),"",(VLOOKUP($B74,'B-1 On-Site Hedge Baseline'!$B$1:$L$257,10,FALSE))))</f>
        <v/>
      </c>
      <c r="J74" s="310" t="str">
        <f>IF(B74="","",IF(ISNA(VLOOKUP($B74,'B-1 On-Site Hedge Baseline'!$B$1:$L$257,11,FALSE)),"",(VLOOKUP($B74,'B-1 On-Site Hedge Baseline'!$B$1:$L$257,11,FALSE))))</f>
        <v/>
      </c>
      <c r="K74" s="310" t="str">
        <f>IF(B74="","",IF(ISNA(VLOOKUP($B74,'B-1 On-Site Hedge Baseline'!$B$1:$U$257,13,FALSE)),"",(VLOOKUP($B74,'B-1 On-Site Hedge Baseline'!$B$1:$U$257,13,FALSE))))</f>
        <v/>
      </c>
      <c r="L74" s="314" t="str">
        <f>IF(B74="","",IF(ISNA(VLOOKUP($B74,'B-1 On-Site Hedge Baseline'!$B$1:$U$257,12,FALSE)),"",(VLOOKUP($B74,'B-1 On-Site Hedge Baseline'!$B$1:$U$257,12,FALSE))))</f>
        <v/>
      </c>
      <c r="M74" s="583"/>
      <c r="N74" s="290" t="str">
        <f>IFERROR(IF(B74="","",INDEX('G-6 Hedgerow Data'!$AN$3:$AZ$15,MATCH(C74,'G-6 Hedgerow Data'!$AM$3:$AM$15,0),MATCH(M74,'G-6 Hedgerow Data'!$AN$2:$AZ$2,0))),"")</f>
        <v/>
      </c>
      <c r="O74" s="291" t="str">
        <f t="shared" si="1"/>
        <v/>
      </c>
      <c r="P74" s="341" t="str">
        <f>IF(B74="","",VLOOKUP(B74,'B-1 On-Site Hedge Baseline'!$B$10:T319,16,FALSE))</f>
        <v/>
      </c>
      <c r="Q74" s="290" t="str">
        <f>IF(M74="","",VLOOKUP(M74,'G-6 Hedgerow Data'!$B$2:$AG$15,2,FALSE))</f>
        <v/>
      </c>
      <c r="R74" s="291" t="str">
        <f>IF(M74="","",VLOOKUP(M74,'G-6 Hedgerow Data'!$B$2:$AG$15,3,FALSE))</f>
        <v/>
      </c>
      <c r="S74" s="106"/>
      <c r="T74" s="328" t="str">
        <f>IFERROR(IF(S74="","",IF(AND(M74="Non-native and ornamental hedgerow", S74&lt;&gt;"Poor"),"Not possible ▲", (VLOOKUP(S74,'G-1 All Habitats'!$Z$2:$AA$9,2,FALSE)))),"")</f>
        <v/>
      </c>
      <c r="U74" s="103"/>
      <c r="V74" s="310" t="str">
        <f>IF(U74="","",IF(VLOOKUP(U74,'G-3 Multipliers'!$L$3:$N$6,2,FALSE)=0,"Spatial Data Missing ⚠",VLOOKUP(U74,'G-3 Multipliers'!$L$3:$N$6,2,FALSE)))</f>
        <v/>
      </c>
      <c r="W74" s="314" t="str">
        <f>IF(U74="","",IF(VLOOKUP(U74,'G-3 Multipliers'!$L$3:$N$6,3,FALSE)=0,"Spatial Data Missing ⚠",VLOOKUP(U74,'G-3 Multipliers'!$L$3:$N$6,3,FALSE)))</f>
        <v/>
      </c>
      <c r="X74" s="290" t="str">
        <f>IFERROR(IF(OR(LEFT(O74,5)="Error",LEFT(N74,5)="Error",T74="Error"),"Check Data ⚠",IF(F74&lt;R74,INDEX('G-6 Hedgerow Data'!$S$3:$AE$14,MATCH(C74,'G-6 Hedgerow Data'!$B$3:$B$14,0),MATCH(M74,'G-6 Hedgerow Data'!$S$2:$AE$2,0)),INDEX('G-6 Hedgerow Data'!$K$3:$Q$14,MATCH(M74,'G-6 Hedgerow Data'!$B$3:$B$14,0),MATCH(O74,'G-6 Hedgerow Data'!$K$2:$Q$2,0)))),"")</f>
        <v/>
      </c>
      <c r="Y74" s="138"/>
      <c r="Z74" s="138"/>
      <c r="AA74" s="298" t="str">
        <f t="shared" si="2"/>
        <v/>
      </c>
      <c r="AB74" s="311" t="str">
        <f t="shared" si="3"/>
        <v/>
      </c>
      <c r="AC74" s="312" t="str">
        <f t="shared" si="0"/>
        <v/>
      </c>
      <c r="AD74" s="325" t="str">
        <f>IF(M74="","",VLOOKUP(M74,'G-6 Hedgerow Data'!$B$3:$AG$15,31,FALSE))</f>
        <v/>
      </c>
      <c r="AE74" s="298" t="str">
        <f t="shared" si="4"/>
        <v/>
      </c>
      <c r="AF74" s="298" t="str">
        <f t="shared" si="5"/>
        <v/>
      </c>
      <c r="AG74" s="314" t="str">
        <f>IFERROR(IF(O74="","",VLOOKUP(AD74,'G-3 Multipliers'!$P$3:$Q$6,2,FALSE)),"")</f>
        <v/>
      </c>
      <c r="AH74" s="304" t="str">
        <f t="shared" si="6"/>
        <v/>
      </c>
      <c r="AI74" s="157"/>
      <c r="AJ74" s="99"/>
      <c r="AK74" s="101"/>
      <c r="AT74" s="15" t="str">
        <f>IFERROR(INDEX('G-6 Hedgerow Data'!$BJ$3:$BJ$15,MATCH(M74,'G-6 Hedgerow Data'!$B$3:$B$15,0)),"")</f>
        <v/>
      </c>
    </row>
    <row r="75" spans="2:46" ht="14" x14ac:dyDescent="0.3">
      <c r="B75" s="319" t="str">
        <f>'B-1 On-Site Hedge Baseline'!AK73</f>
        <v/>
      </c>
      <c r="C75" s="310" t="str">
        <f>IF(B75="","",IF(ISNA(VLOOKUP($B75,'B-1 On-Site Hedge Baseline'!$B$1:$L$257,3,FALSE)),"",(VLOOKUP($B75,'B-1 On-Site Hedge Baseline'!$B$1:$L$257,3,FALSE))))</f>
        <v/>
      </c>
      <c r="D75" s="310" t="str">
        <f>IF(B75="","",IF(ISNA(VLOOKUP($B75,'B-1 On-Site Hedge Baseline'!$B$1:$L$257,4,FALSE)),"",(VLOOKUP($B75,'B-1 On-Site Hedge Baseline'!$B$1:$L$257,4,FALSE))))</f>
        <v/>
      </c>
      <c r="E75" s="310" t="str">
        <f>IF(B75="","",IF(ISNA(VLOOKUP($B75,'B-1 On-Site Hedge Baseline'!$B$1:$L$257,5,FALSE)),"",(VLOOKUP($B75,'B-1 On-Site Hedge Baseline'!$B$1:$L$257,5,FALSE))))</f>
        <v/>
      </c>
      <c r="F75" s="310" t="str">
        <f>IF(B75="","",IF(ISNA(VLOOKUP($B75,'B-1 On-Site Hedge Baseline'!$B$1:$L$257,6,FALSE)),"",(VLOOKUP($B75,'B-1 On-Site Hedge Baseline'!$B$1:$L$257,6,FALSE))))</f>
        <v/>
      </c>
      <c r="G75" s="310" t="str">
        <f>IF(B75="","",IF(ISNA(VLOOKUP($B75,'B-1 On-Site Hedge Baseline'!$B$1:$L$257,7,FALSE)),"",(VLOOKUP($B75,'B-1 On-Site Hedge Baseline'!$B$1:$L$257,7,FALSE))))</f>
        <v/>
      </c>
      <c r="H75" s="310" t="str">
        <f>IF(B75="","",IF(ISNA(VLOOKUP($B75,'B-1 On-Site Hedge Baseline'!$B$1:$L$257,8,FALSE)),"",(VLOOKUP($B75,'B-1 On-Site Hedge Baseline'!$B$1:$L$257,8,FALSE))))</f>
        <v/>
      </c>
      <c r="I75" s="310" t="str">
        <f>IF(B75="","",IF(ISNA(VLOOKUP($B75,'B-1 On-Site Hedge Baseline'!$B$1:$L$257,10,FALSE)),"",(VLOOKUP($B75,'B-1 On-Site Hedge Baseline'!$B$1:$L$257,10,FALSE))))</f>
        <v/>
      </c>
      <c r="J75" s="310" t="str">
        <f>IF(B75="","",IF(ISNA(VLOOKUP($B75,'B-1 On-Site Hedge Baseline'!$B$1:$L$257,11,FALSE)),"",(VLOOKUP($B75,'B-1 On-Site Hedge Baseline'!$B$1:$L$257,11,FALSE))))</f>
        <v/>
      </c>
      <c r="K75" s="310" t="str">
        <f>IF(B75="","",IF(ISNA(VLOOKUP($B75,'B-1 On-Site Hedge Baseline'!$B$1:$U$257,13,FALSE)),"",(VLOOKUP($B75,'B-1 On-Site Hedge Baseline'!$B$1:$U$257,13,FALSE))))</f>
        <v/>
      </c>
      <c r="L75" s="314" t="str">
        <f>IF(B75="","",IF(ISNA(VLOOKUP($B75,'B-1 On-Site Hedge Baseline'!$B$1:$U$257,12,FALSE)),"",(VLOOKUP($B75,'B-1 On-Site Hedge Baseline'!$B$1:$U$257,12,FALSE))))</f>
        <v/>
      </c>
      <c r="M75" s="583"/>
      <c r="N75" s="290" t="str">
        <f>IFERROR(IF(B75="","",INDEX('G-6 Hedgerow Data'!$AN$3:$AZ$15,MATCH(C75,'G-6 Hedgerow Data'!$AM$3:$AM$15,0),MATCH(M75,'G-6 Hedgerow Data'!$AN$2:$AZ$2,0))),"")</f>
        <v/>
      </c>
      <c r="O75" s="291" t="str">
        <f t="shared" si="1"/>
        <v/>
      </c>
      <c r="P75" s="341" t="str">
        <f>IF(B75="","",VLOOKUP(B75,'B-1 On-Site Hedge Baseline'!$B$10:T320,16,FALSE))</f>
        <v/>
      </c>
      <c r="Q75" s="290" t="str">
        <f>IF(M75="","",VLOOKUP(M75,'G-6 Hedgerow Data'!$B$2:$AG$15,2,FALSE))</f>
        <v/>
      </c>
      <c r="R75" s="291" t="str">
        <f>IF(M75="","",VLOOKUP(M75,'G-6 Hedgerow Data'!$B$2:$AG$15,3,FALSE))</f>
        <v/>
      </c>
      <c r="S75" s="106"/>
      <c r="T75" s="328" t="str">
        <f>IFERROR(IF(S75="","",IF(AND(M75="Non-native and ornamental hedgerow", S75&lt;&gt;"Poor"),"Not possible ▲", (VLOOKUP(S75,'G-1 All Habitats'!$Z$2:$AA$9,2,FALSE)))),"")</f>
        <v/>
      </c>
      <c r="U75" s="103"/>
      <c r="V75" s="310" t="str">
        <f>IF(U75="","",IF(VLOOKUP(U75,'G-3 Multipliers'!$L$3:$N$6,2,FALSE)=0,"Spatial Data Missing ⚠",VLOOKUP(U75,'G-3 Multipliers'!$L$3:$N$6,2,FALSE)))</f>
        <v/>
      </c>
      <c r="W75" s="314" t="str">
        <f>IF(U75="","",IF(VLOOKUP(U75,'G-3 Multipliers'!$L$3:$N$6,3,FALSE)=0,"Spatial Data Missing ⚠",VLOOKUP(U75,'G-3 Multipliers'!$L$3:$N$6,3,FALSE)))</f>
        <v/>
      </c>
      <c r="X75" s="290" t="str">
        <f>IFERROR(IF(OR(LEFT(O75,5)="Error",LEFT(N75,5)="Error",T75="Error"),"Check Data ⚠",IF(F75&lt;R75,INDEX('G-6 Hedgerow Data'!$S$3:$AE$14,MATCH(C75,'G-6 Hedgerow Data'!$B$3:$B$14,0),MATCH(M75,'G-6 Hedgerow Data'!$S$2:$AE$2,0)),INDEX('G-6 Hedgerow Data'!$K$3:$Q$14,MATCH(M75,'G-6 Hedgerow Data'!$B$3:$B$14,0),MATCH(O75,'G-6 Hedgerow Data'!$K$2:$Q$2,0)))),"")</f>
        <v/>
      </c>
      <c r="Y75" s="138"/>
      <c r="Z75" s="138"/>
      <c r="AA75" s="298" t="str">
        <f t="shared" si="2"/>
        <v/>
      </c>
      <c r="AB75" s="311" t="str">
        <f t="shared" si="3"/>
        <v/>
      </c>
      <c r="AC75" s="312" t="str">
        <f t="shared" si="0"/>
        <v/>
      </c>
      <c r="AD75" s="325" t="str">
        <f>IF(M75="","",VLOOKUP(M75,'G-6 Hedgerow Data'!$B$3:$AG$15,31,FALSE))</f>
        <v/>
      </c>
      <c r="AE75" s="298" t="str">
        <f t="shared" si="4"/>
        <v/>
      </c>
      <c r="AF75" s="298" t="str">
        <f t="shared" si="5"/>
        <v/>
      </c>
      <c r="AG75" s="314" t="str">
        <f>IFERROR(IF(O75="","",VLOOKUP(AD75,'G-3 Multipliers'!$P$3:$Q$6,2,FALSE)),"")</f>
        <v/>
      </c>
      <c r="AH75" s="304" t="str">
        <f t="shared" si="6"/>
        <v/>
      </c>
      <c r="AI75" s="157"/>
      <c r="AJ75" s="99"/>
      <c r="AK75" s="101"/>
      <c r="AT75" s="15" t="str">
        <f>IFERROR(INDEX('G-6 Hedgerow Data'!$BJ$3:$BJ$15,MATCH(M75,'G-6 Hedgerow Data'!$B$3:$B$15,0)),"")</f>
        <v/>
      </c>
    </row>
    <row r="76" spans="2:46" ht="14" x14ac:dyDescent="0.3">
      <c r="B76" s="319" t="str">
        <f>'B-1 On-Site Hedge Baseline'!AK74</f>
        <v/>
      </c>
      <c r="C76" s="310" t="str">
        <f>IF(B76="","",IF(ISNA(VLOOKUP($B76,'B-1 On-Site Hedge Baseline'!$B$1:$L$257,3,FALSE)),"",(VLOOKUP($B76,'B-1 On-Site Hedge Baseline'!$B$1:$L$257,3,FALSE))))</f>
        <v/>
      </c>
      <c r="D76" s="310" t="str">
        <f>IF(B76="","",IF(ISNA(VLOOKUP($B76,'B-1 On-Site Hedge Baseline'!$B$1:$L$257,4,FALSE)),"",(VLOOKUP($B76,'B-1 On-Site Hedge Baseline'!$B$1:$L$257,4,FALSE))))</f>
        <v/>
      </c>
      <c r="E76" s="310" t="str">
        <f>IF(B76="","",IF(ISNA(VLOOKUP($B76,'B-1 On-Site Hedge Baseline'!$B$1:$L$257,5,FALSE)),"",(VLOOKUP($B76,'B-1 On-Site Hedge Baseline'!$B$1:$L$257,5,FALSE))))</f>
        <v/>
      </c>
      <c r="F76" s="310" t="str">
        <f>IF(B76="","",IF(ISNA(VLOOKUP($B76,'B-1 On-Site Hedge Baseline'!$B$1:$L$257,6,FALSE)),"",(VLOOKUP($B76,'B-1 On-Site Hedge Baseline'!$B$1:$L$257,6,FALSE))))</f>
        <v/>
      </c>
      <c r="G76" s="310" t="str">
        <f>IF(B76="","",IF(ISNA(VLOOKUP($B76,'B-1 On-Site Hedge Baseline'!$B$1:$L$257,7,FALSE)),"",(VLOOKUP($B76,'B-1 On-Site Hedge Baseline'!$B$1:$L$257,7,FALSE))))</f>
        <v/>
      </c>
      <c r="H76" s="310" t="str">
        <f>IF(B76="","",IF(ISNA(VLOOKUP($B76,'B-1 On-Site Hedge Baseline'!$B$1:$L$257,8,FALSE)),"",(VLOOKUP($B76,'B-1 On-Site Hedge Baseline'!$B$1:$L$257,8,FALSE))))</f>
        <v/>
      </c>
      <c r="I76" s="310" t="str">
        <f>IF(B76="","",IF(ISNA(VLOOKUP($B76,'B-1 On-Site Hedge Baseline'!$B$1:$L$257,10,FALSE)),"",(VLOOKUP($B76,'B-1 On-Site Hedge Baseline'!$B$1:$L$257,10,FALSE))))</f>
        <v/>
      </c>
      <c r="J76" s="310" t="str">
        <f>IF(B76="","",IF(ISNA(VLOOKUP($B76,'B-1 On-Site Hedge Baseline'!$B$1:$L$257,11,FALSE)),"",(VLOOKUP($B76,'B-1 On-Site Hedge Baseline'!$B$1:$L$257,11,FALSE))))</f>
        <v/>
      </c>
      <c r="K76" s="310" t="str">
        <f>IF(B76="","",IF(ISNA(VLOOKUP($B76,'B-1 On-Site Hedge Baseline'!$B$1:$U$257,13,FALSE)),"",(VLOOKUP($B76,'B-1 On-Site Hedge Baseline'!$B$1:$U$257,13,FALSE))))</f>
        <v/>
      </c>
      <c r="L76" s="314" t="str">
        <f>IF(B76="","",IF(ISNA(VLOOKUP($B76,'B-1 On-Site Hedge Baseline'!$B$1:$U$257,12,FALSE)),"",(VLOOKUP($B76,'B-1 On-Site Hedge Baseline'!$B$1:$U$257,12,FALSE))))</f>
        <v/>
      </c>
      <c r="M76" s="583"/>
      <c r="N76" s="290" t="str">
        <f>IFERROR(IF(B76="","",INDEX('G-6 Hedgerow Data'!$AN$3:$AZ$15,MATCH(C76,'G-6 Hedgerow Data'!$AM$3:$AM$15,0),MATCH(M76,'G-6 Hedgerow Data'!$AN$2:$AZ$2,0))),"")</f>
        <v/>
      </c>
      <c r="O76" s="291" t="str">
        <f t="shared" si="1"/>
        <v/>
      </c>
      <c r="P76" s="341" t="str">
        <f>IF(B76="","",VLOOKUP(B76,'B-1 On-Site Hedge Baseline'!$B$10:T321,16,FALSE))</f>
        <v/>
      </c>
      <c r="Q76" s="290" t="str">
        <f>IF(M76="","",VLOOKUP(M76,'G-6 Hedgerow Data'!$B$2:$AG$15,2,FALSE))</f>
        <v/>
      </c>
      <c r="R76" s="291" t="str">
        <f>IF(M76="","",VLOOKUP(M76,'G-6 Hedgerow Data'!$B$2:$AG$15,3,FALSE))</f>
        <v/>
      </c>
      <c r="S76" s="106"/>
      <c r="T76" s="328" t="str">
        <f>IFERROR(IF(S76="","",IF(AND(M76="Non-native and ornamental hedgerow", S76&lt;&gt;"Poor"),"Not possible ▲", (VLOOKUP(S76,'G-1 All Habitats'!$Z$2:$AA$9,2,FALSE)))),"")</f>
        <v/>
      </c>
      <c r="U76" s="103"/>
      <c r="V76" s="310" t="str">
        <f>IF(U76="","",IF(VLOOKUP(U76,'G-3 Multipliers'!$L$3:$N$6,2,FALSE)=0,"Spatial Data Missing ⚠",VLOOKUP(U76,'G-3 Multipliers'!$L$3:$N$6,2,FALSE)))</f>
        <v/>
      </c>
      <c r="W76" s="314" t="str">
        <f>IF(U76="","",IF(VLOOKUP(U76,'G-3 Multipliers'!$L$3:$N$6,3,FALSE)=0,"Spatial Data Missing ⚠",VLOOKUP(U76,'G-3 Multipliers'!$L$3:$N$6,3,FALSE)))</f>
        <v/>
      </c>
      <c r="X76" s="290" t="str">
        <f>IFERROR(IF(OR(LEFT(O76,5)="Error",LEFT(N76,5)="Error",T76="Error"),"Check Data ⚠",IF(F76&lt;R76,INDEX('G-6 Hedgerow Data'!$S$3:$AE$14,MATCH(C76,'G-6 Hedgerow Data'!$B$3:$B$14,0),MATCH(M76,'G-6 Hedgerow Data'!$S$2:$AE$2,0)),INDEX('G-6 Hedgerow Data'!$K$3:$Q$14,MATCH(M76,'G-6 Hedgerow Data'!$B$3:$B$14,0),MATCH(O76,'G-6 Hedgerow Data'!$K$2:$Q$2,0)))),"")</f>
        <v/>
      </c>
      <c r="Y76" s="138"/>
      <c r="Z76" s="138"/>
      <c r="AA76" s="298" t="str">
        <f t="shared" si="2"/>
        <v/>
      </c>
      <c r="AB76" s="311" t="str">
        <f t="shared" si="3"/>
        <v/>
      </c>
      <c r="AC76" s="312" t="str">
        <f t="shared" ref="AC76:AC139" si="7">IF(OR(S76="",M76=""),"",IF(LEFT(AB76,5)="Error ▲","Check Data ⚠",IF(AB76="Check Data ⚠","Check Data ⚠",VLOOKUP(AB76,TemporalMultipliers,3,FALSE))))</f>
        <v/>
      </c>
      <c r="AD76" s="325" t="str">
        <f>IF(M76="","",VLOOKUP(M76,'G-6 Hedgerow Data'!$B$3:$AG$15,31,FALSE))</f>
        <v/>
      </c>
      <c r="AE76" s="298" t="str">
        <f t="shared" si="4"/>
        <v/>
      </c>
      <c r="AF76" s="298" t="str">
        <f t="shared" si="5"/>
        <v/>
      </c>
      <c r="AG76" s="314" t="str">
        <f>IFERROR(IF(O76="","",VLOOKUP(AD76,'G-3 Multipliers'!$P$3:$Q$6,2,FALSE)),"")</f>
        <v/>
      </c>
      <c r="AH76" s="304" t="str">
        <f t="shared" si="6"/>
        <v/>
      </c>
      <c r="AI76" s="157"/>
      <c r="AJ76" s="99"/>
      <c r="AK76" s="101"/>
      <c r="AT76" s="15" t="str">
        <f>IFERROR(INDEX('G-6 Hedgerow Data'!$BJ$3:$BJ$15,MATCH(M76,'G-6 Hedgerow Data'!$B$3:$B$15,0)),"")</f>
        <v/>
      </c>
    </row>
    <row r="77" spans="2:46" ht="14" x14ac:dyDescent="0.3">
      <c r="B77" s="319" t="str">
        <f>'B-1 On-Site Hedge Baseline'!AK75</f>
        <v/>
      </c>
      <c r="C77" s="310" t="str">
        <f>IF(B77="","",IF(ISNA(VLOOKUP($B77,'B-1 On-Site Hedge Baseline'!$B$1:$L$257,3,FALSE)),"",(VLOOKUP($B77,'B-1 On-Site Hedge Baseline'!$B$1:$L$257,3,FALSE))))</f>
        <v/>
      </c>
      <c r="D77" s="310" t="str">
        <f>IF(B77="","",IF(ISNA(VLOOKUP($B77,'B-1 On-Site Hedge Baseline'!$B$1:$L$257,4,FALSE)),"",(VLOOKUP($B77,'B-1 On-Site Hedge Baseline'!$B$1:$L$257,4,FALSE))))</f>
        <v/>
      </c>
      <c r="E77" s="310" t="str">
        <f>IF(B77="","",IF(ISNA(VLOOKUP($B77,'B-1 On-Site Hedge Baseline'!$B$1:$L$257,5,FALSE)),"",(VLOOKUP($B77,'B-1 On-Site Hedge Baseline'!$B$1:$L$257,5,FALSE))))</f>
        <v/>
      </c>
      <c r="F77" s="310" t="str">
        <f>IF(B77="","",IF(ISNA(VLOOKUP($B77,'B-1 On-Site Hedge Baseline'!$B$1:$L$257,6,FALSE)),"",(VLOOKUP($B77,'B-1 On-Site Hedge Baseline'!$B$1:$L$257,6,FALSE))))</f>
        <v/>
      </c>
      <c r="G77" s="310" t="str">
        <f>IF(B77="","",IF(ISNA(VLOOKUP($B77,'B-1 On-Site Hedge Baseline'!$B$1:$L$257,7,FALSE)),"",(VLOOKUP($B77,'B-1 On-Site Hedge Baseline'!$B$1:$L$257,7,FALSE))))</f>
        <v/>
      </c>
      <c r="H77" s="310" t="str">
        <f>IF(B77="","",IF(ISNA(VLOOKUP($B77,'B-1 On-Site Hedge Baseline'!$B$1:$L$257,8,FALSE)),"",(VLOOKUP($B77,'B-1 On-Site Hedge Baseline'!$B$1:$L$257,8,FALSE))))</f>
        <v/>
      </c>
      <c r="I77" s="310" t="str">
        <f>IF(B77="","",IF(ISNA(VLOOKUP($B77,'B-1 On-Site Hedge Baseline'!$B$1:$L$257,10,FALSE)),"",(VLOOKUP($B77,'B-1 On-Site Hedge Baseline'!$B$1:$L$257,10,FALSE))))</f>
        <v/>
      </c>
      <c r="J77" s="310" t="str">
        <f>IF(B77="","",IF(ISNA(VLOOKUP($B77,'B-1 On-Site Hedge Baseline'!$B$1:$L$257,11,FALSE)),"",(VLOOKUP($B77,'B-1 On-Site Hedge Baseline'!$B$1:$L$257,11,FALSE))))</f>
        <v/>
      </c>
      <c r="K77" s="310" t="str">
        <f>IF(B77="","",IF(ISNA(VLOOKUP($B77,'B-1 On-Site Hedge Baseline'!$B$1:$U$257,13,FALSE)),"",(VLOOKUP($B77,'B-1 On-Site Hedge Baseline'!$B$1:$U$257,13,FALSE))))</f>
        <v/>
      </c>
      <c r="L77" s="314" t="str">
        <f>IF(B77="","",IF(ISNA(VLOOKUP($B77,'B-1 On-Site Hedge Baseline'!$B$1:$U$257,12,FALSE)),"",(VLOOKUP($B77,'B-1 On-Site Hedge Baseline'!$B$1:$U$257,12,FALSE))))</f>
        <v/>
      </c>
      <c r="M77" s="583"/>
      <c r="N77" s="290" t="str">
        <f>IFERROR(IF(B77="","",INDEX('G-6 Hedgerow Data'!$AN$3:$AZ$15,MATCH(C77,'G-6 Hedgerow Data'!$AM$3:$AM$15,0),MATCH(M77,'G-6 Hedgerow Data'!$AN$2:$AZ$2,0))),"")</f>
        <v/>
      </c>
      <c r="O77" s="291" t="str">
        <f t="shared" ref="O77:O140" si="8">IFERROR(IF(B77="","",IF(AND(LEFT(C77,55)&lt;&gt;LEFT(M77,55),N77="High - High"),"Error - Not like for like ▲",IF(H77&gt;T77,"Error - Can not reduce condition ▲",IF(AND(F77=R77,H77=T77),"Error - No enhancement ▲",IF(AND(C77&lt;&gt;M77,F77&lt;R77),"Lower Distinctiveness Habitat"&amp;" - "&amp;S77,G77&amp;" - "&amp;S77))))),"")</f>
        <v/>
      </c>
      <c r="P77" s="341" t="str">
        <f>IF(B77="","",VLOOKUP(B77,'B-1 On-Site Hedge Baseline'!$B$10:T322,16,FALSE))</f>
        <v/>
      </c>
      <c r="Q77" s="290" t="str">
        <f>IF(M77="","",VLOOKUP(M77,'G-6 Hedgerow Data'!$B$2:$AG$15,2,FALSE))</f>
        <v/>
      </c>
      <c r="R77" s="291" t="str">
        <f>IF(M77="","",VLOOKUP(M77,'G-6 Hedgerow Data'!$B$2:$AG$15,3,FALSE))</f>
        <v/>
      </c>
      <c r="S77" s="106"/>
      <c r="T77" s="328" t="str">
        <f>IFERROR(IF(S77="","",IF(AND(M77="Non-native and ornamental hedgerow", S77&lt;&gt;"Poor"),"Not possible ▲", (VLOOKUP(S77,'G-1 All Habitats'!$Z$2:$AA$9,2,FALSE)))),"")</f>
        <v/>
      </c>
      <c r="U77" s="103"/>
      <c r="V77" s="310" t="str">
        <f>IF(U77="","",IF(VLOOKUP(U77,'G-3 Multipliers'!$L$3:$N$6,2,FALSE)=0,"Spatial Data Missing ⚠",VLOOKUP(U77,'G-3 Multipliers'!$L$3:$N$6,2,FALSE)))</f>
        <v/>
      </c>
      <c r="W77" s="314" t="str">
        <f>IF(U77="","",IF(VLOOKUP(U77,'G-3 Multipliers'!$L$3:$N$6,3,FALSE)=0,"Spatial Data Missing ⚠",VLOOKUP(U77,'G-3 Multipliers'!$L$3:$N$6,3,FALSE)))</f>
        <v/>
      </c>
      <c r="X77" s="290" t="str">
        <f>IFERROR(IF(OR(LEFT(O77,5)="Error",LEFT(N77,5)="Error",T77="Error"),"Check Data ⚠",IF(F77&lt;R77,INDEX('G-6 Hedgerow Data'!$S$3:$AE$14,MATCH(C77,'G-6 Hedgerow Data'!$B$3:$B$14,0),MATCH(M77,'G-6 Hedgerow Data'!$S$2:$AE$2,0)),INDEX('G-6 Hedgerow Data'!$K$3:$Q$14,MATCH(M77,'G-6 Hedgerow Data'!$B$3:$B$14,0),MATCH(O77,'G-6 Hedgerow Data'!$K$2:$Q$2,0)))),"")</f>
        <v/>
      </c>
      <c r="Y77" s="138"/>
      <c r="Z77" s="138"/>
      <c r="AA77" s="298" t="str">
        <f t="shared" ref="AA77:AA140" si="9">IF(X77="Check Data ⚠","Check Data ⚠",IF(M77="","",IF(AND(Y77&gt;0,Z77&gt;0),"Error -both advance and delayed habitat creation ▲",IF(AND(OR(Y77="Habitat already in target condition",X77&lt;=Y77),Z77=0),"Check details - Is there evidence that habitat has reached target condition? ⚠",IF(X77="","",IF(Y77&gt;0,"Check details - Is there evidence habitat creation started/in place? ⚠",IF(Z77&gt;0,"Check details- Delay in starting habitat in required condition? ⚠","Standard time to target condition applied")))))))</f>
        <v/>
      </c>
      <c r="AB77" s="311" t="str">
        <f t="shared" ref="AB77:AB140" si="10">IF(X77="","",IF(AA77="Check Data ⚠","Check Data ⚠",IF(Y77="30+",0,IF(Z77="30+","30+ ⚠",IF(X77+Z77&gt;30,"30+",IF(AA77="Error -both advance and delayed habitat creation ▲","Check Data ⚠",IF(X77+Z77-Y77&gt;0,X77+Z77-Y77,IF(X77-Y77&lt;=0,0,))))))))</f>
        <v/>
      </c>
      <c r="AC77" s="312" t="str">
        <f t="shared" si="7"/>
        <v/>
      </c>
      <c r="AD77" s="325" t="str">
        <f>IF(M77="","",VLOOKUP(M77,'G-6 Hedgerow Data'!$B$3:$AG$15,31,FALSE))</f>
        <v/>
      </c>
      <c r="AE77" s="298" t="str">
        <f t="shared" ref="AE77:AE140" si="11">IF(M77="","",IF(OR(LEFT(AA77,5)="Error ▲",AA77="Check Data ⚠"),"Check Data ⚠",IF(X77="","",IF($AA77="Check details - Is there evidence that habitat has reached target condition? ⚠","Low Difficulty - only applicable if all habitat created before losses ⚠","Standard difficulty applied"))))</f>
        <v/>
      </c>
      <c r="AF77" s="298" t="str">
        <f t="shared" ref="AF77:AF140" si="12">(IF(AND(AE77="Standard difficulty applied",X77&gt;Y77),AD77,IF(AND(AE77="Low Difficulty - only applicable if all habitat created before losses ⚠",Y77&gt;=X77),"Low",AD77)))</f>
        <v/>
      </c>
      <c r="AG77" s="314" t="str">
        <f>IFERROR(IF(O77="","",VLOOKUP(AD77,'G-3 Multipliers'!$P$3:$Q$6,2,FALSE)),"")</f>
        <v/>
      </c>
      <c r="AH77" s="304" t="str">
        <f t="shared" ref="AH77:AH140" si="13">IFERROR(IF(K77="Check data ⚠", "Check data ⚠", (IF(OR(M77="",S77="",U77=""),"",(((((P77*R77*T77)-(P77*F77*H77))*(AG77*AC77))+(P77*F77*H77))*(W77))))),"")</f>
        <v/>
      </c>
      <c r="AI77" s="157"/>
      <c r="AJ77" s="99"/>
      <c r="AK77" s="101"/>
      <c r="AT77" s="15" t="str">
        <f>IFERROR(INDEX('G-6 Hedgerow Data'!$BJ$3:$BJ$15,MATCH(M77,'G-6 Hedgerow Data'!$B$3:$B$15,0)),"")</f>
        <v/>
      </c>
    </row>
    <row r="78" spans="2:46" ht="14" x14ac:dyDescent="0.3">
      <c r="B78" s="319" t="str">
        <f>'B-1 On-Site Hedge Baseline'!AK76</f>
        <v/>
      </c>
      <c r="C78" s="310" t="str">
        <f>IF(B78="","",IF(ISNA(VLOOKUP($B78,'B-1 On-Site Hedge Baseline'!$B$1:$L$257,3,FALSE)),"",(VLOOKUP($B78,'B-1 On-Site Hedge Baseline'!$B$1:$L$257,3,FALSE))))</f>
        <v/>
      </c>
      <c r="D78" s="310" t="str">
        <f>IF(B78="","",IF(ISNA(VLOOKUP($B78,'B-1 On-Site Hedge Baseline'!$B$1:$L$257,4,FALSE)),"",(VLOOKUP($B78,'B-1 On-Site Hedge Baseline'!$B$1:$L$257,4,FALSE))))</f>
        <v/>
      </c>
      <c r="E78" s="310" t="str">
        <f>IF(B78="","",IF(ISNA(VLOOKUP($B78,'B-1 On-Site Hedge Baseline'!$B$1:$L$257,5,FALSE)),"",(VLOOKUP($B78,'B-1 On-Site Hedge Baseline'!$B$1:$L$257,5,FALSE))))</f>
        <v/>
      </c>
      <c r="F78" s="310" t="str">
        <f>IF(B78="","",IF(ISNA(VLOOKUP($B78,'B-1 On-Site Hedge Baseline'!$B$1:$L$257,6,FALSE)),"",(VLOOKUP($B78,'B-1 On-Site Hedge Baseline'!$B$1:$L$257,6,FALSE))))</f>
        <v/>
      </c>
      <c r="G78" s="310" t="str">
        <f>IF(B78="","",IF(ISNA(VLOOKUP($B78,'B-1 On-Site Hedge Baseline'!$B$1:$L$257,7,FALSE)),"",(VLOOKUP($B78,'B-1 On-Site Hedge Baseline'!$B$1:$L$257,7,FALSE))))</f>
        <v/>
      </c>
      <c r="H78" s="310" t="str">
        <f>IF(B78="","",IF(ISNA(VLOOKUP($B78,'B-1 On-Site Hedge Baseline'!$B$1:$L$257,8,FALSE)),"",(VLOOKUP($B78,'B-1 On-Site Hedge Baseline'!$B$1:$L$257,8,FALSE))))</f>
        <v/>
      </c>
      <c r="I78" s="310" t="str">
        <f>IF(B78="","",IF(ISNA(VLOOKUP($B78,'B-1 On-Site Hedge Baseline'!$B$1:$L$257,10,FALSE)),"",(VLOOKUP($B78,'B-1 On-Site Hedge Baseline'!$B$1:$L$257,10,FALSE))))</f>
        <v/>
      </c>
      <c r="J78" s="310" t="str">
        <f>IF(B78="","",IF(ISNA(VLOOKUP($B78,'B-1 On-Site Hedge Baseline'!$B$1:$L$257,11,FALSE)),"",(VLOOKUP($B78,'B-1 On-Site Hedge Baseline'!$B$1:$L$257,11,FALSE))))</f>
        <v/>
      </c>
      <c r="K78" s="310" t="str">
        <f>IF(B78="","",IF(ISNA(VLOOKUP($B78,'B-1 On-Site Hedge Baseline'!$B$1:$U$257,13,FALSE)),"",(VLOOKUP($B78,'B-1 On-Site Hedge Baseline'!$B$1:$U$257,13,FALSE))))</f>
        <v/>
      </c>
      <c r="L78" s="314" t="str">
        <f>IF(B78="","",IF(ISNA(VLOOKUP($B78,'B-1 On-Site Hedge Baseline'!$B$1:$U$257,12,FALSE)),"",(VLOOKUP($B78,'B-1 On-Site Hedge Baseline'!$B$1:$U$257,12,FALSE))))</f>
        <v/>
      </c>
      <c r="M78" s="583"/>
      <c r="N78" s="290" t="str">
        <f>IFERROR(IF(B78="","",INDEX('G-6 Hedgerow Data'!$AN$3:$AZ$15,MATCH(C78,'G-6 Hedgerow Data'!$AM$3:$AM$15,0),MATCH(M78,'G-6 Hedgerow Data'!$AN$2:$AZ$2,0))),"")</f>
        <v/>
      </c>
      <c r="O78" s="291" t="str">
        <f t="shared" si="8"/>
        <v/>
      </c>
      <c r="P78" s="341" t="str">
        <f>IF(B78="","",VLOOKUP(B78,'B-1 On-Site Hedge Baseline'!$B$10:T323,16,FALSE))</f>
        <v/>
      </c>
      <c r="Q78" s="290" t="str">
        <f>IF(M78="","",VLOOKUP(M78,'G-6 Hedgerow Data'!$B$2:$AG$15,2,FALSE))</f>
        <v/>
      </c>
      <c r="R78" s="291" t="str">
        <f>IF(M78="","",VLOOKUP(M78,'G-6 Hedgerow Data'!$B$2:$AG$15,3,FALSE))</f>
        <v/>
      </c>
      <c r="S78" s="106"/>
      <c r="T78" s="328" t="str">
        <f>IFERROR(IF(S78="","",IF(AND(M78="Non-native and ornamental hedgerow", S78&lt;&gt;"Poor"),"Not possible ▲", (VLOOKUP(S78,'G-1 All Habitats'!$Z$2:$AA$9,2,FALSE)))),"")</f>
        <v/>
      </c>
      <c r="U78" s="103"/>
      <c r="V78" s="310" t="str">
        <f>IF(U78="","",IF(VLOOKUP(U78,'G-3 Multipliers'!$L$3:$N$6,2,FALSE)=0,"Spatial Data Missing ⚠",VLOOKUP(U78,'G-3 Multipliers'!$L$3:$N$6,2,FALSE)))</f>
        <v/>
      </c>
      <c r="W78" s="314" t="str">
        <f>IF(U78="","",IF(VLOOKUP(U78,'G-3 Multipliers'!$L$3:$N$6,3,FALSE)=0,"Spatial Data Missing ⚠",VLOOKUP(U78,'G-3 Multipliers'!$L$3:$N$6,3,FALSE)))</f>
        <v/>
      </c>
      <c r="X78" s="290" t="str">
        <f>IFERROR(IF(OR(LEFT(O78,5)="Error",LEFT(N78,5)="Error",T78="Error"),"Check Data ⚠",IF(F78&lt;R78,INDEX('G-6 Hedgerow Data'!$S$3:$AE$14,MATCH(C78,'G-6 Hedgerow Data'!$B$3:$B$14,0),MATCH(M78,'G-6 Hedgerow Data'!$S$2:$AE$2,0)),INDEX('G-6 Hedgerow Data'!$K$3:$Q$14,MATCH(M78,'G-6 Hedgerow Data'!$B$3:$B$14,0),MATCH(O78,'G-6 Hedgerow Data'!$K$2:$Q$2,0)))),"")</f>
        <v/>
      </c>
      <c r="Y78" s="138"/>
      <c r="Z78" s="138"/>
      <c r="AA78" s="298" t="str">
        <f t="shared" si="9"/>
        <v/>
      </c>
      <c r="AB78" s="311" t="str">
        <f t="shared" si="10"/>
        <v/>
      </c>
      <c r="AC78" s="312" t="str">
        <f t="shared" si="7"/>
        <v/>
      </c>
      <c r="AD78" s="325" t="str">
        <f>IF(M78="","",VLOOKUP(M78,'G-6 Hedgerow Data'!$B$3:$AG$15,31,FALSE))</f>
        <v/>
      </c>
      <c r="AE78" s="298" t="str">
        <f t="shared" si="11"/>
        <v/>
      </c>
      <c r="AF78" s="298" t="str">
        <f t="shared" si="12"/>
        <v/>
      </c>
      <c r="AG78" s="314" t="str">
        <f>IFERROR(IF(O78="","",VLOOKUP(AD78,'G-3 Multipliers'!$P$3:$Q$6,2,FALSE)),"")</f>
        <v/>
      </c>
      <c r="AH78" s="304" t="str">
        <f t="shared" si="13"/>
        <v/>
      </c>
      <c r="AI78" s="157"/>
      <c r="AJ78" s="99"/>
      <c r="AK78" s="101"/>
      <c r="AT78" s="15" t="str">
        <f>IFERROR(INDEX('G-6 Hedgerow Data'!$BJ$3:$BJ$15,MATCH(M78,'G-6 Hedgerow Data'!$B$3:$B$15,0)),"")</f>
        <v/>
      </c>
    </row>
    <row r="79" spans="2:46" ht="14" x14ac:dyDescent="0.3">
      <c r="B79" s="319" t="str">
        <f>'B-1 On-Site Hedge Baseline'!AK77</f>
        <v/>
      </c>
      <c r="C79" s="310" t="str">
        <f>IF(B79="","",IF(ISNA(VLOOKUP($B79,'B-1 On-Site Hedge Baseline'!$B$1:$L$257,3,FALSE)),"",(VLOOKUP($B79,'B-1 On-Site Hedge Baseline'!$B$1:$L$257,3,FALSE))))</f>
        <v/>
      </c>
      <c r="D79" s="310" t="str">
        <f>IF(B79="","",IF(ISNA(VLOOKUP($B79,'B-1 On-Site Hedge Baseline'!$B$1:$L$257,4,FALSE)),"",(VLOOKUP($B79,'B-1 On-Site Hedge Baseline'!$B$1:$L$257,4,FALSE))))</f>
        <v/>
      </c>
      <c r="E79" s="310" t="str">
        <f>IF(B79="","",IF(ISNA(VLOOKUP($B79,'B-1 On-Site Hedge Baseline'!$B$1:$L$257,5,FALSE)),"",(VLOOKUP($B79,'B-1 On-Site Hedge Baseline'!$B$1:$L$257,5,FALSE))))</f>
        <v/>
      </c>
      <c r="F79" s="310" t="str">
        <f>IF(B79="","",IF(ISNA(VLOOKUP($B79,'B-1 On-Site Hedge Baseline'!$B$1:$L$257,6,FALSE)),"",(VLOOKUP($B79,'B-1 On-Site Hedge Baseline'!$B$1:$L$257,6,FALSE))))</f>
        <v/>
      </c>
      <c r="G79" s="310" t="str">
        <f>IF(B79="","",IF(ISNA(VLOOKUP($B79,'B-1 On-Site Hedge Baseline'!$B$1:$L$257,7,FALSE)),"",(VLOOKUP($B79,'B-1 On-Site Hedge Baseline'!$B$1:$L$257,7,FALSE))))</f>
        <v/>
      </c>
      <c r="H79" s="310" t="str">
        <f>IF(B79="","",IF(ISNA(VLOOKUP($B79,'B-1 On-Site Hedge Baseline'!$B$1:$L$257,8,FALSE)),"",(VLOOKUP($B79,'B-1 On-Site Hedge Baseline'!$B$1:$L$257,8,FALSE))))</f>
        <v/>
      </c>
      <c r="I79" s="310" t="str">
        <f>IF(B79="","",IF(ISNA(VLOOKUP($B79,'B-1 On-Site Hedge Baseline'!$B$1:$L$257,10,FALSE)),"",(VLOOKUP($B79,'B-1 On-Site Hedge Baseline'!$B$1:$L$257,10,FALSE))))</f>
        <v/>
      </c>
      <c r="J79" s="310" t="str">
        <f>IF(B79="","",IF(ISNA(VLOOKUP($B79,'B-1 On-Site Hedge Baseline'!$B$1:$L$257,11,FALSE)),"",(VLOOKUP($B79,'B-1 On-Site Hedge Baseline'!$B$1:$L$257,11,FALSE))))</f>
        <v/>
      </c>
      <c r="K79" s="310" t="str">
        <f>IF(B79="","",IF(ISNA(VLOOKUP($B79,'B-1 On-Site Hedge Baseline'!$B$1:$U$257,13,FALSE)),"",(VLOOKUP($B79,'B-1 On-Site Hedge Baseline'!$B$1:$U$257,13,FALSE))))</f>
        <v/>
      </c>
      <c r="L79" s="314" t="str">
        <f>IF(B79="","",IF(ISNA(VLOOKUP($B79,'B-1 On-Site Hedge Baseline'!$B$1:$U$257,12,FALSE)),"",(VLOOKUP($B79,'B-1 On-Site Hedge Baseline'!$B$1:$U$257,12,FALSE))))</f>
        <v/>
      </c>
      <c r="M79" s="583"/>
      <c r="N79" s="290" t="str">
        <f>IFERROR(IF(B79="","",INDEX('G-6 Hedgerow Data'!$AN$3:$AZ$15,MATCH(C79,'G-6 Hedgerow Data'!$AM$3:$AM$15,0),MATCH(M79,'G-6 Hedgerow Data'!$AN$2:$AZ$2,0))),"")</f>
        <v/>
      </c>
      <c r="O79" s="291" t="str">
        <f t="shared" si="8"/>
        <v/>
      </c>
      <c r="P79" s="341" t="str">
        <f>IF(B79="","",VLOOKUP(B79,'B-1 On-Site Hedge Baseline'!$B$10:T324,16,FALSE))</f>
        <v/>
      </c>
      <c r="Q79" s="290" t="str">
        <f>IF(M79="","",VLOOKUP(M79,'G-6 Hedgerow Data'!$B$2:$AG$15,2,FALSE))</f>
        <v/>
      </c>
      <c r="R79" s="291" t="str">
        <f>IF(M79="","",VLOOKUP(M79,'G-6 Hedgerow Data'!$B$2:$AG$15,3,FALSE))</f>
        <v/>
      </c>
      <c r="S79" s="106"/>
      <c r="T79" s="328" t="str">
        <f>IFERROR(IF(S79="","",IF(AND(M79="Non-native and ornamental hedgerow", S79&lt;&gt;"Poor"),"Not possible ▲", (VLOOKUP(S79,'G-1 All Habitats'!$Z$2:$AA$9,2,FALSE)))),"")</f>
        <v/>
      </c>
      <c r="U79" s="103"/>
      <c r="V79" s="310" t="str">
        <f>IF(U79="","",IF(VLOOKUP(U79,'G-3 Multipliers'!$L$3:$N$6,2,FALSE)=0,"Spatial Data Missing ⚠",VLOOKUP(U79,'G-3 Multipliers'!$L$3:$N$6,2,FALSE)))</f>
        <v/>
      </c>
      <c r="W79" s="314" t="str">
        <f>IF(U79="","",IF(VLOOKUP(U79,'G-3 Multipliers'!$L$3:$N$6,3,FALSE)=0,"Spatial Data Missing ⚠",VLOOKUP(U79,'G-3 Multipliers'!$L$3:$N$6,3,FALSE)))</f>
        <v/>
      </c>
      <c r="X79" s="290" t="str">
        <f>IFERROR(IF(OR(LEFT(O79,5)="Error",LEFT(N79,5)="Error",T79="Error"),"Check Data ⚠",IF(F79&lt;R79,INDEX('G-6 Hedgerow Data'!$S$3:$AE$14,MATCH(C79,'G-6 Hedgerow Data'!$B$3:$B$14,0),MATCH(M79,'G-6 Hedgerow Data'!$S$2:$AE$2,0)),INDEX('G-6 Hedgerow Data'!$K$3:$Q$14,MATCH(M79,'G-6 Hedgerow Data'!$B$3:$B$14,0),MATCH(O79,'G-6 Hedgerow Data'!$K$2:$Q$2,0)))),"")</f>
        <v/>
      </c>
      <c r="Y79" s="138"/>
      <c r="Z79" s="138"/>
      <c r="AA79" s="298" t="str">
        <f t="shared" si="9"/>
        <v/>
      </c>
      <c r="AB79" s="311" t="str">
        <f t="shared" si="10"/>
        <v/>
      </c>
      <c r="AC79" s="312" t="str">
        <f t="shared" si="7"/>
        <v/>
      </c>
      <c r="AD79" s="325" t="str">
        <f>IF(M79="","",VLOOKUP(M79,'G-6 Hedgerow Data'!$B$3:$AG$15,31,FALSE))</f>
        <v/>
      </c>
      <c r="AE79" s="298" t="str">
        <f t="shared" si="11"/>
        <v/>
      </c>
      <c r="AF79" s="298" t="str">
        <f t="shared" si="12"/>
        <v/>
      </c>
      <c r="AG79" s="314" t="str">
        <f>IFERROR(IF(O79="","",VLOOKUP(AD79,'G-3 Multipliers'!$P$3:$Q$6,2,FALSE)),"")</f>
        <v/>
      </c>
      <c r="AH79" s="304" t="str">
        <f t="shared" si="13"/>
        <v/>
      </c>
      <c r="AI79" s="157"/>
      <c r="AJ79" s="99"/>
      <c r="AK79" s="101"/>
      <c r="AT79" s="15" t="str">
        <f>IFERROR(INDEX('G-6 Hedgerow Data'!$BJ$3:$BJ$15,MATCH(M79,'G-6 Hedgerow Data'!$B$3:$B$15,0)),"")</f>
        <v/>
      </c>
    </row>
    <row r="80" spans="2:46" ht="14" x14ac:dyDescent="0.3">
      <c r="B80" s="319" t="str">
        <f>'B-1 On-Site Hedge Baseline'!AK78</f>
        <v/>
      </c>
      <c r="C80" s="310" t="str">
        <f>IF(B80="","",IF(ISNA(VLOOKUP($B80,'B-1 On-Site Hedge Baseline'!$B$1:$L$257,3,FALSE)),"",(VLOOKUP($B80,'B-1 On-Site Hedge Baseline'!$B$1:$L$257,3,FALSE))))</f>
        <v/>
      </c>
      <c r="D80" s="310" t="str">
        <f>IF(B80="","",IF(ISNA(VLOOKUP($B80,'B-1 On-Site Hedge Baseline'!$B$1:$L$257,4,FALSE)),"",(VLOOKUP($B80,'B-1 On-Site Hedge Baseline'!$B$1:$L$257,4,FALSE))))</f>
        <v/>
      </c>
      <c r="E80" s="310" t="str">
        <f>IF(B80="","",IF(ISNA(VLOOKUP($B80,'B-1 On-Site Hedge Baseline'!$B$1:$L$257,5,FALSE)),"",(VLOOKUP($B80,'B-1 On-Site Hedge Baseline'!$B$1:$L$257,5,FALSE))))</f>
        <v/>
      </c>
      <c r="F80" s="310" t="str">
        <f>IF(B80="","",IF(ISNA(VLOOKUP($B80,'B-1 On-Site Hedge Baseline'!$B$1:$L$257,6,FALSE)),"",(VLOOKUP($B80,'B-1 On-Site Hedge Baseline'!$B$1:$L$257,6,FALSE))))</f>
        <v/>
      </c>
      <c r="G80" s="310" t="str">
        <f>IF(B80="","",IF(ISNA(VLOOKUP($B80,'B-1 On-Site Hedge Baseline'!$B$1:$L$257,7,FALSE)),"",(VLOOKUP($B80,'B-1 On-Site Hedge Baseline'!$B$1:$L$257,7,FALSE))))</f>
        <v/>
      </c>
      <c r="H80" s="310" t="str">
        <f>IF(B80="","",IF(ISNA(VLOOKUP($B80,'B-1 On-Site Hedge Baseline'!$B$1:$L$257,8,FALSE)),"",(VLOOKUP($B80,'B-1 On-Site Hedge Baseline'!$B$1:$L$257,8,FALSE))))</f>
        <v/>
      </c>
      <c r="I80" s="310" t="str">
        <f>IF(B80="","",IF(ISNA(VLOOKUP($B80,'B-1 On-Site Hedge Baseline'!$B$1:$L$257,10,FALSE)),"",(VLOOKUP($B80,'B-1 On-Site Hedge Baseline'!$B$1:$L$257,10,FALSE))))</f>
        <v/>
      </c>
      <c r="J80" s="310" t="str">
        <f>IF(B80="","",IF(ISNA(VLOOKUP($B80,'B-1 On-Site Hedge Baseline'!$B$1:$L$257,11,FALSE)),"",(VLOOKUP($B80,'B-1 On-Site Hedge Baseline'!$B$1:$L$257,11,FALSE))))</f>
        <v/>
      </c>
      <c r="K80" s="310" t="str">
        <f>IF(B80="","",IF(ISNA(VLOOKUP($B80,'B-1 On-Site Hedge Baseline'!$B$1:$U$257,13,FALSE)),"",(VLOOKUP($B80,'B-1 On-Site Hedge Baseline'!$B$1:$U$257,13,FALSE))))</f>
        <v/>
      </c>
      <c r="L80" s="314" t="str">
        <f>IF(B80="","",IF(ISNA(VLOOKUP($B80,'B-1 On-Site Hedge Baseline'!$B$1:$U$257,12,FALSE)),"",(VLOOKUP($B80,'B-1 On-Site Hedge Baseline'!$B$1:$U$257,12,FALSE))))</f>
        <v/>
      </c>
      <c r="M80" s="583"/>
      <c r="N80" s="290" t="str">
        <f>IFERROR(IF(B80="","",INDEX('G-6 Hedgerow Data'!$AN$3:$AZ$15,MATCH(C80,'G-6 Hedgerow Data'!$AM$3:$AM$15,0),MATCH(M80,'G-6 Hedgerow Data'!$AN$2:$AZ$2,0))),"")</f>
        <v/>
      </c>
      <c r="O80" s="291" t="str">
        <f t="shared" si="8"/>
        <v/>
      </c>
      <c r="P80" s="341" t="str">
        <f>IF(B80="","",VLOOKUP(B80,'B-1 On-Site Hedge Baseline'!$B$10:T325,16,FALSE))</f>
        <v/>
      </c>
      <c r="Q80" s="290" t="str">
        <f>IF(M80="","",VLOOKUP(M80,'G-6 Hedgerow Data'!$B$2:$AG$15,2,FALSE))</f>
        <v/>
      </c>
      <c r="R80" s="291" t="str">
        <f>IF(M80="","",VLOOKUP(M80,'G-6 Hedgerow Data'!$B$2:$AG$15,3,FALSE))</f>
        <v/>
      </c>
      <c r="S80" s="106"/>
      <c r="T80" s="328" t="str">
        <f>IFERROR(IF(S80="","",IF(AND(M80="Non-native and ornamental hedgerow", S80&lt;&gt;"Poor"),"Not possible ▲", (VLOOKUP(S80,'G-1 All Habitats'!$Z$2:$AA$9,2,FALSE)))),"")</f>
        <v/>
      </c>
      <c r="U80" s="103"/>
      <c r="V80" s="310" t="str">
        <f>IF(U80="","",IF(VLOOKUP(U80,'G-3 Multipliers'!$L$3:$N$6,2,FALSE)=0,"Spatial Data Missing ⚠",VLOOKUP(U80,'G-3 Multipliers'!$L$3:$N$6,2,FALSE)))</f>
        <v/>
      </c>
      <c r="W80" s="314" t="str">
        <f>IF(U80="","",IF(VLOOKUP(U80,'G-3 Multipliers'!$L$3:$N$6,3,FALSE)=0,"Spatial Data Missing ⚠",VLOOKUP(U80,'G-3 Multipliers'!$L$3:$N$6,3,FALSE)))</f>
        <v/>
      </c>
      <c r="X80" s="290" t="str">
        <f>IFERROR(IF(OR(LEFT(O80,5)="Error",LEFT(N80,5)="Error",T80="Error"),"Check Data ⚠",IF(F80&lt;R80,INDEX('G-6 Hedgerow Data'!$S$3:$AE$14,MATCH(C80,'G-6 Hedgerow Data'!$B$3:$B$14,0),MATCH(M80,'G-6 Hedgerow Data'!$S$2:$AE$2,0)),INDEX('G-6 Hedgerow Data'!$K$3:$Q$14,MATCH(M80,'G-6 Hedgerow Data'!$B$3:$B$14,0),MATCH(O80,'G-6 Hedgerow Data'!$K$2:$Q$2,0)))),"")</f>
        <v/>
      </c>
      <c r="Y80" s="138"/>
      <c r="Z80" s="138"/>
      <c r="AA80" s="298" t="str">
        <f t="shared" si="9"/>
        <v/>
      </c>
      <c r="AB80" s="311" t="str">
        <f t="shared" si="10"/>
        <v/>
      </c>
      <c r="AC80" s="312" t="str">
        <f t="shared" si="7"/>
        <v/>
      </c>
      <c r="AD80" s="325" t="str">
        <f>IF(M80="","",VLOOKUP(M80,'G-6 Hedgerow Data'!$B$3:$AG$15,31,FALSE))</f>
        <v/>
      </c>
      <c r="AE80" s="298" t="str">
        <f t="shared" si="11"/>
        <v/>
      </c>
      <c r="AF80" s="298" t="str">
        <f t="shared" si="12"/>
        <v/>
      </c>
      <c r="AG80" s="314" t="str">
        <f>IFERROR(IF(O80="","",VLOOKUP(AD80,'G-3 Multipliers'!$P$3:$Q$6,2,FALSE)),"")</f>
        <v/>
      </c>
      <c r="AH80" s="304" t="str">
        <f t="shared" si="13"/>
        <v/>
      </c>
      <c r="AI80" s="157"/>
      <c r="AJ80" s="99"/>
      <c r="AK80" s="101"/>
      <c r="AT80" s="15" t="str">
        <f>IFERROR(INDEX('G-6 Hedgerow Data'!$BJ$3:$BJ$15,MATCH(M80,'G-6 Hedgerow Data'!$B$3:$B$15,0)),"")</f>
        <v/>
      </c>
    </row>
    <row r="81" spans="2:46" ht="14" x14ac:dyDescent="0.3">
      <c r="B81" s="319" t="str">
        <f>'B-1 On-Site Hedge Baseline'!AK79</f>
        <v/>
      </c>
      <c r="C81" s="310" t="str">
        <f>IF(B81="","",IF(ISNA(VLOOKUP($B81,'B-1 On-Site Hedge Baseline'!$B$1:$L$257,3,FALSE)),"",(VLOOKUP($B81,'B-1 On-Site Hedge Baseline'!$B$1:$L$257,3,FALSE))))</f>
        <v/>
      </c>
      <c r="D81" s="310" t="str">
        <f>IF(B81="","",IF(ISNA(VLOOKUP($B81,'B-1 On-Site Hedge Baseline'!$B$1:$L$257,4,FALSE)),"",(VLOOKUP($B81,'B-1 On-Site Hedge Baseline'!$B$1:$L$257,4,FALSE))))</f>
        <v/>
      </c>
      <c r="E81" s="310" t="str">
        <f>IF(B81="","",IF(ISNA(VLOOKUP($B81,'B-1 On-Site Hedge Baseline'!$B$1:$L$257,5,FALSE)),"",(VLOOKUP($B81,'B-1 On-Site Hedge Baseline'!$B$1:$L$257,5,FALSE))))</f>
        <v/>
      </c>
      <c r="F81" s="310" t="str">
        <f>IF(B81="","",IF(ISNA(VLOOKUP($B81,'B-1 On-Site Hedge Baseline'!$B$1:$L$257,6,FALSE)),"",(VLOOKUP($B81,'B-1 On-Site Hedge Baseline'!$B$1:$L$257,6,FALSE))))</f>
        <v/>
      </c>
      <c r="G81" s="310" t="str">
        <f>IF(B81="","",IF(ISNA(VLOOKUP($B81,'B-1 On-Site Hedge Baseline'!$B$1:$L$257,7,FALSE)),"",(VLOOKUP($B81,'B-1 On-Site Hedge Baseline'!$B$1:$L$257,7,FALSE))))</f>
        <v/>
      </c>
      <c r="H81" s="310" t="str">
        <f>IF(B81="","",IF(ISNA(VLOOKUP($B81,'B-1 On-Site Hedge Baseline'!$B$1:$L$257,8,FALSE)),"",(VLOOKUP($B81,'B-1 On-Site Hedge Baseline'!$B$1:$L$257,8,FALSE))))</f>
        <v/>
      </c>
      <c r="I81" s="310" t="str">
        <f>IF(B81="","",IF(ISNA(VLOOKUP($B81,'B-1 On-Site Hedge Baseline'!$B$1:$L$257,10,FALSE)),"",(VLOOKUP($B81,'B-1 On-Site Hedge Baseline'!$B$1:$L$257,10,FALSE))))</f>
        <v/>
      </c>
      <c r="J81" s="310" t="str">
        <f>IF(B81="","",IF(ISNA(VLOOKUP($B81,'B-1 On-Site Hedge Baseline'!$B$1:$L$257,11,FALSE)),"",(VLOOKUP($B81,'B-1 On-Site Hedge Baseline'!$B$1:$L$257,11,FALSE))))</f>
        <v/>
      </c>
      <c r="K81" s="310" t="str">
        <f>IF(B81="","",IF(ISNA(VLOOKUP($B81,'B-1 On-Site Hedge Baseline'!$B$1:$U$257,13,FALSE)),"",(VLOOKUP($B81,'B-1 On-Site Hedge Baseline'!$B$1:$U$257,13,FALSE))))</f>
        <v/>
      </c>
      <c r="L81" s="314" t="str">
        <f>IF(B81="","",IF(ISNA(VLOOKUP($B81,'B-1 On-Site Hedge Baseline'!$B$1:$U$257,12,FALSE)),"",(VLOOKUP($B81,'B-1 On-Site Hedge Baseline'!$B$1:$U$257,12,FALSE))))</f>
        <v/>
      </c>
      <c r="M81" s="583"/>
      <c r="N81" s="290" t="str">
        <f>IFERROR(IF(B81="","",INDEX('G-6 Hedgerow Data'!$AN$3:$AZ$15,MATCH(C81,'G-6 Hedgerow Data'!$AM$3:$AM$15,0),MATCH(M81,'G-6 Hedgerow Data'!$AN$2:$AZ$2,0))),"")</f>
        <v/>
      </c>
      <c r="O81" s="291" t="str">
        <f t="shared" si="8"/>
        <v/>
      </c>
      <c r="P81" s="341" t="str">
        <f>IF(B81="","",VLOOKUP(B81,'B-1 On-Site Hedge Baseline'!$B$10:T326,16,FALSE))</f>
        <v/>
      </c>
      <c r="Q81" s="290" t="str">
        <f>IF(M81="","",VLOOKUP(M81,'G-6 Hedgerow Data'!$B$2:$AG$15,2,FALSE))</f>
        <v/>
      </c>
      <c r="R81" s="291" t="str">
        <f>IF(M81="","",VLOOKUP(M81,'G-6 Hedgerow Data'!$B$2:$AG$15,3,FALSE))</f>
        <v/>
      </c>
      <c r="S81" s="106"/>
      <c r="T81" s="328" t="str">
        <f>IFERROR(IF(S81="","",IF(AND(M81="Non-native and ornamental hedgerow", S81&lt;&gt;"Poor"),"Not possible ▲", (VLOOKUP(S81,'G-1 All Habitats'!$Z$2:$AA$9,2,FALSE)))),"")</f>
        <v/>
      </c>
      <c r="U81" s="103"/>
      <c r="V81" s="310" t="str">
        <f>IF(U81="","",IF(VLOOKUP(U81,'G-3 Multipliers'!$L$3:$N$6,2,FALSE)=0,"Spatial Data Missing ⚠",VLOOKUP(U81,'G-3 Multipliers'!$L$3:$N$6,2,FALSE)))</f>
        <v/>
      </c>
      <c r="W81" s="314" t="str">
        <f>IF(U81="","",IF(VLOOKUP(U81,'G-3 Multipliers'!$L$3:$N$6,3,FALSE)=0,"Spatial Data Missing ⚠",VLOOKUP(U81,'G-3 Multipliers'!$L$3:$N$6,3,FALSE)))</f>
        <v/>
      </c>
      <c r="X81" s="290" t="str">
        <f>IFERROR(IF(OR(LEFT(O81,5)="Error",LEFT(N81,5)="Error",T81="Error"),"Check Data ⚠",IF(F81&lt;R81,INDEX('G-6 Hedgerow Data'!$S$3:$AE$14,MATCH(C81,'G-6 Hedgerow Data'!$B$3:$B$14,0),MATCH(M81,'G-6 Hedgerow Data'!$S$2:$AE$2,0)),INDEX('G-6 Hedgerow Data'!$K$3:$Q$14,MATCH(M81,'G-6 Hedgerow Data'!$B$3:$B$14,0),MATCH(O81,'G-6 Hedgerow Data'!$K$2:$Q$2,0)))),"")</f>
        <v/>
      </c>
      <c r="Y81" s="138"/>
      <c r="Z81" s="138"/>
      <c r="AA81" s="298" t="str">
        <f t="shared" si="9"/>
        <v/>
      </c>
      <c r="AB81" s="311" t="str">
        <f t="shared" si="10"/>
        <v/>
      </c>
      <c r="AC81" s="312" t="str">
        <f t="shared" si="7"/>
        <v/>
      </c>
      <c r="AD81" s="325" t="str">
        <f>IF(M81="","",VLOOKUP(M81,'G-6 Hedgerow Data'!$B$3:$AG$15,31,FALSE))</f>
        <v/>
      </c>
      <c r="AE81" s="298" t="str">
        <f t="shared" si="11"/>
        <v/>
      </c>
      <c r="AF81" s="298" t="str">
        <f t="shared" si="12"/>
        <v/>
      </c>
      <c r="AG81" s="314" t="str">
        <f>IFERROR(IF(O81="","",VLOOKUP(AD81,'G-3 Multipliers'!$P$3:$Q$6,2,FALSE)),"")</f>
        <v/>
      </c>
      <c r="AH81" s="304" t="str">
        <f t="shared" si="13"/>
        <v/>
      </c>
      <c r="AI81" s="157"/>
      <c r="AJ81" s="99"/>
      <c r="AK81" s="101"/>
      <c r="AT81" s="15" t="str">
        <f>IFERROR(INDEX('G-6 Hedgerow Data'!$BJ$3:$BJ$15,MATCH(M81,'G-6 Hedgerow Data'!$B$3:$B$15,0)),"")</f>
        <v/>
      </c>
    </row>
    <row r="82" spans="2:46" ht="14" x14ac:dyDescent="0.3">
      <c r="B82" s="319" t="str">
        <f>'B-1 On-Site Hedge Baseline'!AK80</f>
        <v/>
      </c>
      <c r="C82" s="310" t="str">
        <f>IF(B82="","",IF(ISNA(VLOOKUP($B82,'B-1 On-Site Hedge Baseline'!$B$1:$L$257,3,FALSE)),"",(VLOOKUP($B82,'B-1 On-Site Hedge Baseline'!$B$1:$L$257,3,FALSE))))</f>
        <v/>
      </c>
      <c r="D82" s="310" t="str">
        <f>IF(B82="","",IF(ISNA(VLOOKUP($B82,'B-1 On-Site Hedge Baseline'!$B$1:$L$257,4,FALSE)),"",(VLOOKUP($B82,'B-1 On-Site Hedge Baseline'!$B$1:$L$257,4,FALSE))))</f>
        <v/>
      </c>
      <c r="E82" s="310" t="str">
        <f>IF(B82="","",IF(ISNA(VLOOKUP($B82,'B-1 On-Site Hedge Baseline'!$B$1:$L$257,5,FALSE)),"",(VLOOKUP($B82,'B-1 On-Site Hedge Baseline'!$B$1:$L$257,5,FALSE))))</f>
        <v/>
      </c>
      <c r="F82" s="310" t="str">
        <f>IF(B82="","",IF(ISNA(VLOOKUP($B82,'B-1 On-Site Hedge Baseline'!$B$1:$L$257,6,FALSE)),"",(VLOOKUP($B82,'B-1 On-Site Hedge Baseline'!$B$1:$L$257,6,FALSE))))</f>
        <v/>
      </c>
      <c r="G82" s="310" t="str">
        <f>IF(B82="","",IF(ISNA(VLOOKUP($B82,'B-1 On-Site Hedge Baseline'!$B$1:$L$257,7,FALSE)),"",(VLOOKUP($B82,'B-1 On-Site Hedge Baseline'!$B$1:$L$257,7,FALSE))))</f>
        <v/>
      </c>
      <c r="H82" s="310" t="str">
        <f>IF(B82="","",IF(ISNA(VLOOKUP($B82,'B-1 On-Site Hedge Baseline'!$B$1:$L$257,8,FALSE)),"",(VLOOKUP($B82,'B-1 On-Site Hedge Baseline'!$B$1:$L$257,8,FALSE))))</f>
        <v/>
      </c>
      <c r="I82" s="310" t="str">
        <f>IF(B82="","",IF(ISNA(VLOOKUP($B82,'B-1 On-Site Hedge Baseline'!$B$1:$L$257,10,FALSE)),"",(VLOOKUP($B82,'B-1 On-Site Hedge Baseline'!$B$1:$L$257,10,FALSE))))</f>
        <v/>
      </c>
      <c r="J82" s="310" t="str">
        <f>IF(B82="","",IF(ISNA(VLOOKUP($B82,'B-1 On-Site Hedge Baseline'!$B$1:$L$257,11,FALSE)),"",(VLOOKUP($B82,'B-1 On-Site Hedge Baseline'!$B$1:$L$257,11,FALSE))))</f>
        <v/>
      </c>
      <c r="K82" s="310" t="str">
        <f>IF(B82="","",IF(ISNA(VLOOKUP($B82,'B-1 On-Site Hedge Baseline'!$B$1:$U$257,13,FALSE)),"",(VLOOKUP($B82,'B-1 On-Site Hedge Baseline'!$B$1:$U$257,13,FALSE))))</f>
        <v/>
      </c>
      <c r="L82" s="314" t="str">
        <f>IF(B82="","",IF(ISNA(VLOOKUP($B82,'B-1 On-Site Hedge Baseline'!$B$1:$U$257,12,FALSE)),"",(VLOOKUP($B82,'B-1 On-Site Hedge Baseline'!$B$1:$U$257,12,FALSE))))</f>
        <v/>
      </c>
      <c r="M82" s="583"/>
      <c r="N82" s="290" t="str">
        <f>IFERROR(IF(B82="","",INDEX('G-6 Hedgerow Data'!$AN$3:$AZ$15,MATCH(C82,'G-6 Hedgerow Data'!$AM$3:$AM$15,0),MATCH(M82,'G-6 Hedgerow Data'!$AN$2:$AZ$2,0))),"")</f>
        <v/>
      </c>
      <c r="O82" s="291" t="str">
        <f t="shared" si="8"/>
        <v/>
      </c>
      <c r="P82" s="341" t="str">
        <f>IF(B82="","",VLOOKUP(B82,'B-1 On-Site Hedge Baseline'!$B$10:T327,16,FALSE))</f>
        <v/>
      </c>
      <c r="Q82" s="290" t="str">
        <f>IF(M82="","",VLOOKUP(M82,'G-6 Hedgerow Data'!$B$2:$AG$15,2,FALSE))</f>
        <v/>
      </c>
      <c r="R82" s="291" t="str">
        <f>IF(M82="","",VLOOKUP(M82,'G-6 Hedgerow Data'!$B$2:$AG$15,3,FALSE))</f>
        <v/>
      </c>
      <c r="S82" s="106"/>
      <c r="T82" s="328" t="str">
        <f>IFERROR(IF(S82="","",IF(AND(M82="Non-native and ornamental hedgerow", S82&lt;&gt;"Poor"),"Not possible ▲", (VLOOKUP(S82,'G-1 All Habitats'!$Z$2:$AA$9,2,FALSE)))),"")</f>
        <v/>
      </c>
      <c r="U82" s="103"/>
      <c r="V82" s="310" t="str">
        <f>IF(U82="","",IF(VLOOKUP(U82,'G-3 Multipliers'!$L$3:$N$6,2,FALSE)=0,"Spatial Data Missing ⚠",VLOOKUP(U82,'G-3 Multipliers'!$L$3:$N$6,2,FALSE)))</f>
        <v/>
      </c>
      <c r="W82" s="314" t="str">
        <f>IF(U82="","",IF(VLOOKUP(U82,'G-3 Multipliers'!$L$3:$N$6,3,FALSE)=0,"Spatial Data Missing ⚠",VLOOKUP(U82,'G-3 Multipliers'!$L$3:$N$6,3,FALSE)))</f>
        <v/>
      </c>
      <c r="X82" s="290" t="str">
        <f>IFERROR(IF(OR(LEFT(O82,5)="Error",LEFT(N82,5)="Error",T82="Error"),"Check Data ⚠",IF(F82&lt;R82,INDEX('G-6 Hedgerow Data'!$S$3:$AE$14,MATCH(C82,'G-6 Hedgerow Data'!$B$3:$B$14,0),MATCH(M82,'G-6 Hedgerow Data'!$S$2:$AE$2,0)),INDEX('G-6 Hedgerow Data'!$K$3:$Q$14,MATCH(M82,'G-6 Hedgerow Data'!$B$3:$B$14,0),MATCH(O82,'G-6 Hedgerow Data'!$K$2:$Q$2,0)))),"")</f>
        <v/>
      </c>
      <c r="Y82" s="138"/>
      <c r="Z82" s="138"/>
      <c r="AA82" s="298" t="str">
        <f t="shared" si="9"/>
        <v/>
      </c>
      <c r="AB82" s="311" t="str">
        <f t="shared" si="10"/>
        <v/>
      </c>
      <c r="AC82" s="312" t="str">
        <f t="shared" si="7"/>
        <v/>
      </c>
      <c r="AD82" s="325" t="str">
        <f>IF(M82="","",VLOOKUP(M82,'G-6 Hedgerow Data'!$B$3:$AG$15,31,FALSE))</f>
        <v/>
      </c>
      <c r="AE82" s="298" t="str">
        <f t="shared" si="11"/>
        <v/>
      </c>
      <c r="AF82" s="298" t="str">
        <f t="shared" si="12"/>
        <v/>
      </c>
      <c r="AG82" s="314" t="str">
        <f>IFERROR(IF(O82="","",VLOOKUP(AD82,'G-3 Multipliers'!$P$3:$Q$6,2,FALSE)),"")</f>
        <v/>
      </c>
      <c r="AH82" s="304" t="str">
        <f t="shared" si="13"/>
        <v/>
      </c>
      <c r="AI82" s="157"/>
      <c r="AJ82" s="99"/>
      <c r="AK82" s="101"/>
      <c r="AT82" s="15" t="str">
        <f>IFERROR(INDEX('G-6 Hedgerow Data'!$BJ$3:$BJ$15,MATCH(M82,'G-6 Hedgerow Data'!$B$3:$B$15,0)),"")</f>
        <v/>
      </c>
    </row>
    <row r="83" spans="2:46" ht="14" x14ac:dyDescent="0.3">
      <c r="B83" s="319" t="str">
        <f>'B-1 On-Site Hedge Baseline'!AK81</f>
        <v/>
      </c>
      <c r="C83" s="310" t="str">
        <f>IF(B83="","",IF(ISNA(VLOOKUP($B83,'B-1 On-Site Hedge Baseline'!$B$1:$L$257,3,FALSE)),"",(VLOOKUP($B83,'B-1 On-Site Hedge Baseline'!$B$1:$L$257,3,FALSE))))</f>
        <v/>
      </c>
      <c r="D83" s="310" t="str">
        <f>IF(B83="","",IF(ISNA(VLOOKUP($B83,'B-1 On-Site Hedge Baseline'!$B$1:$L$257,4,FALSE)),"",(VLOOKUP($B83,'B-1 On-Site Hedge Baseline'!$B$1:$L$257,4,FALSE))))</f>
        <v/>
      </c>
      <c r="E83" s="310" t="str">
        <f>IF(B83="","",IF(ISNA(VLOOKUP($B83,'B-1 On-Site Hedge Baseline'!$B$1:$L$257,5,FALSE)),"",(VLOOKUP($B83,'B-1 On-Site Hedge Baseline'!$B$1:$L$257,5,FALSE))))</f>
        <v/>
      </c>
      <c r="F83" s="310" t="str">
        <f>IF(B83="","",IF(ISNA(VLOOKUP($B83,'B-1 On-Site Hedge Baseline'!$B$1:$L$257,6,FALSE)),"",(VLOOKUP($B83,'B-1 On-Site Hedge Baseline'!$B$1:$L$257,6,FALSE))))</f>
        <v/>
      </c>
      <c r="G83" s="310" t="str">
        <f>IF(B83="","",IF(ISNA(VLOOKUP($B83,'B-1 On-Site Hedge Baseline'!$B$1:$L$257,7,FALSE)),"",(VLOOKUP($B83,'B-1 On-Site Hedge Baseline'!$B$1:$L$257,7,FALSE))))</f>
        <v/>
      </c>
      <c r="H83" s="310" t="str">
        <f>IF(B83="","",IF(ISNA(VLOOKUP($B83,'B-1 On-Site Hedge Baseline'!$B$1:$L$257,8,FALSE)),"",(VLOOKUP($B83,'B-1 On-Site Hedge Baseline'!$B$1:$L$257,8,FALSE))))</f>
        <v/>
      </c>
      <c r="I83" s="310" t="str">
        <f>IF(B83="","",IF(ISNA(VLOOKUP($B83,'B-1 On-Site Hedge Baseline'!$B$1:$L$257,10,FALSE)),"",(VLOOKUP($B83,'B-1 On-Site Hedge Baseline'!$B$1:$L$257,10,FALSE))))</f>
        <v/>
      </c>
      <c r="J83" s="310" t="str">
        <f>IF(B83="","",IF(ISNA(VLOOKUP($B83,'B-1 On-Site Hedge Baseline'!$B$1:$L$257,11,FALSE)),"",(VLOOKUP($B83,'B-1 On-Site Hedge Baseline'!$B$1:$L$257,11,FALSE))))</f>
        <v/>
      </c>
      <c r="K83" s="310" t="str">
        <f>IF(B83="","",IF(ISNA(VLOOKUP($B83,'B-1 On-Site Hedge Baseline'!$B$1:$U$257,13,FALSE)),"",(VLOOKUP($B83,'B-1 On-Site Hedge Baseline'!$B$1:$U$257,13,FALSE))))</f>
        <v/>
      </c>
      <c r="L83" s="314" t="str">
        <f>IF(B83="","",IF(ISNA(VLOOKUP($B83,'B-1 On-Site Hedge Baseline'!$B$1:$U$257,12,FALSE)),"",(VLOOKUP($B83,'B-1 On-Site Hedge Baseline'!$B$1:$U$257,12,FALSE))))</f>
        <v/>
      </c>
      <c r="M83" s="583"/>
      <c r="N83" s="290" t="str">
        <f>IFERROR(IF(B83="","",INDEX('G-6 Hedgerow Data'!$AN$3:$AZ$15,MATCH(C83,'G-6 Hedgerow Data'!$AM$3:$AM$15,0),MATCH(M83,'G-6 Hedgerow Data'!$AN$2:$AZ$2,0))),"")</f>
        <v/>
      </c>
      <c r="O83" s="291" t="str">
        <f t="shared" si="8"/>
        <v/>
      </c>
      <c r="P83" s="341" t="str">
        <f>IF(B83="","",VLOOKUP(B83,'B-1 On-Site Hedge Baseline'!$B$10:T328,16,FALSE))</f>
        <v/>
      </c>
      <c r="Q83" s="290" t="str">
        <f>IF(M83="","",VLOOKUP(M83,'G-6 Hedgerow Data'!$B$2:$AG$15,2,FALSE))</f>
        <v/>
      </c>
      <c r="R83" s="291" t="str">
        <f>IF(M83="","",VLOOKUP(M83,'G-6 Hedgerow Data'!$B$2:$AG$15,3,FALSE))</f>
        <v/>
      </c>
      <c r="S83" s="106"/>
      <c r="T83" s="328" t="str">
        <f>IFERROR(IF(S83="","",IF(AND(M83="Non-native and ornamental hedgerow", S83&lt;&gt;"Poor"),"Not possible ▲", (VLOOKUP(S83,'G-1 All Habitats'!$Z$2:$AA$9,2,FALSE)))),"")</f>
        <v/>
      </c>
      <c r="U83" s="103"/>
      <c r="V83" s="310" t="str">
        <f>IF(U83="","",IF(VLOOKUP(U83,'G-3 Multipliers'!$L$3:$N$6,2,FALSE)=0,"Spatial Data Missing ⚠",VLOOKUP(U83,'G-3 Multipliers'!$L$3:$N$6,2,FALSE)))</f>
        <v/>
      </c>
      <c r="W83" s="314" t="str">
        <f>IF(U83="","",IF(VLOOKUP(U83,'G-3 Multipliers'!$L$3:$N$6,3,FALSE)=0,"Spatial Data Missing ⚠",VLOOKUP(U83,'G-3 Multipliers'!$L$3:$N$6,3,FALSE)))</f>
        <v/>
      </c>
      <c r="X83" s="290" t="str">
        <f>IFERROR(IF(OR(LEFT(O83,5)="Error",LEFT(N83,5)="Error",T83="Error"),"Check Data ⚠",IF(F83&lt;R83,INDEX('G-6 Hedgerow Data'!$S$3:$AE$14,MATCH(C83,'G-6 Hedgerow Data'!$B$3:$B$14,0),MATCH(M83,'G-6 Hedgerow Data'!$S$2:$AE$2,0)),INDEX('G-6 Hedgerow Data'!$K$3:$Q$14,MATCH(M83,'G-6 Hedgerow Data'!$B$3:$B$14,0),MATCH(O83,'G-6 Hedgerow Data'!$K$2:$Q$2,0)))),"")</f>
        <v/>
      </c>
      <c r="Y83" s="138"/>
      <c r="Z83" s="138"/>
      <c r="AA83" s="298" t="str">
        <f t="shared" si="9"/>
        <v/>
      </c>
      <c r="AB83" s="311" t="str">
        <f t="shared" si="10"/>
        <v/>
      </c>
      <c r="AC83" s="312" t="str">
        <f t="shared" si="7"/>
        <v/>
      </c>
      <c r="AD83" s="325" t="str">
        <f>IF(M83="","",VLOOKUP(M83,'G-6 Hedgerow Data'!$B$3:$AG$15,31,FALSE))</f>
        <v/>
      </c>
      <c r="AE83" s="298" t="str">
        <f t="shared" si="11"/>
        <v/>
      </c>
      <c r="AF83" s="298" t="str">
        <f t="shared" si="12"/>
        <v/>
      </c>
      <c r="AG83" s="314" t="str">
        <f>IFERROR(IF(O83="","",VLOOKUP(AD83,'G-3 Multipliers'!$P$3:$Q$6,2,FALSE)),"")</f>
        <v/>
      </c>
      <c r="AH83" s="304" t="str">
        <f t="shared" si="13"/>
        <v/>
      </c>
      <c r="AI83" s="157"/>
      <c r="AJ83" s="99"/>
      <c r="AK83" s="101"/>
      <c r="AT83" s="15" t="str">
        <f>IFERROR(INDEX('G-6 Hedgerow Data'!$BJ$3:$BJ$15,MATCH(M83,'G-6 Hedgerow Data'!$B$3:$B$15,0)),"")</f>
        <v/>
      </c>
    </row>
    <row r="84" spans="2:46" ht="14" x14ac:dyDescent="0.3">
      <c r="B84" s="319" t="str">
        <f>'B-1 On-Site Hedge Baseline'!AK82</f>
        <v/>
      </c>
      <c r="C84" s="310" t="str">
        <f>IF(B84="","",IF(ISNA(VLOOKUP($B84,'B-1 On-Site Hedge Baseline'!$B$1:$L$257,3,FALSE)),"",(VLOOKUP($B84,'B-1 On-Site Hedge Baseline'!$B$1:$L$257,3,FALSE))))</f>
        <v/>
      </c>
      <c r="D84" s="310" t="str">
        <f>IF(B84="","",IF(ISNA(VLOOKUP($B84,'B-1 On-Site Hedge Baseline'!$B$1:$L$257,4,FALSE)),"",(VLOOKUP($B84,'B-1 On-Site Hedge Baseline'!$B$1:$L$257,4,FALSE))))</f>
        <v/>
      </c>
      <c r="E84" s="310" t="str">
        <f>IF(B84="","",IF(ISNA(VLOOKUP($B84,'B-1 On-Site Hedge Baseline'!$B$1:$L$257,5,FALSE)),"",(VLOOKUP($B84,'B-1 On-Site Hedge Baseline'!$B$1:$L$257,5,FALSE))))</f>
        <v/>
      </c>
      <c r="F84" s="310" t="str">
        <f>IF(B84="","",IF(ISNA(VLOOKUP($B84,'B-1 On-Site Hedge Baseline'!$B$1:$L$257,6,FALSE)),"",(VLOOKUP($B84,'B-1 On-Site Hedge Baseline'!$B$1:$L$257,6,FALSE))))</f>
        <v/>
      </c>
      <c r="G84" s="310" t="str">
        <f>IF(B84="","",IF(ISNA(VLOOKUP($B84,'B-1 On-Site Hedge Baseline'!$B$1:$L$257,7,FALSE)),"",(VLOOKUP($B84,'B-1 On-Site Hedge Baseline'!$B$1:$L$257,7,FALSE))))</f>
        <v/>
      </c>
      <c r="H84" s="310" t="str">
        <f>IF(B84="","",IF(ISNA(VLOOKUP($B84,'B-1 On-Site Hedge Baseline'!$B$1:$L$257,8,FALSE)),"",(VLOOKUP($B84,'B-1 On-Site Hedge Baseline'!$B$1:$L$257,8,FALSE))))</f>
        <v/>
      </c>
      <c r="I84" s="310" t="str">
        <f>IF(B84="","",IF(ISNA(VLOOKUP($B84,'B-1 On-Site Hedge Baseline'!$B$1:$L$257,10,FALSE)),"",(VLOOKUP($B84,'B-1 On-Site Hedge Baseline'!$B$1:$L$257,10,FALSE))))</f>
        <v/>
      </c>
      <c r="J84" s="310" t="str">
        <f>IF(B84="","",IF(ISNA(VLOOKUP($B84,'B-1 On-Site Hedge Baseline'!$B$1:$L$257,11,FALSE)),"",(VLOOKUP($B84,'B-1 On-Site Hedge Baseline'!$B$1:$L$257,11,FALSE))))</f>
        <v/>
      </c>
      <c r="K84" s="310" t="str">
        <f>IF(B84="","",IF(ISNA(VLOOKUP($B84,'B-1 On-Site Hedge Baseline'!$B$1:$U$257,13,FALSE)),"",(VLOOKUP($B84,'B-1 On-Site Hedge Baseline'!$B$1:$U$257,13,FALSE))))</f>
        <v/>
      </c>
      <c r="L84" s="314" t="str">
        <f>IF(B84="","",IF(ISNA(VLOOKUP($B84,'B-1 On-Site Hedge Baseline'!$B$1:$U$257,12,FALSE)),"",(VLOOKUP($B84,'B-1 On-Site Hedge Baseline'!$B$1:$U$257,12,FALSE))))</f>
        <v/>
      </c>
      <c r="M84" s="583"/>
      <c r="N84" s="290" t="str">
        <f>IFERROR(IF(B84="","",INDEX('G-6 Hedgerow Data'!$AN$3:$AZ$15,MATCH(C84,'G-6 Hedgerow Data'!$AM$3:$AM$15,0),MATCH(M84,'G-6 Hedgerow Data'!$AN$2:$AZ$2,0))),"")</f>
        <v/>
      </c>
      <c r="O84" s="291" t="str">
        <f t="shared" si="8"/>
        <v/>
      </c>
      <c r="P84" s="341" t="str">
        <f>IF(B84="","",VLOOKUP(B84,'B-1 On-Site Hedge Baseline'!$B$10:T329,16,FALSE))</f>
        <v/>
      </c>
      <c r="Q84" s="290" t="str">
        <f>IF(M84="","",VLOOKUP(M84,'G-6 Hedgerow Data'!$B$2:$AG$15,2,FALSE))</f>
        <v/>
      </c>
      <c r="R84" s="291" t="str">
        <f>IF(M84="","",VLOOKUP(M84,'G-6 Hedgerow Data'!$B$2:$AG$15,3,FALSE))</f>
        <v/>
      </c>
      <c r="S84" s="106"/>
      <c r="T84" s="328" t="str">
        <f>IFERROR(IF(S84="","",IF(AND(M84="Non-native and ornamental hedgerow", S84&lt;&gt;"Poor"),"Not possible ▲", (VLOOKUP(S84,'G-1 All Habitats'!$Z$2:$AA$9,2,FALSE)))),"")</f>
        <v/>
      </c>
      <c r="U84" s="103"/>
      <c r="V84" s="310" t="str">
        <f>IF(U84="","",IF(VLOOKUP(U84,'G-3 Multipliers'!$L$3:$N$6,2,FALSE)=0,"Spatial Data Missing ⚠",VLOOKUP(U84,'G-3 Multipliers'!$L$3:$N$6,2,FALSE)))</f>
        <v/>
      </c>
      <c r="W84" s="314" t="str">
        <f>IF(U84="","",IF(VLOOKUP(U84,'G-3 Multipliers'!$L$3:$N$6,3,FALSE)=0,"Spatial Data Missing ⚠",VLOOKUP(U84,'G-3 Multipliers'!$L$3:$N$6,3,FALSE)))</f>
        <v/>
      </c>
      <c r="X84" s="290" t="str">
        <f>IFERROR(IF(OR(LEFT(O84,5)="Error",LEFT(N84,5)="Error",T84="Error"),"Check Data ⚠",IF(F84&lt;R84,INDEX('G-6 Hedgerow Data'!$S$3:$AE$14,MATCH(C84,'G-6 Hedgerow Data'!$B$3:$B$14,0),MATCH(M84,'G-6 Hedgerow Data'!$S$2:$AE$2,0)),INDEX('G-6 Hedgerow Data'!$K$3:$Q$14,MATCH(M84,'G-6 Hedgerow Data'!$B$3:$B$14,0),MATCH(O84,'G-6 Hedgerow Data'!$K$2:$Q$2,0)))),"")</f>
        <v/>
      </c>
      <c r="Y84" s="138"/>
      <c r="Z84" s="138"/>
      <c r="AA84" s="298" t="str">
        <f t="shared" si="9"/>
        <v/>
      </c>
      <c r="AB84" s="311" t="str">
        <f t="shared" si="10"/>
        <v/>
      </c>
      <c r="AC84" s="312" t="str">
        <f t="shared" si="7"/>
        <v/>
      </c>
      <c r="AD84" s="325" t="str">
        <f>IF(M84="","",VLOOKUP(M84,'G-6 Hedgerow Data'!$B$3:$AG$15,31,FALSE))</f>
        <v/>
      </c>
      <c r="AE84" s="298" t="str">
        <f t="shared" si="11"/>
        <v/>
      </c>
      <c r="AF84" s="298" t="str">
        <f t="shared" si="12"/>
        <v/>
      </c>
      <c r="AG84" s="314" t="str">
        <f>IFERROR(IF(O84="","",VLOOKUP(AD84,'G-3 Multipliers'!$P$3:$Q$6,2,FALSE)),"")</f>
        <v/>
      </c>
      <c r="AH84" s="304" t="str">
        <f t="shared" si="13"/>
        <v/>
      </c>
      <c r="AI84" s="157"/>
      <c r="AJ84" s="99"/>
      <c r="AK84" s="101"/>
      <c r="AT84" s="15" t="str">
        <f>IFERROR(INDEX('G-6 Hedgerow Data'!$BJ$3:$BJ$15,MATCH(M84,'G-6 Hedgerow Data'!$B$3:$B$15,0)),"")</f>
        <v/>
      </c>
    </row>
    <row r="85" spans="2:46" ht="14" x14ac:dyDescent="0.3">
      <c r="B85" s="319" t="str">
        <f>'B-1 On-Site Hedge Baseline'!AK83</f>
        <v/>
      </c>
      <c r="C85" s="310" t="str">
        <f>IF(B85="","",IF(ISNA(VLOOKUP($B85,'B-1 On-Site Hedge Baseline'!$B$1:$L$257,3,FALSE)),"",(VLOOKUP($B85,'B-1 On-Site Hedge Baseline'!$B$1:$L$257,3,FALSE))))</f>
        <v/>
      </c>
      <c r="D85" s="310" t="str">
        <f>IF(B85="","",IF(ISNA(VLOOKUP($B85,'B-1 On-Site Hedge Baseline'!$B$1:$L$257,4,FALSE)),"",(VLOOKUP($B85,'B-1 On-Site Hedge Baseline'!$B$1:$L$257,4,FALSE))))</f>
        <v/>
      </c>
      <c r="E85" s="310" t="str">
        <f>IF(B85="","",IF(ISNA(VLOOKUP($B85,'B-1 On-Site Hedge Baseline'!$B$1:$L$257,5,FALSE)),"",(VLOOKUP($B85,'B-1 On-Site Hedge Baseline'!$B$1:$L$257,5,FALSE))))</f>
        <v/>
      </c>
      <c r="F85" s="310" t="str">
        <f>IF(B85="","",IF(ISNA(VLOOKUP($B85,'B-1 On-Site Hedge Baseline'!$B$1:$L$257,6,FALSE)),"",(VLOOKUP($B85,'B-1 On-Site Hedge Baseline'!$B$1:$L$257,6,FALSE))))</f>
        <v/>
      </c>
      <c r="G85" s="310" t="str">
        <f>IF(B85="","",IF(ISNA(VLOOKUP($B85,'B-1 On-Site Hedge Baseline'!$B$1:$L$257,7,FALSE)),"",(VLOOKUP($B85,'B-1 On-Site Hedge Baseline'!$B$1:$L$257,7,FALSE))))</f>
        <v/>
      </c>
      <c r="H85" s="310" t="str">
        <f>IF(B85="","",IF(ISNA(VLOOKUP($B85,'B-1 On-Site Hedge Baseline'!$B$1:$L$257,8,FALSE)),"",(VLOOKUP($B85,'B-1 On-Site Hedge Baseline'!$B$1:$L$257,8,FALSE))))</f>
        <v/>
      </c>
      <c r="I85" s="310" t="str">
        <f>IF(B85="","",IF(ISNA(VLOOKUP($B85,'B-1 On-Site Hedge Baseline'!$B$1:$L$257,10,FALSE)),"",(VLOOKUP($B85,'B-1 On-Site Hedge Baseline'!$B$1:$L$257,10,FALSE))))</f>
        <v/>
      </c>
      <c r="J85" s="310" t="str">
        <f>IF(B85="","",IF(ISNA(VLOOKUP($B85,'B-1 On-Site Hedge Baseline'!$B$1:$L$257,11,FALSE)),"",(VLOOKUP($B85,'B-1 On-Site Hedge Baseline'!$B$1:$L$257,11,FALSE))))</f>
        <v/>
      </c>
      <c r="K85" s="310" t="str">
        <f>IF(B85="","",IF(ISNA(VLOOKUP($B85,'B-1 On-Site Hedge Baseline'!$B$1:$U$257,13,FALSE)),"",(VLOOKUP($B85,'B-1 On-Site Hedge Baseline'!$B$1:$U$257,13,FALSE))))</f>
        <v/>
      </c>
      <c r="L85" s="314" t="str">
        <f>IF(B85="","",IF(ISNA(VLOOKUP($B85,'B-1 On-Site Hedge Baseline'!$B$1:$U$257,12,FALSE)),"",(VLOOKUP($B85,'B-1 On-Site Hedge Baseline'!$B$1:$U$257,12,FALSE))))</f>
        <v/>
      </c>
      <c r="M85" s="583"/>
      <c r="N85" s="290" t="str">
        <f>IFERROR(IF(B85="","",INDEX('G-6 Hedgerow Data'!$AN$3:$AZ$15,MATCH(C85,'G-6 Hedgerow Data'!$AM$3:$AM$15,0),MATCH(M85,'G-6 Hedgerow Data'!$AN$2:$AZ$2,0))),"")</f>
        <v/>
      </c>
      <c r="O85" s="291" t="str">
        <f t="shared" si="8"/>
        <v/>
      </c>
      <c r="P85" s="341" t="str">
        <f>IF(B85="","",VLOOKUP(B85,'B-1 On-Site Hedge Baseline'!$B$10:T330,16,FALSE))</f>
        <v/>
      </c>
      <c r="Q85" s="290" t="str">
        <f>IF(M85="","",VLOOKUP(M85,'G-6 Hedgerow Data'!$B$2:$AG$15,2,FALSE))</f>
        <v/>
      </c>
      <c r="R85" s="291" t="str">
        <f>IF(M85="","",VLOOKUP(M85,'G-6 Hedgerow Data'!$B$2:$AG$15,3,FALSE))</f>
        <v/>
      </c>
      <c r="S85" s="106"/>
      <c r="T85" s="328" t="str">
        <f>IFERROR(IF(S85="","",IF(AND(M85="Non-native and ornamental hedgerow", S85&lt;&gt;"Poor"),"Not possible ▲", (VLOOKUP(S85,'G-1 All Habitats'!$Z$2:$AA$9,2,FALSE)))),"")</f>
        <v/>
      </c>
      <c r="U85" s="103"/>
      <c r="V85" s="310" t="str">
        <f>IF(U85="","",IF(VLOOKUP(U85,'G-3 Multipliers'!$L$3:$N$6,2,FALSE)=0,"Spatial Data Missing ⚠",VLOOKUP(U85,'G-3 Multipliers'!$L$3:$N$6,2,FALSE)))</f>
        <v/>
      </c>
      <c r="W85" s="314" t="str">
        <f>IF(U85="","",IF(VLOOKUP(U85,'G-3 Multipliers'!$L$3:$N$6,3,FALSE)=0,"Spatial Data Missing ⚠",VLOOKUP(U85,'G-3 Multipliers'!$L$3:$N$6,3,FALSE)))</f>
        <v/>
      </c>
      <c r="X85" s="290" t="str">
        <f>IFERROR(IF(OR(LEFT(O85,5)="Error",LEFT(N85,5)="Error",T85="Error"),"Check Data ⚠",IF(F85&lt;R85,INDEX('G-6 Hedgerow Data'!$S$3:$AE$14,MATCH(C85,'G-6 Hedgerow Data'!$B$3:$B$14,0),MATCH(M85,'G-6 Hedgerow Data'!$S$2:$AE$2,0)),INDEX('G-6 Hedgerow Data'!$K$3:$Q$14,MATCH(M85,'G-6 Hedgerow Data'!$B$3:$B$14,0),MATCH(O85,'G-6 Hedgerow Data'!$K$2:$Q$2,0)))),"")</f>
        <v/>
      </c>
      <c r="Y85" s="138"/>
      <c r="Z85" s="138"/>
      <c r="AA85" s="298" t="str">
        <f t="shared" si="9"/>
        <v/>
      </c>
      <c r="AB85" s="311" t="str">
        <f t="shared" si="10"/>
        <v/>
      </c>
      <c r="AC85" s="312" t="str">
        <f t="shared" si="7"/>
        <v/>
      </c>
      <c r="AD85" s="325" t="str">
        <f>IF(M85="","",VLOOKUP(M85,'G-6 Hedgerow Data'!$B$3:$AG$15,31,FALSE))</f>
        <v/>
      </c>
      <c r="AE85" s="298" t="str">
        <f t="shared" si="11"/>
        <v/>
      </c>
      <c r="AF85" s="298" t="str">
        <f t="shared" si="12"/>
        <v/>
      </c>
      <c r="AG85" s="314" t="str">
        <f>IFERROR(IF(O85="","",VLOOKUP(AD85,'G-3 Multipliers'!$P$3:$Q$6,2,FALSE)),"")</f>
        <v/>
      </c>
      <c r="AH85" s="304" t="str">
        <f t="shared" si="13"/>
        <v/>
      </c>
      <c r="AI85" s="157"/>
      <c r="AJ85" s="99"/>
      <c r="AK85" s="101"/>
      <c r="AT85" s="15" t="str">
        <f>IFERROR(INDEX('G-6 Hedgerow Data'!$BJ$3:$BJ$15,MATCH(M85,'G-6 Hedgerow Data'!$B$3:$B$15,0)),"")</f>
        <v/>
      </c>
    </row>
    <row r="86" spans="2:46" ht="14" x14ac:dyDescent="0.3">
      <c r="B86" s="319" t="str">
        <f>'B-1 On-Site Hedge Baseline'!AK84</f>
        <v/>
      </c>
      <c r="C86" s="310" t="str">
        <f>IF(B86="","",IF(ISNA(VLOOKUP($B86,'B-1 On-Site Hedge Baseline'!$B$1:$L$257,3,FALSE)),"",(VLOOKUP($B86,'B-1 On-Site Hedge Baseline'!$B$1:$L$257,3,FALSE))))</f>
        <v/>
      </c>
      <c r="D86" s="310" t="str">
        <f>IF(B86="","",IF(ISNA(VLOOKUP($B86,'B-1 On-Site Hedge Baseline'!$B$1:$L$257,4,FALSE)),"",(VLOOKUP($B86,'B-1 On-Site Hedge Baseline'!$B$1:$L$257,4,FALSE))))</f>
        <v/>
      </c>
      <c r="E86" s="310" t="str">
        <f>IF(B86="","",IF(ISNA(VLOOKUP($B86,'B-1 On-Site Hedge Baseline'!$B$1:$L$257,5,FALSE)),"",(VLOOKUP($B86,'B-1 On-Site Hedge Baseline'!$B$1:$L$257,5,FALSE))))</f>
        <v/>
      </c>
      <c r="F86" s="310" t="str">
        <f>IF(B86="","",IF(ISNA(VLOOKUP($B86,'B-1 On-Site Hedge Baseline'!$B$1:$L$257,6,FALSE)),"",(VLOOKUP($B86,'B-1 On-Site Hedge Baseline'!$B$1:$L$257,6,FALSE))))</f>
        <v/>
      </c>
      <c r="G86" s="310" t="str">
        <f>IF(B86="","",IF(ISNA(VLOOKUP($B86,'B-1 On-Site Hedge Baseline'!$B$1:$L$257,7,FALSE)),"",(VLOOKUP($B86,'B-1 On-Site Hedge Baseline'!$B$1:$L$257,7,FALSE))))</f>
        <v/>
      </c>
      <c r="H86" s="310" t="str">
        <f>IF(B86="","",IF(ISNA(VLOOKUP($B86,'B-1 On-Site Hedge Baseline'!$B$1:$L$257,8,FALSE)),"",(VLOOKUP($B86,'B-1 On-Site Hedge Baseline'!$B$1:$L$257,8,FALSE))))</f>
        <v/>
      </c>
      <c r="I86" s="310" t="str">
        <f>IF(B86="","",IF(ISNA(VLOOKUP($B86,'B-1 On-Site Hedge Baseline'!$B$1:$L$257,10,FALSE)),"",(VLOOKUP($B86,'B-1 On-Site Hedge Baseline'!$B$1:$L$257,10,FALSE))))</f>
        <v/>
      </c>
      <c r="J86" s="310" t="str">
        <f>IF(B86="","",IF(ISNA(VLOOKUP($B86,'B-1 On-Site Hedge Baseline'!$B$1:$L$257,11,FALSE)),"",(VLOOKUP($B86,'B-1 On-Site Hedge Baseline'!$B$1:$L$257,11,FALSE))))</f>
        <v/>
      </c>
      <c r="K86" s="310" t="str">
        <f>IF(B86="","",IF(ISNA(VLOOKUP($B86,'B-1 On-Site Hedge Baseline'!$B$1:$U$257,13,FALSE)),"",(VLOOKUP($B86,'B-1 On-Site Hedge Baseline'!$B$1:$U$257,13,FALSE))))</f>
        <v/>
      </c>
      <c r="L86" s="314" t="str">
        <f>IF(B86="","",IF(ISNA(VLOOKUP($B86,'B-1 On-Site Hedge Baseline'!$B$1:$U$257,12,FALSE)),"",(VLOOKUP($B86,'B-1 On-Site Hedge Baseline'!$B$1:$U$257,12,FALSE))))</f>
        <v/>
      </c>
      <c r="M86" s="583"/>
      <c r="N86" s="290" t="str">
        <f>IFERROR(IF(B86="","",INDEX('G-6 Hedgerow Data'!$AN$3:$AZ$15,MATCH(C86,'G-6 Hedgerow Data'!$AM$3:$AM$15,0),MATCH(M86,'G-6 Hedgerow Data'!$AN$2:$AZ$2,0))),"")</f>
        <v/>
      </c>
      <c r="O86" s="291" t="str">
        <f t="shared" si="8"/>
        <v/>
      </c>
      <c r="P86" s="341" t="str">
        <f>IF(B86="","",VLOOKUP(B86,'B-1 On-Site Hedge Baseline'!$B$10:T331,16,FALSE))</f>
        <v/>
      </c>
      <c r="Q86" s="290" t="str">
        <f>IF(M86="","",VLOOKUP(M86,'G-6 Hedgerow Data'!$B$2:$AG$15,2,FALSE))</f>
        <v/>
      </c>
      <c r="R86" s="291" t="str">
        <f>IF(M86="","",VLOOKUP(M86,'G-6 Hedgerow Data'!$B$2:$AG$15,3,FALSE))</f>
        <v/>
      </c>
      <c r="S86" s="106"/>
      <c r="T86" s="328" t="str">
        <f>IFERROR(IF(S86="","",IF(AND(M86="Non-native and ornamental hedgerow", S86&lt;&gt;"Poor"),"Not possible ▲", (VLOOKUP(S86,'G-1 All Habitats'!$Z$2:$AA$9,2,FALSE)))),"")</f>
        <v/>
      </c>
      <c r="U86" s="103"/>
      <c r="V86" s="310" t="str">
        <f>IF(U86="","",IF(VLOOKUP(U86,'G-3 Multipliers'!$L$3:$N$6,2,FALSE)=0,"Spatial Data Missing ⚠",VLOOKUP(U86,'G-3 Multipliers'!$L$3:$N$6,2,FALSE)))</f>
        <v/>
      </c>
      <c r="W86" s="314" t="str">
        <f>IF(U86="","",IF(VLOOKUP(U86,'G-3 Multipliers'!$L$3:$N$6,3,FALSE)=0,"Spatial Data Missing ⚠",VLOOKUP(U86,'G-3 Multipliers'!$L$3:$N$6,3,FALSE)))</f>
        <v/>
      </c>
      <c r="X86" s="290" t="str">
        <f>IFERROR(IF(OR(LEFT(O86,5)="Error",LEFT(N86,5)="Error",T86="Error"),"Check Data ⚠",IF(F86&lt;R86,INDEX('G-6 Hedgerow Data'!$S$3:$AE$14,MATCH(C86,'G-6 Hedgerow Data'!$B$3:$B$14,0),MATCH(M86,'G-6 Hedgerow Data'!$S$2:$AE$2,0)),INDEX('G-6 Hedgerow Data'!$K$3:$Q$14,MATCH(M86,'G-6 Hedgerow Data'!$B$3:$B$14,0),MATCH(O86,'G-6 Hedgerow Data'!$K$2:$Q$2,0)))),"")</f>
        <v/>
      </c>
      <c r="Y86" s="138"/>
      <c r="Z86" s="138"/>
      <c r="AA86" s="298" t="str">
        <f t="shared" si="9"/>
        <v/>
      </c>
      <c r="AB86" s="311" t="str">
        <f t="shared" si="10"/>
        <v/>
      </c>
      <c r="AC86" s="312" t="str">
        <f t="shared" si="7"/>
        <v/>
      </c>
      <c r="AD86" s="325" t="str">
        <f>IF(M86="","",VLOOKUP(M86,'G-6 Hedgerow Data'!$B$3:$AG$15,31,FALSE))</f>
        <v/>
      </c>
      <c r="AE86" s="298" t="str">
        <f t="shared" si="11"/>
        <v/>
      </c>
      <c r="AF86" s="298" t="str">
        <f t="shared" si="12"/>
        <v/>
      </c>
      <c r="AG86" s="314" t="str">
        <f>IFERROR(IF(O86="","",VLOOKUP(AD86,'G-3 Multipliers'!$P$3:$Q$6,2,FALSE)),"")</f>
        <v/>
      </c>
      <c r="AH86" s="304" t="str">
        <f t="shared" si="13"/>
        <v/>
      </c>
      <c r="AI86" s="157"/>
      <c r="AJ86" s="99"/>
      <c r="AK86" s="101"/>
      <c r="AT86" s="15" t="str">
        <f>IFERROR(INDEX('G-6 Hedgerow Data'!$BJ$3:$BJ$15,MATCH(M86,'G-6 Hedgerow Data'!$B$3:$B$15,0)),"")</f>
        <v/>
      </c>
    </row>
    <row r="87" spans="2:46" ht="14" x14ac:dyDescent="0.3">
      <c r="B87" s="319" t="str">
        <f>'B-1 On-Site Hedge Baseline'!AK85</f>
        <v/>
      </c>
      <c r="C87" s="310" t="str">
        <f>IF(B87="","",IF(ISNA(VLOOKUP($B87,'B-1 On-Site Hedge Baseline'!$B$1:$L$257,3,FALSE)),"",(VLOOKUP($B87,'B-1 On-Site Hedge Baseline'!$B$1:$L$257,3,FALSE))))</f>
        <v/>
      </c>
      <c r="D87" s="310" t="str">
        <f>IF(B87="","",IF(ISNA(VLOOKUP($B87,'B-1 On-Site Hedge Baseline'!$B$1:$L$257,4,FALSE)),"",(VLOOKUP($B87,'B-1 On-Site Hedge Baseline'!$B$1:$L$257,4,FALSE))))</f>
        <v/>
      </c>
      <c r="E87" s="310" t="str">
        <f>IF(B87="","",IF(ISNA(VLOOKUP($B87,'B-1 On-Site Hedge Baseline'!$B$1:$L$257,5,FALSE)),"",(VLOOKUP($B87,'B-1 On-Site Hedge Baseline'!$B$1:$L$257,5,FALSE))))</f>
        <v/>
      </c>
      <c r="F87" s="310" t="str">
        <f>IF(B87="","",IF(ISNA(VLOOKUP($B87,'B-1 On-Site Hedge Baseline'!$B$1:$L$257,6,FALSE)),"",(VLOOKUP($B87,'B-1 On-Site Hedge Baseline'!$B$1:$L$257,6,FALSE))))</f>
        <v/>
      </c>
      <c r="G87" s="310" t="str">
        <f>IF(B87="","",IF(ISNA(VLOOKUP($B87,'B-1 On-Site Hedge Baseline'!$B$1:$L$257,7,FALSE)),"",(VLOOKUP($B87,'B-1 On-Site Hedge Baseline'!$B$1:$L$257,7,FALSE))))</f>
        <v/>
      </c>
      <c r="H87" s="310" t="str">
        <f>IF(B87="","",IF(ISNA(VLOOKUP($B87,'B-1 On-Site Hedge Baseline'!$B$1:$L$257,8,FALSE)),"",(VLOOKUP($B87,'B-1 On-Site Hedge Baseline'!$B$1:$L$257,8,FALSE))))</f>
        <v/>
      </c>
      <c r="I87" s="310" t="str">
        <f>IF(B87="","",IF(ISNA(VLOOKUP($B87,'B-1 On-Site Hedge Baseline'!$B$1:$L$257,10,FALSE)),"",(VLOOKUP($B87,'B-1 On-Site Hedge Baseline'!$B$1:$L$257,10,FALSE))))</f>
        <v/>
      </c>
      <c r="J87" s="310" t="str">
        <f>IF(B87="","",IF(ISNA(VLOOKUP($B87,'B-1 On-Site Hedge Baseline'!$B$1:$L$257,11,FALSE)),"",(VLOOKUP($B87,'B-1 On-Site Hedge Baseline'!$B$1:$L$257,11,FALSE))))</f>
        <v/>
      </c>
      <c r="K87" s="310" t="str">
        <f>IF(B87="","",IF(ISNA(VLOOKUP($B87,'B-1 On-Site Hedge Baseline'!$B$1:$U$257,13,FALSE)),"",(VLOOKUP($B87,'B-1 On-Site Hedge Baseline'!$B$1:$U$257,13,FALSE))))</f>
        <v/>
      </c>
      <c r="L87" s="314" t="str">
        <f>IF(B87="","",IF(ISNA(VLOOKUP($B87,'B-1 On-Site Hedge Baseline'!$B$1:$U$257,12,FALSE)),"",(VLOOKUP($B87,'B-1 On-Site Hedge Baseline'!$B$1:$U$257,12,FALSE))))</f>
        <v/>
      </c>
      <c r="M87" s="583"/>
      <c r="N87" s="290" t="str">
        <f>IFERROR(IF(B87="","",INDEX('G-6 Hedgerow Data'!$AN$3:$AZ$15,MATCH(C87,'G-6 Hedgerow Data'!$AM$3:$AM$15,0),MATCH(M87,'G-6 Hedgerow Data'!$AN$2:$AZ$2,0))),"")</f>
        <v/>
      </c>
      <c r="O87" s="291" t="str">
        <f t="shared" si="8"/>
        <v/>
      </c>
      <c r="P87" s="341" t="str">
        <f>IF(B87="","",VLOOKUP(B87,'B-1 On-Site Hedge Baseline'!$B$10:T332,16,FALSE))</f>
        <v/>
      </c>
      <c r="Q87" s="290" t="str">
        <f>IF(M87="","",VLOOKUP(M87,'G-6 Hedgerow Data'!$B$2:$AG$15,2,FALSE))</f>
        <v/>
      </c>
      <c r="R87" s="291" t="str">
        <f>IF(M87="","",VLOOKUP(M87,'G-6 Hedgerow Data'!$B$2:$AG$15,3,FALSE))</f>
        <v/>
      </c>
      <c r="S87" s="106"/>
      <c r="T87" s="328" t="str">
        <f>IFERROR(IF(S87="","",IF(AND(M87="Non-native and ornamental hedgerow", S87&lt;&gt;"Poor"),"Not possible ▲", (VLOOKUP(S87,'G-1 All Habitats'!$Z$2:$AA$9,2,FALSE)))),"")</f>
        <v/>
      </c>
      <c r="U87" s="103"/>
      <c r="V87" s="310" t="str">
        <f>IF(U87="","",IF(VLOOKUP(U87,'G-3 Multipliers'!$L$3:$N$6,2,FALSE)=0,"Spatial Data Missing ⚠",VLOOKUP(U87,'G-3 Multipliers'!$L$3:$N$6,2,FALSE)))</f>
        <v/>
      </c>
      <c r="W87" s="314" t="str">
        <f>IF(U87="","",IF(VLOOKUP(U87,'G-3 Multipliers'!$L$3:$N$6,3,FALSE)=0,"Spatial Data Missing ⚠",VLOOKUP(U87,'G-3 Multipliers'!$L$3:$N$6,3,FALSE)))</f>
        <v/>
      </c>
      <c r="X87" s="290" t="str">
        <f>IFERROR(IF(OR(LEFT(O87,5)="Error",LEFT(N87,5)="Error",T87="Error"),"Check Data ⚠",IF(F87&lt;R87,INDEX('G-6 Hedgerow Data'!$S$3:$AE$14,MATCH(C87,'G-6 Hedgerow Data'!$B$3:$B$14,0),MATCH(M87,'G-6 Hedgerow Data'!$S$2:$AE$2,0)),INDEX('G-6 Hedgerow Data'!$K$3:$Q$14,MATCH(M87,'G-6 Hedgerow Data'!$B$3:$B$14,0),MATCH(O87,'G-6 Hedgerow Data'!$K$2:$Q$2,0)))),"")</f>
        <v/>
      </c>
      <c r="Y87" s="138"/>
      <c r="Z87" s="138"/>
      <c r="AA87" s="298" t="str">
        <f t="shared" si="9"/>
        <v/>
      </c>
      <c r="AB87" s="311" t="str">
        <f t="shared" si="10"/>
        <v/>
      </c>
      <c r="AC87" s="312" t="str">
        <f t="shared" si="7"/>
        <v/>
      </c>
      <c r="AD87" s="325" t="str">
        <f>IF(M87="","",VLOOKUP(M87,'G-6 Hedgerow Data'!$B$3:$AG$15,31,FALSE))</f>
        <v/>
      </c>
      <c r="AE87" s="298" t="str">
        <f t="shared" si="11"/>
        <v/>
      </c>
      <c r="AF87" s="298" t="str">
        <f t="shared" si="12"/>
        <v/>
      </c>
      <c r="AG87" s="314" t="str">
        <f>IFERROR(IF(O87="","",VLOOKUP(AD87,'G-3 Multipliers'!$P$3:$Q$6,2,FALSE)),"")</f>
        <v/>
      </c>
      <c r="AH87" s="304" t="str">
        <f t="shared" si="13"/>
        <v/>
      </c>
      <c r="AI87" s="157"/>
      <c r="AJ87" s="99"/>
      <c r="AK87" s="101"/>
      <c r="AT87" s="15" t="str">
        <f>IFERROR(INDEX('G-6 Hedgerow Data'!$BJ$3:$BJ$15,MATCH(M87,'G-6 Hedgerow Data'!$B$3:$B$15,0)),"")</f>
        <v/>
      </c>
    </row>
    <row r="88" spans="2:46" ht="14" x14ac:dyDescent="0.3">
      <c r="B88" s="319" t="str">
        <f>'B-1 On-Site Hedge Baseline'!AK86</f>
        <v/>
      </c>
      <c r="C88" s="310" t="str">
        <f>IF(B88="","",IF(ISNA(VLOOKUP($B88,'B-1 On-Site Hedge Baseline'!$B$1:$L$257,3,FALSE)),"",(VLOOKUP($B88,'B-1 On-Site Hedge Baseline'!$B$1:$L$257,3,FALSE))))</f>
        <v/>
      </c>
      <c r="D88" s="310" t="str">
        <f>IF(B88="","",IF(ISNA(VLOOKUP($B88,'B-1 On-Site Hedge Baseline'!$B$1:$L$257,4,FALSE)),"",(VLOOKUP($B88,'B-1 On-Site Hedge Baseline'!$B$1:$L$257,4,FALSE))))</f>
        <v/>
      </c>
      <c r="E88" s="310" t="str">
        <f>IF(B88="","",IF(ISNA(VLOOKUP($B88,'B-1 On-Site Hedge Baseline'!$B$1:$L$257,5,FALSE)),"",(VLOOKUP($B88,'B-1 On-Site Hedge Baseline'!$B$1:$L$257,5,FALSE))))</f>
        <v/>
      </c>
      <c r="F88" s="310" t="str">
        <f>IF(B88="","",IF(ISNA(VLOOKUP($B88,'B-1 On-Site Hedge Baseline'!$B$1:$L$257,6,FALSE)),"",(VLOOKUP($B88,'B-1 On-Site Hedge Baseline'!$B$1:$L$257,6,FALSE))))</f>
        <v/>
      </c>
      <c r="G88" s="310" t="str">
        <f>IF(B88="","",IF(ISNA(VLOOKUP($B88,'B-1 On-Site Hedge Baseline'!$B$1:$L$257,7,FALSE)),"",(VLOOKUP($B88,'B-1 On-Site Hedge Baseline'!$B$1:$L$257,7,FALSE))))</f>
        <v/>
      </c>
      <c r="H88" s="310" t="str">
        <f>IF(B88="","",IF(ISNA(VLOOKUP($B88,'B-1 On-Site Hedge Baseline'!$B$1:$L$257,8,FALSE)),"",(VLOOKUP($B88,'B-1 On-Site Hedge Baseline'!$B$1:$L$257,8,FALSE))))</f>
        <v/>
      </c>
      <c r="I88" s="310" t="str">
        <f>IF(B88="","",IF(ISNA(VLOOKUP($B88,'B-1 On-Site Hedge Baseline'!$B$1:$L$257,10,FALSE)),"",(VLOOKUP($B88,'B-1 On-Site Hedge Baseline'!$B$1:$L$257,10,FALSE))))</f>
        <v/>
      </c>
      <c r="J88" s="310" t="str">
        <f>IF(B88="","",IF(ISNA(VLOOKUP($B88,'B-1 On-Site Hedge Baseline'!$B$1:$L$257,11,FALSE)),"",(VLOOKUP($B88,'B-1 On-Site Hedge Baseline'!$B$1:$L$257,11,FALSE))))</f>
        <v/>
      </c>
      <c r="K88" s="310" t="str">
        <f>IF(B88="","",IF(ISNA(VLOOKUP($B88,'B-1 On-Site Hedge Baseline'!$B$1:$U$257,13,FALSE)),"",(VLOOKUP($B88,'B-1 On-Site Hedge Baseline'!$B$1:$U$257,13,FALSE))))</f>
        <v/>
      </c>
      <c r="L88" s="314" t="str">
        <f>IF(B88="","",IF(ISNA(VLOOKUP($B88,'B-1 On-Site Hedge Baseline'!$B$1:$U$257,12,FALSE)),"",(VLOOKUP($B88,'B-1 On-Site Hedge Baseline'!$B$1:$U$257,12,FALSE))))</f>
        <v/>
      </c>
      <c r="M88" s="583"/>
      <c r="N88" s="290" t="str">
        <f>IFERROR(IF(B88="","",INDEX('G-6 Hedgerow Data'!$AN$3:$AZ$15,MATCH(C88,'G-6 Hedgerow Data'!$AM$3:$AM$15,0),MATCH(M88,'G-6 Hedgerow Data'!$AN$2:$AZ$2,0))),"")</f>
        <v/>
      </c>
      <c r="O88" s="291" t="str">
        <f t="shared" si="8"/>
        <v/>
      </c>
      <c r="P88" s="341" t="str">
        <f>IF(B88="","",VLOOKUP(B88,'B-1 On-Site Hedge Baseline'!$B$10:T333,16,FALSE))</f>
        <v/>
      </c>
      <c r="Q88" s="290" t="str">
        <f>IF(M88="","",VLOOKUP(M88,'G-6 Hedgerow Data'!$B$2:$AG$15,2,FALSE))</f>
        <v/>
      </c>
      <c r="R88" s="291" t="str">
        <f>IF(M88="","",VLOOKUP(M88,'G-6 Hedgerow Data'!$B$2:$AG$15,3,FALSE))</f>
        <v/>
      </c>
      <c r="S88" s="106"/>
      <c r="T88" s="328" t="str">
        <f>IFERROR(IF(S88="","",IF(AND(M88="Non-native and ornamental hedgerow", S88&lt;&gt;"Poor"),"Not possible ▲", (VLOOKUP(S88,'G-1 All Habitats'!$Z$2:$AA$9,2,FALSE)))),"")</f>
        <v/>
      </c>
      <c r="U88" s="103"/>
      <c r="V88" s="310" t="str">
        <f>IF(U88="","",IF(VLOOKUP(U88,'G-3 Multipliers'!$L$3:$N$6,2,FALSE)=0,"Spatial Data Missing ⚠",VLOOKUP(U88,'G-3 Multipliers'!$L$3:$N$6,2,FALSE)))</f>
        <v/>
      </c>
      <c r="W88" s="314" t="str">
        <f>IF(U88="","",IF(VLOOKUP(U88,'G-3 Multipliers'!$L$3:$N$6,3,FALSE)=0,"Spatial Data Missing ⚠",VLOOKUP(U88,'G-3 Multipliers'!$L$3:$N$6,3,FALSE)))</f>
        <v/>
      </c>
      <c r="X88" s="290" t="str">
        <f>IFERROR(IF(OR(LEFT(O88,5)="Error",LEFT(N88,5)="Error",T88="Error"),"Check Data ⚠",IF(F88&lt;R88,INDEX('G-6 Hedgerow Data'!$S$3:$AE$14,MATCH(C88,'G-6 Hedgerow Data'!$B$3:$B$14,0),MATCH(M88,'G-6 Hedgerow Data'!$S$2:$AE$2,0)),INDEX('G-6 Hedgerow Data'!$K$3:$Q$14,MATCH(M88,'G-6 Hedgerow Data'!$B$3:$B$14,0),MATCH(O88,'G-6 Hedgerow Data'!$K$2:$Q$2,0)))),"")</f>
        <v/>
      </c>
      <c r="Y88" s="138"/>
      <c r="Z88" s="138"/>
      <c r="AA88" s="298" t="str">
        <f t="shared" si="9"/>
        <v/>
      </c>
      <c r="AB88" s="311" t="str">
        <f t="shared" si="10"/>
        <v/>
      </c>
      <c r="AC88" s="312" t="str">
        <f t="shared" si="7"/>
        <v/>
      </c>
      <c r="AD88" s="325" t="str">
        <f>IF(M88="","",VLOOKUP(M88,'G-6 Hedgerow Data'!$B$3:$AG$15,31,FALSE))</f>
        <v/>
      </c>
      <c r="AE88" s="298" t="str">
        <f t="shared" si="11"/>
        <v/>
      </c>
      <c r="AF88" s="298" t="str">
        <f t="shared" si="12"/>
        <v/>
      </c>
      <c r="AG88" s="314" t="str">
        <f>IFERROR(IF(O88="","",VLOOKUP(AD88,'G-3 Multipliers'!$P$3:$Q$6,2,FALSE)),"")</f>
        <v/>
      </c>
      <c r="AH88" s="304" t="str">
        <f t="shared" si="13"/>
        <v/>
      </c>
      <c r="AI88" s="157"/>
      <c r="AJ88" s="99"/>
      <c r="AK88" s="101"/>
      <c r="AT88" s="15" t="str">
        <f>IFERROR(INDEX('G-6 Hedgerow Data'!$BJ$3:$BJ$15,MATCH(M88,'G-6 Hedgerow Data'!$B$3:$B$15,0)),"")</f>
        <v/>
      </c>
    </row>
    <row r="89" spans="2:46" ht="14" x14ac:dyDescent="0.3">
      <c r="B89" s="319" t="str">
        <f>'B-1 On-Site Hedge Baseline'!AK87</f>
        <v/>
      </c>
      <c r="C89" s="310" t="str">
        <f>IF(B89="","",IF(ISNA(VLOOKUP($B89,'B-1 On-Site Hedge Baseline'!$B$1:$L$257,3,FALSE)),"",(VLOOKUP($B89,'B-1 On-Site Hedge Baseline'!$B$1:$L$257,3,FALSE))))</f>
        <v/>
      </c>
      <c r="D89" s="310" t="str">
        <f>IF(B89="","",IF(ISNA(VLOOKUP($B89,'B-1 On-Site Hedge Baseline'!$B$1:$L$257,4,FALSE)),"",(VLOOKUP($B89,'B-1 On-Site Hedge Baseline'!$B$1:$L$257,4,FALSE))))</f>
        <v/>
      </c>
      <c r="E89" s="310" t="str">
        <f>IF(B89="","",IF(ISNA(VLOOKUP($B89,'B-1 On-Site Hedge Baseline'!$B$1:$L$257,5,FALSE)),"",(VLOOKUP($B89,'B-1 On-Site Hedge Baseline'!$B$1:$L$257,5,FALSE))))</f>
        <v/>
      </c>
      <c r="F89" s="310" t="str">
        <f>IF(B89="","",IF(ISNA(VLOOKUP($B89,'B-1 On-Site Hedge Baseline'!$B$1:$L$257,6,FALSE)),"",(VLOOKUP($B89,'B-1 On-Site Hedge Baseline'!$B$1:$L$257,6,FALSE))))</f>
        <v/>
      </c>
      <c r="G89" s="310" t="str">
        <f>IF(B89="","",IF(ISNA(VLOOKUP($B89,'B-1 On-Site Hedge Baseline'!$B$1:$L$257,7,FALSE)),"",(VLOOKUP($B89,'B-1 On-Site Hedge Baseline'!$B$1:$L$257,7,FALSE))))</f>
        <v/>
      </c>
      <c r="H89" s="310" t="str">
        <f>IF(B89="","",IF(ISNA(VLOOKUP($B89,'B-1 On-Site Hedge Baseline'!$B$1:$L$257,8,FALSE)),"",(VLOOKUP($B89,'B-1 On-Site Hedge Baseline'!$B$1:$L$257,8,FALSE))))</f>
        <v/>
      </c>
      <c r="I89" s="310" t="str">
        <f>IF(B89="","",IF(ISNA(VLOOKUP($B89,'B-1 On-Site Hedge Baseline'!$B$1:$L$257,10,FALSE)),"",(VLOOKUP($B89,'B-1 On-Site Hedge Baseline'!$B$1:$L$257,10,FALSE))))</f>
        <v/>
      </c>
      <c r="J89" s="310" t="str">
        <f>IF(B89="","",IF(ISNA(VLOOKUP($B89,'B-1 On-Site Hedge Baseline'!$B$1:$L$257,11,FALSE)),"",(VLOOKUP($B89,'B-1 On-Site Hedge Baseline'!$B$1:$L$257,11,FALSE))))</f>
        <v/>
      </c>
      <c r="K89" s="310" t="str">
        <f>IF(B89="","",IF(ISNA(VLOOKUP($B89,'B-1 On-Site Hedge Baseline'!$B$1:$U$257,13,FALSE)),"",(VLOOKUP($B89,'B-1 On-Site Hedge Baseline'!$B$1:$U$257,13,FALSE))))</f>
        <v/>
      </c>
      <c r="L89" s="314" t="str">
        <f>IF(B89="","",IF(ISNA(VLOOKUP($B89,'B-1 On-Site Hedge Baseline'!$B$1:$U$257,12,FALSE)),"",(VLOOKUP($B89,'B-1 On-Site Hedge Baseline'!$B$1:$U$257,12,FALSE))))</f>
        <v/>
      </c>
      <c r="M89" s="583"/>
      <c r="N89" s="290" t="str">
        <f>IFERROR(IF(B89="","",INDEX('G-6 Hedgerow Data'!$AN$3:$AZ$15,MATCH(C89,'G-6 Hedgerow Data'!$AM$3:$AM$15,0),MATCH(M89,'G-6 Hedgerow Data'!$AN$2:$AZ$2,0))),"")</f>
        <v/>
      </c>
      <c r="O89" s="291" t="str">
        <f t="shared" si="8"/>
        <v/>
      </c>
      <c r="P89" s="341" t="str">
        <f>IF(B89="","",VLOOKUP(B89,'B-1 On-Site Hedge Baseline'!$B$10:T334,16,FALSE))</f>
        <v/>
      </c>
      <c r="Q89" s="290" t="str">
        <f>IF(M89="","",VLOOKUP(M89,'G-6 Hedgerow Data'!$B$2:$AG$15,2,FALSE))</f>
        <v/>
      </c>
      <c r="R89" s="291" t="str">
        <f>IF(M89="","",VLOOKUP(M89,'G-6 Hedgerow Data'!$B$2:$AG$15,3,FALSE))</f>
        <v/>
      </c>
      <c r="S89" s="106"/>
      <c r="T89" s="328" t="str">
        <f>IFERROR(IF(S89="","",IF(AND(M89="Non-native and ornamental hedgerow", S89&lt;&gt;"Poor"),"Not possible ▲", (VLOOKUP(S89,'G-1 All Habitats'!$Z$2:$AA$9,2,FALSE)))),"")</f>
        <v/>
      </c>
      <c r="U89" s="103"/>
      <c r="V89" s="310" t="str">
        <f>IF(U89="","",IF(VLOOKUP(U89,'G-3 Multipliers'!$L$3:$N$6,2,FALSE)=0,"Spatial Data Missing ⚠",VLOOKUP(U89,'G-3 Multipliers'!$L$3:$N$6,2,FALSE)))</f>
        <v/>
      </c>
      <c r="W89" s="314" t="str">
        <f>IF(U89="","",IF(VLOOKUP(U89,'G-3 Multipliers'!$L$3:$N$6,3,FALSE)=0,"Spatial Data Missing ⚠",VLOOKUP(U89,'G-3 Multipliers'!$L$3:$N$6,3,FALSE)))</f>
        <v/>
      </c>
      <c r="X89" s="290" t="str">
        <f>IFERROR(IF(OR(LEFT(O89,5)="Error",LEFT(N89,5)="Error",T89="Error"),"Check Data ⚠",IF(F89&lt;R89,INDEX('G-6 Hedgerow Data'!$S$3:$AE$14,MATCH(C89,'G-6 Hedgerow Data'!$B$3:$B$14,0),MATCH(M89,'G-6 Hedgerow Data'!$S$2:$AE$2,0)),INDEX('G-6 Hedgerow Data'!$K$3:$Q$14,MATCH(M89,'G-6 Hedgerow Data'!$B$3:$B$14,0),MATCH(O89,'G-6 Hedgerow Data'!$K$2:$Q$2,0)))),"")</f>
        <v/>
      </c>
      <c r="Y89" s="138"/>
      <c r="Z89" s="138"/>
      <c r="AA89" s="298" t="str">
        <f t="shared" si="9"/>
        <v/>
      </c>
      <c r="AB89" s="311" t="str">
        <f t="shared" si="10"/>
        <v/>
      </c>
      <c r="AC89" s="312" t="str">
        <f t="shared" si="7"/>
        <v/>
      </c>
      <c r="AD89" s="325" t="str">
        <f>IF(M89="","",VLOOKUP(M89,'G-6 Hedgerow Data'!$B$3:$AG$15,31,FALSE))</f>
        <v/>
      </c>
      <c r="AE89" s="298" t="str">
        <f t="shared" si="11"/>
        <v/>
      </c>
      <c r="AF89" s="298" t="str">
        <f t="shared" si="12"/>
        <v/>
      </c>
      <c r="AG89" s="314" t="str">
        <f>IFERROR(IF(O89="","",VLOOKUP(AD89,'G-3 Multipliers'!$P$3:$Q$6,2,FALSE)),"")</f>
        <v/>
      </c>
      <c r="AH89" s="304" t="str">
        <f t="shared" si="13"/>
        <v/>
      </c>
      <c r="AI89" s="157"/>
      <c r="AJ89" s="99"/>
      <c r="AK89" s="101"/>
      <c r="AT89" s="15" t="str">
        <f>IFERROR(INDEX('G-6 Hedgerow Data'!$BJ$3:$BJ$15,MATCH(M89,'G-6 Hedgerow Data'!$B$3:$B$15,0)),"")</f>
        <v/>
      </c>
    </row>
    <row r="90" spans="2:46" ht="14" x14ac:dyDescent="0.3">
      <c r="B90" s="319" t="str">
        <f>'B-1 On-Site Hedge Baseline'!AK88</f>
        <v/>
      </c>
      <c r="C90" s="310" t="str">
        <f>IF(B90="","",IF(ISNA(VLOOKUP($B90,'B-1 On-Site Hedge Baseline'!$B$1:$L$257,3,FALSE)),"",(VLOOKUP($B90,'B-1 On-Site Hedge Baseline'!$B$1:$L$257,3,FALSE))))</f>
        <v/>
      </c>
      <c r="D90" s="310" t="str">
        <f>IF(B90="","",IF(ISNA(VLOOKUP($B90,'B-1 On-Site Hedge Baseline'!$B$1:$L$257,4,FALSE)),"",(VLOOKUP($B90,'B-1 On-Site Hedge Baseline'!$B$1:$L$257,4,FALSE))))</f>
        <v/>
      </c>
      <c r="E90" s="310" t="str">
        <f>IF(B90="","",IF(ISNA(VLOOKUP($B90,'B-1 On-Site Hedge Baseline'!$B$1:$L$257,5,FALSE)),"",(VLOOKUP($B90,'B-1 On-Site Hedge Baseline'!$B$1:$L$257,5,FALSE))))</f>
        <v/>
      </c>
      <c r="F90" s="310" t="str">
        <f>IF(B90="","",IF(ISNA(VLOOKUP($B90,'B-1 On-Site Hedge Baseline'!$B$1:$L$257,6,FALSE)),"",(VLOOKUP($B90,'B-1 On-Site Hedge Baseline'!$B$1:$L$257,6,FALSE))))</f>
        <v/>
      </c>
      <c r="G90" s="310" t="str">
        <f>IF(B90="","",IF(ISNA(VLOOKUP($B90,'B-1 On-Site Hedge Baseline'!$B$1:$L$257,7,FALSE)),"",(VLOOKUP($B90,'B-1 On-Site Hedge Baseline'!$B$1:$L$257,7,FALSE))))</f>
        <v/>
      </c>
      <c r="H90" s="310" t="str">
        <f>IF(B90="","",IF(ISNA(VLOOKUP($B90,'B-1 On-Site Hedge Baseline'!$B$1:$L$257,8,FALSE)),"",(VLOOKUP($B90,'B-1 On-Site Hedge Baseline'!$B$1:$L$257,8,FALSE))))</f>
        <v/>
      </c>
      <c r="I90" s="310" t="str">
        <f>IF(B90="","",IF(ISNA(VLOOKUP($B90,'B-1 On-Site Hedge Baseline'!$B$1:$L$257,10,FALSE)),"",(VLOOKUP($B90,'B-1 On-Site Hedge Baseline'!$B$1:$L$257,10,FALSE))))</f>
        <v/>
      </c>
      <c r="J90" s="310" t="str">
        <f>IF(B90="","",IF(ISNA(VLOOKUP($B90,'B-1 On-Site Hedge Baseline'!$B$1:$L$257,11,FALSE)),"",(VLOOKUP($B90,'B-1 On-Site Hedge Baseline'!$B$1:$L$257,11,FALSE))))</f>
        <v/>
      </c>
      <c r="K90" s="310" t="str">
        <f>IF(B90="","",IF(ISNA(VLOOKUP($B90,'B-1 On-Site Hedge Baseline'!$B$1:$U$257,13,FALSE)),"",(VLOOKUP($B90,'B-1 On-Site Hedge Baseline'!$B$1:$U$257,13,FALSE))))</f>
        <v/>
      </c>
      <c r="L90" s="314" t="str">
        <f>IF(B90="","",IF(ISNA(VLOOKUP($B90,'B-1 On-Site Hedge Baseline'!$B$1:$U$257,12,FALSE)),"",(VLOOKUP($B90,'B-1 On-Site Hedge Baseline'!$B$1:$U$257,12,FALSE))))</f>
        <v/>
      </c>
      <c r="M90" s="583"/>
      <c r="N90" s="290" t="str">
        <f>IFERROR(IF(B90="","",INDEX('G-6 Hedgerow Data'!$AN$3:$AZ$15,MATCH(C90,'G-6 Hedgerow Data'!$AM$3:$AM$15,0),MATCH(M90,'G-6 Hedgerow Data'!$AN$2:$AZ$2,0))),"")</f>
        <v/>
      </c>
      <c r="O90" s="291" t="str">
        <f t="shared" si="8"/>
        <v/>
      </c>
      <c r="P90" s="341" t="str">
        <f>IF(B90="","",VLOOKUP(B90,'B-1 On-Site Hedge Baseline'!$B$10:T335,16,FALSE))</f>
        <v/>
      </c>
      <c r="Q90" s="290" t="str">
        <f>IF(M90="","",VLOOKUP(M90,'G-6 Hedgerow Data'!$B$2:$AG$15,2,FALSE))</f>
        <v/>
      </c>
      <c r="R90" s="291" t="str">
        <f>IF(M90="","",VLOOKUP(M90,'G-6 Hedgerow Data'!$B$2:$AG$15,3,FALSE))</f>
        <v/>
      </c>
      <c r="S90" s="106"/>
      <c r="T90" s="328" t="str">
        <f>IFERROR(IF(S90="","",IF(AND(M90="Non-native and ornamental hedgerow", S90&lt;&gt;"Poor"),"Not possible ▲", (VLOOKUP(S90,'G-1 All Habitats'!$Z$2:$AA$9,2,FALSE)))),"")</f>
        <v/>
      </c>
      <c r="U90" s="103"/>
      <c r="V90" s="310" t="str">
        <f>IF(U90="","",IF(VLOOKUP(U90,'G-3 Multipliers'!$L$3:$N$6,2,FALSE)=0,"Spatial Data Missing ⚠",VLOOKUP(U90,'G-3 Multipliers'!$L$3:$N$6,2,FALSE)))</f>
        <v/>
      </c>
      <c r="W90" s="314" t="str">
        <f>IF(U90="","",IF(VLOOKUP(U90,'G-3 Multipliers'!$L$3:$N$6,3,FALSE)=0,"Spatial Data Missing ⚠",VLOOKUP(U90,'G-3 Multipliers'!$L$3:$N$6,3,FALSE)))</f>
        <v/>
      </c>
      <c r="X90" s="290" t="str">
        <f>IFERROR(IF(OR(LEFT(O90,5)="Error",LEFT(N90,5)="Error",T90="Error"),"Check Data ⚠",IF(F90&lt;R90,INDEX('G-6 Hedgerow Data'!$S$3:$AE$14,MATCH(C90,'G-6 Hedgerow Data'!$B$3:$B$14,0),MATCH(M90,'G-6 Hedgerow Data'!$S$2:$AE$2,0)),INDEX('G-6 Hedgerow Data'!$K$3:$Q$14,MATCH(M90,'G-6 Hedgerow Data'!$B$3:$B$14,0),MATCH(O90,'G-6 Hedgerow Data'!$K$2:$Q$2,0)))),"")</f>
        <v/>
      </c>
      <c r="Y90" s="138"/>
      <c r="Z90" s="138"/>
      <c r="AA90" s="298" t="str">
        <f t="shared" si="9"/>
        <v/>
      </c>
      <c r="AB90" s="311" t="str">
        <f t="shared" si="10"/>
        <v/>
      </c>
      <c r="AC90" s="312" t="str">
        <f t="shared" si="7"/>
        <v/>
      </c>
      <c r="AD90" s="325" t="str">
        <f>IF(M90="","",VLOOKUP(M90,'G-6 Hedgerow Data'!$B$3:$AG$15,31,FALSE))</f>
        <v/>
      </c>
      <c r="AE90" s="298" t="str">
        <f t="shared" si="11"/>
        <v/>
      </c>
      <c r="AF90" s="298" t="str">
        <f t="shared" si="12"/>
        <v/>
      </c>
      <c r="AG90" s="314" t="str">
        <f>IFERROR(IF(O90="","",VLOOKUP(AD90,'G-3 Multipliers'!$P$3:$Q$6,2,FALSE)),"")</f>
        <v/>
      </c>
      <c r="AH90" s="304" t="str">
        <f t="shared" si="13"/>
        <v/>
      </c>
      <c r="AI90" s="157"/>
      <c r="AJ90" s="99"/>
      <c r="AK90" s="101"/>
      <c r="AT90" s="15" t="str">
        <f>IFERROR(INDEX('G-6 Hedgerow Data'!$BJ$3:$BJ$15,MATCH(M90,'G-6 Hedgerow Data'!$B$3:$B$15,0)),"")</f>
        <v/>
      </c>
    </row>
    <row r="91" spans="2:46" ht="14" x14ac:dyDescent="0.3">
      <c r="B91" s="319" t="str">
        <f>'B-1 On-Site Hedge Baseline'!AK89</f>
        <v/>
      </c>
      <c r="C91" s="310" t="str">
        <f>IF(B91="","",IF(ISNA(VLOOKUP($B91,'B-1 On-Site Hedge Baseline'!$B$1:$L$257,3,FALSE)),"",(VLOOKUP($B91,'B-1 On-Site Hedge Baseline'!$B$1:$L$257,3,FALSE))))</f>
        <v/>
      </c>
      <c r="D91" s="310" t="str">
        <f>IF(B91="","",IF(ISNA(VLOOKUP($B91,'B-1 On-Site Hedge Baseline'!$B$1:$L$257,4,FALSE)),"",(VLOOKUP($B91,'B-1 On-Site Hedge Baseline'!$B$1:$L$257,4,FALSE))))</f>
        <v/>
      </c>
      <c r="E91" s="310" t="str">
        <f>IF(B91="","",IF(ISNA(VLOOKUP($B91,'B-1 On-Site Hedge Baseline'!$B$1:$L$257,5,FALSE)),"",(VLOOKUP($B91,'B-1 On-Site Hedge Baseline'!$B$1:$L$257,5,FALSE))))</f>
        <v/>
      </c>
      <c r="F91" s="310" t="str">
        <f>IF(B91="","",IF(ISNA(VLOOKUP($B91,'B-1 On-Site Hedge Baseline'!$B$1:$L$257,6,FALSE)),"",(VLOOKUP($B91,'B-1 On-Site Hedge Baseline'!$B$1:$L$257,6,FALSE))))</f>
        <v/>
      </c>
      <c r="G91" s="310" t="str">
        <f>IF(B91="","",IF(ISNA(VLOOKUP($B91,'B-1 On-Site Hedge Baseline'!$B$1:$L$257,7,FALSE)),"",(VLOOKUP($B91,'B-1 On-Site Hedge Baseline'!$B$1:$L$257,7,FALSE))))</f>
        <v/>
      </c>
      <c r="H91" s="310" t="str">
        <f>IF(B91="","",IF(ISNA(VLOOKUP($B91,'B-1 On-Site Hedge Baseline'!$B$1:$L$257,8,FALSE)),"",(VLOOKUP($B91,'B-1 On-Site Hedge Baseline'!$B$1:$L$257,8,FALSE))))</f>
        <v/>
      </c>
      <c r="I91" s="310" t="str">
        <f>IF(B91="","",IF(ISNA(VLOOKUP($B91,'B-1 On-Site Hedge Baseline'!$B$1:$L$257,10,FALSE)),"",(VLOOKUP($B91,'B-1 On-Site Hedge Baseline'!$B$1:$L$257,10,FALSE))))</f>
        <v/>
      </c>
      <c r="J91" s="310" t="str">
        <f>IF(B91="","",IF(ISNA(VLOOKUP($B91,'B-1 On-Site Hedge Baseline'!$B$1:$L$257,11,FALSE)),"",(VLOOKUP($B91,'B-1 On-Site Hedge Baseline'!$B$1:$L$257,11,FALSE))))</f>
        <v/>
      </c>
      <c r="K91" s="310" t="str">
        <f>IF(B91="","",IF(ISNA(VLOOKUP($B91,'B-1 On-Site Hedge Baseline'!$B$1:$U$257,13,FALSE)),"",(VLOOKUP($B91,'B-1 On-Site Hedge Baseline'!$B$1:$U$257,13,FALSE))))</f>
        <v/>
      </c>
      <c r="L91" s="314" t="str">
        <f>IF(B91="","",IF(ISNA(VLOOKUP($B91,'B-1 On-Site Hedge Baseline'!$B$1:$U$257,12,FALSE)),"",(VLOOKUP($B91,'B-1 On-Site Hedge Baseline'!$B$1:$U$257,12,FALSE))))</f>
        <v/>
      </c>
      <c r="M91" s="583"/>
      <c r="N91" s="290" t="str">
        <f>IFERROR(IF(B91="","",INDEX('G-6 Hedgerow Data'!$AN$3:$AZ$15,MATCH(C91,'G-6 Hedgerow Data'!$AM$3:$AM$15,0),MATCH(M91,'G-6 Hedgerow Data'!$AN$2:$AZ$2,0))),"")</f>
        <v/>
      </c>
      <c r="O91" s="291" t="str">
        <f t="shared" si="8"/>
        <v/>
      </c>
      <c r="P91" s="341" t="str">
        <f>IF(B91="","",VLOOKUP(B91,'B-1 On-Site Hedge Baseline'!$B$10:T336,16,FALSE))</f>
        <v/>
      </c>
      <c r="Q91" s="290" t="str">
        <f>IF(M91="","",VLOOKUP(M91,'G-6 Hedgerow Data'!$B$2:$AG$15,2,FALSE))</f>
        <v/>
      </c>
      <c r="R91" s="291" t="str">
        <f>IF(M91="","",VLOOKUP(M91,'G-6 Hedgerow Data'!$B$2:$AG$15,3,FALSE))</f>
        <v/>
      </c>
      <c r="S91" s="106"/>
      <c r="T91" s="328" t="str">
        <f>IFERROR(IF(S91="","",IF(AND(M91="Non-native and ornamental hedgerow", S91&lt;&gt;"Poor"),"Not possible ▲", (VLOOKUP(S91,'G-1 All Habitats'!$Z$2:$AA$9,2,FALSE)))),"")</f>
        <v/>
      </c>
      <c r="U91" s="103"/>
      <c r="V91" s="310" t="str">
        <f>IF(U91="","",IF(VLOOKUP(U91,'G-3 Multipliers'!$L$3:$N$6,2,FALSE)=0,"Spatial Data Missing ⚠",VLOOKUP(U91,'G-3 Multipliers'!$L$3:$N$6,2,FALSE)))</f>
        <v/>
      </c>
      <c r="W91" s="314" t="str">
        <f>IF(U91="","",IF(VLOOKUP(U91,'G-3 Multipliers'!$L$3:$N$6,3,FALSE)=0,"Spatial Data Missing ⚠",VLOOKUP(U91,'G-3 Multipliers'!$L$3:$N$6,3,FALSE)))</f>
        <v/>
      </c>
      <c r="X91" s="290" t="str">
        <f>IFERROR(IF(OR(LEFT(O91,5)="Error",LEFT(N91,5)="Error",T91="Error"),"Check Data ⚠",IF(F91&lt;R91,INDEX('G-6 Hedgerow Data'!$S$3:$AE$14,MATCH(C91,'G-6 Hedgerow Data'!$B$3:$B$14,0),MATCH(M91,'G-6 Hedgerow Data'!$S$2:$AE$2,0)),INDEX('G-6 Hedgerow Data'!$K$3:$Q$14,MATCH(M91,'G-6 Hedgerow Data'!$B$3:$B$14,0),MATCH(O91,'G-6 Hedgerow Data'!$K$2:$Q$2,0)))),"")</f>
        <v/>
      </c>
      <c r="Y91" s="138"/>
      <c r="Z91" s="138"/>
      <c r="AA91" s="298" t="str">
        <f t="shared" si="9"/>
        <v/>
      </c>
      <c r="AB91" s="311" t="str">
        <f t="shared" si="10"/>
        <v/>
      </c>
      <c r="AC91" s="312" t="str">
        <f t="shared" si="7"/>
        <v/>
      </c>
      <c r="AD91" s="325" t="str">
        <f>IF(M91="","",VLOOKUP(M91,'G-6 Hedgerow Data'!$B$3:$AG$15,31,FALSE))</f>
        <v/>
      </c>
      <c r="AE91" s="298" t="str">
        <f t="shared" si="11"/>
        <v/>
      </c>
      <c r="AF91" s="298" t="str">
        <f t="shared" si="12"/>
        <v/>
      </c>
      <c r="AG91" s="314" t="str">
        <f>IFERROR(IF(O91="","",VLOOKUP(AD91,'G-3 Multipliers'!$P$3:$Q$6,2,FALSE)),"")</f>
        <v/>
      </c>
      <c r="AH91" s="304" t="str">
        <f t="shared" si="13"/>
        <v/>
      </c>
      <c r="AI91" s="157"/>
      <c r="AJ91" s="99"/>
      <c r="AK91" s="101"/>
      <c r="AT91" s="15" t="str">
        <f>IFERROR(INDEX('G-6 Hedgerow Data'!$BJ$3:$BJ$15,MATCH(M91,'G-6 Hedgerow Data'!$B$3:$B$15,0)),"")</f>
        <v/>
      </c>
    </row>
    <row r="92" spans="2:46" ht="14" x14ac:dyDescent="0.3">
      <c r="B92" s="319" t="str">
        <f>'B-1 On-Site Hedge Baseline'!AK90</f>
        <v/>
      </c>
      <c r="C92" s="310" t="str">
        <f>IF(B92="","",IF(ISNA(VLOOKUP($B92,'B-1 On-Site Hedge Baseline'!$B$1:$L$257,3,FALSE)),"",(VLOOKUP($B92,'B-1 On-Site Hedge Baseline'!$B$1:$L$257,3,FALSE))))</f>
        <v/>
      </c>
      <c r="D92" s="310" t="str">
        <f>IF(B92="","",IF(ISNA(VLOOKUP($B92,'B-1 On-Site Hedge Baseline'!$B$1:$L$257,4,FALSE)),"",(VLOOKUP($B92,'B-1 On-Site Hedge Baseline'!$B$1:$L$257,4,FALSE))))</f>
        <v/>
      </c>
      <c r="E92" s="310" t="str">
        <f>IF(B92="","",IF(ISNA(VLOOKUP($B92,'B-1 On-Site Hedge Baseline'!$B$1:$L$257,5,FALSE)),"",(VLOOKUP($B92,'B-1 On-Site Hedge Baseline'!$B$1:$L$257,5,FALSE))))</f>
        <v/>
      </c>
      <c r="F92" s="310" t="str">
        <f>IF(B92="","",IF(ISNA(VLOOKUP($B92,'B-1 On-Site Hedge Baseline'!$B$1:$L$257,6,FALSE)),"",(VLOOKUP($B92,'B-1 On-Site Hedge Baseline'!$B$1:$L$257,6,FALSE))))</f>
        <v/>
      </c>
      <c r="G92" s="310" t="str">
        <f>IF(B92="","",IF(ISNA(VLOOKUP($B92,'B-1 On-Site Hedge Baseline'!$B$1:$L$257,7,FALSE)),"",(VLOOKUP($B92,'B-1 On-Site Hedge Baseline'!$B$1:$L$257,7,FALSE))))</f>
        <v/>
      </c>
      <c r="H92" s="310" t="str">
        <f>IF(B92="","",IF(ISNA(VLOOKUP($B92,'B-1 On-Site Hedge Baseline'!$B$1:$L$257,8,FALSE)),"",(VLOOKUP($B92,'B-1 On-Site Hedge Baseline'!$B$1:$L$257,8,FALSE))))</f>
        <v/>
      </c>
      <c r="I92" s="310" t="str">
        <f>IF(B92="","",IF(ISNA(VLOOKUP($B92,'B-1 On-Site Hedge Baseline'!$B$1:$L$257,10,FALSE)),"",(VLOOKUP($B92,'B-1 On-Site Hedge Baseline'!$B$1:$L$257,10,FALSE))))</f>
        <v/>
      </c>
      <c r="J92" s="310" t="str">
        <f>IF(B92="","",IF(ISNA(VLOOKUP($B92,'B-1 On-Site Hedge Baseline'!$B$1:$L$257,11,FALSE)),"",(VLOOKUP($B92,'B-1 On-Site Hedge Baseline'!$B$1:$L$257,11,FALSE))))</f>
        <v/>
      </c>
      <c r="K92" s="310" t="str">
        <f>IF(B92="","",IF(ISNA(VLOOKUP($B92,'B-1 On-Site Hedge Baseline'!$B$1:$U$257,13,FALSE)),"",(VLOOKUP($B92,'B-1 On-Site Hedge Baseline'!$B$1:$U$257,13,FALSE))))</f>
        <v/>
      </c>
      <c r="L92" s="314" t="str">
        <f>IF(B92="","",IF(ISNA(VLOOKUP($B92,'B-1 On-Site Hedge Baseline'!$B$1:$U$257,12,FALSE)),"",(VLOOKUP($B92,'B-1 On-Site Hedge Baseline'!$B$1:$U$257,12,FALSE))))</f>
        <v/>
      </c>
      <c r="M92" s="583"/>
      <c r="N92" s="290" t="str">
        <f>IFERROR(IF(B92="","",INDEX('G-6 Hedgerow Data'!$AN$3:$AZ$15,MATCH(C92,'G-6 Hedgerow Data'!$AM$3:$AM$15,0),MATCH(M92,'G-6 Hedgerow Data'!$AN$2:$AZ$2,0))),"")</f>
        <v/>
      </c>
      <c r="O92" s="291" t="str">
        <f t="shared" si="8"/>
        <v/>
      </c>
      <c r="P92" s="341" t="str">
        <f>IF(B92="","",VLOOKUP(B92,'B-1 On-Site Hedge Baseline'!$B$10:T337,16,FALSE))</f>
        <v/>
      </c>
      <c r="Q92" s="290" t="str">
        <f>IF(M92="","",VLOOKUP(M92,'G-6 Hedgerow Data'!$B$2:$AG$15,2,FALSE))</f>
        <v/>
      </c>
      <c r="R92" s="291" t="str">
        <f>IF(M92="","",VLOOKUP(M92,'G-6 Hedgerow Data'!$B$2:$AG$15,3,FALSE))</f>
        <v/>
      </c>
      <c r="S92" s="106"/>
      <c r="T92" s="328" t="str">
        <f>IFERROR(IF(S92="","",IF(AND(M92="Non-native and ornamental hedgerow", S92&lt;&gt;"Poor"),"Not possible ▲", (VLOOKUP(S92,'G-1 All Habitats'!$Z$2:$AA$9,2,FALSE)))),"")</f>
        <v/>
      </c>
      <c r="U92" s="103"/>
      <c r="V92" s="310" t="str">
        <f>IF(U92="","",IF(VLOOKUP(U92,'G-3 Multipliers'!$L$3:$N$6,2,FALSE)=0,"Spatial Data Missing ⚠",VLOOKUP(U92,'G-3 Multipliers'!$L$3:$N$6,2,FALSE)))</f>
        <v/>
      </c>
      <c r="W92" s="314" t="str">
        <f>IF(U92="","",IF(VLOOKUP(U92,'G-3 Multipliers'!$L$3:$N$6,3,FALSE)=0,"Spatial Data Missing ⚠",VLOOKUP(U92,'G-3 Multipliers'!$L$3:$N$6,3,FALSE)))</f>
        <v/>
      </c>
      <c r="X92" s="290" t="str">
        <f>IFERROR(IF(OR(LEFT(O92,5)="Error",LEFT(N92,5)="Error",T92="Error"),"Check Data ⚠",IF(F92&lt;R92,INDEX('G-6 Hedgerow Data'!$S$3:$AE$14,MATCH(C92,'G-6 Hedgerow Data'!$B$3:$B$14,0),MATCH(M92,'G-6 Hedgerow Data'!$S$2:$AE$2,0)),INDEX('G-6 Hedgerow Data'!$K$3:$Q$14,MATCH(M92,'G-6 Hedgerow Data'!$B$3:$B$14,0),MATCH(O92,'G-6 Hedgerow Data'!$K$2:$Q$2,0)))),"")</f>
        <v/>
      </c>
      <c r="Y92" s="138"/>
      <c r="Z92" s="138"/>
      <c r="AA92" s="298" t="str">
        <f t="shared" si="9"/>
        <v/>
      </c>
      <c r="AB92" s="311" t="str">
        <f t="shared" si="10"/>
        <v/>
      </c>
      <c r="AC92" s="312" t="str">
        <f t="shared" si="7"/>
        <v/>
      </c>
      <c r="AD92" s="325" t="str">
        <f>IF(M92="","",VLOOKUP(M92,'G-6 Hedgerow Data'!$B$3:$AG$15,31,FALSE))</f>
        <v/>
      </c>
      <c r="AE92" s="298" t="str">
        <f t="shared" si="11"/>
        <v/>
      </c>
      <c r="AF92" s="298" t="str">
        <f t="shared" si="12"/>
        <v/>
      </c>
      <c r="AG92" s="314" t="str">
        <f>IFERROR(IF(O92="","",VLOOKUP(AD92,'G-3 Multipliers'!$P$3:$Q$6,2,FALSE)),"")</f>
        <v/>
      </c>
      <c r="AH92" s="304" t="str">
        <f t="shared" si="13"/>
        <v/>
      </c>
      <c r="AI92" s="157"/>
      <c r="AJ92" s="99"/>
      <c r="AK92" s="101"/>
      <c r="AT92" s="15" t="str">
        <f>IFERROR(INDEX('G-6 Hedgerow Data'!$BJ$3:$BJ$15,MATCH(M92,'G-6 Hedgerow Data'!$B$3:$B$15,0)),"")</f>
        <v/>
      </c>
    </row>
    <row r="93" spans="2:46" ht="14" x14ac:dyDescent="0.3">
      <c r="B93" s="319" t="str">
        <f>'B-1 On-Site Hedge Baseline'!AK91</f>
        <v/>
      </c>
      <c r="C93" s="310" t="str">
        <f>IF(B93="","",IF(ISNA(VLOOKUP($B93,'B-1 On-Site Hedge Baseline'!$B$1:$L$257,3,FALSE)),"",(VLOOKUP($B93,'B-1 On-Site Hedge Baseline'!$B$1:$L$257,3,FALSE))))</f>
        <v/>
      </c>
      <c r="D93" s="310" t="str">
        <f>IF(B93="","",IF(ISNA(VLOOKUP($B93,'B-1 On-Site Hedge Baseline'!$B$1:$L$257,4,FALSE)),"",(VLOOKUP($B93,'B-1 On-Site Hedge Baseline'!$B$1:$L$257,4,FALSE))))</f>
        <v/>
      </c>
      <c r="E93" s="310" t="str">
        <f>IF(B93="","",IF(ISNA(VLOOKUP($B93,'B-1 On-Site Hedge Baseline'!$B$1:$L$257,5,FALSE)),"",(VLOOKUP($B93,'B-1 On-Site Hedge Baseline'!$B$1:$L$257,5,FALSE))))</f>
        <v/>
      </c>
      <c r="F93" s="310" t="str">
        <f>IF(B93="","",IF(ISNA(VLOOKUP($B93,'B-1 On-Site Hedge Baseline'!$B$1:$L$257,6,FALSE)),"",(VLOOKUP($B93,'B-1 On-Site Hedge Baseline'!$B$1:$L$257,6,FALSE))))</f>
        <v/>
      </c>
      <c r="G93" s="310" t="str">
        <f>IF(B93="","",IF(ISNA(VLOOKUP($B93,'B-1 On-Site Hedge Baseline'!$B$1:$L$257,7,FALSE)),"",(VLOOKUP($B93,'B-1 On-Site Hedge Baseline'!$B$1:$L$257,7,FALSE))))</f>
        <v/>
      </c>
      <c r="H93" s="310" t="str">
        <f>IF(B93="","",IF(ISNA(VLOOKUP($B93,'B-1 On-Site Hedge Baseline'!$B$1:$L$257,8,FALSE)),"",(VLOOKUP($B93,'B-1 On-Site Hedge Baseline'!$B$1:$L$257,8,FALSE))))</f>
        <v/>
      </c>
      <c r="I93" s="310" t="str">
        <f>IF(B93="","",IF(ISNA(VLOOKUP($B93,'B-1 On-Site Hedge Baseline'!$B$1:$L$257,10,FALSE)),"",(VLOOKUP($B93,'B-1 On-Site Hedge Baseline'!$B$1:$L$257,10,FALSE))))</f>
        <v/>
      </c>
      <c r="J93" s="310" t="str">
        <f>IF(B93="","",IF(ISNA(VLOOKUP($B93,'B-1 On-Site Hedge Baseline'!$B$1:$L$257,11,FALSE)),"",(VLOOKUP($B93,'B-1 On-Site Hedge Baseline'!$B$1:$L$257,11,FALSE))))</f>
        <v/>
      </c>
      <c r="K93" s="310" t="str">
        <f>IF(B93="","",IF(ISNA(VLOOKUP($B93,'B-1 On-Site Hedge Baseline'!$B$1:$U$257,13,FALSE)),"",(VLOOKUP($B93,'B-1 On-Site Hedge Baseline'!$B$1:$U$257,13,FALSE))))</f>
        <v/>
      </c>
      <c r="L93" s="314" t="str">
        <f>IF(B93="","",IF(ISNA(VLOOKUP($B93,'B-1 On-Site Hedge Baseline'!$B$1:$U$257,12,FALSE)),"",(VLOOKUP($B93,'B-1 On-Site Hedge Baseline'!$B$1:$U$257,12,FALSE))))</f>
        <v/>
      </c>
      <c r="M93" s="583"/>
      <c r="N93" s="290" t="str">
        <f>IFERROR(IF(B93="","",INDEX('G-6 Hedgerow Data'!$AN$3:$AZ$15,MATCH(C93,'G-6 Hedgerow Data'!$AM$3:$AM$15,0),MATCH(M93,'G-6 Hedgerow Data'!$AN$2:$AZ$2,0))),"")</f>
        <v/>
      </c>
      <c r="O93" s="291" t="str">
        <f t="shared" si="8"/>
        <v/>
      </c>
      <c r="P93" s="341" t="str">
        <f>IF(B93="","",VLOOKUP(B93,'B-1 On-Site Hedge Baseline'!$B$10:T338,16,FALSE))</f>
        <v/>
      </c>
      <c r="Q93" s="290" t="str">
        <f>IF(M93="","",VLOOKUP(M93,'G-6 Hedgerow Data'!$B$2:$AG$15,2,FALSE))</f>
        <v/>
      </c>
      <c r="R93" s="291" t="str">
        <f>IF(M93="","",VLOOKUP(M93,'G-6 Hedgerow Data'!$B$2:$AG$15,3,FALSE))</f>
        <v/>
      </c>
      <c r="S93" s="106"/>
      <c r="T93" s="328" t="str">
        <f>IFERROR(IF(S93="","",IF(AND(M93="Non-native and ornamental hedgerow", S93&lt;&gt;"Poor"),"Not possible ▲", (VLOOKUP(S93,'G-1 All Habitats'!$Z$2:$AA$9,2,FALSE)))),"")</f>
        <v/>
      </c>
      <c r="U93" s="103"/>
      <c r="V93" s="310" t="str">
        <f>IF(U93="","",IF(VLOOKUP(U93,'G-3 Multipliers'!$L$3:$N$6,2,FALSE)=0,"Spatial Data Missing ⚠",VLOOKUP(U93,'G-3 Multipliers'!$L$3:$N$6,2,FALSE)))</f>
        <v/>
      </c>
      <c r="W93" s="314" t="str">
        <f>IF(U93="","",IF(VLOOKUP(U93,'G-3 Multipliers'!$L$3:$N$6,3,FALSE)=0,"Spatial Data Missing ⚠",VLOOKUP(U93,'G-3 Multipliers'!$L$3:$N$6,3,FALSE)))</f>
        <v/>
      </c>
      <c r="X93" s="290" t="str">
        <f>IFERROR(IF(OR(LEFT(O93,5)="Error",LEFT(N93,5)="Error",T93="Error"),"Check Data ⚠",IF(F93&lt;R93,INDEX('G-6 Hedgerow Data'!$S$3:$AE$14,MATCH(C93,'G-6 Hedgerow Data'!$B$3:$B$14,0),MATCH(M93,'G-6 Hedgerow Data'!$S$2:$AE$2,0)),INDEX('G-6 Hedgerow Data'!$K$3:$Q$14,MATCH(M93,'G-6 Hedgerow Data'!$B$3:$B$14,0),MATCH(O93,'G-6 Hedgerow Data'!$K$2:$Q$2,0)))),"")</f>
        <v/>
      </c>
      <c r="Y93" s="138"/>
      <c r="Z93" s="138"/>
      <c r="AA93" s="298" t="str">
        <f t="shared" si="9"/>
        <v/>
      </c>
      <c r="AB93" s="311" t="str">
        <f t="shared" si="10"/>
        <v/>
      </c>
      <c r="AC93" s="312" t="str">
        <f t="shared" si="7"/>
        <v/>
      </c>
      <c r="AD93" s="325" t="str">
        <f>IF(M93="","",VLOOKUP(M93,'G-6 Hedgerow Data'!$B$3:$AG$15,31,FALSE))</f>
        <v/>
      </c>
      <c r="AE93" s="298" t="str">
        <f t="shared" si="11"/>
        <v/>
      </c>
      <c r="AF93" s="298" t="str">
        <f t="shared" si="12"/>
        <v/>
      </c>
      <c r="AG93" s="314" t="str">
        <f>IFERROR(IF(O93="","",VLOOKUP(AD93,'G-3 Multipliers'!$P$3:$Q$6,2,FALSE)),"")</f>
        <v/>
      </c>
      <c r="AH93" s="304" t="str">
        <f t="shared" si="13"/>
        <v/>
      </c>
      <c r="AI93" s="157"/>
      <c r="AJ93" s="99"/>
      <c r="AK93" s="101"/>
      <c r="AT93" s="15" t="str">
        <f>IFERROR(INDEX('G-6 Hedgerow Data'!$BJ$3:$BJ$15,MATCH(M93,'G-6 Hedgerow Data'!$B$3:$B$15,0)),"")</f>
        <v/>
      </c>
    </row>
    <row r="94" spans="2:46" ht="14" x14ac:dyDescent="0.3">
      <c r="B94" s="319" t="str">
        <f>'B-1 On-Site Hedge Baseline'!AK92</f>
        <v/>
      </c>
      <c r="C94" s="310" t="str">
        <f>IF(B94="","",IF(ISNA(VLOOKUP($B94,'B-1 On-Site Hedge Baseline'!$B$1:$L$257,3,FALSE)),"",(VLOOKUP($B94,'B-1 On-Site Hedge Baseline'!$B$1:$L$257,3,FALSE))))</f>
        <v/>
      </c>
      <c r="D94" s="310" t="str">
        <f>IF(B94="","",IF(ISNA(VLOOKUP($B94,'B-1 On-Site Hedge Baseline'!$B$1:$L$257,4,FALSE)),"",(VLOOKUP($B94,'B-1 On-Site Hedge Baseline'!$B$1:$L$257,4,FALSE))))</f>
        <v/>
      </c>
      <c r="E94" s="310" t="str">
        <f>IF(B94="","",IF(ISNA(VLOOKUP($B94,'B-1 On-Site Hedge Baseline'!$B$1:$L$257,5,FALSE)),"",(VLOOKUP($B94,'B-1 On-Site Hedge Baseline'!$B$1:$L$257,5,FALSE))))</f>
        <v/>
      </c>
      <c r="F94" s="310" t="str">
        <f>IF(B94="","",IF(ISNA(VLOOKUP($B94,'B-1 On-Site Hedge Baseline'!$B$1:$L$257,6,FALSE)),"",(VLOOKUP($B94,'B-1 On-Site Hedge Baseline'!$B$1:$L$257,6,FALSE))))</f>
        <v/>
      </c>
      <c r="G94" s="310" t="str">
        <f>IF(B94="","",IF(ISNA(VLOOKUP($B94,'B-1 On-Site Hedge Baseline'!$B$1:$L$257,7,FALSE)),"",(VLOOKUP($B94,'B-1 On-Site Hedge Baseline'!$B$1:$L$257,7,FALSE))))</f>
        <v/>
      </c>
      <c r="H94" s="310" t="str">
        <f>IF(B94="","",IF(ISNA(VLOOKUP($B94,'B-1 On-Site Hedge Baseline'!$B$1:$L$257,8,FALSE)),"",(VLOOKUP($B94,'B-1 On-Site Hedge Baseline'!$B$1:$L$257,8,FALSE))))</f>
        <v/>
      </c>
      <c r="I94" s="310" t="str">
        <f>IF(B94="","",IF(ISNA(VLOOKUP($B94,'B-1 On-Site Hedge Baseline'!$B$1:$L$257,10,FALSE)),"",(VLOOKUP($B94,'B-1 On-Site Hedge Baseline'!$B$1:$L$257,10,FALSE))))</f>
        <v/>
      </c>
      <c r="J94" s="310" t="str">
        <f>IF(B94="","",IF(ISNA(VLOOKUP($B94,'B-1 On-Site Hedge Baseline'!$B$1:$L$257,11,FALSE)),"",(VLOOKUP($B94,'B-1 On-Site Hedge Baseline'!$B$1:$L$257,11,FALSE))))</f>
        <v/>
      </c>
      <c r="K94" s="310" t="str">
        <f>IF(B94="","",IF(ISNA(VLOOKUP($B94,'B-1 On-Site Hedge Baseline'!$B$1:$U$257,13,FALSE)),"",(VLOOKUP($B94,'B-1 On-Site Hedge Baseline'!$B$1:$U$257,13,FALSE))))</f>
        <v/>
      </c>
      <c r="L94" s="314" t="str">
        <f>IF(B94="","",IF(ISNA(VLOOKUP($B94,'B-1 On-Site Hedge Baseline'!$B$1:$U$257,12,FALSE)),"",(VLOOKUP($B94,'B-1 On-Site Hedge Baseline'!$B$1:$U$257,12,FALSE))))</f>
        <v/>
      </c>
      <c r="M94" s="583"/>
      <c r="N94" s="290" t="str">
        <f>IFERROR(IF(B94="","",INDEX('G-6 Hedgerow Data'!$AN$3:$AZ$15,MATCH(C94,'G-6 Hedgerow Data'!$AM$3:$AM$15,0),MATCH(M94,'G-6 Hedgerow Data'!$AN$2:$AZ$2,0))),"")</f>
        <v/>
      </c>
      <c r="O94" s="291" t="str">
        <f t="shared" si="8"/>
        <v/>
      </c>
      <c r="P94" s="341" t="str">
        <f>IF(B94="","",VLOOKUP(B94,'B-1 On-Site Hedge Baseline'!$B$10:T339,16,FALSE))</f>
        <v/>
      </c>
      <c r="Q94" s="290" t="str">
        <f>IF(M94="","",VLOOKUP(M94,'G-6 Hedgerow Data'!$B$2:$AG$15,2,FALSE))</f>
        <v/>
      </c>
      <c r="R94" s="291" t="str">
        <f>IF(M94="","",VLOOKUP(M94,'G-6 Hedgerow Data'!$B$2:$AG$15,3,FALSE))</f>
        <v/>
      </c>
      <c r="S94" s="106"/>
      <c r="T94" s="328" t="str">
        <f>IFERROR(IF(S94="","",IF(AND(M94="Non-native and ornamental hedgerow", S94&lt;&gt;"Poor"),"Not possible ▲", (VLOOKUP(S94,'G-1 All Habitats'!$Z$2:$AA$9,2,FALSE)))),"")</f>
        <v/>
      </c>
      <c r="U94" s="103"/>
      <c r="V94" s="310" t="str">
        <f>IF(U94="","",IF(VLOOKUP(U94,'G-3 Multipliers'!$L$3:$N$6,2,FALSE)=0,"Spatial Data Missing ⚠",VLOOKUP(U94,'G-3 Multipliers'!$L$3:$N$6,2,FALSE)))</f>
        <v/>
      </c>
      <c r="W94" s="314" t="str">
        <f>IF(U94="","",IF(VLOOKUP(U94,'G-3 Multipliers'!$L$3:$N$6,3,FALSE)=0,"Spatial Data Missing ⚠",VLOOKUP(U94,'G-3 Multipliers'!$L$3:$N$6,3,FALSE)))</f>
        <v/>
      </c>
      <c r="X94" s="290" t="str">
        <f>IFERROR(IF(OR(LEFT(O94,5)="Error",LEFT(N94,5)="Error",T94="Error"),"Check Data ⚠",IF(F94&lt;R94,INDEX('G-6 Hedgerow Data'!$S$3:$AE$14,MATCH(C94,'G-6 Hedgerow Data'!$B$3:$B$14,0),MATCH(M94,'G-6 Hedgerow Data'!$S$2:$AE$2,0)),INDEX('G-6 Hedgerow Data'!$K$3:$Q$14,MATCH(M94,'G-6 Hedgerow Data'!$B$3:$B$14,0),MATCH(O94,'G-6 Hedgerow Data'!$K$2:$Q$2,0)))),"")</f>
        <v/>
      </c>
      <c r="Y94" s="138"/>
      <c r="Z94" s="138"/>
      <c r="AA94" s="298" t="str">
        <f t="shared" si="9"/>
        <v/>
      </c>
      <c r="AB94" s="311" t="str">
        <f t="shared" si="10"/>
        <v/>
      </c>
      <c r="AC94" s="312" t="str">
        <f t="shared" si="7"/>
        <v/>
      </c>
      <c r="AD94" s="325" t="str">
        <f>IF(M94="","",VLOOKUP(M94,'G-6 Hedgerow Data'!$B$3:$AG$15,31,FALSE))</f>
        <v/>
      </c>
      <c r="AE94" s="298" t="str">
        <f t="shared" si="11"/>
        <v/>
      </c>
      <c r="AF94" s="298" t="str">
        <f t="shared" si="12"/>
        <v/>
      </c>
      <c r="AG94" s="314" t="str">
        <f>IFERROR(IF(O94="","",VLOOKUP(AD94,'G-3 Multipliers'!$P$3:$Q$6,2,FALSE)),"")</f>
        <v/>
      </c>
      <c r="AH94" s="304" t="str">
        <f t="shared" si="13"/>
        <v/>
      </c>
      <c r="AI94" s="157"/>
      <c r="AJ94" s="99"/>
      <c r="AK94" s="101"/>
      <c r="AT94" s="15" t="str">
        <f>IFERROR(INDEX('G-6 Hedgerow Data'!$BJ$3:$BJ$15,MATCH(M94,'G-6 Hedgerow Data'!$B$3:$B$15,0)),"")</f>
        <v/>
      </c>
    </row>
    <row r="95" spans="2:46" ht="14" x14ac:dyDescent="0.3">
      <c r="B95" s="319" t="str">
        <f>'B-1 On-Site Hedge Baseline'!AK93</f>
        <v/>
      </c>
      <c r="C95" s="310" t="str">
        <f>IF(B95="","",IF(ISNA(VLOOKUP($B95,'B-1 On-Site Hedge Baseline'!$B$1:$L$257,3,FALSE)),"",(VLOOKUP($B95,'B-1 On-Site Hedge Baseline'!$B$1:$L$257,3,FALSE))))</f>
        <v/>
      </c>
      <c r="D95" s="310" t="str">
        <f>IF(B95="","",IF(ISNA(VLOOKUP($B95,'B-1 On-Site Hedge Baseline'!$B$1:$L$257,4,FALSE)),"",(VLOOKUP($B95,'B-1 On-Site Hedge Baseline'!$B$1:$L$257,4,FALSE))))</f>
        <v/>
      </c>
      <c r="E95" s="310" t="str">
        <f>IF(B95="","",IF(ISNA(VLOOKUP($B95,'B-1 On-Site Hedge Baseline'!$B$1:$L$257,5,FALSE)),"",(VLOOKUP($B95,'B-1 On-Site Hedge Baseline'!$B$1:$L$257,5,FALSE))))</f>
        <v/>
      </c>
      <c r="F95" s="310" t="str">
        <f>IF(B95="","",IF(ISNA(VLOOKUP($B95,'B-1 On-Site Hedge Baseline'!$B$1:$L$257,6,FALSE)),"",(VLOOKUP($B95,'B-1 On-Site Hedge Baseline'!$B$1:$L$257,6,FALSE))))</f>
        <v/>
      </c>
      <c r="G95" s="310" t="str">
        <f>IF(B95="","",IF(ISNA(VLOOKUP($B95,'B-1 On-Site Hedge Baseline'!$B$1:$L$257,7,FALSE)),"",(VLOOKUP($B95,'B-1 On-Site Hedge Baseline'!$B$1:$L$257,7,FALSE))))</f>
        <v/>
      </c>
      <c r="H95" s="310" t="str">
        <f>IF(B95="","",IF(ISNA(VLOOKUP($B95,'B-1 On-Site Hedge Baseline'!$B$1:$L$257,8,FALSE)),"",(VLOOKUP($B95,'B-1 On-Site Hedge Baseline'!$B$1:$L$257,8,FALSE))))</f>
        <v/>
      </c>
      <c r="I95" s="310" t="str">
        <f>IF(B95="","",IF(ISNA(VLOOKUP($B95,'B-1 On-Site Hedge Baseline'!$B$1:$L$257,10,FALSE)),"",(VLOOKUP($B95,'B-1 On-Site Hedge Baseline'!$B$1:$L$257,10,FALSE))))</f>
        <v/>
      </c>
      <c r="J95" s="310" t="str">
        <f>IF(B95="","",IF(ISNA(VLOOKUP($B95,'B-1 On-Site Hedge Baseline'!$B$1:$L$257,11,FALSE)),"",(VLOOKUP($B95,'B-1 On-Site Hedge Baseline'!$B$1:$L$257,11,FALSE))))</f>
        <v/>
      </c>
      <c r="K95" s="310" t="str">
        <f>IF(B95="","",IF(ISNA(VLOOKUP($B95,'B-1 On-Site Hedge Baseline'!$B$1:$U$257,13,FALSE)),"",(VLOOKUP($B95,'B-1 On-Site Hedge Baseline'!$B$1:$U$257,13,FALSE))))</f>
        <v/>
      </c>
      <c r="L95" s="314" t="str">
        <f>IF(B95="","",IF(ISNA(VLOOKUP($B95,'B-1 On-Site Hedge Baseline'!$B$1:$U$257,12,FALSE)),"",(VLOOKUP($B95,'B-1 On-Site Hedge Baseline'!$B$1:$U$257,12,FALSE))))</f>
        <v/>
      </c>
      <c r="M95" s="583"/>
      <c r="N95" s="290" t="str">
        <f>IFERROR(IF(B95="","",INDEX('G-6 Hedgerow Data'!$AN$3:$AZ$15,MATCH(C95,'G-6 Hedgerow Data'!$AM$3:$AM$15,0),MATCH(M95,'G-6 Hedgerow Data'!$AN$2:$AZ$2,0))),"")</f>
        <v/>
      </c>
      <c r="O95" s="291" t="str">
        <f t="shared" si="8"/>
        <v/>
      </c>
      <c r="P95" s="341" t="str">
        <f>IF(B95="","",VLOOKUP(B95,'B-1 On-Site Hedge Baseline'!$B$10:T340,16,FALSE))</f>
        <v/>
      </c>
      <c r="Q95" s="290" t="str">
        <f>IF(M95="","",VLOOKUP(M95,'G-6 Hedgerow Data'!$B$2:$AG$15,2,FALSE))</f>
        <v/>
      </c>
      <c r="R95" s="291" t="str">
        <f>IF(M95="","",VLOOKUP(M95,'G-6 Hedgerow Data'!$B$2:$AG$15,3,FALSE))</f>
        <v/>
      </c>
      <c r="S95" s="106"/>
      <c r="T95" s="328" t="str">
        <f>IFERROR(IF(S95="","",IF(AND(M95="Non-native and ornamental hedgerow", S95&lt;&gt;"Poor"),"Not possible ▲", (VLOOKUP(S95,'G-1 All Habitats'!$Z$2:$AA$9,2,FALSE)))),"")</f>
        <v/>
      </c>
      <c r="U95" s="103"/>
      <c r="V95" s="310" t="str">
        <f>IF(U95="","",IF(VLOOKUP(U95,'G-3 Multipliers'!$L$3:$N$6,2,FALSE)=0,"Spatial Data Missing ⚠",VLOOKUP(U95,'G-3 Multipliers'!$L$3:$N$6,2,FALSE)))</f>
        <v/>
      </c>
      <c r="W95" s="314" t="str">
        <f>IF(U95="","",IF(VLOOKUP(U95,'G-3 Multipliers'!$L$3:$N$6,3,FALSE)=0,"Spatial Data Missing ⚠",VLOOKUP(U95,'G-3 Multipliers'!$L$3:$N$6,3,FALSE)))</f>
        <v/>
      </c>
      <c r="X95" s="290" t="str">
        <f>IFERROR(IF(OR(LEFT(O95,5)="Error",LEFT(N95,5)="Error",T95="Error"),"Check Data ⚠",IF(F95&lt;R95,INDEX('G-6 Hedgerow Data'!$S$3:$AE$14,MATCH(C95,'G-6 Hedgerow Data'!$B$3:$B$14,0),MATCH(M95,'G-6 Hedgerow Data'!$S$2:$AE$2,0)),INDEX('G-6 Hedgerow Data'!$K$3:$Q$14,MATCH(M95,'G-6 Hedgerow Data'!$B$3:$B$14,0),MATCH(O95,'G-6 Hedgerow Data'!$K$2:$Q$2,0)))),"")</f>
        <v/>
      </c>
      <c r="Y95" s="138"/>
      <c r="Z95" s="138"/>
      <c r="AA95" s="298" t="str">
        <f t="shared" si="9"/>
        <v/>
      </c>
      <c r="AB95" s="311" t="str">
        <f t="shared" si="10"/>
        <v/>
      </c>
      <c r="AC95" s="312" t="str">
        <f t="shared" si="7"/>
        <v/>
      </c>
      <c r="AD95" s="325" t="str">
        <f>IF(M95="","",VLOOKUP(M95,'G-6 Hedgerow Data'!$B$3:$AG$15,31,FALSE))</f>
        <v/>
      </c>
      <c r="AE95" s="298" t="str">
        <f t="shared" si="11"/>
        <v/>
      </c>
      <c r="AF95" s="298" t="str">
        <f t="shared" si="12"/>
        <v/>
      </c>
      <c r="AG95" s="314" t="str">
        <f>IFERROR(IF(O95="","",VLOOKUP(AD95,'G-3 Multipliers'!$P$3:$Q$6,2,FALSE)),"")</f>
        <v/>
      </c>
      <c r="AH95" s="304" t="str">
        <f t="shared" si="13"/>
        <v/>
      </c>
      <c r="AI95" s="157"/>
      <c r="AJ95" s="99"/>
      <c r="AK95" s="101"/>
      <c r="AT95" s="15" t="str">
        <f>IFERROR(INDEX('G-6 Hedgerow Data'!$BJ$3:$BJ$15,MATCH(M95,'G-6 Hedgerow Data'!$B$3:$B$15,0)),"")</f>
        <v/>
      </c>
    </row>
    <row r="96" spans="2:46" ht="14" x14ac:dyDescent="0.3">
      <c r="B96" s="319" t="str">
        <f>'B-1 On-Site Hedge Baseline'!AK94</f>
        <v/>
      </c>
      <c r="C96" s="310" t="str">
        <f>IF(B96="","",IF(ISNA(VLOOKUP($B96,'B-1 On-Site Hedge Baseline'!$B$1:$L$257,3,FALSE)),"",(VLOOKUP($B96,'B-1 On-Site Hedge Baseline'!$B$1:$L$257,3,FALSE))))</f>
        <v/>
      </c>
      <c r="D96" s="310" t="str">
        <f>IF(B96="","",IF(ISNA(VLOOKUP($B96,'B-1 On-Site Hedge Baseline'!$B$1:$L$257,4,FALSE)),"",(VLOOKUP($B96,'B-1 On-Site Hedge Baseline'!$B$1:$L$257,4,FALSE))))</f>
        <v/>
      </c>
      <c r="E96" s="310" t="str">
        <f>IF(B96="","",IF(ISNA(VLOOKUP($B96,'B-1 On-Site Hedge Baseline'!$B$1:$L$257,5,FALSE)),"",(VLOOKUP($B96,'B-1 On-Site Hedge Baseline'!$B$1:$L$257,5,FALSE))))</f>
        <v/>
      </c>
      <c r="F96" s="310" t="str">
        <f>IF(B96="","",IF(ISNA(VLOOKUP($B96,'B-1 On-Site Hedge Baseline'!$B$1:$L$257,6,FALSE)),"",(VLOOKUP($B96,'B-1 On-Site Hedge Baseline'!$B$1:$L$257,6,FALSE))))</f>
        <v/>
      </c>
      <c r="G96" s="310" t="str">
        <f>IF(B96="","",IF(ISNA(VLOOKUP($B96,'B-1 On-Site Hedge Baseline'!$B$1:$L$257,7,FALSE)),"",(VLOOKUP($B96,'B-1 On-Site Hedge Baseline'!$B$1:$L$257,7,FALSE))))</f>
        <v/>
      </c>
      <c r="H96" s="310" t="str">
        <f>IF(B96="","",IF(ISNA(VLOOKUP($B96,'B-1 On-Site Hedge Baseline'!$B$1:$L$257,8,FALSE)),"",(VLOOKUP($B96,'B-1 On-Site Hedge Baseline'!$B$1:$L$257,8,FALSE))))</f>
        <v/>
      </c>
      <c r="I96" s="310" t="str">
        <f>IF(B96="","",IF(ISNA(VLOOKUP($B96,'B-1 On-Site Hedge Baseline'!$B$1:$L$257,10,FALSE)),"",(VLOOKUP($B96,'B-1 On-Site Hedge Baseline'!$B$1:$L$257,10,FALSE))))</f>
        <v/>
      </c>
      <c r="J96" s="310" t="str">
        <f>IF(B96="","",IF(ISNA(VLOOKUP($B96,'B-1 On-Site Hedge Baseline'!$B$1:$L$257,11,FALSE)),"",(VLOOKUP($B96,'B-1 On-Site Hedge Baseline'!$B$1:$L$257,11,FALSE))))</f>
        <v/>
      </c>
      <c r="K96" s="310" t="str">
        <f>IF(B96="","",IF(ISNA(VLOOKUP($B96,'B-1 On-Site Hedge Baseline'!$B$1:$U$257,13,FALSE)),"",(VLOOKUP($B96,'B-1 On-Site Hedge Baseline'!$B$1:$U$257,13,FALSE))))</f>
        <v/>
      </c>
      <c r="L96" s="314" t="str">
        <f>IF(B96="","",IF(ISNA(VLOOKUP($B96,'B-1 On-Site Hedge Baseline'!$B$1:$U$257,12,FALSE)),"",(VLOOKUP($B96,'B-1 On-Site Hedge Baseline'!$B$1:$U$257,12,FALSE))))</f>
        <v/>
      </c>
      <c r="M96" s="583"/>
      <c r="N96" s="290" t="str">
        <f>IFERROR(IF(B96="","",INDEX('G-6 Hedgerow Data'!$AN$3:$AZ$15,MATCH(C96,'G-6 Hedgerow Data'!$AM$3:$AM$15,0),MATCH(M96,'G-6 Hedgerow Data'!$AN$2:$AZ$2,0))),"")</f>
        <v/>
      </c>
      <c r="O96" s="291" t="str">
        <f t="shared" si="8"/>
        <v/>
      </c>
      <c r="P96" s="341" t="str">
        <f>IF(B96="","",VLOOKUP(B96,'B-1 On-Site Hedge Baseline'!$B$10:T341,16,FALSE))</f>
        <v/>
      </c>
      <c r="Q96" s="290" t="str">
        <f>IF(M96="","",VLOOKUP(M96,'G-6 Hedgerow Data'!$B$2:$AG$15,2,FALSE))</f>
        <v/>
      </c>
      <c r="R96" s="291" t="str">
        <f>IF(M96="","",VLOOKUP(M96,'G-6 Hedgerow Data'!$B$2:$AG$15,3,FALSE))</f>
        <v/>
      </c>
      <c r="S96" s="106"/>
      <c r="T96" s="328" t="str">
        <f>IFERROR(IF(S96="","",IF(AND(M96="Non-native and ornamental hedgerow", S96&lt;&gt;"Poor"),"Not possible ▲", (VLOOKUP(S96,'G-1 All Habitats'!$Z$2:$AA$9,2,FALSE)))),"")</f>
        <v/>
      </c>
      <c r="U96" s="103"/>
      <c r="V96" s="310" t="str">
        <f>IF(U96="","",IF(VLOOKUP(U96,'G-3 Multipliers'!$L$3:$N$6,2,FALSE)=0,"Spatial Data Missing ⚠",VLOOKUP(U96,'G-3 Multipliers'!$L$3:$N$6,2,FALSE)))</f>
        <v/>
      </c>
      <c r="W96" s="314" t="str">
        <f>IF(U96="","",IF(VLOOKUP(U96,'G-3 Multipliers'!$L$3:$N$6,3,FALSE)=0,"Spatial Data Missing ⚠",VLOOKUP(U96,'G-3 Multipliers'!$L$3:$N$6,3,FALSE)))</f>
        <v/>
      </c>
      <c r="X96" s="290" t="str">
        <f>IFERROR(IF(OR(LEFT(O96,5)="Error",LEFT(N96,5)="Error",T96="Error"),"Check Data ⚠",IF(F96&lt;R96,INDEX('G-6 Hedgerow Data'!$S$3:$AE$14,MATCH(C96,'G-6 Hedgerow Data'!$B$3:$B$14,0),MATCH(M96,'G-6 Hedgerow Data'!$S$2:$AE$2,0)),INDEX('G-6 Hedgerow Data'!$K$3:$Q$14,MATCH(M96,'G-6 Hedgerow Data'!$B$3:$B$14,0),MATCH(O96,'G-6 Hedgerow Data'!$K$2:$Q$2,0)))),"")</f>
        <v/>
      </c>
      <c r="Y96" s="138"/>
      <c r="Z96" s="138"/>
      <c r="AA96" s="298" t="str">
        <f t="shared" si="9"/>
        <v/>
      </c>
      <c r="AB96" s="311" t="str">
        <f t="shared" si="10"/>
        <v/>
      </c>
      <c r="AC96" s="312" t="str">
        <f t="shared" si="7"/>
        <v/>
      </c>
      <c r="AD96" s="325" t="str">
        <f>IF(M96="","",VLOOKUP(M96,'G-6 Hedgerow Data'!$B$3:$AG$15,31,FALSE))</f>
        <v/>
      </c>
      <c r="AE96" s="298" t="str">
        <f t="shared" si="11"/>
        <v/>
      </c>
      <c r="AF96" s="298" t="str">
        <f t="shared" si="12"/>
        <v/>
      </c>
      <c r="AG96" s="314" t="str">
        <f>IFERROR(IF(O96="","",VLOOKUP(AD96,'G-3 Multipliers'!$P$3:$Q$6,2,FALSE)),"")</f>
        <v/>
      </c>
      <c r="AH96" s="304" t="str">
        <f t="shared" si="13"/>
        <v/>
      </c>
      <c r="AI96" s="157"/>
      <c r="AJ96" s="99"/>
      <c r="AK96" s="101"/>
      <c r="AT96" s="15" t="str">
        <f>IFERROR(INDEX('G-6 Hedgerow Data'!$BJ$3:$BJ$15,MATCH(M96,'G-6 Hedgerow Data'!$B$3:$B$15,0)),"")</f>
        <v/>
      </c>
    </row>
    <row r="97" spans="2:46" ht="14" x14ac:dyDescent="0.3">
      <c r="B97" s="319" t="str">
        <f>'B-1 On-Site Hedge Baseline'!AK95</f>
        <v/>
      </c>
      <c r="C97" s="310" t="str">
        <f>IF(B97="","",IF(ISNA(VLOOKUP($B97,'B-1 On-Site Hedge Baseline'!$B$1:$L$257,3,FALSE)),"",(VLOOKUP($B97,'B-1 On-Site Hedge Baseline'!$B$1:$L$257,3,FALSE))))</f>
        <v/>
      </c>
      <c r="D97" s="310" t="str">
        <f>IF(B97="","",IF(ISNA(VLOOKUP($B97,'B-1 On-Site Hedge Baseline'!$B$1:$L$257,4,FALSE)),"",(VLOOKUP($B97,'B-1 On-Site Hedge Baseline'!$B$1:$L$257,4,FALSE))))</f>
        <v/>
      </c>
      <c r="E97" s="310" t="str">
        <f>IF(B97="","",IF(ISNA(VLOOKUP($B97,'B-1 On-Site Hedge Baseline'!$B$1:$L$257,5,FALSE)),"",(VLOOKUP($B97,'B-1 On-Site Hedge Baseline'!$B$1:$L$257,5,FALSE))))</f>
        <v/>
      </c>
      <c r="F97" s="310" t="str">
        <f>IF(B97="","",IF(ISNA(VLOOKUP($B97,'B-1 On-Site Hedge Baseline'!$B$1:$L$257,6,FALSE)),"",(VLOOKUP($B97,'B-1 On-Site Hedge Baseline'!$B$1:$L$257,6,FALSE))))</f>
        <v/>
      </c>
      <c r="G97" s="310" t="str">
        <f>IF(B97="","",IF(ISNA(VLOOKUP($B97,'B-1 On-Site Hedge Baseline'!$B$1:$L$257,7,FALSE)),"",(VLOOKUP($B97,'B-1 On-Site Hedge Baseline'!$B$1:$L$257,7,FALSE))))</f>
        <v/>
      </c>
      <c r="H97" s="310" t="str">
        <f>IF(B97="","",IF(ISNA(VLOOKUP($B97,'B-1 On-Site Hedge Baseline'!$B$1:$L$257,8,FALSE)),"",(VLOOKUP($B97,'B-1 On-Site Hedge Baseline'!$B$1:$L$257,8,FALSE))))</f>
        <v/>
      </c>
      <c r="I97" s="310" t="str">
        <f>IF(B97="","",IF(ISNA(VLOOKUP($B97,'B-1 On-Site Hedge Baseline'!$B$1:$L$257,10,FALSE)),"",(VLOOKUP($B97,'B-1 On-Site Hedge Baseline'!$B$1:$L$257,10,FALSE))))</f>
        <v/>
      </c>
      <c r="J97" s="310" t="str">
        <f>IF(B97="","",IF(ISNA(VLOOKUP($B97,'B-1 On-Site Hedge Baseline'!$B$1:$L$257,11,FALSE)),"",(VLOOKUP($B97,'B-1 On-Site Hedge Baseline'!$B$1:$L$257,11,FALSE))))</f>
        <v/>
      </c>
      <c r="K97" s="310" t="str">
        <f>IF(B97="","",IF(ISNA(VLOOKUP($B97,'B-1 On-Site Hedge Baseline'!$B$1:$U$257,13,FALSE)),"",(VLOOKUP($B97,'B-1 On-Site Hedge Baseline'!$B$1:$U$257,13,FALSE))))</f>
        <v/>
      </c>
      <c r="L97" s="314" t="str">
        <f>IF(B97="","",IF(ISNA(VLOOKUP($B97,'B-1 On-Site Hedge Baseline'!$B$1:$U$257,12,FALSE)),"",(VLOOKUP($B97,'B-1 On-Site Hedge Baseline'!$B$1:$U$257,12,FALSE))))</f>
        <v/>
      </c>
      <c r="M97" s="583"/>
      <c r="N97" s="290" t="str">
        <f>IFERROR(IF(B97="","",INDEX('G-6 Hedgerow Data'!$AN$3:$AZ$15,MATCH(C97,'G-6 Hedgerow Data'!$AM$3:$AM$15,0),MATCH(M97,'G-6 Hedgerow Data'!$AN$2:$AZ$2,0))),"")</f>
        <v/>
      </c>
      <c r="O97" s="291" t="str">
        <f t="shared" si="8"/>
        <v/>
      </c>
      <c r="P97" s="341" t="str">
        <f>IF(B97="","",VLOOKUP(B97,'B-1 On-Site Hedge Baseline'!$B$10:T342,16,FALSE))</f>
        <v/>
      </c>
      <c r="Q97" s="290" t="str">
        <f>IF(M97="","",VLOOKUP(M97,'G-6 Hedgerow Data'!$B$2:$AG$15,2,FALSE))</f>
        <v/>
      </c>
      <c r="R97" s="291" t="str">
        <f>IF(M97="","",VLOOKUP(M97,'G-6 Hedgerow Data'!$B$2:$AG$15,3,FALSE))</f>
        <v/>
      </c>
      <c r="S97" s="106"/>
      <c r="T97" s="328" t="str">
        <f>IFERROR(IF(S97="","",IF(AND(M97="Non-native and ornamental hedgerow", S97&lt;&gt;"Poor"),"Not possible ▲", (VLOOKUP(S97,'G-1 All Habitats'!$Z$2:$AA$9,2,FALSE)))),"")</f>
        <v/>
      </c>
      <c r="U97" s="103"/>
      <c r="V97" s="310" t="str">
        <f>IF(U97="","",IF(VLOOKUP(U97,'G-3 Multipliers'!$L$3:$N$6,2,FALSE)=0,"Spatial Data Missing ⚠",VLOOKUP(U97,'G-3 Multipliers'!$L$3:$N$6,2,FALSE)))</f>
        <v/>
      </c>
      <c r="W97" s="314" t="str">
        <f>IF(U97="","",IF(VLOOKUP(U97,'G-3 Multipliers'!$L$3:$N$6,3,FALSE)=0,"Spatial Data Missing ⚠",VLOOKUP(U97,'G-3 Multipliers'!$L$3:$N$6,3,FALSE)))</f>
        <v/>
      </c>
      <c r="X97" s="290" t="str">
        <f>IFERROR(IF(OR(LEFT(O97,5)="Error",LEFT(N97,5)="Error",T97="Error"),"Check Data ⚠",IF(F97&lt;R97,INDEX('G-6 Hedgerow Data'!$S$3:$AE$14,MATCH(C97,'G-6 Hedgerow Data'!$B$3:$B$14,0),MATCH(M97,'G-6 Hedgerow Data'!$S$2:$AE$2,0)),INDEX('G-6 Hedgerow Data'!$K$3:$Q$14,MATCH(M97,'G-6 Hedgerow Data'!$B$3:$B$14,0),MATCH(O97,'G-6 Hedgerow Data'!$K$2:$Q$2,0)))),"")</f>
        <v/>
      </c>
      <c r="Y97" s="138"/>
      <c r="Z97" s="138"/>
      <c r="AA97" s="298" t="str">
        <f t="shared" si="9"/>
        <v/>
      </c>
      <c r="AB97" s="311" t="str">
        <f t="shared" si="10"/>
        <v/>
      </c>
      <c r="AC97" s="312" t="str">
        <f t="shared" si="7"/>
        <v/>
      </c>
      <c r="AD97" s="325" t="str">
        <f>IF(M97="","",VLOOKUP(M97,'G-6 Hedgerow Data'!$B$3:$AG$15,31,FALSE))</f>
        <v/>
      </c>
      <c r="AE97" s="298" t="str">
        <f t="shared" si="11"/>
        <v/>
      </c>
      <c r="AF97" s="298" t="str">
        <f t="shared" si="12"/>
        <v/>
      </c>
      <c r="AG97" s="314" t="str">
        <f>IFERROR(IF(O97="","",VLOOKUP(AD97,'G-3 Multipliers'!$P$3:$Q$6,2,FALSE)),"")</f>
        <v/>
      </c>
      <c r="AH97" s="304" t="str">
        <f t="shared" si="13"/>
        <v/>
      </c>
      <c r="AI97" s="157"/>
      <c r="AJ97" s="99"/>
      <c r="AK97" s="101"/>
      <c r="AT97" s="15" t="str">
        <f>IFERROR(INDEX('G-6 Hedgerow Data'!$BJ$3:$BJ$15,MATCH(M97,'G-6 Hedgerow Data'!$B$3:$B$15,0)),"")</f>
        <v/>
      </c>
    </row>
    <row r="98" spans="2:46" ht="14" x14ac:dyDescent="0.3">
      <c r="B98" s="319" t="str">
        <f>'B-1 On-Site Hedge Baseline'!AK96</f>
        <v/>
      </c>
      <c r="C98" s="310" t="str">
        <f>IF(B98="","",IF(ISNA(VLOOKUP($B98,'B-1 On-Site Hedge Baseline'!$B$1:$L$257,3,FALSE)),"",(VLOOKUP($B98,'B-1 On-Site Hedge Baseline'!$B$1:$L$257,3,FALSE))))</f>
        <v/>
      </c>
      <c r="D98" s="310" t="str">
        <f>IF(B98="","",IF(ISNA(VLOOKUP($B98,'B-1 On-Site Hedge Baseline'!$B$1:$L$257,4,FALSE)),"",(VLOOKUP($B98,'B-1 On-Site Hedge Baseline'!$B$1:$L$257,4,FALSE))))</f>
        <v/>
      </c>
      <c r="E98" s="310" t="str">
        <f>IF(B98="","",IF(ISNA(VLOOKUP($B98,'B-1 On-Site Hedge Baseline'!$B$1:$L$257,5,FALSE)),"",(VLOOKUP($B98,'B-1 On-Site Hedge Baseline'!$B$1:$L$257,5,FALSE))))</f>
        <v/>
      </c>
      <c r="F98" s="310" t="str">
        <f>IF(B98="","",IF(ISNA(VLOOKUP($B98,'B-1 On-Site Hedge Baseline'!$B$1:$L$257,6,FALSE)),"",(VLOOKUP($B98,'B-1 On-Site Hedge Baseline'!$B$1:$L$257,6,FALSE))))</f>
        <v/>
      </c>
      <c r="G98" s="310" t="str">
        <f>IF(B98="","",IF(ISNA(VLOOKUP($B98,'B-1 On-Site Hedge Baseline'!$B$1:$L$257,7,FALSE)),"",(VLOOKUP($B98,'B-1 On-Site Hedge Baseline'!$B$1:$L$257,7,FALSE))))</f>
        <v/>
      </c>
      <c r="H98" s="310" t="str">
        <f>IF(B98="","",IF(ISNA(VLOOKUP($B98,'B-1 On-Site Hedge Baseline'!$B$1:$L$257,8,FALSE)),"",(VLOOKUP($B98,'B-1 On-Site Hedge Baseline'!$B$1:$L$257,8,FALSE))))</f>
        <v/>
      </c>
      <c r="I98" s="310" t="str">
        <f>IF(B98="","",IF(ISNA(VLOOKUP($B98,'B-1 On-Site Hedge Baseline'!$B$1:$L$257,10,FALSE)),"",(VLOOKUP($B98,'B-1 On-Site Hedge Baseline'!$B$1:$L$257,10,FALSE))))</f>
        <v/>
      </c>
      <c r="J98" s="310" t="str">
        <f>IF(B98="","",IF(ISNA(VLOOKUP($B98,'B-1 On-Site Hedge Baseline'!$B$1:$L$257,11,FALSE)),"",(VLOOKUP($B98,'B-1 On-Site Hedge Baseline'!$B$1:$L$257,11,FALSE))))</f>
        <v/>
      </c>
      <c r="K98" s="310" t="str">
        <f>IF(B98="","",IF(ISNA(VLOOKUP($B98,'B-1 On-Site Hedge Baseline'!$B$1:$U$257,13,FALSE)),"",(VLOOKUP($B98,'B-1 On-Site Hedge Baseline'!$B$1:$U$257,13,FALSE))))</f>
        <v/>
      </c>
      <c r="L98" s="314" t="str">
        <f>IF(B98="","",IF(ISNA(VLOOKUP($B98,'B-1 On-Site Hedge Baseline'!$B$1:$U$257,12,FALSE)),"",(VLOOKUP($B98,'B-1 On-Site Hedge Baseline'!$B$1:$U$257,12,FALSE))))</f>
        <v/>
      </c>
      <c r="M98" s="583"/>
      <c r="N98" s="290" t="str">
        <f>IFERROR(IF(B98="","",INDEX('G-6 Hedgerow Data'!$AN$3:$AZ$15,MATCH(C98,'G-6 Hedgerow Data'!$AM$3:$AM$15,0),MATCH(M98,'G-6 Hedgerow Data'!$AN$2:$AZ$2,0))),"")</f>
        <v/>
      </c>
      <c r="O98" s="291" t="str">
        <f t="shared" si="8"/>
        <v/>
      </c>
      <c r="P98" s="341" t="str">
        <f>IF(B98="","",VLOOKUP(B98,'B-1 On-Site Hedge Baseline'!$B$10:T343,16,FALSE))</f>
        <v/>
      </c>
      <c r="Q98" s="290" t="str">
        <f>IF(M98="","",VLOOKUP(M98,'G-6 Hedgerow Data'!$B$2:$AG$15,2,FALSE))</f>
        <v/>
      </c>
      <c r="R98" s="291" t="str">
        <f>IF(M98="","",VLOOKUP(M98,'G-6 Hedgerow Data'!$B$2:$AG$15,3,FALSE))</f>
        <v/>
      </c>
      <c r="S98" s="106"/>
      <c r="T98" s="328" t="str">
        <f>IFERROR(IF(S98="","",IF(AND(M98="Non-native and ornamental hedgerow", S98&lt;&gt;"Poor"),"Not possible ▲", (VLOOKUP(S98,'G-1 All Habitats'!$Z$2:$AA$9,2,FALSE)))),"")</f>
        <v/>
      </c>
      <c r="U98" s="103"/>
      <c r="V98" s="310" t="str">
        <f>IF(U98="","",IF(VLOOKUP(U98,'G-3 Multipliers'!$L$3:$N$6,2,FALSE)=0,"Spatial Data Missing ⚠",VLOOKUP(U98,'G-3 Multipliers'!$L$3:$N$6,2,FALSE)))</f>
        <v/>
      </c>
      <c r="W98" s="314" t="str">
        <f>IF(U98="","",IF(VLOOKUP(U98,'G-3 Multipliers'!$L$3:$N$6,3,FALSE)=0,"Spatial Data Missing ⚠",VLOOKUP(U98,'G-3 Multipliers'!$L$3:$N$6,3,FALSE)))</f>
        <v/>
      </c>
      <c r="X98" s="290" t="str">
        <f>IFERROR(IF(OR(LEFT(O98,5)="Error",LEFT(N98,5)="Error",T98="Error"),"Check Data ⚠",IF(F98&lt;R98,INDEX('G-6 Hedgerow Data'!$S$3:$AE$14,MATCH(C98,'G-6 Hedgerow Data'!$B$3:$B$14,0),MATCH(M98,'G-6 Hedgerow Data'!$S$2:$AE$2,0)),INDEX('G-6 Hedgerow Data'!$K$3:$Q$14,MATCH(M98,'G-6 Hedgerow Data'!$B$3:$B$14,0),MATCH(O98,'G-6 Hedgerow Data'!$K$2:$Q$2,0)))),"")</f>
        <v/>
      </c>
      <c r="Y98" s="138"/>
      <c r="Z98" s="138"/>
      <c r="AA98" s="298" t="str">
        <f t="shared" si="9"/>
        <v/>
      </c>
      <c r="AB98" s="311" t="str">
        <f t="shared" si="10"/>
        <v/>
      </c>
      <c r="AC98" s="312" t="str">
        <f t="shared" si="7"/>
        <v/>
      </c>
      <c r="AD98" s="325" t="str">
        <f>IF(M98="","",VLOOKUP(M98,'G-6 Hedgerow Data'!$B$3:$AG$15,31,FALSE))</f>
        <v/>
      </c>
      <c r="AE98" s="298" t="str">
        <f t="shared" si="11"/>
        <v/>
      </c>
      <c r="AF98" s="298" t="str">
        <f t="shared" si="12"/>
        <v/>
      </c>
      <c r="AG98" s="314" t="str">
        <f>IFERROR(IF(O98="","",VLOOKUP(AD98,'G-3 Multipliers'!$P$3:$Q$6,2,FALSE)),"")</f>
        <v/>
      </c>
      <c r="AH98" s="304" t="str">
        <f t="shared" si="13"/>
        <v/>
      </c>
      <c r="AI98" s="157"/>
      <c r="AJ98" s="99"/>
      <c r="AK98" s="101"/>
      <c r="AT98" s="15" t="str">
        <f>IFERROR(INDEX('G-6 Hedgerow Data'!$BJ$3:$BJ$15,MATCH(M98,'G-6 Hedgerow Data'!$B$3:$B$15,0)),"")</f>
        <v/>
      </c>
    </row>
    <row r="99" spans="2:46" ht="14" x14ac:dyDescent="0.3">
      <c r="B99" s="319" t="str">
        <f>'B-1 On-Site Hedge Baseline'!AK97</f>
        <v/>
      </c>
      <c r="C99" s="310" t="str">
        <f>IF(B99="","",IF(ISNA(VLOOKUP($B99,'B-1 On-Site Hedge Baseline'!$B$1:$L$257,3,FALSE)),"",(VLOOKUP($B99,'B-1 On-Site Hedge Baseline'!$B$1:$L$257,3,FALSE))))</f>
        <v/>
      </c>
      <c r="D99" s="310" t="str">
        <f>IF(B99="","",IF(ISNA(VLOOKUP($B99,'B-1 On-Site Hedge Baseline'!$B$1:$L$257,4,FALSE)),"",(VLOOKUP($B99,'B-1 On-Site Hedge Baseline'!$B$1:$L$257,4,FALSE))))</f>
        <v/>
      </c>
      <c r="E99" s="310" t="str">
        <f>IF(B99="","",IF(ISNA(VLOOKUP($B99,'B-1 On-Site Hedge Baseline'!$B$1:$L$257,5,FALSE)),"",(VLOOKUP($B99,'B-1 On-Site Hedge Baseline'!$B$1:$L$257,5,FALSE))))</f>
        <v/>
      </c>
      <c r="F99" s="310" t="str">
        <f>IF(B99="","",IF(ISNA(VLOOKUP($B99,'B-1 On-Site Hedge Baseline'!$B$1:$L$257,6,FALSE)),"",(VLOOKUP($B99,'B-1 On-Site Hedge Baseline'!$B$1:$L$257,6,FALSE))))</f>
        <v/>
      </c>
      <c r="G99" s="310" t="str">
        <f>IF(B99="","",IF(ISNA(VLOOKUP($B99,'B-1 On-Site Hedge Baseline'!$B$1:$L$257,7,FALSE)),"",(VLOOKUP($B99,'B-1 On-Site Hedge Baseline'!$B$1:$L$257,7,FALSE))))</f>
        <v/>
      </c>
      <c r="H99" s="310" t="str">
        <f>IF(B99="","",IF(ISNA(VLOOKUP($B99,'B-1 On-Site Hedge Baseline'!$B$1:$L$257,8,FALSE)),"",(VLOOKUP($B99,'B-1 On-Site Hedge Baseline'!$B$1:$L$257,8,FALSE))))</f>
        <v/>
      </c>
      <c r="I99" s="310" t="str">
        <f>IF(B99="","",IF(ISNA(VLOOKUP($B99,'B-1 On-Site Hedge Baseline'!$B$1:$L$257,10,FALSE)),"",(VLOOKUP($B99,'B-1 On-Site Hedge Baseline'!$B$1:$L$257,10,FALSE))))</f>
        <v/>
      </c>
      <c r="J99" s="310" t="str">
        <f>IF(B99="","",IF(ISNA(VLOOKUP($B99,'B-1 On-Site Hedge Baseline'!$B$1:$L$257,11,FALSE)),"",(VLOOKUP($B99,'B-1 On-Site Hedge Baseline'!$B$1:$L$257,11,FALSE))))</f>
        <v/>
      </c>
      <c r="K99" s="310" t="str">
        <f>IF(B99="","",IF(ISNA(VLOOKUP($B99,'B-1 On-Site Hedge Baseline'!$B$1:$U$257,13,FALSE)),"",(VLOOKUP($B99,'B-1 On-Site Hedge Baseline'!$B$1:$U$257,13,FALSE))))</f>
        <v/>
      </c>
      <c r="L99" s="314" t="str">
        <f>IF(B99="","",IF(ISNA(VLOOKUP($B99,'B-1 On-Site Hedge Baseline'!$B$1:$U$257,12,FALSE)),"",(VLOOKUP($B99,'B-1 On-Site Hedge Baseline'!$B$1:$U$257,12,FALSE))))</f>
        <v/>
      </c>
      <c r="M99" s="583"/>
      <c r="N99" s="290" t="str">
        <f>IFERROR(IF(B99="","",INDEX('G-6 Hedgerow Data'!$AN$3:$AZ$15,MATCH(C99,'G-6 Hedgerow Data'!$AM$3:$AM$15,0),MATCH(M99,'G-6 Hedgerow Data'!$AN$2:$AZ$2,0))),"")</f>
        <v/>
      </c>
      <c r="O99" s="291" t="str">
        <f t="shared" si="8"/>
        <v/>
      </c>
      <c r="P99" s="341" t="str">
        <f>IF(B99="","",VLOOKUP(B99,'B-1 On-Site Hedge Baseline'!$B$10:T344,16,FALSE))</f>
        <v/>
      </c>
      <c r="Q99" s="290" t="str">
        <f>IF(M99="","",VLOOKUP(M99,'G-6 Hedgerow Data'!$B$2:$AG$15,2,FALSE))</f>
        <v/>
      </c>
      <c r="R99" s="291" t="str">
        <f>IF(M99="","",VLOOKUP(M99,'G-6 Hedgerow Data'!$B$2:$AG$15,3,FALSE))</f>
        <v/>
      </c>
      <c r="S99" s="106"/>
      <c r="T99" s="328" t="str">
        <f>IFERROR(IF(S99="","",IF(AND(M99="Non-native and ornamental hedgerow", S99&lt;&gt;"Poor"),"Not possible ▲", (VLOOKUP(S99,'G-1 All Habitats'!$Z$2:$AA$9,2,FALSE)))),"")</f>
        <v/>
      </c>
      <c r="U99" s="103"/>
      <c r="V99" s="310" t="str">
        <f>IF(U99="","",IF(VLOOKUP(U99,'G-3 Multipliers'!$L$3:$N$6,2,FALSE)=0,"Spatial Data Missing ⚠",VLOOKUP(U99,'G-3 Multipliers'!$L$3:$N$6,2,FALSE)))</f>
        <v/>
      </c>
      <c r="W99" s="314" t="str">
        <f>IF(U99="","",IF(VLOOKUP(U99,'G-3 Multipliers'!$L$3:$N$6,3,FALSE)=0,"Spatial Data Missing ⚠",VLOOKUP(U99,'G-3 Multipliers'!$L$3:$N$6,3,FALSE)))</f>
        <v/>
      </c>
      <c r="X99" s="290" t="str">
        <f>IFERROR(IF(OR(LEFT(O99,5)="Error",LEFT(N99,5)="Error",T99="Error"),"Check Data ⚠",IF(F99&lt;R99,INDEX('G-6 Hedgerow Data'!$S$3:$AE$14,MATCH(C99,'G-6 Hedgerow Data'!$B$3:$B$14,0),MATCH(M99,'G-6 Hedgerow Data'!$S$2:$AE$2,0)),INDEX('G-6 Hedgerow Data'!$K$3:$Q$14,MATCH(M99,'G-6 Hedgerow Data'!$B$3:$B$14,0),MATCH(O99,'G-6 Hedgerow Data'!$K$2:$Q$2,0)))),"")</f>
        <v/>
      </c>
      <c r="Y99" s="138"/>
      <c r="Z99" s="138"/>
      <c r="AA99" s="298" t="str">
        <f t="shared" si="9"/>
        <v/>
      </c>
      <c r="AB99" s="311" t="str">
        <f t="shared" si="10"/>
        <v/>
      </c>
      <c r="AC99" s="312" t="str">
        <f t="shared" si="7"/>
        <v/>
      </c>
      <c r="AD99" s="325" t="str">
        <f>IF(M99="","",VLOOKUP(M99,'G-6 Hedgerow Data'!$B$3:$AG$15,31,FALSE))</f>
        <v/>
      </c>
      <c r="AE99" s="298" t="str">
        <f t="shared" si="11"/>
        <v/>
      </c>
      <c r="AF99" s="298" t="str">
        <f t="shared" si="12"/>
        <v/>
      </c>
      <c r="AG99" s="314" t="str">
        <f>IFERROR(IF(O99="","",VLOOKUP(AD99,'G-3 Multipliers'!$P$3:$Q$6,2,FALSE)),"")</f>
        <v/>
      </c>
      <c r="AH99" s="304" t="str">
        <f t="shared" si="13"/>
        <v/>
      </c>
      <c r="AI99" s="157"/>
      <c r="AJ99" s="99"/>
      <c r="AK99" s="101"/>
      <c r="AT99" s="15" t="str">
        <f>IFERROR(INDEX('G-6 Hedgerow Data'!$BJ$3:$BJ$15,MATCH(M99,'G-6 Hedgerow Data'!$B$3:$B$15,0)),"")</f>
        <v/>
      </c>
    </row>
    <row r="100" spans="2:46" ht="14" x14ac:dyDescent="0.3">
      <c r="B100" s="319" t="str">
        <f>'B-1 On-Site Hedge Baseline'!AK98</f>
        <v/>
      </c>
      <c r="C100" s="310" t="str">
        <f>IF(B100="","",IF(ISNA(VLOOKUP($B100,'B-1 On-Site Hedge Baseline'!$B$1:$L$257,3,FALSE)),"",(VLOOKUP($B100,'B-1 On-Site Hedge Baseline'!$B$1:$L$257,3,FALSE))))</f>
        <v/>
      </c>
      <c r="D100" s="310" t="str">
        <f>IF(B100="","",IF(ISNA(VLOOKUP($B100,'B-1 On-Site Hedge Baseline'!$B$1:$L$257,4,FALSE)),"",(VLOOKUP($B100,'B-1 On-Site Hedge Baseline'!$B$1:$L$257,4,FALSE))))</f>
        <v/>
      </c>
      <c r="E100" s="310" t="str">
        <f>IF(B100="","",IF(ISNA(VLOOKUP($B100,'B-1 On-Site Hedge Baseline'!$B$1:$L$257,5,FALSE)),"",(VLOOKUP($B100,'B-1 On-Site Hedge Baseline'!$B$1:$L$257,5,FALSE))))</f>
        <v/>
      </c>
      <c r="F100" s="310" t="str">
        <f>IF(B100="","",IF(ISNA(VLOOKUP($B100,'B-1 On-Site Hedge Baseline'!$B$1:$L$257,6,FALSE)),"",(VLOOKUP($B100,'B-1 On-Site Hedge Baseline'!$B$1:$L$257,6,FALSE))))</f>
        <v/>
      </c>
      <c r="G100" s="310" t="str">
        <f>IF(B100="","",IF(ISNA(VLOOKUP($B100,'B-1 On-Site Hedge Baseline'!$B$1:$L$257,7,FALSE)),"",(VLOOKUP($B100,'B-1 On-Site Hedge Baseline'!$B$1:$L$257,7,FALSE))))</f>
        <v/>
      </c>
      <c r="H100" s="310" t="str">
        <f>IF(B100="","",IF(ISNA(VLOOKUP($B100,'B-1 On-Site Hedge Baseline'!$B$1:$L$257,8,FALSE)),"",(VLOOKUP($B100,'B-1 On-Site Hedge Baseline'!$B$1:$L$257,8,FALSE))))</f>
        <v/>
      </c>
      <c r="I100" s="310" t="str">
        <f>IF(B100="","",IF(ISNA(VLOOKUP($B100,'B-1 On-Site Hedge Baseline'!$B$1:$L$257,10,FALSE)),"",(VLOOKUP($B100,'B-1 On-Site Hedge Baseline'!$B$1:$L$257,10,FALSE))))</f>
        <v/>
      </c>
      <c r="J100" s="310" t="str">
        <f>IF(B100="","",IF(ISNA(VLOOKUP($B100,'B-1 On-Site Hedge Baseline'!$B$1:$L$257,11,FALSE)),"",(VLOOKUP($B100,'B-1 On-Site Hedge Baseline'!$B$1:$L$257,11,FALSE))))</f>
        <v/>
      </c>
      <c r="K100" s="310" t="str">
        <f>IF(B100="","",IF(ISNA(VLOOKUP($B100,'B-1 On-Site Hedge Baseline'!$B$1:$U$257,13,FALSE)),"",(VLOOKUP($B100,'B-1 On-Site Hedge Baseline'!$B$1:$U$257,13,FALSE))))</f>
        <v/>
      </c>
      <c r="L100" s="314" t="str">
        <f>IF(B100="","",IF(ISNA(VLOOKUP($B100,'B-1 On-Site Hedge Baseline'!$B$1:$U$257,12,FALSE)),"",(VLOOKUP($B100,'B-1 On-Site Hedge Baseline'!$B$1:$U$257,12,FALSE))))</f>
        <v/>
      </c>
      <c r="M100" s="583"/>
      <c r="N100" s="290" t="str">
        <f>IFERROR(IF(B100="","",INDEX('G-6 Hedgerow Data'!$AN$3:$AZ$15,MATCH(C100,'G-6 Hedgerow Data'!$AM$3:$AM$15,0),MATCH(M100,'G-6 Hedgerow Data'!$AN$2:$AZ$2,0))),"")</f>
        <v/>
      </c>
      <c r="O100" s="291" t="str">
        <f t="shared" si="8"/>
        <v/>
      </c>
      <c r="P100" s="341" t="str">
        <f>IF(B100="","",VLOOKUP(B100,'B-1 On-Site Hedge Baseline'!$B$10:T345,16,FALSE))</f>
        <v/>
      </c>
      <c r="Q100" s="290" t="str">
        <f>IF(M100="","",VLOOKUP(M100,'G-6 Hedgerow Data'!$B$2:$AG$15,2,FALSE))</f>
        <v/>
      </c>
      <c r="R100" s="291" t="str">
        <f>IF(M100="","",VLOOKUP(M100,'G-6 Hedgerow Data'!$B$2:$AG$15,3,FALSE))</f>
        <v/>
      </c>
      <c r="S100" s="106"/>
      <c r="T100" s="328" t="str">
        <f>IFERROR(IF(S100="","",IF(AND(M100="Non-native and ornamental hedgerow", S100&lt;&gt;"Poor"),"Not possible ▲", (VLOOKUP(S100,'G-1 All Habitats'!$Z$2:$AA$9,2,FALSE)))),"")</f>
        <v/>
      </c>
      <c r="U100" s="103"/>
      <c r="V100" s="310" t="str">
        <f>IF(U100="","",IF(VLOOKUP(U100,'G-3 Multipliers'!$L$3:$N$6,2,FALSE)=0,"Spatial Data Missing ⚠",VLOOKUP(U100,'G-3 Multipliers'!$L$3:$N$6,2,FALSE)))</f>
        <v/>
      </c>
      <c r="W100" s="314" t="str">
        <f>IF(U100="","",IF(VLOOKUP(U100,'G-3 Multipliers'!$L$3:$N$6,3,FALSE)=0,"Spatial Data Missing ⚠",VLOOKUP(U100,'G-3 Multipliers'!$L$3:$N$6,3,FALSE)))</f>
        <v/>
      </c>
      <c r="X100" s="290" t="str">
        <f>IFERROR(IF(OR(LEFT(O100,5)="Error",LEFT(N100,5)="Error",T100="Error"),"Check Data ⚠",IF(F100&lt;R100,INDEX('G-6 Hedgerow Data'!$S$3:$AE$14,MATCH(C100,'G-6 Hedgerow Data'!$B$3:$B$14,0),MATCH(M100,'G-6 Hedgerow Data'!$S$2:$AE$2,0)),INDEX('G-6 Hedgerow Data'!$K$3:$Q$14,MATCH(M100,'G-6 Hedgerow Data'!$B$3:$B$14,0),MATCH(O100,'G-6 Hedgerow Data'!$K$2:$Q$2,0)))),"")</f>
        <v/>
      </c>
      <c r="Y100" s="138"/>
      <c r="Z100" s="138"/>
      <c r="AA100" s="298" t="str">
        <f t="shared" si="9"/>
        <v/>
      </c>
      <c r="AB100" s="311" t="str">
        <f t="shared" si="10"/>
        <v/>
      </c>
      <c r="AC100" s="312" t="str">
        <f t="shared" si="7"/>
        <v/>
      </c>
      <c r="AD100" s="325" t="str">
        <f>IF(M100="","",VLOOKUP(M100,'G-6 Hedgerow Data'!$B$3:$AG$15,31,FALSE))</f>
        <v/>
      </c>
      <c r="AE100" s="298" t="str">
        <f t="shared" si="11"/>
        <v/>
      </c>
      <c r="AF100" s="298" t="str">
        <f t="shared" si="12"/>
        <v/>
      </c>
      <c r="AG100" s="314" t="str">
        <f>IFERROR(IF(O100="","",VLOOKUP(AD100,'G-3 Multipliers'!$P$3:$Q$6,2,FALSE)),"")</f>
        <v/>
      </c>
      <c r="AH100" s="304" t="str">
        <f t="shared" si="13"/>
        <v/>
      </c>
      <c r="AI100" s="157"/>
      <c r="AJ100" s="99"/>
      <c r="AK100" s="101"/>
      <c r="AT100" s="15" t="str">
        <f>IFERROR(INDEX('G-6 Hedgerow Data'!$BJ$3:$BJ$15,MATCH(M100,'G-6 Hedgerow Data'!$B$3:$B$15,0)),"")</f>
        <v/>
      </c>
    </row>
    <row r="101" spans="2:46" ht="14" x14ac:dyDescent="0.3">
      <c r="B101" s="319" t="str">
        <f>'B-1 On-Site Hedge Baseline'!AK99</f>
        <v/>
      </c>
      <c r="C101" s="310" t="str">
        <f>IF(B101="","",IF(ISNA(VLOOKUP($B101,'B-1 On-Site Hedge Baseline'!$B$1:$L$257,3,FALSE)),"",(VLOOKUP($B101,'B-1 On-Site Hedge Baseline'!$B$1:$L$257,3,FALSE))))</f>
        <v/>
      </c>
      <c r="D101" s="310" t="str">
        <f>IF(B101="","",IF(ISNA(VLOOKUP($B101,'B-1 On-Site Hedge Baseline'!$B$1:$L$257,4,FALSE)),"",(VLOOKUP($B101,'B-1 On-Site Hedge Baseline'!$B$1:$L$257,4,FALSE))))</f>
        <v/>
      </c>
      <c r="E101" s="310" t="str">
        <f>IF(B101="","",IF(ISNA(VLOOKUP($B101,'B-1 On-Site Hedge Baseline'!$B$1:$L$257,5,FALSE)),"",(VLOOKUP($B101,'B-1 On-Site Hedge Baseline'!$B$1:$L$257,5,FALSE))))</f>
        <v/>
      </c>
      <c r="F101" s="310" t="str">
        <f>IF(B101="","",IF(ISNA(VLOOKUP($B101,'B-1 On-Site Hedge Baseline'!$B$1:$L$257,6,FALSE)),"",(VLOOKUP($B101,'B-1 On-Site Hedge Baseline'!$B$1:$L$257,6,FALSE))))</f>
        <v/>
      </c>
      <c r="G101" s="310" t="str">
        <f>IF(B101="","",IF(ISNA(VLOOKUP($B101,'B-1 On-Site Hedge Baseline'!$B$1:$L$257,7,FALSE)),"",(VLOOKUP($B101,'B-1 On-Site Hedge Baseline'!$B$1:$L$257,7,FALSE))))</f>
        <v/>
      </c>
      <c r="H101" s="310" t="str">
        <f>IF(B101="","",IF(ISNA(VLOOKUP($B101,'B-1 On-Site Hedge Baseline'!$B$1:$L$257,8,FALSE)),"",(VLOOKUP($B101,'B-1 On-Site Hedge Baseline'!$B$1:$L$257,8,FALSE))))</f>
        <v/>
      </c>
      <c r="I101" s="310" t="str">
        <f>IF(B101="","",IF(ISNA(VLOOKUP($B101,'B-1 On-Site Hedge Baseline'!$B$1:$L$257,10,FALSE)),"",(VLOOKUP($B101,'B-1 On-Site Hedge Baseline'!$B$1:$L$257,10,FALSE))))</f>
        <v/>
      </c>
      <c r="J101" s="310" t="str">
        <f>IF(B101="","",IF(ISNA(VLOOKUP($B101,'B-1 On-Site Hedge Baseline'!$B$1:$L$257,11,FALSE)),"",(VLOOKUP($B101,'B-1 On-Site Hedge Baseline'!$B$1:$L$257,11,FALSE))))</f>
        <v/>
      </c>
      <c r="K101" s="310" t="str">
        <f>IF(B101="","",IF(ISNA(VLOOKUP($B101,'B-1 On-Site Hedge Baseline'!$B$1:$U$257,13,FALSE)),"",(VLOOKUP($B101,'B-1 On-Site Hedge Baseline'!$B$1:$U$257,13,FALSE))))</f>
        <v/>
      </c>
      <c r="L101" s="314" t="str">
        <f>IF(B101="","",IF(ISNA(VLOOKUP($B101,'B-1 On-Site Hedge Baseline'!$B$1:$U$257,12,FALSE)),"",(VLOOKUP($B101,'B-1 On-Site Hedge Baseline'!$B$1:$U$257,12,FALSE))))</f>
        <v/>
      </c>
      <c r="M101" s="583"/>
      <c r="N101" s="290" t="str">
        <f>IFERROR(IF(B101="","",INDEX('G-6 Hedgerow Data'!$AN$3:$AZ$15,MATCH(C101,'G-6 Hedgerow Data'!$AM$3:$AM$15,0),MATCH(M101,'G-6 Hedgerow Data'!$AN$2:$AZ$2,0))),"")</f>
        <v/>
      </c>
      <c r="O101" s="291" t="str">
        <f t="shared" si="8"/>
        <v/>
      </c>
      <c r="P101" s="341" t="str">
        <f>IF(B101="","",VLOOKUP(B101,'B-1 On-Site Hedge Baseline'!$B$10:T346,16,FALSE))</f>
        <v/>
      </c>
      <c r="Q101" s="290" t="str">
        <f>IF(M101="","",VLOOKUP(M101,'G-6 Hedgerow Data'!$B$2:$AG$15,2,FALSE))</f>
        <v/>
      </c>
      <c r="R101" s="291" t="str">
        <f>IF(M101="","",VLOOKUP(M101,'G-6 Hedgerow Data'!$B$2:$AG$15,3,FALSE))</f>
        <v/>
      </c>
      <c r="S101" s="106"/>
      <c r="T101" s="328" t="str">
        <f>IFERROR(IF(S101="","",IF(AND(M101="Non-native and ornamental hedgerow", S101&lt;&gt;"Poor"),"Not possible ▲", (VLOOKUP(S101,'G-1 All Habitats'!$Z$2:$AA$9,2,FALSE)))),"")</f>
        <v/>
      </c>
      <c r="U101" s="103"/>
      <c r="V101" s="310" t="str">
        <f>IF(U101="","",IF(VLOOKUP(U101,'G-3 Multipliers'!$L$3:$N$6,2,FALSE)=0,"Spatial Data Missing ⚠",VLOOKUP(U101,'G-3 Multipliers'!$L$3:$N$6,2,FALSE)))</f>
        <v/>
      </c>
      <c r="W101" s="314" t="str">
        <f>IF(U101="","",IF(VLOOKUP(U101,'G-3 Multipliers'!$L$3:$N$6,3,FALSE)=0,"Spatial Data Missing ⚠",VLOOKUP(U101,'G-3 Multipliers'!$L$3:$N$6,3,FALSE)))</f>
        <v/>
      </c>
      <c r="X101" s="290" t="str">
        <f>IFERROR(IF(OR(LEFT(O101,5)="Error",LEFT(N101,5)="Error",T101="Error"),"Check Data ⚠",IF(F101&lt;R101,INDEX('G-6 Hedgerow Data'!$S$3:$AE$14,MATCH(C101,'G-6 Hedgerow Data'!$B$3:$B$14,0),MATCH(M101,'G-6 Hedgerow Data'!$S$2:$AE$2,0)),INDEX('G-6 Hedgerow Data'!$K$3:$Q$14,MATCH(M101,'G-6 Hedgerow Data'!$B$3:$B$14,0),MATCH(O101,'G-6 Hedgerow Data'!$K$2:$Q$2,0)))),"")</f>
        <v/>
      </c>
      <c r="Y101" s="138"/>
      <c r="Z101" s="138"/>
      <c r="AA101" s="298" t="str">
        <f t="shared" si="9"/>
        <v/>
      </c>
      <c r="AB101" s="311" t="str">
        <f t="shared" si="10"/>
        <v/>
      </c>
      <c r="AC101" s="312" t="str">
        <f t="shared" si="7"/>
        <v/>
      </c>
      <c r="AD101" s="325" t="str">
        <f>IF(M101="","",VLOOKUP(M101,'G-6 Hedgerow Data'!$B$3:$AG$15,31,FALSE))</f>
        <v/>
      </c>
      <c r="AE101" s="298" t="str">
        <f t="shared" si="11"/>
        <v/>
      </c>
      <c r="AF101" s="298" t="str">
        <f t="shared" si="12"/>
        <v/>
      </c>
      <c r="AG101" s="314" t="str">
        <f>IFERROR(IF(O101="","",VLOOKUP(AD101,'G-3 Multipliers'!$P$3:$Q$6,2,FALSE)),"")</f>
        <v/>
      </c>
      <c r="AH101" s="304" t="str">
        <f t="shared" si="13"/>
        <v/>
      </c>
      <c r="AI101" s="157"/>
      <c r="AJ101" s="99"/>
      <c r="AK101" s="101"/>
      <c r="AT101" s="15" t="str">
        <f>IFERROR(INDEX('G-6 Hedgerow Data'!$BJ$3:$BJ$15,MATCH(M101,'G-6 Hedgerow Data'!$B$3:$B$15,0)),"")</f>
        <v/>
      </c>
    </row>
    <row r="102" spans="2:46" ht="14" x14ac:dyDescent="0.3">
      <c r="B102" s="319" t="str">
        <f>'B-1 On-Site Hedge Baseline'!AK100</f>
        <v/>
      </c>
      <c r="C102" s="310" t="str">
        <f>IF(B102="","",IF(ISNA(VLOOKUP($B102,'B-1 On-Site Hedge Baseline'!$B$1:$L$257,3,FALSE)),"",(VLOOKUP($B102,'B-1 On-Site Hedge Baseline'!$B$1:$L$257,3,FALSE))))</f>
        <v/>
      </c>
      <c r="D102" s="310" t="str">
        <f>IF(B102="","",IF(ISNA(VLOOKUP($B102,'B-1 On-Site Hedge Baseline'!$B$1:$L$257,4,FALSE)),"",(VLOOKUP($B102,'B-1 On-Site Hedge Baseline'!$B$1:$L$257,4,FALSE))))</f>
        <v/>
      </c>
      <c r="E102" s="310" t="str">
        <f>IF(B102="","",IF(ISNA(VLOOKUP($B102,'B-1 On-Site Hedge Baseline'!$B$1:$L$257,5,FALSE)),"",(VLOOKUP($B102,'B-1 On-Site Hedge Baseline'!$B$1:$L$257,5,FALSE))))</f>
        <v/>
      </c>
      <c r="F102" s="310" t="str">
        <f>IF(B102="","",IF(ISNA(VLOOKUP($B102,'B-1 On-Site Hedge Baseline'!$B$1:$L$257,6,FALSE)),"",(VLOOKUP($B102,'B-1 On-Site Hedge Baseline'!$B$1:$L$257,6,FALSE))))</f>
        <v/>
      </c>
      <c r="G102" s="310" t="str">
        <f>IF(B102="","",IF(ISNA(VLOOKUP($B102,'B-1 On-Site Hedge Baseline'!$B$1:$L$257,7,FALSE)),"",(VLOOKUP($B102,'B-1 On-Site Hedge Baseline'!$B$1:$L$257,7,FALSE))))</f>
        <v/>
      </c>
      <c r="H102" s="310" t="str">
        <f>IF(B102="","",IF(ISNA(VLOOKUP($B102,'B-1 On-Site Hedge Baseline'!$B$1:$L$257,8,FALSE)),"",(VLOOKUP($B102,'B-1 On-Site Hedge Baseline'!$B$1:$L$257,8,FALSE))))</f>
        <v/>
      </c>
      <c r="I102" s="310" t="str">
        <f>IF(B102="","",IF(ISNA(VLOOKUP($B102,'B-1 On-Site Hedge Baseline'!$B$1:$L$257,10,FALSE)),"",(VLOOKUP($B102,'B-1 On-Site Hedge Baseline'!$B$1:$L$257,10,FALSE))))</f>
        <v/>
      </c>
      <c r="J102" s="310" t="str">
        <f>IF(B102="","",IF(ISNA(VLOOKUP($B102,'B-1 On-Site Hedge Baseline'!$B$1:$L$257,11,FALSE)),"",(VLOOKUP($B102,'B-1 On-Site Hedge Baseline'!$B$1:$L$257,11,FALSE))))</f>
        <v/>
      </c>
      <c r="K102" s="310" t="str">
        <f>IF(B102="","",IF(ISNA(VLOOKUP($B102,'B-1 On-Site Hedge Baseline'!$B$1:$U$257,13,FALSE)),"",(VLOOKUP($B102,'B-1 On-Site Hedge Baseline'!$B$1:$U$257,13,FALSE))))</f>
        <v/>
      </c>
      <c r="L102" s="314" t="str">
        <f>IF(B102="","",IF(ISNA(VLOOKUP($B102,'B-1 On-Site Hedge Baseline'!$B$1:$U$257,12,FALSE)),"",(VLOOKUP($B102,'B-1 On-Site Hedge Baseline'!$B$1:$U$257,12,FALSE))))</f>
        <v/>
      </c>
      <c r="M102" s="583"/>
      <c r="N102" s="290" t="str">
        <f>IFERROR(IF(B102="","",INDEX('G-6 Hedgerow Data'!$AN$3:$AZ$15,MATCH(C102,'G-6 Hedgerow Data'!$AM$3:$AM$15,0),MATCH(M102,'G-6 Hedgerow Data'!$AN$2:$AZ$2,0))),"")</f>
        <v/>
      </c>
      <c r="O102" s="291" t="str">
        <f t="shared" si="8"/>
        <v/>
      </c>
      <c r="P102" s="341" t="str">
        <f>IF(B102="","",VLOOKUP(B102,'B-1 On-Site Hedge Baseline'!$B$10:T347,16,FALSE))</f>
        <v/>
      </c>
      <c r="Q102" s="290" t="str">
        <f>IF(M102="","",VLOOKUP(M102,'G-6 Hedgerow Data'!$B$2:$AG$15,2,FALSE))</f>
        <v/>
      </c>
      <c r="R102" s="291" t="str">
        <f>IF(M102="","",VLOOKUP(M102,'G-6 Hedgerow Data'!$B$2:$AG$15,3,FALSE))</f>
        <v/>
      </c>
      <c r="S102" s="106"/>
      <c r="T102" s="328" t="str">
        <f>IFERROR(IF(S102="","",IF(AND(M102="Non-native and ornamental hedgerow", S102&lt;&gt;"Poor"),"Not possible ▲", (VLOOKUP(S102,'G-1 All Habitats'!$Z$2:$AA$9,2,FALSE)))),"")</f>
        <v/>
      </c>
      <c r="U102" s="103"/>
      <c r="V102" s="310" t="str">
        <f>IF(U102="","",IF(VLOOKUP(U102,'G-3 Multipliers'!$L$3:$N$6,2,FALSE)=0,"Spatial Data Missing ⚠",VLOOKUP(U102,'G-3 Multipliers'!$L$3:$N$6,2,FALSE)))</f>
        <v/>
      </c>
      <c r="W102" s="314" t="str">
        <f>IF(U102="","",IF(VLOOKUP(U102,'G-3 Multipliers'!$L$3:$N$6,3,FALSE)=0,"Spatial Data Missing ⚠",VLOOKUP(U102,'G-3 Multipliers'!$L$3:$N$6,3,FALSE)))</f>
        <v/>
      </c>
      <c r="X102" s="290" t="str">
        <f>IFERROR(IF(OR(LEFT(O102,5)="Error",LEFT(N102,5)="Error",T102="Error"),"Check Data ⚠",IF(F102&lt;R102,INDEX('G-6 Hedgerow Data'!$S$3:$AE$14,MATCH(C102,'G-6 Hedgerow Data'!$B$3:$B$14,0),MATCH(M102,'G-6 Hedgerow Data'!$S$2:$AE$2,0)),INDEX('G-6 Hedgerow Data'!$K$3:$Q$14,MATCH(M102,'G-6 Hedgerow Data'!$B$3:$B$14,0),MATCH(O102,'G-6 Hedgerow Data'!$K$2:$Q$2,0)))),"")</f>
        <v/>
      </c>
      <c r="Y102" s="138"/>
      <c r="Z102" s="138"/>
      <c r="AA102" s="298" t="str">
        <f t="shared" si="9"/>
        <v/>
      </c>
      <c r="AB102" s="311" t="str">
        <f t="shared" si="10"/>
        <v/>
      </c>
      <c r="AC102" s="312" t="str">
        <f t="shared" si="7"/>
        <v/>
      </c>
      <c r="AD102" s="325" t="str">
        <f>IF(M102="","",VLOOKUP(M102,'G-6 Hedgerow Data'!$B$3:$AG$15,31,FALSE))</f>
        <v/>
      </c>
      <c r="AE102" s="298" t="str">
        <f t="shared" si="11"/>
        <v/>
      </c>
      <c r="AF102" s="298" t="str">
        <f t="shared" si="12"/>
        <v/>
      </c>
      <c r="AG102" s="314" t="str">
        <f>IFERROR(IF(O102="","",VLOOKUP(AD102,'G-3 Multipliers'!$P$3:$Q$6,2,FALSE)),"")</f>
        <v/>
      </c>
      <c r="AH102" s="304" t="str">
        <f t="shared" si="13"/>
        <v/>
      </c>
      <c r="AI102" s="157"/>
      <c r="AJ102" s="99"/>
      <c r="AK102" s="101"/>
      <c r="AT102" s="15" t="str">
        <f>IFERROR(INDEX('G-6 Hedgerow Data'!$BJ$3:$BJ$15,MATCH(M102,'G-6 Hedgerow Data'!$B$3:$B$15,0)),"")</f>
        <v/>
      </c>
    </row>
    <row r="103" spans="2:46" ht="14" x14ac:dyDescent="0.3">
      <c r="B103" s="319" t="str">
        <f>'B-1 On-Site Hedge Baseline'!AK101</f>
        <v/>
      </c>
      <c r="C103" s="310" t="str">
        <f>IF(B103="","",IF(ISNA(VLOOKUP($B103,'B-1 On-Site Hedge Baseline'!$B$1:$L$257,3,FALSE)),"",(VLOOKUP($B103,'B-1 On-Site Hedge Baseline'!$B$1:$L$257,3,FALSE))))</f>
        <v/>
      </c>
      <c r="D103" s="310" t="str">
        <f>IF(B103="","",IF(ISNA(VLOOKUP($B103,'B-1 On-Site Hedge Baseline'!$B$1:$L$257,4,FALSE)),"",(VLOOKUP($B103,'B-1 On-Site Hedge Baseline'!$B$1:$L$257,4,FALSE))))</f>
        <v/>
      </c>
      <c r="E103" s="310" t="str">
        <f>IF(B103="","",IF(ISNA(VLOOKUP($B103,'B-1 On-Site Hedge Baseline'!$B$1:$L$257,5,FALSE)),"",(VLOOKUP($B103,'B-1 On-Site Hedge Baseline'!$B$1:$L$257,5,FALSE))))</f>
        <v/>
      </c>
      <c r="F103" s="310" t="str">
        <f>IF(B103="","",IF(ISNA(VLOOKUP($B103,'B-1 On-Site Hedge Baseline'!$B$1:$L$257,6,FALSE)),"",(VLOOKUP($B103,'B-1 On-Site Hedge Baseline'!$B$1:$L$257,6,FALSE))))</f>
        <v/>
      </c>
      <c r="G103" s="310" t="str">
        <f>IF(B103="","",IF(ISNA(VLOOKUP($B103,'B-1 On-Site Hedge Baseline'!$B$1:$L$257,7,FALSE)),"",(VLOOKUP($B103,'B-1 On-Site Hedge Baseline'!$B$1:$L$257,7,FALSE))))</f>
        <v/>
      </c>
      <c r="H103" s="310" t="str">
        <f>IF(B103="","",IF(ISNA(VLOOKUP($B103,'B-1 On-Site Hedge Baseline'!$B$1:$L$257,8,FALSE)),"",(VLOOKUP($B103,'B-1 On-Site Hedge Baseline'!$B$1:$L$257,8,FALSE))))</f>
        <v/>
      </c>
      <c r="I103" s="310" t="str">
        <f>IF(B103="","",IF(ISNA(VLOOKUP($B103,'B-1 On-Site Hedge Baseline'!$B$1:$L$257,10,FALSE)),"",(VLOOKUP($B103,'B-1 On-Site Hedge Baseline'!$B$1:$L$257,10,FALSE))))</f>
        <v/>
      </c>
      <c r="J103" s="310" t="str">
        <f>IF(B103="","",IF(ISNA(VLOOKUP($B103,'B-1 On-Site Hedge Baseline'!$B$1:$L$257,11,FALSE)),"",(VLOOKUP($B103,'B-1 On-Site Hedge Baseline'!$B$1:$L$257,11,FALSE))))</f>
        <v/>
      </c>
      <c r="K103" s="310" t="str">
        <f>IF(B103="","",IF(ISNA(VLOOKUP($B103,'B-1 On-Site Hedge Baseline'!$B$1:$U$257,13,FALSE)),"",(VLOOKUP($B103,'B-1 On-Site Hedge Baseline'!$B$1:$U$257,13,FALSE))))</f>
        <v/>
      </c>
      <c r="L103" s="314" t="str">
        <f>IF(B103="","",IF(ISNA(VLOOKUP($B103,'B-1 On-Site Hedge Baseline'!$B$1:$U$257,12,FALSE)),"",(VLOOKUP($B103,'B-1 On-Site Hedge Baseline'!$B$1:$U$257,12,FALSE))))</f>
        <v/>
      </c>
      <c r="M103" s="583"/>
      <c r="N103" s="290" t="str">
        <f>IFERROR(IF(B103="","",INDEX('G-6 Hedgerow Data'!$AN$3:$AZ$15,MATCH(C103,'G-6 Hedgerow Data'!$AM$3:$AM$15,0),MATCH(M103,'G-6 Hedgerow Data'!$AN$2:$AZ$2,0))),"")</f>
        <v/>
      </c>
      <c r="O103" s="291" t="str">
        <f t="shared" si="8"/>
        <v/>
      </c>
      <c r="P103" s="341" t="str">
        <f>IF(B103="","",VLOOKUP(B103,'B-1 On-Site Hedge Baseline'!$B$10:T348,16,FALSE))</f>
        <v/>
      </c>
      <c r="Q103" s="290" t="str">
        <f>IF(M103="","",VLOOKUP(M103,'G-6 Hedgerow Data'!$B$2:$AG$15,2,FALSE))</f>
        <v/>
      </c>
      <c r="R103" s="291" t="str">
        <f>IF(M103="","",VLOOKUP(M103,'G-6 Hedgerow Data'!$B$2:$AG$15,3,FALSE))</f>
        <v/>
      </c>
      <c r="S103" s="106"/>
      <c r="T103" s="328" t="str">
        <f>IFERROR(IF(S103="","",IF(AND(M103="Non-native and ornamental hedgerow", S103&lt;&gt;"Poor"),"Not possible ▲", (VLOOKUP(S103,'G-1 All Habitats'!$Z$2:$AA$9,2,FALSE)))),"")</f>
        <v/>
      </c>
      <c r="U103" s="103"/>
      <c r="V103" s="310" t="str">
        <f>IF(U103="","",IF(VLOOKUP(U103,'G-3 Multipliers'!$L$3:$N$6,2,FALSE)=0,"Spatial Data Missing ⚠",VLOOKUP(U103,'G-3 Multipliers'!$L$3:$N$6,2,FALSE)))</f>
        <v/>
      </c>
      <c r="W103" s="314" t="str">
        <f>IF(U103="","",IF(VLOOKUP(U103,'G-3 Multipliers'!$L$3:$N$6,3,FALSE)=0,"Spatial Data Missing ⚠",VLOOKUP(U103,'G-3 Multipliers'!$L$3:$N$6,3,FALSE)))</f>
        <v/>
      </c>
      <c r="X103" s="290" t="str">
        <f>IFERROR(IF(OR(LEFT(O103,5)="Error",LEFT(N103,5)="Error",T103="Error"),"Check Data ⚠",IF(F103&lt;R103,INDEX('G-6 Hedgerow Data'!$S$3:$AE$14,MATCH(C103,'G-6 Hedgerow Data'!$B$3:$B$14,0),MATCH(M103,'G-6 Hedgerow Data'!$S$2:$AE$2,0)),INDEX('G-6 Hedgerow Data'!$K$3:$Q$14,MATCH(M103,'G-6 Hedgerow Data'!$B$3:$B$14,0),MATCH(O103,'G-6 Hedgerow Data'!$K$2:$Q$2,0)))),"")</f>
        <v/>
      </c>
      <c r="Y103" s="138"/>
      <c r="Z103" s="138"/>
      <c r="AA103" s="298" t="str">
        <f t="shared" si="9"/>
        <v/>
      </c>
      <c r="AB103" s="311" t="str">
        <f t="shared" si="10"/>
        <v/>
      </c>
      <c r="AC103" s="312" t="str">
        <f t="shared" si="7"/>
        <v/>
      </c>
      <c r="AD103" s="325" t="str">
        <f>IF(M103="","",VLOOKUP(M103,'G-6 Hedgerow Data'!$B$3:$AG$15,31,FALSE))</f>
        <v/>
      </c>
      <c r="AE103" s="298" t="str">
        <f t="shared" si="11"/>
        <v/>
      </c>
      <c r="AF103" s="298" t="str">
        <f t="shared" si="12"/>
        <v/>
      </c>
      <c r="AG103" s="314" t="str">
        <f>IFERROR(IF(O103="","",VLOOKUP(AD103,'G-3 Multipliers'!$P$3:$Q$6,2,FALSE)),"")</f>
        <v/>
      </c>
      <c r="AH103" s="304" t="str">
        <f t="shared" si="13"/>
        <v/>
      </c>
      <c r="AI103" s="157"/>
      <c r="AJ103" s="99"/>
      <c r="AK103" s="101"/>
      <c r="AT103" s="15" t="str">
        <f>IFERROR(INDEX('G-6 Hedgerow Data'!$BJ$3:$BJ$15,MATCH(M103,'G-6 Hedgerow Data'!$B$3:$B$15,0)),"")</f>
        <v/>
      </c>
    </row>
    <row r="104" spans="2:46" ht="14" x14ac:dyDescent="0.3">
      <c r="B104" s="319" t="str">
        <f>'B-1 On-Site Hedge Baseline'!AK102</f>
        <v/>
      </c>
      <c r="C104" s="310" t="str">
        <f>IF(B104="","",IF(ISNA(VLOOKUP($B104,'B-1 On-Site Hedge Baseline'!$B$1:$L$257,3,FALSE)),"",(VLOOKUP($B104,'B-1 On-Site Hedge Baseline'!$B$1:$L$257,3,FALSE))))</f>
        <v/>
      </c>
      <c r="D104" s="310" t="str">
        <f>IF(B104="","",IF(ISNA(VLOOKUP($B104,'B-1 On-Site Hedge Baseline'!$B$1:$L$257,4,FALSE)),"",(VLOOKUP($B104,'B-1 On-Site Hedge Baseline'!$B$1:$L$257,4,FALSE))))</f>
        <v/>
      </c>
      <c r="E104" s="310" t="str">
        <f>IF(B104="","",IF(ISNA(VLOOKUP($B104,'B-1 On-Site Hedge Baseline'!$B$1:$L$257,5,FALSE)),"",(VLOOKUP($B104,'B-1 On-Site Hedge Baseline'!$B$1:$L$257,5,FALSE))))</f>
        <v/>
      </c>
      <c r="F104" s="310" t="str">
        <f>IF(B104="","",IF(ISNA(VLOOKUP($B104,'B-1 On-Site Hedge Baseline'!$B$1:$L$257,6,FALSE)),"",(VLOOKUP($B104,'B-1 On-Site Hedge Baseline'!$B$1:$L$257,6,FALSE))))</f>
        <v/>
      </c>
      <c r="G104" s="310" t="str">
        <f>IF(B104="","",IF(ISNA(VLOOKUP($B104,'B-1 On-Site Hedge Baseline'!$B$1:$L$257,7,FALSE)),"",(VLOOKUP($B104,'B-1 On-Site Hedge Baseline'!$B$1:$L$257,7,FALSE))))</f>
        <v/>
      </c>
      <c r="H104" s="310" t="str">
        <f>IF(B104="","",IF(ISNA(VLOOKUP($B104,'B-1 On-Site Hedge Baseline'!$B$1:$L$257,8,FALSE)),"",(VLOOKUP($B104,'B-1 On-Site Hedge Baseline'!$B$1:$L$257,8,FALSE))))</f>
        <v/>
      </c>
      <c r="I104" s="310" t="str">
        <f>IF(B104="","",IF(ISNA(VLOOKUP($B104,'B-1 On-Site Hedge Baseline'!$B$1:$L$257,10,FALSE)),"",(VLOOKUP($B104,'B-1 On-Site Hedge Baseline'!$B$1:$L$257,10,FALSE))))</f>
        <v/>
      </c>
      <c r="J104" s="310" t="str">
        <f>IF(B104="","",IF(ISNA(VLOOKUP($B104,'B-1 On-Site Hedge Baseline'!$B$1:$L$257,11,FALSE)),"",(VLOOKUP($B104,'B-1 On-Site Hedge Baseline'!$B$1:$L$257,11,FALSE))))</f>
        <v/>
      </c>
      <c r="K104" s="310" t="str">
        <f>IF(B104="","",IF(ISNA(VLOOKUP($B104,'B-1 On-Site Hedge Baseline'!$B$1:$U$257,13,FALSE)),"",(VLOOKUP($B104,'B-1 On-Site Hedge Baseline'!$B$1:$U$257,13,FALSE))))</f>
        <v/>
      </c>
      <c r="L104" s="314" t="str">
        <f>IF(B104="","",IF(ISNA(VLOOKUP($B104,'B-1 On-Site Hedge Baseline'!$B$1:$U$257,12,FALSE)),"",(VLOOKUP($B104,'B-1 On-Site Hedge Baseline'!$B$1:$U$257,12,FALSE))))</f>
        <v/>
      </c>
      <c r="M104" s="583"/>
      <c r="N104" s="290" t="str">
        <f>IFERROR(IF(B104="","",INDEX('G-6 Hedgerow Data'!$AN$3:$AZ$15,MATCH(C104,'G-6 Hedgerow Data'!$AM$3:$AM$15,0),MATCH(M104,'G-6 Hedgerow Data'!$AN$2:$AZ$2,0))),"")</f>
        <v/>
      </c>
      <c r="O104" s="291" t="str">
        <f t="shared" si="8"/>
        <v/>
      </c>
      <c r="P104" s="341" t="str">
        <f>IF(B104="","",VLOOKUP(B104,'B-1 On-Site Hedge Baseline'!$B$10:T349,16,FALSE))</f>
        <v/>
      </c>
      <c r="Q104" s="290" t="str">
        <f>IF(M104="","",VLOOKUP(M104,'G-6 Hedgerow Data'!$B$2:$AG$15,2,FALSE))</f>
        <v/>
      </c>
      <c r="R104" s="291" t="str">
        <f>IF(M104="","",VLOOKUP(M104,'G-6 Hedgerow Data'!$B$2:$AG$15,3,FALSE))</f>
        <v/>
      </c>
      <c r="S104" s="106"/>
      <c r="T104" s="328" t="str">
        <f>IFERROR(IF(S104="","",IF(AND(M104="Non-native and ornamental hedgerow", S104&lt;&gt;"Poor"),"Not possible ▲", (VLOOKUP(S104,'G-1 All Habitats'!$Z$2:$AA$9,2,FALSE)))),"")</f>
        <v/>
      </c>
      <c r="U104" s="103"/>
      <c r="V104" s="310" t="str">
        <f>IF(U104="","",IF(VLOOKUP(U104,'G-3 Multipliers'!$L$3:$N$6,2,FALSE)=0,"Spatial Data Missing ⚠",VLOOKUP(U104,'G-3 Multipliers'!$L$3:$N$6,2,FALSE)))</f>
        <v/>
      </c>
      <c r="W104" s="314" t="str">
        <f>IF(U104="","",IF(VLOOKUP(U104,'G-3 Multipliers'!$L$3:$N$6,3,FALSE)=0,"Spatial Data Missing ⚠",VLOOKUP(U104,'G-3 Multipliers'!$L$3:$N$6,3,FALSE)))</f>
        <v/>
      </c>
      <c r="X104" s="290" t="str">
        <f>IFERROR(IF(OR(LEFT(O104,5)="Error",LEFT(N104,5)="Error",T104="Error"),"Check Data ⚠",IF(F104&lt;R104,INDEX('G-6 Hedgerow Data'!$S$3:$AE$14,MATCH(C104,'G-6 Hedgerow Data'!$B$3:$B$14,0),MATCH(M104,'G-6 Hedgerow Data'!$S$2:$AE$2,0)),INDEX('G-6 Hedgerow Data'!$K$3:$Q$14,MATCH(M104,'G-6 Hedgerow Data'!$B$3:$B$14,0),MATCH(O104,'G-6 Hedgerow Data'!$K$2:$Q$2,0)))),"")</f>
        <v/>
      </c>
      <c r="Y104" s="138"/>
      <c r="Z104" s="138"/>
      <c r="AA104" s="298" t="str">
        <f t="shared" si="9"/>
        <v/>
      </c>
      <c r="AB104" s="311" t="str">
        <f t="shared" si="10"/>
        <v/>
      </c>
      <c r="AC104" s="312" t="str">
        <f t="shared" si="7"/>
        <v/>
      </c>
      <c r="AD104" s="325" t="str">
        <f>IF(M104="","",VLOOKUP(M104,'G-6 Hedgerow Data'!$B$3:$AG$15,31,FALSE))</f>
        <v/>
      </c>
      <c r="AE104" s="298" t="str">
        <f t="shared" si="11"/>
        <v/>
      </c>
      <c r="AF104" s="298" t="str">
        <f t="shared" si="12"/>
        <v/>
      </c>
      <c r="AG104" s="314" t="str">
        <f>IFERROR(IF(O104="","",VLOOKUP(AD104,'G-3 Multipliers'!$P$3:$Q$6,2,FALSE)),"")</f>
        <v/>
      </c>
      <c r="AH104" s="304" t="str">
        <f t="shared" si="13"/>
        <v/>
      </c>
      <c r="AI104" s="157"/>
      <c r="AJ104" s="99"/>
      <c r="AK104" s="101"/>
      <c r="AT104" s="15" t="str">
        <f>IFERROR(INDEX('G-6 Hedgerow Data'!$BJ$3:$BJ$15,MATCH(M104,'G-6 Hedgerow Data'!$B$3:$B$15,0)),"")</f>
        <v/>
      </c>
    </row>
    <row r="105" spans="2:46" ht="14" x14ac:dyDescent="0.3">
      <c r="B105" s="319" t="str">
        <f>'B-1 On-Site Hedge Baseline'!AK103</f>
        <v/>
      </c>
      <c r="C105" s="310" t="str">
        <f>IF(B105="","",IF(ISNA(VLOOKUP($B105,'B-1 On-Site Hedge Baseline'!$B$1:$L$257,3,FALSE)),"",(VLOOKUP($B105,'B-1 On-Site Hedge Baseline'!$B$1:$L$257,3,FALSE))))</f>
        <v/>
      </c>
      <c r="D105" s="310" t="str">
        <f>IF(B105="","",IF(ISNA(VLOOKUP($B105,'B-1 On-Site Hedge Baseline'!$B$1:$L$257,4,FALSE)),"",(VLOOKUP($B105,'B-1 On-Site Hedge Baseline'!$B$1:$L$257,4,FALSE))))</f>
        <v/>
      </c>
      <c r="E105" s="310" t="str">
        <f>IF(B105="","",IF(ISNA(VLOOKUP($B105,'B-1 On-Site Hedge Baseline'!$B$1:$L$257,5,FALSE)),"",(VLOOKUP($B105,'B-1 On-Site Hedge Baseline'!$B$1:$L$257,5,FALSE))))</f>
        <v/>
      </c>
      <c r="F105" s="310" t="str">
        <f>IF(B105="","",IF(ISNA(VLOOKUP($B105,'B-1 On-Site Hedge Baseline'!$B$1:$L$257,6,FALSE)),"",(VLOOKUP($B105,'B-1 On-Site Hedge Baseline'!$B$1:$L$257,6,FALSE))))</f>
        <v/>
      </c>
      <c r="G105" s="310" t="str">
        <f>IF(B105="","",IF(ISNA(VLOOKUP($B105,'B-1 On-Site Hedge Baseline'!$B$1:$L$257,7,FALSE)),"",(VLOOKUP($B105,'B-1 On-Site Hedge Baseline'!$B$1:$L$257,7,FALSE))))</f>
        <v/>
      </c>
      <c r="H105" s="310" t="str">
        <f>IF(B105="","",IF(ISNA(VLOOKUP($B105,'B-1 On-Site Hedge Baseline'!$B$1:$L$257,8,FALSE)),"",(VLOOKUP($B105,'B-1 On-Site Hedge Baseline'!$B$1:$L$257,8,FALSE))))</f>
        <v/>
      </c>
      <c r="I105" s="310" t="str">
        <f>IF(B105="","",IF(ISNA(VLOOKUP($B105,'B-1 On-Site Hedge Baseline'!$B$1:$L$257,10,FALSE)),"",(VLOOKUP($B105,'B-1 On-Site Hedge Baseline'!$B$1:$L$257,10,FALSE))))</f>
        <v/>
      </c>
      <c r="J105" s="310" t="str">
        <f>IF(B105="","",IF(ISNA(VLOOKUP($B105,'B-1 On-Site Hedge Baseline'!$B$1:$L$257,11,FALSE)),"",(VLOOKUP($B105,'B-1 On-Site Hedge Baseline'!$B$1:$L$257,11,FALSE))))</f>
        <v/>
      </c>
      <c r="K105" s="310" t="str">
        <f>IF(B105="","",IF(ISNA(VLOOKUP($B105,'B-1 On-Site Hedge Baseline'!$B$1:$U$257,13,FALSE)),"",(VLOOKUP($B105,'B-1 On-Site Hedge Baseline'!$B$1:$U$257,13,FALSE))))</f>
        <v/>
      </c>
      <c r="L105" s="314" t="str">
        <f>IF(B105="","",IF(ISNA(VLOOKUP($B105,'B-1 On-Site Hedge Baseline'!$B$1:$U$257,12,FALSE)),"",(VLOOKUP($B105,'B-1 On-Site Hedge Baseline'!$B$1:$U$257,12,FALSE))))</f>
        <v/>
      </c>
      <c r="M105" s="583"/>
      <c r="N105" s="290" t="str">
        <f>IFERROR(IF(B105="","",INDEX('G-6 Hedgerow Data'!$AN$3:$AZ$15,MATCH(C105,'G-6 Hedgerow Data'!$AM$3:$AM$15,0),MATCH(M105,'G-6 Hedgerow Data'!$AN$2:$AZ$2,0))),"")</f>
        <v/>
      </c>
      <c r="O105" s="291" t="str">
        <f t="shared" si="8"/>
        <v/>
      </c>
      <c r="P105" s="341" t="str">
        <f>IF(B105="","",VLOOKUP(B105,'B-1 On-Site Hedge Baseline'!$B$10:T350,16,FALSE))</f>
        <v/>
      </c>
      <c r="Q105" s="290" t="str">
        <f>IF(M105="","",VLOOKUP(M105,'G-6 Hedgerow Data'!$B$2:$AG$15,2,FALSE))</f>
        <v/>
      </c>
      <c r="R105" s="291" t="str">
        <f>IF(M105="","",VLOOKUP(M105,'G-6 Hedgerow Data'!$B$2:$AG$15,3,FALSE))</f>
        <v/>
      </c>
      <c r="S105" s="106"/>
      <c r="T105" s="328" t="str">
        <f>IFERROR(IF(S105="","",IF(AND(M105="Non-native and ornamental hedgerow", S105&lt;&gt;"Poor"),"Not possible ▲", (VLOOKUP(S105,'G-1 All Habitats'!$Z$2:$AA$9,2,FALSE)))),"")</f>
        <v/>
      </c>
      <c r="U105" s="103"/>
      <c r="V105" s="310" t="str">
        <f>IF(U105="","",IF(VLOOKUP(U105,'G-3 Multipliers'!$L$3:$N$6,2,FALSE)=0,"Spatial Data Missing ⚠",VLOOKUP(U105,'G-3 Multipliers'!$L$3:$N$6,2,FALSE)))</f>
        <v/>
      </c>
      <c r="W105" s="314" t="str">
        <f>IF(U105="","",IF(VLOOKUP(U105,'G-3 Multipliers'!$L$3:$N$6,3,FALSE)=0,"Spatial Data Missing ⚠",VLOOKUP(U105,'G-3 Multipliers'!$L$3:$N$6,3,FALSE)))</f>
        <v/>
      </c>
      <c r="X105" s="290" t="str">
        <f>IFERROR(IF(OR(LEFT(O105,5)="Error",LEFT(N105,5)="Error",T105="Error"),"Check Data ⚠",IF(F105&lt;R105,INDEX('G-6 Hedgerow Data'!$S$3:$AE$14,MATCH(C105,'G-6 Hedgerow Data'!$B$3:$B$14,0),MATCH(M105,'G-6 Hedgerow Data'!$S$2:$AE$2,0)),INDEX('G-6 Hedgerow Data'!$K$3:$Q$14,MATCH(M105,'G-6 Hedgerow Data'!$B$3:$B$14,0),MATCH(O105,'G-6 Hedgerow Data'!$K$2:$Q$2,0)))),"")</f>
        <v/>
      </c>
      <c r="Y105" s="138"/>
      <c r="Z105" s="138"/>
      <c r="AA105" s="298" t="str">
        <f t="shared" si="9"/>
        <v/>
      </c>
      <c r="AB105" s="311" t="str">
        <f t="shared" si="10"/>
        <v/>
      </c>
      <c r="AC105" s="312" t="str">
        <f t="shared" si="7"/>
        <v/>
      </c>
      <c r="AD105" s="325" t="str">
        <f>IF(M105="","",VLOOKUP(M105,'G-6 Hedgerow Data'!$B$3:$AG$15,31,FALSE))</f>
        <v/>
      </c>
      <c r="AE105" s="298" t="str">
        <f t="shared" si="11"/>
        <v/>
      </c>
      <c r="AF105" s="298" t="str">
        <f t="shared" si="12"/>
        <v/>
      </c>
      <c r="AG105" s="314" t="str">
        <f>IFERROR(IF(O105="","",VLOOKUP(AD105,'G-3 Multipliers'!$P$3:$Q$6,2,FALSE)),"")</f>
        <v/>
      </c>
      <c r="AH105" s="304" t="str">
        <f t="shared" si="13"/>
        <v/>
      </c>
      <c r="AI105" s="157"/>
      <c r="AJ105" s="99"/>
      <c r="AK105" s="101"/>
      <c r="AT105" s="15" t="str">
        <f>IFERROR(INDEX('G-6 Hedgerow Data'!$BJ$3:$BJ$15,MATCH(M105,'G-6 Hedgerow Data'!$B$3:$B$15,0)),"")</f>
        <v/>
      </c>
    </row>
    <row r="106" spans="2:46" ht="14" x14ac:dyDescent="0.3">
      <c r="B106" s="319" t="str">
        <f>'B-1 On-Site Hedge Baseline'!AK104</f>
        <v/>
      </c>
      <c r="C106" s="310" t="str">
        <f>IF(B106="","",IF(ISNA(VLOOKUP($B106,'B-1 On-Site Hedge Baseline'!$B$1:$L$257,3,FALSE)),"",(VLOOKUP($B106,'B-1 On-Site Hedge Baseline'!$B$1:$L$257,3,FALSE))))</f>
        <v/>
      </c>
      <c r="D106" s="310" t="str">
        <f>IF(B106="","",IF(ISNA(VLOOKUP($B106,'B-1 On-Site Hedge Baseline'!$B$1:$L$257,4,FALSE)),"",(VLOOKUP($B106,'B-1 On-Site Hedge Baseline'!$B$1:$L$257,4,FALSE))))</f>
        <v/>
      </c>
      <c r="E106" s="310" t="str">
        <f>IF(B106="","",IF(ISNA(VLOOKUP($B106,'B-1 On-Site Hedge Baseline'!$B$1:$L$257,5,FALSE)),"",(VLOOKUP($B106,'B-1 On-Site Hedge Baseline'!$B$1:$L$257,5,FALSE))))</f>
        <v/>
      </c>
      <c r="F106" s="310" t="str">
        <f>IF(B106="","",IF(ISNA(VLOOKUP($B106,'B-1 On-Site Hedge Baseline'!$B$1:$L$257,6,FALSE)),"",(VLOOKUP($B106,'B-1 On-Site Hedge Baseline'!$B$1:$L$257,6,FALSE))))</f>
        <v/>
      </c>
      <c r="G106" s="310" t="str">
        <f>IF(B106="","",IF(ISNA(VLOOKUP($B106,'B-1 On-Site Hedge Baseline'!$B$1:$L$257,7,FALSE)),"",(VLOOKUP($B106,'B-1 On-Site Hedge Baseline'!$B$1:$L$257,7,FALSE))))</f>
        <v/>
      </c>
      <c r="H106" s="310" t="str">
        <f>IF(B106="","",IF(ISNA(VLOOKUP($B106,'B-1 On-Site Hedge Baseline'!$B$1:$L$257,8,FALSE)),"",(VLOOKUP($B106,'B-1 On-Site Hedge Baseline'!$B$1:$L$257,8,FALSE))))</f>
        <v/>
      </c>
      <c r="I106" s="310" t="str">
        <f>IF(B106="","",IF(ISNA(VLOOKUP($B106,'B-1 On-Site Hedge Baseline'!$B$1:$L$257,10,FALSE)),"",(VLOOKUP($B106,'B-1 On-Site Hedge Baseline'!$B$1:$L$257,10,FALSE))))</f>
        <v/>
      </c>
      <c r="J106" s="310" t="str">
        <f>IF(B106="","",IF(ISNA(VLOOKUP($B106,'B-1 On-Site Hedge Baseline'!$B$1:$L$257,11,FALSE)),"",(VLOOKUP($B106,'B-1 On-Site Hedge Baseline'!$B$1:$L$257,11,FALSE))))</f>
        <v/>
      </c>
      <c r="K106" s="310" t="str">
        <f>IF(B106="","",IF(ISNA(VLOOKUP($B106,'B-1 On-Site Hedge Baseline'!$B$1:$U$257,13,FALSE)),"",(VLOOKUP($B106,'B-1 On-Site Hedge Baseline'!$B$1:$U$257,13,FALSE))))</f>
        <v/>
      </c>
      <c r="L106" s="314" t="str">
        <f>IF(B106="","",IF(ISNA(VLOOKUP($B106,'B-1 On-Site Hedge Baseline'!$B$1:$U$257,12,FALSE)),"",(VLOOKUP($B106,'B-1 On-Site Hedge Baseline'!$B$1:$U$257,12,FALSE))))</f>
        <v/>
      </c>
      <c r="M106" s="583"/>
      <c r="N106" s="290" t="str">
        <f>IFERROR(IF(B106="","",INDEX('G-6 Hedgerow Data'!$AN$3:$AZ$15,MATCH(C106,'G-6 Hedgerow Data'!$AM$3:$AM$15,0),MATCH(M106,'G-6 Hedgerow Data'!$AN$2:$AZ$2,0))),"")</f>
        <v/>
      </c>
      <c r="O106" s="291" t="str">
        <f t="shared" si="8"/>
        <v/>
      </c>
      <c r="P106" s="341" t="str">
        <f>IF(B106="","",VLOOKUP(B106,'B-1 On-Site Hedge Baseline'!$B$10:T351,16,FALSE))</f>
        <v/>
      </c>
      <c r="Q106" s="290" t="str">
        <f>IF(M106="","",VLOOKUP(M106,'G-6 Hedgerow Data'!$B$2:$AG$15,2,FALSE))</f>
        <v/>
      </c>
      <c r="R106" s="291" t="str">
        <f>IF(M106="","",VLOOKUP(M106,'G-6 Hedgerow Data'!$B$2:$AG$15,3,FALSE))</f>
        <v/>
      </c>
      <c r="S106" s="106"/>
      <c r="T106" s="328" t="str">
        <f>IFERROR(IF(S106="","",IF(AND(M106="Non-native and ornamental hedgerow", S106&lt;&gt;"Poor"),"Not possible ▲", (VLOOKUP(S106,'G-1 All Habitats'!$Z$2:$AA$9,2,FALSE)))),"")</f>
        <v/>
      </c>
      <c r="U106" s="103"/>
      <c r="V106" s="310" t="str">
        <f>IF(U106="","",IF(VLOOKUP(U106,'G-3 Multipliers'!$L$3:$N$6,2,FALSE)=0,"Spatial Data Missing ⚠",VLOOKUP(U106,'G-3 Multipliers'!$L$3:$N$6,2,FALSE)))</f>
        <v/>
      </c>
      <c r="W106" s="314" t="str">
        <f>IF(U106="","",IF(VLOOKUP(U106,'G-3 Multipliers'!$L$3:$N$6,3,FALSE)=0,"Spatial Data Missing ⚠",VLOOKUP(U106,'G-3 Multipliers'!$L$3:$N$6,3,FALSE)))</f>
        <v/>
      </c>
      <c r="X106" s="290" t="str">
        <f>IFERROR(IF(OR(LEFT(O106,5)="Error",LEFT(N106,5)="Error",T106="Error"),"Check Data ⚠",IF(F106&lt;R106,INDEX('G-6 Hedgerow Data'!$S$3:$AE$14,MATCH(C106,'G-6 Hedgerow Data'!$B$3:$B$14,0),MATCH(M106,'G-6 Hedgerow Data'!$S$2:$AE$2,0)),INDEX('G-6 Hedgerow Data'!$K$3:$Q$14,MATCH(M106,'G-6 Hedgerow Data'!$B$3:$B$14,0),MATCH(O106,'G-6 Hedgerow Data'!$K$2:$Q$2,0)))),"")</f>
        <v/>
      </c>
      <c r="Y106" s="138"/>
      <c r="Z106" s="138"/>
      <c r="AA106" s="298" t="str">
        <f t="shared" si="9"/>
        <v/>
      </c>
      <c r="AB106" s="311" t="str">
        <f t="shared" si="10"/>
        <v/>
      </c>
      <c r="AC106" s="312" t="str">
        <f t="shared" si="7"/>
        <v/>
      </c>
      <c r="AD106" s="325" t="str">
        <f>IF(M106="","",VLOOKUP(M106,'G-6 Hedgerow Data'!$B$3:$AG$15,31,FALSE))</f>
        <v/>
      </c>
      <c r="AE106" s="298" t="str">
        <f t="shared" si="11"/>
        <v/>
      </c>
      <c r="AF106" s="298" t="str">
        <f t="shared" si="12"/>
        <v/>
      </c>
      <c r="AG106" s="314" t="str">
        <f>IFERROR(IF(O106="","",VLOOKUP(AD106,'G-3 Multipliers'!$P$3:$Q$6,2,FALSE)),"")</f>
        <v/>
      </c>
      <c r="AH106" s="304" t="str">
        <f t="shared" si="13"/>
        <v/>
      </c>
      <c r="AI106" s="157"/>
      <c r="AJ106" s="99"/>
      <c r="AK106" s="101"/>
      <c r="AT106" s="15" t="str">
        <f>IFERROR(INDEX('G-6 Hedgerow Data'!$BJ$3:$BJ$15,MATCH(M106,'G-6 Hedgerow Data'!$B$3:$B$15,0)),"")</f>
        <v/>
      </c>
    </row>
    <row r="107" spans="2:46" ht="14" x14ac:dyDescent="0.3">
      <c r="B107" s="319" t="str">
        <f>'B-1 On-Site Hedge Baseline'!AK105</f>
        <v/>
      </c>
      <c r="C107" s="310" t="str">
        <f>IF(B107="","",IF(ISNA(VLOOKUP($B107,'B-1 On-Site Hedge Baseline'!$B$1:$L$257,3,FALSE)),"",(VLOOKUP($B107,'B-1 On-Site Hedge Baseline'!$B$1:$L$257,3,FALSE))))</f>
        <v/>
      </c>
      <c r="D107" s="310" t="str">
        <f>IF(B107="","",IF(ISNA(VLOOKUP($B107,'B-1 On-Site Hedge Baseline'!$B$1:$L$257,4,FALSE)),"",(VLOOKUP($B107,'B-1 On-Site Hedge Baseline'!$B$1:$L$257,4,FALSE))))</f>
        <v/>
      </c>
      <c r="E107" s="310" t="str">
        <f>IF(B107="","",IF(ISNA(VLOOKUP($B107,'B-1 On-Site Hedge Baseline'!$B$1:$L$257,5,FALSE)),"",(VLOOKUP($B107,'B-1 On-Site Hedge Baseline'!$B$1:$L$257,5,FALSE))))</f>
        <v/>
      </c>
      <c r="F107" s="310" t="str">
        <f>IF(B107="","",IF(ISNA(VLOOKUP($B107,'B-1 On-Site Hedge Baseline'!$B$1:$L$257,6,FALSE)),"",(VLOOKUP($B107,'B-1 On-Site Hedge Baseline'!$B$1:$L$257,6,FALSE))))</f>
        <v/>
      </c>
      <c r="G107" s="310" t="str">
        <f>IF(B107="","",IF(ISNA(VLOOKUP($B107,'B-1 On-Site Hedge Baseline'!$B$1:$L$257,7,FALSE)),"",(VLOOKUP($B107,'B-1 On-Site Hedge Baseline'!$B$1:$L$257,7,FALSE))))</f>
        <v/>
      </c>
      <c r="H107" s="310" t="str">
        <f>IF(B107="","",IF(ISNA(VLOOKUP($B107,'B-1 On-Site Hedge Baseline'!$B$1:$L$257,8,FALSE)),"",(VLOOKUP($B107,'B-1 On-Site Hedge Baseline'!$B$1:$L$257,8,FALSE))))</f>
        <v/>
      </c>
      <c r="I107" s="310" t="str">
        <f>IF(B107="","",IF(ISNA(VLOOKUP($B107,'B-1 On-Site Hedge Baseline'!$B$1:$L$257,10,FALSE)),"",(VLOOKUP($B107,'B-1 On-Site Hedge Baseline'!$B$1:$L$257,10,FALSE))))</f>
        <v/>
      </c>
      <c r="J107" s="310" t="str">
        <f>IF(B107="","",IF(ISNA(VLOOKUP($B107,'B-1 On-Site Hedge Baseline'!$B$1:$L$257,11,FALSE)),"",(VLOOKUP($B107,'B-1 On-Site Hedge Baseline'!$B$1:$L$257,11,FALSE))))</f>
        <v/>
      </c>
      <c r="K107" s="310" t="str">
        <f>IF(B107="","",IF(ISNA(VLOOKUP($B107,'B-1 On-Site Hedge Baseline'!$B$1:$U$257,13,FALSE)),"",(VLOOKUP($B107,'B-1 On-Site Hedge Baseline'!$B$1:$U$257,13,FALSE))))</f>
        <v/>
      </c>
      <c r="L107" s="314" t="str">
        <f>IF(B107="","",IF(ISNA(VLOOKUP($B107,'B-1 On-Site Hedge Baseline'!$B$1:$U$257,12,FALSE)),"",(VLOOKUP($B107,'B-1 On-Site Hedge Baseline'!$B$1:$U$257,12,FALSE))))</f>
        <v/>
      </c>
      <c r="M107" s="583"/>
      <c r="N107" s="290" t="str">
        <f>IFERROR(IF(B107="","",INDEX('G-6 Hedgerow Data'!$AN$3:$AZ$15,MATCH(C107,'G-6 Hedgerow Data'!$AM$3:$AM$15,0),MATCH(M107,'G-6 Hedgerow Data'!$AN$2:$AZ$2,0))),"")</f>
        <v/>
      </c>
      <c r="O107" s="291" t="str">
        <f t="shared" si="8"/>
        <v/>
      </c>
      <c r="P107" s="341" t="str">
        <f>IF(B107="","",VLOOKUP(B107,'B-1 On-Site Hedge Baseline'!$B$10:T352,16,FALSE))</f>
        <v/>
      </c>
      <c r="Q107" s="290" t="str">
        <f>IF(M107="","",VLOOKUP(M107,'G-6 Hedgerow Data'!$B$2:$AG$15,2,FALSE))</f>
        <v/>
      </c>
      <c r="R107" s="291" t="str">
        <f>IF(M107="","",VLOOKUP(M107,'G-6 Hedgerow Data'!$B$2:$AG$15,3,FALSE))</f>
        <v/>
      </c>
      <c r="S107" s="106"/>
      <c r="T107" s="328" t="str">
        <f>IFERROR(IF(S107="","",IF(AND(M107="Non-native and ornamental hedgerow", S107&lt;&gt;"Poor"),"Not possible ▲", (VLOOKUP(S107,'G-1 All Habitats'!$Z$2:$AA$9,2,FALSE)))),"")</f>
        <v/>
      </c>
      <c r="U107" s="103"/>
      <c r="V107" s="310" t="str">
        <f>IF(U107="","",IF(VLOOKUP(U107,'G-3 Multipliers'!$L$3:$N$6,2,FALSE)=0,"Spatial Data Missing ⚠",VLOOKUP(U107,'G-3 Multipliers'!$L$3:$N$6,2,FALSE)))</f>
        <v/>
      </c>
      <c r="W107" s="314" t="str">
        <f>IF(U107="","",IF(VLOOKUP(U107,'G-3 Multipliers'!$L$3:$N$6,3,FALSE)=0,"Spatial Data Missing ⚠",VLOOKUP(U107,'G-3 Multipliers'!$L$3:$N$6,3,FALSE)))</f>
        <v/>
      </c>
      <c r="X107" s="290" t="str">
        <f>IFERROR(IF(OR(LEFT(O107,5)="Error",LEFT(N107,5)="Error",T107="Error"),"Check Data ⚠",IF(F107&lt;R107,INDEX('G-6 Hedgerow Data'!$S$3:$AE$14,MATCH(C107,'G-6 Hedgerow Data'!$B$3:$B$14,0),MATCH(M107,'G-6 Hedgerow Data'!$S$2:$AE$2,0)),INDEX('G-6 Hedgerow Data'!$K$3:$Q$14,MATCH(M107,'G-6 Hedgerow Data'!$B$3:$B$14,0),MATCH(O107,'G-6 Hedgerow Data'!$K$2:$Q$2,0)))),"")</f>
        <v/>
      </c>
      <c r="Y107" s="138"/>
      <c r="Z107" s="138"/>
      <c r="AA107" s="298" t="str">
        <f t="shared" si="9"/>
        <v/>
      </c>
      <c r="AB107" s="311" t="str">
        <f t="shared" si="10"/>
        <v/>
      </c>
      <c r="AC107" s="312" t="str">
        <f t="shared" si="7"/>
        <v/>
      </c>
      <c r="AD107" s="325" t="str">
        <f>IF(M107="","",VLOOKUP(M107,'G-6 Hedgerow Data'!$B$3:$AG$15,31,FALSE))</f>
        <v/>
      </c>
      <c r="AE107" s="298" t="str">
        <f t="shared" si="11"/>
        <v/>
      </c>
      <c r="AF107" s="298" t="str">
        <f t="shared" si="12"/>
        <v/>
      </c>
      <c r="AG107" s="314" t="str">
        <f>IFERROR(IF(O107="","",VLOOKUP(AD107,'G-3 Multipliers'!$P$3:$Q$6,2,FALSE)),"")</f>
        <v/>
      </c>
      <c r="AH107" s="304" t="str">
        <f t="shared" si="13"/>
        <v/>
      </c>
      <c r="AI107" s="157"/>
      <c r="AJ107" s="99"/>
      <c r="AK107" s="101"/>
      <c r="AT107" s="15" t="str">
        <f>IFERROR(INDEX('G-6 Hedgerow Data'!$BJ$3:$BJ$15,MATCH(M107,'G-6 Hedgerow Data'!$B$3:$B$15,0)),"")</f>
        <v/>
      </c>
    </row>
    <row r="108" spans="2:46" ht="14" x14ac:dyDescent="0.3">
      <c r="B108" s="319" t="str">
        <f>'B-1 On-Site Hedge Baseline'!AK106</f>
        <v/>
      </c>
      <c r="C108" s="310" t="str">
        <f>IF(B108="","",IF(ISNA(VLOOKUP($B108,'B-1 On-Site Hedge Baseline'!$B$1:$L$257,3,FALSE)),"",(VLOOKUP($B108,'B-1 On-Site Hedge Baseline'!$B$1:$L$257,3,FALSE))))</f>
        <v/>
      </c>
      <c r="D108" s="310" t="str">
        <f>IF(B108="","",IF(ISNA(VLOOKUP($B108,'B-1 On-Site Hedge Baseline'!$B$1:$L$257,4,FALSE)),"",(VLOOKUP($B108,'B-1 On-Site Hedge Baseline'!$B$1:$L$257,4,FALSE))))</f>
        <v/>
      </c>
      <c r="E108" s="310" t="str">
        <f>IF(B108="","",IF(ISNA(VLOOKUP($B108,'B-1 On-Site Hedge Baseline'!$B$1:$L$257,5,FALSE)),"",(VLOOKUP($B108,'B-1 On-Site Hedge Baseline'!$B$1:$L$257,5,FALSE))))</f>
        <v/>
      </c>
      <c r="F108" s="310" t="str">
        <f>IF(B108="","",IF(ISNA(VLOOKUP($B108,'B-1 On-Site Hedge Baseline'!$B$1:$L$257,6,FALSE)),"",(VLOOKUP($B108,'B-1 On-Site Hedge Baseline'!$B$1:$L$257,6,FALSE))))</f>
        <v/>
      </c>
      <c r="G108" s="310" t="str">
        <f>IF(B108="","",IF(ISNA(VLOOKUP($B108,'B-1 On-Site Hedge Baseline'!$B$1:$L$257,7,FALSE)),"",(VLOOKUP($B108,'B-1 On-Site Hedge Baseline'!$B$1:$L$257,7,FALSE))))</f>
        <v/>
      </c>
      <c r="H108" s="310" t="str">
        <f>IF(B108="","",IF(ISNA(VLOOKUP($B108,'B-1 On-Site Hedge Baseline'!$B$1:$L$257,8,FALSE)),"",(VLOOKUP($B108,'B-1 On-Site Hedge Baseline'!$B$1:$L$257,8,FALSE))))</f>
        <v/>
      </c>
      <c r="I108" s="310" t="str">
        <f>IF(B108="","",IF(ISNA(VLOOKUP($B108,'B-1 On-Site Hedge Baseline'!$B$1:$L$257,10,FALSE)),"",(VLOOKUP($B108,'B-1 On-Site Hedge Baseline'!$B$1:$L$257,10,FALSE))))</f>
        <v/>
      </c>
      <c r="J108" s="310" t="str">
        <f>IF(B108="","",IF(ISNA(VLOOKUP($B108,'B-1 On-Site Hedge Baseline'!$B$1:$L$257,11,FALSE)),"",(VLOOKUP($B108,'B-1 On-Site Hedge Baseline'!$B$1:$L$257,11,FALSE))))</f>
        <v/>
      </c>
      <c r="K108" s="310" t="str">
        <f>IF(B108="","",IF(ISNA(VLOOKUP($B108,'B-1 On-Site Hedge Baseline'!$B$1:$U$257,13,FALSE)),"",(VLOOKUP($B108,'B-1 On-Site Hedge Baseline'!$B$1:$U$257,13,FALSE))))</f>
        <v/>
      </c>
      <c r="L108" s="314" t="str">
        <f>IF(B108="","",IF(ISNA(VLOOKUP($B108,'B-1 On-Site Hedge Baseline'!$B$1:$U$257,12,FALSE)),"",(VLOOKUP($B108,'B-1 On-Site Hedge Baseline'!$B$1:$U$257,12,FALSE))))</f>
        <v/>
      </c>
      <c r="M108" s="583"/>
      <c r="N108" s="290" t="str">
        <f>IFERROR(IF(B108="","",INDEX('G-6 Hedgerow Data'!$AN$3:$AZ$15,MATCH(C108,'G-6 Hedgerow Data'!$AM$3:$AM$15,0),MATCH(M108,'G-6 Hedgerow Data'!$AN$2:$AZ$2,0))),"")</f>
        <v/>
      </c>
      <c r="O108" s="291" t="str">
        <f t="shared" si="8"/>
        <v/>
      </c>
      <c r="P108" s="341" t="str">
        <f>IF(B108="","",VLOOKUP(B108,'B-1 On-Site Hedge Baseline'!$B$10:T353,16,FALSE))</f>
        <v/>
      </c>
      <c r="Q108" s="290" t="str">
        <f>IF(M108="","",VLOOKUP(M108,'G-6 Hedgerow Data'!$B$2:$AG$15,2,FALSE))</f>
        <v/>
      </c>
      <c r="R108" s="291" t="str">
        <f>IF(M108="","",VLOOKUP(M108,'G-6 Hedgerow Data'!$B$2:$AG$15,3,FALSE))</f>
        <v/>
      </c>
      <c r="S108" s="106"/>
      <c r="T108" s="328" t="str">
        <f>IFERROR(IF(S108="","",IF(AND(M108="Non-native and ornamental hedgerow", S108&lt;&gt;"Poor"),"Not possible ▲", (VLOOKUP(S108,'G-1 All Habitats'!$Z$2:$AA$9,2,FALSE)))),"")</f>
        <v/>
      </c>
      <c r="U108" s="103"/>
      <c r="V108" s="310" t="str">
        <f>IF(U108="","",IF(VLOOKUP(U108,'G-3 Multipliers'!$L$3:$N$6,2,FALSE)=0,"Spatial Data Missing ⚠",VLOOKUP(U108,'G-3 Multipliers'!$L$3:$N$6,2,FALSE)))</f>
        <v/>
      </c>
      <c r="W108" s="314" t="str">
        <f>IF(U108="","",IF(VLOOKUP(U108,'G-3 Multipliers'!$L$3:$N$6,3,FALSE)=0,"Spatial Data Missing ⚠",VLOOKUP(U108,'G-3 Multipliers'!$L$3:$N$6,3,FALSE)))</f>
        <v/>
      </c>
      <c r="X108" s="290" t="str">
        <f>IFERROR(IF(OR(LEFT(O108,5)="Error",LEFT(N108,5)="Error",T108="Error"),"Check Data ⚠",IF(F108&lt;R108,INDEX('G-6 Hedgerow Data'!$S$3:$AE$14,MATCH(C108,'G-6 Hedgerow Data'!$B$3:$B$14,0),MATCH(M108,'G-6 Hedgerow Data'!$S$2:$AE$2,0)),INDEX('G-6 Hedgerow Data'!$K$3:$Q$14,MATCH(M108,'G-6 Hedgerow Data'!$B$3:$B$14,0),MATCH(O108,'G-6 Hedgerow Data'!$K$2:$Q$2,0)))),"")</f>
        <v/>
      </c>
      <c r="Y108" s="138"/>
      <c r="Z108" s="138"/>
      <c r="AA108" s="298" t="str">
        <f t="shared" si="9"/>
        <v/>
      </c>
      <c r="AB108" s="311" t="str">
        <f t="shared" si="10"/>
        <v/>
      </c>
      <c r="AC108" s="312" t="str">
        <f t="shared" si="7"/>
        <v/>
      </c>
      <c r="AD108" s="325" t="str">
        <f>IF(M108="","",VLOOKUP(M108,'G-6 Hedgerow Data'!$B$3:$AG$15,31,FALSE))</f>
        <v/>
      </c>
      <c r="AE108" s="298" t="str">
        <f t="shared" si="11"/>
        <v/>
      </c>
      <c r="AF108" s="298" t="str">
        <f t="shared" si="12"/>
        <v/>
      </c>
      <c r="AG108" s="314" t="str">
        <f>IFERROR(IF(O108="","",VLOOKUP(AD108,'G-3 Multipliers'!$P$3:$Q$6,2,FALSE)),"")</f>
        <v/>
      </c>
      <c r="AH108" s="304" t="str">
        <f t="shared" si="13"/>
        <v/>
      </c>
      <c r="AI108" s="157"/>
      <c r="AJ108" s="99"/>
      <c r="AK108" s="101"/>
      <c r="AT108" s="15" t="str">
        <f>IFERROR(INDEX('G-6 Hedgerow Data'!$BJ$3:$BJ$15,MATCH(M108,'G-6 Hedgerow Data'!$B$3:$B$15,0)),"")</f>
        <v/>
      </c>
    </row>
    <row r="109" spans="2:46" ht="14" x14ac:dyDescent="0.3">
      <c r="B109" s="319" t="str">
        <f>'B-1 On-Site Hedge Baseline'!AK107</f>
        <v/>
      </c>
      <c r="C109" s="310" t="str">
        <f>IF(B109="","",IF(ISNA(VLOOKUP($B109,'B-1 On-Site Hedge Baseline'!$B$1:$L$257,3,FALSE)),"",(VLOOKUP($B109,'B-1 On-Site Hedge Baseline'!$B$1:$L$257,3,FALSE))))</f>
        <v/>
      </c>
      <c r="D109" s="310" t="str">
        <f>IF(B109="","",IF(ISNA(VLOOKUP($B109,'B-1 On-Site Hedge Baseline'!$B$1:$L$257,4,FALSE)),"",(VLOOKUP($B109,'B-1 On-Site Hedge Baseline'!$B$1:$L$257,4,FALSE))))</f>
        <v/>
      </c>
      <c r="E109" s="310" t="str">
        <f>IF(B109="","",IF(ISNA(VLOOKUP($B109,'B-1 On-Site Hedge Baseline'!$B$1:$L$257,5,FALSE)),"",(VLOOKUP($B109,'B-1 On-Site Hedge Baseline'!$B$1:$L$257,5,FALSE))))</f>
        <v/>
      </c>
      <c r="F109" s="310" t="str">
        <f>IF(B109="","",IF(ISNA(VLOOKUP($B109,'B-1 On-Site Hedge Baseline'!$B$1:$L$257,6,FALSE)),"",(VLOOKUP($B109,'B-1 On-Site Hedge Baseline'!$B$1:$L$257,6,FALSE))))</f>
        <v/>
      </c>
      <c r="G109" s="310" t="str">
        <f>IF(B109="","",IF(ISNA(VLOOKUP($B109,'B-1 On-Site Hedge Baseline'!$B$1:$L$257,7,FALSE)),"",(VLOOKUP($B109,'B-1 On-Site Hedge Baseline'!$B$1:$L$257,7,FALSE))))</f>
        <v/>
      </c>
      <c r="H109" s="310" t="str">
        <f>IF(B109="","",IF(ISNA(VLOOKUP($B109,'B-1 On-Site Hedge Baseline'!$B$1:$L$257,8,FALSE)),"",(VLOOKUP($B109,'B-1 On-Site Hedge Baseline'!$B$1:$L$257,8,FALSE))))</f>
        <v/>
      </c>
      <c r="I109" s="310" t="str">
        <f>IF(B109="","",IF(ISNA(VLOOKUP($B109,'B-1 On-Site Hedge Baseline'!$B$1:$L$257,10,FALSE)),"",(VLOOKUP($B109,'B-1 On-Site Hedge Baseline'!$B$1:$L$257,10,FALSE))))</f>
        <v/>
      </c>
      <c r="J109" s="310" t="str">
        <f>IF(B109="","",IF(ISNA(VLOOKUP($B109,'B-1 On-Site Hedge Baseline'!$B$1:$L$257,11,FALSE)),"",(VLOOKUP($B109,'B-1 On-Site Hedge Baseline'!$B$1:$L$257,11,FALSE))))</f>
        <v/>
      </c>
      <c r="K109" s="310" t="str">
        <f>IF(B109="","",IF(ISNA(VLOOKUP($B109,'B-1 On-Site Hedge Baseline'!$B$1:$U$257,13,FALSE)),"",(VLOOKUP($B109,'B-1 On-Site Hedge Baseline'!$B$1:$U$257,13,FALSE))))</f>
        <v/>
      </c>
      <c r="L109" s="314" t="str">
        <f>IF(B109="","",IF(ISNA(VLOOKUP($B109,'B-1 On-Site Hedge Baseline'!$B$1:$U$257,12,FALSE)),"",(VLOOKUP($B109,'B-1 On-Site Hedge Baseline'!$B$1:$U$257,12,FALSE))))</f>
        <v/>
      </c>
      <c r="M109" s="583"/>
      <c r="N109" s="290" t="str">
        <f>IFERROR(IF(B109="","",INDEX('G-6 Hedgerow Data'!$AN$3:$AZ$15,MATCH(C109,'G-6 Hedgerow Data'!$AM$3:$AM$15,0),MATCH(M109,'G-6 Hedgerow Data'!$AN$2:$AZ$2,0))),"")</f>
        <v/>
      </c>
      <c r="O109" s="291" t="str">
        <f t="shared" si="8"/>
        <v/>
      </c>
      <c r="P109" s="341" t="str">
        <f>IF(B109="","",VLOOKUP(B109,'B-1 On-Site Hedge Baseline'!$B$10:T354,16,FALSE))</f>
        <v/>
      </c>
      <c r="Q109" s="290" t="str">
        <f>IF(M109="","",VLOOKUP(M109,'G-6 Hedgerow Data'!$B$2:$AG$15,2,FALSE))</f>
        <v/>
      </c>
      <c r="R109" s="291" t="str">
        <f>IF(M109="","",VLOOKUP(M109,'G-6 Hedgerow Data'!$B$2:$AG$15,3,FALSE))</f>
        <v/>
      </c>
      <c r="S109" s="106"/>
      <c r="T109" s="328" t="str">
        <f>IFERROR(IF(S109="","",IF(AND(M109="Non-native and ornamental hedgerow", S109&lt;&gt;"Poor"),"Not possible ▲", (VLOOKUP(S109,'G-1 All Habitats'!$Z$2:$AA$9,2,FALSE)))),"")</f>
        <v/>
      </c>
      <c r="U109" s="103"/>
      <c r="V109" s="310" t="str">
        <f>IF(U109="","",IF(VLOOKUP(U109,'G-3 Multipliers'!$L$3:$N$6,2,FALSE)=0,"Spatial Data Missing ⚠",VLOOKUP(U109,'G-3 Multipliers'!$L$3:$N$6,2,FALSE)))</f>
        <v/>
      </c>
      <c r="W109" s="314" t="str">
        <f>IF(U109="","",IF(VLOOKUP(U109,'G-3 Multipliers'!$L$3:$N$6,3,FALSE)=0,"Spatial Data Missing ⚠",VLOOKUP(U109,'G-3 Multipliers'!$L$3:$N$6,3,FALSE)))</f>
        <v/>
      </c>
      <c r="X109" s="290" t="str">
        <f>IFERROR(IF(OR(LEFT(O109,5)="Error",LEFT(N109,5)="Error",T109="Error"),"Check Data ⚠",IF(F109&lt;R109,INDEX('G-6 Hedgerow Data'!$S$3:$AE$14,MATCH(C109,'G-6 Hedgerow Data'!$B$3:$B$14,0),MATCH(M109,'G-6 Hedgerow Data'!$S$2:$AE$2,0)),INDEX('G-6 Hedgerow Data'!$K$3:$Q$14,MATCH(M109,'G-6 Hedgerow Data'!$B$3:$B$14,0),MATCH(O109,'G-6 Hedgerow Data'!$K$2:$Q$2,0)))),"")</f>
        <v/>
      </c>
      <c r="Y109" s="138"/>
      <c r="Z109" s="138"/>
      <c r="AA109" s="298" t="str">
        <f t="shared" si="9"/>
        <v/>
      </c>
      <c r="AB109" s="311" t="str">
        <f t="shared" si="10"/>
        <v/>
      </c>
      <c r="AC109" s="312" t="str">
        <f t="shared" si="7"/>
        <v/>
      </c>
      <c r="AD109" s="325" t="str">
        <f>IF(M109="","",VLOOKUP(M109,'G-6 Hedgerow Data'!$B$3:$AG$15,31,FALSE))</f>
        <v/>
      </c>
      <c r="AE109" s="298" t="str">
        <f t="shared" si="11"/>
        <v/>
      </c>
      <c r="AF109" s="298" t="str">
        <f t="shared" si="12"/>
        <v/>
      </c>
      <c r="AG109" s="314" t="str">
        <f>IFERROR(IF(O109="","",VLOOKUP(AD109,'G-3 Multipliers'!$P$3:$Q$6,2,FALSE)),"")</f>
        <v/>
      </c>
      <c r="AH109" s="304" t="str">
        <f t="shared" si="13"/>
        <v/>
      </c>
      <c r="AI109" s="157"/>
      <c r="AJ109" s="99"/>
      <c r="AK109" s="101"/>
      <c r="AT109" s="15" t="str">
        <f>IFERROR(INDEX('G-6 Hedgerow Data'!$BJ$3:$BJ$15,MATCH(M109,'G-6 Hedgerow Data'!$B$3:$B$15,0)),"")</f>
        <v/>
      </c>
    </row>
    <row r="110" spans="2:46" ht="14" x14ac:dyDescent="0.3">
      <c r="B110" s="319" t="str">
        <f>'B-1 On-Site Hedge Baseline'!AK108</f>
        <v/>
      </c>
      <c r="C110" s="310" t="str">
        <f>IF(B110="","",IF(ISNA(VLOOKUP($B110,'B-1 On-Site Hedge Baseline'!$B$1:$L$257,3,FALSE)),"",(VLOOKUP($B110,'B-1 On-Site Hedge Baseline'!$B$1:$L$257,3,FALSE))))</f>
        <v/>
      </c>
      <c r="D110" s="310" t="str">
        <f>IF(B110="","",IF(ISNA(VLOOKUP($B110,'B-1 On-Site Hedge Baseline'!$B$1:$L$257,4,FALSE)),"",(VLOOKUP($B110,'B-1 On-Site Hedge Baseline'!$B$1:$L$257,4,FALSE))))</f>
        <v/>
      </c>
      <c r="E110" s="310" t="str">
        <f>IF(B110="","",IF(ISNA(VLOOKUP($B110,'B-1 On-Site Hedge Baseline'!$B$1:$L$257,5,FALSE)),"",(VLOOKUP($B110,'B-1 On-Site Hedge Baseline'!$B$1:$L$257,5,FALSE))))</f>
        <v/>
      </c>
      <c r="F110" s="310" t="str">
        <f>IF(B110="","",IF(ISNA(VLOOKUP($B110,'B-1 On-Site Hedge Baseline'!$B$1:$L$257,6,FALSE)),"",(VLOOKUP($B110,'B-1 On-Site Hedge Baseline'!$B$1:$L$257,6,FALSE))))</f>
        <v/>
      </c>
      <c r="G110" s="310" t="str">
        <f>IF(B110="","",IF(ISNA(VLOOKUP($B110,'B-1 On-Site Hedge Baseline'!$B$1:$L$257,7,FALSE)),"",(VLOOKUP($B110,'B-1 On-Site Hedge Baseline'!$B$1:$L$257,7,FALSE))))</f>
        <v/>
      </c>
      <c r="H110" s="310" t="str">
        <f>IF(B110="","",IF(ISNA(VLOOKUP($B110,'B-1 On-Site Hedge Baseline'!$B$1:$L$257,8,FALSE)),"",(VLOOKUP($B110,'B-1 On-Site Hedge Baseline'!$B$1:$L$257,8,FALSE))))</f>
        <v/>
      </c>
      <c r="I110" s="310" t="str">
        <f>IF(B110="","",IF(ISNA(VLOOKUP($B110,'B-1 On-Site Hedge Baseline'!$B$1:$L$257,10,FALSE)),"",(VLOOKUP($B110,'B-1 On-Site Hedge Baseline'!$B$1:$L$257,10,FALSE))))</f>
        <v/>
      </c>
      <c r="J110" s="310" t="str">
        <f>IF(B110="","",IF(ISNA(VLOOKUP($B110,'B-1 On-Site Hedge Baseline'!$B$1:$L$257,11,FALSE)),"",(VLOOKUP($B110,'B-1 On-Site Hedge Baseline'!$B$1:$L$257,11,FALSE))))</f>
        <v/>
      </c>
      <c r="K110" s="310" t="str">
        <f>IF(B110="","",IF(ISNA(VLOOKUP($B110,'B-1 On-Site Hedge Baseline'!$B$1:$U$257,13,FALSE)),"",(VLOOKUP($B110,'B-1 On-Site Hedge Baseline'!$B$1:$U$257,13,FALSE))))</f>
        <v/>
      </c>
      <c r="L110" s="314" t="str">
        <f>IF(B110="","",IF(ISNA(VLOOKUP($B110,'B-1 On-Site Hedge Baseline'!$B$1:$U$257,12,FALSE)),"",(VLOOKUP($B110,'B-1 On-Site Hedge Baseline'!$B$1:$U$257,12,FALSE))))</f>
        <v/>
      </c>
      <c r="M110" s="583"/>
      <c r="N110" s="290" t="str">
        <f>IFERROR(IF(B110="","",INDEX('G-6 Hedgerow Data'!$AN$3:$AZ$15,MATCH(C110,'G-6 Hedgerow Data'!$AM$3:$AM$15,0),MATCH(M110,'G-6 Hedgerow Data'!$AN$2:$AZ$2,0))),"")</f>
        <v/>
      </c>
      <c r="O110" s="291" t="str">
        <f t="shared" si="8"/>
        <v/>
      </c>
      <c r="P110" s="341" t="str">
        <f>IF(B110="","",VLOOKUP(B110,'B-1 On-Site Hedge Baseline'!$B$10:T355,16,FALSE))</f>
        <v/>
      </c>
      <c r="Q110" s="290" t="str">
        <f>IF(M110="","",VLOOKUP(M110,'G-6 Hedgerow Data'!$B$2:$AG$15,2,FALSE))</f>
        <v/>
      </c>
      <c r="R110" s="291" t="str">
        <f>IF(M110="","",VLOOKUP(M110,'G-6 Hedgerow Data'!$B$2:$AG$15,3,FALSE))</f>
        <v/>
      </c>
      <c r="S110" s="106"/>
      <c r="T110" s="328" t="str">
        <f>IFERROR(IF(S110="","",IF(AND(M110="Non-native and ornamental hedgerow", S110&lt;&gt;"Poor"),"Not possible ▲", (VLOOKUP(S110,'G-1 All Habitats'!$Z$2:$AA$9,2,FALSE)))),"")</f>
        <v/>
      </c>
      <c r="U110" s="103"/>
      <c r="V110" s="310" t="str">
        <f>IF(U110="","",IF(VLOOKUP(U110,'G-3 Multipliers'!$L$3:$N$6,2,FALSE)=0,"Spatial Data Missing ⚠",VLOOKUP(U110,'G-3 Multipliers'!$L$3:$N$6,2,FALSE)))</f>
        <v/>
      </c>
      <c r="W110" s="314" t="str">
        <f>IF(U110="","",IF(VLOOKUP(U110,'G-3 Multipliers'!$L$3:$N$6,3,FALSE)=0,"Spatial Data Missing ⚠",VLOOKUP(U110,'G-3 Multipliers'!$L$3:$N$6,3,FALSE)))</f>
        <v/>
      </c>
      <c r="X110" s="290" t="str">
        <f>IFERROR(IF(OR(LEFT(O110,5)="Error",LEFT(N110,5)="Error",T110="Error"),"Check Data ⚠",IF(F110&lt;R110,INDEX('G-6 Hedgerow Data'!$S$3:$AE$14,MATCH(C110,'G-6 Hedgerow Data'!$B$3:$B$14,0),MATCH(M110,'G-6 Hedgerow Data'!$S$2:$AE$2,0)),INDEX('G-6 Hedgerow Data'!$K$3:$Q$14,MATCH(M110,'G-6 Hedgerow Data'!$B$3:$B$14,0),MATCH(O110,'G-6 Hedgerow Data'!$K$2:$Q$2,0)))),"")</f>
        <v/>
      </c>
      <c r="Y110" s="138"/>
      <c r="Z110" s="138"/>
      <c r="AA110" s="298" t="str">
        <f t="shared" si="9"/>
        <v/>
      </c>
      <c r="AB110" s="311" t="str">
        <f t="shared" si="10"/>
        <v/>
      </c>
      <c r="AC110" s="312" t="str">
        <f t="shared" si="7"/>
        <v/>
      </c>
      <c r="AD110" s="325" t="str">
        <f>IF(M110="","",VLOOKUP(M110,'G-6 Hedgerow Data'!$B$3:$AG$15,31,FALSE))</f>
        <v/>
      </c>
      <c r="AE110" s="298" t="str">
        <f t="shared" si="11"/>
        <v/>
      </c>
      <c r="AF110" s="298" t="str">
        <f t="shared" si="12"/>
        <v/>
      </c>
      <c r="AG110" s="314" t="str">
        <f>IFERROR(IF(O110="","",VLOOKUP(AD110,'G-3 Multipliers'!$P$3:$Q$6,2,FALSE)),"")</f>
        <v/>
      </c>
      <c r="AH110" s="304" t="str">
        <f t="shared" si="13"/>
        <v/>
      </c>
      <c r="AI110" s="157"/>
      <c r="AJ110" s="99"/>
      <c r="AK110" s="101"/>
      <c r="AT110" s="15" t="str">
        <f>IFERROR(INDEX('G-6 Hedgerow Data'!$BJ$3:$BJ$15,MATCH(M110,'G-6 Hedgerow Data'!$B$3:$B$15,0)),"")</f>
        <v/>
      </c>
    </row>
    <row r="111" spans="2:46" ht="14" x14ac:dyDescent="0.3">
      <c r="B111" s="319" t="str">
        <f>'B-1 On-Site Hedge Baseline'!AK109</f>
        <v/>
      </c>
      <c r="C111" s="310" t="str">
        <f>IF(B111="","",IF(ISNA(VLOOKUP($B111,'B-1 On-Site Hedge Baseline'!$B$1:$L$257,3,FALSE)),"",(VLOOKUP($B111,'B-1 On-Site Hedge Baseline'!$B$1:$L$257,3,FALSE))))</f>
        <v/>
      </c>
      <c r="D111" s="310" t="str">
        <f>IF(B111="","",IF(ISNA(VLOOKUP($B111,'B-1 On-Site Hedge Baseline'!$B$1:$L$257,4,FALSE)),"",(VLOOKUP($B111,'B-1 On-Site Hedge Baseline'!$B$1:$L$257,4,FALSE))))</f>
        <v/>
      </c>
      <c r="E111" s="310" t="str">
        <f>IF(B111="","",IF(ISNA(VLOOKUP($B111,'B-1 On-Site Hedge Baseline'!$B$1:$L$257,5,FALSE)),"",(VLOOKUP($B111,'B-1 On-Site Hedge Baseline'!$B$1:$L$257,5,FALSE))))</f>
        <v/>
      </c>
      <c r="F111" s="310" t="str">
        <f>IF(B111="","",IF(ISNA(VLOOKUP($B111,'B-1 On-Site Hedge Baseline'!$B$1:$L$257,6,FALSE)),"",(VLOOKUP($B111,'B-1 On-Site Hedge Baseline'!$B$1:$L$257,6,FALSE))))</f>
        <v/>
      </c>
      <c r="G111" s="310" t="str">
        <f>IF(B111="","",IF(ISNA(VLOOKUP($B111,'B-1 On-Site Hedge Baseline'!$B$1:$L$257,7,FALSE)),"",(VLOOKUP($B111,'B-1 On-Site Hedge Baseline'!$B$1:$L$257,7,FALSE))))</f>
        <v/>
      </c>
      <c r="H111" s="310" t="str">
        <f>IF(B111="","",IF(ISNA(VLOOKUP($B111,'B-1 On-Site Hedge Baseline'!$B$1:$L$257,8,FALSE)),"",(VLOOKUP($B111,'B-1 On-Site Hedge Baseline'!$B$1:$L$257,8,FALSE))))</f>
        <v/>
      </c>
      <c r="I111" s="310" t="str">
        <f>IF(B111="","",IF(ISNA(VLOOKUP($B111,'B-1 On-Site Hedge Baseline'!$B$1:$L$257,10,FALSE)),"",(VLOOKUP($B111,'B-1 On-Site Hedge Baseline'!$B$1:$L$257,10,FALSE))))</f>
        <v/>
      </c>
      <c r="J111" s="310" t="str">
        <f>IF(B111="","",IF(ISNA(VLOOKUP($B111,'B-1 On-Site Hedge Baseline'!$B$1:$L$257,11,FALSE)),"",(VLOOKUP($B111,'B-1 On-Site Hedge Baseline'!$B$1:$L$257,11,FALSE))))</f>
        <v/>
      </c>
      <c r="K111" s="310" t="str">
        <f>IF(B111="","",IF(ISNA(VLOOKUP($B111,'B-1 On-Site Hedge Baseline'!$B$1:$U$257,13,FALSE)),"",(VLOOKUP($B111,'B-1 On-Site Hedge Baseline'!$B$1:$U$257,13,FALSE))))</f>
        <v/>
      </c>
      <c r="L111" s="314" t="str">
        <f>IF(B111="","",IF(ISNA(VLOOKUP($B111,'B-1 On-Site Hedge Baseline'!$B$1:$U$257,12,FALSE)),"",(VLOOKUP($B111,'B-1 On-Site Hedge Baseline'!$B$1:$U$257,12,FALSE))))</f>
        <v/>
      </c>
      <c r="M111" s="583"/>
      <c r="N111" s="290" t="str">
        <f>IFERROR(IF(B111="","",INDEX('G-6 Hedgerow Data'!$AN$3:$AZ$15,MATCH(C111,'G-6 Hedgerow Data'!$AM$3:$AM$15,0),MATCH(M111,'G-6 Hedgerow Data'!$AN$2:$AZ$2,0))),"")</f>
        <v/>
      </c>
      <c r="O111" s="291" t="str">
        <f t="shared" si="8"/>
        <v/>
      </c>
      <c r="P111" s="341" t="str">
        <f>IF(B111="","",VLOOKUP(B111,'B-1 On-Site Hedge Baseline'!$B$10:T356,16,FALSE))</f>
        <v/>
      </c>
      <c r="Q111" s="290" t="str">
        <f>IF(M111="","",VLOOKUP(M111,'G-6 Hedgerow Data'!$B$2:$AG$15,2,FALSE))</f>
        <v/>
      </c>
      <c r="R111" s="291" t="str">
        <f>IF(M111="","",VLOOKUP(M111,'G-6 Hedgerow Data'!$B$2:$AG$15,3,FALSE))</f>
        <v/>
      </c>
      <c r="S111" s="106"/>
      <c r="T111" s="328" t="str">
        <f>IFERROR(IF(S111="","",IF(AND(M111="Non-native and ornamental hedgerow", S111&lt;&gt;"Poor"),"Not possible ▲", (VLOOKUP(S111,'G-1 All Habitats'!$Z$2:$AA$9,2,FALSE)))),"")</f>
        <v/>
      </c>
      <c r="U111" s="103"/>
      <c r="V111" s="310" t="str">
        <f>IF(U111="","",IF(VLOOKUP(U111,'G-3 Multipliers'!$L$3:$N$6,2,FALSE)=0,"Spatial Data Missing ⚠",VLOOKUP(U111,'G-3 Multipliers'!$L$3:$N$6,2,FALSE)))</f>
        <v/>
      </c>
      <c r="W111" s="314" t="str">
        <f>IF(U111="","",IF(VLOOKUP(U111,'G-3 Multipliers'!$L$3:$N$6,3,FALSE)=0,"Spatial Data Missing ⚠",VLOOKUP(U111,'G-3 Multipliers'!$L$3:$N$6,3,FALSE)))</f>
        <v/>
      </c>
      <c r="X111" s="290" t="str">
        <f>IFERROR(IF(OR(LEFT(O111,5)="Error",LEFT(N111,5)="Error",T111="Error"),"Check Data ⚠",IF(F111&lt;R111,INDEX('G-6 Hedgerow Data'!$S$3:$AE$14,MATCH(C111,'G-6 Hedgerow Data'!$B$3:$B$14,0),MATCH(M111,'G-6 Hedgerow Data'!$S$2:$AE$2,0)),INDEX('G-6 Hedgerow Data'!$K$3:$Q$14,MATCH(M111,'G-6 Hedgerow Data'!$B$3:$B$14,0),MATCH(O111,'G-6 Hedgerow Data'!$K$2:$Q$2,0)))),"")</f>
        <v/>
      </c>
      <c r="Y111" s="138"/>
      <c r="Z111" s="138"/>
      <c r="AA111" s="298" t="str">
        <f t="shared" si="9"/>
        <v/>
      </c>
      <c r="AB111" s="311" t="str">
        <f t="shared" si="10"/>
        <v/>
      </c>
      <c r="AC111" s="312" t="str">
        <f t="shared" si="7"/>
        <v/>
      </c>
      <c r="AD111" s="325" t="str">
        <f>IF(M111="","",VLOOKUP(M111,'G-6 Hedgerow Data'!$B$3:$AG$15,31,FALSE))</f>
        <v/>
      </c>
      <c r="AE111" s="298" t="str">
        <f t="shared" si="11"/>
        <v/>
      </c>
      <c r="AF111" s="298" t="str">
        <f t="shared" si="12"/>
        <v/>
      </c>
      <c r="AG111" s="314" t="str">
        <f>IFERROR(IF(O111="","",VLOOKUP(AD111,'G-3 Multipliers'!$P$3:$Q$6,2,FALSE)),"")</f>
        <v/>
      </c>
      <c r="AH111" s="304" t="str">
        <f t="shared" si="13"/>
        <v/>
      </c>
      <c r="AI111" s="157"/>
      <c r="AJ111" s="99"/>
      <c r="AK111" s="101"/>
      <c r="AT111" s="15" t="str">
        <f>IFERROR(INDEX('G-6 Hedgerow Data'!$BJ$3:$BJ$15,MATCH(M111,'G-6 Hedgerow Data'!$B$3:$B$15,0)),"")</f>
        <v/>
      </c>
    </row>
    <row r="112" spans="2:46" ht="14" x14ac:dyDescent="0.3">
      <c r="B112" s="319" t="str">
        <f>'B-1 On-Site Hedge Baseline'!AK110</f>
        <v/>
      </c>
      <c r="C112" s="310" t="str">
        <f>IF(B112="","",IF(ISNA(VLOOKUP($B112,'B-1 On-Site Hedge Baseline'!$B$1:$L$257,3,FALSE)),"",(VLOOKUP($B112,'B-1 On-Site Hedge Baseline'!$B$1:$L$257,3,FALSE))))</f>
        <v/>
      </c>
      <c r="D112" s="310" t="str">
        <f>IF(B112="","",IF(ISNA(VLOOKUP($B112,'B-1 On-Site Hedge Baseline'!$B$1:$L$257,4,FALSE)),"",(VLOOKUP($B112,'B-1 On-Site Hedge Baseline'!$B$1:$L$257,4,FALSE))))</f>
        <v/>
      </c>
      <c r="E112" s="310" t="str">
        <f>IF(B112="","",IF(ISNA(VLOOKUP($B112,'B-1 On-Site Hedge Baseline'!$B$1:$L$257,5,FALSE)),"",(VLOOKUP($B112,'B-1 On-Site Hedge Baseline'!$B$1:$L$257,5,FALSE))))</f>
        <v/>
      </c>
      <c r="F112" s="310" t="str">
        <f>IF(B112="","",IF(ISNA(VLOOKUP($B112,'B-1 On-Site Hedge Baseline'!$B$1:$L$257,6,FALSE)),"",(VLOOKUP($B112,'B-1 On-Site Hedge Baseline'!$B$1:$L$257,6,FALSE))))</f>
        <v/>
      </c>
      <c r="G112" s="310" t="str">
        <f>IF(B112="","",IF(ISNA(VLOOKUP($B112,'B-1 On-Site Hedge Baseline'!$B$1:$L$257,7,FALSE)),"",(VLOOKUP($B112,'B-1 On-Site Hedge Baseline'!$B$1:$L$257,7,FALSE))))</f>
        <v/>
      </c>
      <c r="H112" s="310" t="str">
        <f>IF(B112="","",IF(ISNA(VLOOKUP($B112,'B-1 On-Site Hedge Baseline'!$B$1:$L$257,8,FALSE)),"",(VLOOKUP($B112,'B-1 On-Site Hedge Baseline'!$B$1:$L$257,8,FALSE))))</f>
        <v/>
      </c>
      <c r="I112" s="310" t="str">
        <f>IF(B112="","",IF(ISNA(VLOOKUP($B112,'B-1 On-Site Hedge Baseline'!$B$1:$L$257,10,FALSE)),"",(VLOOKUP($B112,'B-1 On-Site Hedge Baseline'!$B$1:$L$257,10,FALSE))))</f>
        <v/>
      </c>
      <c r="J112" s="310" t="str">
        <f>IF(B112="","",IF(ISNA(VLOOKUP($B112,'B-1 On-Site Hedge Baseline'!$B$1:$L$257,11,FALSE)),"",(VLOOKUP($B112,'B-1 On-Site Hedge Baseline'!$B$1:$L$257,11,FALSE))))</f>
        <v/>
      </c>
      <c r="K112" s="310" t="str">
        <f>IF(B112="","",IF(ISNA(VLOOKUP($B112,'B-1 On-Site Hedge Baseline'!$B$1:$U$257,13,FALSE)),"",(VLOOKUP($B112,'B-1 On-Site Hedge Baseline'!$B$1:$U$257,13,FALSE))))</f>
        <v/>
      </c>
      <c r="L112" s="314" t="str">
        <f>IF(B112="","",IF(ISNA(VLOOKUP($B112,'B-1 On-Site Hedge Baseline'!$B$1:$U$257,12,FALSE)),"",(VLOOKUP($B112,'B-1 On-Site Hedge Baseline'!$B$1:$U$257,12,FALSE))))</f>
        <v/>
      </c>
      <c r="M112" s="583"/>
      <c r="N112" s="290" t="str">
        <f>IFERROR(IF(B112="","",INDEX('G-6 Hedgerow Data'!$AN$3:$AZ$15,MATCH(C112,'G-6 Hedgerow Data'!$AM$3:$AM$15,0),MATCH(M112,'G-6 Hedgerow Data'!$AN$2:$AZ$2,0))),"")</f>
        <v/>
      </c>
      <c r="O112" s="291" t="str">
        <f t="shared" si="8"/>
        <v/>
      </c>
      <c r="P112" s="341" t="str">
        <f>IF(B112="","",VLOOKUP(B112,'B-1 On-Site Hedge Baseline'!$B$10:T357,16,FALSE))</f>
        <v/>
      </c>
      <c r="Q112" s="290" t="str">
        <f>IF(M112="","",VLOOKUP(M112,'G-6 Hedgerow Data'!$B$2:$AG$15,2,FALSE))</f>
        <v/>
      </c>
      <c r="R112" s="291" t="str">
        <f>IF(M112="","",VLOOKUP(M112,'G-6 Hedgerow Data'!$B$2:$AG$15,3,FALSE))</f>
        <v/>
      </c>
      <c r="S112" s="106"/>
      <c r="T112" s="328" t="str">
        <f>IFERROR(IF(S112="","",IF(AND(M112="Non-native and ornamental hedgerow", S112&lt;&gt;"Poor"),"Not possible ▲", (VLOOKUP(S112,'G-1 All Habitats'!$Z$2:$AA$9,2,FALSE)))),"")</f>
        <v/>
      </c>
      <c r="U112" s="103"/>
      <c r="V112" s="310" t="str">
        <f>IF(U112="","",IF(VLOOKUP(U112,'G-3 Multipliers'!$L$3:$N$6,2,FALSE)=0,"Spatial Data Missing ⚠",VLOOKUP(U112,'G-3 Multipliers'!$L$3:$N$6,2,FALSE)))</f>
        <v/>
      </c>
      <c r="W112" s="314" t="str">
        <f>IF(U112="","",IF(VLOOKUP(U112,'G-3 Multipliers'!$L$3:$N$6,3,FALSE)=0,"Spatial Data Missing ⚠",VLOOKUP(U112,'G-3 Multipliers'!$L$3:$N$6,3,FALSE)))</f>
        <v/>
      </c>
      <c r="X112" s="290" t="str">
        <f>IFERROR(IF(OR(LEFT(O112,5)="Error",LEFT(N112,5)="Error",T112="Error"),"Check Data ⚠",IF(F112&lt;R112,INDEX('G-6 Hedgerow Data'!$S$3:$AE$14,MATCH(C112,'G-6 Hedgerow Data'!$B$3:$B$14,0),MATCH(M112,'G-6 Hedgerow Data'!$S$2:$AE$2,0)),INDEX('G-6 Hedgerow Data'!$K$3:$Q$14,MATCH(M112,'G-6 Hedgerow Data'!$B$3:$B$14,0),MATCH(O112,'G-6 Hedgerow Data'!$K$2:$Q$2,0)))),"")</f>
        <v/>
      </c>
      <c r="Y112" s="138"/>
      <c r="Z112" s="138"/>
      <c r="AA112" s="298" t="str">
        <f t="shared" si="9"/>
        <v/>
      </c>
      <c r="AB112" s="311" t="str">
        <f t="shared" si="10"/>
        <v/>
      </c>
      <c r="AC112" s="312" t="str">
        <f t="shared" si="7"/>
        <v/>
      </c>
      <c r="AD112" s="325" t="str">
        <f>IF(M112="","",VLOOKUP(M112,'G-6 Hedgerow Data'!$B$3:$AG$15,31,FALSE))</f>
        <v/>
      </c>
      <c r="AE112" s="298" t="str">
        <f t="shared" si="11"/>
        <v/>
      </c>
      <c r="AF112" s="298" t="str">
        <f t="shared" si="12"/>
        <v/>
      </c>
      <c r="AG112" s="314" t="str">
        <f>IFERROR(IF(O112="","",VLOOKUP(AD112,'G-3 Multipliers'!$P$3:$Q$6,2,FALSE)),"")</f>
        <v/>
      </c>
      <c r="AH112" s="304" t="str">
        <f t="shared" si="13"/>
        <v/>
      </c>
      <c r="AI112" s="157"/>
      <c r="AJ112" s="99"/>
      <c r="AK112" s="101"/>
      <c r="AT112" s="15" t="str">
        <f>IFERROR(INDEX('G-6 Hedgerow Data'!$BJ$3:$BJ$15,MATCH(M112,'G-6 Hedgerow Data'!$B$3:$B$15,0)),"")</f>
        <v/>
      </c>
    </row>
    <row r="113" spans="2:46" ht="14" x14ac:dyDescent="0.3">
      <c r="B113" s="319" t="str">
        <f>'B-1 On-Site Hedge Baseline'!AK111</f>
        <v/>
      </c>
      <c r="C113" s="310" t="str">
        <f>IF(B113="","",IF(ISNA(VLOOKUP($B113,'B-1 On-Site Hedge Baseline'!$B$1:$L$257,3,FALSE)),"",(VLOOKUP($B113,'B-1 On-Site Hedge Baseline'!$B$1:$L$257,3,FALSE))))</f>
        <v/>
      </c>
      <c r="D113" s="310" t="str">
        <f>IF(B113="","",IF(ISNA(VLOOKUP($B113,'B-1 On-Site Hedge Baseline'!$B$1:$L$257,4,FALSE)),"",(VLOOKUP($B113,'B-1 On-Site Hedge Baseline'!$B$1:$L$257,4,FALSE))))</f>
        <v/>
      </c>
      <c r="E113" s="310" t="str">
        <f>IF(B113="","",IF(ISNA(VLOOKUP($B113,'B-1 On-Site Hedge Baseline'!$B$1:$L$257,5,FALSE)),"",(VLOOKUP($B113,'B-1 On-Site Hedge Baseline'!$B$1:$L$257,5,FALSE))))</f>
        <v/>
      </c>
      <c r="F113" s="310" t="str">
        <f>IF(B113="","",IF(ISNA(VLOOKUP($B113,'B-1 On-Site Hedge Baseline'!$B$1:$L$257,6,FALSE)),"",(VLOOKUP($B113,'B-1 On-Site Hedge Baseline'!$B$1:$L$257,6,FALSE))))</f>
        <v/>
      </c>
      <c r="G113" s="310" t="str">
        <f>IF(B113="","",IF(ISNA(VLOOKUP($B113,'B-1 On-Site Hedge Baseline'!$B$1:$L$257,7,FALSE)),"",(VLOOKUP($B113,'B-1 On-Site Hedge Baseline'!$B$1:$L$257,7,FALSE))))</f>
        <v/>
      </c>
      <c r="H113" s="310" t="str">
        <f>IF(B113="","",IF(ISNA(VLOOKUP($B113,'B-1 On-Site Hedge Baseline'!$B$1:$L$257,8,FALSE)),"",(VLOOKUP($B113,'B-1 On-Site Hedge Baseline'!$B$1:$L$257,8,FALSE))))</f>
        <v/>
      </c>
      <c r="I113" s="310" t="str">
        <f>IF(B113="","",IF(ISNA(VLOOKUP($B113,'B-1 On-Site Hedge Baseline'!$B$1:$L$257,10,FALSE)),"",(VLOOKUP($B113,'B-1 On-Site Hedge Baseline'!$B$1:$L$257,10,FALSE))))</f>
        <v/>
      </c>
      <c r="J113" s="310" t="str">
        <f>IF(B113="","",IF(ISNA(VLOOKUP($B113,'B-1 On-Site Hedge Baseline'!$B$1:$L$257,11,FALSE)),"",(VLOOKUP($B113,'B-1 On-Site Hedge Baseline'!$B$1:$L$257,11,FALSE))))</f>
        <v/>
      </c>
      <c r="K113" s="310" t="str">
        <f>IF(B113="","",IF(ISNA(VLOOKUP($B113,'B-1 On-Site Hedge Baseline'!$B$1:$U$257,13,FALSE)),"",(VLOOKUP($B113,'B-1 On-Site Hedge Baseline'!$B$1:$U$257,13,FALSE))))</f>
        <v/>
      </c>
      <c r="L113" s="314" t="str">
        <f>IF(B113="","",IF(ISNA(VLOOKUP($B113,'B-1 On-Site Hedge Baseline'!$B$1:$U$257,12,FALSE)),"",(VLOOKUP($B113,'B-1 On-Site Hedge Baseline'!$B$1:$U$257,12,FALSE))))</f>
        <v/>
      </c>
      <c r="M113" s="583"/>
      <c r="N113" s="290" t="str">
        <f>IFERROR(IF(B113="","",INDEX('G-6 Hedgerow Data'!$AN$3:$AZ$15,MATCH(C113,'G-6 Hedgerow Data'!$AM$3:$AM$15,0),MATCH(M113,'G-6 Hedgerow Data'!$AN$2:$AZ$2,0))),"")</f>
        <v/>
      </c>
      <c r="O113" s="291" t="str">
        <f t="shared" si="8"/>
        <v/>
      </c>
      <c r="P113" s="341" t="str">
        <f>IF(B113="","",VLOOKUP(B113,'B-1 On-Site Hedge Baseline'!$B$10:T358,16,FALSE))</f>
        <v/>
      </c>
      <c r="Q113" s="290" t="str">
        <f>IF(M113="","",VLOOKUP(M113,'G-6 Hedgerow Data'!$B$2:$AG$15,2,FALSE))</f>
        <v/>
      </c>
      <c r="R113" s="291" t="str">
        <f>IF(M113="","",VLOOKUP(M113,'G-6 Hedgerow Data'!$B$2:$AG$15,3,FALSE))</f>
        <v/>
      </c>
      <c r="S113" s="106"/>
      <c r="T113" s="328" t="str">
        <f>IFERROR(IF(S113="","",IF(AND(M113="Non-native and ornamental hedgerow", S113&lt;&gt;"Poor"),"Not possible ▲", (VLOOKUP(S113,'G-1 All Habitats'!$Z$2:$AA$9,2,FALSE)))),"")</f>
        <v/>
      </c>
      <c r="U113" s="103"/>
      <c r="V113" s="310" t="str">
        <f>IF(U113="","",IF(VLOOKUP(U113,'G-3 Multipliers'!$L$3:$N$6,2,FALSE)=0,"Spatial Data Missing ⚠",VLOOKUP(U113,'G-3 Multipliers'!$L$3:$N$6,2,FALSE)))</f>
        <v/>
      </c>
      <c r="W113" s="314" t="str">
        <f>IF(U113="","",IF(VLOOKUP(U113,'G-3 Multipliers'!$L$3:$N$6,3,FALSE)=0,"Spatial Data Missing ⚠",VLOOKUP(U113,'G-3 Multipliers'!$L$3:$N$6,3,FALSE)))</f>
        <v/>
      </c>
      <c r="X113" s="290" t="str">
        <f>IFERROR(IF(OR(LEFT(O113,5)="Error",LEFT(N113,5)="Error",T113="Error"),"Check Data ⚠",IF(F113&lt;R113,INDEX('G-6 Hedgerow Data'!$S$3:$AE$14,MATCH(C113,'G-6 Hedgerow Data'!$B$3:$B$14,0),MATCH(M113,'G-6 Hedgerow Data'!$S$2:$AE$2,0)),INDEX('G-6 Hedgerow Data'!$K$3:$Q$14,MATCH(M113,'G-6 Hedgerow Data'!$B$3:$B$14,0),MATCH(O113,'G-6 Hedgerow Data'!$K$2:$Q$2,0)))),"")</f>
        <v/>
      </c>
      <c r="Y113" s="138"/>
      <c r="Z113" s="138"/>
      <c r="AA113" s="298" t="str">
        <f t="shared" si="9"/>
        <v/>
      </c>
      <c r="AB113" s="311" t="str">
        <f t="shared" si="10"/>
        <v/>
      </c>
      <c r="AC113" s="312" t="str">
        <f t="shared" si="7"/>
        <v/>
      </c>
      <c r="AD113" s="325" t="str">
        <f>IF(M113="","",VLOOKUP(M113,'G-6 Hedgerow Data'!$B$3:$AG$15,31,FALSE))</f>
        <v/>
      </c>
      <c r="AE113" s="298" t="str">
        <f t="shared" si="11"/>
        <v/>
      </c>
      <c r="AF113" s="298" t="str">
        <f t="shared" si="12"/>
        <v/>
      </c>
      <c r="AG113" s="314" t="str">
        <f>IFERROR(IF(O113="","",VLOOKUP(AD113,'G-3 Multipliers'!$P$3:$Q$6,2,FALSE)),"")</f>
        <v/>
      </c>
      <c r="AH113" s="304" t="str">
        <f t="shared" si="13"/>
        <v/>
      </c>
      <c r="AI113" s="157"/>
      <c r="AJ113" s="99"/>
      <c r="AK113" s="101"/>
      <c r="AT113" s="15" t="str">
        <f>IFERROR(INDEX('G-6 Hedgerow Data'!$BJ$3:$BJ$15,MATCH(M113,'G-6 Hedgerow Data'!$B$3:$B$15,0)),"")</f>
        <v/>
      </c>
    </row>
    <row r="114" spans="2:46" ht="14" x14ac:dyDescent="0.3">
      <c r="B114" s="319" t="str">
        <f>'B-1 On-Site Hedge Baseline'!AK112</f>
        <v/>
      </c>
      <c r="C114" s="310" t="str">
        <f>IF(B114="","",IF(ISNA(VLOOKUP($B114,'B-1 On-Site Hedge Baseline'!$B$1:$L$257,3,FALSE)),"",(VLOOKUP($B114,'B-1 On-Site Hedge Baseline'!$B$1:$L$257,3,FALSE))))</f>
        <v/>
      </c>
      <c r="D114" s="310" t="str">
        <f>IF(B114="","",IF(ISNA(VLOOKUP($B114,'B-1 On-Site Hedge Baseline'!$B$1:$L$257,4,FALSE)),"",(VLOOKUP($B114,'B-1 On-Site Hedge Baseline'!$B$1:$L$257,4,FALSE))))</f>
        <v/>
      </c>
      <c r="E114" s="310" t="str">
        <f>IF(B114="","",IF(ISNA(VLOOKUP($B114,'B-1 On-Site Hedge Baseline'!$B$1:$L$257,5,FALSE)),"",(VLOOKUP($B114,'B-1 On-Site Hedge Baseline'!$B$1:$L$257,5,FALSE))))</f>
        <v/>
      </c>
      <c r="F114" s="310" t="str">
        <f>IF(B114="","",IF(ISNA(VLOOKUP($B114,'B-1 On-Site Hedge Baseline'!$B$1:$L$257,6,FALSE)),"",(VLOOKUP($B114,'B-1 On-Site Hedge Baseline'!$B$1:$L$257,6,FALSE))))</f>
        <v/>
      </c>
      <c r="G114" s="310" t="str">
        <f>IF(B114="","",IF(ISNA(VLOOKUP($B114,'B-1 On-Site Hedge Baseline'!$B$1:$L$257,7,FALSE)),"",(VLOOKUP($B114,'B-1 On-Site Hedge Baseline'!$B$1:$L$257,7,FALSE))))</f>
        <v/>
      </c>
      <c r="H114" s="310" t="str">
        <f>IF(B114="","",IF(ISNA(VLOOKUP($B114,'B-1 On-Site Hedge Baseline'!$B$1:$L$257,8,FALSE)),"",(VLOOKUP($B114,'B-1 On-Site Hedge Baseline'!$B$1:$L$257,8,FALSE))))</f>
        <v/>
      </c>
      <c r="I114" s="310" t="str">
        <f>IF(B114="","",IF(ISNA(VLOOKUP($B114,'B-1 On-Site Hedge Baseline'!$B$1:$L$257,10,FALSE)),"",(VLOOKUP($B114,'B-1 On-Site Hedge Baseline'!$B$1:$L$257,10,FALSE))))</f>
        <v/>
      </c>
      <c r="J114" s="310" t="str">
        <f>IF(B114="","",IF(ISNA(VLOOKUP($B114,'B-1 On-Site Hedge Baseline'!$B$1:$L$257,11,FALSE)),"",(VLOOKUP($B114,'B-1 On-Site Hedge Baseline'!$B$1:$L$257,11,FALSE))))</f>
        <v/>
      </c>
      <c r="K114" s="310" t="str">
        <f>IF(B114="","",IF(ISNA(VLOOKUP($B114,'B-1 On-Site Hedge Baseline'!$B$1:$U$257,13,FALSE)),"",(VLOOKUP($B114,'B-1 On-Site Hedge Baseline'!$B$1:$U$257,13,FALSE))))</f>
        <v/>
      </c>
      <c r="L114" s="314" t="str">
        <f>IF(B114="","",IF(ISNA(VLOOKUP($B114,'B-1 On-Site Hedge Baseline'!$B$1:$U$257,12,FALSE)),"",(VLOOKUP($B114,'B-1 On-Site Hedge Baseline'!$B$1:$U$257,12,FALSE))))</f>
        <v/>
      </c>
      <c r="M114" s="583"/>
      <c r="N114" s="290" t="str">
        <f>IFERROR(IF(B114="","",INDEX('G-6 Hedgerow Data'!$AN$3:$AZ$15,MATCH(C114,'G-6 Hedgerow Data'!$AM$3:$AM$15,0),MATCH(M114,'G-6 Hedgerow Data'!$AN$2:$AZ$2,0))),"")</f>
        <v/>
      </c>
      <c r="O114" s="291" t="str">
        <f t="shared" si="8"/>
        <v/>
      </c>
      <c r="P114" s="341" t="str">
        <f>IF(B114="","",VLOOKUP(B114,'B-1 On-Site Hedge Baseline'!$B$10:T359,16,FALSE))</f>
        <v/>
      </c>
      <c r="Q114" s="290" t="str">
        <f>IF(M114="","",VLOOKUP(M114,'G-6 Hedgerow Data'!$B$2:$AG$15,2,FALSE))</f>
        <v/>
      </c>
      <c r="R114" s="291" t="str">
        <f>IF(M114="","",VLOOKUP(M114,'G-6 Hedgerow Data'!$B$2:$AG$15,3,FALSE))</f>
        <v/>
      </c>
      <c r="S114" s="106"/>
      <c r="T114" s="328" t="str">
        <f>IFERROR(IF(S114="","",IF(AND(M114="Non-native and ornamental hedgerow", S114&lt;&gt;"Poor"),"Not possible ▲", (VLOOKUP(S114,'G-1 All Habitats'!$Z$2:$AA$9,2,FALSE)))),"")</f>
        <v/>
      </c>
      <c r="U114" s="103"/>
      <c r="V114" s="310" t="str">
        <f>IF(U114="","",IF(VLOOKUP(U114,'G-3 Multipliers'!$L$3:$N$6,2,FALSE)=0,"Spatial Data Missing ⚠",VLOOKUP(U114,'G-3 Multipliers'!$L$3:$N$6,2,FALSE)))</f>
        <v/>
      </c>
      <c r="W114" s="314" t="str">
        <f>IF(U114="","",IF(VLOOKUP(U114,'G-3 Multipliers'!$L$3:$N$6,3,FALSE)=0,"Spatial Data Missing ⚠",VLOOKUP(U114,'G-3 Multipliers'!$L$3:$N$6,3,FALSE)))</f>
        <v/>
      </c>
      <c r="X114" s="290" t="str">
        <f>IFERROR(IF(OR(LEFT(O114,5)="Error",LEFT(N114,5)="Error",T114="Error"),"Check Data ⚠",IF(F114&lt;R114,INDEX('G-6 Hedgerow Data'!$S$3:$AE$14,MATCH(C114,'G-6 Hedgerow Data'!$B$3:$B$14,0),MATCH(M114,'G-6 Hedgerow Data'!$S$2:$AE$2,0)),INDEX('G-6 Hedgerow Data'!$K$3:$Q$14,MATCH(M114,'G-6 Hedgerow Data'!$B$3:$B$14,0),MATCH(O114,'G-6 Hedgerow Data'!$K$2:$Q$2,0)))),"")</f>
        <v/>
      </c>
      <c r="Y114" s="138"/>
      <c r="Z114" s="138"/>
      <c r="AA114" s="298" t="str">
        <f t="shared" si="9"/>
        <v/>
      </c>
      <c r="AB114" s="311" t="str">
        <f t="shared" si="10"/>
        <v/>
      </c>
      <c r="AC114" s="312" t="str">
        <f t="shared" si="7"/>
        <v/>
      </c>
      <c r="AD114" s="325" t="str">
        <f>IF(M114="","",VLOOKUP(M114,'G-6 Hedgerow Data'!$B$3:$AG$15,31,FALSE))</f>
        <v/>
      </c>
      <c r="AE114" s="298" t="str">
        <f t="shared" si="11"/>
        <v/>
      </c>
      <c r="AF114" s="298" t="str">
        <f t="shared" si="12"/>
        <v/>
      </c>
      <c r="AG114" s="314" t="str">
        <f>IFERROR(IF(O114="","",VLOOKUP(AD114,'G-3 Multipliers'!$P$3:$Q$6,2,FALSE)),"")</f>
        <v/>
      </c>
      <c r="AH114" s="304" t="str">
        <f t="shared" si="13"/>
        <v/>
      </c>
      <c r="AI114" s="157"/>
      <c r="AJ114" s="99"/>
      <c r="AK114" s="101"/>
      <c r="AT114" s="15" t="str">
        <f>IFERROR(INDEX('G-6 Hedgerow Data'!$BJ$3:$BJ$15,MATCH(M114,'G-6 Hedgerow Data'!$B$3:$B$15,0)),"")</f>
        <v/>
      </c>
    </row>
    <row r="115" spans="2:46" ht="14" x14ac:dyDescent="0.3">
      <c r="B115" s="319" t="str">
        <f>'B-1 On-Site Hedge Baseline'!AK113</f>
        <v/>
      </c>
      <c r="C115" s="310" t="str">
        <f>IF(B115="","",IF(ISNA(VLOOKUP($B115,'B-1 On-Site Hedge Baseline'!$B$1:$L$257,3,FALSE)),"",(VLOOKUP($B115,'B-1 On-Site Hedge Baseline'!$B$1:$L$257,3,FALSE))))</f>
        <v/>
      </c>
      <c r="D115" s="310" t="str">
        <f>IF(B115="","",IF(ISNA(VLOOKUP($B115,'B-1 On-Site Hedge Baseline'!$B$1:$L$257,4,FALSE)),"",(VLOOKUP($B115,'B-1 On-Site Hedge Baseline'!$B$1:$L$257,4,FALSE))))</f>
        <v/>
      </c>
      <c r="E115" s="310" t="str">
        <f>IF(B115="","",IF(ISNA(VLOOKUP($B115,'B-1 On-Site Hedge Baseline'!$B$1:$L$257,5,FALSE)),"",(VLOOKUP($B115,'B-1 On-Site Hedge Baseline'!$B$1:$L$257,5,FALSE))))</f>
        <v/>
      </c>
      <c r="F115" s="310" t="str">
        <f>IF(B115="","",IF(ISNA(VLOOKUP($B115,'B-1 On-Site Hedge Baseline'!$B$1:$L$257,6,FALSE)),"",(VLOOKUP($B115,'B-1 On-Site Hedge Baseline'!$B$1:$L$257,6,FALSE))))</f>
        <v/>
      </c>
      <c r="G115" s="310" t="str">
        <f>IF(B115="","",IF(ISNA(VLOOKUP($B115,'B-1 On-Site Hedge Baseline'!$B$1:$L$257,7,FALSE)),"",(VLOOKUP($B115,'B-1 On-Site Hedge Baseline'!$B$1:$L$257,7,FALSE))))</f>
        <v/>
      </c>
      <c r="H115" s="310" t="str">
        <f>IF(B115="","",IF(ISNA(VLOOKUP($B115,'B-1 On-Site Hedge Baseline'!$B$1:$L$257,8,FALSE)),"",(VLOOKUP($B115,'B-1 On-Site Hedge Baseline'!$B$1:$L$257,8,FALSE))))</f>
        <v/>
      </c>
      <c r="I115" s="310" t="str">
        <f>IF(B115="","",IF(ISNA(VLOOKUP($B115,'B-1 On-Site Hedge Baseline'!$B$1:$L$257,10,FALSE)),"",(VLOOKUP($B115,'B-1 On-Site Hedge Baseline'!$B$1:$L$257,10,FALSE))))</f>
        <v/>
      </c>
      <c r="J115" s="310" t="str">
        <f>IF(B115="","",IF(ISNA(VLOOKUP($B115,'B-1 On-Site Hedge Baseline'!$B$1:$L$257,11,FALSE)),"",(VLOOKUP($B115,'B-1 On-Site Hedge Baseline'!$B$1:$L$257,11,FALSE))))</f>
        <v/>
      </c>
      <c r="K115" s="310" t="str">
        <f>IF(B115="","",IF(ISNA(VLOOKUP($B115,'B-1 On-Site Hedge Baseline'!$B$1:$U$257,13,FALSE)),"",(VLOOKUP($B115,'B-1 On-Site Hedge Baseline'!$B$1:$U$257,13,FALSE))))</f>
        <v/>
      </c>
      <c r="L115" s="314" t="str">
        <f>IF(B115="","",IF(ISNA(VLOOKUP($B115,'B-1 On-Site Hedge Baseline'!$B$1:$U$257,12,FALSE)),"",(VLOOKUP($B115,'B-1 On-Site Hedge Baseline'!$B$1:$U$257,12,FALSE))))</f>
        <v/>
      </c>
      <c r="M115" s="583"/>
      <c r="N115" s="290" t="str">
        <f>IFERROR(IF(B115="","",INDEX('G-6 Hedgerow Data'!$AN$3:$AZ$15,MATCH(C115,'G-6 Hedgerow Data'!$AM$3:$AM$15,0),MATCH(M115,'G-6 Hedgerow Data'!$AN$2:$AZ$2,0))),"")</f>
        <v/>
      </c>
      <c r="O115" s="291" t="str">
        <f t="shared" si="8"/>
        <v/>
      </c>
      <c r="P115" s="341" t="str">
        <f>IF(B115="","",VLOOKUP(B115,'B-1 On-Site Hedge Baseline'!$B$10:T360,16,FALSE))</f>
        <v/>
      </c>
      <c r="Q115" s="290" t="str">
        <f>IF(M115="","",VLOOKUP(M115,'G-6 Hedgerow Data'!$B$2:$AG$15,2,FALSE))</f>
        <v/>
      </c>
      <c r="R115" s="291" t="str">
        <f>IF(M115="","",VLOOKUP(M115,'G-6 Hedgerow Data'!$B$2:$AG$15,3,FALSE))</f>
        <v/>
      </c>
      <c r="S115" s="106"/>
      <c r="T115" s="328" t="str">
        <f>IFERROR(IF(S115="","",IF(AND(M115="Non-native and ornamental hedgerow", S115&lt;&gt;"Poor"),"Not possible ▲", (VLOOKUP(S115,'G-1 All Habitats'!$Z$2:$AA$9,2,FALSE)))),"")</f>
        <v/>
      </c>
      <c r="U115" s="103"/>
      <c r="V115" s="310" t="str">
        <f>IF(U115="","",IF(VLOOKUP(U115,'G-3 Multipliers'!$L$3:$N$6,2,FALSE)=0,"Spatial Data Missing ⚠",VLOOKUP(U115,'G-3 Multipliers'!$L$3:$N$6,2,FALSE)))</f>
        <v/>
      </c>
      <c r="W115" s="314" t="str">
        <f>IF(U115="","",IF(VLOOKUP(U115,'G-3 Multipliers'!$L$3:$N$6,3,FALSE)=0,"Spatial Data Missing ⚠",VLOOKUP(U115,'G-3 Multipliers'!$L$3:$N$6,3,FALSE)))</f>
        <v/>
      </c>
      <c r="X115" s="290" t="str">
        <f>IFERROR(IF(OR(LEFT(O115,5)="Error",LEFT(N115,5)="Error",T115="Error"),"Check Data ⚠",IF(F115&lt;R115,INDEX('G-6 Hedgerow Data'!$S$3:$AE$14,MATCH(C115,'G-6 Hedgerow Data'!$B$3:$B$14,0),MATCH(M115,'G-6 Hedgerow Data'!$S$2:$AE$2,0)),INDEX('G-6 Hedgerow Data'!$K$3:$Q$14,MATCH(M115,'G-6 Hedgerow Data'!$B$3:$B$14,0),MATCH(O115,'G-6 Hedgerow Data'!$K$2:$Q$2,0)))),"")</f>
        <v/>
      </c>
      <c r="Y115" s="138"/>
      <c r="Z115" s="138"/>
      <c r="AA115" s="298" t="str">
        <f t="shared" si="9"/>
        <v/>
      </c>
      <c r="AB115" s="311" t="str">
        <f t="shared" si="10"/>
        <v/>
      </c>
      <c r="AC115" s="312" t="str">
        <f t="shared" si="7"/>
        <v/>
      </c>
      <c r="AD115" s="325" t="str">
        <f>IF(M115="","",VLOOKUP(M115,'G-6 Hedgerow Data'!$B$3:$AG$15,31,FALSE))</f>
        <v/>
      </c>
      <c r="AE115" s="298" t="str">
        <f t="shared" si="11"/>
        <v/>
      </c>
      <c r="AF115" s="298" t="str">
        <f t="shared" si="12"/>
        <v/>
      </c>
      <c r="AG115" s="314" t="str">
        <f>IFERROR(IF(O115="","",VLOOKUP(AD115,'G-3 Multipliers'!$P$3:$Q$6,2,FALSE)),"")</f>
        <v/>
      </c>
      <c r="AH115" s="304" t="str">
        <f t="shared" si="13"/>
        <v/>
      </c>
      <c r="AI115" s="157"/>
      <c r="AJ115" s="99"/>
      <c r="AK115" s="101"/>
      <c r="AT115" s="15" t="str">
        <f>IFERROR(INDEX('G-6 Hedgerow Data'!$BJ$3:$BJ$15,MATCH(M115,'G-6 Hedgerow Data'!$B$3:$B$15,0)),"")</f>
        <v/>
      </c>
    </row>
    <row r="116" spans="2:46" ht="14" x14ac:dyDescent="0.3">
      <c r="B116" s="319" t="str">
        <f>'B-1 On-Site Hedge Baseline'!AK114</f>
        <v/>
      </c>
      <c r="C116" s="310" t="str">
        <f>IF(B116="","",IF(ISNA(VLOOKUP($B116,'B-1 On-Site Hedge Baseline'!$B$1:$L$257,3,FALSE)),"",(VLOOKUP($B116,'B-1 On-Site Hedge Baseline'!$B$1:$L$257,3,FALSE))))</f>
        <v/>
      </c>
      <c r="D116" s="310" t="str">
        <f>IF(B116="","",IF(ISNA(VLOOKUP($B116,'B-1 On-Site Hedge Baseline'!$B$1:$L$257,4,FALSE)),"",(VLOOKUP($B116,'B-1 On-Site Hedge Baseline'!$B$1:$L$257,4,FALSE))))</f>
        <v/>
      </c>
      <c r="E116" s="310" t="str">
        <f>IF(B116="","",IF(ISNA(VLOOKUP($B116,'B-1 On-Site Hedge Baseline'!$B$1:$L$257,5,FALSE)),"",(VLOOKUP($B116,'B-1 On-Site Hedge Baseline'!$B$1:$L$257,5,FALSE))))</f>
        <v/>
      </c>
      <c r="F116" s="310" t="str">
        <f>IF(B116="","",IF(ISNA(VLOOKUP($B116,'B-1 On-Site Hedge Baseline'!$B$1:$L$257,6,FALSE)),"",(VLOOKUP($B116,'B-1 On-Site Hedge Baseline'!$B$1:$L$257,6,FALSE))))</f>
        <v/>
      </c>
      <c r="G116" s="310" t="str">
        <f>IF(B116="","",IF(ISNA(VLOOKUP($B116,'B-1 On-Site Hedge Baseline'!$B$1:$L$257,7,FALSE)),"",(VLOOKUP($B116,'B-1 On-Site Hedge Baseline'!$B$1:$L$257,7,FALSE))))</f>
        <v/>
      </c>
      <c r="H116" s="310" t="str">
        <f>IF(B116="","",IF(ISNA(VLOOKUP($B116,'B-1 On-Site Hedge Baseline'!$B$1:$L$257,8,FALSE)),"",(VLOOKUP($B116,'B-1 On-Site Hedge Baseline'!$B$1:$L$257,8,FALSE))))</f>
        <v/>
      </c>
      <c r="I116" s="310" t="str">
        <f>IF(B116="","",IF(ISNA(VLOOKUP($B116,'B-1 On-Site Hedge Baseline'!$B$1:$L$257,10,FALSE)),"",(VLOOKUP($B116,'B-1 On-Site Hedge Baseline'!$B$1:$L$257,10,FALSE))))</f>
        <v/>
      </c>
      <c r="J116" s="310" t="str">
        <f>IF(B116="","",IF(ISNA(VLOOKUP($B116,'B-1 On-Site Hedge Baseline'!$B$1:$L$257,11,FALSE)),"",(VLOOKUP($B116,'B-1 On-Site Hedge Baseline'!$B$1:$L$257,11,FALSE))))</f>
        <v/>
      </c>
      <c r="K116" s="310" t="str">
        <f>IF(B116="","",IF(ISNA(VLOOKUP($B116,'B-1 On-Site Hedge Baseline'!$B$1:$U$257,13,FALSE)),"",(VLOOKUP($B116,'B-1 On-Site Hedge Baseline'!$B$1:$U$257,13,FALSE))))</f>
        <v/>
      </c>
      <c r="L116" s="314" t="str">
        <f>IF(B116="","",IF(ISNA(VLOOKUP($B116,'B-1 On-Site Hedge Baseline'!$B$1:$U$257,12,FALSE)),"",(VLOOKUP($B116,'B-1 On-Site Hedge Baseline'!$B$1:$U$257,12,FALSE))))</f>
        <v/>
      </c>
      <c r="M116" s="583"/>
      <c r="N116" s="290" t="str">
        <f>IFERROR(IF(B116="","",INDEX('G-6 Hedgerow Data'!$AN$3:$AZ$15,MATCH(C116,'G-6 Hedgerow Data'!$AM$3:$AM$15,0),MATCH(M116,'G-6 Hedgerow Data'!$AN$2:$AZ$2,0))),"")</f>
        <v/>
      </c>
      <c r="O116" s="291" t="str">
        <f t="shared" si="8"/>
        <v/>
      </c>
      <c r="P116" s="341" t="str">
        <f>IF(B116="","",VLOOKUP(B116,'B-1 On-Site Hedge Baseline'!$B$10:T361,16,FALSE))</f>
        <v/>
      </c>
      <c r="Q116" s="290" t="str">
        <f>IF(M116="","",VLOOKUP(M116,'G-6 Hedgerow Data'!$B$2:$AG$15,2,FALSE))</f>
        <v/>
      </c>
      <c r="R116" s="291" t="str">
        <f>IF(M116="","",VLOOKUP(M116,'G-6 Hedgerow Data'!$B$2:$AG$15,3,FALSE))</f>
        <v/>
      </c>
      <c r="S116" s="106"/>
      <c r="T116" s="328" t="str">
        <f>IFERROR(IF(S116="","",IF(AND(M116="Non-native and ornamental hedgerow", S116&lt;&gt;"Poor"),"Not possible ▲", (VLOOKUP(S116,'G-1 All Habitats'!$Z$2:$AA$9,2,FALSE)))),"")</f>
        <v/>
      </c>
      <c r="U116" s="103"/>
      <c r="V116" s="310" t="str">
        <f>IF(U116="","",IF(VLOOKUP(U116,'G-3 Multipliers'!$L$3:$N$6,2,FALSE)=0,"Spatial Data Missing ⚠",VLOOKUP(U116,'G-3 Multipliers'!$L$3:$N$6,2,FALSE)))</f>
        <v/>
      </c>
      <c r="W116" s="314" t="str">
        <f>IF(U116="","",IF(VLOOKUP(U116,'G-3 Multipliers'!$L$3:$N$6,3,FALSE)=0,"Spatial Data Missing ⚠",VLOOKUP(U116,'G-3 Multipliers'!$L$3:$N$6,3,FALSE)))</f>
        <v/>
      </c>
      <c r="X116" s="290" t="str">
        <f>IFERROR(IF(OR(LEFT(O116,5)="Error",LEFT(N116,5)="Error",T116="Error"),"Check Data ⚠",IF(F116&lt;R116,INDEX('G-6 Hedgerow Data'!$S$3:$AE$14,MATCH(C116,'G-6 Hedgerow Data'!$B$3:$B$14,0),MATCH(M116,'G-6 Hedgerow Data'!$S$2:$AE$2,0)),INDEX('G-6 Hedgerow Data'!$K$3:$Q$14,MATCH(M116,'G-6 Hedgerow Data'!$B$3:$B$14,0),MATCH(O116,'G-6 Hedgerow Data'!$K$2:$Q$2,0)))),"")</f>
        <v/>
      </c>
      <c r="Y116" s="138"/>
      <c r="Z116" s="138"/>
      <c r="AA116" s="298" t="str">
        <f t="shared" si="9"/>
        <v/>
      </c>
      <c r="AB116" s="311" t="str">
        <f t="shared" si="10"/>
        <v/>
      </c>
      <c r="AC116" s="312" t="str">
        <f t="shared" si="7"/>
        <v/>
      </c>
      <c r="AD116" s="325" t="str">
        <f>IF(M116="","",VLOOKUP(M116,'G-6 Hedgerow Data'!$B$3:$AG$15,31,FALSE))</f>
        <v/>
      </c>
      <c r="AE116" s="298" t="str">
        <f t="shared" si="11"/>
        <v/>
      </c>
      <c r="AF116" s="298" t="str">
        <f t="shared" si="12"/>
        <v/>
      </c>
      <c r="AG116" s="314" t="str">
        <f>IFERROR(IF(O116="","",VLOOKUP(AD116,'G-3 Multipliers'!$P$3:$Q$6,2,FALSE)),"")</f>
        <v/>
      </c>
      <c r="AH116" s="304" t="str">
        <f t="shared" si="13"/>
        <v/>
      </c>
      <c r="AI116" s="157"/>
      <c r="AJ116" s="99"/>
      <c r="AK116" s="101"/>
      <c r="AT116" s="15" t="str">
        <f>IFERROR(INDEX('G-6 Hedgerow Data'!$BJ$3:$BJ$15,MATCH(M116,'G-6 Hedgerow Data'!$B$3:$B$15,0)),"")</f>
        <v/>
      </c>
    </row>
    <row r="117" spans="2:46" ht="14" x14ac:dyDescent="0.3">
      <c r="B117" s="319" t="str">
        <f>'B-1 On-Site Hedge Baseline'!AK115</f>
        <v/>
      </c>
      <c r="C117" s="310" t="str">
        <f>IF(B117="","",IF(ISNA(VLOOKUP($B117,'B-1 On-Site Hedge Baseline'!$B$1:$L$257,3,FALSE)),"",(VLOOKUP($B117,'B-1 On-Site Hedge Baseline'!$B$1:$L$257,3,FALSE))))</f>
        <v/>
      </c>
      <c r="D117" s="310" t="str">
        <f>IF(B117="","",IF(ISNA(VLOOKUP($B117,'B-1 On-Site Hedge Baseline'!$B$1:$L$257,4,FALSE)),"",(VLOOKUP($B117,'B-1 On-Site Hedge Baseline'!$B$1:$L$257,4,FALSE))))</f>
        <v/>
      </c>
      <c r="E117" s="310" t="str">
        <f>IF(B117="","",IF(ISNA(VLOOKUP($B117,'B-1 On-Site Hedge Baseline'!$B$1:$L$257,5,FALSE)),"",(VLOOKUP($B117,'B-1 On-Site Hedge Baseline'!$B$1:$L$257,5,FALSE))))</f>
        <v/>
      </c>
      <c r="F117" s="310" t="str">
        <f>IF(B117="","",IF(ISNA(VLOOKUP($B117,'B-1 On-Site Hedge Baseline'!$B$1:$L$257,6,FALSE)),"",(VLOOKUP($B117,'B-1 On-Site Hedge Baseline'!$B$1:$L$257,6,FALSE))))</f>
        <v/>
      </c>
      <c r="G117" s="310" t="str">
        <f>IF(B117="","",IF(ISNA(VLOOKUP($B117,'B-1 On-Site Hedge Baseline'!$B$1:$L$257,7,FALSE)),"",(VLOOKUP($B117,'B-1 On-Site Hedge Baseline'!$B$1:$L$257,7,FALSE))))</f>
        <v/>
      </c>
      <c r="H117" s="310" t="str">
        <f>IF(B117="","",IF(ISNA(VLOOKUP($B117,'B-1 On-Site Hedge Baseline'!$B$1:$L$257,8,FALSE)),"",(VLOOKUP($B117,'B-1 On-Site Hedge Baseline'!$B$1:$L$257,8,FALSE))))</f>
        <v/>
      </c>
      <c r="I117" s="310" t="str">
        <f>IF(B117="","",IF(ISNA(VLOOKUP($B117,'B-1 On-Site Hedge Baseline'!$B$1:$L$257,10,FALSE)),"",(VLOOKUP($B117,'B-1 On-Site Hedge Baseline'!$B$1:$L$257,10,FALSE))))</f>
        <v/>
      </c>
      <c r="J117" s="310" t="str">
        <f>IF(B117="","",IF(ISNA(VLOOKUP($B117,'B-1 On-Site Hedge Baseline'!$B$1:$L$257,11,FALSE)),"",(VLOOKUP($B117,'B-1 On-Site Hedge Baseline'!$B$1:$L$257,11,FALSE))))</f>
        <v/>
      </c>
      <c r="K117" s="310" t="str">
        <f>IF(B117="","",IF(ISNA(VLOOKUP($B117,'B-1 On-Site Hedge Baseline'!$B$1:$U$257,13,FALSE)),"",(VLOOKUP($B117,'B-1 On-Site Hedge Baseline'!$B$1:$U$257,13,FALSE))))</f>
        <v/>
      </c>
      <c r="L117" s="314" t="str">
        <f>IF(B117="","",IF(ISNA(VLOOKUP($B117,'B-1 On-Site Hedge Baseline'!$B$1:$U$257,12,FALSE)),"",(VLOOKUP($B117,'B-1 On-Site Hedge Baseline'!$B$1:$U$257,12,FALSE))))</f>
        <v/>
      </c>
      <c r="M117" s="583"/>
      <c r="N117" s="290" t="str">
        <f>IFERROR(IF(B117="","",INDEX('G-6 Hedgerow Data'!$AN$3:$AZ$15,MATCH(C117,'G-6 Hedgerow Data'!$AM$3:$AM$15,0),MATCH(M117,'G-6 Hedgerow Data'!$AN$2:$AZ$2,0))),"")</f>
        <v/>
      </c>
      <c r="O117" s="291" t="str">
        <f t="shared" si="8"/>
        <v/>
      </c>
      <c r="P117" s="341" t="str">
        <f>IF(B117="","",VLOOKUP(B117,'B-1 On-Site Hedge Baseline'!$B$10:T362,16,FALSE))</f>
        <v/>
      </c>
      <c r="Q117" s="290" t="str">
        <f>IF(M117="","",VLOOKUP(M117,'G-6 Hedgerow Data'!$B$2:$AG$15,2,FALSE))</f>
        <v/>
      </c>
      <c r="R117" s="291" t="str">
        <f>IF(M117="","",VLOOKUP(M117,'G-6 Hedgerow Data'!$B$2:$AG$15,3,FALSE))</f>
        <v/>
      </c>
      <c r="S117" s="106"/>
      <c r="T117" s="328" t="str">
        <f>IFERROR(IF(S117="","",IF(AND(M117="Non-native and ornamental hedgerow", S117&lt;&gt;"Poor"),"Not possible ▲", (VLOOKUP(S117,'G-1 All Habitats'!$Z$2:$AA$9,2,FALSE)))),"")</f>
        <v/>
      </c>
      <c r="U117" s="103"/>
      <c r="V117" s="310" t="str">
        <f>IF(U117="","",IF(VLOOKUP(U117,'G-3 Multipliers'!$L$3:$N$6,2,FALSE)=0,"Spatial Data Missing ⚠",VLOOKUP(U117,'G-3 Multipliers'!$L$3:$N$6,2,FALSE)))</f>
        <v/>
      </c>
      <c r="W117" s="314" t="str">
        <f>IF(U117="","",IF(VLOOKUP(U117,'G-3 Multipliers'!$L$3:$N$6,3,FALSE)=0,"Spatial Data Missing ⚠",VLOOKUP(U117,'G-3 Multipliers'!$L$3:$N$6,3,FALSE)))</f>
        <v/>
      </c>
      <c r="X117" s="290" t="str">
        <f>IFERROR(IF(OR(LEFT(O117,5)="Error",LEFT(N117,5)="Error",T117="Error"),"Check Data ⚠",IF(F117&lt;R117,INDEX('G-6 Hedgerow Data'!$S$3:$AE$14,MATCH(C117,'G-6 Hedgerow Data'!$B$3:$B$14,0),MATCH(M117,'G-6 Hedgerow Data'!$S$2:$AE$2,0)),INDEX('G-6 Hedgerow Data'!$K$3:$Q$14,MATCH(M117,'G-6 Hedgerow Data'!$B$3:$B$14,0),MATCH(O117,'G-6 Hedgerow Data'!$K$2:$Q$2,0)))),"")</f>
        <v/>
      </c>
      <c r="Y117" s="138"/>
      <c r="Z117" s="138"/>
      <c r="AA117" s="298" t="str">
        <f t="shared" si="9"/>
        <v/>
      </c>
      <c r="AB117" s="311" t="str">
        <f t="shared" si="10"/>
        <v/>
      </c>
      <c r="AC117" s="312" t="str">
        <f t="shared" si="7"/>
        <v/>
      </c>
      <c r="AD117" s="325" t="str">
        <f>IF(M117="","",VLOOKUP(M117,'G-6 Hedgerow Data'!$B$3:$AG$15,31,FALSE))</f>
        <v/>
      </c>
      <c r="AE117" s="298" t="str">
        <f t="shared" si="11"/>
        <v/>
      </c>
      <c r="AF117" s="298" t="str">
        <f t="shared" si="12"/>
        <v/>
      </c>
      <c r="AG117" s="314" t="str">
        <f>IFERROR(IF(O117="","",VLOOKUP(AD117,'G-3 Multipliers'!$P$3:$Q$6,2,FALSE)),"")</f>
        <v/>
      </c>
      <c r="AH117" s="304" t="str">
        <f t="shared" si="13"/>
        <v/>
      </c>
      <c r="AI117" s="157"/>
      <c r="AJ117" s="99"/>
      <c r="AK117" s="101"/>
      <c r="AT117" s="15" t="str">
        <f>IFERROR(INDEX('G-6 Hedgerow Data'!$BJ$3:$BJ$15,MATCH(M117,'G-6 Hedgerow Data'!$B$3:$B$15,0)),"")</f>
        <v/>
      </c>
    </row>
    <row r="118" spans="2:46" ht="14" x14ac:dyDescent="0.3">
      <c r="B118" s="319" t="str">
        <f>'B-1 On-Site Hedge Baseline'!AK116</f>
        <v/>
      </c>
      <c r="C118" s="310" t="str">
        <f>IF(B118="","",IF(ISNA(VLOOKUP($B118,'B-1 On-Site Hedge Baseline'!$B$1:$L$257,3,FALSE)),"",(VLOOKUP($B118,'B-1 On-Site Hedge Baseline'!$B$1:$L$257,3,FALSE))))</f>
        <v/>
      </c>
      <c r="D118" s="310" t="str">
        <f>IF(B118="","",IF(ISNA(VLOOKUP($B118,'B-1 On-Site Hedge Baseline'!$B$1:$L$257,4,FALSE)),"",(VLOOKUP($B118,'B-1 On-Site Hedge Baseline'!$B$1:$L$257,4,FALSE))))</f>
        <v/>
      </c>
      <c r="E118" s="310" t="str">
        <f>IF(B118="","",IF(ISNA(VLOOKUP($B118,'B-1 On-Site Hedge Baseline'!$B$1:$L$257,5,FALSE)),"",(VLOOKUP($B118,'B-1 On-Site Hedge Baseline'!$B$1:$L$257,5,FALSE))))</f>
        <v/>
      </c>
      <c r="F118" s="310" t="str">
        <f>IF(B118="","",IF(ISNA(VLOOKUP($B118,'B-1 On-Site Hedge Baseline'!$B$1:$L$257,6,FALSE)),"",(VLOOKUP($B118,'B-1 On-Site Hedge Baseline'!$B$1:$L$257,6,FALSE))))</f>
        <v/>
      </c>
      <c r="G118" s="310" t="str">
        <f>IF(B118="","",IF(ISNA(VLOOKUP($B118,'B-1 On-Site Hedge Baseline'!$B$1:$L$257,7,FALSE)),"",(VLOOKUP($B118,'B-1 On-Site Hedge Baseline'!$B$1:$L$257,7,FALSE))))</f>
        <v/>
      </c>
      <c r="H118" s="310" t="str">
        <f>IF(B118="","",IF(ISNA(VLOOKUP($B118,'B-1 On-Site Hedge Baseline'!$B$1:$L$257,8,FALSE)),"",(VLOOKUP($B118,'B-1 On-Site Hedge Baseline'!$B$1:$L$257,8,FALSE))))</f>
        <v/>
      </c>
      <c r="I118" s="310" t="str">
        <f>IF(B118="","",IF(ISNA(VLOOKUP($B118,'B-1 On-Site Hedge Baseline'!$B$1:$L$257,10,FALSE)),"",(VLOOKUP($B118,'B-1 On-Site Hedge Baseline'!$B$1:$L$257,10,FALSE))))</f>
        <v/>
      </c>
      <c r="J118" s="310" t="str">
        <f>IF(B118="","",IF(ISNA(VLOOKUP($B118,'B-1 On-Site Hedge Baseline'!$B$1:$L$257,11,FALSE)),"",(VLOOKUP($B118,'B-1 On-Site Hedge Baseline'!$B$1:$L$257,11,FALSE))))</f>
        <v/>
      </c>
      <c r="K118" s="310" t="str">
        <f>IF(B118="","",IF(ISNA(VLOOKUP($B118,'B-1 On-Site Hedge Baseline'!$B$1:$U$257,13,FALSE)),"",(VLOOKUP($B118,'B-1 On-Site Hedge Baseline'!$B$1:$U$257,13,FALSE))))</f>
        <v/>
      </c>
      <c r="L118" s="314" t="str">
        <f>IF(B118="","",IF(ISNA(VLOOKUP($B118,'B-1 On-Site Hedge Baseline'!$B$1:$U$257,12,FALSE)),"",(VLOOKUP($B118,'B-1 On-Site Hedge Baseline'!$B$1:$U$257,12,FALSE))))</f>
        <v/>
      </c>
      <c r="M118" s="583"/>
      <c r="N118" s="290" t="str">
        <f>IFERROR(IF(B118="","",INDEX('G-6 Hedgerow Data'!$AN$3:$AZ$15,MATCH(C118,'G-6 Hedgerow Data'!$AM$3:$AM$15,0),MATCH(M118,'G-6 Hedgerow Data'!$AN$2:$AZ$2,0))),"")</f>
        <v/>
      </c>
      <c r="O118" s="291" t="str">
        <f t="shared" si="8"/>
        <v/>
      </c>
      <c r="P118" s="341" t="str">
        <f>IF(B118="","",VLOOKUP(B118,'B-1 On-Site Hedge Baseline'!$B$10:T363,16,FALSE))</f>
        <v/>
      </c>
      <c r="Q118" s="290" t="str">
        <f>IF(M118="","",VLOOKUP(M118,'G-6 Hedgerow Data'!$B$2:$AG$15,2,FALSE))</f>
        <v/>
      </c>
      <c r="R118" s="291" t="str">
        <f>IF(M118="","",VLOOKUP(M118,'G-6 Hedgerow Data'!$B$2:$AG$15,3,FALSE))</f>
        <v/>
      </c>
      <c r="S118" s="106"/>
      <c r="T118" s="328" t="str">
        <f>IFERROR(IF(S118="","",IF(AND(M118="Non-native and ornamental hedgerow", S118&lt;&gt;"Poor"),"Not possible ▲", (VLOOKUP(S118,'G-1 All Habitats'!$Z$2:$AA$9,2,FALSE)))),"")</f>
        <v/>
      </c>
      <c r="U118" s="103"/>
      <c r="V118" s="310" t="str">
        <f>IF(U118="","",IF(VLOOKUP(U118,'G-3 Multipliers'!$L$3:$N$6,2,FALSE)=0,"Spatial Data Missing ⚠",VLOOKUP(U118,'G-3 Multipliers'!$L$3:$N$6,2,FALSE)))</f>
        <v/>
      </c>
      <c r="W118" s="314" t="str">
        <f>IF(U118="","",IF(VLOOKUP(U118,'G-3 Multipliers'!$L$3:$N$6,3,FALSE)=0,"Spatial Data Missing ⚠",VLOOKUP(U118,'G-3 Multipliers'!$L$3:$N$6,3,FALSE)))</f>
        <v/>
      </c>
      <c r="X118" s="290" t="str">
        <f>IFERROR(IF(OR(LEFT(O118,5)="Error",LEFT(N118,5)="Error",T118="Error"),"Check Data ⚠",IF(F118&lt;R118,INDEX('G-6 Hedgerow Data'!$S$3:$AE$14,MATCH(C118,'G-6 Hedgerow Data'!$B$3:$B$14,0),MATCH(M118,'G-6 Hedgerow Data'!$S$2:$AE$2,0)),INDEX('G-6 Hedgerow Data'!$K$3:$Q$14,MATCH(M118,'G-6 Hedgerow Data'!$B$3:$B$14,0),MATCH(O118,'G-6 Hedgerow Data'!$K$2:$Q$2,0)))),"")</f>
        <v/>
      </c>
      <c r="Y118" s="138"/>
      <c r="Z118" s="138"/>
      <c r="AA118" s="298" t="str">
        <f t="shared" si="9"/>
        <v/>
      </c>
      <c r="AB118" s="311" t="str">
        <f t="shared" si="10"/>
        <v/>
      </c>
      <c r="AC118" s="312" t="str">
        <f t="shared" si="7"/>
        <v/>
      </c>
      <c r="AD118" s="325" t="str">
        <f>IF(M118="","",VLOOKUP(M118,'G-6 Hedgerow Data'!$B$3:$AG$15,31,FALSE))</f>
        <v/>
      </c>
      <c r="AE118" s="298" t="str">
        <f t="shared" si="11"/>
        <v/>
      </c>
      <c r="AF118" s="298" t="str">
        <f t="shared" si="12"/>
        <v/>
      </c>
      <c r="AG118" s="314" t="str">
        <f>IFERROR(IF(O118="","",VLOOKUP(AD118,'G-3 Multipliers'!$P$3:$Q$6,2,FALSE)),"")</f>
        <v/>
      </c>
      <c r="AH118" s="304" t="str">
        <f t="shared" si="13"/>
        <v/>
      </c>
      <c r="AI118" s="157"/>
      <c r="AJ118" s="99"/>
      <c r="AK118" s="101"/>
      <c r="AT118" s="15" t="str">
        <f>IFERROR(INDEX('G-6 Hedgerow Data'!$BJ$3:$BJ$15,MATCH(M118,'G-6 Hedgerow Data'!$B$3:$B$15,0)),"")</f>
        <v/>
      </c>
    </row>
    <row r="119" spans="2:46" ht="14" x14ac:dyDescent="0.3">
      <c r="B119" s="319" t="str">
        <f>'B-1 On-Site Hedge Baseline'!AK117</f>
        <v/>
      </c>
      <c r="C119" s="310" t="str">
        <f>IF(B119="","",IF(ISNA(VLOOKUP($B119,'B-1 On-Site Hedge Baseline'!$B$1:$L$257,3,FALSE)),"",(VLOOKUP($B119,'B-1 On-Site Hedge Baseline'!$B$1:$L$257,3,FALSE))))</f>
        <v/>
      </c>
      <c r="D119" s="310" t="str">
        <f>IF(B119="","",IF(ISNA(VLOOKUP($B119,'B-1 On-Site Hedge Baseline'!$B$1:$L$257,4,FALSE)),"",(VLOOKUP($B119,'B-1 On-Site Hedge Baseline'!$B$1:$L$257,4,FALSE))))</f>
        <v/>
      </c>
      <c r="E119" s="310" t="str">
        <f>IF(B119="","",IF(ISNA(VLOOKUP($B119,'B-1 On-Site Hedge Baseline'!$B$1:$L$257,5,FALSE)),"",(VLOOKUP($B119,'B-1 On-Site Hedge Baseline'!$B$1:$L$257,5,FALSE))))</f>
        <v/>
      </c>
      <c r="F119" s="310" t="str">
        <f>IF(B119="","",IF(ISNA(VLOOKUP($B119,'B-1 On-Site Hedge Baseline'!$B$1:$L$257,6,FALSE)),"",(VLOOKUP($B119,'B-1 On-Site Hedge Baseline'!$B$1:$L$257,6,FALSE))))</f>
        <v/>
      </c>
      <c r="G119" s="310" t="str">
        <f>IF(B119="","",IF(ISNA(VLOOKUP($B119,'B-1 On-Site Hedge Baseline'!$B$1:$L$257,7,FALSE)),"",(VLOOKUP($B119,'B-1 On-Site Hedge Baseline'!$B$1:$L$257,7,FALSE))))</f>
        <v/>
      </c>
      <c r="H119" s="310" t="str">
        <f>IF(B119="","",IF(ISNA(VLOOKUP($B119,'B-1 On-Site Hedge Baseline'!$B$1:$L$257,8,FALSE)),"",(VLOOKUP($B119,'B-1 On-Site Hedge Baseline'!$B$1:$L$257,8,FALSE))))</f>
        <v/>
      </c>
      <c r="I119" s="310" t="str">
        <f>IF(B119="","",IF(ISNA(VLOOKUP($B119,'B-1 On-Site Hedge Baseline'!$B$1:$L$257,10,FALSE)),"",(VLOOKUP($B119,'B-1 On-Site Hedge Baseline'!$B$1:$L$257,10,FALSE))))</f>
        <v/>
      </c>
      <c r="J119" s="310" t="str">
        <f>IF(B119="","",IF(ISNA(VLOOKUP($B119,'B-1 On-Site Hedge Baseline'!$B$1:$L$257,11,FALSE)),"",(VLOOKUP($B119,'B-1 On-Site Hedge Baseline'!$B$1:$L$257,11,FALSE))))</f>
        <v/>
      </c>
      <c r="K119" s="310" t="str">
        <f>IF(B119="","",IF(ISNA(VLOOKUP($B119,'B-1 On-Site Hedge Baseline'!$B$1:$U$257,13,FALSE)),"",(VLOOKUP($B119,'B-1 On-Site Hedge Baseline'!$B$1:$U$257,13,FALSE))))</f>
        <v/>
      </c>
      <c r="L119" s="314" t="str">
        <f>IF(B119="","",IF(ISNA(VLOOKUP($B119,'B-1 On-Site Hedge Baseline'!$B$1:$U$257,12,FALSE)),"",(VLOOKUP($B119,'B-1 On-Site Hedge Baseline'!$B$1:$U$257,12,FALSE))))</f>
        <v/>
      </c>
      <c r="M119" s="583"/>
      <c r="N119" s="290" t="str">
        <f>IFERROR(IF(B119="","",INDEX('G-6 Hedgerow Data'!$AN$3:$AZ$15,MATCH(C119,'G-6 Hedgerow Data'!$AM$3:$AM$15,0),MATCH(M119,'G-6 Hedgerow Data'!$AN$2:$AZ$2,0))),"")</f>
        <v/>
      </c>
      <c r="O119" s="291" t="str">
        <f t="shared" si="8"/>
        <v/>
      </c>
      <c r="P119" s="341" t="str">
        <f>IF(B119="","",VLOOKUP(B119,'B-1 On-Site Hedge Baseline'!$B$10:T364,16,FALSE))</f>
        <v/>
      </c>
      <c r="Q119" s="290" t="str">
        <f>IF(M119="","",VLOOKUP(M119,'G-6 Hedgerow Data'!$B$2:$AG$15,2,FALSE))</f>
        <v/>
      </c>
      <c r="R119" s="291" t="str">
        <f>IF(M119="","",VLOOKUP(M119,'G-6 Hedgerow Data'!$B$2:$AG$15,3,FALSE))</f>
        <v/>
      </c>
      <c r="S119" s="106"/>
      <c r="T119" s="328" t="str">
        <f>IFERROR(IF(S119="","",IF(AND(M119="Non-native and ornamental hedgerow", S119&lt;&gt;"Poor"),"Not possible ▲", (VLOOKUP(S119,'G-1 All Habitats'!$Z$2:$AA$9,2,FALSE)))),"")</f>
        <v/>
      </c>
      <c r="U119" s="103"/>
      <c r="V119" s="310" t="str">
        <f>IF(U119="","",IF(VLOOKUP(U119,'G-3 Multipliers'!$L$3:$N$6,2,FALSE)=0,"Spatial Data Missing ⚠",VLOOKUP(U119,'G-3 Multipliers'!$L$3:$N$6,2,FALSE)))</f>
        <v/>
      </c>
      <c r="W119" s="314" t="str">
        <f>IF(U119="","",IF(VLOOKUP(U119,'G-3 Multipliers'!$L$3:$N$6,3,FALSE)=0,"Spatial Data Missing ⚠",VLOOKUP(U119,'G-3 Multipliers'!$L$3:$N$6,3,FALSE)))</f>
        <v/>
      </c>
      <c r="X119" s="290" t="str">
        <f>IFERROR(IF(OR(LEFT(O119,5)="Error",LEFT(N119,5)="Error",T119="Error"),"Check Data ⚠",IF(F119&lt;R119,INDEX('G-6 Hedgerow Data'!$S$3:$AE$14,MATCH(C119,'G-6 Hedgerow Data'!$B$3:$B$14,0),MATCH(M119,'G-6 Hedgerow Data'!$S$2:$AE$2,0)),INDEX('G-6 Hedgerow Data'!$K$3:$Q$14,MATCH(M119,'G-6 Hedgerow Data'!$B$3:$B$14,0),MATCH(O119,'G-6 Hedgerow Data'!$K$2:$Q$2,0)))),"")</f>
        <v/>
      </c>
      <c r="Y119" s="138"/>
      <c r="Z119" s="138"/>
      <c r="AA119" s="298" t="str">
        <f t="shared" si="9"/>
        <v/>
      </c>
      <c r="AB119" s="311" t="str">
        <f t="shared" si="10"/>
        <v/>
      </c>
      <c r="AC119" s="312" t="str">
        <f t="shared" si="7"/>
        <v/>
      </c>
      <c r="AD119" s="325" t="str">
        <f>IF(M119="","",VLOOKUP(M119,'G-6 Hedgerow Data'!$B$3:$AG$15,31,FALSE))</f>
        <v/>
      </c>
      <c r="AE119" s="298" t="str">
        <f t="shared" si="11"/>
        <v/>
      </c>
      <c r="AF119" s="298" t="str">
        <f t="shared" si="12"/>
        <v/>
      </c>
      <c r="AG119" s="314" t="str">
        <f>IFERROR(IF(O119="","",VLOOKUP(AD119,'G-3 Multipliers'!$P$3:$Q$6,2,FALSE)),"")</f>
        <v/>
      </c>
      <c r="AH119" s="304" t="str">
        <f t="shared" si="13"/>
        <v/>
      </c>
      <c r="AI119" s="157"/>
      <c r="AJ119" s="99"/>
      <c r="AK119" s="101"/>
      <c r="AT119" s="15" t="str">
        <f>IFERROR(INDEX('G-6 Hedgerow Data'!$BJ$3:$BJ$15,MATCH(M119,'G-6 Hedgerow Data'!$B$3:$B$15,0)),"")</f>
        <v/>
      </c>
    </row>
    <row r="120" spans="2:46" ht="14" x14ac:dyDescent="0.3">
      <c r="B120" s="319" t="str">
        <f>'B-1 On-Site Hedge Baseline'!AK118</f>
        <v/>
      </c>
      <c r="C120" s="310" t="str">
        <f>IF(B120="","",IF(ISNA(VLOOKUP($B120,'B-1 On-Site Hedge Baseline'!$B$1:$L$257,3,FALSE)),"",(VLOOKUP($B120,'B-1 On-Site Hedge Baseline'!$B$1:$L$257,3,FALSE))))</f>
        <v/>
      </c>
      <c r="D120" s="310" t="str">
        <f>IF(B120="","",IF(ISNA(VLOOKUP($B120,'B-1 On-Site Hedge Baseline'!$B$1:$L$257,4,FALSE)),"",(VLOOKUP($B120,'B-1 On-Site Hedge Baseline'!$B$1:$L$257,4,FALSE))))</f>
        <v/>
      </c>
      <c r="E120" s="310" t="str">
        <f>IF(B120="","",IF(ISNA(VLOOKUP($B120,'B-1 On-Site Hedge Baseline'!$B$1:$L$257,5,FALSE)),"",(VLOOKUP($B120,'B-1 On-Site Hedge Baseline'!$B$1:$L$257,5,FALSE))))</f>
        <v/>
      </c>
      <c r="F120" s="310" t="str">
        <f>IF(B120="","",IF(ISNA(VLOOKUP($B120,'B-1 On-Site Hedge Baseline'!$B$1:$L$257,6,FALSE)),"",(VLOOKUP($B120,'B-1 On-Site Hedge Baseline'!$B$1:$L$257,6,FALSE))))</f>
        <v/>
      </c>
      <c r="G120" s="310" t="str">
        <f>IF(B120="","",IF(ISNA(VLOOKUP($B120,'B-1 On-Site Hedge Baseline'!$B$1:$L$257,7,FALSE)),"",(VLOOKUP($B120,'B-1 On-Site Hedge Baseline'!$B$1:$L$257,7,FALSE))))</f>
        <v/>
      </c>
      <c r="H120" s="310" t="str">
        <f>IF(B120="","",IF(ISNA(VLOOKUP($B120,'B-1 On-Site Hedge Baseline'!$B$1:$L$257,8,FALSE)),"",(VLOOKUP($B120,'B-1 On-Site Hedge Baseline'!$B$1:$L$257,8,FALSE))))</f>
        <v/>
      </c>
      <c r="I120" s="310" t="str">
        <f>IF(B120="","",IF(ISNA(VLOOKUP($B120,'B-1 On-Site Hedge Baseline'!$B$1:$L$257,10,FALSE)),"",(VLOOKUP($B120,'B-1 On-Site Hedge Baseline'!$B$1:$L$257,10,FALSE))))</f>
        <v/>
      </c>
      <c r="J120" s="310" t="str">
        <f>IF(B120="","",IF(ISNA(VLOOKUP($B120,'B-1 On-Site Hedge Baseline'!$B$1:$L$257,11,FALSE)),"",(VLOOKUP($B120,'B-1 On-Site Hedge Baseline'!$B$1:$L$257,11,FALSE))))</f>
        <v/>
      </c>
      <c r="K120" s="310" t="str">
        <f>IF(B120="","",IF(ISNA(VLOOKUP($B120,'B-1 On-Site Hedge Baseline'!$B$1:$U$257,13,FALSE)),"",(VLOOKUP($B120,'B-1 On-Site Hedge Baseline'!$B$1:$U$257,13,FALSE))))</f>
        <v/>
      </c>
      <c r="L120" s="314" t="str">
        <f>IF(B120="","",IF(ISNA(VLOOKUP($B120,'B-1 On-Site Hedge Baseline'!$B$1:$U$257,12,FALSE)),"",(VLOOKUP($B120,'B-1 On-Site Hedge Baseline'!$B$1:$U$257,12,FALSE))))</f>
        <v/>
      </c>
      <c r="M120" s="583"/>
      <c r="N120" s="290" t="str">
        <f>IFERROR(IF(B120="","",INDEX('G-6 Hedgerow Data'!$AN$3:$AZ$15,MATCH(C120,'G-6 Hedgerow Data'!$AM$3:$AM$15,0),MATCH(M120,'G-6 Hedgerow Data'!$AN$2:$AZ$2,0))),"")</f>
        <v/>
      </c>
      <c r="O120" s="291" t="str">
        <f t="shared" si="8"/>
        <v/>
      </c>
      <c r="P120" s="341" t="str">
        <f>IF(B120="","",VLOOKUP(B120,'B-1 On-Site Hedge Baseline'!$B$10:T365,16,FALSE))</f>
        <v/>
      </c>
      <c r="Q120" s="290" t="str">
        <f>IF(M120="","",VLOOKUP(M120,'G-6 Hedgerow Data'!$B$2:$AG$15,2,FALSE))</f>
        <v/>
      </c>
      <c r="R120" s="291" t="str">
        <f>IF(M120="","",VLOOKUP(M120,'G-6 Hedgerow Data'!$B$2:$AG$15,3,FALSE))</f>
        <v/>
      </c>
      <c r="S120" s="106"/>
      <c r="T120" s="328" t="str">
        <f>IFERROR(IF(S120="","",IF(AND(M120="Non-native and ornamental hedgerow", S120&lt;&gt;"Poor"),"Not possible ▲", (VLOOKUP(S120,'G-1 All Habitats'!$Z$2:$AA$9,2,FALSE)))),"")</f>
        <v/>
      </c>
      <c r="U120" s="103"/>
      <c r="V120" s="310" t="str">
        <f>IF(U120="","",IF(VLOOKUP(U120,'G-3 Multipliers'!$L$3:$N$6,2,FALSE)=0,"Spatial Data Missing ⚠",VLOOKUP(U120,'G-3 Multipliers'!$L$3:$N$6,2,FALSE)))</f>
        <v/>
      </c>
      <c r="W120" s="314" t="str">
        <f>IF(U120="","",IF(VLOOKUP(U120,'G-3 Multipliers'!$L$3:$N$6,3,FALSE)=0,"Spatial Data Missing ⚠",VLOOKUP(U120,'G-3 Multipliers'!$L$3:$N$6,3,FALSE)))</f>
        <v/>
      </c>
      <c r="X120" s="290" t="str">
        <f>IFERROR(IF(OR(LEFT(O120,5)="Error",LEFT(N120,5)="Error",T120="Error"),"Check Data ⚠",IF(F120&lt;R120,INDEX('G-6 Hedgerow Data'!$S$3:$AE$14,MATCH(C120,'G-6 Hedgerow Data'!$B$3:$B$14,0),MATCH(M120,'G-6 Hedgerow Data'!$S$2:$AE$2,0)),INDEX('G-6 Hedgerow Data'!$K$3:$Q$14,MATCH(M120,'G-6 Hedgerow Data'!$B$3:$B$14,0),MATCH(O120,'G-6 Hedgerow Data'!$K$2:$Q$2,0)))),"")</f>
        <v/>
      </c>
      <c r="Y120" s="138"/>
      <c r="Z120" s="138"/>
      <c r="AA120" s="298" t="str">
        <f t="shared" si="9"/>
        <v/>
      </c>
      <c r="AB120" s="311" t="str">
        <f t="shared" si="10"/>
        <v/>
      </c>
      <c r="AC120" s="312" t="str">
        <f t="shared" si="7"/>
        <v/>
      </c>
      <c r="AD120" s="325" t="str">
        <f>IF(M120="","",VLOOKUP(M120,'G-6 Hedgerow Data'!$B$3:$AG$15,31,FALSE))</f>
        <v/>
      </c>
      <c r="AE120" s="298" t="str">
        <f t="shared" si="11"/>
        <v/>
      </c>
      <c r="AF120" s="298" t="str">
        <f t="shared" si="12"/>
        <v/>
      </c>
      <c r="AG120" s="314" t="str">
        <f>IFERROR(IF(O120="","",VLOOKUP(AD120,'G-3 Multipliers'!$P$3:$Q$6,2,FALSE)),"")</f>
        <v/>
      </c>
      <c r="AH120" s="304" t="str">
        <f t="shared" si="13"/>
        <v/>
      </c>
      <c r="AI120" s="157"/>
      <c r="AJ120" s="99"/>
      <c r="AK120" s="101"/>
      <c r="AT120" s="15" t="str">
        <f>IFERROR(INDEX('G-6 Hedgerow Data'!$BJ$3:$BJ$15,MATCH(M120,'G-6 Hedgerow Data'!$B$3:$B$15,0)),"")</f>
        <v/>
      </c>
    </row>
    <row r="121" spans="2:46" ht="14" x14ac:dyDescent="0.3">
      <c r="B121" s="319" t="str">
        <f>'B-1 On-Site Hedge Baseline'!AK119</f>
        <v/>
      </c>
      <c r="C121" s="310" t="str">
        <f>IF(B121="","",IF(ISNA(VLOOKUP($B121,'B-1 On-Site Hedge Baseline'!$B$1:$L$257,3,FALSE)),"",(VLOOKUP($B121,'B-1 On-Site Hedge Baseline'!$B$1:$L$257,3,FALSE))))</f>
        <v/>
      </c>
      <c r="D121" s="310" t="str">
        <f>IF(B121="","",IF(ISNA(VLOOKUP($B121,'B-1 On-Site Hedge Baseline'!$B$1:$L$257,4,FALSE)),"",(VLOOKUP($B121,'B-1 On-Site Hedge Baseline'!$B$1:$L$257,4,FALSE))))</f>
        <v/>
      </c>
      <c r="E121" s="310" t="str">
        <f>IF(B121="","",IF(ISNA(VLOOKUP($B121,'B-1 On-Site Hedge Baseline'!$B$1:$L$257,5,FALSE)),"",(VLOOKUP($B121,'B-1 On-Site Hedge Baseline'!$B$1:$L$257,5,FALSE))))</f>
        <v/>
      </c>
      <c r="F121" s="310" t="str">
        <f>IF(B121="","",IF(ISNA(VLOOKUP($B121,'B-1 On-Site Hedge Baseline'!$B$1:$L$257,6,FALSE)),"",(VLOOKUP($B121,'B-1 On-Site Hedge Baseline'!$B$1:$L$257,6,FALSE))))</f>
        <v/>
      </c>
      <c r="G121" s="310" t="str">
        <f>IF(B121="","",IF(ISNA(VLOOKUP($B121,'B-1 On-Site Hedge Baseline'!$B$1:$L$257,7,FALSE)),"",(VLOOKUP($B121,'B-1 On-Site Hedge Baseline'!$B$1:$L$257,7,FALSE))))</f>
        <v/>
      </c>
      <c r="H121" s="310" t="str">
        <f>IF(B121="","",IF(ISNA(VLOOKUP($B121,'B-1 On-Site Hedge Baseline'!$B$1:$L$257,8,FALSE)),"",(VLOOKUP($B121,'B-1 On-Site Hedge Baseline'!$B$1:$L$257,8,FALSE))))</f>
        <v/>
      </c>
      <c r="I121" s="310" t="str">
        <f>IF(B121="","",IF(ISNA(VLOOKUP($B121,'B-1 On-Site Hedge Baseline'!$B$1:$L$257,10,FALSE)),"",(VLOOKUP($B121,'B-1 On-Site Hedge Baseline'!$B$1:$L$257,10,FALSE))))</f>
        <v/>
      </c>
      <c r="J121" s="310" t="str">
        <f>IF(B121="","",IF(ISNA(VLOOKUP($B121,'B-1 On-Site Hedge Baseline'!$B$1:$L$257,11,FALSE)),"",(VLOOKUP($B121,'B-1 On-Site Hedge Baseline'!$B$1:$L$257,11,FALSE))))</f>
        <v/>
      </c>
      <c r="K121" s="310" t="str">
        <f>IF(B121="","",IF(ISNA(VLOOKUP($B121,'B-1 On-Site Hedge Baseline'!$B$1:$U$257,13,FALSE)),"",(VLOOKUP($B121,'B-1 On-Site Hedge Baseline'!$B$1:$U$257,13,FALSE))))</f>
        <v/>
      </c>
      <c r="L121" s="314" t="str">
        <f>IF(B121="","",IF(ISNA(VLOOKUP($B121,'B-1 On-Site Hedge Baseline'!$B$1:$U$257,12,FALSE)),"",(VLOOKUP($B121,'B-1 On-Site Hedge Baseline'!$B$1:$U$257,12,FALSE))))</f>
        <v/>
      </c>
      <c r="M121" s="583"/>
      <c r="N121" s="290" t="str">
        <f>IFERROR(IF(B121="","",INDEX('G-6 Hedgerow Data'!$AN$3:$AZ$15,MATCH(C121,'G-6 Hedgerow Data'!$AM$3:$AM$15,0),MATCH(M121,'G-6 Hedgerow Data'!$AN$2:$AZ$2,0))),"")</f>
        <v/>
      </c>
      <c r="O121" s="291" t="str">
        <f t="shared" si="8"/>
        <v/>
      </c>
      <c r="P121" s="341" t="str">
        <f>IF(B121="","",VLOOKUP(B121,'B-1 On-Site Hedge Baseline'!$B$10:T366,16,FALSE))</f>
        <v/>
      </c>
      <c r="Q121" s="290" t="str">
        <f>IF(M121="","",VLOOKUP(M121,'G-6 Hedgerow Data'!$B$2:$AG$15,2,FALSE))</f>
        <v/>
      </c>
      <c r="R121" s="291" t="str">
        <f>IF(M121="","",VLOOKUP(M121,'G-6 Hedgerow Data'!$B$2:$AG$15,3,FALSE))</f>
        <v/>
      </c>
      <c r="S121" s="106"/>
      <c r="T121" s="328" t="str">
        <f>IFERROR(IF(S121="","",IF(AND(M121="Non-native and ornamental hedgerow", S121&lt;&gt;"Poor"),"Not possible ▲", (VLOOKUP(S121,'G-1 All Habitats'!$Z$2:$AA$9,2,FALSE)))),"")</f>
        <v/>
      </c>
      <c r="U121" s="103"/>
      <c r="V121" s="310" t="str">
        <f>IF(U121="","",IF(VLOOKUP(U121,'G-3 Multipliers'!$L$3:$N$6,2,FALSE)=0,"Spatial Data Missing ⚠",VLOOKUP(U121,'G-3 Multipliers'!$L$3:$N$6,2,FALSE)))</f>
        <v/>
      </c>
      <c r="W121" s="314" t="str">
        <f>IF(U121="","",IF(VLOOKUP(U121,'G-3 Multipliers'!$L$3:$N$6,3,FALSE)=0,"Spatial Data Missing ⚠",VLOOKUP(U121,'G-3 Multipliers'!$L$3:$N$6,3,FALSE)))</f>
        <v/>
      </c>
      <c r="X121" s="290" t="str">
        <f>IFERROR(IF(OR(LEFT(O121,5)="Error",LEFT(N121,5)="Error",T121="Error"),"Check Data ⚠",IF(F121&lt;R121,INDEX('G-6 Hedgerow Data'!$S$3:$AE$14,MATCH(C121,'G-6 Hedgerow Data'!$B$3:$B$14,0),MATCH(M121,'G-6 Hedgerow Data'!$S$2:$AE$2,0)),INDEX('G-6 Hedgerow Data'!$K$3:$Q$14,MATCH(M121,'G-6 Hedgerow Data'!$B$3:$B$14,0),MATCH(O121,'G-6 Hedgerow Data'!$K$2:$Q$2,0)))),"")</f>
        <v/>
      </c>
      <c r="Y121" s="138"/>
      <c r="Z121" s="138"/>
      <c r="AA121" s="298" t="str">
        <f t="shared" si="9"/>
        <v/>
      </c>
      <c r="AB121" s="311" t="str">
        <f t="shared" si="10"/>
        <v/>
      </c>
      <c r="AC121" s="312" t="str">
        <f t="shared" si="7"/>
        <v/>
      </c>
      <c r="AD121" s="325" t="str">
        <f>IF(M121="","",VLOOKUP(M121,'G-6 Hedgerow Data'!$B$3:$AG$15,31,FALSE))</f>
        <v/>
      </c>
      <c r="AE121" s="298" t="str">
        <f t="shared" si="11"/>
        <v/>
      </c>
      <c r="AF121" s="298" t="str">
        <f t="shared" si="12"/>
        <v/>
      </c>
      <c r="AG121" s="314" t="str">
        <f>IFERROR(IF(O121="","",VLOOKUP(AD121,'G-3 Multipliers'!$P$3:$Q$6,2,FALSE)),"")</f>
        <v/>
      </c>
      <c r="AH121" s="304" t="str">
        <f t="shared" si="13"/>
        <v/>
      </c>
      <c r="AI121" s="157"/>
      <c r="AJ121" s="99"/>
      <c r="AK121" s="101"/>
      <c r="AT121" s="15" t="str">
        <f>IFERROR(INDEX('G-6 Hedgerow Data'!$BJ$3:$BJ$15,MATCH(M121,'G-6 Hedgerow Data'!$B$3:$B$15,0)),"")</f>
        <v/>
      </c>
    </row>
    <row r="122" spans="2:46" ht="14" x14ac:dyDescent="0.3">
      <c r="B122" s="319" t="str">
        <f>'B-1 On-Site Hedge Baseline'!AK120</f>
        <v/>
      </c>
      <c r="C122" s="310" t="str">
        <f>IF(B122="","",IF(ISNA(VLOOKUP($B122,'B-1 On-Site Hedge Baseline'!$B$1:$L$257,3,FALSE)),"",(VLOOKUP($B122,'B-1 On-Site Hedge Baseline'!$B$1:$L$257,3,FALSE))))</f>
        <v/>
      </c>
      <c r="D122" s="310" t="str">
        <f>IF(B122="","",IF(ISNA(VLOOKUP($B122,'B-1 On-Site Hedge Baseline'!$B$1:$L$257,4,FALSE)),"",(VLOOKUP($B122,'B-1 On-Site Hedge Baseline'!$B$1:$L$257,4,FALSE))))</f>
        <v/>
      </c>
      <c r="E122" s="310" t="str">
        <f>IF(B122="","",IF(ISNA(VLOOKUP($B122,'B-1 On-Site Hedge Baseline'!$B$1:$L$257,5,FALSE)),"",(VLOOKUP($B122,'B-1 On-Site Hedge Baseline'!$B$1:$L$257,5,FALSE))))</f>
        <v/>
      </c>
      <c r="F122" s="310" t="str">
        <f>IF(B122="","",IF(ISNA(VLOOKUP($B122,'B-1 On-Site Hedge Baseline'!$B$1:$L$257,6,FALSE)),"",(VLOOKUP($B122,'B-1 On-Site Hedge Baseline'!$B$1:$L$257,6,FALSE))))</f>
        <v/>
      </c>
      <c r="G122" s="310" t="str">
        <f>IF(B122="","",IF(ISNA(VLOOKUP($B122,'B-1 On-Site Hedge Baseline'!$B$1:$L$257,7,FALSE)),"",(VLOOKUP($B122,'B-1 On-Site Hedge Baseline'!$B$1:$L$257,7,FALSE))))</f>
        <v/>
      </c>
      <c r="H122" s="310" t="str">
        <f>IF(B122="","",IF(ISNA(VLOOKUP($B122,'B-1 On-Site Hedge Baseline'!$B$1:$L$257,8,FALSE)),"",(VLOOKUP($B122,'B-1 On-Site Hedge Baseline'!$B$1:$L$257,8,FALSE))))</f>
        <v/>
      </c>
      <c r="I122" s="310" t="str">
        <f>IF(B122="","",IF(ISNA(VLOOKUP($B122,'B-1 On-Site Hedge Baseline'!$B$1:$L$257,10,FALSE)),"",(VLOOKUP($B122,'B-1 On-Site Hedge Baseline'!$B$1:$L$257,10,FALSE))))</f>
        <v/>
      </c>
      <c r="J122" s="310" t="str">
        <f>IF(B122="","",IF(ISNA(VLOOKUP($B122,'B-1 On-Site Hedge Baseline'!$B$1:$L$257,11,FALSE)),"",(VLOOKUP($B122,'B-1 On-Site Hedge Baseline'!$B$1:$L$257,11,FALSE))))</f>
        <v/>
      </c>
      <c r="K122" s="310" t="str">
        <f>IF(B122="","",IF(ISNA(VLOOKUP($B122,'B-1 On-Site Hedge Baseline'!$B$1:$U$257,13,FALSE)),"",(VLOOKUP($B122,'B-1 On-Site Hedge Baseline'!$B$1:$U$257,13,FALSE))))</f>
        <v/>
      </c>
      <c r="L122" s="314" t="str">
        <f>IF(B122="","",IF(ISNA(VLOOKUP($B122,'B-1 On-Site Hedge Baseline'!$B$1:$U$257,12,FALSE)),"",(VLOOKUP($B122,'B-1 On-Site Hedge Baseline'!$B$1:$U$257,12,FALSE))))</f>
        <v/>
      </c>
      <c r="M122" s="583"/>
      <c r="N122" s="290" t="str">
        <f>IFERROR(IF(B122="","",INDEX('G-6 Hedgerow Data'!$AN$3:$AZ$15,MATCH(C122,'G-6 Hedgerow Data'!$AM$3:$AM$15,0),MATCH(M122,'G-6 Hedgerow Data'!$AN$2:$AZ$2,0))),"")</f>
        <v/>
      </c>
      <c r="O122" s="291" t="str">
        <f t="shared" si="8"/>
        <v/>
      </c>
      <c r="P122" s="341" t="str">
        <f>IF(B122="","",VLOOKUP(B122,'B-1 On-Site Hedge Baseline'!$B$10:T367,16,FALSE))</f>
        <v/>
      </c>
      <c r="Q122" s="290" t="str">
        <f>IF(M122="","",VLOOKUP(M122,'G-6 Hedgerow Data'!$B$2:$AG$15,2,FALSE))</f>
        <v/>
      </c>
      <c r="R122" s="291" t="str">
        <f>IF(M122="","",VLOOKUP(M122,'G-6 Hedgerow Data'!$B$2:$AG$15,3,FALSE))</f>
        <v/>
      </c>
      <c r="S122" s="106"/>
      <c r="T122" s="328" t="str">
        <f>IFERROR(IF(S122="","",IF(AND(M122="Non-native and ornamental hedgerow", S122&lt;&gt;"Poor"),"Not possible ▲", (VLOOKUP(S122,'G-1 All Habitats'!$Z$2:$AA$9,2,FALSE)))),"")</f>
        <v/>
      </c>
      <c r="U122" s="103"/>
      <c r="V122" s="310" t="str">
        <f>IF(U122="","",IF(VLOOKUP(U122,'G-3 Multipliers'!$L$3:$N$6,2,FALSE)=0,"Spatial Data Missing ⚠",VLOOKUP(U122,'G-3 Multipliers'!$L$3:$N$6,2,FALSE)))</f>
        <v/>
      </c>
      <c r="W122" s="314" t="str">
        <f>IF(U122="","",IF(VLOOKUP(U122,'G-3 Multipliers'!$L$3:$N$6,3,FALSE)=0,"Spatial Data Missing ⚠",VLOOKUP(U122,'G-3 Multipliers'!$L$3:$N$6,3,FALSE)))</f>
        <v/>
      </c>
      <c r="X122" s="290" t="str">
        <f>IFERROR(IF(OR(LEFT(O122,5)="Error",LEFT(N122,5)="Error",T122="Error"),"Check Data ⚠",IF(F122&lt;R122,INDEX('G-6 Hedgerow Data'!$S$3:$AE$14,MATCH(C122,'G-6 Hedgerow Data'!$B$3:$B$14,0),MATCH(M122,'G-6 Hedgerow Data'!$S$2:$AE$2,0)),INDEX('G-6 Hedgerow Data'!$K$3:$Q$14,MATCH(M122,'G-6 Hedgerow Data'!$B$3:$B$14,0),MATCH(O122,'G-6 Hedgerow Data'!$K$2:$Q$2,0)))),"")</f>
        <v/>
      </c>
      <c r="Y122" s="138"/>
      <c r="Z122" s="138"/>
      <c r="AA122" s="298" t="str">
        <f t="shared" si="9"/>
        <v/>
      </c>
      <c r="AB122" s="311" t="str">
        <f t="shared" si="10"/>
        <v/>
      </c>
      <c r="AC122" s="312" t="str">
        <f t="shared" si="7"/>
        <v/>
      </c>
      <c r="AD122" s="325" t="str">
        <f>IF(M122="","",VLOOKUP(M122,'G-6 Hedgerow Data'!$B$3:$AG$15,31,FALSE))</f>
        <v/>
      </c>
      <c r="AE122" s="298" t="str">
        <f t="shared" si="11"/>
        <v/>
      </c>
      <c r="AF122" s="298" t="str">
        <f t="shared" si="12"/>
        <v/>
      </c>
      <c r="AG122" s="314" t="str">
        <f>IFERROR(IF(O122="","",VLOOKUP(AD122,'G-3 Multipliers'!$P$3:$Q$6,2,FALSE)),"")</f>
        <v/>
      </c>
      <c r="AH122" s="304" t="str">
        <f t="shared" si="13"/>
        <v/>
      </c>
      <c r="AI122" s="157"/>
      <c r="AJ122" s="99"/>
      <c r="AK122" s="101"/>
      <c r="AT122" s="15" t="str">
        <f>IFERROR(INDEX('G-6 Hedgerow Data'!$BJ$3:$BJ$15,MATCH(M122,'G-6 Hedgerow Data'!$B$3:$B$15,0)),"")</f>
        <v/>
      </c>
    </row>
    <row r="123" spans="2:46" ht="14" x14ac:dyDescent="0.3">
      <c r="B123" s="319" t="str">
        <f>'B-1 On-Site Hedge Baseline'!AK121</f>
        <v/>
      </c>
      <c r="C123" s="310" t="str">
        <f>IF(B123="","",IF(ISNA(VLOOKUP($B123,'B-1 On-Site Hedge Baseline'!$B$1:$L$257,3,FALSE)),"",(VLOOKUP($B123,'B-1 On-Site Hedge Baseline'!$B$1:$L$257,3,FALSE))))</f>
        <v/>
      </c>
      <c r="D123" s="310" t="str">
        <f>IF(B123="","",IF(ISNA(VLOOKUP($B123,'B-1 On-Site Hedge Baseline'!$B$1:$L$257,4,FALSE)),"",(VLOOKUP($B123,'B-1 On-Site Hedge Baseline'!$B$1:$L$257,4,FALSE))))</f>
        <v/>
      </c>
      <c r="E123" s="310" t="str">
        <f>IF(B123="","",IF(ISNA(VLOOKUP($B123,'B-1 On-Site Hedge Baseline'!$B$1:$L$257,5,FALSE)),"",(VLOOKUP($B123,'B-1 On-Site Hedge Baseline'!$B$1:$L$257,5,FALSE))))</f>
        <v/>
      </c>
      <c r="F123" s="310" t="str">
        <f>IF(B123="","",IF(ISNA(VLOOKUP($B123,'B-1 On-Site Hedge Baseline'!$B$1:$L$257,6,FALSE)),"",(VLOOKUP($B123,'B-1 On-Site Hedge Baseline'!$B$1:$L$257,6,FALSE))))</f>
        <v/>
      </c>
      <c r="G123" s="310" t="str">
        <f>IF(B123="","",IF(ISNA(VLOOKUP($B123,'B-1 On-Site Hedge Baseline'!$B$1:$L$257,7,FALSE)),"",(VLOOKUP($B123,'B-1 On-Site Hedge Baseline'!$B$1:$L$257,7,FALSE))))</f>
        <v/>
      </c>
      <c r="H123" s="310" t="str">
        <f>IF(B123="","",IF(ISNA(VLOOKUP($B123,'B-1 On-Site Hedge Baseline'!$B$1:$L$257,8,FALSE)),"",(VLOOKUP($B123,'B-1 On-Site Hedge Baseline'!$B$1:$L$257,8,FALSE))))</f>
        <v/>
      </c>
      <c r="I123" s="310" t="str">
        <f>IF(B123="","",IF(ISNA(VLOOKUP($B123,'B-1 On-Site Hedge Baseline'!$B$1:$L$257,10,FALSE)),"",(VLOOKUP($B123,'B-1 On-Site Hedge Baseline'!$B$1:$L$257,10,FALSE))))</f>
        <v/>
      </c>
      <c r="J123" s="310" t="str">
        <f>IF(B123="","",IF(ISNA(VLOOKUP($B123,'B-1 On-Site Hedge Baseline'!$B$1:$L$257,11,FALSE)),"",(VLOOKUP($B123,'B-1 On-Site Hedge Baseline'!$B$1:$L$257,11,FALSE))))</f>
        <v/>
      </c>
      <c r="K123" s="310" t="str">
        <f>IF(B123="","",IF(ISNA(VLOOKUP($B123,'B-1 On-Site Hedge Baseline'!$B$1:$U$257,13,FALSE)),"",(VLOOKUP($B123,'B-1 On-Site Hedge Baseline'!$B$1:$U$257,13,FALSE))))</f>
        <v/>
      </c>
      <c r="L123" s="314" t="str">
        <f>IF(B123="","",IF(ISNA(VLOOKUP($B123,'B-1 On-Site Hedge Baseline'!$B$1:$U$257,12,FALSE)),"",(VLOOKUP($B123,'B-1 On-Site Hedge Baseline'!$B$1:$U$257,12,FALSE))))</f>
        <v/>
      </c>
      <c r="M123" s="583"/>
      <c r="N123" s="290" t="str">
        <f>IFERROR(IF(B123="","",INDEX('G-6 Hedgerow Data'!$AN$3:$AZ$15,MATCH(C123,'G-6 Hedgerow Data'!$AM$3:$AM$15,0),MATCH(M123,'G-6 Hedgerow Data'!$AN$2:$AZ$2,0))),"")</f>
        <v/>
      </c>
      <c r="O123" s="291" t="str">
        <f t="shared" si="8"/>
        <v/>
      </c>
      <c r="P123" s="341" t="str">
        <f>IF(B123="","",VLOOKUP(B123,'B-1 On-Site Hedge Baseline'!$B$10:T368,16,FALSE))</f>
        <v/>
      </c>
      <c r="Q123" s="290" t="str">
        <f>IF(M123="","",VLOOKUP(M123,'G-6 Hedgerow Data'!$B$2:$AG$15,2,FALSE))</f>
        <v/>
      </c>
      <c r="R123" s="291" t="str">
        <f>IF(M123="","",VLOOKUP(M123,'G-6 Hedgerow Data'!$B$2:$AG$15,3,FALSE))</f>
        <v/>
      </c>
      <c r="S123" s="106"/>
      <c r="T123" s="328" t="str">
        <f>IFERROR(IF(S123="","",IF(AND(M123="Non-native and ornamental hedgerow", S123&lt;&gt;"Poor"),"Not possible ▲", (VLOOKUP(S123,'G-1 All Habitats'!$Z$2:$AA$9,2,FALSE)))),"")</f>
        <v/>
      </c>
      <c r="U123" s="103"/>
      <c r="V123" s="310" t="str">
        <f>IF(U123="","",IF(VLOOKUP(U123,'G-3 Multipliers'!$L$3:$N$6,2,FALSE)=0,"Spatial Data Missing ⚠",VLOOKUP(U123,'G-3 Multipliers'!$L$3:$N$6,2,FALSE)))</f>
        <v/>
      </c>
      <c r="W123" s="314" t="str">
        <f>IF(U123="","",IF(VLOOKUP(U123,'G-3 Multipliers'!$L$3:$N$6,3,FALSE)=0,"Spatial Data Missing ⚠",VLOOKUP(U123,'G-3 Multipliers'!$L$3:$N$6,3,FALSE)))</f>
        <v/>
      </c>
      <c r="X123" s="290" t="str">
        <f>IFERROR(IF(OR(LEFT(O123,5)="Error",LEFT(N123,5)="Error",T123="Error"),"Check Data ⚠",IF(F123&lt;R123,INDEX('G-6 Hedgerow Data'!$S$3:$AE$14,MATCH(C123,'G-6 Hedgerow Data'!$B$3:$B$14,0),MATCH(M123,'G-6 Hedgerow Data'!$S$2:$AE$2,0)),INDEX('G-6 Hedgerow Data'!$K$3:$Q$14,MATCH(M123,'G-6 Hedgerow Data'!$B$3:$B$14,0),MATCH(O123,'G-6 Hedgerow Data'!$K$2:$Q$2,0)))),"")</f>
        <v/>
      </c>
      <c r="Y123" s="138"/>
      <c r="Z123" s="138"/>
      <c r="AA123" s="298" t="str">
        <f t="shared" si="9"/>
        <v/>
      </c>
      <c r="AB123" s="311" t="str">
        <f t="shared" si="10"/>
        <v/>
      </c>
      <c r="AC123" s="312" t="str">
        <f t="shared" si="7"/>
        <v/>
      </c>
      <c r="AD123" s="325" t="str">
        <f>IF(M123="","",VLOOKUP(M123,'G-6 Hedgerow Data'!$B$3:$AG$15,31,FALSE))</f>
        <v/>
      </c>
      <c r="AE123" s="298" t="str">
        <f t="shared" si="11"/>
        <v/>
      </c>
      <c r="AF123" s="298" t="str">
        <f t="shared" si="12"/>
        <v/>
      </c>
      <c r="AG123" s="314" t="str">
        <f>IFERROR(IF(O123="","",VLOOKUP(AD123,'G-3 Multipliers'!$P$3:$Q$6,2,FALSE)),"")</f>
        <v/>
      </c>
      <c r="AH123" s="304" t="str">
        <f t="shared" si="13"/>
        <v/>
      </c>
      <c r="AI123" s="157"/>
      <c r="AJ123" s="99"/>
      <c r="AK123" s="101"/>
      <c r="AT123" s="15" t="str">
        <f>IFERROR(INDEX('G-6 Hedgerow Data'!$BJ$3:$BJ$15,MATCH(M123,'G-6 Hedgerow Data'!$B$3:$B$15,0)),"")</f>
        <v/>
      </c>
    </row>
    <row r="124" spans="2:46" ht="14" x14ac:dyDescent="0.3">
      <c r="B124" s="319" t="str">
        <f>'B-1 On-Site Hedge Baseline'!AK122</f>
        <v/>
      </c>
      <c r="C124" s="310" t="str">
        <f>IF(B124="","",IF(ISNA(VLOOKUP($B124,'B-1 On-Site Hedge Baseline'!$B$1:$L$257,3,FALSE)),"",(VLOOKUP($B124,'B-1 On-Site Hedge Baseline'!$B$1:$L$257,3,FALSE))))</f>
        <v/>
      </c>
      <c r="D124" s="310" t="str">
        <f>IF(B124="","",IF(ISNA(VLOOKUP($B124,'B-1 On-Site Hedge Baseline'!$B$1:$L$257,4,FALSE)),"",(VLOOKUP($B124,'B-1 On-Site Hedge Baseline'!$B$1:$L$257,4,FALSE))))</f>
        <v/>
      </c>
      <c r="E124" s="310" t="str">
        <f>IF(B124="","",IF(ISNA(VLOOKUP($B124,'B-1 On-Site Hedge Baseline'!$B$1:$L$257,5,FALSE)),"",(VLOOKUP($B124,'B-1 On-Site Hedge Baseline'!$B$1:$L$257,5,FALSE))))</f>
        <v/>
      </c>
      <c r="F124" s="310" t="str">
        <f>IF(B124="","",IF(ISNA(VLOOKUP($B124,'B-1 On-Site Hedge Baseline'!$B$1:$L$257,6,FALSE)),"",(VLOOKUP($B124,'B-1 On-Site Hedge Baseline'!$B$1:$L$257,6,FALSE))))</f>
        <v/>
      </c>
      <c r="G124" s="310" t="str">
        <f>IF(B124="","",IF(ISNA(VLOOKUP($B124,'B-1 On-Site Hedge Baseline'!$B$1:$L$257,7,FALSE)),"",(VLOOKUP($B124,'B-1 On-Site Hedge Baseline'!$B$1:$L$257,7,FALSE))))</f>
        <v/>
      </c>
      <c r="H124" s="310" t="str">
        <f>IF(B124="","",IF(ISNA(VLOOKUP($B124,'B-1 On-Site Hedge Baseline'!$B$1:$L$257,8,FALSE)),"",(VLOOKUP($B124,'B-1 On-Site Hedge Baseline'!$B$1:$L$257,8,FALSE))))</f>
        <v/>
      </c>
      <c r="I124" s="310" t="str">
        <f>IF(B124="","",IF(ISNA(VLOOKUP($B124,'B-1 On-Site Hedge Baseline'!$B$1:$L$257,10,FALSE)),"",(VLOOKUP($B124,'B-1 On-Site Hedge Baseline'!$B$1:$L$257,10,FALSE))))</f>
        <v/>
      </c>
      <c r="J124" s="310" t="str">
        <f>IF(B124="","",IF(ISNA(VLOOKUP($B124,'B-1 On-Site Hedge Baseline'!$B$1:$L$257,11,FALSE)),"",(VLOOKUP($B124,'B-1 On-Site Hedge Baseline'!$B$1:$L$257,11,FALSE))))</f>
        <v/>
      </c>
      <c r="K124" s="310" t="str">
        <f>IF(B124="","",IF(ISNA(VLOOKUP($B124,'B-1 On-Site Hedge Baseline'!$B$1:$U$257,13,FALSE)),"",(VLOOKUP($B124,'B-1 On-Site Hedge Baseline'!$B$1:$U$257,13,FALSE))))</f>
        <v/>
      </c>
      <c r="L124" s="314" t="str">
        <f>IF(B124="","",IF(ISNA(VLOOKUP($B124,'B-1 On-Site Hedge Baseline'!$B$1:$U$257,12,FALSE)),"",(VLOOKUP($B124,'B-1 On-Site Hedge Baseline'!$B$1:$U$257,12,FALSE))))</f>
        <v/>
      </c>
      <c r="M124" s="583"/>
      <c r="N124" s="290" t="str">
        <f>IFERROR(IF(B124="","",INDEX('G-6 Hedgerow Data'!$AN$3:$AZ$15,MATCH(C124,'G-6 Hedgerow Data'!$AM$3:$AM$15,0),MATCH(M124,'G-6 Hedgerow Data'!$AN$2:$AZ$2,0))),"")</f>
        <v/>
      </c>
      <c r="O124" s="291" t="str">
        <f t="shared" si="8"/>
        <v/>
      </c>
      <c r="P124" s="341" t="str">
        <f>IF(B124="","",VLOOKUP(B124,'B-1 On-Site Hedge Baseline'!$B$10:T369,16,FALSE))</f>
        <v/>
      </c>
      <c r="Q124" s="290" t="str">
        <f>IF(M124="","",VLOOKUP(M124,'G-6 Hedgerow Data'!$B$2:$AG$15,2,FALSE))</f>
        <v/>
      </c>
      <c r="R124" s="291" t="str">
        <f>IF(M124="","",VLOOKUP(M124,'G-6 Hedgerow Data'!$B$2:$AG$15,3,FALSE))</f>
        <v/>
      </c>
      <c r="S124" s="106"/>
      <c r="T124" s="328" t="str">
        <f>IFERROR(IF(S124="","",IF(AND(M124="Non-native and ornamental hedgerow", S124&lt;&gt;"Poor"),"Not possible ▲", (VLOOKUP(S124,'G-1 All Habitats'!$Z$2:$AA$9,2,FALSE)))),"")</f>
        <v/>
      </c>
      <c r="U124" s="103"/>
      <c r="V124" s="310" t="str">
        <f>IF(U124="","",IF(VLOOKUP(U124,'G-3 Multipliers'!$L$3:$N$6,2,FALSE)=0,"Spatial Data Missing ⚠",VLOOKUP(U124,'G-3 Multipliers'!$L$3:$N$6,2,FALSE)))</f>
        <v/>
      </c>
      <c r="W124" s="314" t="str">
        <f>IF(U124="","",IF(VLOOKUP(U124,'G-3 Multipliers'!$L$3:$N$6,3,FALSE)=0,"Spatial Data Missing ⚠",VLOOKUP(U124,'G-3 Multipliers'!$L$3:$N$6,3,FALSE)))</f>
        <v/>
      </c>
      <c r="X124" s="290" t="str">
        <f>IFERROR(IF(OR(LEFT(O124,5)="Error",LEFT(N124,5)="Error",T124="Error"),"Check Data ⚠",IF(F124&lt;R124,INDEX('G-6 Hedgerow Data'!$S$3:$AE$14,MATCH(C124,'G-6 Hedgerow Data'!$B$3:$B$14,0),MATCH(M124,'G-6 Hedgerow Data'!$S$2:$AE$2,0)),INDEX('G-6 Hedgerow Data'!$K$3:$Q$14,MATCH(M124,'G-6 Hedgerow Data'!$B$3:$B$14,0),MATCH(O124,'G-6 Hedgerow Data'!$K$2:$Q$2,0)))),"")</f>
        <v/>
      </c>
      <c r="Y124" s="138"/>
      <c r="Z124" s="138"/>
      <c r="AA124" s="298" t="str">
        <f t="shared" si="9"/>
        <v/>
      </c>
      <c r="AB124" s="311" t="str">
        <f t="shared" si="10"/>
        <v/>
      </c>
      <c r="AC124" s="312" t="str">
        <f t="shared" si="7"/>
        <v/>
      </c>
      <c r="AD124" s="325" t="str">
        <f>IF(M124="","",VLOOKUP(M124,'G-6 Hedgerow Data'!$B$3:$AG$15,31,FALSE))</f>
        <v/>
      </c>
      <c r="AE124" s="298" t="str">
        <f t="shared" si="11"/>
        <v/>
      </c>
      <c r="AF124" s="298" t="str">
        <f t="shared" si="12"/>
        <v/>
      </c>
      <c r="AG124" s="314" t="str">
        <f>IFERROR(IF(O124="","",VLOOKUP(AD124,'G-3 Multipliers'!$P$3:$Q$6,2,FALSE)),"")</f>
        <v/>
      </c>
      <c r="AH124" s="304" t="str">
        <f t="shared" si="13"/>
        <v/>
      </c>
      <c r="AI124" s="157"/>
      <c r="AJ124" s="99"/>
      <c r="AK124" s="101"/>
      <c r="AT124" s="15" t="str">
        <f>IFERROR(INDEX('G-6 Hedgerow Data'!$BJ$3:$BJ$15,MATCH(M124,'G-6 Hedgerow Data'!$B$3:$B$15,0)),"")</f>
        <v/>
      </c>
    </row>
    <row r="125" spans="2:46" ht="14" x14ac:dyDescent="0.3">
      <c r="B125" s="319" t="str">
        <f>'B-1 On-Site Hedge Baseline'!AK123</f>
        <v/>
      </c>
      <c r="C125" s="310" t="str">
        <f>IF(B125="","",IF(ISNA(VLOOKUP($B125,'B-1 On-Site Hedge Baseline'!$B$1:$L$257,3,FALSE)),"",(VLOOKUP($B125,'B-1 On-Site Hedge Baseline'!$B$1:$L$257,3,FALSE))))</f>
        <v/>
      </c>
      <c r="D125" s="310" t="str">
        <f>IF(B125="","",IF(ISNA(VLOOKUP($B125,'B-1 On-Site Hedge Baseline'!$B$1:$L$257,4,FALSE)),"",(VLOOKUP($B125,'B-1 On-Site Hedge Baseline'!$B$1:$L$257,4,FALSE))))</f>
        <v/>
      </c>
      <c r="E125" s="310" t="str">
        <f>IF(B125="","",IF(ISNA(VLOOKUP($B125,'B-1 On-Site Hedge Baseline'!$B$1:$L$257,5,FALSE)),"",(VLOOKUP($B125,'B-1 On-Site Hedge Baseline'!$B$1:$L$257,5,FALSE))))</f>
        <v/>
      </c>
      <c r="F125" s="310" t="str">
        <f>IF(B125="","",IF(ISNA(VLOOKUP($B125,'B-1 On-Site Hedge Baseline'!$B$1:$L$257,6,FALSE)),"",(VLOOKUP($B125,'B-1 On-Site Hedge Baseline'!$B$1:$L$257,6,FALSE))))</f>
        <v/>
      </c>
      <c r="G125" s="310" t="str">
        <f>IF(B125="","",IF(ISNA(VLOOKUP($B125,'B-1 On-Site Hedge Baseline'!$B$1:$L$257,7,FALSE)),"",(VLOOKUP($B125,'B-1 On-Site Hedge Baseline'!$B$1:$L$257,7,FALSE))))</f>
        <v/>
      </c>
      <c r="H125" s="310" t="str">
        <f>IF(B125="","",IF(ISNA(VLOOKUP($B125,'B-1 On-Site Hedge Baseline'!$B$1:$L$257,8,FALSE)),"",(VLOOKUP($B125,'B-1 On-Site Hedge Baseline'!$B$1:$L$257,8,FALSE))))</f>
        <v/>
      </c>
      <c r="I125" s="310" t="str">
        <f>IF(B125="","",IF(ISNA(VLOOKUP($B125,'B-1 On-Site Hedge Baseline'!$B$1:$L$257,10,FALSE)),"",(VLOOKUP($B125,'B-1 On-Site Hedge Baseline'!$B$1:$L$257,10,FALSE))))</f>
        <v/>
      </c>
      <c r="J125" s="310" t="str">
        <f>IF(B125="","",IF(ISNA(VLOOKUP($B125,'B-1 On-Site Hedge Baseline'!$B$1:$L$257,11,FALSE)),"",(VLOOKUP($B125,'B-1 On-Site Hedge Baseline'!$B$1:$L$257,11,FALSE))))</f>
        <v/>
      </c>
      <c r="K125" s="310" t="str">
        <f>IF(B125="","",IF(ISNA(VLOOKUP($B125,'B-1 On-Site Hedge Baseline'!$B$1:$U$257,13,FALSE)),"",(VLOOKUP($B125,'B-1 On-Site Hedge Baseline'!$B$1:$U$257,13,FALSE))))</f>
        <v/>
      </c>
      <c r="L125" s="314" t="str">
        <f>IF(B125="","",IF(ISNA(VLOOKUP($B125,'B-1 On-Site Hedge Baseline'!$B$1:$U$257,12,FALSE)),"",(VLOOKUP($B125,'B-1 On-Site Hedge Baseline'!$B$1:$U$257,12,FALSE))))</f>
        <v/>
      </c>
      <c r="M125" s="583"/>
      <c r="N125" s="290" t="str">
        <f>IFERROR(IF(B125="","",INDEX('G-6 Hedgerow Data'!$AN$3:$AZ$15,MATCH(C125,'G-6 Hedgerow Data'!$AM$3:$AM$15,0),MATCH(M125,'G-6 Hedgerow Data'!$AN$2:$AZ$2,0))),"")</f>
        <v/>
      </c>
      <c r="O125" s="291" t="str">
        <f t="shared" si="8"/>
        <v/>
      </c>
      <c r="P125" s="341" t="str">
        <f>IF(B125="","",VLOOKUP(B125,'B-1 On-Site Hedge Baseline'!$B$10:T370,16,FALSE))</f>
        <v/>
      </c>
      <c r="Q125" s="290" t="str">
        <f>IF(M125="","",VLOOKUP(M125,'G-6 Hedgerow Data'!$B$2:$AG$15,2,FALSE))</f>
        <v/>
      </c>
      <c r="R125" s="291" t="str">
        <f>IF(M125="","",VLOOKUP(M125,'G-6 Hedgerow Data'!$B$2:$AG$15,3,FALSE))</f>
        <v/>
      </c>
      <c r="S125" s="106"/>
      <c r="T125" s="328" t="str">
        <f>IFERROR(IF(S125="","",IF(AND(M125="Non-native and ornamental hedgerow", S125&lt;&gt;"Poor"),"Not possible ▲", (VLOOKUP(S125,'G-1 All Habitats'!$Z$2:$AA$9,2,FALSE)))),"")</f>
        <v/>
      </c>
      <c r="U125" s="103"/>
      <c r="V125" s="310" t="str">
        <f>IF(U125="","",IF(VLOOKUP(U125,'G-3 Multipliers'!$L$3:$N$6,2,FALSE)=0,"Spatial Data Missing ⚠",VLOOKUP(U125,'G-3 Multipliers'!$L$3:$N$6,2,FALSE)))</f>
        <v/>
      </c>
      <c r="W125" s="314" t="str">
        <f>IF(U125="","",IF(VLOOKUP(U125,'G-3 Multipliers'!$L$3:$N$6,3,FALSE)=0,"Spatial Data Missing ⚠",VLOOKUP(U125,'G-3 Multipliers'!$L$3:$N$6,3,FALSE)))</f>
        <v/>
      </c>
      <c r="X125" s="290" t="str">
        <f>IFERROR(IF(OR(LEFT(O125,5)="Error",LEFT(N125,5)="Error",T125="Error"),"Check Data ⚠",IF(F125&lt;R125,INDEX('G-6 Hedgerow Data'!$S$3:$AE$14,MATCH(C125,'G-6 Hedgerow Data'!$B$3:$B$14,0),MATCH(M125,'G-6 Hedgerow Data'!$S$2:$AE$2,0)),INDEX('G-6 Hedgerow Data'!$K$3:$Q$14,MATCH(M125,'G-6 Hedgerow Data'!$B$3:$B$14,0),MATCH(O125,'G-6 Hedgerow Data'!$K$2:$Q$2,0)))),"")</f>
        <v/>
      </c>
      <c r="Y125" s="138"/>
      <c r="Z125" s="138"/>
      <c r="AA125" s="298" t="str">
        <f t="shared" si="9"/>
        <v/>
      </c>
      <c r="AB125" s="311" t="str">
        <f t="shared" si="10"/>
        <v/>
      </c>
      <c r="AC125" s="312" t="str">
        <f t="shared" si="7"/>
        <v/>
      </c>
      <c r="AD125" s="325" t="str">
        <f>IF(M125="","",VLOOKUP(M125,'G-6 Hedgerow Data'!$B$3:$AG$15,31,FALSE))</f>
        <v/>
      </c>
      <c r="AE125" s="298" t="str">
        <f t="shared" si="11"/>
        <v/>
      </c>
      <c r="AF125" s="298" t="str">
        <f t="shared" si="12"/>
        <v/>
      </c>
      <c r="AG125" s="314" t="str">
        <f>IFERROR(IF(O125="","",VLOOKUP(AD125,'G-3 Multipliers'!$P$3:$Q$6,2,FALSE)),"")</f>
        <v/>
      </c>
      <c r="AH125" s="304" t="str">
        <f t="shared" si="13"/>
        <v/>
      </c>
      <c r="AI125" s="157"/>
      <c r="AJ125" s="99"/>
      <c r="AK125" s="101"/>
      <c r="AT125" s="15" t="str">
        <f>IFERROR(INDEX('G-6 Hedgerow Data'!$BJ$3:$BJ$15,MATCH(M125,'G-6 Hedgerow Data'!$B$3:$B$15,0)),"")</f>
        <v/>
      </c>
    </row>
    <row r="126" spans="2:46" ht="14" x14ac:dyDescent="0.3">
      <c r="B126" s="319" t="str">
        <f>'B-1 On-Site Hedge Baseline'!AK124</f>
        <v/>
      </c>
      <c r="C126" s="310" t="str">
        <f>IF(B126="","",IF(ISNA(VLOOKUP($B126,'B-1 On-Site Hedge Baseline'!$B$1:$L$257,3,FALSE)),"",(VLOOKUP($B126,'B-1 On-Site Hedge Baseline'!$B$1:$L$257,3,FALSE))))</f>
        <v/>
      </c>
      <c r="D126" s="310" t="str">
        <f>IF(B126="","",IF(ISNA(VLOOKUP($B126,'B-1 On-Site Hedge Baseline'!$B$1:$L$257,4,FALSE)),"",(VLOOKUP($B126,'B-1 On-Site Hedge Baseline'!$B$1:$L$257,4,FALSE))))</f>
        <v/>
      </c>
      <c r="E126" s="310" t="str">
        <f>IF(B126="","",IF(ISNA(VLOOKUP($B126,'B-1 On-Site Hedge Baseline'!$B$1:$L$257,5,FALSE)),"",(VLOOKUP($B126,'B-1 On-Site Hedge Baseline'!$B$1:$L$257,5,FALSE))))</f>
        <v/>
      </c>
      <c r="F126" s="310" t="str">
        <f>IF(B126="","",IF(ISNA(VLOOKUP($B126,'B-1 On-Site Hedge Baseline'!$B$1:$L$257,6,FALSE)),"",(VLOOKUP($B126,'B-1 On-Site Hedge Baseline'!$B$1:$L$257,6,FALSE))))</f>
        <v/>
      </c>
      <c r="G126" s="310" t="str">
        <f>IF(B126="","",IF(ISNA(VLOOKUP($B126,'B-1 On-Site Hedge Baseline'!$B$1:$L$257,7,FALSE)),"",(VLOOKUP($B126,'B-1 On-Site Hedge Baseline'!$B$1:$L$257,7,FALSE))))</f>
        <v/>
      </c>
      <c r="H126" s="310" t="str">
        <f>IF(B126="","",IF(ISNA(VLOOKUP($B126,'B-1 On-Site Hedge Baseline'!$B$1:$L$257,8,FALSE)),"",(VLOOKUP($B126,'B-1 On-Site Hedge Baseline'!$B$1:$L$257,8,FALSE))))</f>
        <v/>
      </c>
      <c r="I126" s="310" t="str">
        <f>IF(B126="","",IF(ISNA(VLOOKUP($B126,'B-1 On-Site Hedge Baseline'!$B$1:$L$257,10,FALSE)),"",(VLOOKUP($B126,'B-1 On-Site Hedge Baseline'!$B$1:$L$257,10,FALSE))))</f>
        <v/>
      </c>
      <c r="J126" s="310" t="str">
        <f>IF(B126="","",IF(ISNA(VLOOKUP($B126,'B-1 On-Site Hedge Baseline'!$B$1:$L$257,11,FALSE)),"",(VLOOKUP($B126,'B-1 On-Site Hedge Baseline'!$B$1:$L$257,11,FALSE))))</f>
        <v/>
      </c>
      <c r="K126" s="310" t="str">
        <f>IF(B126="","",IF(ISNA(VLOOKUP($B126,'B-1 On-Site Hedge Baseline'!$B$1:$U$257,13,FALSE)),"",(VLOOKUP($B126,'B-1 On-Site Hedge Baseline'!$B$1:$U$257,13,FALSE))))</f>
        <v/>
      </c>
      <c r="L126" s="314" t="str">
        <f>IF(B126="","",IF(ISNA(VLOOKUP($B126,'B-1 On-Site Hedge Baseline'!$B$1:$U$257,12,FALSE)),"",(VLOOKUP($B126,'B-1 On-Site Hedge Baseline'!$B$1:$U$257,12,FALSE))))</f>
        <v/>
      </c>
      <c r="M126" s="583"/>
      <c r="N126" s="290" t="str">
        <f>IFERROR(IF(B126="","",INDEX('G-6 Hedgerow Data'!$AN$3:$AZ$15,MATCH(C126,'G-6 Hedgerow Data'!$AM$3:$AM$15,0),MATCH(M126,'G-6 Hedgerow Data'!$AN$2:$AZ$2,0))),"")</f>
        <v/>
      </c>
      <c r="O126" s="291" t="str">
        <f t="shared" si="8"/>
        <v/>
      </c>
      <c r="P126" s="341" t="str">
        <f>IF(B126="","",VLOOKUP(B126,'B-1 On-Site Hedge Baseline'!$B$10:T371,16,FALSE))</f>
        <v/>
      </c>
      <c r="Q126" s="290" t="str">
        <f>IF(M126="","",VLOOKUP(M126,'G-6 Hedgerow Data'!$B$2:$AG$15,2,FALSE))</f>
        <v/>
      </c>
      <c r="R126" s="291" t="str">
        <f>IF(M126="","",VLOOKUP(M126,'G-6 Hedgerow Data'!$B$2:$AG$15,3,FALSE))</f>
        <v/>
      </c>
      <c r="S126" s="106"/>
      <c r="T126" s="328" t="str">
        <f>IFERROR(IF(S126="","",IF(AND(M126="Non-native and ornamental hedgerow", S126&lt;&gt;"Poor"),"Not possible ▲", (VLOOKUP(S126,'G-1 All Habitats'!$Z$2:$AA$9,2,FALSE)))),"")</f>
        <v/>
      </c>
      <c r="U126" s="103"/>
      <c r="V126" s="310" t="str">
        <f>IF(U126="","",IF(VLOOKUP(U126,'G-3 Multipliers'!$L$3:$N$6,2,FALSE)=0,"Spatial Data Missing ⚠",VLOOKUP(U126,'G-3 Multipliers'!$L$3:$N$6,2,FALSE)))</f>
        <v/>
      </c>
      <c r="W126" s="314" t="str">
        <f>IF(U126="","",IF(VLOOKUP(U126,'G-3 Multipliers'!$L$3:$N$6,3,FALSE)=0,"Spatial Data Missing ⚠",VLOOKUP(U126,'G-3 Multipliers'!$L$3:$N$6,3,FALSE)))</f>
        <v/>
      </c>
      <c r="X126" s="290" t="str">
        <f>IFERROR(IF(OR(LEFT(O126,5)="Error",LEFT(N126,5)="Error",T126="Error"),"Check Data ⚠",IF(F126&lt;R126,INDEX('G-6 Hedgerow Data'!$S$3:$AE$14,MATCH(C126,'G-6 Hedgerow Data'!$B$3:$B$14,0),MATCH(M126,'G-6 Hedgerow Data'!$S$2:$AE$2,0)),INDEX('G-6 Hedgerow Data'!$K$3:$Q$14,MATCH(M126,'G-6 Hedgerow Data'!$B$3:$B$14,0),MATCH(O126,'G-6 Hedgerow Data'!$K$2:$Q$2,0)))),"")</f>
        <v/>
      </c>
      <c r="Y126" s="138"/>
      <c r="Z126" s="138"/>
      <c r="AA126" s="298" t="str">
        <f t="shared" si="9"/>
        <v/>
      </c>
      <c r="AB126" s="311" t="str">
        <f t="shared" si="10"/>
        <v/>
      </c>
      <c r="AC126" s="312" t="str">
        <f t="shared" si="7"/>
        <v/>
      </c>
      <c r="AD126" s="325" t="str">
        <f>IF(M126="","",VLOOKUP(M126,'G-6 Hedgerow Data'!$B$3:$AG$15,31,FALSE))</f>
        <v/>
      </c>
      <c r="AE126" s="298" t="str">
        <f t="shared" si="11"/>
        <v/>
      </c>
      <c r="AF126" s="298" t="str">
        <f t="shared" si="12"/>
        <v/>
      </c>
      <c r="AG126" s="314" t="str">
        <f>IFERROR(IF(O126="","",VLOOKUP(AD126,'G-3 Multipliers'!$P$3:$Q$6,2,FALSE)),"")</f>
        <v/>
      </c>
      <c r="AH126" s="304" t="str">
        <f t="shared" si="13"/>
        <v/>
      </c>
      <c r="AI126" s="157"/>
      <c r="AJ126" s="99"/>
      <c r="AK126" s="101"/>
      <c r="AT126" s="15" t="str">
        <f>IFERROR(INDEX('G-6 Hedgerow Data'!$BJ$3:$BJ$15,MATCH(M126,'G-6 Hedgerow Data'!$B$3:$B$15,0)),"")</f>
        <v/>
      </c>
    </row>
    <row r="127" spans="2:46" ht="14" x14ac:dyDescent="0.3">
      <c r="B127" s="319" t="str">
        <f>'B-1 On-Site Hedge Baseline'!AK125</f>
        <v/>
      </c>
      <c r="C127" s="310" t="str">
        <f>IF(B127="","",IF(ISNA(VLOOKUP($B127,'B-1 On-Site Hedge Baseline'!$B$1:$L$257,3,FALSE)),"",(VLOOKUP($B127,'B-1 On-Site Hedge Baseline'!$B$1:$L$257,3,FALSE))))</f>
        <v/>
      </c>
      <c r="D127" s="310" t="str">
        <f>IF(B127="","",IF(ISNA(VLOOKUP($B127,'B-1 On-Site Hedge Baseline'!$B$1:$L$257,4,FALSE)),"",(VLOOKUP($B127,'B-1 On-Site Hedge Baseline'!$B$1:$L$257,4,FALSE))))</f>
        <v/>
      </c>
      <c r="E127" s="310" t="str">
        <f>IF(B127="","",IF(ISNA(VLOOKUP($B127,'B-1 On-Site Hedge Baseline'!$B$1:$L$257,5,FALSE)),"",(VLOOKUP($B127,'B-1 On-Site Hedge Baseline'!$B$1:$L$257,5,FALSE))))</f>
        <v/>
      </c>
      <c r="F127" s="310" t="str">
        <f>IF(B127="","",IF(ISNA(VLOOKUP($B127,'B-1 On-Site Hedge Baseline'!$B$1:$L$257,6,FALSE)),"",(VLOOKUP($B127,'B-1 On-Site Hedge Baseline'!$B$1:$L$257,6,FALSE))))</f>
        <v/>
      </c>
      <c r="G127" s="310" t="str">
        <f>IF(B127="","",IF(ISNA(VLOOKUP($B127,'B-1 On-Site Hedge Baseline'!$B$1:$L$257,7,FALSE)),"",(VLOOKUP($B127,'B-1 On-Site Hedge Baseline'!$B$1:$L$257,7,FALSE))))</f>
        <v/>
      </c>
      <c r="H127" s="310" t="str">
        <f>IF(B127="","",IF(ISNA(VLOOKUP($B127,'B-1 On-Site Hedge Baseline'!$B$1:$L$257,8,FALSE)),"",(VLOOKUP($B127,'B-1 On-Site Hedge Baseline'!$B$1:$L$257,8,FALSE))))</f>
        <v/>
      </c>
      <c r="I127" s="310" t="str">
        <f>IF(B127="","",IF(ISNA(VLOOKUP($B127,'B-1 On-Site Hedge Baseline'!$B$1:$L$257,10,FALSE)),"",(VLOOKUP($B127,'B-1 On-Site Hedge Baseline'!$B$1:$L$257,10,FALSE))))</f>
        <v/>
      </c>
      <c r="J127" s="310" t="str">
        <f>IF(B127="","",IF(ISNA(VLOOKUP($B127,'B-1 On-Site Hedge Baseline'!$B$1:$L$257,11,FALSE)),"",(VLOOKUP($B127,'B-1 On-Site Hedge Baseline'!$B$1:$L$257,11,FALSE))))</f>
        <v/>
      </c>
      <c r="K127" s="310" t="str">
        <f>IF(B127="","",IF(ISNA(VLOOKUP($B127,'B-1 On-Site Hedge Baseline'!$B$1:$U$257,13,FALSE)),"",(VLOOKUP($B127,'B-1 On-Site Hedge Baseline'!$B$1:$U$257,13,FALSE))))</f>
        <v/>
      </c>
      <c r="L127" s="314" t="str">
        <f>IF(B127="","",IF(ISNA(VLOOKUP($B127,'B-1 On-Site Hedge Baseline'!$B$1:$U$257,12,FALSE)),"",(VLOOKUP($B127,'B-1 On-Site Hedge Baseline'!$B$1:$U$257,12,FALSE))))</f>
        <v/>
      </c>
      <c r="M127" s="583"/>
      <c r="N127" s="290" t="str">
        <f>IFERROR(IF(B127="","",INDEX('G-6 Hedgerow Data'!$AN$3:$AZ$15,MATCH(C127,'G-6 Hedgerow Data'!$AM$3:$AM$15,0),MATCH(M127,'G-6 Hedgerow Data'!$AN$2:$AZ$2,0))),"")</f>
        <v/>
      </c>
      <c r="O127" s="291" t="str">
        <f t="shared" si="8"/>
        <v/>
      </c>
      <c r="P127" s="341" t="str">
        <f>IF(B127="","",VLOOKUP(B127,'B-1 On-Site Hedge Baseline'!$B$10:T372,16,FALSE))</f>
        <v/>
      </c>
      <c r="Q127" s="290" t="str">
        <f>IF(M127="","",VLOOKUP(M127,'G-6 Hedgerow Data'!$B$2:$AG$15,2,FALSE))</f>
        <v/>
      </c>
      <c r="R127" s="291" t="str">
        <f>IF(M127="","",VLOOKUP(M127,'G-6 Hedgerow Data'!$B$2:$AG$15,3,FALSE))</f>
        <v/>
      </c>
      <c r="S127" s="106"/>
      <c r="T127" s="328" t="str">
        <f>IFERROR(IF(S127="","",IF(AND(M127="Non-native and ornamental hedgerow", S127&lt;&gt;"Poor"),"Not possible ▲", (VLOOKUP(S127,'G-1 All Habitats'!$Z$2:$AA$9,2,FALSE)))),"")</f>
        <v/>
      </c>
      <c r="U127" s="103"/>
      <c r="V127" s="310" t="str">
        <f>IF(U127="","",IF(VLOOKUP(U127,'G-3 Multipliers'!$L$3:$N$6,2,FALSE)=0,"Spatial Data Missing ⚠",VLOOKUP(U127,'G-3 Multipliers'!$L$3:$N$6,2,FALSE)))</f>
        <v/>
      </c>
      <c r="W127" s="314" t="str">
        <f>IF(U127="","",IF(VLOOKUP(U127,'G-3 Multipliers'!$L$3:$N$6,3,FALSE)=0,"Spatial Data Missing ⚠",VLOOKUP(U127,'G-3 Multipliers'!$L$3:$N$6,3,FALSE)))</f>
        <v/>
      </c>
      <c r="X127" s="290" t="str">
        <f>IFERROR(IF(OR(LEFT(O127,5)="Error",LEFT(N127,5)="Error",T127="Error"),"Check Data ⚠",IF(F127&lt;R127,INDEX('G-6 Hedgerow Data'!$S$3:$AE$14,MATCH(C127,'G-6 Hedgerow Data'!$B$3:$B$14,0),MATCH(M127,'G-6 Hedgerow Data'!$S$2:$AE$2,0)),INDEX('G-6 Hedgerow Data'!$K$3:$Q$14,MATCH(M127,'G-6 Hedgerow Data'!$B$3:$B$14,0),MATCH(O127,'G-6 Hedgerow Data'!$K$2:$Q$2,0)))),"")</f>
        <v/>
      </c>
      <c r="Y127" s="138"/>
      <c r="Z127" s="138"/>
      <c r="AA127" s="298" t="str">
        <f t="shared" si="9"/>
        <v/>
      </c>
      <c r="AB127" s="311" t="str">
        <f t="shared" si="10"/>
        <v/>
      </c>
      <c r="AC127" s="312" t="str">
        <f t="shared" si="7"/>
        <v/>
      </c>
      <c r="AD127" s="325" t="str">
        <f>IF(M127="","",VLOOKUP(M127,'G-6 Hedgerow Data'!$B$3:$AG$15,31,FALSE))</f>
        <v/>
      </c>
      <c r="AE127" s="298" t="str">
        <f t="shared" si="11"/>
        <v/>
      </c>
      <c r="AF127" s="298" t="str">
        <f t="shared" si="12"/>
        <v/>
      </c>
      <c r="AG127" s="314" t="str">
        <f>IFERROR(IF(O127="","",VLOOKUP(AD127,'G-3 Multipliers'!$P$3:$Q$6,2,FALSE)),"")</f>
        <v/>
      </c>
      <c r="AH127" s="304" t="str">
        <f t="shared" si="13"/>
        <v/>
      </c>
      <c r="AI127" s="157"/>
      <c r="AJ127" s="99"/>
      <c r="AK127" s="101"/>
      <c r="AT127" s="15" t="str">
        <f>IFERROR(INDEX('G-6 Hedgerow Data'!$BJ$3:$BJ$15,MATCH(M127,'G-6 Hedgerow Data'!$B$3:$B$15,0)),"")</f>
        <v/>
      </c>
    </row>
    <row r="128" spans="2:46" ht="14" x14ac:dyDescent="0.3">
      <c r="B128" s="319" t="str">
        <f>'B-1 On-Site Hedge Baseline'!AK126</f>
        <v/>
      </c>
      <c r="C128" s="310" t="str">
        <f>IF(B128="","",IF(ISNA(VLOOKUP($B128,'B-1 On-Site Hedge Baseline'!$B$1:$L$257,3,FALSE)),"",(VLOOKUP($B128,'B-1 On-Site Hedge Baseline'!$B$1:$L$257,3,FALSE))))</f>
        <v/>
      </c>
      <c r="D128" s="310" t="str">
        <f>IF(B128="","",IF(ISNA(VLOOKUP($B128,'B-1 On-Site Hedge Baseline'!$B$1:$L$257,4,FALSE)),"",(VLOOKUP($B128,'B-1 On-Site Hedge Baseline'!$B$1:$L$257,4,FALSE))))</f>
        <v/>
      </c>
      <c r="E128" s="310" t="str">
        <f>IF(B128="","",IF(ISNA(VLOOKUP($B128,'B-1 On-Site Hedge Baseline'!$B$1:$L$257,5,FALSE)),"",(VLOOKUP($B128,'B-1 On-Site Hedge Baseline'!$B$1:$L$257,5,FALSE))))</f>
        <v/>
      </c>
      <c r="F128" s="310" t="str">
        <f>IF(B128="","",IF(ISNA(VLOOKUP($B128,'B-1 On-Site Hedge Baseline'!$B$1:$L$257,6,FALSE)),"",(VLOOKUP($B128,'B-1 On-Site Hedge Baseline'!$B$1:$L$257,6,FALSE))))</f>
        <v/>
      </c>
      <c r="G128" s="310" t="str">
        <f>IF(B128="","",IF(ISNA(VLOOKUP($B128,'B-1 On-Site Hedge Baseline'!$B$1:$L$257,7,FALSE)),"",(VLOOKUP($B128,'B-1 On-Site Hedge Baseline'!$B$1:$L$257,7,FALSE))))</f>
        <v/>
      </c>
      <c r="H128" s="310" t="str">
        <f>IF(B128="","",IF(ISNA(VLOOKUP($B128,'B-1 On-Site Hedge Baseline'!$B$1:$L$257,8,FALSE)),"",(VLOOKUP($B128,'B-1 On-Site Hedge Baseline'!$B$1:$L$257,8,FALSE))))</f>
        <v/>
      </c>
      <c r="I128" s="310" t="str">
        <f>IF(B128="","",IF(ISNA(VLOOKUP($B128,'B-1 On-Site Hedge Baseline'!$B$1:$L$257,10,FALSE)),"",(VLOOKUP($B128,'B-1 On-Site Hedge Baseline'!$B$1:$L$257,10,FALSE))))</f>
        <v/>
      </c>
      <c r="J128" s="310" t="str">
        <f>IF(B128="","",IF(ISNA(VLOOKUP($B128,'B-1 On-Site Hedge Baseline'!$B$1:$L$257,11,FALSE)),"",(VLOOKUP($B128,'B-1 On-Site Hedge Baseline'!$B$1:$L$257,11,FALSE))))</f>
        <v/>
      </c>
      <c r="K128" s="310" t="str">
        <f>IF(B128="","",IF(ISNA(VLOOKUP($B128,'B-1 On-Site Hedge Baseline'!$B$1:$U$257,13,FALSE)),"",(VLOOKUP($B128,'B-1 On-Site Hedge Baseline'!$B$1:$U$257,13,FALSE))))</f>
        <v/>
      </c>
      <c r="L128" s="314" t="str">
        <f>IF(B128="","",IF(ISNA(VLOOKUP($B128,'B-1 On-Site Hedge Baseline'!$B$1:$U$257,12,FALSE)),"",(VLOOKUP($B128,'B-1 On-Site Hedge Baseline'!$B$1:$U$257,12,FALSE))))</f>
        <v/>
      </c>
      <c r="M128" s="583"/>
      <c r="N128" s="290" t="str">
        <f>IFERROR(IF(B128="","",INDEX('G-6 Hedgerow Data'!$AN$3:$AZ$15,MATCH(C128,'G-6 Hedgerow Data'!$AM$3:$AM$15,0),MATCH(M128,'G-6 Hedgerow Data'!$AN$2:$AZ$2,0))),"")</f>
        <v/>
      </c>
      <c r="O128" s="291" t="str">
        <f t="shared" si="8"/>
        <v/>
      </c>
      <c r="P128" s="341" t="str">
        <f>IF(B128="","",VLOOKUP(B128,'B-1 On-Site Hedge Baseline'!$B$10:T373,16,FALSE))</f>
        <v/>
      </c>
      <c r="Q128" s="290" t="str">
        <f>IF(M128="","",VLOOKUP(M128,'G-6 Hedgerow Data'!$B$2:$AG$15,2,FALSE))</f>
        <v/>
      </c>
      <c r="R128" s="291" t="str">
        <f>IF(M128="","",VLOOKUP(M128,'G-6 Hedgerow Data'!$B$2:$AG$15,3,FALSE))</f>
        <v/>
      </c>
      <c r="S128" s="106"/>
      <c r="T128" s="328" t="str">
        <f>IFERROR(IF(S128="","",IF(AND(M128="Non-native and ornamental hedgerow", S128&lt;&gt;"Poor"),"Not possible ▲", (VLOOKUP(S128,'G-1 All Habitats'!$Z$2:$AA$9,2,FALSE)))),"")</f>
        <v/>
      </c>
      <c r="U128" s="103"/>
      <c r="V128" s="310" t="str">
        <f>IF(U128="","",IF(VLOOKUP(U128,'G-3 Multipliers'!$L$3:$N$6,2,FALSE)=0,"Spatial Data Missing ⚠",VLOOKUP(U128,'G-3 Multipliers'!$L$3:$N$6,2,FALSE)))</f>
        <v/>
      </c>
      <c r="W128" s="314" t="str">
        <f>IF(U128="","",IF(VLOOKUP(U128,'G-3 Multipliers'!$L$3:$N$6,3,FALSE)=0,"Spatial Data Missing ⚠",VLOOKUP(U128,'G-3 Multipliers'!$L$3:$N$6,3,FALSE)))</f>
        <v/>
      </c>
      <c r="X128" s="290" t="str">
        <f>IFERROR(IF(OR(LEFT(O128,5)="Error",LEFT(N128,5)="Error",T128="Error"),"Check Data ⚠",IF(F128&lt;R128,INDEX('G-6 Hedgerow Data'!$S$3:$AE$14,MATCH(C128,'G-6 Hedgerow Data'!$B$3:$B$14,0),MATCH(M128,'G-6 Hedgerow Data'!$S$2:$AE$2,0)),INDEX('G-6 Hedgerow Data'!$K$3:$Q$14,MATCH(M128,'G-6 Hedgerow Data'!$B$3:$B$14,0),MATCH(O128,'G-6 Hedgerow Data'!$K$2:$Q$2,0)))),"")</f>
        <v/>
      </c>
      <c r="Y128" s="138"/>
      <c r="Z128" s="138"/>
      <c r="AA128" s="298" t="str">
        <f t="shared" si="9"/>
        <v/>
      </c>
      <c r="AB128" s="311" t="str">
        <f t="shared" si="10"/>
        <v/>
      </c>
      <c r="AC128" s="312" t="str">
        <f t="shared" si="7"/>
        <v/>
      </c>
      <c r="AD128" s="325" t="str">
        <f>IF(M128="","",VLOOKUP(M128,'G-6 Hedgerow Data'!$B$3:$AG$15,31,FALSE))</f>
        <v/>
      </c>
      <c r="AE128" s="298" t="str">
        <f t="shared" si="11"/>
        <v/>
      </c>
      <c r="AF128" s="298" t="str">
        <f t="shared" si="12"/>
        <v/>
      </c>
      <c r="AG128" s="314" t="str">
        <f>IFERROR(IF(O128="","",VLOOKUP(AD128,'G-3 Multipliers'!$P$3:$Q$6,2,FALSE)),"")</f>
        <v/>
      </c>
      <c r="AH128" s="304" t="str">
        <f t="shared" si="13"/>
        <v/>
      </c>
      <c r="AI128" s="157"/>
      <c r="AJ128" s="99"/>
      <c r="AK128" s="101"/>
      <c r="AT128" s="15" t="str">
        <f>IFERROR(INDEX('G-6 Hedgerow Data'!$BJ$3:$BJ$15,MATCH(M128,'G-6 Hedgerow Data'!$B$3:$B$15,0)),"")</f>
        <v/>
      </c>
    </row>
    <row r="129" spans="2:46" ht="14" x14ac:dyDescent="0.3">
      <c r="B129" s="319" t="str">
        <f>'B-1 On-Site Hedge Baseline'!AK127</f>
        <v/>
      </c>
      <c r="C129" s="310" t="str">
        <f>IF(B129="","",IF(ISNA(VLOOKUP($B129,'B-1 On-Site Hedge Baseline'!$B$1:$L$257,3,FALSE)),"",(VLOOKUP($B129,'B-1 On-Site Hedge Baseline'!$B$1:$L$257,3,FALSE))))</f>
        <v/>
      </c>
      <c r="D129" s="310" t="str">
        <f>IF(B129="","",IF(ISNA(VLOOKUP($B129,'B-1 On-Site Hedge Baseline'!$B$1:$L$257,4,FALSE)),"",(VLOOKUP($B129,'B-1 On-Site Hedge Baseline'!$B$1:$L$257,4,FALSE))))</f>
        <v/>
      </c>
      <c r="E129" s="310" t="str">
        <f>IF(B129="","",IF(ISNA(VLOOKUP($B129,'B-1 On-Site Hedge Baseline'!$B$1:$L$257,5,FALSE)),"",(VLOOKUP($B129,'B-1 On-Site Hedge Baseline'!$B$1:$L$257,5,FALSE))))</f>
        <v/>
      </c>
      <c r="F129" s="310" t="str">
        <f>IF(B129="","",IF(ISNA(VLOOKUP($B129,'B-1 On-Site Hedge Baseline'!$B$1:$L$257,6,FALSE)),"",(VLOOKUP($B129,'B-1 On-Site Hedge Baseline'!$B$1:$L$257,6,FALSE))))</f>
        <v/>
      </c>
      <c r="G129" s="310" t="str">
        <f>IF(B129="","",IF(ISNA(VLOOKUP($B129,'B-1 On-Site Hedge Baseline'!$B$1:$L$257,7,FALSE)),"",(VLOOKUP($B129,'B-1 On-Site Hedge Baseline'!$B$1:$L$257,7,FALSE))))</f>
        <v/>
      </c>
      <c r="H129" s="310" t="str">
        <f>IF(B129="","",IF(ISNA(VLOOKUP($B129,'B-1 On-Site Hedge Baseline'!$B$1:$L$257,8,FALSE)),"",(VLOOKUP($B129,'B-1 On-Site Hedge Baseline'!$B$1:$L$257,8,FALSE))))</f>
        <v/>
      </c>
      <c r="I129" s="310" t="str">
        <f>IF(B129="","",IF(ISNA(VLOOKUP($B129,'B-1 On-Site Hedge Baseline'!$B$1:$L$257,10,FALSE)),"",(VLOOKUP($B129,'B-1 On-Site Hedge Baseline'!$B$1:$L$257,10,FALSE))))</f>
        <v/>
      </c>
      <c r="J129" s="310" t="str">
        <f>IF(B129="","",IF(ISNA(VLOOKUP($B129,'B-1 On-Site Hedge Baseline'!$B$1:$L$257,11,FALSE)),"",(VLOOKUP($B129,'B-1 On-Site Hedge Baseline'!$B$1:$L$257,11,FALSE))))</f>
        <v/>
      </c>
      <c r="K129" s="310" t="str">
        <f>IF(B129="","",IF(ISNA(VLOOKUP($B129,'B-1 On-Site Hedge Baseline'!$B$1:$U$257,13,FALSE)),"",(VLOOKUP($B129,'B-1 On-Site Hedge Baseline'!$B$1:$U$257,13,FALSE))))</f>
        <v/>
      </c>
      <c r="L129" s="314" t="str">
        <f>IF(B129="","",IF(ISNA(VLOOKUP($B129,'B-1 On-Site Hedge Baseline'!$B$1:$U$257,12,FALSE)),"",(VLOOKUP($B129,'B-1 On-Site Hedge Baseline'!$B$1:$U$257,12,FALSE))))</f>
        <v/>
      </c>
      <c r="M129" s="583"/>
      <c r="N129" s="290" t="str">
        <f>IFERROR(IF(B129="","",INDEX('G-6 Hedgerow Data'!$AN$3:$AZ$15,MATCH(C129,'G-6 Hedgerow Data'!$AM$3:$AM$15,0),MATCH(M129,'G-6 Hedgerow Data'!$AN$2:$AZ$2,0))),"")</f>
        <v/>
      </c>
      <c r="O129" s="291" t="str">
        <f t="shared" si="8"/>
        <v/>
      </c>
      <c r="P129" s="341" t="str">
        <f>IF(B129="","",VLOOKUP(B129,'B-1 On-Site Hedge Baseline'!$B$10:T374,16,FALSE))</f>
        <v/>
      </c>
      <c r="Q129" s="290" t="str">
        <f>IF(M129="","",VLOOKUP(M129,'G-6 Hedgerow Data'!$B$2:$AG$15,2,FALSE))</f>
        <v/>
      </c>
      <c r="R129" s="291" t="str">
        <f>IF(M129="","",VLOOKUP(M129,'G-6 Hedgerow Data'!$B$2:$AG$15,3,FALSE))</f>
        <v/>
      </c>
      <c r="S129" s="106"/>
      <c r="T129" s="328" t="str">
        <f>IFERROR(IF(S129="","",IF(AND(M129="Non-native and ornamental hedgerow", S129&lt;&gt;"Poor"),"Not possible ▲", (VLOOKUP(S129,'G-1 All Habitats'!$Z$2:$AA$9,2,FALSE)))),"")</f>
        <v/>
      </c>
      <c r="U129" s="103"/>
      <c r="V129" s="310" t="str">
        <f>IF(U129="","",IF(VLOOKUP(U129,'G-3 Multipliers'!$L$3:$N$6,2,FALSE)=0,"Spatial Data Missing ⚠",VLOOKUP(U129,'G-3 Multipliers'!$L$3:$N$6,2,FALSE)))</f>
        <v/>
      </c>
      <c r="W129" s="314" t="str">
        <f>IF(U129="","",IF(VLOOKUP(U129,'G-3 Multipliers'!$L$3:$N$6,3,FALSE)=0,"Spatial Data Missing ⚠",VLOOKUP(U129,'G-3 Multipliers'!$L$3:$N$6,3,FALSE)))</f>
        <v/>
      </c>
      <c r="X129" s="290" t="str">
        <f>IFERROR(IF(OR(LEFT(O129,5)="Error",LEFT(N129,5)="Error",T129="Error"),"Check Data ⚠",IF(F129&lt;R129,INDEX('G-6 Hedgerow Data'!$S$3:$AE$14,MATCH(C129,'G-6 Hedgerow Data'!$B$3:$B$14,0),MATCH(M129,'G-6 Hedgerow Data'!$S$2:$AE$2,0)),INDEX('G-6 Hedgerow Data'!$K$3:$Q$14,MATCH(M129,'G-6 Hedgerow Data'!$B$3:$B$14,0),MATCH(O129,'G-6 Hedgerow Data'!$K$2:$Q$2,0)))),"")</f>
        <v/>
      </c>
      <c r="Y129" s="138"/>
      <c r="Z129" s="138"/>
      <c r="AA129" s="298" t="str">
        <f t="shared" si="9"/>
        <v/>
      </c>
      <c r="AB129" s="311" t="str">
        <f t="shared" si="10"/>
        <v/>
      </c>
      <c r="AC129" s="312" t="str">
        <f t="shared" si="7"/>
        <v/>
      </c>
      <c r="AD129" s="325" t="str">
        <f>IF(M129="","",VLOOKUP(M129,'G-6 Hedgerow Data'!$B$3:$AG$15,31,FALSE))</f>
        <v/>
      </c>
      <c r="AE129" s="298" t="str">
        <f t="shared" si="11"/>
        <v/>
      </c>
      <c r="AF129" s="298" t="str">
        <f t="shared" si="12"/>
        <v/>
      </c>
      <c r="AG129" s="314" t="str">
        <f>IFERROR(IF(O129="","",VLOOKUP(AD129,'G-3 Multipliers'!$P$3:$Q$6,2,FALSE)),"")</f>
        <v/>
      </c>
      <c r="AH129" s="304" t="str">
        <f t="shared" si="13"/>
        <v/>
      </c>
      <c r="AI129" s="157"/>
      <c r="AJ129" s="99"/>
      <c r="AK129" s="101"/>
      <c r="AT129" s="15" t="str">
        <f>IFERROR(INDEX('G-6 Hedgerow Data'!$BJ$3:$BJ$15,MATCH(M129,'G-6 Hedgerow Data'!$B$3:$B$15,0)),"")</f>
        <v/>
      </c>
    </row>
    <row r="130" spans="2:46" ht="14" x14ac:dyDescent="0.3">
      <c r="B130" s="319" t="str">
        <f>'B-1 On-Site Hedge Baseline'!AK128</f>
        <v/>
      </c>
      <c r="C130" s="310" t="str">
        <f>IF(B130="","",IF(ISNA(VLOOKUP($B130,'B-1 On-Site Hedge Baseline'!$B$1:$L$257,3,FALSE)),"",(VLOOKUP($B130,'B-1 On-Site Hedge Baseline'!$B$1:$L$257,3,FALSE))))</f>
        <v/>
      </c>
      <c r="D130" s="310" t="str">
        <f>IF(B130="","",IF(ISNA(VLOOKUP($B130,'B-1 On-Site Hedge Baseline'!$B$1:$L$257,4,FALSE)),"",(VLOOKUP($B130,'B-1 On-Site Hedge Baseline'!$B$1:$L$257,4,FALSE))))</f>
        <v/>
      </c>
      <c r="E130" s="310" t="str">
        <f>IF(B130="","",IF(ISNA(VLOOKUP($B130,'B-1 On-Site Hedge Baseline'!$B$1:$L$257,5,FALSE)),"",(VLOOKUP($B130,'B-1 On-Site Hedge Baseline'!$B$1:$L$257,5,FALSE))))</f>
        <v/>
      </c>
      <c r="F130" s="310" t="str">
        <f>IF(B130="","",IF(ISNA(VLOOKUP($B130,'B-1 On-Site Hedge Baseline'!$B$1:$L$257,6,FALSE)),"",(VLOOKUP($B130,'B-1 On-Site Hedge Baseline'!$B$1:$L$257,6,FALSE))))</f>
        <v/>
      </c>
      <c r="G130" s="310" t="str">
        <f>IF(B130="","",IF(ISNA(VLOOKUP($B130,'B-1 On-Site Hedge Baseline'!$B$1:$L$257,7,FALSE)),"",(VLOOKUP($B130,'B-1 On-Site Hedge Baseline'!$B$1:$L$257,7,FALSE))))</f>
        <v/>
      </c>
      <c r="H130" s="310" t="str">
        <f>IF(B130="","",IF(ISNA(VLOOKUP($B130,'B-1 On-Site Hedge Baseline'!$B$1:$L$257,8,FALSE)),"",(VLOOKUP($B130,'B-1 On-Site Hedge Baseline'!$B$1:$L$257,8,FALSE))))</f>
        <v/>
      </c>
      <c r="I130" s="310" t="str">
        <f>IF(B130="","",IF(ISNA(VLOOKUP($B130,'B-1 On-Site Hedge Baseline'!$B$1:$L$257,10,FALSE)),"",(VLOOKUP($B130,'B-1 On-Site Hedge Baseline'!$B$1:$L$257,10,FALSE))))</f>
        <v/>
      </c>
      <c r="J130" s="310" t="str">
        <f>IF(B130="","",IF(ISNA(VLOOKUP($B130,'B-1 On-Site Hedge Baseline'!$B$1:$L$257,11,FALSE)),"",(VLOOKUP($B130,'B-1 On-Site Hedge Baseline'!$B$1:$L$257,11,FALSE))))</f>
        <v/>
      </c>
      <c r="K130" s="310" t="str">
        <f>IF(B130="","",IF(ISNA(VLOOKUP($B130,'B-1 On-Site Hedge Baseline'!$B$1:$U$257,13,FALSE)),"",(VLOOKUP($B130,'B-1 On-Site Hedge Baseline'!$B$1:$U$257,13,FALSE))))</f>
        <v/>
      </c>
      <c r="L130" s="314" t="str">
        <f>IF(B130="","",IF(ISNA(VLOOKUP($B130,'B-1 On-Site Hedge Baseline'!$B$1:$U$257,12,FALSE)),"",(VLOOKUP($B130,'B-1 On-Site Hedge Baseline'!$B$1:$U$257,12,FALSE))))</f>
        <v/>
      </c>
      <c r="M130" s="583"/>
      <c r="N130" s="290" t="str">
        <f>IFERROR(IF(B130="","",INDEX('G-6 Hedgerow Data'!$AN$3:$AZ$15,MATCH(C130,'G-6 Hedgerow Data'!$AM$3:$AM$15,0),MATCH(M130,'G-6 Hedgerow Data'!$AN$2:$AZ$2,0))),"")</f>
        <v/>
      </c>
      <c r="O130" s="291" t="str">
        <f t="shared" si="8"/>
        <v/>
      </c>
      <c r="P130" s="341" t="str">
        <f>IF(B130="","",VLOOKUP(B130,'B-1 On-Site Hedge Baseline'!$B$10:T375,16,FALSE))</f>
        <v/>
      </c>
      <c r="Q130" s="290" t="str">
        <f>IF(M130="","",VLOOKUP(M130,'G-6 Hedgerow Data'!$B$2:$AG$15,2,FALSE))</f>
        <v/>
      </c>
      <c r="R130" s="291" t="str">
        <f>IF(M130="","",VLOOKUP(M130,'G-6 Hedgerow Data'!$B$2:$AG$15,3,FALSE))</f>
        <v/>
      </c>
      <c r="S130" s="106"/>
      <c r="T130" s="328" t="str">
        <f>IFERROR(IF(S130="","",IF(AND(M130="Non-native and ornamental hedgerow", S130&lt;&gt;"Poor"),"Not possible ▲", (VLOOKUP(S130,'G-1 All Habitats'!$Z$2:$AA$9,2,FALSE)))),"")</f>
        <v/>
      </c>
      <c r="U130" s="103"/>
      <c r="V130" s="310" t="str">
        <f>IF(U130="","",IF(VLOOKUP(U130,'G-3 Multipliers'!$L$3:$N$6,2,FALSE)=0,"Spatial Data Missing ⚠",VLOOKUP(U130,'G-3 Multipliers'!$L$3:$N$6,2,FALSE)))</f>
        <v/>
      </c>
      <c r="W130" s="314" t="str">
        <f>IF(U130="","",IF(VLOOKUP(U130,'G-3 Multipliers'!$L$3:$N$6,3,FALSE)=0,"Spatial Data Missing ⚠",VLOOKUP(U130,'G-3 Multipliers'!$L$3:$N$6,3,FALSE)))</f>
        <v/>
      </c>
      <c r="X130" s="290" t="str">
        <f>IFERROR(IF(OR(LEFT(O130,5)="Error",LEFT(N130,5)="Error",T130="Error"),"Check Data ⚠",IF(F130&lt;R130,INDEX('G-6 Hedgerow Data'!$S$3:$AE$14,MATCH(C130,'G-6 Hedgerow Data'!$B$3:$B$14,0),MATCH(M130,'G-6 Hedgerow Data'!$S$2:$AE$2,0)),INDEX('G-6 Hedgerow Data'!$K$3:$Q$14,MATCH(M130,'G-6 Hedgerow Data'!$B$3:$B$14,0),MATCH(O130,'G-6 Hedgerow Data'!$K$2:$Q$2,0)))),"")</f>
        <v/>
      </c>
      <c r="Y130" s="138"/>
      <c r="Z130" s="138"/>
      <c r="AA130" s="298" t="str">
        <f t="shared" si="9"/>
        <v/>
      </c>
      <c r="AB130" s="311" t="str">
        <f t="shared" si="10"/>
        <v/>
      </c>
      <c r="AC130" s="312" t="str">
        <f t="shared" si="7"/>
        <v/>
      </c>
      <c r="AD130" s="325" t="str">
        <f>IF(M130="","",VLOOKUP(M130,'G-6 Hedgerow Data'!$B$3:$AG$15,31,FALSE))</f>
        <v/>
      </c>
      <c r="AE130" s="298" t="str">
        <f t="shared" si="11"/>
        <v/>
      </c>
      <c r="AF130" s="298" t="str">
        <f t="shared" si="12"/>
        <v/>
      </c>
      <c r="AG130" s="314" t="str">
        <f>IFERROR(IF(O130="","",VLOOKUP(AD130,'G-3 Multipliers'!$P$3:$Q$6,2,FALSE)),"")</f>
        <v/>
      </c>
      <c r="AH130" s="304" t="str">
        <f t="shared" si="13"/>
        <v/>
      </c>
      <c r="AI130" s="157"/>
      <c r="AJ130" s="99"/>
      <c r="AK130" s="101"/>
      <c r="AT130" s="15" t="str">
        <f>IFERROR(INDEX('G-6 Hedgerow Data'!$BJ$3:$BJ$15,MATCH(M130,'G-6 Hedgerow Data'!$B$3:$B$15,0)),"")</f>
        <v/>
      </c>
    </row>
    <row r="131" spans="2:46" ht="14" x14ac:dyDescent="0.3">
      <c r="B131" s="319" t="str">
        <f>'B-1 On-Site Hedge Baseline'!AK129</f>
        <v/>
      </c>
      <c r="C131" s="310" t="str">
        <f>IF(B131="","",IF(ISNA(VLOOKUP($B131,'B-1 On-Site Hedge Baseline'!$B$1:$L$257,3,FALSE)),"",(VLOOKUP($B131,'B-1 On-Site Hedge Baseline'!$B$1:$L$257,3,FALSE))))</f>
        <v/>
      </c>
      <c r="D131" s="310" t="str">
        <f>IF(B131="","",IF(ISNA(VLOOKUP($B131,'B-1 On-Site Hedge Baseline'!$B$1:$L$257,4,FALSE)),"",(VLOOKUP($B131,'B-1 On-Site Hedge Baseline'!$B$1:$L$257,4,FALSE))))</f>
        <v/>
      </c>
      <c r="E131" s="310" t="str">
        <f>IF(B131="","",IF(ISNA(VLOOKUP($B131,'B-1 On-Site Hedge Baseline'!$B$1:$L$257,5,FALSE)),"",(VLOOKUP($B131,'B-1 On-Site Hedge Baseline'!$B$1:$L$257,5,FALSE))))</f>
        <v/>
      </c>
      <c r="F131" s="310" t="str">
        <f>IF(B131="","",IF(ISNA(VLOOKUP($B131,'B-1 On-Site Hedge Baseline'!$B$1:$L$257,6,FALSE)),"",(VLOOKUP($B131,'B-1 On-Site Hedge Baseline'!$B$1:$L$257,6,FALSE))))</f>
        <v/>
      </c>
      <c r="G131" s="310" t="str">
        <f>IF(B131="","",IF(ISNA(VLOOKUP($B131,'B-1 On-Site Hedge Baseline'!$B$1:$L$257,7,FALSE)),"",(VLOOKUP($B131,'B-1 On-Site Hedge Baseline'!$B$1:$L$257,7,FALSE))))</f>
        <v/>
      </c>
      <c r="H131" s="310" t="str">
        <f>IF(B131="","",IF(ISNA(VLOOKUP($B131,'B-1 On-Site Hedge Baseline'!$B$1:$L$257,8,FALSE)),"",(VLOOKUP($B131,'B-1 On-Site Hedge Baseline'!$B$1:$L$257,8,FALSE))))</f>
        <v/>
      </c>
      <c r="I131" s="310" t="str">
        <f>IF(B131="","",IF(ISNA(VLOOKUP($B131,'B-1 On-Site Hedge Baseline'!$B$1:$L$257,10,FALSE)),"",(VLOOKUP($B131,'B-1 On-Site Hedge Baseline'!$B$1:$L$257,10,FALSE))))</f>
        <v/>
      </c>
      <c r="J131" s="310" t="str">
        <f>IF(B131="","",IF(ISNA(VLOOKUP($B131,'B-1 On-Site Hedge Baseline'!$B$1:$L$257,11,FALSE)),"",(VLOOKUP($B131,'B-1 On-Site Hedge Baseline'!$B$1:$L$257,11,FALSE))))</f>
        <v/>
      </c>
      <c r="K131" s="310" t="str">
        <f>IF(B131="","",IF(ISNA(VLOOKUP($B131,'B-1 On-Site Hedge Baseline'!$B$1:$U$257,13,FALSE)),"",(VLOOKUP($B131,'B-1 On-Site Hedge Baseline'!$B$1:$U$257,13,FALSE))))</f>
        <v/>
      </c>
      <c r="L131" s="314" t="str">
        <f>IF(B131="","",IF(ISNA(VLOOKUP($B131,'B-1 On-Site Hedge Baseline'!$B$1:$U$257,12,FALSE)),"",(VLOOKUP($B131,'B-1 On-Site Hedge Baseline'!$B$1:$U$257,12,FALSE))))</f>
        <v/>
      </c>
      <c r="M131" s="583"/>
      <c r="N131" s="290" t="str">
        <f>IFERROR(IF(B131="","",INDEX('G-6 Hedgerow Data'!$AN$3:$AZ$15,MATCH(C131,'G-6 Hedgerow Data'!$AM$3:$AM$15,0),MATCH(M131,'G-6 Hedgerow Data'!$AN$2:$AZ$2,0))),"")</f>
        <v/>
      </c>
      <c r="O131" s="291" t="str">
        <f t="shared" si="8"/>
        <v/>
      </c>
      <c r="P131" s="341" t="str">
        <f>IF(B131="","",VLOOKUP(B131,'B-1 On-Site Hedge Baseline'!$B$10:T376,16,FALSE))</f>
        <v/>
      </c>
      <c r="Q131" s="290" t="str">
        <f>IF(M131="","",VLOOKUP(M131,'G-6 Hedgerow Data'!$B$2:$AG$15,2,FALSE))</f>
        <v/>
      </c>
      <c r="R131" s="291" t="str">
        <f>IF(M131="","",VLOOKUP(M131,'G-6 Hedgerow Data'!$B$2:$AG$15,3,FALSE))</f>
        <v/>
      </c>
      <c r="S131" s="106"/>
      <c r="T131" s="328" t="str">
        <f>IFERROR(IF(S131="","",IF(AND(M131="Non-native and ornamental hedgerow", S131&lt;&gt;"Poor"),"Not possible ▲", (VLOOKUP(S131,'G-1 All Habitats'!$Z$2:$AA$9,2,FALSE)))),"")</f>
        <v/>
      </c>
      <c r="U131" s="103"/>
      <c r="V131" s="310" t="str">
        <f>IF(U131="","",IF(VLOOKUP(U131,'G-3 Multipliers'!$L$3:$N$6,2,FALSE)=0,"Spatial Data Missing ⚠",VLOOKUP(U131,'G-3 Multipliers'!$L$3:$N$6,2,FALSE)))</f>
        <v/>
      </c>
      <c r="W131" s="314" t="str">
        <f>IF(U131="","",IF(VLOOKUP(U131,'G-3 Multipliers'!$L$3:$N$6,3,FALSE)=0,"Spatial Data Missing ⚠",VLOOKUP(U131,'G-3 Multipliers'!$L$3:$N$6,3,FALSE)))</f>
        <v/>
      </c>
      <c r="X131" s="290" t="str">
        <f>IFERROR(IF(OR(LEFT(O131,5)="Error",LEFT(N131,5)="Error",T131="Error"),"Check Data ⚠",IF(F131&lt;R131,INDEX('G-6 Hedgerow Data'!$S$3:$AE$14,MATCH(C131,'G-6 Hedgerow Data'!$B$3:$B$14,0),MATCH(M131,'G-6 Hedgerow Data'!$S$2:$AE$2,0)),INDEX('G-6 Hedgerow Data'!$K$3:$Q$14,MATCH(M131,'G-6 Hedgerow Data'!$B$3:$B$14,0),MATCH(O131,'G-6 Hedgerow Data'!$K$2:$Q$2,0)))),"")</f>
        <v/>
      </c>
      <c r="Y131" s="138"/>
      <c r="Z131" s="138"/>
      <c r="AA131" s="298" t="str">
        <f t="shared" si="9"/>
        <v/>
      </c>
      <c r="AB131" s="311" t="str">
        <f t="shared" si="10"/>
        <v/>
      </c>
      <c r="AC131" s="312" t="str">
        <f t="shared" si="7"/>
        <v/>
      </c>
      <c r="AD131" s="325" t="str">
        <f>IF(M131="","",VLOOKUP(M131,'G-6 Hedgerow Data'!$B$3:$AG$15,31,FALSE))</f>
        <v/>
      </c>
      <c r="AE131" s="298" t="str">
        <f t="shared" si="11"/>
        <v/>
      </c>
      <c r="AF131" s="298" t="str">
        <f t="shared" si="12"/>
        <v/>
      </c>
      <c r="AG131" s="314" t="str">
        <f>IFERROR(IF(O131="","",VLOOKUP(AD131,'G-3 Multipliers'!$P$3:$Q$6,2,FALSE)),"")</f>
        <v/>
      </c>
      <c r="AH131" s="304" t="str">
        <f t="shared" si="13"/>
        <v/>
      </c>
      <c r="AI131" s="157"/>
      <c r="AJ131" s="99"/>
      <c r="AK131" s="101"/>
      <c r="AT131" s="15" t="str">
        <f>IFERROR(INDEX('G-6 Hedgerow Data'!$BJ$3:$BJ$15,MATCH(M131,'G-6 Hedgerow Data'!$B$3:$B$15,0)),"")</f>
        <v/>
      </c>
    </row>
    <row r="132" spans="2:46" ht="14" x14ac:dyDescent="0.3">
      <c r="B132" s="319" t="str">
        <f>'B-1 On-Site Hedge Baseline'!AK130</f>
        <v/>
      </c>
      <c r="C132" s="310" t="str">
        <f>IF(B132="","",IF(ISNA(VLOOKUP($B132,'B-1 On-Site Hedge Baseline'!$B$1:$L$257,3,FALSE)),"",(VLOOKUP($B132,'B-1 On-Site Hedge Baseline'!$B$1:$L$257,3,FALSE))))</f>
        <v/>
      </c>
      <c r="D132" s="310" t="str">
        <f>IF(B132="","",IF(ISNA(VLOOKUP($B132,'B-1 On-Site Hedge Baseline'!$B$1:$L$257,4,FALSE)),"",(VLOOKUP($B132,'B-1 On-Site Hedge Baseline'!$B$1:$L$257,4,FALSE))))</f>
        <v/>
      </c>
      <c r="E132" s="310" t="str">
        <f>IF(B132="","",IF(ISNA(VLOOKUP($B132,'B-1 On-Site Hedge Baseline'!$B$1:$L$257,5,FALSE)),"",(VLOOKUP($B132,'B-1 On-Site Hedge Baseline'!$B$1:$L$257,5,FALSE))))</f>
        <v/>
      </c>
      <c r="F132" s="310" t="str">
        <f>IF(B132="","",IF(ISNA(VLOOKUP($B132,'B-1 On-Site Hedge Baseline'!$B$1:$L$257,6,FALSE)),"",(VLOOKUP($B132,'B-1 On-Site Hedge Baseline'!$B$1:$L$257,6,FALSE))))</f>
        <v/>
      </c>
      <c r="G132" s="310" t="str">
        <f>IF(B132="","",IF(ISNA(VLOOKUP($B132,'B-1 On-Site Hedge Baseline'!$B$1:$L$257,7,FALSE)),"",(VLOOKUP($B132,'B-1 On-Site Hedge Baseline'!$B$1:$L$257,7,FALSE))))</f>
        <v/>
      </c>
      <c r="H132" s="310" t="str">
        <f>IF(B132="","",IF(ISNA(VLOOKUP($B132,'B-1 On-Site Hedge Baseline'!$B$1:$L$257,8,FALSE)),"",(VLOOKUP($B132,'B-1 On-Site Hedge Baseline'!$B$1:$L$257,8,FALSE))))</f>
        <v/>
      </c>
      <c r="I132" s="310" t="str">
        <f>IF(B132="","",IF(ISNA(VLOOKUP($B132,'B-1 On-Site Hedge Baseline'!$B$1:$L$257,10,FALSE)),"",(VLOOKUP($B132,'B-1 On-Site Hedge Baseline'!$B$1:$L$257,10,FALSE))))</f>
        <v/>
      </c>
      <c r="J132" s="310" t="str">
        <f>IF(B132="","",IF(ISNA(VLOOKUP($B132,'B-1 On-Site Hedge Baseline'!$B$1:$L$257,11,FALSE)),"",(VLOOKUP($B132,'B-1 On-Site Hedge Baseline'!$B$1:$L$257,11,FALSE))))</f>
        <v/>
      </c>
      <c r="K132" s="310" t="str">
        <f>IF(B132="","",IF(ISNA(VLOOKUP($B132,'B-1 On-Site Hedge Baseline'!$B$1:$U$257,13,FALSE)),"",(VLOOKUP($B132,'B-1 On-Site Hedge Baseline'!$B$1:$U$257,13,FALSE))))</f>
        <v/>
      </c>
      <c r="L132" s="314" t="str">
        <f>IF(B132="","",IF(ISNA(VLOOKUP($B132,'B-1 On-Site Hedge Baseline'!$B$1:$U$257,12,FALSE)),"",(VLOOKUP($B132,'B-1 On-Site Hedge Baseline'!$B$1:$U$257,12,FALSE))))</f>
        <v/>
      </c>
      <c r="M132" s="583"/>
      <c r="N132" s="290" t="str">
        <f>IFERROR(IF(B132="","",INDEX('G-6 Hedgerow Data'!$AN$3:$AZ$15,MATCH(C132,'G-6 Hedgerow Data'!$AM$3:$AM$15,0),MATCH(M132,'G-6 Hedgerow Data'!$AN$2:$AZ$2,0))),"")</f>
        <v/>
      </c>
      <c r="O132" s="291" t="str">
        <f t="shared" si="8"/>
        <v/>
      </c>
      <c r="P132" s="341" t="str">
        <f>IF(B132="","",VLOOKUP(B132,'B-1 On-Site Hedge Baseline'!$B$10:T377,16,FALSE))</f>
        <v/>
      </c>
      <c r="Q132" s="290" t="str">
        <f>IF(M132="","",VLOOKUP(M132,'G-6 Hedgerow Data'!$B$2:$AG$15,2,FALSE))</f>
        <v/>
      </c>
      <c r="R132" s="291" t="str">
        <f>IF(M132="","",VLOOKUP(M132,'G-6 Hedgerow Data'!$B$2:$AG$15,3,FALSE))</f>
        <v/>
      </c>
      <c r="S132" s="106"/>
      <c r="T132" s="328" t="str">
        <f>IFERROR(IF(S132="","",IF(AND(M132="Non-native and ornamental hedgerow", S132&lt;&gt;"Poor"),"Not possible ▲", (VLOOKUP(S132,'G-1 All Habitats'!$Z$2:$AA$9,2,FALSE)))),"")</f>
        <v/>
      </c>
      <c r="U132" s="103"/>
      <c r="V132" s="310" t="str">
        <f>IF(U132="","",IF(VLOOKUP(U132,'G-3 Multipliers'!$L$3:$N$6,2,FALSE)=0,"Spatial Data Missing ⚠",VLOOKUP(U132,'G-3 Multipliers'!$L$3:$N$6,2,FALSE)))</f>
        <v/>
      </c>
      <c r="W132" s="314" t="str">
        <f>IF(U132="","",IF(VLOOKUP(U132,'G-3 Multipliers'!$L$3:$N$6,3,FALSE)=0,"Spatial Data Missing ⚠",VLOOKUP(U132,'G-3 Multipliers'!$L$3:$N$6,3,FALSE)))</f>
        <v/>
      </c>
      <c r="X132" s="290" t="str">
        <f>IFERROR(IF(OR(LEFT(O132,5)="Error",LEFT(N132,5)="Error",T132="Error"),"Check Data ⚠",IF(F132&lt;R132,INDEX('G-6 Hedgerow Data'!$S$3:$AE$14,MATCH(C132,'G-6 Hedgerow Data'!$B$3:$B$14,0),MATCH(M132,'G-6 Hedgerow Data'!$S$2:$AE$2,0)),INDEX('G-6 Hedgerow Data'!$K$3:$Q$14,MATCH(M132,'G-6 Hedgerow Data'!$B$3:$B$14,0),MATCH(O132,'G-6 Hedgerow Data'!$K$2:$Q$2,0)))),"")</f>
        <v/>
      </c>
      <c r="Y132" s="138"/>
      <c r="Z132" s="138"/>
      <c r="AA132" s="298" t="str">
        <f t="shared" si="9"/>
        <v/>
      </c>
      <c r="AB132" s="311" t="str">
        <f t="shared" si="10"/>
        <v/>
      </c>
      <c r="AC132" s="312" t="str">
        <f t="shared" si="7"/>
        <v/>
      </c>
      <c r="AD132" s="325" t="str">
        <f>IF(M132="","",VLOOKUP(M132,'G-6 Hedgerow Data'!$B$3:$AG$15,31,FALSE))</f>
        <v/>
      </c>
      <c r="AE132" s="298" t="str">
        <f t="shared" si="11"/>
        <v/>
      </c>
      <c r="AF132" s="298" t="str">
        <f t="shared" si="12"/>
        <v/>
      </c>
      <c r="AG132" s="314" t="str">
        <f>IFERROR(IF(O132="","",VLOOKUP(AD132,'G-3 Multipliers'!$P$3:$Q$6,2,FALSE)),"")</f>
        <v/>
      </c>
      <c r="AH132" s="304" t="str">
        <f t="shared" si="13"/>
        <v/>
      </c>
      <c r="AI132" s="157"/>
      <c r="AJ132" s="99"/>
      <c r="AK132" s="101"/>
      <c r="AT132" s="15" t="str">
        <f>IFERROR(INDEX('G-6 Hedgerow Data'!$BJ$3:$BJ$15,MATCH(M132,'G-6 Hedgerow Data'!$B$3:$B$15,0)),"")</f>
        <v/>
      </c>
    </row>
    <row r="133" spans="2:46" ht="14" x14ac:dyDescent="0.3">
      <c r="B133" s="319" t="str">
        <f>'B-1 On-Site Hedge Baseline'!AK131</f>
        <v/>
      </c>
      <c r="C133" s="310" t="str">
        <f>IF(B133="","",IF(ISNA(VLOOKUP($B133,'B-1 On-Site Hedge Baseline'!$B$1:$L$257,3,FALSE)),"",(VLOOKUP($B133,'B-1 On-Site Hedge Baseline'!$B$1:$L$257,3,FALSE))))</f>
        <v/>
      </c>
      <c r="D133" s="310" t="str">
        <f>IF(B133="","",IF(ISNA(VLOOKUP($B133,'B-1 On-Site Hedge Baseline'!$B$1:$L$257,4,FALSE)),"",(VLOOKUP($B133,'B-1 On-Site Hedge Baseline'!$B$1:$L$257,4,FALSE))))</f>
        <v/>
      </c>
      <c r="E133" s="310" t="str">
        <f>IF(B133="","",IF(ISNA(VLOOKUP($B133,'B-1 On-Site Hedge Baseline'!$B$1:$L$257,5,FALSE)),"",(VLOOKUP($B133,'B-1 On-Site Hedge Baseline'!$B$1:$L$257,5,FALSE))))</f>
        <v/>
      </c>
      <c r="F133" s="310" t="str">
        <f>IF(B133="","",IF(ISNA(VLOOKUP($B133,'B-1 On-Site Hedge Baseline'!$B$1:$L$257,6,FALSE)),"",(VLOOKUP($B133,'B-1 On-Site Hedge Baseline'!$B$1:$L$257,6,FALSE))))</f>
        <v/>
      </c>
      <c r="G133" s="310" t="str">
        <f>IF(B133="","",IF(ISNA(VLOOKUP($B133,'B-1 On-Site Hedge Baseline'!$B$1:$L$257,7,FALSE)),"",(VLOOKUP($B133,'B-1 On-Site Hedge Baseline'!$B$1:$L$257,7,FALSE))))</f>
        <v/>
      </c>
      <c r="H133" s="310" t="str">
        <f>IF(B133="","",IF(ISNA(VLOOKUP($B133,'B-1 On-Site Hedge Baseline'!$B$1:$L$257,8,FALSE)),"",(VLOOKUP($B133,'B-1 On-Site Hedge Baseline'!$B$1:$L$257,8,FALSE))))</f>
        <v/>
      </c>
      <c r="I133" s="310" t="str">
        <f>IF(B133="","",IF(ISNA(VLOOKUP($B133,'B-1 On-Site Hedge Baseline'!$B$1:$L$257,10,FALSE)),"",(VLOOKUP($B133,'B-1 On-Site Hedge Baseline'!$B$1:$L$257,10,FALSE))))</f>
        <v/>
      </c>
      <c r="J133" s="310" t="str">
        <f>IF(B133="","",IF(ISNA(VLOOKUP($B133,'B-1 On-Site Hedge Baseline'!$B$1:$L$257,11,FALSE)),"",(VLOOKUP($B133,'B-1 On-Site Hedge Baseline'!$B$1:$L$257,11,FALSE))))</f>
        <v/>
      </c>
      <c r="K133" s="310" t="str">
        <f>IF(B133="","",IF(ISNA(VLOOKUP($B133,'B-1 On-Site Hedge Baseline'!$B$1:$U$257,13,FALSE)),"",(VLOOKUP($B133,'B-1 On-Site Hedge Baseline'!$B$1:$U$257,13,FALSE))))</f>
        <v/>
      </c>
      <c r="L133" s="314" t="str">
        <f>IF(B133="","",IF(ISNA(VLOOKUP($B133,'B-1 On-Site Hedge Baseline'!$B$1:$U$257,12,FALSE)),"",(VLOOKUP($B133,'B-1 On-Site Hedge Baseline'!$B$1:$U$257,12,FALSE))))</f>
        <v/>
      </c>
      <c r="M133" s="583"/>
      <c r="N133" s="290" t="str">
        <f>IFERROR(IF(B133="","",INDEX('G-6 Hedgerow Data'!$AN$3:$AZ$15,MATCH(C133,'G-6 Hedgerow Data'!$AM$3:$AM$15,0),MATCH(M133,'G-6 Hedgerow Data'!$AN$2:$AZ$2,0))),"")</f>
        <v/>
      </c>
      <c r="O133" s="291" t="str">
        <f t="shared" si="8"/>
        <v/>
      </c>
      <c r="P133" s="341" t="str">
        <f>IF(B133="","",VLOOKUP(B133,'B-1 On-Site Hedge Baseline'!$B$10:T378,16,FALSE))</f>
        <v/>
      </c>
      <c r="Q133" s="290" t="str">
        <f>IF(M133="","",VLOOKUP(M133,'G-6 Hedgerow Data'!$B$2:$AG$15,2,FALSE))</f>
        <v/>
      </c>
      <c r="R133" s="291" t="str">
        <f>IF(M133="","",VLOOKUP(M133,'G-6 Hedgerow Data'!$B$2:$AG$15,3,FALSE))</f>
        <v/>
      </c>
      <c r="S133" s="106"/>
      <c r="T133" s="328" t="str">
        <f>IFERROR(IF(S133="","",IF(AND(M133="Non-native and ornamental hedgerow", S133&lt;&gt;"Poor"),"Not possible ▲", (VLOOKUP(S133,'G-1 All Habitats'!$Z$2:$AA$9,2,FALSE)))),"")</f>
        <v/>
      </c>
      <c r="U133" s="103"/>
      <c r="V133" s="310" t="str">
        <f>IF(U133="","",IF(VLOOKUP(U133,'G-3 Multipliers'!$L$3:$N$6,2,FALSE)=0,"Spatial Data Missing ⚠",VLOOKUP(U133,'G-3 Multipliers'!$L$3:$N$6,2,FALSE)))</f>
        <v/>
      </c>
      <c r="W133" s="314" t="str">
        <f>IF(U133="","",IF(VLOOKUP(U133,'G-3 Multipliers'!$L$3:$N$6,3,FALSE)=0,"Spatial Data Missing ⚠",VLOOKUP(U133,'G-3 Multipliers'!$L$3:$N$6,3,FALSE)))</f>
        <v/>
      </c>
      <c r="X133" s="290" t="str">
        <f>IFERROR(IF(OR(LEFT(O133,5)="Error",LEFT(N133,5)="Error",T133="Error"),"Check Data ⚠",IF(F133&lt;R133,INDEX('G-6 Hedgerow Data'!$S$3:$AE$14,MATCH(C133,'G-6 Hedgerow Data'!$B$3:$B$14,0),MATCH(M133,'G-6 Hedgerow Data'!$S$2:$AE$2,0)),INDEX('G-6 Hedgerow Data'!$K$3:$Q$14,MATCH(M133,'G-6 Hedgerow Data'!$B$3:$B$14,0),MATCH(O133,'G-6 Hedgerow Data'!$K$2:$Q$2,0)))),"")</f>
        <v/>
      </c>
      <c r="Y133" s="138"/>
      <c r="Z133" s="138"/>
      <c r="AA133" s="298" t="str">
        <f t="shared" si="9"/>
        <v/>
      </c>
      <c r="AB133" s="311" t="str">
        <f t="shared" si="10"/>
        <v/>
      </c>
      <c r="AC133" s="312" t="str">
        <f t="shared" si="7"/>
        <v/>
      </c>
      <c r="AD133" s="325" t="str">
        <f>IF(M133="","",VLOOKUP(M133,'G-6 Hedgerow Data'!$B$3:$AG$15,31,FALSE))</f>
        <v/>
      </c>
      <c r="AE133" s="298" t="str">
        <f t="shared" si="11"/>
        <v/>
      </c>
      <c r="AF133" s="298" t="str">
        <f t="shared" si="12"/>
        <v/>
      </c>
      <c r="AG133" s="314" t="str">
        <f>IFERROR(IF(O133="","",VLOOKUP(AD133,'G-3 Multipliers'!$P$3:$Q$6,2,FALSE)),"")</f>
        <v/>
      </c>
      <c r="AH133" s="304" t="str">
        <f t="shared" si="13"/>
        <v/>
      </c>
      <c r="AI133" s="157"/>
      <c r="AJ133" s="99"/>
      <c r="AK133" s="101"/>
      <c r="AT133" s="15" t="str">
        <f>IFERROR(INDEX('G-6 Hedgerow Data'!$BJ$3:$BJ$15,MATCH(M133,'G-6 Hedgerow Data'!$B$3:$B$15,0)),"")</f>
        <v/>
      </c>
    </row>
    <row r="134" spans="2:46" ht="14" x14ac:dyDescent="0.3">
      <c r="B134" s="319" t="str">
        <f>'B-1 On-Site Hedge Baseline'!AK132</f>
        <v/>
      </c>
      <c r="C134" s="310" t="str">
        <f>IF(B134="","",IF(ISNA(VLOOKUP($B134,'B-1 On-Site Hedge Baseline'!$B$1:$L$257,3,FALSE)),"",(VLOOKUP($B134,'B-1 On-Site Hedge Baseline'!$B$1:$L$257,3,FALSE))))</f>
        <v/>
      </c>
      <c r="D134" s="310" t="str">
        <f>IF(B134="","",IF(ISNA(VLOOKUP($B134,'B-1 On-Site Hedge Baseline'!$B$1:$L$257,4,FALSE)),"",(VLOOKUP($B134,'B-1 On-Site Hedge Baseline'!$B$1:$L$257,4,FALSE))))</f>
        <v/>
      </c>
      <c r="E134" s="310" t="str">
        <f>IF(B134="","",IF(ISNA(VLOOKUP($B134,'B-1 On-Site Hedge Baseline'!$B$1:$L$257,5,FALSE)),"",(VLOOKUP($B134,'B-1 On-Site Hedge Baseline'!$B$1:$L$257,5,FALSE))))</f>
        <v/>
      </c>
      <c r="F134" s="310" t="str">
        <f>IF(B134="","",IF(ISNA(VLOOKUP($B134,'B-1 On-Site Hedge Baseline'!$B$1:$L$257,6,FALSE)),"",(VLOOKUP($B134,'B-1 On-Site Hedge Baseline'!$B$1:$L$257,6,FALSE))))</f>
        <v/>
      </c>
      <c r="G134" s="310" t="str">
        <f>IF(B134="","",IF(ISNA(VLOOKUP($B134,'B-1 On-Site Hedge Baseline'!$B$1:$L$257,7,FALSE)),"",(VLOOKUP($B134,'B-1 On-Site Hedge Baseline'!$B$1:$L$257,7,FALSE))))</f>
        <v/>
      </c>
      <c r="H134" s="310" t="str">
        <f>IF(B134="","",IF(ISNA(VLOOKUP($B134,'B-1 On-Site Hedge Baseline'!$B$1:$L$257,8,FALSE)),"",(VLOOKUP($B134,'B-1 On-Site Hedge Baseline'!$B$1:$L$257,8,FALSE))))</f>
        <v/>
      </c>
      <c r="I134" s="310" t="str">
        <f>IF(B134="","",IF(ISNA(VLOOKUP($B134,'B-1 On-Site Hedge Baseline'!$B$1:$L$257,10,FALSE)),"",(VLOOKUP($B134,'B-1 On-Site Hedge Baseline'!$B$1:$L$257,10,FALSE))))</f>
        <v/>
      </c>
      <c r="J134" s="310" t="str">
        <f>IF(B134="","",IF(ISNA(VLOOKUP($B134,'B-1 On-Site Hedge Baseline'!$B$1:$L$257,11,FALSE)),"",(VLOOKUP($B134,'B-1 On-Site Hedge Baseline'!$B$1:$L$257,11,FALSE))))</f>
        <v/>
      </c>
      <c r="K134" s="310" t="str">
        <f>IF(B134="","",IF(ISNA(VLOOKUP($B134,'B-1 On-Site Hedge Baseline'!$B$1:$U$257,13,FALSE)),"",(VLOOKUP($B134,'B-1 On-Site Hedge Baseline'!$B$1:$U$257,13,FALSE))))</f>
        <v/>
      </c>
      <c r="L134" s="314" t="str">
        <f>IF(B134="","",IF(ISNA(VLOOKUP($B134,'B-1 On-Site Hedge Baseline'!$B$1:$U$257,12,FALSE)),"",(VLOOKUP($B134,'B-1 On-Site Hedge Baseline'!$B$1:$U$257,12,FALSE))))</f>
        <v/>
      </c>
      <c r="M134" s="583"/>
      <c r="N134" s="290" t="str">
        <f>IFERROR(IF(B134="","",INDEX('G-6 Hedgerow Data'!$AN$3:$AZ$15,MATCH(C134,'G-6 Hedgerow Data'!$AM$3:$AM$15,0),MATCH(M134,'G-6 Hedgerow Data'!$AN$2:$AZ$2,0))),"")</f>
        <v/>
      </c>
      <c r="O134" s="291" t="str">
        <f t="shared" si="8"/>
        <v/>
      </c>
      <c r="P134" s="341" t="str">
        <f>IF(B134="","",VLOOKUP(B134,'B-1 On-Site Hedge Baseline'!$B$10:T379,16,FALSE))</f>
        <v/>
      </c>
      <c r="Q134" s="290" t="str">
        <f>IF(M134="","",VLOOKUP(M134,'G-6 Hedgerow Data'!$B$2:$AG$15,2,FALSE))</f>
        <v/>
      </c>
      <c r="R134" s="291" t="str">
        <f>IF(M134="","",VLOOKUP(M134,'G-6 Hedgerow Data'!$B$2:$AG$15,3,FALSE))</f>
        <v/>
      </c>
      <c r="S134" s="106"/>
      <c r="T134" s="328" t="str">
        <f>IFERROR(IF(S134="","",IF(AND(M134="Non-native and ornamental hedgerow", S134&lt;&gt;"Poor"),"Not possible ▲", (VLOOKUP(S134,'G-1 All Habitats'!$Z$2:$AA$9,2,FALSE)))),"")</f>
        <v/>
      </c>
      <c r="U134" s="103"/>
      <c r="V134" s="310" t="str">
        <f>IF(U134="","",IF(VLOOKUP(U134,'G-3 Multipliers'!$L$3:$N$6,2,FALSE)=0,"Spatial Data Missing ⚠",VLOOKUP(U134,'G-3 Multipliers'!$L$3:$N$6,2,FALSE)))</f>
        <v/>
      </c>
      <c r="W134" s="314" t="str">
        <f>IF(U134="","",IF(VLOOKUP(U134,'G-3 Multipliers'!$L$3:$N$6,3,FALSE)=0,"Spatial Data Missing ⚠",VLOOKUP(U134,'G-3 Multipliers'!$L$3:$N$6,3,FALSE)))</f>
        <v/>
      </c>
      <c r="X134" s="290" t="str">
        <f>IFERROR(IF(OR(LEFT(O134,5)="Error",LEFT(N134,5)="Error",T134="Error"),"Check Data ⚠",IF(F134&lt;R134,INDEX('G-6 Hedgerow Data'!$S$3:$AE$14,MATCH(C134,'G-6 Hedgerow Data'!$B$3:$B$14,0),MATCH(M134,'G-6 Hedgerow Data'!$S$2:$AE$2,0)),INDEX('G-6 Hedgerow Data'!$K$3:$Q$14,MATCH(M134,'G-6 Hedgerow Data'!$B$3:$B$14,0),MATCH(O134,'G-6 Hedgerow Data'!$K$2:$Q$2,0)))),"")</f>
        <v/>
      </c>
      <c r="Y134" s="138"/>
      <c r="Z134" s="138"/>
      <c r="AA134" s="298" t="str">
        <f t="shared" si="9"/>
        <v/>
      </c>
      <c r="AB134" s="311" t="str">
        <f t="shared" si="10"/>
        <v/>
      </c>
      <c r="AC134" s="312" t="str">
        <f t="shared" si="7"/>
        <v/>
      </c>
      <c r="AD134" s="325" t="str">
        <f>IF(M134="","",VLOOKUP(M134,'G-6 Hedgerow Data'!$B$3:$AG$15,31,FALSE))</f>
        <v/>
      </c>
      <c r="AE134" s="298" t="str">
        <f t="shared" si="11"/>
        <v/>
      </c>
      <c r="AF134" s="298" t="str">
        <f t="shared" si="12"/>
        <v/>
      </c>
      <c r="AG134" s="314" t="str">
        <f>IFERROR(IF(O134="","",VLOOKUP(AD134,'G-3 Multipliers'!$P$3:$Q$6,2,FALSE)),"")</f>
        <v/>
      </c>
      <c r="AH134" s="304" t="str">
        <f t="shared" si="13"/>
        <v/>
      </c>
      <c r="AI134" s="157"/>
      <c r="AJ134" s="99"/>
      <c r="AK134" s="101"/>
      <c r="AT134" s="15" t="str">
        <f>IFERROR(INDEX('G-6 Hedgerow Data'!$BJ$3:$BJ$15,MATCH(M134,'G-6 Hedgerow Data'!$B$3:$B$15,0)),"")</f>
        <v/>
      </c>
    </row>
    <row r="135" spans="2:46" ht="14" x14ac:dyDescent="0.3">
      <c r="B135" s="319" t="str">
        <f>'B-1 On-Site Hedge Baseline'!AK133</f>
        <v/>
      </c>
      <c r="C135" s="310" t="str">
        <f>IF(B135="","",IF(ISNA(VLOOKUP($B135,'B-1 On-Site Hedge Baseline'!$B$1:$L$257,3,FALSE)),"",(VLOOKUP($B135,'B-1 On-Site Hedge Baseline'!$B$1:$L$257,3,FALSE))))</f>
        <v/>
      </c>
      <c r="D135" s="310" t="str">
        <f>IF(B135="","",IF(ISNA(VLOOKUP($B135,'B-1 On-Site Hedge Baseline'!$B$1:$L$257,4,FALSE)),"",(VLOOKUP($B135,'B-1 On-Site Hedge Baseline'!$B$1:$L$257,4,FALSE))))</f>
        <v/>
      </c>
      <c r="E135" s="310" t="str">
        <f>IF(B135="","",IF(ISNA(VLOOKUP($B135,'B-1 On-Site Hedge Baseline'!$B$1:$L$257,5,FALSE)),"",(VLOOKUP($B135,'B-1 On-Site Hedge Baseline'!$B$1:$L$257,5,FALSE))))</f>
        <v/>
      </c>
      <c r="F135" s="310" t="str">
        <f>IF(B135="","",IF(ISNA(VLOOKUP($B135,'B-1 On-Site Hedge Baseline'!$B$1:$L$257,6,FALSE)),"",(VLOOKUP($B135,'B-1 On-Site Hedge Baseline'!$B$1:$L$257,6,FALSE))))</f>
        <v/>
      </c>
      <c r="G135" s="310" t="str">
        <f>IF(B135="","",IF(ISNA(VLOOKUP($B135,'B-1 On-Site Hedge Baseline'!$B$1:$L$257,7,FALSE)),"",(VLOOKUP($B135,'B-1 On-Site Hedge Baseline'!$B$1:$L$257,7,FALSE))))</f>
        <v/>
      </c>
      <c r="H135" s="310" t="str">
        <f>IF(B135="","",IF(ISNA(VLOOKUP($B135,'B-1 On-Site Hedge Baseline'!$B$1:$L$257,8,FALSE)),"",(VLOOKUP($B135,'B-1 On-Site Hedge Baseline'!$B$1:$L$257,8,FALSE))))</f>
        <v/>
      </c>
      <c r="I135" s="310" t="str">
        <f>IF(B135="","",IF(ISNA(VLOOKUP($B135,'B-1 On-Site Hedge Baseline'!$B$1:$L$257,10,FALSE)),"",(VLOOKUP($B135,'B-1 On-Site Hedge Baseline'!$B$1:$L$257,10,FALSE))))</f>
        <v/>
      </c>
      <c r="J135" s="310" t="str">
        <f>IF(B135="","",IF(ISNA(VLOOKUP($B135,'B-1 On-Site Hedge Baseline'!$B$1:$L$257,11,FALSE)),"",(VLOOKUP($B135,'B-1 On-Site Hedge Baseline'!$B$1:$L$257,11,FALSE))))</f>
        <v/>
      </c>
      <c r="K135" s="310" t="str">
        <f>IF(B135="","",IF(ISNA(VLOOKUP($B135,'B-1 On-Site Hedge Baseline'!$B$1:$U$257,13,FALSE)),"",(VLOOKUP($B135,'B-1 On-Site Hedge Baseline'!$B$1:$U$257,13,FALSE))))</f>
        <v/>
      </c>
      <c r="L135" s="314" t="str">
        <f>IF(B135="","",IF(ISNA(VLOOKUP($B135,'B-1 On-Site Hedge Baseline'!$B$1:$U$257,12,FALSE)),"",(VLOOKUP($B135,'B-1 On-Site Hedge Baseline'!$B$1:$U$257,12,FALSE))))</f>
        <v/>
      </c>
      <c r="M135" s="583"/>
      <c r="N135" s="290" t="str">
        <f>IFERROR(IF(B135="","",INDEX('G-6 Hedgerow Data'!$AN$3:$AZ$15,MATCH(C135,'G-6 Hedgerow Data'!$AM$3:$AM$15,0),MATCH(M135,'G-6 Hedgerow Data'!$AN$2:$AZ$2,0))),"")</f>
        <v/>
      </c>
      <c r="O135" s="291" t="str">
        <f t="shared" si="8"/>
        <v/>
      </c>
      <c r="P135" s="341" t="str">
        <f>IF(B135="","",VLOOKUP(B135,'B-1 On-Site Hedge Baseline'!$B$10:T380,16,FALSE))</f>
        <v/>
      </c>
      <c r="Q135" s="290" t="str">
        <f>IF(M135="","",VLOOKUP(M135,'G-6 Hedgerow Data'!$B$2:$AG$15,2,FALSE))</f>
        <v/>
      </c>
      <c r="R135" s="291" t="str">
        <f>IF(M135="","",VLOOKUP(M135,'G-6 Hedgerow Data'!$B$2:$AG$15,3,FALSE))</f>
        <v/>
      </c>
      <c r="S135" s="106"/>
      <c r="T135" s="328" t="str">
        <f>IFERROR(IF(S135="","",IF(AND(M135="Non-native and ornamental hedgerow", S135&lt;&gt;"Poor"),"Not possible ▲", (VLOOKUP(S135,'G-1 All Habitats'!$Z$2:$AA$9,2,FALSE)))),"")</f>
        <v/>
      </c>
      <c r="U135" s="103"/>
      <c r="V135" s="310" t="str">
        <f>IF(U135="","",IF(VLOOKUP(U135,'G-3 Multipliers'!$L$3:$N$6,2,FALSE)=0,"Spatial Data Missing ⚠",VLOOKUP(U135,'G-3 Multipliers'!$L$3:$N$6,2,FALSE)))</f>
        <v/>
      </c>
      <c r="W135" s="314" t="str">
        <f>IF(U135="","",IF(VLOOKUP(U135,'G-3 Multipliers'!$L$3:$N$6,3,FALSE)=0,"Spatial Data Missing ⚠",VLOOKUP(U135,'G-3 Multipliers'!$L$3:$N$6,3,FALSE)))</f>
        <v/>
      </c>
      <c r="X135" s="290" t="str">
        <f>IFERROR(IF(OR(LEFT(O135,5)="Error",LEFT(N135,5)="Error",T135="Error"),"Check Data ⚠",IF(F135&lt;R135,INDEX('G-6 Hedgerow Data'!$S$3:$AE$14,MATCH(C135,'G-6 Hedgerow Data'!$B$3:$B$14,0),MATCH(M135,'G-6 Hedgerow Data'!$S$2:$AE$2,0)),INDEX('G-6 Hedgerow Data'!$K$3:$Q$14,MATCH(M135,'G-6 Hedgerow Data'!$B$3:$B$14,0),MATCH(O135,'G-6 Hedgerow Data'!$K$2:$Q$2,0)))),"")</f>
        <v/>
      </c>
      <c r="Y135" s="138"/>
      <c r="Z135" s="138"/>
      <c r="AA135" s="298" t="str">
        <f t="shared" si="9"/>
        <v/>
      </c>
      <c r="AB135" s="311" t="str">
        <f t="shared" si="10"/>
        <v/>
      </c>
      <c r="AC135" s="312" t="str">
        <f t="shared" si="7"/>
        <v/>
      </c>
      <c r="AD135" s="325" t="str">
        <f>IF(M135="","",VLOOKUP(M135,'G-6 Hedgerow Data'!$B$3:$AG$15,31,FALSE))</f>
        <v/>
      </c>
      <c r="AE135" s="298" t="str">
        <f t="shared" si="11"/>
        <v/>
      </c>
      <c r="AF135" s="298" t="str">
        <f t="shared" si="12"/>
        <v/>
      </c>
      <c r="AG135" s="314" t="str">
        <f>IFERROR(IF(O135="","",VLOOKUP(AD135,'G-3 Multipliers'!$P$3:$Q$6,2,FALSE)),"")</f>
        <v/>
      </c>
      <c r="AH135" s="304" t="str">
        <f t="shared" si="13"/>
        <v/>
      </c>
      <c r="AI135" s="157"/>
      <c r="AJ135" s="99"/>
      <c r="AK135" s="101"/>
      <c r="AT135" s="15" t="str">
        <f>IFERROR(INDEX('G-6 Hedgerow Data'!$BJ$3:$BJ$15,MATCH(M135,'G-6 Hedgerow Data'!$B$3:$B$15,0)),"")</f>
        <v/>
      </c>
    </row>
    <row r="136" spans="2:46" ht="14" x14ac:dyDescent="0.3">
      <c r="B136" s="319" t="str">
        <f>'B-1 On-Site Hedge Baseline'!AK134</f>
        <v/>
      </c>
      <c r="C136" s="310" t="str">
        <f>IF(B136="","",IF(ISNA(VLOOKUP($B136,'B-1 On-Site Hedge Baseline'!$B$1:$L$257,3,FALSE)),"",(VLOOKUP($B136,'B-1 On-Site Hedge Baseline'!$B$1:$L$257,3,FALSE))))</f>
        <v/>
      </c>
      <c r="D136" s="310" t="str">
        <f>IF(B136="","",IF(ISNA(VLOOKUP($B136,'B-1 On-Site Hedge Baseline'!$B$1:$L$257,4,FALSE)),"",(VLOOKUP($B136,'B-1 On-Site Hedge Baseline'!$B$1:$L$257,4,FALSE))))</f>
        <v/>
      </c>
      <c r="E136" s="310" t="str">
        <f>IF(B136="","",IF(ISNA(VLOOKUP($B136,'B-1 On-Site Hedge Baseline'!$B$1:$L$257,5,FALSE)),"",(VLOOKUP($B136,'B-1 On-Site Hedge Baseline'!$B$1:$L$257,5,FALSE))))</f>
        <v/>
      </c>
      <c r="F136" s="310" t="str">
        <f>IF(B136="","",IF(ISNA(VLOOKUP($B136,'B-1 On-Site Hedge Baseline'!$B$1:$L$257,6,FALSE)),"",(VLOOKUP($B136,'B-1 On-Site Hedge Baseline'!$B$1:$L$257,6,FALSE))))</f>
        <v/>
      </c>
      <c r="G136" s="310" t="str">
        <f>IF(B136="","",IF(ISNA(VLOOKUP($B136,'B-1 On-Site Hedge Baseline'!$B$1:$L$257,7,FALSE)),"",(VLOOKUP($B136,'B-1 On-Site Hedge Baseline'!$B$1:$L$257,7,FALSE))))</f>
        <v/>
      </c>
      <c r="H136" s="310" t="str">
        <f>IF(B136="","",IF(ISNA(VLOOKUP($B136,'B-1 On-Site Hedge Baseline'!$B$1:$L$257,8,FALSE)),"",(VLOOKUP($B136,'B-1 On-Site Hedge Baseline'!$B$1:$L$257,8,FALSE))))</f>
        <v/>
      </c>
      <c r="I136" s="310" t="str">
        <f>IF(B136="","",IF(ISNA(VLOOKUP($B136,'B-1 On-Site Hedge Baseline'!$B$1:$L$257,10,FALSE)),"",(VLOOKUP($B136,'B-1 On-Site Hedge Baseline'!$B$1:$L$257,10,FALSE))))</f>
        <v/>
      </c>
      <c r="J136" s="310" t="str">
        <f>IF(B136="","",IF(ISNA(VLOOKUP($B136,'B-1 On-Site Hedge Baseline'!$B$1:$L$257,11,FALSE)),"",(VLOOKUP($B136,'B-1 On-Site Hedge Baseline'!$B$1:$L$257,11,FALSE))))</f>
        <v/>
      </c>
      <c r="K136" s="310" t="str">
        <f>IF(B136="","",IF(ISNA(VLOOKUP($B136,'B-1 On-Site Hedge Baseline'!$B$1:$U$257,13,FALSE)),"",(VLOOKUP($B136,'B-1 On-Site Hedge Baseline'!$B$1:$U$257,13,FALSE))))</f>
        <v/>
      </c>
      <c r="L136" s="314" t="str">
        <f>IF(B136="","",IF(ISNA(VLOOKUP($B136,'B-1 On-Site Hedge Baseline'!$B$1:$U$257,12,FALSE)),"",(VLOOKUP($B136,'B-1 On-Site Hedge Baseline'!$B$1:$U$257,12,FALSE))))</f>
        <v/>
      </c>
      <c r="M136" s="583"/>
      <c r="N136" s="290" t="str">
        <f>IFERROR(IF(B136="","",INDEX('G-6 Hedgerow Data'!$AN$3:$AZ$15,MATCH(C136,'G-6 Hedgerow Data'!$AM$3:$AM$15,0),MATCH(M136,'G-6 Hedgerow Data'!$AN$2:$AZ$2,0))),"")</f>
        <v/>
      </c>
      <c r="O136" s="291" t="str">
        <f t="shared" si="8"/>
        <v/>
      </c>
      <c r="P136" s="341" t="str">
        <f>IF(B136="","",VLOOKUP(B136,'B-1 On-Site Hedge Baseline'!$B$10:T381,16,FALSE))</f>
        <v/>
      </c>
      <c r="Q136" s="290" t="str">
        <f>IF(M136="","",VLOOKUP(M136,'G-6 Hedgerow Data'!$B$2:$AG$15,2,FALSE))</f>
        <v/>
      </c>
      <c r="R136" s="291" t="str">
        <f>IF(M136="","",VLOOKUP(M136,'G-6 Hedgerow Data'!$B$2:$AG$15,3,FALSE))</f>
        <v/>
      </c>
      <c r="S136" s="106"/>
      <c r="T136" s="328" t="str">
        <f>IFERROR(IF(S136="","",IF(AND(M136="Non-native and ornamental hedgerow", S136&lt;&gt;"Poor"),"Not possible ▲", (VLOOKUP(S136,'G-1 All Habitats'!$Z$2:$AA$9,2,FALSE)))),"")</f>
        <v/>
      </c>
      <c r="U136" s="103"/>
      <c r="V136" s="310" t="str">
        <f>IF(U136="","",IF(VLOOKUP(U136,'G-3 Multipliers'!$L$3:$N$6,2,FALSE)=0,"Spatial Data Missing ⚠",VLOOKUP(U136,'G-3 Multipliers'!$L$3:$N$6,2,FALSE)))</f>
        <v/>
      </c>
      <c r="W136" s="314" t="str">
        <f>IF(U136="","",IF(VLOOKUP(U136,'G-3 Multipliers'!$L$3:$N$6,3,FALSE)=0,"Spatial Data Missing ⚠",VLOOKUP(U136,'G-3 Multipliers'!$L$3:$N$6,3,FALSE)))</f>
        <v/>
      </c>
      <c r="X136" s="290" t="str">
        <f>IFERROR(IF(OR(LEFT(O136,5)="Error",LEFT(N136,5)="Error",T136="Error"),"Check Data ⚠",IF(F136&lt;R136,INDEX('G-6 Hedgerow Data'!$S$3:$AE$14,MATCH(C136,'G-6 Hedgerow Data'!$B$3:$B$14,0),MATCH(M136,'G-6 Hedgerow Data'!$S$2:$AE$2,0)),INDEX('G-6 Hedgerow Data'!$K$3:$Q$14,MATCH(M136,'G-6 Hedgerow Data'!$B$3:$B$14,0),MATCH(O136,'G-6 Hedgerow Data'!$K$2:$Q$2,0)))),"")</f>
        <v/>
      </c>
      <c r="Y136" s="138"/>
      <c r="Z136" s="138"/>
      <c r="AA136" s="298" t="str">
        <f t="shared" si="9"/>
        <v/>
      </c>
      <c r="AB136" s="311" t="str">
        <f t="shared" si="10"/>
        <v/>
      </c>
      <c r="AC136" s="312" t="str">
        <f t="shared" si="7"/>
        <v/>
      </c>
      <c r="AD136" s="325" t="str">
        <f>IF(M136="","",VLOOKUP(M136,'G-6 Hedgerow Data'!$B$3:$AG$15,31,FALSE))</f>
        <v/>
      </c>
      <c r="AE136" s="298" t="str">
        <f t="shared" si="11"/>
        <v/>
      </c>
      <c r="AF136" s="298" t="str">
        <f t="shared" si="12"/>
        <v/>
      </c>
      <c r="AG136" s="314" t="str">
        <f>IFERROR(IF(O136="","",VLOOKUP(AD136,'G-3 Multipliers'!$P$3:$Q$6,2,FALSE)),"")</f>
        <v/>
      </c>
      <c r="AH136" s="304" t="str">
        <f t="shared" si="13"/>
        <v/>
      </c>
      <c r="AI136" s="157"/>
      <c r="AJ136" s="99"/>
      <c r="AK136" s="101"/>
      <c r="AT136" s="15" t="str">
        <f>IFERROR(INDEX('G-6 Hedgerow Data'!$BJ$3:$BJ$15,MATCH(M136,'G-6 Hedgerow Data'!$B$3:$B$15,0)),"")</f>
        <v/>
      </c>
    </row>
    <row r="137" spans="2:46" ht="14" x14ac:dyDescent="0.3">
      <c r="B137" s="319" t="str">
        <f>'B-1 On-Site Hedge Baseline'!AK135</f>
        <v/>
      </c>
      <c r="C137" s="310" t="str">
        <f>IF(B137="","",IF(ISNA(VLOOKUP($B137,'B-1 On-Site Hedge Baseline'!$B$1:$L$257,3,FALSE)),"",(VLOOKUP($B137,'B-1 On-Site Hedge Baseline'!$B$1:$L$257,3,FALSE))))</f>
        <v/>
      </c>
      <c r="D137" s="310" t="str">
        <f>IF(B137="","",IF(ISNA(VLOOKUP($B137,'B-1 On-Site Hedge Baseline'!$B$1:$L$257,4,FALSE)),"",(VLOOKUP($B137,'B-1 On-Site Hedge Baseline'!$B$1:$L$257,4,FALSE))))</f>
        <v/>
      </c>
      <c r="E137" s="310" t="str">
        <f>IF(B137="","",IF(ISNA(VLOOKUP($B137,'B-1 On-Site Hedge Baseline'!$B$1:$L$257,5,FALSE)),"",(VLOOKUP($B137,'B-1 On-Site Hedge Baseline'!$B$1:$L$257,5,FALSE))))</f>
        <v/>
      </c>
      <c r="F137" s="310" t="str">
        <f>IF(B137="","",IF(ISNA(VLOOKUP($B137,'B-1 On-Site Hedge Baseline'!$B$1:$L$257,6,FALSE)),"",(VLOOKUP($B137,'B-1 On-Site Hedge Baseline'!$B$1:$L$257,6,FALSE))))</f>
        <v/>
      </c>
      <c r="G137" s="310" t="str">
        <f>IF(B137="","",IF(ISNA(VLOOKUP($B137,'B-1 On-Site Hedge Baseline'!$B$1:$L$257,7,FALSE)),"",(VLOOKUP($B137,'B-1 On-Site Hedge Baseline'!$B$1:$L$257,7,FALSE))))</f>
        <v/>
      </c>
      <c r="H137" s="310" t="str">
        <f>IF(B137="","",IF(ISNA(VLOOKUP($B137,'B-1 On-Site Hedge Baseline'!$B$1:$L$257,8,FALSE)),"",(VLOOKUP($B137,'B-1 On-Site Hedge Baseline'!$B$1:$L$257,8,FALSE))))</f>
        <v/>
      </c>
      <c r="I137" s="310" t="str">
        <f>IF(B137="","",IF(ISNA(VLOOKUP($B137,'B-1 On-Site Hedge Baseline'!$B$1:$L$257,10,FALSE)),"",(VLOOKUP($B137,'B-1 On-Site Hedge Baseline'!$B$1:$L$257,10,FALSE))))</f>
        <v/>
      </c>
      <c r="J137" s="310" t="str">
        <f>IF(B137="","",IF(ISNA(VLOOKUP($B137,'B-1 On-Site Hedge Baseline'!$B$1:$L$257,11,FALSE)),"",(VLOOKUP($B137,'B-1 On-Site Hedge Baseline'!$B$1:$L$257,11,FALSE))))</f>
        <v/>
      </c>
      <c r="K137" s="310" t="str">
        <f>IF(B137="","",IF(ISNA(VLOOKUP($B137,'B-1 On-Site Hedge Baseline'!$B$1:$U$257,13,FALSE)),"",(VLOOKUP($B137,'B-1 On-Site Hedge Baseline'!$B$1:$U$257,13,FALSE))))</f>
        <v/>
      </c>
      <c r="L137" s="314" t="str">
        <f>IF(B137="","",IF(ISNA(VLOOKUP($B137,'B-1 On-Site Hedge Baseline'!$B$1:$U$257,12,FALSE)),"",(VLOOKUP($B137,'B-1 On-Site Hedge Baseline'!$B$1:$U$257,12,FALSE))))</f>
        <v/>
      </c>
      <c r="M137" s="583"/>
      <c r="N137" s="290" t="str">
        <f>IFERROR(IF(B137="","",INDEX('G-6 Hedgerow Data'!$AN$3:$AZ$15,MATCH(C137,'G-6 Hedgerow Data'!$AM$3:$AM$15,0),MATCH(M137,'G-6 Hedgerow Data'!$AN$2:$AZ$2,0))),"")</f>
        <v/>
      </c>
      <c r="O137" s="291" t="str">
        <f t="shared" si="8"/>
        <v/>
      </c>
      <c r="P137" s="341" t="str">
        <f>IF(B137="","",VLOOKUP(B137,'B-1 On-Site Hedge Baseline'!$B$10:T382,16,FALSE))</f>
        <v/>
      </c>
      <c r="Q137" s="290" t="str">
        <f>IF(M137="","",VLOOKUP(M137,'G-6 Hedgerow Data'!$B$2:$AG$15,2,FALSE))</f>
        <v/>
      </c>
      <c r="R137" s="291" t="str">
        <f>IF(M137="","",VLOOKUP(M137,'G-6 Hedgerow Data'!$B$2:$AG$15,3,FALSE))</f>
        <v/>
      </c>
      <c r="S137" s="106"/>
      <c r="T137" s="328" t="str">
        <f>IFERROR(IF(S137="","",IF(AND(M137="Non-native and ornamental hedgerow", S137&lt;&gt;"Poor"),"Not possible ▲", (VLOOKUP(S137,'G-1 All Habitats'!$Z$2:$AA$9,2,FALSE)))),"")</f>
        <v/>
      </c>
      <c r="U137" s="103"/>
      <c r="V137" s="310" t="str">
        <f>IF(U137="","",IF(VLOOKUP(U137,'G-3 Multipliers'!$L$3:$N$6,2,FALSE)=0,"Spatial Data Missing ⚠",VLOOKUP(U137,'G-3 Multipliers'!$L$3:$N$6,2,FALSE)))</f>
        <v/>
      </c>
      <c r="W137" s="314" t="str">
        <f>IF(U137="","",IF(VLOOKUP(U137,'G-3 Multipliers'!$L$3:$N$6,3,FALSE)=0,"Spatial Data Missing ⚠",VLOOKUP(U137,'G-3 Multipliers'!$L$3:$N$6,3,FALSE)))</f>
        <v/>
      </c>
      <c r="X137" s="290" t="str">
        <f>IFERROR(IF(OR(LEFT(O137,5)="Error",LEFT(N137,5)="Error",T137="Error"),"Check Data ⚠",IF(F137&lt;R137,INDEX('G-6 Hedgerow Data'!$S$3:$AE$14,MATCH(C137,'G-6 Hedgerow Data'!$B$3:$B$14,0),MATCH(M137,'G-6 Hedgerow Data'!$S$2:$AE$2,0)),INDEX('G-6 Hedgerow Data'!$K$3:$Q$14,MATCH(M137,'G-6 Hedgerow Data'!$B$3:$B$14,0),MATCH(O137,'G-6 Hedgerow Data'!$K$2:$Q$2,0)))),"")</f>
        <v/>
      </c>
      <c r="Y137" s="138"/>
      <c r="Z137" s="138"/>
      <c r="AA137" s="298" t="str">
        <f t="shared" si="9"/>
        <v/>
      </c>
      <c r="AB137" s="311" t="str">
        <f t="shared" si="10"/>
        <v/>
      </c>
      <c r="AC137" s="312" t="str">
        <f t="shared" si="7"/>
        <v/>
      </c>
      <c r="AD137" s="325" t="str">
        <f>IF(M137="","",VLOOKUP(M137,'G-6 Hedgerow Data'!$B$3:$AG$15,31,FALSE))</f>
        <v/>
      </c>
      <c r="AE137" s="298" t="str">
        <f t="shared" si="11"/>
        <v/>
      </c>
      <c r="AF137" s="298" t="str">
        <f t="shared" si="12"/>
        <v/>
      </c>
      <c r="AG137" s="314" t="str">
        <f>IFERROR(IF(O137="","",VLOOKUP(AD137,'G-3 Multipliers'!$P$3:$Q$6,2,FALSE)),"")</f>
        <v/>
      </c>
      <c r="AH137" s="304" t="str">
        <f t="shared" si="13"/>
        <v/>
      </c>
      <c r="AI137" s="157"/>
      <c r="AJ137" s="99"/>
      <c r="AK137" s="101"/>
      <c r="AT137" s="15" t="str">
        <f>IFERROR(INDEX('G-6 Hedgerow Data'!$BJ$3:$BJ$15,MATCH(M137,'G-6 Hedgerow Data'!$B$3:$B$15,0)),"")</f>
        <v/>
      </c>
    </row>
    <row r="138" spans="2:46" ht="14" x14ac:dyDescent="0.3">
      <c r="B138" s="319" t="str">
        <f>'B-1 On-Site Hedge Baseline'!AK136</f>
        <v/>
      </c>
      <c r="C138" s="310" t="str">
        <f>IF(B138="","",IF(ISNA(VLOOKUP($B138,'B-1 On-Site Hedge Baseline'!$B$1:$L$257,3,FALSE)),"",(VLOOKUP($B138,'B-1 On-Site Hedge Baseline'!$B$1:$L$257,3,FALSE))))</f>
        <v/>
      </c>
      <c r="D138" s="310" t="str">
        <f>IF(B138="","",IF(ISNA(VLOOKUP($B138,'B-1 On-Site Hedge Baseline'!$B$1:$L$257,4,FALSE)),"",(VLOOKUP($B138,'B-1 On-Site Hedge Baseline'!$B$1:$L$257,4,FALSE))))</f>
        <v/>
      </c>
      <c r="E138" s="310" t="str">
        <f>IF(B138="","",IF(ISNA(VLOOKUP($B138,'B-1 On-Site Hedge Baseline'!$B$1:$L$257,5,FALSE)),"",(VLOOKUP($B138,'B-1 On-Site Hedge Baseline'!$B$1:$L$257,5,FALSE))))</f>
        <v/>
      </c>
      <c r="F138" s="310" t="str">
        <f>IF(B138="","",IF(ISNA(VLOOKUP($B138,'B-1 On-Site Hedge Baseline'!$B$1:$L$257,6,FALSE)),"",(VLOOKUP($B138,'B-1 On-Site Hedge Baseline'!$B$1:$L$257,6,FALSE))))</f>
        <v/>
      </c>
      <c r="G138" s="310" t="str">
        <f>IF(B138="","",IF(ISNA(VLOOKUP($B138,'B-1 On-Site Hedge Baseline'!$B$1:$L$257,7,FALSE)),"",(VLOOKUP($B138,'B-1 On-Site Hedge Baseline'!$B$1:$L$257,7,FALSE))))</f>
        <v/>
      </c>
      <c r="H138" s="310" t="str">
        <f>IF(B138="","",IF(ISNA(VLOOKUP($B138,'B-1 On-Site Hedge Baseline'!$B$1:$L$257,8,FALSE)),"",(VLOOKUP($B138,'B-1 On-Site Hedge Baseline'!$B$1:$L$257,8,FALSE))))</f>
        <v/>
      </c>
      <c r="I138" s="310" t="str">
        <f>IF(B138="","",IF(ISNA(VLOOKUP($B138,'B-1 On-Site Hedge Baseline'!$B$1:$L$257,10,FALSE)),"",(VLOOKUP($B138,'B-1 On-Site Hedge Baseline'!$B$1:$L$257,10,FALSE))))</f>
        <v/>
      </c>
      <c r="J138" s="310" t="str">
        <f>IF(B138="","",IF(ISNA(VLOOKUP($B138,'B-1 On-Site Hedge Baseline'!$B$1:$L$257,11,FALSE)),"",(VLOOKUP($B138,'B-1 On-Site Hedge Baseline'!$B$1:$L$257,11,FALSE))))</f>
        <v/>
      </c>
      <c r="K138" s="310" t="str">
        <f>IF(B138="","",IF(ISNA(VLOOKUP($B138,'B-1 On-Site Hedge Baseline'!$B$1:$U$257,13,FALSE)),"",(VLOOKUP($B138,'B-1 On-Site Hedge Baseline'!$B$1:$U$257,13,FALSE))))</f>
        <v/>
      </c>
      <c r="L138" s="314" t="str">
        <f>IF(B138="","",IF(ISNA(VLOOKUP($B138,'B-1 On-Site Hedge Baseline'!$B$1:$U$257,12,FALSE)),"",(VLOOKUP($B138,'B-1 On-Site Hedge Baseline'!$B$1:$U$257,12,FALSE))))</f>
        <v/>
      </c>
      <c r="M138" s="583"/>
      <c r="N138" s="290" t="str">
        <f>IFERROR(IF(B138="","",INDEX('G-6 Hedgerow Data'!$AN$3:$AZ$15,MATCH(C138,'G-6 Hedgerow Data'!$AM$3:$AM$15,0),MATCH(M138,'G-6 Hedgerow Data'!$AN$2:$AZ$2,0))),"")</f>
        <v/>
      </c>
      <c r="O138" s="291" t="str">
        <f t="shared" si="8"/>
        <v/>
      </c>
      <c r="P138" s="341" t="str">
        <f>IF(B138="","",VLOOKUP(B138,'B-1 On-Site Hedge Baseline'!$B$10:T383,16,FALSE))</f>
        <v/>
      </c>
      <c r="Q138" s="290" t="str">
        <f>IF(M138="","",VLOOKUP(M138,'G-6 Hedgerow Data'!$B$2:$AG$15,2,FALSE))</f>
        <v/>
      </c>
      <c r="R138" s="291" t="str">
        <f>IF(M138="","",VLOOKUP(M138,'G-6 Hedgerow Data'!$B$2:$AG$15,3,FALSE))</f>
        <v/>
      </c>
      <c r="S138" s="106"/>
      <c r="T138" s="328" t="str">
        <f>IFERROR(IF(S138="","",IF(AND(M138="Non-native and ornamental hedgerow", S138&lt;&gt;"Poor"),"Not possible ▲", (VLOOKUP(S138,'G-1 All Habitats'!$Z$2:$AA$9,2,FALSE)))),"")</f>
        <v/>
      </c>
      <c r="U138" s="103"/>
      <c r="V138" s="310" t="str">
        <f>IF(U138="","",IF(VLOOKUP(U138,'G-3 Multipliers'!$L$3:$N$6,2,FALSE)=0,"Spatial Data Missing ⚠",VLOOKUP(U138,'G-3 Multipliers'!$L$3:$N$6,2,FALSE)))</f>
        <v/>
      </c>
      <c r="W138" s="314" t="str">
        <f>IF(U138="","",IF(VLOOKUP(U138,'G-3 Multipliers'!$L$3:$N$6,3,FALSE)=0,"Spatial Data Missing ⚠",VLOOKUP(U138,'G-3 Multipliers'!$L$3:$N$6,3,FALSE)))</f>
        <v/>
      </c>
      <c r="X138" s="290" t="str">
        <f>IFERROR(IF(OR(LEFT(O138,5)="Error",LEFT(N138,5)="Error",T138="Error"),"Check Data ⚠",IF(F138&lt;R138,INDEX('G-6 Hedgerow Data'!$S$3:$AE$14,MATCH(C138,'G-6 Hedgerow Data'!$B$3:$B$14,0),MATCH(M138,'G-6 Hedgerow Data'!$S$2:$AE$2,0)),INDEX('G-6 Hedgerow Data'!$K$3:$Q$14,MATCH(M138,'G-6 Hedgerow Data'!$B$3:$B$14,0),MATCH(O138,'G-6 Hedgerow Data'!$K$2:$Q$2,0)))),"")</f>
        <v/>
      </c>
      <c r="Y138" s="138"/>
      <c r="Z138" s="138"/>
      <c r="AA138" s="298" t="str">
        <f t="shared" si="9"/>
        <v/>
      </c>
      <c r="AB138" s="311" t="str">
        <f t="shared" si="10"/>
        <v/>
      </c>
      <c r="AC138" s="312" t="str">
        <f t="shared" si="7"/>
        <v/>
      </c>
      <c r="AD138" s="325" t="str">
        <f>IF(M138="","",VLOOKUP(M138,'G-6 Hedgerow Data'!$B$3:$AG$15,31,FALSE))</f>
        <v/>
      </c>
      <c r="AE138" s="298" t="str">
        <f t="shared" si="11"/>
        <v/>
      </c>
      <c r="AF138" s="298" t="str">
        <f t="shared" si="12"/>
        <v/>
      </c>
      <c r="AG138" s="314" t="str">
        <f>IFERROR(IF(O138="","",VLOOKUP(AD138,'G-3 Multipliers'!$P$3:$Q$6,2,FALSE)),"")</f>
        <v/>
      </c>
      <c r="AH138" s="304" t="str">
        <f t="shared" si="13"/>
        <v/>
      </c>
      <c r="AI138" s="157"/>
      <c r="AJ138" s="99"/>
      <c r="AK138" s="101"/>
      <c r="AT138" s="15" t="str">
        <f>IFERROR(INDEX('G-6 Hedgerow Data'!$BJ$3:$BJ$15,MATCH(M138,'G-6 Hedgerow Data'!$B$3:$B$15,0)),"")</f>
        <v/>
      </c>
    </row>
    <row r="139" spans="2:46" ht="14" x14ac:dyDescent="0.3">
      <c r="B139" s="319" t="str">
        <f>'B-1 On-Site Hedge Baseline'!AK137</f>
        <v/>
      </c>
      <c r="C139" s="310" t="str">
        <f>IF(B139="","",IF(ISNA(VLOOKUP($B139,'B-1 On-Site Hedge Baseline'!$B$1:$L$257,3,FALSE)),"",(VLOOKUP($B139,'B-1 On-Site Hedge Baseline'!$B$1:$L$257,3,FALSE))))</f>
        <v/>
      </c>
      <c r="D139" s="310" t="str">
        <f>IF(B139="","",IF(ISNA(VLOOKUP($B139,'B-1 On-Site Hedge Baseline'!$B$1:$L$257,4,FALSE)),"",(VLOOKUP($B139,'B-1 On-Site Hedge Baseline'!$B$1:$L$257,4,FALSE))))</f>
        <v/>
      </c>
      <c r="E139" s="310" t="str">
        <f>IF(B139="","",IF(ISNA(VLOOKUP($B139,'B-1 On-Site Hedge Baseline'!$B$1:$L$257,5,FALSE)),"",(VLOOKUP($B139,'B-1 On-Site Hedge Baseline'!$B$1:$L$257,5,FALSE))))</f>
        <v/>
      </c>
      <c r="F139" s="310" t="str">
        <f>IF(B139="","",IF(ISNA(VLOOKUP($B139,'B-1 On-Site Hedge Baseline'!$B$1:$L$257,6,FALSE)),"",(VLOOKUP($B139,'B-1 On-Site Hedge Baseline'!$B$1:$L$257,6,FALSE))))</f>
        <v/>
      </c>
      <c r="G139" s="310" t="str">
        <f>IF(B139="","",IF(ISNA(VLOOKUP($B139,'B-1 On-Site Hedge Baseline'!$B$1:$L$257,7,FALSE)),"",(VLOOKUP($B139,'B-1 On-Site Hedge Baseline'!$B$1:$L$257,7,FALSE))))</f>
        <v/>
      </c>
      <c r="H139" s="310" t="str">
        <f>IF(B139="","",IF(ISNA(VLOOKUP($B139,'B-1 On-Site Hedge Baseline'!$B$1:$L$257,8,FALSE)),"",(VLOOKUP($B139,'B-1 On-Site Hedge Baseline'!$B$1:$L$257,8,FALSE))))</f>
        <v/>
      </c>
      <c r="I139" s="310" t="str">
        <f>IF(B139="","",IF(ISNA(VLOOKUP($B139,'B-1 On-Site Hedge Baseline'!$B$1:$L$257,10,FALSE)),"",(VLOOKUP($B139,'B-1 On-Site Hedge Baseline'!$B$1:$L$257,10,FALSE))))</f>
        <v/>
      </c>
      <c r="J139" s="310" t="str">
        <f>IF(B139="","",IF(ISNA(VLOOKUP($B139,'B-1 On-Site Hedge Baseline'!$B$1:$L$257,11,FALSE)),"",(VLOOKUP($B139,'B-1 On-Site Hedge Baseline'!$B$1:$L$257,11,FALSE))))</f>
        <v/>
      </c>
      <c r="K139" s="310" t="str">
        <f>IF(B139="","",IF(ISNA(VLOOKUP($B139,'B-1 On-Site Hedge Baseline'!$B$1:$U$257,13,FALSE)),"",(VLOOKUP($B139,'B-1 On-Site Hedge Baseline'!$B$1:$U$257,13,FALSE))))</f>
        <v/>
      </c>
      <c r="L139" s="314" t="str">
        <f>IF(B139="","",IF(ISNA(VLOOKUP($B139,'B-1 On-Site Hedge Baseline'!$B$1:$U$257,12,FALSE)),"",(VLOOKUP($B139,'B-1 On-Site Hedge Baseline'!$B$1:$U$257,12,FALSE))))</f>
        <v/>
      </c>
      <c r="M139" s="583"/>
      <c r="N139" s="290" t="str">
        <f>IFERROR(IF(B139="","",INDEX('G-6 Hedgerow Data'!$AN$3:$AZ$15,MATCH(C139,'G-6 Hedgerow Data'!$AM$3:$AM$15,0),MATCH(M139,'G-6 Hedgerow Data'!$AN$2:$AZ$2,0))),"")</f>
        <v/>
      </c>
      <c r="O139" s="291" t="str">
        <f t="shared" si="8"/>
        <v/>
      </c>
      <c r="P139" s="341" t="str">
        <f>IF(B139="","",VLOOKUP(B139,'B-1 On-Site Hedge Baseline'!$B$10:T384,16,FALSE))</f>
        <v/>
      </c>
      <c r="Q139" s="290" t="str">
        <f>IF(M139="","",VLOOKUP(M139,'G-6 Hedgerow Data'!$B$2:$AG$15,2,FALSE))</f>
        <v/>
      </c>
      <c r="R139" s="291" t="str">
        <f>IF(M139="","",VLOOKUP(M139,'G-6 Hedgerow Data'!$B$2:$AG$15,3,FALSE))</f>
        <v/>
      </c>
      <c r="S139" s="106"/>
      <c r="T139" s="328" t="str">
        <f>IFERROR(IF(S139="","",IF(AND(M139="Non-native and ornamental hedgerow", S139&lt;&gt;"Poor"),"Not possible ▲", (VLOOKUP(S139,'G-1 All Habitats'!$Z$2:$AA$9,2,FALSE)))),"")</f>
        <v/>
      </c>
      <c r="U139" s="103"/>
      <c r="V139" s="310" t="str">
        <f>IF(U139="","",IF(VLOOKUP(U139,'G-3 Multipliers'!$L$3:$N$6,2,FALSE)=0,"Spatial Data Missing ⚠",VLOOKUP(U139,'G-3 Multipliers'!$L$3:$N$6,2,FALSE)))</f>
        <v/>
      </c>
      <c r="W139" s="314" t="str">
        <f>IF(U139="","",IF(VLOOKUP(U139,'G-3 Multipliers'!$L$3:$N$6,3,FALSE)=0,"Spatial Data Missing ⚠",VLOOKUP(U139,'G-3 Multipliers'!$L$3:$N$6,3,FALSE)))</f>
        <v/>
      </c>
      <c r="X139" s="290" t="str">
        <f>IFERROR(IF(OR(LEFT(O139,5)="Error",LEFT(N139,5)="Error",T139="Error"),"Check Data ⚠",IF(F139&lt;R139,INDEX('G-6 Hedgerow Data'!$S$3:$AE$14,MATCH(C139,'G-6 Hedgerow Data'!$B$3:$B$14,0),MATCH(M139,'G-6 Hedgerow Data'!$S$2:$AE$2,0)),INDEX('G-6 Hedgerow Data'!$K$3:$Q$14,MATCH(M139,'G-6 Hedgerow Data'!$B$3:$B$14,0),MATCH(O139,'G-6 Hedgerow Data'!$K$2:$Q$2,0)))),"")</f>
        <v/>
      </c>
      <c r="Y139" s="138"/>
      <c r="Z139" s="138"/>
      <c r="AA139" s="298" t="str">
        <f t="shared" si="9"/>
        <v/>
      </c>
      <c r="AB139" s="311" t="str">
        <f t="shared" si="10"/>
        <v/>
      </c>
      <c r="AC139" s="312" t="str">
        <f t="shared" si="7"/>
        <v/>
      </c>
      <c r="AD139" s="325" t="str">
        <f>IF(M139="","",VLOOKUP(M139,'G-6 Hedgerow Data'!$B$3:$AG$15,31,FALSE))</f>
        <v/>
      </c>
      <c r="AE139" s="298" t="str">
        <f t="shared" si="11"/>
        <v/>
      </c>
      <c r="AF139" s="298" t="str">
        <f t="shared" si="12"/>
        <v/>
      </c>
      <c r="AG139" s="314" t="str">
        <f>IFERROR(IF(O139="","",VLOOKUP(AD139,'G-3 Multipliers'!$P$3:$Q$6,2,FALSE)),"")</f>
        <v/>
      </c>
      <c r="AH139" s="304" t="str">
        <f t="shared" si="13"/>
        <v/>
      </c>
      <c r="AI139" s="157"/>
      <c r="AJ139" s="99"/>
      <c r="AK139" s="101"/>
      <c r="AT139" s="15" t="str">
        <f>IFERROR(INDEX('G-6 Hedgerow Data'!$BJ$3:$BJ$15,MATCH(M139,'G-6 Hedgerow Data'!$B$3:$B$15,0)),"")</f>
        <v/>
      </c>
    </row>
    <row r="140" spans="2:46" ht="14" x14ac:dyDescent="0.3">
      <c r="B140" s="319" t="str">
        <f>'B-1 On-Site Hedge Baseline'!AK138</f>
        <v/>
      </c>
      <c r="C140" s="310" t="str">
        <f>IF(B140="","",IF(ISNA(VLOOKUP($B140,'B-1 On-Site Hedge Baseline'!$B$1:$L$257,3,FALSE)),"",(VLOOKUP($B140,'B-1 On-Site Hedge Baseline'!$B$1:$L$257,3,FALSE))))</f>
        <v/>
      </c>
      <c r="D140" s="310" t="str">
        <f>IF(B140="","",IF(ISNA(VLOOKUP($B140,'B-1 On-Site Hedge Baseline'!$B$1:$L$257,4,FALSE)),"",(VLOOKUP($B140,'B-1 On-Site Hedge Baseline'!$B$1:$L$257,4,FALSE))))</f>
        <v/>
      </c>
      <c r="E140" s="310" t="str">
        <f>IF(B140="","",IF(ISNA(VLOOKUP($B140,'B-1 On-Site Hedge Baseline'!$B$1:$L$257,5,FALSE)),"",(VLOOKUP($B140,'B-1 On-Site Hedge Baseline'!$B$1:$L$257,5,FALSE))))</f>
        <v/>
      </c>
      <c r="F140" s="310" t="str">
        <f>IF(B140="","",IF(ISNA(VLOOKUP($B140,'B-1 On-Site Hedge Baseline'!$B$1:$L$257,6,FALSE)),"",(VLOOKUP($B140,'B-1 On-Site Hedge Baseline'!$B$1:$L$257,6,FALSE))))</f>
        <v/>
      </c>
      <c r="G140" s="310" t="str">
        <f>IF(B140="","",IF(ISNA(VLOOKUP($B140,'B-1 On-Site Hedge Baseline'!$B$1:$L$257,7,FALSE)),"",(VLOOKUP($B140,'B-1 On-Site Hedge Baseline'!$B$1:$L$257,7,FALSE))))</f>
        <v/>
      </c>
      <c r="H140" s="310" t="str">
        <f>IF(B140="","",IF(ISNA(VLOOKUP($B140,'B-1 On-Site Hedge Baseline'!$B$1:$L$257,8,FALSE)),"",(VLOOKUP($B140,'B-1 On-Site Hedge Baseline'!$B$1:$L$257,8,FALSE))))</f>
        <v/>
      </c>
      <c r="I140" s="310" t="str">
        <f>IF(B140="","",IF(ISNA(VLOOKUP($B140,'B-1 On-Site Hedge Baseline'!$B$1:$L$257,10,FALSE)),"",(VLOOKUP($B140,'B-1 On-Site Hedge Baseline'!$B$1:$L$257,10,FALSE))))</f>
        <v/>
      </c>
      <c r="J140" s="310" t="str">
        <f>IF(B140="","",IF(ISNA(VLOOKUP($B140,'B-1 On-Site Hedge Baseline'!$B$1:$L$257,11,FALSE)),"",(VLOOKUP($B140,'B-1 On-Site Hedge Baseline'!$B$1:$L$257,11,FALSE))))</f>
        <v/>
      </c>
      <c r="K140" s="310" t="str">
        <f>IF(B140="","",IF(ISNA(VLOOKUP($B140,'B-1 On-Site Hedge Baseline'!$B$1:$U$257,13,FALSE)),"",(VLOOKUP($B140,'B-1 On-Site Hedge Baseline'!$B$1:$U$257,13,FALSE))))</f>
        <v/>
      </c>
      <c r="L140" s="314" t="str">
        <f>IF(B140="","",IF(ISNA(VLOOKUP($B140,'B-1 On-Site Hedge Baseline'!$B$1:$U$257,12,FALSE)),"",(VLOOKUP($B140,'B-1 On-Site Hedge Baseline'!$B$1:$U$257,12,FALSE))))</f>
        <v/>
      </c>
      <c r="M140" s="583"/>
      <c r="N140" s="290" t="str">
        <f>IFERROR(IF(B140="","",INDEX('G-6 Hedgerow Data'!$AN$3:$AZ$15,MATCH(C140,'G-6 Hedgerow Data'!$AM$3:$AM$15,0),MATCH(M140,'G-6 Hedgerow Data'!$AN$2:$AZ$2,0))),"")</f>
        <v/>
      </c>
      <c r="O140" s="291" t="str">
        <f t="shared" si="8"/>
        <v/>
      </c>
      <c r="P140" s="341" t="str">
        <f>IF(B140="","",VLOOKUP(B140,'B-1 On-Site Hedge Baseline'!$B$10:T385,16,FALSE))</f>
        <v/>
      </c>
      <c r="Q140" s="290" t="str">
        <f>IF(M140="","",VLOOKUP(M140,'G-6 Hedgerow Data'!$B$2:$AG$15,2,FALSE))</f>
        <v/>
      </c>
      <c r="R140" s="291" t="str">
        <f>IF(M140="","",VLOOKUP(M140,'G-6 Hedgerow Data'!$B$2:$AG$15,3,FALSE))</f>
        <v/>
      </c>
      <c r="S140" s="106"/>
      <c r="T140" s="328" t="str">
        <f>IFERROR(IF(S140="","",IF(AND(M140="Non-native and ornamental hedgerow", S140&lt;&gt;"Poor"),"Not possible ▲", (VLOOKUP(S140,'G-1 All Habitats'!$Z$2:$AA$9,2,FALSE)))),"")</f>
        <v/>
      </c>
      <c r="U140" s="103"/>
      <c r="V140" s="310" t="str">
        <f>IF(U140="","",IF(VLOOKUP(U140,'G-3 Multipliers'!$L$3:$N$6,2,FALSE)=0,"Spatial Data Missing ⚠",VLOOKUP(U140,'G-3 Multipliers'!$L$3:$N$6,2,FALSE)))</f>
        <v/>
      </c>
      <c r="W140" s="314" t="str">
        <f>IF(U140="","",IF(VLOOKUP(U140,'G-3 Multipliers'!$L$3:$N$6,3,FALSE)=0,"Spatial Data Missing ⚠",VLOOKUP(U140,'G-3 Multipliers'!$L$3:$N$6,3,FALSE)))</f>
        <v/>
      </c>
      <c r="X140" s="290" t="str">
        <f>IFERROR(IF(OR(LEFT(O140,5)="Error",LEFT(N140,5)="Error",T140="Error"),"Check Data ⚠",IF(F140&lt;R140,INDEX('G-6 Hedgerow Data'!$S$3:$AE$14,MATCH(C140,'G-6 Hedgerow Data'!$B$3:$B$14,0),MATCH(M140,'G-6 Hedgerow Data'!$S$2:$AE$2,0)),INDEX('G-6 Hedgerow Data'!$K$3:$Q$14,MATCH(M140,'G-6 Hedgerow Data'!$B$3:$B$14,0),MATCH(O140,'G-6 Hedgerow Data'!$K$2:$Q$2,0)))),"")</f>
        <v/>
      </c>
      <c r="Y140" s="138"/>
      <c r="Z140" s="138"/>
      <c r="AA140" s="298" t="str">
        <f t="shared" si="9"/>
        <v/>
      </c>
      <c r="AB140" s="311" t="str">
        <f t="shared" si="10"/>
        <v/>
      </c>
      <c r="AC140" s="312" t="str">
        <f t="shared" ref="AC140:AC203" si="14">IF(OR(S140="",M140=""),"",IF(LEFT(AB140,5)="Error ▲","Check Data ⚠",IF(AB140="Check Data ⚠","Check Data ⚠",VLOOKUP(AB140,TemporalMultipliers,3,FALSE))))</f>
        <v/>
      </c>
      <c r="AD140" s="325" t="str">
        <f>IF(M140="","",VLOOKUP(M140,'G-6 Hedgerow Data'!$B$3:$AG$15,31,FALSE))</f>
        <v/>
      </c>
      <c r="AE140" s="298" t="str">
        <f t="shared" si="11"/>
        <v/>
      </c>
      <c r="AF140" s="298" t="str">
        <f t="shared" si="12"/>
        <v/>
      </c>
      <c r="AG140" s="314" t="str">
        <f>IFERROR(IF(O140="","",VLOOKUP(AD140,'G-3 Multipliers'!$P$3:$Q$6,2,FALSE)),"")</f>
        <v/>
      </c>
      <c r="AH140" s="304" t="str">
        <f t="shared" si="13"/>
        <v/>
      </c>
      <c r="AI140" s="157"/>
      <c r="AJ140" s="99"/>
      <c r="AK140" s="101"/>
      <c r="AT140" s="15" t="str">
        <f>IFERROR(INDEX('G-6 Hedgerow Data'!$BJ$3:$BJ$15,MATCH(M140,'G-6 Hedgerow Data'!$B$3:$B$15,0)),"")</f>
        <v/>
      </c>
    </row>
    <row r="141" spans="2:46" ht="14" x14ac:dyDescent="0.3">
      <c r="B141" s="319" t="str">
        <f>'B-1 On-Site Hedge Baseline'!AK139</f>
        <v/>
      </c>
      <c r="C141" s="310" t="str">
        <f>IF(B141="","",IF(ISNA(VLOOKUP($B141,'B-1 On-Site Hedge Baseline'!$B$1:$L$257,3,FALSE)),"",(VLOOKUP($B141,'B-1 On-Site Hedge Baseline'!$B$1:$L$257,3,FALSE))))</f>
        <v/>
      </c>
      <c r="D141" s="310" t="str">
        <f>IF(B141="","",IF(ISNA(VLOOKUP($B141,'B-1 On-Site Hedge Baseline'!$B$1:$L$257,4,FALSE)),"",(VLOOKUP($B141,'B-1 On-Site Hedge Baseline'!$B$1:$L$257,4,FALSE))))</f>
        <v/>
      </c>
      <c r="E141" s="310" t="str">
        <f>IF(B141="","",IF(ISNA(VLOOKUP($B141,'B-1 On-Site Hedge Baseline'!$B$1:$L$257,5,FALSE)),"",(VLOOKUP($B141,'B-1 On-Site Hedge Baseline'!$B$1:$L$257,5,FALSE))))</f>
        <v/>
      </c>
      <c r="F141" s="310" t="str">
        <f>IF(B141="","",IF(ISNA(VLOOKUP($B141,'B-1 On-Site Hedge Baseline'!$B$1:$L$257,6,FALSE)),"",(VLOOKUP($B141,'B-1 On-Site Hedge Baseline'!$B$1:$L$257,6,FALSE))))</f>
        <v/>
      </c>
      <c r="G141" s="310" t="str">
        <f>IF(B141="","",IF(ISNA(VLOOKUP($B141,'B-1 On-Site Hedge Baseline'!$B$1:$L$257,7,FALSE)),"",(VLOOKUP($B141,'B-1 On-Site Hedge Baseline'!$B$1:$L$257,7,FALSE))))</f>
        <v/>
      </c>
      <c r="H141" s="310" t="str">
        <f>IF(B141="","",IF(ISNA(VLOOKUP($B141,'B-1 On-Site Hedge Baseline'!$B$1:$L$257,8,FALSE)),"",(VLOOKUP($B141,'B-1 On-Site Hedge Baseline'!$B$1:$L$257,8,FALSE))))</f>
        <v/>
      </c>
      <c r="I141" s="310" t="str">
        <f>IF(B141="","",IF(ISNA(VLOOKUP($B141,'B-1 On-Site Hedge Baseline'!$B$1:$L$257,10,FALSE)),"",(VLOOKUP($B141,'B-1 On-Site Hedge Baseline'!$B$1:$L$257,10,FALSE))))</f>
        <v/>
      </c>
      <c r="J141" s="310" t="str">
        <f>IF(B141="","",IF(ISNA(VLOOKUP($B141,'B-1 On-Site Hedge Baseline'!$B$1:$L$257,11,FALSE)),"",(VLOOKUP($B141,'B-1 On-Site Hedge Baseline'!$B$1:$L$257,11,FALSE))))</f>
        <v/>
      </c>
      <c r="K141" s="310" t="str">
        <f>IF(B141="","",IF(ISNA(VLOOKUP($B141,'B-1 On-Site Hedge Baseline'!$B$1:$U$257,13,FALSE)),"",(VLOOKUP($B141,'B-1 On-Site Hedge Baseline'!$B$1:$U$257,13,FALSE))))</f>
        <v/>
      </c>
      <c r="L141" s="314" t="str">
        <f>IF(B141="","",IF(ISNA(VLOOKUP($B141,'B-1 On-Site Hedge Baseline'!$B$1:$U$257,12,FALSE)),"",(VLOOKUP($B141,'B-1 On-Site Hedge Baseline'!$B$1:$U$257,12,FALSE))))</f>
        <v/>
      </c>
      <c r="M141" s="583"/>
      <c r="N141" s="290" t="str">
        <f>IFERROR(IF(B141="","",INDEX('G-6 Hedgerow Data'!$AN$3:$AZ$15,MATCH(C141,'G-6 Hedgerow Data'!$AM$3:$AM$15,0),MATCH(M141,'G-6 Hedgerow Data'!$AN$2:$AZ$2,0))),"")</f>
        <v/>
      </c>
      <c r="O141" s="291" t="str">
        <f t="shared" ref="O141:O204" si="15">IFERROR(IF(B141="","",IF(AND(LEFT(C141,55)&lt;&gt;LEFT(M141,55),N141="High - High"),"Error - Not like for like ▲",IF(H141&gt;T141,"Error - Can not reduce condition ▲",IF(AND(F141=R141,H141=T141),"Error - No enhancement ▲",IF(AND(C141&lt;&gt;M141,F141&lt;R141),"Lower Distinctiveness Habitat"&amp;" - "&amp;S141,G141&amp;" - "&amp;S141))))),"")</f>
        <v/>
      </c>
      <c r="P141" s="341" t="str">
        <f>IF(B141="","",VLOOKUP(B141,'B-1 On-Site Hedge Baseline'!$B$10:T386,16,FALSE))</f>
        <v/>
      </c>
      <c r="Q141" s="290" t="str">
        <f>IF(M141="","",VLOOKUP(M141,'G-6 Hedgerow Data'!$B$2:$AG$15,2,FALSE))</f>
        <v/>
      </c>
      <c r="R141" s="291" t="str">
        <f>IF(M141="","",VLOOKUP(M141,'G-6 Hedgerow Data'!$B$2:$AG$15,3,FALSE))</f>
        <v/>
      </c>
      <c r="S141" s="106"/>
      <c r="T141" s="328" t="str">
        <f>IFERROR(IF(S141="","",IF(AND(M141="Non-native and ornamental hedgerow", S141&lt;&gt;"Poor"),"Not possible ▲", (VLOOKUP(S141,'G-1 All Habitats'!$Z$2:$AA$9,2,FALSE)))),"")</f>
        <v/>
      </c>
      <c r="U141" s="103"/>
      <c r="V141" s="310" t="str">
        <f>IF(U141="","",IF(VLOOKUP(U141,'G-3 Multipliers'!$L$3:$N$6,2,FALSE)=0,"Spatial Data Missing ⚠",VLOOKUP(U141,'G-3 Multipliers'!$L$3:$N$6,2,FALSE)))</f>
        <v/>
      </c>
      <c r="W141" s="314" t="str">
        <f>IF(U141="","",IF(VLOOKUP(U141,'G-3 Multipliers'!$L$3:$N$6,3,FALSE)=0,"Spatial Data Missing ⚠",VLOOKUP(U141,'G-3 Multipliers'!$L$3:$N$6,3,FALSE)))</f>
        <v/>
      </c>
      <c r="X141" s="290" t="str">
        <f>IFERROR(IF(OR(LEFT(O141,5)="Error",LEFT(N141,5)="Error",T141="Error"),"Check Data ⚠",IF(F141&lt;R141,INDEX('G-6 Hedgerow Data'!$S$3:$AE$14,MATCH(C141,'G-6 Hedgerow Data'!$B$3:$B$14,0),MATCH(M141,'G-6 Hedgerow Data'!$S$2:$AE$2,0)),INDEX('G-6 Hedgerow Data'!$K$3:$Q$14,MATCH(M141,'G-6 Hedgerow Data'!$B$3:$B$14,0),MATCH(O141,'G-6 Hedgerow Data'!$K$2:$Q$2,0)))),"")</f>
        <v/>
      </c>
      <c r="Y141" s="138"/>
      <c r="Z141" s="138"/>
      <c r="AA141" s="298" t="str">
        <f t="shared" ref="AA141:AA204" si="16">IF(X141="Check Data ⚠","Check Data ⚠",IF(M141="","",IF(AND(Y141&gt;0,Z141&gt;0),"Error -both advance and delayed habitat creation ▲",IF(AND(OR(Y141="Habitat already in target condition",X141&lt;=Y141),Z141=0),"Check details - Is there evidence that habitat has reached target condition? ⚠",IF(X141="","",IF(Y141&gt;0,"Check details - Is there evidence habitat creation started/in place? ⚠",IF(Z141&gt;0,"Check details- Delay in starting habitat in required condition? ⚠","Standard time to target condition applied")))))))</f>
        <v/>
      </c>
      <c r="AB141" s="311" t="str">
        <f t="shared" ref="AB141:AB204" si="17">IF(X141="","",IF(AA141="Check Data ⚠","Check Data ⚠",IF(Y141="30+",0,IF(Z141="30+","30+ ⚠",IF(X141+Z141&gt;30,"30+",IF(AA141="Error -both advance and delayed habitat creation ▲","Check Data ⚠",IF(X141+Z141-Y141&gt;0,X141+Z141-Y141,IF(X141-Y141&lt;=0,0,))))))))</f>
        <v/>
      </c>
      <c r="AC141" s="312" t="str">
        <f t="shared" si="14"/>
        <v/>
      </c>
      <c r="AD141" s="325" t="str">
        <f>IF(M141="","",VLOOKUP(M141,'G-6 Hedgerow Data'!$B$3:$AG$15,31,FALSE))</f>
        <v/>
      </c>
      <c r="AE141" s="298" t="str">
        <f t="shared" ref="AE141:AE204" si="18">IF(M141="","",IF(OR(LEFT(AA141,5)="Error ▲",AA141="Check Data ⚠"),"Check Data ⚠",IF(X141="","",IF($AA141="Check details - Is there evidence that habitat has reached target condition? ⚠","Low Difficulty - only applicable if all habitat created before losses ⚠","Standard difficulty applied"))))</f>
        <v/>
      </c>
      <c r="AF141" s="298" t="str">
        <f t="shared" ref="AF141:AF204" si="19">(IF(AND(AE141="Standard difficulty applied",X141&gt;Y141),AD141,IF(AND(AE141="Low Difficulty - only applicable if all habitat created before losses ⚠",Y141&gt;=X141),"Low",AD141)))</f>
        <v/>
      </c>
      <c r="AG141" s="314" t="str">
        <f>IFERROR(IF(O141="","",VLOOKUP(AD141,'G-3 Multipliers'!$P$3:$Q$6,2,FALSE)),"")</f>
        <v/>
      </c>
      <c r="AH141" s="304" t="str">
        <f t="shared" ref="AH141:AH204" si="20">IFERROR(IF(K141="Check data ⚠", "Check data ⚠", (IF(OR(M141="",S141="",U141=""),"",(((((P141*R141*T141)-(P141*F141*H141))*(AG141*AC141))+(P141*F141*H141))*(W141))))),"")</f>
        <v/>
      </c>
      <c r="AI141" s="157"/>
      <c r="AJ141" s="99"/>
      <c r="AK141" s="101"/>
      <c r="AT141" s="15" t="str">
        <f>IFERROR(INDEX('G-6 Hedgerow Data'!$BJ$3:$BJ$15,MATCH(M141,'G-6 Hedgerow Data'!$B$3:$B$15,0)),"")</f>
        <v/>
      </c>
    </row>
    <row r="142" spans="2:46" ht="14" x14ac:dyDescent="0.3">
      <c r="B142" s="319" t="str">
        <f>'B-1 On-Site Hedge Baseline'!AK140</f>
        <v/>
      </c>
      <c r="C142" s="310" t="str">
        <f>IF(B142="","",IF(ISNA(VLOOKUP($B142,'B-1 On-Site Hedge Baseline'!$B$1:$L$257,3,FALSE)),"",(VLOOKUP($B142,'B-1 On-Site Hedge Baseline'!$B$1:$L$257,3,FALSE))))</f>
        <v/>
      </c>
      <c r="D142" s="310" t="str">
        <f>IF(B142="","",IF(ISNA(VLOOKUP($B142,'B-1 On-Site Hedge Baseline'!$B$1:$L$257,4,FALSE)),"",(VLOOKUP($B142,'B-1 On-Site Hedge Baseline'!$B$1:$L$257,4,FALSE))))</f>
        <v/>
      </c>
      <c r="E142" s="310" t="str">
        <f>IF(B142="","",IF(ISNA(VLOOKUP($B142,'B-1 On-Site Hedge Baseline'!$B$1:$L$257,5,FALSE)),"",(VLOOKUP($B142,'B-1 On-Site Hedge Baseline'!$B$1:$L$257,5,FALSE))))</f>
        <v/>
      </c>
      <c r="F142" s="310" t="str">
        <f>IF(B142="","",IF(ISNA(VLOOKUP($B142,'B-1 On-Site Hedge Baseline'!$B$1:$L$257,6,FALSE)),"",(VLOOKUP($B142,'B-1 On-Site Hedge Baseline'!$B$1:$L$257,6,FALSE))))</f>
        <v/>
      </c>
      <c r="G142" s="310" t="str">
        <f>IF(B142="","",IF(ISNA(VLOOKUP($B142,'B-1 On-Site Hedge Baseline'!$B$1:$L$257,7,FALSE)),"",(VLOOKUP($B142,'B-1 On-Site Hedge Baseline'!$B$1:$L$257,7,FALSE))))</f>
        <v/>
      </c>
      <c r="H142" s="310" t="str">
        <f>IF(B142="","",IF(ISNA(VLOOKUP($B142,'B-1 On-Site Hedge Baseline'!$B$1:$L$257,8,FALSE)),"",(VLOOKUP($B142,'B-1 On-Site Hedge Baseline'!$B$1:$L$257,8,FALSE))))</f>
        <v/>
      </c>
      <c r="I142" s="310" t="str">
        <f>IF(B142="","",IF(ISNA(VLOOKUP($B142,'B-1 On-Site Hedge Baseline'!$B$1:$L$257,10,FALSE)),"",(VLOOKUP($B142,'B-1 On-Site Hedge Baseline'!$B$1:$L$257,10,FALSE))))</f>
        <v/>
      </c>
      <c r="J142" s="310" t="str">
        <f>IF(B142="","",IF(ISNA(VLOOKUP($B142,'B-1 On-Site Hedge Baseline'!$B$1:$L$257,11,FALSE)),"",(VLOOKUP($B142,'B-1 On-Site Hedge Baseline'!$B$1:$L$257,11,FALSE))))</f>
        <v/>
      </c>
      <c r="K142" s="310" t="str">
        <f>IF(B142="","",IF(ISNA(VLOOKUP($B142,'B-1 On-Site Hedge Baseline'!$B$1:$U$257,13,FALSE)),"",(VLOOKUP($B142,'B-1 On-Site Hedge Baseline'!$B$1:$U$257,13,FALSE))))</f>
        <v/>
      </c>
      <c r="L142" s="314" t="str">
        <f>IF(B142="","",IF(ISNA(VLOOKUP($B142,'B-1 On-Site Hedge Baseline'!$B$1:$U$257,12,FALSE)),"",(VLOOKUP($B142,'B-1 On-Site Hedge Baseline'!$B$1:$U$257,12,FALSE))))</f>
        <v/>
      </c>
      <c r="M142" s="583"/>
      <c r="N142" s="290" t="str">
        <f>IFERROR(IF(B142="","",INDEX('G-6 Hedgerow Data'!$AN$3:$AZ$15,MATCH(C142,'G-6 Hedgerow Data'!$AM$3:$AM$15,0),MATCH(M142,'G-6 Hedgerow Data'!$AN$2:$AZ$2,0))),"")</f>
        <v/>
      </c>
      <c r="O142" s="291" t="str">
        <f t="shared" si="15"/>
        <v/>
      </c>
      <c r="P142" s="341" t="str">
        <f>IF(B142="","",VLOOKUP(B142,'B-1 On-Site Hedge Baseline'!$B$10:T387,16,FALSE))</f>
        <v/>
      </c>
      <c r="Q142" s="290" t="str">
        <f>IF(M142="","",VLOOKUP(M142,'G-6 Hedgerow Data'!$B$2:$AG$15,2,FALSE))</f>
        <v/>
      </c>
      <c r="R142" s="291" t="str">
        <f>IF(M142="","",VLOOKUP(M142,'G-6 Hedgerow Data'!$B$2:$AG$15,3,FALSE))</f>
        <v/>
      </c>
      <c r="S142" s="106"/>
      <c r="T142" s="328" t="str">
        <f>IFERROR(IF(S142="","",IF(AND(M142="Non-native and ornamental hedgerow", S142&lt;&gt;"Poor"),"Not possible ▲", (VLOOKUP(S142,'G-1 All Habitats'!$Z$2:$AA$9,2,FALSE)))),"")</f>
        <v/>
      </c>
      <c r="U142" s="103"/>
      <c r="V142" s="310" t="str">
        <f>IF(U142="","",IF(VLOOKUP(U142,'G-3 Multipliers'!$L$3:$N$6,2,FALSE)=0,"Spatial Data Missing ⚠",VLOOKUP(U142,'G-3 Multipliers'!$L$3:$N$6,2,FALSE)))</f>
        <v/>
      </c>
      <c r="W142" s="314" t="str">
        <f>IF(U142="","",IF(VLOOKUP(U142,'G-3 Multipliers'!$L$3:$N$6,3,FALSE)=0,"Spatial Data Missing ⚠",VLOOKUP(U142,'G-3 Multipliers'!$L$3:$N$6,3,FALSE)))</f>
        <v/>
      </c>
      <c r="X142" s="290" t="str">
        <f>IFERROR(IF(OR(LEFT(O142,5)="Error",LEFT(N142,5)="Error",T142="Error"),"Check Data ⚠",IF(F142&lt;R142,INDEX('G-6 Hedgerow Data'!$S$3:$AE$14,MATCH(C142,'G-6 Hedgerow Data'!$B$3:$B$14,0),MATCH(M142,'G-6 Hedgerow Data'!$S$2:$AE$2,0)),INDEX('G-6 Hedgerow Data'!$K$3:$Q$14,MATCH(M142,'G-6 Hedgerow Data'!$B$3:$B$14,0),MATCH(O142,'G-6 Hedgerow Data'!$K$2:$Q$2,0)))),"")</f>
        <v/>
      </c>
      <c r="Y142" s="138"/>
      <c r="Z142" s="138"/>
      <c r="AA142" s="298" t="str">
        <f t="shared" si="16"/>
        <v/>
      </c>
      <c r="AB142" s="311" t="str">
        <f t="shared" si="17"/>
        <v/>
      </c>
      <c r="AC142" s="312" t="str">
        <f t="shared" si="14"/>
        <v/>
      </c>
      <c r="AD142" s="325" t="str">
        <f>IF(M142="","",VLOOKUP(M142,'G-6 Hedgerow Data'!$B$3:$AG$15,31,FALSE))</f>
        <v/>
      </c>
      <c r="AE142" s="298" t="str">
        <f t="shared" si="18"/>
        <v/>
      </c>
      <c r="AF142" s="298" t="str">
        <f t="shared" si="19"/>
        <v/>
      </c>
      <c r="AG142" s="314" t="str">
        <f>IFERROR(IF(O142="","",VLOOKUP(AD142,'G-3 Multipliers'!$P$3:$Q$6,2,FALSE)),"")</f>
        <v/>
      </c>
      <c r="AH142" s="304" t="str">
        <f t="shared" si="20"/>
        <v/>
      </c>
      <c r="AI142" s="157"/>
      <c r="AJ142" s="99"/>
      <c r="AK142" s="101"/>
      <c r="AT142" s="15" t="str">
        <f>IFERROR(INDEX('G-6 Hedgerow Data'!$BJ$3:$BJ$15,MATCH(M142,'G-6 Hedgerow Data'!$B$3:$B$15,0)),"")</f>
        <v/>
      </c>
    </row>
    <row r="143" spans="2:46" ht="14" x14ac:dyDescent="0.3">
      <c r="B143" s="319" t="str">
        <f>'B-1 On-Site Hedge Baseline'!AK141</f>
        <v/>
      </c>
      <c r="C143" s="310" t="str">
        <f>IF(B143="","",IF(ISNA(VLOOKUP($B143,'B-1 On-Site Hedge Baseline'!$B$1:$L$257,3,FALSE)),"",(VLOOKUP($B143,'B-1 On-Site Hedge Baseline'!$B$1:$L$257,3,FALSE))))</f>
        <v/>
      </c>
      <c r="D143" s="310" t="str">
        <f>IF(B143="","",IF(ISNA(VLOOKUP($B143,'B-1 On-Site Hedge Baseline'!$B$1:$L$257,4,FALSE)),"",(VLOOKUP($B143,'B-1 On-Site Hedge Baseline'!$B$1:$L$257,4,FALSE))))</f>
        <v/>
      </c>
      <c r="E143" s="310" t="str">
        <f>IF(B143="","",IF(ISNA(VLOOKUP($B143,'B-1 On-Site Hedge Baseline'!$B$1:$L$257,5,FALSE)),"",(VLOOKUP($B143,'B-1 On-Site Hedge Baseline'!$B$1:$L$257,5,FALSE))))</f>
        <v/>
      </c>
      <c r="F143" s="310" t="str">
        <f>IF(B143="","",IF(ISNA(VLOOKUP($B143,'B-1 On-Site Hedge Baseline'!$B$1:$L$257,6,FALSE)),"",(VLOOKUP($B143,'B-1 On-Site Hedge Baseline'!$B$1:$L$257,6,FALSE))))</f>
        <v/>
      </c>
      <c r="G143" s="310" t="str">
        <f>IF(B143="","",IF(ISNA(VLOOKUP($B143,'B-1 On-Site Hedge Baseline'!$B$1:$L$257,7,FALSE)),"",(VLOOKUP($B143,'B-1 On-Site Hedge Baseline'!$B$1:$L$257,7,FALSE))))</f>
        <v/>
      </c>
      <c r="H143" s="310" t="str">
        <f>IF(B143="","",IF(ISNA(VLOOKUP($B143,'B-1 On-Site Hedge Baseline'!$B$1:$L$257,8,FALSE)),"",(VLOOKUP($B143,'B-1 On-Site Hedge Baseline'!$B$1:$L$257,8,FALSE))))</f>
        <v/>
      </c>
      <c r="I143" s="310" t="str">
        <f>IF(B143="","",IF(ISNA(VLOOKUP($B143,'B-1 On-Site Hedge Baseline'!$B$1:$L$257,10,FALSE)),"",(VLOOKUP($B143,'B-1 On-Site Hedge Baseline'!$B$1:$L$257,10,FALSE))))</f>
        <v/>
      </c>
      <c r="J143" s="310" t="str">
        <f>IF(B143="","",IF(ISNA(VLOOKUP($B143,'B-1 On-Site Hedge Baseline'!$B$1:$L$257,11,FALSE)),"",(VLOOKUP($B143,'B-1 On-Site Hedge Baseline'!$B$1:$L$257,11,FALSE))))</f>
        <v/>
      </c>
      <c r="K143" s="310" t="str">
        <f>IF(B143="","",IF(ISNA(VLOOKUP($B143,'B-1 On-Site Hedge Baseline'!$B$1:$U$257,13,FALSE)),"",(VLOOKUP($B143,'B-1 On-Site Hedge Baseline'!$B$1:$U$257,13,FALSE))))</f>
        <v/>
      </c>
      <c r="L143" s="314" t="str">
        <f>IF(B143="","",IF(ISNA(VLOOKUP($B143,'B-1 On-Site Hedge Baseline'!$B$1:$U$257,12,FALSE)),"",(VLOOKUP($B143,'B-1 On-Site Hedge Baseline'!$B$1:$U$257,12,FALSE))))</f>
        <v/>
      </c>
      <c r="M143" s="583"/>
      <c r="N143" s="290" t="str">
        <f>IFERROR(IF(B143="","",INDEX('G-6 Hedgerow Data'!$AN$3:$AZ$15,MATCH(C143,'G-6 Hedgerow Data'!$AM$3:$AM$15,0),MATCH(M143,'G-6 Hedgerow Data'!$AN$2:$AZ$2,0))),"")</f>
        <v/>
      </c>
      <c r="O143" s="291" t="str">
        <f t="shared" si="15"/>
        <v/>
      </c>
      <c r="P143" s="341" t="str">
        <f>IF(B143="","",VLOOKUP(B143,'B-1 On-Site Hedge Baseline'!$B$10:T388,16,FALSE))</f>
        <v/>
      </c>
      <c r="Q143" s="290" t="str">
        <f>IF(M143="","",VLOOKUP(M143,'G-6 Hedgerow Data'!$B$2:$AG$15,2,FALSE))</f>
        <v/>
      </c>
      <c r="R143" s="291" t="str">
        <f>IF(M143="","",VLOOKUP(M143,'G-6 Hedgerow Data'!$B$2:$AG$15,3,FALSE))</f>
        <v/>
      </c>
      <c r="S143" s="106"/>
      <c r="T143" s="328" t="str">
        <f>IFERROR(IF(S143="","",IF(AND(M143="Non-native and ornamental hedgerow", S143&lt;&gt;"Poor"),"Not possible ▲", (VLOOKUP(S143,'G-1 All Habitats'!$Z$2:$AA$9,2,FALSE)))),"")</f>
        <v/>
      </c>
      <c r="U143" s="103"/>
      <c r="V143" s="310" t="str">
        <f>IF(U143="","",IF(VLOOKUP(U143,'G-3 Multipliers'!$L$3:$N$6,2,FALSE)=0,"Spatial Data Missing ⚠",VLOOKUP(U143,'G-3 Multipliers'!$L$3:$N$6,2,FALSE)))</f>
        <v/>
      </c>
      <c r="W143" s="314" t="str">
        <f>IF(U143="","",IF(VLOOKUP(U143,'G-3 Multipliers'!$L$3:$N$6,3,FALSE)=0,"Spatial Data Missing ⚠",VLOOKUP(U143,'G-3 Multipliers'!$L$3:$N$6,3,FALSE)))</f>
        <v/>
      </c>
      <c r="X143" s="290" t="str">
        <f>IFERROR(IF(OR(LEFT(O143,5)="Error",LEFT(N143,5)="Error",T143="Error"),"Check Data ⚠",IF(F143&lt;R143,INDEX('G-6 Hedgerow Data'!$S$3:$AE$14,MATCH(C143,'G-6 Hedgerow Data'!$B$3:$B$14,0),MATCH(M143,'G-6 Hedgerow Data'!$S$2:$AE$2,0)),INDEX('G-6 Hedgerow Data'!$K$3:$Q$14,MATCH(M143,'G-6 Hedgerow Data'!$B$3:$B$14,0),MATCH(O143,'G-6 Hedgerow Data'!$K$2:$Q$2,0)))),"")</f>
        <v/>
      </c>
      <c r="Y143" s="138"/>
      <c r="Z143" s="138"/>
      <c r="AA143" s="298" t="str">
        <f t="shared" si="16"/>
        <v/>
      </c>
      <c r="AB143" s="311" t="str">
        <f t="shared" si="17"/>
        <v/>
      </c>
      <c r="AC143" s="312" t="str">
        <f t="shared" si="14"/>
        <v/>
      </c>
      <c r="AD143" s="325" t="str">
        <f>IF(M143="","",VLOOKUP(M143,'G-6 Hedgerow Data'!$B$3:$AG$15,31,FALSE))</f>
        <v/>
      </c>
      <c r="AE143" s="298" t="str">
        <f t="shared" si="18"/>
        <v/>
      </c>
      <c r="AF143" s="298" t="str">
        <f t="shared" si="19"/>
        <v/>
      </c>
      <c r="AG143" s="314" t="str">
        <f>IFERROR(IF(O143="","",VLOOKUP(AD143,'G-3 Multipliers'!$P$3:$Q$6,2,FALSE)),"")</f>
        <v/>
      </c>
      <c r="AH143" s="304" t="str">
        <f t="shared" si="20"/>
        <v/>
      </c>
      <c r="AI143" s="157"/>
      <c r="AJ143" s="99"/>
      <c r="AK143" s="101"/>
      <c r="AT143" s="15" t="str">
        <f>IFERROR(INDEX('G-6 Hedgerow Data'!$BJ$3:$BJ$15,MATCH(M143,'G-6 Hedgerow Data'!$B$3:$B$15,0)),"")</f>
        <v/>
      </c>
    </row>
    <row r="144" spans="2:46" ht="14" x14ac:dyDescent="0.3">
      <c r="B144" s="319" t="str">
        <f>'B-1 On-Site Hedge Baseline'!AK142</f>
        <v/>
      </c>
      <c r="C144" s="310" t="str">
        <f>IF(B144="","",IF(ISNA(VLOOKUP($B144,'B-1 On-Site Hedge Baseline'!$B$1:$L$257,3,FALSE)),"",(VLOOKUP($B144,'B-1 On-Site Hedge Baseline'!$B$1:$L$257,3,FALSE))))</f>
        <v/>
      </c>
      <c r="D144" s="310" t="str">
        <f>IF(B144="","",IF(ISNA(VLOOKUP($B144,'B-1 On-Site Hedge Baseline'!$B$1:$L$257,4,FALSE)),"",(VLOOKUP($B144,'B-1 On-Site Hedge Baseline'!$B$1:$L$257,4,FALSE))))</f>
        <v/>
      </c>
      <c r="E144" s="310" t="str">
        <f>IF(B144="","",IF(ISNA(VLOOKUP($B144,'B-1 On-Site Hedge Baseline'!$B$1:$L$257,5,FALSE)),"",(VLOOKUP($B144,'B-1 On-Site Hedge Baseline'!$B$1:$L$257,5,FALSE))))</f>
        <v/>
      </c>
      <c r="F144" s="310" t="str">
        <f>IF(B144="","",IF(ISNA(VLOOKUP($B144,'B-1 On-Site Hedge Baseline'!$B$1:$L$257,6,FALSE)),"",(VLOOKUP($B144,'B-1 On-Site Hedge Baseline'!$B$1:$L$257,6,FALSE))))</f>
        <v/>
      </c>
      <c r="G144" s="310" t="str">
        <f>IF(B144="","",IF(ISNA(VLOOKUP($B144,'B-1 On-Site Hedge Baseline'!$B$1:$L$257,7,FALSE)),"",(VLOOKUP($B144,'B-1 On-Site Hedge Baseline'!$B$1:$L$257,7,FALSE))))</f>
        <v/>
      </c>
      <c r="H144" s="310" t="str">
        <f>IF(B144="","",IF(ISNA(VLOOKUP($B144,'B-1 On-Site Hedge Baseline'!$B$1:$L$257,8,FALSE)),"",(VLOOKUP($B144,'B-1 On-Site Hedge Baseline'!$B$1:$L$257,8,FALSE))))</f>
        <v/>
      </c>
      <c r="I144" s="310" t="str">
        <f>IF(B144="","",IF(ISNA(VLOOKUP($B144,'B-1 On-Site Hedge Baseline'!$B$1:$L$257,10,FALSE)),"",(VLOOKUP($B144,'B-1 On-Site Hedge Baseline'!$B$1:$L$257,10,FALSE))))</f>
        <v/>
      </c>
      <c r="J144" s="310" t="str">
        <f>IF(B144="","",IF(ISNA(VLOOKUP($B144,'B-1 On-Site Hedge Baseline'!$B$1:$L$257,11,FALSE)),"",(VLOOKUP($B144,'B-1 On-Site Hedge Baseline'!$B$1:$L$257,11,FALSE))))</f>
        <v/>
      </c>
      <c r="K144" s="310" t="str">
        <f>IF(B144="","",IF(ISNA(VLOOKUP($B144,'B-1 On-Site Hedge Baseline'!$B$1:$U$257,13,FALSE)),"",(VLOOKUP($B144,'B-1 On-Site Hedge Baseline'!$B$1:$U$257,13,FALSE))))</f>
        <v/>
      </c>
      <c r="L144" s="314" t="str">
        <f>IF(B144="","",IF(ISNA(VLOOKUP($B144,'B-1 On-Site Hedge Baseline'!$B$1:$U$257,12,FALSE)),"",(VLOOKUP($B144,'B-1 On-Site Hedge Baseline'!$B$1:$U$257,12,FALSE))))</f>
        <v/>
      </c>
      <c r="M144" s="583"/>
      <c r="N144" s="290" t="str">
        <f>IFERROR(IF(B144="","",INDEX('G-6 Hedgerow Data'!$AN$3:$AZ$15,MATCH(C144,'G-6 Hedgerow Data'!$AM$3:$AM$15,0),MATCH(M144,'G-6 Hedgerow Data'!$AN$2:$AZ$2,0))),"")</f>
        <v/>
      </c>
      <c r="O144" s="291" t="str">
        <f t="shared" si="15"/>
        <v/>
      </c>
      <c r="P144" s="341" t="str">
        <f>IF(B144="","",VLOOKUP(B144,'B-1 On-Site Hedge Baseline'!$B$10:T389,16,FALSE))</f>
        <v/>
      </c>
      <c r="Q144" s="290" t="str">
        <f>IF(M144="","",VLOOKUP(M144,'G-6 Hedgerow Data'!$B$2:$AG$15,2,FALSE))</f>
        <v/>
      </c>
      <c r="R144" s="291" t="str">
        <f>IF(M144="","",VLOOKUP(M144,'G-6 Hedgerow Data'!$B$2:$AG$15,3,FALSE))</f>
        <v/>
      </c>
      <c r="S144" s="106"/>
      <c r="T144" s="328" t="str">
        <f>IFERROR(IF(S144="","",IF(AND(M144="Non-native and ornamental hedgerow", S144&lt;&gt;"Poor"),"Not possible ▲", (VLOOKUP(S144,'G-1 All Habitats'!$Z$2:$AA$9,2,FALSE)))),"")</f>
        <v/>
      </c>
      <c r="U144" s="103"/>
      <c r="V144" s="310" t="str">
        <f>IF(U144="","",IF(VLOOKUP(U144,'G-3 Multipliers'!$L$3:$N$6,2,FALSE)=0,"Spatial Data Missing ⚠",VLOOKUP(U144,'G-3 Multipliers'!$L$3:$N$6,2,FALSE)))</f>
        <v/>
      </c>
      <c r="W144" s="314" t="str">
        <f>IF(U144="","",IF(VLOOKUP(U144,'G-3 Multipliers'!$L$3:$N$6,3,FALSE)=0,"Spatial Data Missing ⚠",VLOOKUP(U144,'G-3 Multipliers'!$L$3:$N$6,3,FALSE)))</f>
        <v/>
      </c>
      <c r="X144" s="290" t="str">
        <f>IFERROR(IF(OR(LEFT(O144,5)="Error",LEFT(N144,5)="Error",T144="Error"),"Check Data ⚠",IF(F144&lt;R144,INDEX('G-6 Hedgerow Data'!$S$3:$AE$14,MATCH(C144,'G-6 Hedgerow Data'!$B$3:$B$14,0),MATCH(M144,'G-6 Hedgerow Data'!$S$2:$AE$2,0)),INDEX('G-6 Hedgerow Data'!$K$3:$Q$14,MATCH(M144,'G-6 Hedgerow Data'!$B$3:$B$14,0),MATCH(O144,'G-6 Hedgerow Data'!$K$2:$Q$2,0)))),"")</f>
        <v/>
      </c>
      <c r="Y144" s="138"/>
      <c r="Z144" s="138"/>
      <c r="AA144" s="298" t="str">
        <f t="shared" si="16"/>
        <v/>
      </c>
      <c r="AB144" s="311" t="str">
        <f t="shared" si="17"/>
        <v/>
      </c>
      <c r="AC144" s="312" t="str">
        <f t="shared" si="14"/>
        <v/>
      </c>
      <c r="AD144" s="325" t="str">
        <f>IF(M144="","",VLOOKUP(M144,'G-6 Hedgerow Data'!$B$3:$AG$15,31,FALSE))</f>
        <v/>
      </c>
      <c r="AE144" s="298" t="str">
        <f t="shared" si="18"/>
        <v/>
      </c>
      <c r="AF144" s="298" t="str">
        <f t="shared" si="19"/>
        <v/>
      </c>
      <c r="AG144" s="314" t="str">
        <f>IFERROR(IF(O144="","",VLOOKUP(AD144,'G-3 Multipliers'!$P$3:$Q$6,2,FALSE)),"")</f>
        <v/>
      </c>
      <c r="AH144" s="304" t="str">
        <f t="shared" si="20"/>
        <v/>
      </c>
      <c r="AI144" s="157"/>
      <c r="AJ144" s="99"/>
      <c r="AK144" s="101"/>
      <c r="AT144" s="15" t="str">
        <f>IFERROR(INDEX('G-6 Hedgerow Data'!$BJ$3:$BJ$15,MATCH(M144,'G-6 Hedgerow Data'!$B$3:$B$15,0)),"")</f>
        <v/>
      </c>
    </row>
    <row r="145" spans="2:46" ht="14" x14ac:dyDescent="0.3">
      <c r="B145" s="319" t="str">
        <f>'B-1 On-Site Hedge Baseline'!AK143</f>
        <v/>
      </c>
      <c r="C145" s="310" t="str">
        <f>IF(B145="","",IF(ISNA(VLOOKUP($B145,'B-1 On-Site Hedge Baseline'!$B$1:$L$257,3,FALSE)),"",(VLOOKUP($B145,'B-1 On-Site Hedge Baseline'!$B$1:$L$257,3,FALSE))))</f>
        <v/>
      </c>
      <c r="D145" s="310" t="str">
        <f>IF(B145="","",IF(ISNA(VLOOKUP($B145,'B-1 On-Site Hedge Baseline'!$B$1:$L$257,4,FALSE)),"",(VLOOKUP($B145,'B-1 On-Site Hedge Baseline'!$B$1:$L$257,4,FALSE))))</f>
        <v/>
      </c>
      <c r="E145" s="310" t="str">
        <f>IF(B145="","",IF(ISNA(VLOOKUP($B145,'B-1 On-Site Hedge Baseline'!$B$1:$L$257,5,FALSE)),"",(VLOOKUP($B145,'B-1 On-Site Hedge Baseline'!$B$1:$L$257,5,FALSE))))</f>
        <v/>
      </c>
      <c r="F145" s="310" t="str">
        <f>IF(B145="","",IF(ISNA(VLOOKUP($B145,'B-1 On-Site Hedge Baseline'!$B$1:$L$257,6,FALSE)),"",(VLOOKUP($B145,'B-1 On-Site Hedge Baseline'!$B$1:$L$257,6,FALSE))))</f>
        <v/>
      </c>
      <c r="G145" s="310" t="str">
        <f>IF(B145="","",IF(ISNA(VLOOKUP($B145,'B-1 On-Site Hedge Baseline'!$B$1:$L$257,7,FALSE)),"",(VLOOKUP($B145,'B-1 On-Site Hedge Baseline'!$B$1:$L$257,7,FALSE))))</f>
        <v/>
      </c>
      <c r="H145" s="310" t="str">
        <f>IF(B145="","",IF(ISNA(VLOOKUP($B145,'B-1 On-Site Hedge Baseline'!$B$1:$L$257,8,FALSE)),"",(VLOOKUP($B145,'B-1 On-Site Hedge Baseline'!$B$1:$L$257,8,FALSE))))</f>
        <v/>
      </c>
      <c r="I145" s="310" t="str">
        <f>IF(B145="","",IF(ISNA(VLOOKUP($B145,'B-1 On-Site Hedge Baseline'!$B$1:$L$257,10,FALSE)),"",(VLOOKUP($B145,'B-1 On-Site Hedge Baseline'!$B$1:$L$257,10,FALSE))))</f>
        <v/>
      </c>
      <c r="J145" s="310" t="str">
        <f>IF(B145="","",IF(ISNA(VLOOKUP($B145,'B-1 On-Site Hedge Baseline'!$B$1:$L$257,11,FALSE)),"",(VLOOKUP($B145,'B-1 On-Site Hedge Baseline'!$B$1:$L$257,11,FALSE))))</f>
        <v/>
      </c>
      <c r="K145" s="310" t="str">
        <f>IF(B145="","",IF(ISNA(VLOOKUP($B145,'B-1 On-Site Hedge Baseline'!$B$1:$U$257,13,FALSE)),"",(VLOOKUP($B145,'B-1 On-Site Hedge Baseline'!$B$1:$U$257,13,FALSE))))</f>
        <v/>
      </c>
      <c r="L145" s="314" t="str">
        <f>IF(B145="","",IF(ISNA(VLOOKUP($B145,'B-1 On-Site Hedge Baseline'!$B$1:$U$257,12,FALSE)),"",(VLOOKUP($B145,'B-1 On-Site Hedge Baseline'!$B$1:$U$257,12,FALSE))))</f>
        <v/>
      </c>
      <c r="M145" s="583"/>
      <c r="N145" s="290" t="str">
        <f>IFERROR(IF(B145="","",INDEX('G-6 Hedgerow Data'!$AN$3:$AZ$15,MATCH(C145,'G-6 Hedgerow Data'!$AM$3:$AM$15,0),MATCH(M145,'G-6 Hedgerow Data'!$AN$2:$AZ$2,0))),"")</f>
        <v/>
      </c>
      <c r="O145" s="291" t="str">
        <f t="shared" si="15"/>
        <v/>
      </c>
      <c r="P145" s="341" t="str">
        <f>IF(B145="","",VLOOKUP(B145,'B-1 On-Site Hedge Baseline'!$B$10:T390,16,FALSE))</f>
        <v/>
      </c>
      <c r="Q145" s="290" t="str">
        <f>IF(M145="","",VLOOKUP(M145,'G-6 Hedgerow Data'!$B$2:$AG$15,2,FALSE))</f>
        <v/>
      </c>
      <c r="R145" s="291" t="str">
        <f>IF(M145="","",VLOOKUP(M145,'G-6 Hedgerow Data'!$B$2:$AG$15,3,FALSE))</f>
        <v/>
      </c>
      <c r="S145" s="106"/>
      <c r="T145" s="328" t="str">
        <f>IFERROR(IF(S145="","",IF(AND(M145="Non-native and ornamental hedgerow", S145&lt;&gt;"Poor"),"Not possible ▲", (VLOOKUP(S145,'G-1 All Habitats'!$Z$2:$AA$9,2,FALSE)))),"")</f>
        <v/>
      </c>
      <c r="U145" s="103"/>
      <c r="V145" s="310" t="str">
        <f>IF(U145="","",IF(VLOOKUP(U145,'G-3 Multipliers'!$L$3:$N$6,2,FALSE)=0,"Spatial Data Missing ⚠",VLOOKUP(U145,'G-3 Multipliers'!$L$3:$N$6,2,FALSE)))</f>
        <v/>
      </c>
      <c r="W145" s="314" t="str">
        <f>IF(U145="","",IF(VLOOKUP(U145,'G-3 Multipliers'!$L$3:$N$6,3,FALSE)=0,"Spatial Data Missing ⚠",VLOOKUP(U145,'G-3 Multipliers'!$L$3:$N$6,3,FALSE)))</f>
        <v/>
      </c>
      <c r="X145" s="290" t="str">
        <f>IFERROR(IF(OR(LEFT(O145,5)="Error",LEFT(N145,5)="Error",T145="Error"),"Check Data ⚠",IF(F145&lt;R145,INDEX('G-6 Hedgerow Data'!$S$3:$AE$14,MATCH(C145,'G-6 Hedgerow Data'!$B$3:$B$14,0),MATCH(M145,'G-6 Hedgerow Data'!$S$2:$AE$2,0)),INDEX('G-6 Hedgerow Data'!$K$3:$Q$14,MATCH(M145,'G-6 Hedgerow Data'!$B$3:$B$14,0),MATCH(O145,'G-6 Hedgerow Data'!$K$2:$Q$2,0)))),"")</f>
        <v/>
      </c>
      <c r="Y145" s="138"/>
      <c r="Z145" s="138"/>
      <c r="AA145" s="298" t="str">
        <f t="shared" si="16"/>
        <v/>
      </c>
      <c r="AB145" s="311" t="str">
        <f t="shared" si="17"/>
        <v/>
      </c>
      <c r="AC145" s="312" t="str">
        <f t="shared" si="14"/>
        <v/>
      </c>
      <c r="AD145" s="325" t="str">
        <f>IF(M145="","",VLOOKUP(M145,'G-6 Hedgerow Data'!$B$3:$AG$15,31,FALSE))</f>
        <v/>
      </c>
      <c r="AE145" s="298" t="str">
        <f t="shared" si="18"/>
        <v/>
      </c>
      <c r="AF145" s="298" t="str">
        <f t="shared" si="19"/>
        <v/>
      </c>
      <c r="AG145" s="314" t="str">
        <f>IFERROR(IF(O145="","",VLOOKUP(AD145,'G-3 Multipliers'!$P$3:$Q$6,2,FALSE)),"")</f>
        <v/>
      </c>
      <c r="AH145" s="304" t="str">
        <f t="shared" si="20"/>
        <v/>
      </c>
      <c r="AI145" s="157"/>
      <c r="AJ145" s="99"/>
      <c r="AK145" s="101"/>
      <c r="AT145" s="15" t="str">
        <f>IFERROR(INDEX('G-6 Hedgerow Data'!$BJ$3:$BJ$15,MATCH(M145,'G-6 Hedgerow Data'!$B$3:$B$15,0)),"")</f>
        <v/>
      </c>
    </row>
    <row r="146" spans="2:46" ht="14" x14ac:dyDescent="0.3">
      <c r="B146" s="319" t="str">
        <f>'B-1 On-Site Hedge Baseline'!AK144</f>
        <v/>
      </c>
      <c r="C146" s="310" t="str">
        <f>IF(B146="","",IF(ISNA(VLOOKUP($B146,'B-1 On-Site Hedge Baseline'!$B$1:$L$257,3,FALSE)),"",(VLOOKUP($B146,'B-1 On-Site Hedge Baseline'!$B$1:$L$257,3,FALSE))))</f>
        <v/>
      </c>
      <c r="D146" s="310" t="str">
        <f>IF(B146="","",IF(ISNA(VLOOKUP($B146,'B-1 On-Site Hedge Baseline'!$B$1:$L$257,4,FALSE)),"",(VLOOKUP($B146,'B-1 On-Site Hedge Baseline'!$B$1:$L$257,4,FALSE))))</f>
        <v/>
      </c>
      <c r="E146" s="310" t="str">
        <f>IF(B146="","",IF(ISNA(VLOOKUP($B146,'B-1 On-Site Hedge Baseline'!$B$1:$L$257,5,FALSE)),"",(VLOOKUP($B146,'B-1 On-Site Hedge Baseline'!$B$1:$L$257,5,FALSE))))</f>
        <v/>
      </c>
      <c r="F146" s="310" t="str">
        <f>IF(B146="","",IF(ISNA(VLOOKUP($B146,'B-1 On-Site Hedge Baseline'!$B$1:$L$257,6,FALSE)),"",(VLOOKUP($B146,'B-1 On-Site Hedge Baseline'!$B$1:$L$257,6,FALSE))))</f>
        <v/>
      </c>
      <c r="G146" s="310" t="str">
        <f>IF(B146="","",IF(ISNA(VLOOKUP($B146,'B-1 On-Site Hedge Baseline'!$B$1:$L$257,7,FALSE)),"",(VLOOKUP($B146,'B-1 On-Site Hedge Baseline'!$B$1:$L$257,7,FALSE))))</f>
        <v/>
      </c>
      <c r="H146" s="310" t="str">
        <f>IF(B146="","",IF(ISNA(VLOOKUP($B146,'B-1 On-Site Hedge Baseline'!$B$1:$L$257,8,FALSE)),"",(VLOOKUP($B146,'B-1 On-Site Hedge Baseline'!$B$1:$L$257,8,FALSE))))</f>
        <v/>
      </c>
      <c r="I146" s="310" t="str">
        <f>IF(B146="","",IF(ISNA(VLOOKUP($B146,'B-1 On-Site Hedge Baseline'!$B$1:$L$257,10,FALSE)),"",(VLOOKUP($B146,'B-1 On-Site Hedge Baseline'!$B$1:$L$257,10,FALSE))))</f>
        <v/>
      </c>
      <c r="J146" s="310" t="str">
        <f>IF(B146="","",IF(ISNA(VLOOKUP($B146,'B-1 On-Site Hedge Baseline'!$B$1:$L$257,11,FALSE)),"",(VLOOKUP($B146,'B-1 On-Site Hedge Baseline'!$B$1:$L$257,11,FALSE))))</f>
        <v/>
      </c>
      <c r="K146" s="310" t="str">
        <f>IF(B146="","",IF(ISNA(VLOOKUP($B146,'B-1 On-Site Hedge Baseline'!$B$1:$U$257,13,FALSE)),"",(VLOOKUP($B146,'B-1 On-Site Hedge Baseline'!$B$1:$U$257,13,FALSE))))</f>
        <v/>
      </c>
      <c r="L146" s="314" t="str">
        <f>IF(B146="","",IF(ISNA(VLOOKUP($B146,'B-1 On-Site Hedge Baseline'!$B$1:$U$257,12,FALSE)),"",(VLOOKUP($B146,'B-1 On-Site Hedge Baseline'!$B$1:$U$257,12,FALSE))))</f>
        <v/>
      </c>
      <c r="M146" s="583"/>
      <c r="N146" s="290" t="str">
        <f>IFERROR(IF(B146="","",INDEX('G-6 Hedgerow Data'!$AN$3:$AZ$15,MATCH(C146,'G-6 Hedgerow Data'!$AM$3:$AM$15,0),MATCH(M146,'G-6 Hedgerow Data'!$AN$2:$AZ$2,0))),"")</f>
        <v/>
      </c>
      <c r="O146" s="291" t="str">
        <f t="shared" si="15"/>
        <v/>
      </c>
      <c r="P146" s="341" t="str">
        <f>IF(B146="","",VLOOKUP(B146,'B-1 On-Site Hedge Baseline'!$B$10:T391,16,FALSE))</f>
        <v/>
      </c>
      <c r="Q146" s="290" t="str">
        <f>IF(M146="","",VLOOKUP(M146,'G-6 Hedgerow Data'!$B$2:$AG$15,2,FALSE))</f>
        <v/>
      </c>
      <c r="R146" s="291" t="str">
        <f>IF(M146="","",VLOOKUP(M146,'G-6 Hedgerow Data'!$B$2:$AG$15,3,FALSE))</f>
        <v/>
      </c>
      <c r="S146" s="106"/>
      <c r="T146" s="328" t="str">
        <f>IFERROR(IF(S146="","",IF(AND(M146="Non-native and ornamental hedgerow", S146&lt;&gt;"Poor"),"Not possible ▲", (VLOOKUP(S146,'G-1 All Habitats'!$Z$2:$AA$9,2,FALSE)))),"")</f>
        <v/>
      </c>
      <c r="U146" s="103"/>
      <c r="V146" s="310" t="str">
        <f>IF(U146="","",IF(VLOOKUP(U146,'G-3 Multipliers'!$L$3:$N$6,2,FALSE)=0,"Spatial Data Missing ⚠",VLOOKUP(U146,'G-3 Multipliers'!$L$3:$N$6,2,FALSE)))</f>
        <v/>
      </c>
      <c r="W146" s="314" t="str">
        <f>IF(U146="","",IF(VLOOKUP(U146,'G-3 Multipliers'!$L$3:$N$6,3,FALSE)=0,"Spatial Data Missing ⚠",VLOOKUP(U146,'G-3 Multipliers'!$L$3:$N$6,3,FALSE)))</f>
        <v/>
      </c>
      <c r="X146" s="290" t="str">
        <f>IFERROR(IF(OR(LEFT(O146,5)="Error",LEFT(N146,5)="Error",T146="Error"),"Check Data ⚠",IF(F146&lt;R146,INDEX('G-6 Hedgerow Data'!$S$3:$AE$14,MATCH(C146,'G-6 Hedgerow Data'!$B$3:$B$14,0),MATCH(M146,'G-6 Hedgerow Data'!$S$2:$AE$2,0)),INDEX('G-6 Hedgerow Data'!$K$3:$Q$14,MATCH(M146,'G-6 Hedgerow Data'!$B$3:$B$14,0),MATCH(O146,'G-6 Hedgerow Data'!$K$2:$Q$2,0)))),"")</f>
        <v/>
      </c>
      <c r="Y146" s="138"/>
      <c r="Z146" s="138"/>
      <c r="AA146" s="298" t="str">
        <f t="shared" si="16"/>
        <v/>
      </c>
      <c r="AB146" s="311" t="str">
        <f t="shared" si="17"/>
        <v/>
      </c>
      <c r="AC146" s="312" t="str">
        <f t="shared" si="14"/>
        <v/>
      </c>
      <c r="AD146" s="325" t="str">
        <f>IF(M146="","",VLOOKUP(M146,'G-6 Hedgerow Data'!$B$3:$AG$15,31,FALSE))</f>
        <v/>
      </c>
      <c r="AE146" s="298" t="str">
        <f t="shared" si="18"/>
        <v/>
      </c>
      <c r="AF146" s="298" t="str">
        <f t="shared" si="19"/>
        <v/>
      </c>
      <c r="AG146" s="314" t="str">
        <f>IFERROR(IF(O146="","",VLOOKUP(AD146,'G-3 Multipliers'!$P$3:$Q$6,2,FALSE)),"")</f>
        <v/>
      </c>
      <c r="AH146" s="304" t="str">
        <f t="shared" si="20"/>
        <v/>
      </c>
      <c r="AI146" s="157"/>
      <c r="AJ146" s="99"/>
      <c r="AK146" s="101"/>
      <c r="AT146" s="15" t="str">
        <f>IFERROR(INDEX('G-6 Hedgerow Data'!$BJ$3:$BJ$15,MATCH(M146,'G-6 Hedgerow Data'!$B$3:$B$15,0)),"")</f>
        <v/>
      </c>
    </row>
    <row r="147" spans="2:46" ht="14" x14ac:dyDescent="0.3">
      <c r="B147" s="319" t="str">
        <f>'B-1 On-Site Hedge Baseline'!AK145</f>
        <v/>
      </c>
      <c r="C147" s="310" t="str">
        <f>IF(B147="","",IF(ISNA(VLOOKUP($B147,'B-1 On-Site Hedge Baseline'!$B$1:$L$257,3,FALSE)),"",(VLOOKUP($B147,'B-1 On-Site Hedge Baseline'!$B$1:$L$257,3,FALSE))))</f>
        <v/>
      </c>
      <c r="D147" s="310" t="str">
        <f>IF(B147="","",IF(ISNA(VLOOKUP($B147,'B-1 On-Site Hedge Baseline'!$B$1:$L$257,4,FALSE)),"",(VLOOKUP($B147,'B-1 On-Site Hedge Baseline'!$B$1:$L$257,4,FALSE))))</f>
        <v/>
      </c>
      <c r="E147" s="310" t="str">
        <f>IF(B147="","",IF(ISNA(VLOOKUP($B147,'B-1 On-Site Hedge Baseline'!$B$1:$L$257,5,FALSE)),"",(VLOOKUP($B147,'B-1 On-Site Hedge Baseline'!$B$1:$L$257,5,FALSE))))</f>
        <v/>
      </c>
      <c r="F147" s="310" t="str">
        <f>IF(B147="","",IF(ISNA(VLOOKUP($B147,'B-1 On-Site Hedge Baseline'!$B$1:$L$257,6,FALSE)),"",(VLOOKUP($B147,'B-1 On-Site Hedge Baseline'!$B$1:$L$257,6,FALSE))))</f>
        <v/>
      </c>
      <c r="G147" s="310" t="str">
        <f>IF(B147="","",IF(ISNA(VLOOKUP($B147,'B-1 On-Site Hedge Baseline'!$B$1:$L$257,7,FALSE)),"",(VLOOKUP($B147,'B-1 On-Site Hedge Baseline'!$B$1:$L$257,7,FALSE))))</f>
        <v/>
      </c>
      <c r="H147" s="310" t="str">
        <f>IF(B147="","",IF(ISNA(VLOOKUP($B147,'B-1 On-Site Hedge Baseline'!$B$1:$L$257,8,FALSE)),"",(VLOOKUP($B147,'B-1 On-Site Hedge Baseline'!$B$1:$L$257,8,FALSE))))</f>
        <v/>
      </c>
      <c r="I147" s="310" t="str">
        <f>IF(B147="","",IF(ISNA(VLOOKUP($B147,'B-1 On-Site Hedge Baseline'!$B$1:$L$257,10,FALSE)),"",(VLOOKUP($B147,'B-1 On-Site Hedge Baseline'!$B$1:$L$257,10,FALSE))))</f>
        <v/>
      </c>
      <c r="J147" s="310" t="str">
        <f>IF(B147="","",IF(ISNA(VLOOKUP($B147,'B-1 On-Site Hedge Baseline'!$B$1:$L$257,11,FALSE)),"",(VLOOKUP($B147,'B-1 On-Site Hedge Baseline'!$B$1:$L$257,11,FALSE))))</f>
        <v/>
      </c>
      <c r="K147" s="310" t="str">
        <f>IF(B147="","",IF(ISNA(VLOOKUP($B147,'B-1 On-Site Hedge Baseline'!$B$1:$U$257,13,FALSE)),"",(VLOOKUP($B147,'B-1 On-Site Hedge Baseline'!$B$1:$U$257,13,FALSE))))</f>
        <v/>
      </c>
      <c r="L147" s="314" t="str">
        <f>IF(B147="","",IF(ISNA(VLOOKUP($B147,'B-1 On-Site Hedge Baseline'!$B$1:$U$257,12,FALSE)),"",(VLOOKUP($B147,'B-1 On-Site Hedge Baseline'!$B$1:$U$257,12,FALSE))))</f>
        <v/>
      </c>
      <c r="M147" s="583"/>
      <c r="N147" s="290" t="str">
        <f>IFERROR(IF(B147="","",INDEX('G-6 Hedgerow Data'!$AN$3:$AZ$15,MATCH(C147,'G-6 Hedgerow Data'!$AM$3:$AM$15,0),MATCH(M147,'G-6 Hedgerow Data'!$AN$2:$AZ$2,0))),"")</f>
        <v/>
      </c>
      <c r="O147" s="291" t="str">
        <f t="shared" si="15"/>
        <v/>
      </c>
      <c r="P147" s="341" t="str">
        <f>IF(B147="","",VLOOKUP(B147,'B-1 On-Site Hedge Baseline'!$B$10:T392,16,FALSE))</f>
        <v/>
      </c>
      <c r="Q147" s="290" t="str">
        <f>IF(M147="","",VLOOKUP(M147,'G-6 Hedgerow Data'!$B$2:$AG$15,2,FALSE))</f>
        <v/>
      </c>
      <c r="R147" s="291" t="str">
        <f>IF(M147="","",VLOOKUP(M147,'G-6 Hedgerow Data'!$B$2:$AG$15,3,FALSE))</f>
        <v/>
      </c>
      <c r="S147" s="106"/>
      <c r="T147" s="328" t="str">
        <f>IFERROR(IF(S147="","",IF(AND(M147="Non-native and ornamental hedgerow", S147&lt;&gt;"Poor"),"Not possible ▲", (VLOOKUP(S147,'G-1 All Habitats'!$Z$2:$AA$9,2,FALSE)))),"")</f>
        <v/>
      </c>
      <c r="U147" s="103"/>
      <c r="V147" s="310" t="str">
        <f>IF(U147="","",IF(VLOOKUP(U147,'G-3 Multipliers'!$L$3:$N$6,2,FALSE)=0,"Spatial Data Missing ⚠",VLOOKUP(U147,'G-3 Multipliers'!$L$3:$N$6,2,FALSE)))</f>
        <v/>
      </c>
      <c r="W147" s="314" t="str">
        <f>IF(U147="","",IF(VLOOKUP(U147,'G-3 Multipliers'!$L$3:$N$6,3,FALSE)=0,"Spatial Data Missing ⚠",VLOOKUP(U147,'G-3 Multipliers'!$L$3:$N$6,3,FALSE)))</f>
        <v/>
      </c>
      <c r="X147" s="290" t="str">
        <f>IFERROR(IF(OR(LEFT(O147,5)="Error",LEFT(N147,5)="Error",T147="Error"),"Check Data ⚠",IF(F147&lt;R147,INDEX('G-6 Hedgerow Data'!$S$3:$AE$14,MATCH(C147,'G-6 Hedgerow Data'!$B$3:$B$14,0),MATCH(M147,'G-6 Hedgerow Data'!$S$2:$AE$2,0)),INDEX('G-6 Hedgerow Data'!$K$3:$Q$14,MATCH(M147,'G-6 Hedgerow Data'!$B$3:$B$14,0),MATCH(O147,'G-6 Hedgerow Data'!$K$2:$Q$2,0)))),"")</f>
        <v/>
      </c>
      <c r="Y147" s="138"/>
      <c r="Z147" s="138"/>
      <c r="AA147" s="298" t="str">
        <f t="shared" si="16"/>
        <v/>
      </c>
      <c r="AB147" s="311" t="str">
        <f t="shared" si="17"/>
        <v/>
      </c>
      <c r="AC147" s="312" t="str">
        <f t="shared" si="14"/>
        <v/>
      </c>
      <c r="AD147" s="325" t="str">
        <f>IF(M147="","",VLOOKUP(M147,'G-6 Hedgerow Data'!$B$3:$AG$15,31,FALSE))</f>
        <v/>
      </c>
      <c r="AE147" s="298" t="str">
        <f t="shared" si="18"/>
        <v/>
      </c>
      <c r="AF147" s="298" t="str">
        <f t="shared" si="19"/>
        <v/>
      </c>
      <c r="AG147" s="314" t="str">
        <f>IFERROR(IF(O147="","",VLOOKUP(AD147,'G-3 Multipliers'!$P$3:$Q$6,2,FALSE)),"")</f>
        <v/>
      </c>
      <c r="AH147" s="304" t="str">
        <f t="shared" si="20"/>
        <v/>
      </c>
      <c r="AI147" s="157"/>
      <c r="AJ147" s="99"/>
      <c r="AK147" s="101"/>
      <c r="AT147" s="15" t="str">
        <f>IFERROR(INDEX('G-6 Hedgerow Data'!$BJ$3:$BJ$15,MATCH(M147,'G-6 Hedgerow Data'!$B$3:$B$15,0)),"")</f>
        <v/>
      </c>
    </row>
    <row r="148" spans="2:46" ht="14" x14ac:dyDescent="0.3">
      <c r="B148" s="319" t="str">
        <f>'B-1 On-Site Hedge Baseline'!AK146</f>
        <v/>
      </c>
      <c r="C148" s="310" t="str">
        <f>IF(B148="","",IF(ISNA(VLOOKUP($B148,'B-1 On-Site Hedge Baseline'!$B$1:$L$257,3,FALSE)),"",(VLOOKUP($B148,'B-1 On-Site Hedge Baseline'!$B$1:$L$257,3,FALSE))))</f>
        <v/>
      </c>
      <c r="D148" s="310" t="str">
        <f>IF(B148="","",IF(ISNA(VLOOKUP($B148,'B-1 On-Site Hedge Baseline'!$B$1:$L$257,4,FALSE)),"",(VLOOKUP($B148,'B-1 On-Site Hedge Baseline'!$B$1:$L$257,4,FALSE))))</f>
        <v/>
      </c>
      <c r="E148" s="310" t="str">
        <f>IF(B148="","",IF(ISNA(VLOOKUP($B148,'B-1 On-Site Hedge Baseline'!$B$1:$L$257,5,FALSE)),"",(VLOOKUP($B148,'B-1 On-Site Hedge Baseline'!$B$1:$L$257,5,FALSE))))</f>
        <v/>
      </c>
      <c r="F148" s="310" t="str">
        <f>IF(B148="","",IF(ISNA(VLOOKUP($B148,'B-1 On-Site Hedge Baseline'!$B$1:$L$257,6,FALSE)),"",(VLOOKUP($B148,'B-1 On-Site Hedge Baseline'!$B$1:$L$257,6,FALSE))))</f>
        <v/>
      </c>
      <c r="G148" s="310" t="str">
        <f>IF(B148="","",IF(ISNA(VLOOKUP($B148,'B-1 On-Site Hedge Baseline'!$B$1:$L$257,7,FALSE)),"",(VLOOKUP($B148,'B-1 On-Site Hedge Baseline'!$B$1:$L$257,7,FALSE))))</f>
        <v/>
      </c>
      <c r="H148" s="310" t="str">
        <f>IF(B148="","",IF(ISNA(VLOOKUP($B148,'B-1 On-Site Hedge Baseline'!$B$1:$L$257,8,FALSE)),"",(VLOOKUP($B148,'B-1 On-Site Hedge Baseline'!$B$1:$L$257,8,FALSE))))</f>
        <v/>
      </c>
      <c r="I148" s="310" t="str">
        <f>IF(B148="","",IF(ISNA(VLOOKUP($B148,'B-1 On-Site Hedge Baseline'!$B$1:$L$257,10,FALSE)),"",(VLOOKUP($B148,'B-1 On-Site Hedge Baseline'!$B$1:$L$257,10,FALSE))))</f>
        <v/>
      </c>
      <c r="J148" s="310" t="str">
        <f>IF(B148="","",IF(ISNA(VLOOKUP($B148,'B-1 On-Site Hedge Baseline'!$B$1:$L$257,11,FALSE)),"",(VLOOKUP($B148,'B-1 On-Site Hedge Baseline'!$B$1:$L$257,11,FALSE))))</f>
        <v/>
      </c>
      <c r="K148" s="310" t="str">
        <f>IF(B148="","",IF(ISNA(VLOOKUP($B148,'B-1 On-Site Hedge Baseline'!$B$1:$U$257,13,FALSE)),"",(VLOOKUP($B148,'B-1 On-Site Hedge Baseline'!$B$1:$U$257,13,FALSE))))</f>
        <v/>
      </c>
      <c r="L148" s="314" t="str">
        <f>IF(B148="","",IF(ISNA(VLOOKUP($B148,'B-1 On-Site Hedge Baseline'!$B$1:$U$257,12,FALSE)),"",(VLOOKUP($B148,'B-1 On-Site Hedge Baseline'!$B$1:$U$257,12,FALSE))))</f>
        <v/>
      </c>
      <c r="M148" s="583"/>
      <c r="N148" s="290" t="str">
        <f>IFERROR(IF(B148="","",INDEX('G-6 Hedgerow Data'!$AN$3:$AZ$15,MATCH(C148,'G-6 Hedgerow Data'!$AM$3:$AM$15,0),MATCH(M148,'G-6 Hedgerow Data'!$AN$2:$AZ$2,0))),"")</f>
        <v/>
      </c>
      <c r="O148" s="291" t="str">
        <f t="shared" si="15"/>
        <v/>
      </c>
      <c r="P148" s="341" t="str">
        <f>IF(B148="","",VLOOKUP(B148,'B-1 On-Site Hedge Baseline'!$B$10:T393,16,FALSE))</f>
        <v/>
      </c>
      <c r="Q148" s="290" t="str">
        <f>IF(M148="","",VLOOKUP(M148,'G-6 Hedgerow Data'!$B$2:$AG$15,2,FALSE))</f>
        <v/>
      </c>
      <c r="R148" s="291" t="str">
        <f>IF(M148="","",VLOOKUP(M148,'G-6 Hedgerow Data'!$B$2:$AG$15,3,FALSE))</f>
        <v/>
      </c>
      <c r="S148" s="106"/>
      <c r="T148" s="328" t="str">
        <f>IFERROR(IF(S148="","",IF(AND(M148="Non-native and ornamental hedgerow", S148&lt;&gt;"Poor"),"Not possible ▲", (VLOOKUP(S148,'G-1 All Habitats'!$Z$2:$AA$9,2,FALSE)))),"")</f>
        <v/>
      </c>
      <c r="U148" s="103"/>
      <c r="V148" s="310" t="str">
        <f>IF(U148="","",IF(VLOOKUP(U148,'G-3 Multipliers'!$L$3:$N$6,2,FALSE)=0,"Spatial Data Missing ⚠",VLOOKUP(U148,'G-3 Multipliers'!$L$3:$N$6,2,FALSE)))</f>
        <v/>
      </c>
      <c r="W148" s="314" t="str">
        <f>IF(U148="","",IF(VLOOKUP(U148,'G-3 Multipliers'!$L$3:$N$6,3,FALSE)=0,"Spatial Data Missing ⚠",VLOOKUP(U148,'G-3 Multipliers'!$L$3:$N$6,3,FALSE)))</f>
        <v/>
      </c>
      <c r="X148" s="290" t="str">
        <f>IFERROR(IF(OR(LEFT(O148,5)="Error",LEFT(N148,5)="Error",T148="Error"),"Check Data ⚠",IF(F148&lt;R148,INDEX('G-6 Hedgerow Data'!$S$3:$AE$14,MATCH(C148,'G-6 Hedgerow Data'!$B$3:$B$14,0),MATCH(M148,'G-6 Hedgerow Data'!$S$2:$AE$2,0)),INDEX('G-6 Hedgerow Data'!$K$3:$Q$14,MATCH(M148,'G-6 Hedgerow Data'!$B$3:$B$14,0),MATCH(O148,'G-6 Hedgerow Data'!$K$2:$Q$2,0)))),"")</f>
        <v/>
      </c>
      <c r="Y148" s="138"/>
      <c r="Z148" s="138"/>
      <c r="AA148" s="298" t="str">
        <f t="shared" si="16"/>
        <v/>
      </c>
      <c r="AB148" s="311" t="str">
        <f t="shared" si="17"/>
        <v/>
      </c>
      <c r="AC148" s="312" t="str">
        <f t="shared" si="14"/>
        <v/>
      </c>
      <c r="AD148" s="325" t="str">
        <f>IF(M148="","",VLOOKUP(M148,'G-6 Hedgerow Data'!$B$3:$AG$15,31,FALSE))</f>
        <v/>
      </c>
      <c r="AE148" s="298" t="str">
        <f t="shared" si="18"/>
        <v/>
      </c>
      <c r="AF148" s="298" t="str">
        <f t="shared" si="19"/>
        <v/>
      </c>
      <c r="AG148" s="314" t="str">
        <f>IFERROR(IF(O148="","",VLOOKUP(AD148,'G-3 Multipliers'!$P$3:$Q$6,2,FALSE)),"")</f>
        <v/>
      </c>
      <c r="AH148" s="304" t="str">
        <f t="shared" si="20"/>
        <v/>
      </c>
      <c r="AI148" s="157"/>
      <c r="AJ148" s="99"/>
      <c r="AK148" s="101"/>
      <c r="AT148" s="15" t="str">
        <f>IFERROR(INDEX('G-6 Hedgerow Data'!$BJ$3:$BJ$15,MATCH(M148,'G-6 Hedgerow Data'!$B$3:$B$15,0)),"")</f>
        <v/>
      </c>
    </row>
    <row r="149" spans="2:46" ht="14" x14ac:dyDescent="0.3">
      <c r="B149" s="319" t="str">
        <f>'B-1 On-Site Hedge Baseline'!AK147</f>
        <v/>
      </c>
      <c r="C149" s="310" t="str">
        <f>IF(B149="","",IF(ISNA(VLOOKUP($B149,'B-1 On-Site Hedge Baseline'!$B$1:$L$257,3,FALSE)),"",(VLOOKUP($B149,'B-1 On-Site Hedge Baseline'!$B$1:$L$257,3,FALSE))))</f>
        <v/>
      </c>
      <c r="D149" s="310" t="str">
        <f>IF(B149="","",IF(ISNA(VLOOKUP($B149,'B-1 On-Site Hedge Baseline'!$B$1:$L$257,4,FALSE)),"",(VLOOKUP($B149,'B-1 On-Site Hedge Baseline'!$B$1:$L$257,4,FALSE))))</f>
        <v/>
      </c>
      <c r="E149" s="310" t="str">
        <f>IF(B149="","",IF(ISNA(VLOOKUP($B149,'B-1 On-Site Hedge Baseline'!$B$1:$L$257,5,FALSE)),"",(VLOOKUP($B149,'B-1 On-Site Hedge Baseline'!$B$1:$L$257,5,FALSE))))</f>
        <v/>
      </c>
      <c r="F149" s="310" t="str">
        <f>IF(B149="","",IF(ISNA(VLOOKUP($B149,'B-1 On-Site Hedge Baseline'!$B$1:$L$257,6,FALSE)),"",(VLOOKUP($B149,'B-1 On-Site Hedge Baseline'!$B$1:$L$257,6,FALSE))))</f>
        <v/>
      </c>
      <c r="G149" s="310" t="str">
        <f>IF(B149="","",IF(ISNA(VLOOKUP($B149,'B-1 On-Site Hedge Baseline'!$B$1:$L$257,7,FALSE)),"",(VLOOKUP($B149,'B-1 On-Site Hedge Baseline'!$B$1:$L$257,7,FALSE))))</f>
        <v/>
      </c>
      <c r="H149" s="310" t="str">
        <f>IF(B149="","",IF(ISNA(VLOOKUP($B149,'B-1 On-Site Hedge Baseline'!$B$1:$L$257,8,FALSE)),"",(VLOOKUP($B149,'B-1 On-Site Hedge Baseline'!$B$1:$L$257,8,FALSE))))</f>
        <v/>
      </c>
      <c r="I149" s="310" t="str">
        <f>IF(B149="","",IF(ISNA(VLOOKUP($B149,'B-1 On-Site Hedge Baseline'!$B$1:$L$257,10,FALSE)),"",(VLOOKUP($B149,'B-1 On-Site Hedge Baseline'!$B$1:$L$257,10,FALSE))))</f>
        <v/>
      </c>
      <c r="J149" s="310" t="str">
        <f>IF(B149="","",IF(ISNA(VLOOKUP($B149,'B-1 On-Site Hedge Baseline'!$B$1:$L$257,11,FALSE)),"",(VLOOKUP($B149,'B-1 On-Site Hedge Baseline'!$B$1:$L$257,11,FALSE))))</f>
        <v/>
      </c>
      <c r="K149" s="310" t="str">
        <f>IF(B149="","",IF(ISNA(VLOOKUP($B149,'B-1 On-Site Hedge Baseline'!$B$1:$U$257,13,FALSE)),"",(VLOOKUP($B149,'B-1 On-Site Hedge Baseline'!$B$1:$U$257,13,FALSE))))</f>
        <v/>
      </c>
      <c r="L149" s="314" t="str">
        <f>IF(B149="","",IF(ISNA(VLOOKUP($B149,'B-1 On-Site Hedge Baseline'!$B$1:$U$257,12,FALSE)),"",(VLOOKUP($B149,'B-1 On-Site Hedge Baseline'!$B$1:$U$257,12,FALSE))))</f>
        <v/>
      </c>
      <c r="M149" s="583"/>
      <c r="N149" s="290" t="str">
        <f>IFERROR(IF(B149="","",INDEX('G-6 Hedgerow Data'!$AN$3:$AZ$15,MATCH(C149,'G-6 Hedgerow Data'!$AM$3:$AM$15,0),MATCH(M149,'G-6 Hedgerow Data'!$AN$2:$AZ$2,0))),"")</f>
        <v/>
      </c>
      <c r="O149" s="291" t="str">
        <f t="shared" si="15"/>
        <v/>
      </c>
      <c r="P149" s="341" t="str">
        <f>IF(B149="","",VLOOKUP(B149,'B-1 On-Site Hedge Baseline'!$B$10:T394,16,FALSE))</f>
        <v/>
      </c>
      <c r="Q149" s="290" t="str">
        <f>IF(M149="","",VLOOKUP(M149,'G-6 Hedgerow Data'!$B$2:$AG$15,2,FALSE))</f>
        <v/>
      </c>
      <c r="R149" s="291" t="str">
        <f>IF(M149="","",VLOOKUP(M149,'G-6 Hedgerow Data'!$B$2:$AG$15,3,FALSE))</f>
        <v/>
      </c>
      <c r="S149" s="106"/>
      <c r="T149" s="328" t="str">
        <f>IFERROR(IF(S149="","",IF(AND(M149="Non-native and ornamental hedgerow", S149&lt;&gt;"Poor"),"Not possible ▲", (VLOOKUP(S149,'G-1 All Habitats'!$Z$2:$AA$9,2,FALSE)))),"")</f>
        <v/>
      </c>
      <c r="U149" s="103"/>
      <c r="V149" s="310" t="str">
        <f>IF(U149="","",IF(VLOOKUP(U149,'G-3 Multipliers'!$L$3:$N$6,2,FALSE)=0,"Spatial Data Missing ⚠",VLOOKUP(U149,'G-3 Multipliers'!$L$3:$N$6,2,FALSE)))</f>
        <v/>
      </c>
      <c r="W149" s="314" t="str">
        <f>IF(U149="","",IF(VLOOKUP(U149,'G-3 Multipliers'!$L$3:$N$6,3,FALSE)=0,"Spatial Data Missing ⚠",VLOOKUP(U149,'G-3 Multipliers'!$L$3:$N$6,3,FALSE)))</f>
        <v/>
      </c>
      <c r="X149" s="290" t="str">
        <f>IFERROR(IF(OR(LEFT(O149,5)="Error",LEFT(N149,5)="Error",T149="Error"),"Check Data ⚠",IF(F149&lt;R149,INDEX('G-6 Hedgerow Data'!$S$3:$AE$14,MATCH(C149,'G-6 Hedgerow Data'!$B$3:$B$14,0),MATCH(M149,'G-6 Hedgerow Data'!$S$2:$AE$2,0)),INDEX('G-6 Hedgerow Data'!$K$3:$Q$14,MATCH(M149,'G-6 Hedgerow Data'!$B$3:$B$14,0),MATCH(O149,'G-6 Hedgerow Data'!$K$2:$Q$2,0)))),"")</f>
        <v/>
      </c>
      <c r="Y149" s="138"/>
      <c r="Z149" s="138"/>
      <c r="AA149" s="298" t="str">
        <f t="shared" si="16"/>
        <v/>
      </c>
      <c r="AB149" s="311" t="str">
        <f t="shared" si="17"/>
        <v/>
      </c>
      <c r="AC149" s="312" t="str">
        <f t="shared" si="14"/>
        <v/>
      </c>
      <c r="AD149" s="325" t="str">
        <f>IF(M149="","",VLOOKUP(M149,'G-6 Hedgerow Data'!$B$3:$AG$15,31,FALSE))</f>
        <v/>
      </c>
      <c r="AE149" s="298" t="str">
        <f t="shared" si="18"/>
        <v/>
      </c>
      <c r="AF149" s="298" t="str">
        <f t="shared" si="19"/>
        <v/>
      </c>
      <c r="AG149" s="314" t="str">
        <f>IFERROR(IF(O149="","",VLOOKUP(AD149,'G-3 Multipliers'!$P$3:$Q$6,2,FALSE)),"")</f>
        <v/>
      </c>
      <c r="AH149" s="304" t="str">
        <f t="shared" si="20"/>
        <v/>
      </c>
      <c r="AI149" s="157"/>
      <c r="AJ149" s="99"/>
      <c r="AK149" s="101"/>
      <c r="AT149" s="15" t="str">
        <f>IFERROR(INDEX('G-6 Hedgerow Data'!$BJ$3:$BJ$15,MATCH(M149,'G-6 Hedgerow Data'!$B$3:$B$15,0)),"")</f>
        <v/>
      </c>
    </row>
    <row r="150" spans="2:46" ht="14" x14ac:dyDescent="0.3">
      <c r="B150" s="319" t="str">
        <f>'B-1 On-Site Hedge Baseline'!AK148</f>
        <v/>
      </c>
      <c r="C150" s="310" t="str">
        <f>IF(B150="","",IF(ISNA(VLOOKUP($B150,'B-1 On-Site Hedge Baseline'!$B$1:$L$257,3,FALSE)),"",(VLOOKUP($B150,'B-1 On-Site Hedge Baseline'!$B$1:$L$257,3,FALSE))))</f>
        <v/>
      </c>
      <c r="D150" s="310" t="str">
        <f>IF(B150="","",IF(ISNA(VLOOKUP($B150,'B-1 On-Site Hedge Baseline'!$B$1:$L$257,4,FALSE)),"",(VLOOKUP($B150,'B-1 On-Site Hedge Baseline'!$B$1:$L$257,4,FALSE))))</f>
        <v/>
      </c>
      <c r="E150" s="310" t="str">
        <f>IF(B150="","",IF(ISNA(VLOOKUP($B150,'B-1 On-Site Hedge Baseline'!$B$1:$L$257,5,FALSE)),"",(VLOOKUP($B150,'B-1 On-Site Hedge Baseline'!$B$1:$L$257,5,FALSE))))</f>
        <v/>
      </c>
      <c r="F150" s="310" t="str">
        <f>IF(B150="","",IF(ISNA(VLOOKUP($B150,'B-1 On-Site Hedge Baseline'!$B$1:$L$257,6,FALSE)),"",(VLOOKUP($B150,'B-1 On-Site Hedge Baseline'!$B$1:$L$257,6,FALSE))))</f>
        <v/>
      </c>
      <c r="G150" s="310" t="str">
        <f>IF(B150="","",IF(ISNA(VLOOKUP($B150,'B-1 On-Site Hedge Baseline'!$B$1:$L$257,7,FALSE)),"",(VLOOKUP($B150,'B-1 On-Site Hedge Baseline'!$B$1:$L$257,7,FALSE))))</f>
        <v/>
      </c>
      <c r="H150" s="310" t="str">
        <f>IF(B150="","",IF(ISNA(VLOOKUP($B150,'B-1 On-Site Hedge Baseline'!$B$1:$L$257,8,FALSE)),"",(VLOOKUP($B150,'B-1 On-Site Hedge Baseline'!$B$1:$L$257,8,FALSE))))</f>
        <v/>
      </c>
      <c r="I150" s="310" t="str">
        <f>IF(B150="","",IF(ISNA(VLOOKUP($B150,'B-1 On-Site Hedge Baseline'!$B$1:$L$257,10,FALSE)),"",(VLOOKUP($B150,'B-1 On-Site Hedge Baseline'!$B$1:$L$257,10,FALSE))))</f>
        <v/>
      </c>
      <c r="J150" s="310" t="str">
        <f>IF(B150="","",IF(ISNA(VLOOKUP($B150,'B-1 On-Site Hedge Baseline'!$B$1:$L$257,11,FALSE)),"",(VLOOKUP($B150,'B-1 On-Site Hedge Baseline'!$B$1:$L$257,11,FALSE))))</f>
        <v/>
      </c>
      <c r="K150" s="310" t="str">
        <f>IF(B150="","",IF(ISNA(VLOOKUP($B150,'B-1 On-Site Hedge Baseline'!$B$1:$U$257,13,FALSE)),"",(VLOOKUP($B150,'B-1 On-Site Hedge Baseline'!$B$1:$U$257,13,FALSE))))</f>
        <v/>
      </c>
      <c r="L150" s="314" t="str">
        <f>IF(B150="","",IF(ISNA(VLOOKUP($B150,'B-1 On-Site Hedge Baseline'!$B$1:$U$257,12,FALSE)),"",(VLOOKUP($B150,'B-1 On-Site Hedge Baseline'!$B$1:$U$257,12,FALSE))))</f>
        <v/>
      </c>
      <c r="M150" s="583"/>
      <c r="N150" s="290" t="str">
        <f>IFERROR(IF(B150="","",INDEX('G-6 Hedgerow Data'!$AN$3:$AZ$15,MATCH(C150,'G-6 Hedgerow Data'!$AM$3:$AM$15,0),MATCH(M150,'G-6 Hedgerow Data'!$AN$2:$AZ$2,0))),"")</f>
        <v/>
      </c>
      <c r="O150" s="291" t="str">
        <f t="shared" si="15"/>
        <v/>
      </c>
      <c r="P150" s="341" t="str">
        <f>IF(B150="","",VLOOKUP(B150,'B-1 On-Site Hedge Baseline'!$B$10:T395,16,FALSE))</f>
        <v/>
      </c>
      <c r="Q150" s="290" t="str">
        <f>IF(M150="","",VLOOKUP(M150,'G-6 Hedgerow Data'!$B$2:$AG$15,2,FALSE))</f>
        <v/>
      </c>
      <c r="R150" s="291" t="str">
        <f>IF(M150="","",VLOOKUP(M150,'G-6 Hedgerow Data'!$B$2:$AG$15,3,FALSE))</f>
        <v/>
      </c>
      <c r="S150" s="106"/>
      <c r="T150" s="328" t="str">
        <f>IFERROR(IF(S150="","",IF(AND(M150="Non-native and ornamental hedgerow", S150&lt;&gt;"Poor"),"Not possible ▲", (VLOOKUP(S150,'G-1 All Habitats'!$Z$2:$AA$9,2,FALSE)))),"")</f>
        <v/>
      </c>
      <c r="U150" s="103"/>
      <c r="V150" s="310" t="str">
        <f>IF(U150="","",IF(VLOOKUP(U150,'G-3 Multipliers'!$L$3:$N$6,2,FALSE)=0,"Spatial Data Missing ⚠",VLOOKUP(U150,'G-3 Multipliers'!$L$3:$N$6,2,FALSE)))</f>
        <v/>
      </c>
      <c r="W150" s="314" t="str">
        <f>IF(U150="","",IF(VLOOKUP(U150,'G-3 Multipliers'!$L$3:$N$6,3,FALSE)=0,"Spatial Data Missing ⚠",VLOOKUP(U150,'G-3 Multipliers'!$L$3:$N$6,3,FALSE)))</f>
        <v/>
      </c>
      <c r="X150" s="290" t="str">
        <f>IFERROR(IF(OR(LEFT(O150,5)="Error",LEFT(N150,5)="Error",T150="Error"),"Check Data ⚠",IF(F150&lt;R150,INDEX('G-6 Hedgerow Data'!$S$3:$AE$14,MATCH(C150,'G-6 Hedgerow Data'!$B$3:$B$14,0),MATCH(M150,'G-6 Hedgerow Data'!$S$2:$AE$2,0)),INDEX('G-6 Hedgerow Data'!$K$3:$Q$14,MATCH(M150,'G-6 Hedgerow Data'!$B$3:$B$14,0),MATCH(O150,'G-6 Hedgerow Data'!$K$2:$Q$2,0)))),"")</f>
        <v/>
      </c>
      <c r="Y150" s="138"/>
      <c r="Z150" s="138"/>
      <c r="AA150" s="298" t="str">
        <f t="shared" si="16"/>
        <v/>
      </c>
      <c r="AB150" s="311" t="str">
        <f t="shared" si="17"/>
        <v/>
      </c>
      <c r="AC150" s="312" t="str">
        <f t="shared" si="14"/>
        <v/>
      </c>
      <c r="AD150" s="325" t="str">
        <f>IF(M150="","",VLOOKUP(M150,'G-6 Hedgerow Data'!$B$3:$AG$15,31,FALSE))</f>
        <v/>
      </c>
      <c r="AE150" s="298" t="str">
        <f t="shared" si="18"/>
        <v/>
      </c>
      <c r="AF150" s="298" t="str">
        <f t="shared" si="19"/>
        <v/>
      </c>
      <c r="AG150" s="314" t="str">
        <f>IFERROR(IF(O150="","",VLOOKUP(AD150,'G-3 Multipliers'!$P$3:$Q$6,2,FALSE)),"")</f>
        <v/>
      </c>
      <c r="AH150" s="304" t="str">
        <f t="shared" si="20"/>
        <v/>
      </c>
      <c r="AI150" s="157"/>
      <c r="AJ150" s="99"/>
      <c r="AK150" s="101"/>
      <c r="AT150" s="15" t="str">
        <f>IFERROR(INDEX('G-6 Hedgerow Data'!$BJ$3:$BJ$15,MATCH(M150,'G-6 Hedgerow Data'!$B$3:$B$15,0)),"")</f>
        <v/>
      </c>
    </row>
    <row r="151" spans="2:46" ht="14" x14ac:dyDescent="0.3">
      <c r="B151" s="319" t="str">
        <f>'B-1 On-Site Hedge Baseline'!AK149</f>
        <v/>
      </c>
      <c r="C151" s="310" t="str">
        <f>IF(B151="","",IF(ISNA(VLOOKUP($B151,'B-1 On-Site Hedge Baseline'!$B$1:$L$257,3,FALSE)),"",(VLOOKUP($B151,'B-1 On-Site Hedge Baseline'!$B$1:$L$257,3,FALSE))))</f>
        <v/>
      </c>
      <c r="D151" s="310" t="str">
        <f>IF(B151="","",IF(ISNA(VLOOKUP($B151,'B-1 On-Site Hedge Baseline'!$B$1:$L$257,4,FALSE)),"",(VLOOKUP($B151,'B-1 On-Site Hedge Baseline'!$B$1:$L$257,4,FALSE))))</f>
        <v/>
      </c>
      <c r="E151" s="310" t="str">
        <f>IF(B151="","",IF(ISNA(VLOOKUP($B151,'B-1 On-Site Hedge Baseline'!$B$1:$L$257,5,FALSE)),"",(VLOOKUP($B151,'B-1 On-Site Hedge Baseline'!$B$1:$L$257,5,FALSE))))</f>
        <v/>
      </c>
      <c r="F151" s="310" t="str">
        <f>IF(B151="","",IF(ISNA(VLOOKUP($B151,'B-1 On-Site Hedge Baseline'!$B$1:$L$257,6,FALSE)),"",(VLOOKUP($B151,'B-1 On-Site Hedge Baseline'!$B$1:$L$257,6,FALSE))))</f>
        <v/>
      </c>
      <c r="G151" s="310" t="str">
        <f>IF(B151="","",IF(ISNA(VLOOKUP($B151,'B-1 On-Site Hedge Baseline'!$B$1:$L$257,7,FALSE)),"",(VLOOKUP($B151,'B-1 On-Site Hedge Baseline'!$B$1:$L$257,7,FALSE))))</f>
        <v/>
      </c>
      <c r="H151" s="310" t="str">
        <f>IF(B151="","",IF(ISNA(VLOOKUP($B151,'B-1 On-Site Hedge Baseline'!$B$1:$L$257,8,FALSE)),"",(VLOOKUP($B151,'B-1 On-Site Hedge Baseline'!$B$1:$L$257,8,FALSE))))</f>
        <v/>
      </c>
      <c r="I151" s="310" t="str">
        <f>IF(B151="","",IF(ISNA(VLOOKUP($B151,'B-1 On-Site Hedge Baseline'!$B$1:$L$257,10,FALSE)),"",(VLOOKUP($B151,'B-1 On-Site Hedge Baseline'!$B$1:$L$257,10,FALSE))))</f>
        <v/>
      </c>
      <c r="J151" s="310" t="str">
        <f>IF(B151="","",IF(ISNA(VLOOKUP($B151,'B-1 On-Site Hedge Baseline'!$B$1:$L$257,11,FALSE)),"",(VLOOKUP($B151,'B-1 On-Site Hedge Baseline'!$B$1:$L$257,11,FALSE))))</f>
        <v/>
      </c>
      <c r="K151" s="310" t="str">
        <f>IF(B151="","",IF(ISNA(VLOOKUP($B151,'B-1 On-Site Hedge Baseline'!$B$1:$U$257,13,FALSE)),"",(VLOOKUP($B151,'B-1 On-Site Hedge Baseline'!$B$1:$U$257,13,FALSE))))</f>
        <v/>
      </c>
      <c r="L151" s="314" t="str">
        <f>IF(B151="","",IF(ISNA(VLOOKUP($B151,'B-1 On-Site Hedge Baseline'!$B$1:$U$257,12,FALSE)),"",(VLOOKUP($B151,'B-1 On-Site Hedge Baseline'!$B$1:$U$257,12,FALSE))))</f>
        <v/>
      </c>
      <c r="M151" s="583"/>
      <c r="N151" s="290" t="str">
        <f>IFERROR(IF(B151="","",INDEX('G-6 Hedgerow Data'!$AN$3:$AZ$15,MATCH(C151,'G-6 Hedgerow Data'!$AM$3:$AM$15,0),MATCH(M151,'G-6 Hedgerow Data'!$AN$2:$AZ$2,0))),"")</f>
        <v/>
      </c>
      <c r="O151" s="291" t="str">
        <f t="shared" si="15"/>
        <v/>
      </c>
      <c r="P151" s="341" t="str">
        <f>IF(B151="","",VLOOKUP(B151,'B-1 On-Site Hedge Baseline'!$B$10:T396,16,FALSE))</f>
        <v/>
      </c>
      <c r="Q151" s="290" t="str">
        <f>IF(M151="","",VLOOKUP(M151,'G-6 Hedgerow Data'!$B$2:$AG$15,2,FALSE))</f>
        <v/>
      </c>
      <c r="R151" s="291" t="str">
        <f>IF(M151="","",VLOOKUP(M151,'G-6 Hedgerow Data'!$B$2:$AG$15,3,FALSE))</f>
        <v/>
      </c>
      <c r="S151" s="106"/>
      <c r="T151" s="328" t="str">
        <f>IFERROR(IF(S151="","",IF(AND(M151="Non-native and ornamental hedgerow", S151&lt;&gt;"Poor"),"Not possible ▲", (VLOOKUP(S151,'G-1 All Habitats'!$Z$2:$AA$9,2,FALSE)))),"")</f>
        <v/>
      </c>
      <c r="U151" s="103"/>
      <c r="V151" s="310" t="str">
        <f>IF(U151="","",IF(VLOOKUP(U151,'G-3 Multipliers'!$L$3:$N$6,2,FALSE)=0,"Spatial Data Missing ⚠",VLOOKUP(U151,'G-3 Multipliers'!$L$3:$N$6,2,FALSE)))</f>
        <v/>
      </c>
      <c r="W151" s="314" t="str">
        <f>IF(U151="","",IF(VLOOKUP(U151,'G-3 Multipliers'!$L$3:$N$6,3,FALSE)=0,"Spatial Data Missing ⚠",VLOOKUP(U151,'G-3 Multipliers'!$L$3:$N$6,3,FALSE)))</f>
        <v/>
      </c>
      <c r="X151" s="290" t="str">
        <f>IFERROR(IF(OR(LEFT(O151,5)="Error",LEFT(N151,5)="Error",T151="Error"),"Check Data ⚠",IF(F151&lt;R151,INDEX('G-6 Hedgerow Data'!$S$3:$AE$14,MATCH(C151,'G-6 Hedgerow Data'!$B$3:$B$14,0),MATCH(M151,'G-6 Hedgerow Data'!$S$2:$AE$2,0)),INDEX('G-6 Hedgerow Data'!$K$3:$Q$14,MATCH(M151,'G-6 Hedgerow Data'!$B$3:$B$14,0),MATCH(O151,'G-6 Hedgerow Data'!$K$2:$Q$2,0)))),"")</f>
        <v/>
      </c>
      <c r="Y151" s="138"/>
      <c r="Z151" s="138"/>
      <c r="AA151" s="298" t="str">
        <f t="shared" si="16"/>
        <v/>
      </c>
      <c r="AB151" s="311" t="str">
        <f t="shared" si="17"/>
        <v/>
      </c>
      <c r="AC151" s="312" t="str">
        <f t="shared" si="14"/>
        <v/>
      </c>
      <c r="AD151" s="325" t="str">
        <f>IF(M151="","",VLOOKUP(M151,'G-6 Hedgerow Data'!$B$3:$AG$15,31,FALSE))</f>
        <v/>
      </c>
      <c r="AE151" s="298" t="str">
        <f t="shared" si="18"/>
        <v/>
      </c>
      <c r="AF151" s="298" t="str">
        <f t="shared" si="19"/>
        <v/>
      </c>
      <c r="AG151" s="314" t="str">
        <f>IFERROR(IF(O151="","",VLOOKUP(AD151,'G-3 Multipliers'!$P$3:$Q$6,2,FALSE)),"")</f>
        <v/>
      </c>
      <c r="AH151" s="304" t="str">
        <f t="shared" si="20"/>
        <v/>
      </c>
      <c r="AI151" s="157"/>
      <c r="AJ151" s="99"/>
      <c r="AK151" s="101"/>
      <c r="AT151" s="15" t="str">
        <f>IFERROR(INDEX('G-6 Hedgerow Data'!$BJ$3:$BJ$15,MATCH(M151,'G-6 Hedgerow Data'!$B$3:$B$15,0)),"")</f>
        <v/>
      </c>
    </row>
    <row r="152" spans="2:46" ht="14" x14ac:dyDescent="0.3">
      <c r="B152" s="319" t="str">
        <f>'B-1 On-Site Hedge Baseline'!AK150</f>
        <v/>
      </c>
      <c r="C152" s="310" t="str">
        <f>IF(B152="","",IF(ISNA(VLOOKUP($B152,'B-1 On-Site Hedge Baseline'!$B$1:$L$257,3,FALSE)),"",(VLOOKUP($B152,'B-1 On-Site Hedge Baseline'!$B$1:$L$257,3,FALSE))))</f>
        <v/>
      </c>
      <c r="D152" s="310" t="str">
        <f>IF(B152="","",IF(ISNA(VLOOKUP($B152,'B-1 On-Site Hedge Baseline'!$B$1:$L$257,4,FALSE)),"",(VLOOKUP($B152,'B-1 On-Site Hedge Baseline'!$B$1:$L$257,4,FALSE))))</f>
        <v/>
      </c>
      <c r="E152" s="310" t="str">
        <f>IF(B152="","",IF(ISNA(VLOOKUP($B152,'B-1 On-Site Hedge Baseline'!$B$1:$L$257,5,FALSE)),"",(VLOOKUP($B152,'B-1 On-Site Hedge Baseline'!$B$1:$L$257,5,FALSE))))</f>
        <v/>
      </c>
      <c r="F152" s="310" t="str">
        <f>IF(B152="","",IF(ISNA(VLOOKUP($B152,'B-1 On-Site Hedge Baseline'!$B$1:$L$257,6,FALSE)),"",(VLOOKUP($B152,'B-1 On-Site Hedge Baseline'!$B$1:$L$257,6,FALSE))))</f>
        <v/>
      </c>
      <c r="G152" s="310" t="str">
        <f>IF(B152="","",IF(ISNA(VLOOKUP($B152,'B-1 On-Site Hedge Baseline'!$B$1:$L$257,7,FALSE)),"",(VLOOKUP($B152,'B-1 On-Site Hedge Baseline'!$B$1:$L$257,7,FALSE))))</f>
        <v/>
      </c>
      <c r="H152" s="310" t="str">
        <f>IF(B152="","",IF(ISNA(VLOOKUP($B152,'B-1 On-Site Hedge Baseline'!$B$1:$L$257,8,FALSE)),"",(VLOOKUP($B152,'B-1 On-Site Hedge Baseline'!$B$1:$L$257,8,FALSE))))</f>
        <v/>
      </c>
      <c r="I152" s="310" t="str">
        <f>IF(B152="","",IF(ISNA(VLOOKUP($B152,'B-1 On-Site Hedge Baseline'!$B$1:$L$257,10,FALSE)),"",(VLOOKUP($B152,'B-1 On-Site Hedge Baseline'!$B$1:$L$257,10,FALSE))))</f>
        <v/>
      </c>
      <c r="J152" s="310" t="str">
        <f>IF(B152="","",IF(ISNA(VLOOKUP($B152,'B-1 On-Site Hedge Baseline'!$B$1:$L$257,11,FALSE)),"",(VLOOKUP($B152,'B-1 On-Site Hedge Baseline'!$B$1:$L$257,11,FALSE))))</f>
        <v/>
      </c>
      <c r="K152" s="310" t="str">
        <f>IF(B152="","",IF(ISNA(VLOOKUP($B152,'B-1 On-Site Hedge Baseline'!$B$1:$U$257,13,FALSE)),"",(VLOOKUP($B152,'B-1 On-Site Hedge Baseline'!$B$1:$U$257,13,FALSE))))</f>
        <v/>
      </c>
      <c r="L152" s="314" t="str">
        <f>IF(B152="","",IF(ISNA(VLOOKUP($B152,'B-1 On-Site Hedge Baseline'!$B$1:$U$257,12,FALSE)),"",(VLOOKUP($B152,'B-1 On-Site Hedge Baseline'!$B$1:$U$257,12,FALSE))))</f>
        <v/>
      </c>
      <c r="M152" s="583"/>
      <c r="N152" s="290" t="str">
        <f>IFERROR(IF(B152="","",INDEX('G-6 Hedgerow Data'!$AN$3:$AZ$15,MATCH(C152,'G-6 Hedgerow Data'!$AM$3:$AM$15,0),MATCH(M152,'G-6 Hedgerow Data'!$AN$2:$AZ$2,0))),"")</f>
        <v/>
      </c>
      <c r="O152" s="291" t="str">
        <f t="shared" si="15"/>
        <v/>
      </c>
      <c r="P152" s="341" t="str">
        <f>IF(B152="","",VLOOKUP(B152,'B-1 On-Site Hedge Baseline'!$B$10:T397,16,FALSE))</f>
        <v/>
      </c>
      <c r="Q152" s="290" t="str">
        <f>IF(M152="","",VLOOKUP(M152,'G-6 Hedgerow Data'!$B$2:$AG$15,2,FALSE))</f>
        <v/>
      </c>
      <c r="R152" s="291" t="str">
        <f>IF(M152="","",VLOOKUP(M152,'G-6 Hedgerow Data'!$B$2:$AG$15,3,FALSE))</f>
        <v/>
      </c>
      <c r="S152" s="106"/>
      <c r="T152" s="328" t="str">
        <f>IFERROR(IF(S152="","",IF(AND(M152="Non-native and ornamental hedgerow", S152&lt;&gt;"Poor"),"Not possible ▲", (VLOOKUP(S152,'G-1 All Habitats'!$Z$2:$AA$9,2,FALSE)))),"")</f>
        <v/>
      </c>
      <c r="U152" s="103"/>
      <c r="V152" s="310" t="str">
        <f>IF(U152="","",IF(VLOOKUP(U152,'G-3 Multipliers'!$L$3:$N$6,2,FALSE)=0,"Spatial Data Missing ⚠",VLOOKUP(U152,'G-3 Multipliers'!$L$3:$N$6,2,FALSE)))</f>
        <v/>
      </c>
      <c r="W152" s="314" t="str">
        <f>IF(U152="","",IF(VLOOKUP(U152,'G-3 Multipliers'!$L$3:$N$6,3,FALSE)=0,"Spatial Data Missing ⚠",VLOOKUP(U152,'G-3 Multipliers'!$L$3:$N$6,3,FALSE)))</f>
        <v/>
      </c>
      <c r="X152" s="290" t="str">
        <f>IFERROR(IF(OR(LEFT(O152,5)="Error",LEFT(N152,5)="Error",T152="Error"),"Check Data ⚠",IF(F152&lt;R152,INDEX('G-6 Hedgerow Data'!$S$3:$AE$14,MATCH(C152,'G-6 Hedgerow Data'!$B$3:$B$14,0),MATCH(M152,'G-6 Hedgerow Data'!$S$2:$AE$2,0)),INDEX('G-6 Hedgerow Data'!$K$3:$Q$14,MATCH(M152,'G-6 Hedgerow Data'!$B$3:$B$14,0),MATCH(O152,'G-6 Hedgerow Data'!$K$2:$Q$2,0)))),"")</f>
        <v/>
      </c>
      <c r="Y152" s="138"/>
      <c r="Z152" s="138"/>
      <c r="AA152" s="298" t="str">
        <f t="shared" si="16"/>
        <v/>
      </c>
      <c r="AB152" s="311" t="str">
        <f t="shared" si="17"/>
        <v/>
      </c>
      <c r="AC152" s="312" t="str">
        <f t="shared" si="14"/>
        <v/>
      </c>
      <c r="AD152" s="325" t="str">
        <f>IF(M152="","",VLOOKUP(M152,'G-6 Hedgerow Data'!$B$3:$AG$15,31,FALSE))</f>
        <v/>
      </c>
      <c r="AE152" s="298" t="str">
        <f t="shared" si="18"/>
        <v/>
      </c>
      <c r="AF152" s="298" t="str">
        <f t="shared" si="19"/>
        <v/>
      </c>
      <c r="AG152" s="314" t="str">
        <f>IFERROR(IF(O152="","",VLOOKUP(AD152,'G-3 Multipliers'!$P$3:$Q$6,2,FALSE)),"")</f>
        <v/>
      </c>
      <c r="AH152" s="304" t="str">
        <f t="shared" si="20"/>
        <v/>
      </c>
      <c r="AI152" s="157"/>
      <c r="AJ152" s="99"/>
      <c r="AK152" s="101"/>
      <c r="AT152" s="15" t="str">
        <f>IFERROR(INDEX('G-6 Hedgerow Data'!$BJ$3:$BJ$15,MATCH(M152,'G-6 Hedgerow Data'!$B$3:$B$15,0)),"")</f>
        <v/>
      </c>
    </row>
    <row r="153" spans="2:46" ht="14" x14ac:dyDescent="0.3">
      <c r="B153" s="319" t="str">
        <f>'B-1 On-Site Hedge Baseline'!AK151</f>
        <v/>
      </c>
      <c r="C153" s="310" t="str">
        <f>IF(B153="","",IF(ISNA(VLOOKUP($B153,'B-1 On-Site Hedge Baseline'!$B$1:$L$257,3,FALSE)),"",(VLOOKUP($B153,'B-1 On-Site Hedge Baseline'!$B$1:$L$257,3,FALSE))))</f>
        <v/>
      </c>
      <c r="D153" s="310" t="str">
        <f>IF(B153="","",IF(ISNA(VLOOKUP($B153,'B-1 On-Site Hedge Baseline'!$B$1:$L$257,4,FALSE)),"",(VLOOKUP($B153,'B-1 On-Site Hedge Baseline'!$B$1:$L$257,4,FALSE))))</f>
        <v/>
      </c>
      <c r="E153" s="310" t="str">
        <f>IF(B153="","",IF(ISNA(VLOOKUP($B153,'B-1 On-Site Hedge Baseline'!$B$1:$L$257,5,FALSE)),"",(VLOOKUP($B153,'B-1 On-Site Hedge Baseline'!$B$1:$L$257,5,FALSE))))</f>
        <v/>
      </c>
      <c r="F153" s="310" t="str">
        <f>IF(B153="","",IF(ISNA(VLOOKUP($B153,'B-1 On-Site Hedge Baseline'!$B$1:$L$257,6,FALSE)),"",(VLOOKUP($B153,'B-1 On-Site Hedge Baseline'!$B$1:$L$257,6,FALSE))))</f>
        <v/>
      </c>
      <c r="G153" s="310" t="str">
        <f>IF(B153="","",IF(ISNA(VLOOKUP($B153,'B-1 On-Site Hedge Baseline'!$B$1:$L$257,7,FALSE)),"",(VLOOKUP($B153,'B-1 On-Site Hedge Baseline'!$B$1:$L$257,7,FALSE))))</f>
        <v/>
      </c>
      <c r="H153" s="310" t="str">
        <f>IF(B153="","",IF(ISNA(VLOOKUP($B153,'B-1 On-Site Hedge Baseline'!$B$1:$L$257,8,FALSE)),"",(VLOOKUP($B153,'B-1 On-Site Hedge Baseline'!$B$1:$L$257,8,FALSE))))</f>
        <v/>
      </c>
      <c r="I153" s="310" t="str">
        <f>IF(B153="","",IF(ISNA(VLOOKUP($B153,'B-1 On-Site Hedge Baseline'!$B$1:$L$257,10,FALSE)),"",(VLOOKUP($B153,'B-1 On-Site Hedge Baseline'!$B$1:$L$257,10,FALSE))))</f>
        <v/>
      </c>
      <c r="J153" s="310" t="str">
        <f>IF(B153="","",IF(ISNA(VLOOKUP($B153,'B-1 On-Site Hedge Baseline'!$B$1:$L$257,11,FALSE)),"",(VLOOKUP($B153,'B-1 On-Site Hedge Baseline'!$B$1:$L$257,11,FALSE))))</f>
        <v/>
      </c>
      <c r="K153" s="310" t="str">
        <f>IF(B153="","",IF(ISNA(VLOOKUP($B153,'B-1 On-Site Hedge Baseline'!$B$1:$U$257,13,FALSE)),"",(VLOOKUP($B153,'B-1 On-Site Hedge Baseline'!$B$1:$U$257,13,FALSE))))</f>
        <v/>
      </c>
      <c r="L153" s="314" t="str">
        <f>IF(B153="","",IF(ISNA(VLOOKUP($B153,'B-1 On-Site Hedge Baseline'!$B$1:$U$257,12,FALSE)),"",(VLOOKUP($B153,'B-1 On-Site Hedge Baseline'!$B$1:$U$257,12,FALSE))))</f>
        <v/>
      </c>
      <c r="M153" s="583"/>
      <c r="N153" s="290" t="str">
        <f>IFERROR(IF(B153="","",INDEX('G-6 Hedgerow Data'!$AN$3:$AZ$15,MATCH(C153,'G-6 Hedgerow Data'!$AM$3:$AM$15,0),MATCH(M153,'G-6 Hedgerow Data'!$AN$2:$AZ$2,0))),"")</f>
        <v/>
      </c>
      <c r="O153" s="291" t="str">
        <f t="shared" si="15"/>
        <v/>
      </c>
      <c r="P153" s="341" t="str">
        <f>IF(B153="","",VLOOKUP(B153,'B-1 On-Site Hedge Baseline'!$B$10:T398,16,FALSE))</f>
        <v/>
      </c>
      <c r="Q153" s="290" t="str">
        <f>IF(M153="","",VLOOKUP(M153,'G-6 Hedgerow Data'!$B$2:$AG$15,2,FALSE))</f>
        <v/>
      </c>
      <c r="R153" s="291" t="str">
        <f>IF(M153="","",VLOOKUP(M153,'G-6 Hedgerow Data'!$B$2:$AG$15,3,FALSE))</f>
        <v/>
      </c>
      <c r="S153" s="106"/>
      <c r="T153" s="328" t="str">
        <f>IFERROR(IF(S153="","",IF(AND(M153="Non-native and ornamental hedgerow", S153&lt;&gt;"Poor"),"Not possible ▲", (VLOOKUP(S153,'G-1 All Habitats'!$Z$2:$AA$9,2,FALSE)))),"")</f>
        <v/>
      </c>
      <c r="U153" s="103"/>
      <c r="V153" s="310" t="str">
        <f>IF(U153="","",IF(VLOOKUP(U153,'G-3 Multipliers'!$L$3:$N$6,2,FALSE)=0,"Spatial Data Missing ⚠",VLOOKUP(U153,'G-3 Multipliers'!$L$3:$N$6,2,FALSE)))</f>
        <v/>
      </c>
      <c r="W153" s="314" t="str">
        <f>IF(U153="","",IF(VLOOKUP(U153,'G-3 Multipliers'!$L$3:$N$6,3,FALSE)=0,"Spatial Data Missing ⚠",VLOOKUP(U153,'G-3 Multipliers'!$L$3:$N$6,3,FALSE)))</f>
        <v/>
      </c>
      <c r="X153" s="290" t="str">
        <f>IFERROR(IF(OR(LEFT(O153,5)="Error",LEFT(N153,5)="Error",T153="Error"),"Check Data ⚠",IF(F153&lt;R153,INDEX('G-6 Hedgerow Data'!$S$3:$AE$14,MATCH(C153,'G-6 Hedgerow Data'!$B$3:$B$14,0),MATCH(M153,'G-6 Hedgerow Data'!$S$2:$AE$2,0)),INDEX('G-6 Hedgerow Data'!$K$3:$Q$14,MATCH(M153,'G-6 Hedgerow Data'!$B$3:$B$14,0),MATCH(O153,'G-6 Hedgerow Data'!$K$2:$Q$2,0)))),"")</f>
        <v/>
      </c>
      <c r="Y153" s="138"/>
      <c r="Z153" s="138"/>
      <c r="AA153" s="298" t="str">
        <f t="shared" si="16"/>
        <v/>
      </c>
      <c r="AB153" s="311" t="str">
        <f t="shared" si="17"/>
        <v/>
      </c>
      <c r="AC153" s="312" t="str">
        <f t="shared" si="14"/>
        <v/>
      </c>
      <c r="AD153" s="325" t="str">
        <f>IF(M153="","",VLOOKUP(M153,'G-6 Hedgerow Data'!$B$3:$AG$15,31,FALSE))</f>
        <v/>
      </c>
      <c r="AE153" s="298" t="str">
        <f t="shared" si="18"/>
        <v/>
      </c>
      <c r="AF153" s="298" t="str">
        <f t="shared" si="19"/>
        <v/>
      </c>
      <c r="AG153" s="314" t="str">
        <f>IFERROR(IF(O153="","",VLOOKUP(AD153,'G-3 Multipliers'!$P$3:$Q$6,2,FALSE)),"")</f>
        <v/>
      </c>
      <c r="AH153" s="304" t="str">
        <f t="shared" si="20"/>
        <v/>
      </c>
      <c r="AI153" s="157"/>
      <c r="AJ153" s="99"/>
      <c r="AK153" s="101"/>
      <c r="AT153" s="15" t="str">
        <f>IFERROR(INDEX('G-6 Hedgerow Data'!$BJ$3:$BJ$15,MATCH(M153,'G-6 Hedgerow Data'!$B$3:$B$15,0)),"")</f>
        <v/>
      </c>
    </row>
    <row r="154" spans="2:46" ht="14" x14ac:dyDescent="0.3">
      <c r="B154" s="319" t="str">
        <f>'B-1 On-Site Hedge Baseline'!AK152</f>
        <v/>
      </c>
      <c r="C154" s="310" t="str">
        <f>IF(B154="","",IF(ISNA(VLOOKUP($B154,'B-1 On-Site Hedge Baseline'!$B$1:$L$257,3,FALSE)),"",(VLOOKUP($B154,'B-1 On-Site Hedge Baseline'!$B$1:$L$257,3,FALSE))))</f>
        <v/>
      </c>
      <c r="D154" s="310" t="str">
        <f>IF(B154="","",IF(ISNA(VLOOKUP($B154,'B-1 On-Site Hedge Baseline'!$B$1:$L$257,4,FALSE)),"",(VLOOKUP($B154,'B-1 On-Site Hedge Baseline'!$B$1:$L$257,4,FALSE))))</f>
        <v/>
      </c>
      <c r="E154" s="310" t="str">
        <f>IF(B154="","",IF(ISNA(VLOOKUP($B154,'B-1 On-Site Hedge Baseline'!$B$1:$L$257,5,FALSE)),"",(VLOOKUP($B154,'B-1 On-Site Hedge Baseline'!$B$1:$L$257,5,FALSE))))</f>
        <v/>
      </c>
      <c r="F154" s="310" t="str">
        <f>IF(B154="","",IF(ISNA(VLOOKUP($B154,'B-1 On-Site Hedge Baseline'!$B$1:$L$257,6,FALSE)),"",(VLOOKUP($B154,'B-1 On-Site Hedge Baseline'!$B$1:$L$257,6,FALSE))))</f>
        <v/>
      </c>
      <c r="G154" s="310" t="str">
        <f>IF(B154="","",IF(ISNA(VLOOKUP($B154,'B-1 On-Site Hedge Baseline'!$B$1:$L$257,7,FALSE)),"",(VLOOKUP($B154,'B-1 On-Site Hedge Baseline'!$B$1:$L$257,7,FALSE))))</f>
        <v/>
      </c>
      <c r="H154" s="310" t="str">
        <f>IF(B154="","",IF(ISNA(VLOOKUP($B154,'B-1 On-Site Hedge Baseline'!$B$1:$L$257,8,FALSE)),"",(VLOOKUP($B154,'B-1 On-Site Hedge Baseline'!$B$1:$L$257,8,FALSE))))</f>
        <v/>
      </c>
      <c r="I154" s="310" t="str">
        <f>IF(B154="","",IF(ISNA(VLOOKUP($B154,'B-1 On-Site Hedge Baseline'!$B$1:$L$257,10,FALSE)),"",(VLOOKUP($B154,'B-1 On-Site Hedge Baseline'!$B$1:$L$257,10,FALSE))))</f>
        <v/>
      </c>
      <c r="J154" s="310" t="str">
        <f>IF(B154="","",IF(ISNA(VLOOKUP($B154,'B-1 On-Site Hedge Baseline'!$B$1:$L$257,11,FALSE)),"",(VLOOKUP($B154,'B-1 On-Site Hedge Baseline'!$B$1:$L$257,11,FALSE))))</f>
        <v/>
      </c>
      <c r="K154" s="310" t="str">
        <f>IF(B154="","",IF(ISNA(VLOOKUP($B154,'B-1 On-Site Hedge Baseline'!$B$1:$U$257,13,FALSE)),"",(VLOOKUP($B154,'B-1 On-Site Hedge Baseline'!$B$1:$U$257,13,FALSE))))</f>
        <v/>
      </c>
      <c r="L154" s="314" t="str">
        <f>IF(B154="","",IF(ISNA(VLOOKUP($B154,'B-1 On-Site Hedge Baseline'!$B$1:$U$257,12,FALSE)),"",(VLOOKUP($B154,'B-1 On-Site Hedge Baseline'!$B$1:$U$257,12,FALSE))))</f>
        <v/>
      </c>
      <c r="M154" s="583"/>
      <c r="N154" s="290" t="str">
        <f>IFERROR(IF(B154="","",INDEX('G-6 Hedgerow Data'!$AN$3:$AZ$15,MATCH(C154,'G-6 Hedgerow Data'!$AM$3:$AM$15,0),MATCH(M154,'G-6 Hedgerow Data'!$AN$2:$AZ$2,0))),"")</f>
        <v/>
      </c>
      <c r="O154" s="291" t="str">
        <f t="shared" si="15"/>
        <v/>
      </c>
      <c r="P154" s="341" t="str">
        <f>IF(B154="","",VLOOKUP(B154,'B-1 On-Site Hedge Baseline'!$B$10:T399,16,FALSE))</f>
        <v/>
      </c>
      <c r="Q154" s="290" t="str">
        <f>IF(M154="","",VLOOKUP(M154,'G-6 Hedgerow Data'!$B$2:$AG$15,2,FALSE))</f>
        <v/>
      </c>
      <c r="R154" s="291" t="str">
        <f>IF(M154="","",VLOOKUP(M154,'G-6 Hedgerow Data'!$B$2:$AG$15,3,FALSE))</f>
        <v/>
      </c>
      <c r="S154" s="106"/>
      <c r="T154" s="328" t="str">
        <f>IFERROR(IF(S154="","",IF(AND(M154="Non-native and ornamental hedgerow", S154&lt;&gt;"Poor"),"Not possible ▲", (VLOOKUP(S154,'G-1 All Habitats'!$Z$2:$AA$9,2,FALSE)))),"")</f>
        <v/>
      </c>
      <c r="U154" s="103"/>
      <c r="V154" s="310" t="str">
        <f>IF(U154="","",IF(VLOOKUP(U154,'G-3 Multipliers'!$L$3:$N$6,2,FALSE)=0,"Spatial Data Missing ⚠",VLOOKUP(U154,'G-3 Multipliers'!$L$3:$N$6,2,FALSE)))</f>
        <v/>
      </c>
      <c r="W154" s="314" t="str">
        <f>IF(U154="","",IF(VLOOKUP(U154,'G-3 Multipliers'!$L$3:$N$6,3,FALSE)=0,"Spatial Data Missing ⚠",VLOOKUP(U154,'G-3 Multipliers'!$L$3:$N$6,3,FALSE)))</f>
        <v/>
      </c>
      <c r="X154" s="290" t="str">
        <f>IFERROR(IF(OR(LEFT(O154,5)="Error",LEFT(N154,5)="Error",T154="Error"),"Check Data ⚠",IF(F154&lt;R154,INDEX('G-6 Hedgerow Data'!$S$3:$AE$14,MATCH(C154,'G-6 Hedgerow Data'!$B$3:$B$14,0),MATCH(M154,'G-6 Hedgerow Data'!$S$2:$AE$2,0)),INDEX('G-6 Hedgerow Data'!$K$3:$Q$14,MATCH(M154,'G-6 Hedgerow Data'!$B$3:$B$14,0),MATCH(O154,'G-6 Hedgerow Data'!$K$2:$Q$2,0)))),"")</f>
        <v/>
      </c>
      <c r="Y154" s="138"/>
      <c r="Z154" s="138"/>
      <c r="AA154" s="298" t="str">
        <f t="shared" si="16"/>
        <v/>
      </c>
      <c r="AB154" s="311" t="str">
        <f t="shared" si="17"/>
        <v/>
      </c>
      <c r="AC154" s="312" t="str">
        <f t="shared" si="14"/>
        <v/>
      </c>
      <c r="AD154" s="325" t="str">
        <f>IF(M154="","",VLOOKUP(M154,'G-6 Hedgerow Data'!$B$3:$AG$15,31,FALSE))</f>
        <v/>
      </c>
      <c r="AE154" s="298" t="str">
        <f t="shared" si="18"/>
        <v/>
      </c>
      <c r="AF154" s="298" t="str">
        <f t="shared" si="19"/>
        <v/>
      </c>
      <c r="AG154" s="314" t="str">
        <f>IFERROR(IF(O154="","",VLOOKUP(AD154,'G-3 Multipliers'!$P$3:$Q$6,2,FALSE)),"")</f>
        <v/>
      </c>
      <c r="AH154" s="304" t="str">
        <f t="shared" si="20"/>
        <v/>
      </c>
      <c r="AI154" s="157"/>
      <c r="AJ154" s="99"/>
      <c r="AK154" s="101"/>
      <c r="AT154" s="15" t="str">
        <f>IFERROR(INDEX('G-6 Hedgerow Data'!$BJ$3:$BJ$15,MATCH(M154,'G-6 Hedgerow Data'!$B$3:$B$15,0)),"")</f>
        <v/>
      </c>
    </row>
    <row r="155" spans="2:46" ht="14" x14ac:dyDescent="0.3">
      <c r="B155" s="319" t="str">
        <f>'B-1 On-Site Hedge Baseline'!AK153</f>
        <v/>
      </c>
      <c r="C155" s="310" t="str">
        <f>IF(B155="","",IF(ISNA(VLOOKUP($B155,'B-1 On-Site Hedge Baseline'!$B$1:$L$257,3,FALSE)),"",(VLOOKUP($B155,'B-1 On-Site Hedge Baseline'!$B$1:$L$257,3,FALSE))))</f>
        <v/>
      </c>
      <c r="D155" s="310" t="str">
        <f>IF(B155="","",IF(ISNA(VLOOKUP($B155,'B-1 On-Site Hedge Baseline'!$B$1:$L$257,4,FALSE)),"",(VLOOKUP($B155,'B-1 On-Site Hedge Baseline'!$B$1:$L$257,4,FALSE))))</f>
        <v/>
      </c>
      <c r="E155" s="310" t="str">
        <f>IF(B155="","",IF(ISNA(VLOOKUP($B155,'B-1 On-Site Hedge Baseline'!$B$1:$L$257,5,FALSE)),"",(VLOOKUP($B155,'B-1 On-Site Hedge Baseline'!$B$1:$L$257,5,FALSE))))</f>
        <v/>
      </c>
      <c r="F155" s="310" t="str">
        <f>IF(B155="","",IF(ISNA(VLOOKUP($B155,'B-1 On-Site Hedge Baseline'!$B$1:$L$257,6,FALSE)),"",(VLOOKUP($B155,'B-1 On-Site Hedge Baseline'!$B$1:$L$257,6,FALSE))))</f>
        <v/>
      </c>
      <c r="G155" s="310" t="str">
        <f>IF(B155="","",IF(ISNA(VLOOKUP($B155,'B-1 On-Site Hedge Baseline'!$B$1:$L$257,7,FALSE)),"",(VLOOKUP($B155,'B-1 On-Site Hedge Baseline'!$B$1:$L$257,7,FALSE))))</f>
        <v/>
      </c>
      <c r="H155" s="310" t="str">
        <f>IF(B155="","",IF(ISNA(VLOOKUP($B155,'B-1 On-Site Hedge Baseline'!$B$1:$L$257,8,FALSE)),"",(VLOOKUP($B155,'B-1 On-Site Hedge Baseline'!$B$1:$L$257,8,FALSE))))</f>
        <v/>
      </c>
      <c r="I155" s="310" t="str">
        <f>IF(B155="","",IF(ISNA(VLOOKUP($B155,'B-1 On-Site Hedge Baseline'!$B$1:$L$257,10,FALSE)),"",(VLOOKUP($B155,'B-1 On-Site Hedge Baseline'!$B$1:$L$257,10,FALSE))))</f>
        <v/>
      </c>
      <c r="J155" s="310" t="str">
        <f>IF(B155="","",IF(ISNA(VLOOKUP($B155,'B-1 On-Site Hedge Baseline'!$B$1:$L$257,11,FALSE)),"",(VLOOKUP($B155,'B-1 On-Site Hedge Baseline'!$B$1:$L$257,11,FALSE))))</f>
        <v/>
      </c>
      <c r="K155" s="310" t="str">
        <f>IF(B155="","",IF(ISNA(VLOOKUP($B155,'B-1 On-Site Hedge Baseline'!$B$1:$U$257,13,FALSE)),"",(VLOOKUP($B155,'B-1 On-Site Hedge Baseline'!$B$1:$U$257,13,FALSE))))</f>
        <v/>
      </c>
      <c r="L155" s="314" t="str">
        <f>IF(B155="","",IF(ISNA(VLOOKUP($B155,'B-1 On-Site Hedge Baseline'!$B$1:$U$257,12,FALSE)),"",(VLOOKUP($B155,'B-1 On-Site Hedge Baseline'!$B$1:$U$257,12,FALSE))))</f>
        <v/>
      </c>
      <c r="M155" s="583"/>
      <c r="N155" s="290" t="str">
        <f>IFERROR(IF(B155="","",INDEX('G-6 Hedgerow Data'!$AN$3:$AZ$15,MATCH(C155,'G-6 Hedgerow Data'!$AM$3:$AM$15,0),MATCH(M155,'G-6 Hedgerow Data'!$AN$2:$AZ$2,0))),"")</f>
        <v/>
      </c>
      <c r="O155" s="291" t="str">
        <f t="shared" si="15"/>
        <v/>
      </c>
      <c r="P155" s="341" t="str">
        <f>IF(B155="","",VLOOKUP(B155,'B-1 On-Site Hedge Baseline'!$B$10:T400,16,FALSE))</f>
        <v/>
      </c>
      <c r="Q155" s="290" t="str">
        <f>IF(M155="","",VLOOKUP(M155,'G-6 Hedgerow Data'!$B$2:$AG$15,2,FALSE))</f>
        <v/>
      </c>
      <c r="R155" s="291" t="str">
        <f>IF(M155="","",VLOOKUP(M155,'G-6 Hedgerow Data'!$B$2:$AG$15,3,FALSE))</f>
        <v/>
      </c>
      <c r="S155" s="106"/>
      <c r="T155" s="328" t="str">
        <f>IFERROR(IF(S155="","",IF(AND(M155="Non-native and ornamental hedgerow", S155&lt;&gt;"Poor"),"Not possible ▲", (VLOOKUP(S155,'G-1 All Habitats'!$Z$2:$AA$9,2,FALSE)))),"")</f>
        <v/>
      </c>
      <c r="U155" s="103"/>
      <c r="V155" s="310" t="str">
        <f>IF(U155="","",IF(VLOOKUP(U155,'G-3 Multipliers'!$L$3:$N$6,2,FALSE)=0,"Spatial Data Missing ⚠",VLOOKUP(U155,'G-3 Multipliers'!$L$3:$N$6,2,FALSE)))</f>
        <v/>
      </c>
      <c r="W155" s="314" t="str">
        <f>IF(U155="","",IF(VLOOKUP(U155,'G-3 Multipliers'!$L$3:$N$6,3,FALSE)=0,"Spatial Data Missing ⚠",VLOOKUP(U155,'G-3 Multipliers'!$L$3:$N$6,3,FALSE)))</f>
        <v/>
      </c>
      <c r="X155" s="290" t="str">
        <f>IFERROR(IF(OR(LEFT(O155,5)="Error",LEFT(N155,5)="Error",T155="Error"),"Check Data ⚠",IF(F155&lt;R155,INDEX('G-6 Hedgerow Data'!$S$3:$AE$14,MATCH(C155,'G-6 Hedgerow Data'!$B$3:$B$14,0),MATCH(M155,'G-6 Hedgerow Data'!$S$2:$AE$2,0)),INDEX('G-6 Hedgerow Data'!$K$3:$Q$14,MATCH(M155,'G-6 Hedgerow Data'!$B$3:$B$14,0),MATCH(O155,'G-6 Hedgerow Data'!$K$2:$Q$2,0)))),"")</f>
        <v/>
      </c>
      <c r="Y155" s="138"/>
      <c r="Z155" s="138"/>
      <c r="AA155" s="298" t="str">
        <f t="shared" si="16"/>
        <v/>
      </c>
      <c r="AB155" s="311" t="str">
        <f t="shared" si="17"/>
        <v/>
      </c>
      <c r="AC155" s="312" t="str">
        <f t="shared" si="14"/>
        <v/>
      </c>
      <c r="AD155" s="325" t="str">
        <f>IF(M155="","",VLOOKUP(M155,'G-6 Hedgerow Data'!$B$3:$AG$15,31,FALSE))</f>
        <v/>
      </c>
      <c r="AE155" s="298" t="str">
        <f t="shared" si="18"/>
        <v/>
      </c>
      <c r="AF155" s="298" t="str">
        <f t="shared" si="19"/>
        <v/>
      </c>
      <c r="AG155" s="314" t="str">
        <f>IFERROR(IF(O155="","",VLOOKUP(AD155,'G-3 Multipliers'!$P$3:$Q$6,2,FALSE)),"")</f>
        <v/>
      </c>
      <c r="AH155" s="304" t="str">
        <f t="shared" si="20"/>
        <v/>
      </c>
      <c r="AI155" s="157"/>
      <c r="AJ155" s="99"/>
      <c r="AK155" s="101"/>
      <c r="AT155" s="15" t="str">
        <f>IFERROR(INDEX('G-6 Hedgerow Data'!$BJ$3:$BJ$15,MATCH(M155,'G-6 Hedgerow Data'!$B$3:$B$15,0)),"")</f>
        <v/>
      </c>
    </row>
    <row r="156" spans="2:46" ht="14" x14ac:dyDescent="0.3">
      <c r="B156" s="319" t="str">
        <f>'B-1 On-Site Hedge Baseline'!AK154</f>
        <v/>
      </c>
      <c r="C156" s="310" t="str">
        <f>IF(B156="","",IF(ISNA(VLOOKUP($B156,'B-1 On-Site Hedge Baseline'!$B$1:$L$257,3,FALSE)),"",(VLOOKUP($B156,'B-1 On-Site Hedge Baseline'!$B$1:$L$257,3,FALSE))))</f>
        <v/>
      </c>
      <c r="D156" s="310" t="str">
        <f>IF(B156="","",IF(ISNA(VLOOKUP($B156,'B-1 On-Site Hedge Baseline'!$B$1:$L$257,4,FALSE)),"",(VLOOKUP($B156,'B-1 On-Site Hedge Baseline'!$B$1:$L$257,4,FALSE))))</f>
        <v/>
      </c>
      <c r="E156" s="310" t="str">
        <f>IF(B156="","",IF(ISNA(VLOOKUP($B156,'B-1 On-Site Hedge Baseline'!$B$1:$L$257,5,FALSE)),"",(VLOOKUP($B156,'B-1 On-Site Hedge Baseline'!$B$1:$L$257,5,FALSE))))</f>
        <v/>
      </c>
      <c r="F156" s="310" t="str">
        <f>IF(B156="","",IF(ISNA(VLOOKUP($B156,'B-1 On-Site Hedge Baseline'!$B$1:$L$257,6,FALSE)),"",(VLOOKUP($B156,'B-1 On-Site Hedge Baseline'!$B$1:$L$257,6,FALSE))))</f>
        <v/>
      </c>
      <c r="G156" s="310" t="str">
        <f>IF(B156="","",IF(ISNA(VLOOKUP($B156,'B-1 On-Site Hedge Baseline'!$B$1:$L$257,7,FALSE)),"",(VLOOKUP($B156,'B-1 On-Site Hedge Baseline'!$B$1:$L$257,7,FALSE))))</f>
        <v/>
      </c>
      <c r="H156" s="310" t="str">
        <f>IF(B156="","",IF(ISNA(VLOOKUP($B156,'B-1 On-Site Hedge Baseline'!$B$1:$L$257,8,FALSE)),"",(VLOOKUP($B156,'B-1 On-Site Hedge Baseline'!$B$1:$L$257,8,FALSE))))</f>
        <v/>
      </c>
      <c r="I156" s="310" t="str">
        <f>IF(B156="","",IF(ISNA(VLOOKUP($B156,'B-1 On-Site Hedge Baseline'!$B$1:$L$257,10,FALSE)),"",(VLOOKUP($B156,'B-1 On-Site Hedge Baseline'!$B$1:$L$257,10,FALSE))))</f>
        <v/>
      </c>
      <c r="J156" s="310" t="str">
        <f>IF(B156="","",IF(ISNA(VLOOKUP($B156,'B-1 On-Site Hedge Baseline'!$B$1:$L$257,11,FALSE)),"",(VLOOKUP($B156,'B-1 On-Site Hedge Baseline'!$B$1:$L$257,11,FALSE))))</f>
        <v/>
      </c>
      <c r="K156" s="310" t="str">
        <f>IF(B156="","",IF(ISNA(VLOOKUP($B156,'B-1 On-Site Hedge Baseline'!$B$1:$U$257,13,FALSE)),"",(VLOOKUP($B156,'B-1 On-Site Hedge Baseline'!$B$1:$U$257,13,FALSE))))</f>
        <v/>
      </c>
      <c r="L156" s="314" t="str">
        <f>IF(B156="","",IF(ISNA(VLOOKUP($B156,'B-1 On-Site Hedge Baseline'!$B$1:$U$257,12,FALSE)),"",(VLOOKUP($B156,'B-1 On-Site Hedge Baseline'!$B$1:$U$257,12,FALSE))))</f>
        <v/>
      </c>
      <c r="M156" s="583"/>
      <c r="N156" s="290" t="str">
        <f>IFERROR(IF(B156="","",INDEX('G-6 Hedgerow Data'!$AN$3:$AZ$15,MATCH(C156,'G-6 Hedgerow Data'!$AM$3:$AM$15,0),MATCH(M156,'G-6 Hedgerow Data'!$AN$2:$AZ$2,0))),"")</f>
        <v/>
      </c>
      <c r="O156" s="291" t="str">
        <f t="shared" si="15"/>
        <v/>
      </c>
      <c r="P156" s="341" t="str">
        <f>IF(B156="","",VLOOKUP(B156,'B-1 On-Site Hedge Baseline'!$B$10:T401,16,FALSE))</f>
        <v/>
      </c>
      <c r="Q156" s="290" t="str">
        <f>IF(M156="","",VLOOKUP(M156,'G-6 Hedgerow Data'!$B$2:$AG$15,2,FALSE))</f>
        <v/>
      </c>
      <c r="R156" s="291" t="str">
        <f>IF(M156="","",VLOOKUP(M156,'G-6 Hedgerow Data'!$B$2:$AG$15,3,FALSE))</f>
        <v/>
      </c>
      <c r="S156" s="106"/>
      <c r="T156" s="328" t="str">
        <f>IFERROR(IF(S156="","",IF(AND(M156="Non-native and ornamental hedgerow", S156&lt;&gt;"Poor"),"Not possible ▲", (VLOOKUP(S156,'G-1 All Habitats'!$Z$2:$AA$9,2,FALSE)))),"")</f>
        <v/>
      </c>
      <c r="U156" s="103"/>
      <c r="V156" s="310" t="str">
        <f>IF(U156="","",IF(VLOOKUP(U156,'G-3 Multipliers'!$L$3:$N$6,2,FALSE)=0,"Spatial Data Missing ⚠",VLOOKUP(U156,'G-3 Multipliers'!$L$3:$N$6,2,FALSE)))</f>
        <v/>
      </c>
      <c r="W156" s="314" t="str">
        <f>IF(U156="","",IF(VLOOKUP(U156,'G-3 Multipliers'!$L$3:$N$6,3,FALSE)=0,"Spatial Data Missing ⚠",VLOOKUP(U156,'G-3 Multipliers'!$L$3:$N$6,3,FALSE)))</f>
        <v/>
      </c>
      <c r="X156" s="290" t="str">
        <f>IFERROR(IF(OR(LEFT(O156,5)="Error",LEFT(N156,5)="Error",T156="Error"),"Check Data ⚠",IF(F156&lt;R156,INDEX('G-6 Hedgerow Data'!$S$3:$AE$14,MATCH(C156,'G-6 Hedgerow Data'!$B$3:$B$14,0),MATCH(M156,'G-6 Hedgerow Data'!$S$2:$AE$2,0)),INDEX('G-6 Hedgerow Data'!$K$3:$Q$14,MATCH(M156,'G-6 Hedgerow Data'!$B$3:$B$14,0),MATCH(O156,'G-6 Hedgerow Data'!$K$2:$Q$2,0)))),"")</f>
        <v/>
      </c>
      <c r="Y156" s="138"/>
      <c r="Z156" s="138"/>
      <c r="AA156" s="298" t="str">
        <f t="shared" si="16"/>
        <v/>
      </c>
      <c r="AB156" s="311" t="str">
        <f t="shared" si="17"/>
        <v/>
      </c>
      <c r="AC156" s="312" t="str">
        <f t="shared" si="14"/>
        <v/>
      </c>
      <c r="AD156" s="325" t="str">
        <f>IF(M156="","",VLOOKUP(M156,'G-6 Hedgerow Data'!$B$3:$AG$15,31,FALSE))</f>
        <v/>
      </c>
      <c r="AE156" s="298" t="str">
        <f t="shared" si="18"/>
        <v/>
      </c>
      <c r="AF156" s="298" t="str">
        <f t="shared" si="19"/>
        <v/>
      </c>
      <c r="AG156" s="314" t="str">
        <f>IFERROR(IF(O156="","",VLOOKUP(AD156,'G-3 Multipliers'!$P$3:$Q$6,2,FALSE)),"")</f>
        <v/>
      </c>
      <c r="AH156" s="304" t="str">
        <f t="shared" si="20"/>
        <v/>
      </c>
      <c r="AI156" s="157"/>
      <c r="AJ156" s="99"/>
      <c r="AK156" s="101"/>
      <c r="AT156" s="15" t="str">
        <f>IFERROR(INDEX('G-6 Hedgerow Data'!$BJ$3:$BJ$15,MATCH(M156,'G-6 Hedgerow Data'!$B$3:$B$15,0)),"")</f>
        <v/>
      </c>
    </row>
    <row r="157" spans="2:46" ht="14" x14ac:dyDescent="0.3">
      <c r="B157" s="319" t="str">
        <f>'B-1 On-Site Hedge Baseline'!AK155</f>
        <v/>
      </c>
      <c r="C157" s="310" t="str">
        <f>IF(B157="","",IF(ISNA(VLOOKUP($B157,'B-1 On-Site Hedge Baseline'!$B$1:$L$257,3,FALSE)),"",(VLOOKUP($B157,'B-1 On-Site Hedge Baseline'!$B$1:$L$257,3,FALSE))))</f>
        <v/>
      </c>
      <c r="D157" s="310" t="str">
        <f>IF(B157="","",IF(ISNA(VLOOKUP($B157,'B-1 On-Site Hedge Baseline'!$B$1:$L$257,4,FALSE)),"",(VLOOKUP($B157,'B-1 On-Site Hedge Baseline'!$B$1:$L$257,4,FALSE))))</f>
        <v/>
      </c>
      <c r="E157" s="310" t="str">
        <f>IF(B157="","",IF(ISNA(VLOOKUP($B157,'B-1 On-Site Hedge Baseline'!$B$1:$L$257,5,FALSE)),"",(VLOOKUP($B157,'B-1 On-Site Hedge Baseline'!$B$1:$L$257,5,FALSE))))</f>
        <v/>
      </c>
      <c r="F157" s="310" t="str">
        <f>IF(B157="","",IF(ISNA(VLOOKUP($B157,'B-1 On-Site Hedge Baseline'!$B$1:$L$257,6,FALSE)),"",(VLOOKUP($B157,'B-1 On-Site Hedge Baseline'!$B$1:$L$257,6,FALSE))))</f>
        <v/>
      </c>
      <c r="G157" s="310" t="str">
        <f>IF(B157="","",IF(ISNA(VLOOKUP($B157,'B-1 On-Site Hedge Baseline'!$B$1:$L$257,7,FALSE)),"",(VLOOKUP($B157,'B-1 On-Site Hedge Baseline'!$B$1:$L$257,7,FALSE))))</f>
        <v/>
      </c>
      <c r="H157" s="310" t="str">
        <f>IF(B157="","",IF(ISNA(VLOOKUP($B157,'B-1 On-Site Hedge Baseline'!$B$1:$L$257,8,FALSE)),"",(VLOOKUP($B157,'B-1 On-Site Hedge Baseline'!$B$1:$L$257,8,FALSE))))</f>
        <v/>
      </c>
      <c r="I157" s="310" t="str">
        <f>IF(B157="","",IF(ISNA(VLOOKUP($B157,'B-1 On-Site Hedge Baseline'!$B$1:$L$257,10,FALSE)),"",(VLOOKUP($B157,'B-1 On-Site Hedge Baseline'!$B$1:$L$257,10,FALSE))))</f>
        <v/>
      </c>
      <c r="J157" s="310" t="str">
        <f>IF(B157="","",IF(ISNA(VLOOKUP($B157,'B-1 On-Site Hedge Baseline'!$B$1:$L$257,11,FALSE)),"",(VLOOKUP($B157,'B-1 On-Site Hedge Baseline'!$B$1:$L$257,11,FALSE))))</f>
        <v/>
      </c>
      <c r="K157" s="310" t="str">
        <f>IF(B157="","",IF(ISNA(VLOOKUP($B157,'B-1 On-Site Hedge Baseline'!$B$1:$U$257,13,FALSE)),"",(VLOOKUP($B157,'B-1 On-Site Hedge Baseline'!$B$1:$U$257,13,FALSE))))</f>
        <v/>
      </c>
      <c r="L157" s="314" t="str">
        <f>IF(B157="","",IF(ISNA(VLOOKUP($B157,'B-1 On-Site Hedge Baseline'!$B$1:$U$257,12,FALSE)),"",(VLOOKUP($B157,'B-1 On-Site Hedge Baseline'!$B$1:$U$257,12,FALSE))))</f>
        <v/>
      </c>
      <c r="M157" s="583"/>
      <c r="N157" s="290" t="str">
        <f>IFERROR(IF(B157="","",INDEX('G-6 Hedgerow Data'!$AN$3:$AZ$15,MATCH(C157,'G-6 Hedgerow Data'!$AM$3:$AM$15,0),MATCH(M157,'G-6 Hedgerow Data'!$AN$2:$AZ$2,0))),"")</f>
        <v/>
      </c>
      <c r="O157" s="291" t="str">
        <f t="shared" si="15"/>
        <v/>
      </c>
      <c r="P157" s="341" t="str">
        <f>IF(B157="","",VLOOKUP(B157,'B-1 On-Site Hedge Baseline'!$B$10:T402,16,FALSE))</f>
        <v/>
      </c>
      <c r="Q157" s="290" t="str">
        <f>IF(M157="","",VLOOKUP(M157,'G-6 Hedgerow Data'!$B$2:$AG$15,2,FALSE))</f>
        <v/>
      </c>
      <c r="R157" s="291" t="str">
        <f>IF(M157="","",VLOOKUP(M157,'G-6 Hedgerow Data'!$B$2:$AG$15,3,FALSE))</f>
        <v/>
      </c>
      <c r="S157" s="106"/>
      <c r="T157" s="328" t="str">
        <f>IFERROR(IF(S157="","",IF(AND(M157="Non-native and ornamental hedgerow", S157&lt;&gt;"Poor"),"Not possible ▲", (VLOOKUP(S157,'G-1 All Habitats'!$Z$2:$AA$9,2,FALSE)))),"")</f>
        <v/>
      </c>
      <c r="U157" s="103"/>
      <c r="V157" s="310" t="str">
        <f>IF(U157="","",IF(VLOOKUP(U157,'G-3 Multipliers'!$L$3:$N$6,2,FALSE)=0,"Spatial Data Missing ⚠",VLOOKUP(U157,'G-3 Multipliers'!$L$3:$N$6,2,FALSE)))</f>
        <v/>
      </c>
      <c r="W157" s="314" t="str">
        <f>IF(U157="","",IF(VLOOKUP(U157,'G-3 Multipliers'!$L$3:$N$6,3,FALSE)=0,"Spatial Data Missing ⚠",VLOOKUP(U157,'G-3 Multipliers'!$L$3:$N$6,3,FALSE)))</f>
        <v/>
      </c>
      <c r="X157" s="290" t="str">
        <f>IFERROR(IF(OR(LEFT(O157,5)="Error",LEFT(N157,5)="Error",T157="Error"),"Check Data ⚠",IF(F157&lt;R157,INDEX('G-6 Hedgerow Data'!$S$3:$AE$14,MATCH(C157,'G-6 Hedgerow Data'!$B$3:$B$14,0),MATCH(M157,'G-6 Hedgerow Data'!$S$2:$AE$2,0)),INDEX('G-6 Hedgerow Data'!$K$3:$Q$14,MATCH(M157,'G-6 Hedgerow Data'!$B$3:$B$14,0),MATCH(O157,'G-6 Hedgerow Data'!$K$2:$Q$2,0)))),"")</f>
        <v/>
      </c>
      <c r="Y157" s="138"/>
      <c r="Z157" s="138"/>
      <c r="AA157" s="298" t="str">
        <f t="shared" si="16"/>
        <v/>
      </c>
      <c r="AB157" s="311" t="str">
        <f t="shared" si="17"/>
        <v/>
      </c>
      <c r="AC157" s="312" t="str">
        <f t="shared" si="14"/>
        <v/>
      </c>
      <c r="AD157" s="325" t="str">
        <f>IF(M157="","",VLOOKUP(M157,'G-6 Hedgerow Data'!$B$3:$AG$15,31,FALSE))</f>
        <v/>
      </c>
      <c r="AE157" s="298" t="str">
        <f t="shared" si="18"/>
        <v/>
      </c>
      <c r="AF157" s="298" t="str">
        <f t="shared" si="19"/>
        <v/>
      </c>
      <c r="AG157" s="314" t="str">
        <f>IFERROR(IF(O157="","",VLOOKUP(AD157,'G-3 Multipliers'!$P$3:$Q$6,2,FALSE)),"")</f>
        <v/>
      </c>
      <c r="AH157" s="304" t="str">
        <f t="shared" si="20"/>
        <v/>
      </c>
      <c r="AI157" s="157"/>
      <c r="AJ157" s="99"/>
      <c r="AK157" s="101"/>
      <c r="AT157" s="15" t="str">
        <f>IFERROR(INDEX('G-6 Hedgerow Data'!$BJ$3:$BJ$15,MATCH(M157,'G-6 Hedgerow Data'!$B$3:$B$15,0)),"")</f>
        <v/>
      </c>
    </row>
    <row r="158" spans="2:46" ht="14" x14ac:dyDescent="0.3">
      <c r="B158" s="319" t="str">
        <f>'B-1 On-Site Hedge Baseline'!AK156</f>
        <v/>
      </c>
      <c r="C158" s="310" t="str">
        <f>IF(B158="","",IF(ISNA(VLOOKUP($B158,'B-1 On-Site Hedge Baseline'!$B$1:$L$257,3,FALSE)),"",(VLOOKUP($B158,'B-1 On-Site Hedge Baseline'!$B$1:$L$257,3,FALSE))))</f>
        <v/>
      </c>
      <c r="D158" s="310" t="str">
        <f>IF(B158="","",IF(ISNA(VLOOKUP($B158,'B-1 On-Site Hedge Baseline'!$B$1:$L$257,4,FALSE)),"",(VLOOKUP($B158,'B-1 On-Site Hedge Baseline'!$B$1:$L$257,4,FALSE))))</f>
        <v/>
      </c>
      <c r="E158" s="310" t="str">
        <f>IF(B158="","",IF(ISNA(VLOOKUP($B158,'B-1 On-Site Hedge Baseline'!$B$1:$L$257,5,FALSE)),"",(VLOOKUP($B158,'B-1 On-Site Hedge Baseline'!$B$1:$L$257,5,FALSE))))</f>
        <v/>
      </c>
      <c r="F158" s="310" t="str">
        <f>IF(B158="","",IF(ISNA(VLOOKUP($B158,'B-1 On-Site Hedge Baseline'!$B$1:$L$257,6,FALSE)),"",(VLOOKUP($B158,'B-1 On-Site Hedge Baseline'!$B$1:$L$257,6,FALSE))))</f>
        <v/>
      </c>
      <c r="G158" s="310" t="str">
        <f>IF(B158="","",IF(ISNA(VLOOKUP($B158,'B-1 On-Site Hedge Baseline'!$B$1:$L$257,7,FALSE)),"",(VLOOKUP($B158,'B-1 On-Site Hedge Baseline'!$B$1:$L$257,7,FALSE))))</f>
        <v/>
      </c>
      <c r="H158" s="310" t="str">
        <f>IF(B158="","",IF(ISNA(VLOOKUP($B158,'B-1 On-Site Hedge Baseline'!$B$1:$L$257,8,FALSE)),"",(VLOOKUP($B158,'B-1 On-Site Hedge Baseline'!$B$1:$L$257,8,FALSE))))</f>
        <v/>
      </c>
      <c r="I158" s="310" t="str">
        <f>IF(B158="","",IF(ISNA(VLOOKUP($B158,'B-1 On-Site Hedge Baseline'!$B$1:$L$257,10,FALSE)),"",(VLOOKUP($B158,'B-1 On-Site Hedge Baseline'!$B$1:$L$257,10,FALSE))))</f>
        <v/>
      </c>
      <c r="J158" s="310" t="str">
        <f>IF(B158="","",IF(ISNA(VLOOKUP($B158,'B-1 On-Site Hedge Baseline'!$B$1:$L$257,11,FALSE)),"",(VLOOKUP($B158,'B-1 On-Site Hedge Baseline'!$B$1:$L$257,11,FALSE))))</f>
        <v/>
      </c>
      <c r="K158" s="310" t="str">
        <f>IF(B158="","",IF(ISNA(VLOOKUP($B158,'B-1 On-Site Hedge Baseline'!$B$1:$U$257,13,FALSE)),"",(VLOOKUP($B158,'B-1 On-Site Hedge Baseline'!$B$1:$U$257,13,FALSE))))</f>
        <v/>
      </c>
      <c r="L158" s="314" t="str">
        <f>IF(B158="","",IF(ISNA(VLOOKUP($B158,'B-1 On-Site Hedge Baseline'!$B$1:$U$257,12,FALSE)),"",(VLOOKUP($B158,'B-1 On-Site Hedge Baseline'!$B$1:$U$257,12,FALSE))))</f>
        <v/>
      </c>
      <c r="M158" s="583"/>
      <c r="N158" s="290" t="str">
        <f>IFERROR(IF(B158="","",INDEX('G-6 Hedgerow Data'!$AN$3:$AZ$15,MATCH(C158,'G-6 Hedgerow Data'!$AM$3:$AM$15,0),MATCH(M158,'G-6 Hedgerow Data'!$AN$2:$AZ$2,0))),"")</f>
        <v/>
      </c>
      <c r="O158" s="291" t="str">
        <f t="shared" si="15"/>
        <v/>
      </c>
      <c r="P158" s="341" t="str">
        <f>IF(B158="","",VLOOKUP(B158,'B-1 On-Site Hedge Baseline'!$B$10:T403,16,FALSE))</f>
        <v/>
      </c>
      <c r="Q158" s="290" t="str">
        <f>IF(M158="","",VLOOKUP(M158,'G-6 Hedgerow Data'!$B$2:$AG$15,2,FALSE))</f>
        <v/>
      </c>
      <c r="R158" s="291" t="str">
        <f>IF(M158="","",VLOOKUP(M158,'G-6 Hedgerow Data'!$B$2:$AG$15,3,FALSE))</f>
        <v/>
      </c>
      <c r="S158" s="106"/>
      <c r="T158" s="328" t="str">
        <f>IFERROR(IF(S158="","",IF(AND(M158="Non-native and ornamental hedgerow", S158&lt;&gt;"Poor"),"Not possible ▲", (VLOOKUP(S158,'G-1 All Habitats'!$Z$2:$AA$9,2,FALSE)))),"")</f>
        <v/>
      </c>
      <c r="U158" s="103"/>
      <c r="V158" s="310" t="str">
        <f>IF(U158="","",IF(VLOOKUP(U158,'G-3 Multipliers'!$L$3:$N$6,2,FALSE)=0,"Spatial Data Missing ⚠",VLOOKUP(U158,'G-3 Multipliers'!$L$3:$N$6,2,FALSE)))</f>
        <v/>
      </c>
      <c r="W158" s="314" t="str">
        <f>IF(U158="","",IF(VLOOKUP(U158,'G-3 Multipliers'!$L$3:$N$6,3,FALSE)=0,"Spatial Data Missing ⚠",VLOOKUP(U158,'G-3 Multipliers'!$L$3:$N$6,3,FALSE)))</f>
        <v/>
      </c>
      <c r="X158" s="290" t="str">
        <f>IFERROR(IF(OR(LEFT(O158,5)="Error",LEFT(N158,5)="Error",T158="Error"),"Check Data ⚠",IF(F158&lt;R158,INDEX('G-6 Hedgerow Data'!$S$3:$AE$14,MATCH(C158,'G-6 Hedgerow Data'!$B$3:$B$14,0),MATCH(M158,'G-6 Hedgerow Data'!$S$2:$AE$2,0)),INDEX('G-6 Hedgerow Data'!$K$3:$Q$14,MATCH(M158,'G-6 Hedgerow Data'!$B$3:$B$14,0),MATCH(O158,'G-6 Hedgerow Data'!$K$2:$Q$2,0)))),"")</f>
        <v/>
      </c>
      <c r="Y158" s="138"/>
      <c r="Z158" s="138"/>
      <c r="AA158" s="298" t="str">
        <f t="shared" si="16"/>
        <v/>
      </c>
      <c r="AB158" s="311" t="str">
        <f t="shared" si="17"/>
        <v/>
      </c>
      <c r="AC158" s="312" t="str">
        <f t="shared" si="14"/>
        <v/>
      </c>
      <c r="AD158" s="325" t="str">
        <f>IF(M158="","",VLOOKUP(M158,'G-6 Hedgerow Data'!$B$3:$AG$15,31,FALSE))</f>
        <v/>
      </c>
      <c r="AE158" s="298" t="str">
        <f t="shared" si="18"/>
        <v/>
      </c>
      <c r="AF158" s="298" t="str">
        <f t="shared" si="19"/>
        <v/>
      </c>
      <c r="AG158" s="314" t="str">
        <f>IFERROR(IF(O158="","",VLOOKUP(AD158,'G-3 Multipliers'!$P$3:$Q$6,2,FALSE)),"")</f>
        <v/>
      </c>
      <c r="AH158" s="304" t="str">
        <f t="shared" si="20"/>
        <v/>
      </c>
      <c r="AI158" s="157"/>
      <c r="AJ158" s="99"/>
      <c r="AK158" s="101"/>
      <c r="AT158" s="15" t="str">
        <f>IFERROR(INDEX('G-6 Hedgerow Data'!$BJ$3:$BJ$15,MATCH(M158,'G-6 Hedgerow Data'!$B$3:$B$15,0)),"")</f>
        <v/>
      </c>
    </row>
    <row r="159" spans="2:46" ht="14" x14ac:dyDescent="0.3">
      <c r="B159" s="319" t="str">
        <f>'B-1 On-Site Hedge Baseline'!AK157</f>
        <v/>
      </c>
      <c r="C159" s="310" t="str">
        <f>IF(B159="","",IF(ISNA(VLOOKUP($B159,'B-1 On-Site Hedge Baseline'!$B$1:$L$257,3,FALSE)),"",(VLOOKUP($B159,'B-1 On-Site Hedge Baseline'!$B$1:$L$257,3,FALSE))))</f>
        <v/>
      </c>
      <c r="D159" s="310" t="str">
        <f>IF(B159="","",IF(ISNA(VLOOKUP($B159,'B-1 On-Site Hedge Baseline'!$B$1:$L$257,4,FALSE)),"",(VLOOKUP($B159,'B-1 On-Site Hedge Baseline'!$B$1:$L$257,4,FALSE))))</f>
        <v/>
      </c>
      <c r="E159" s="310" t="str">
        <f>IF(B159="","",IF(ISNA(VLOOKUP($B159,'B-1 On-Site Hedge Baseline'!$B$1:$L$257,5,FALSE)),"",(VLOOKUP($B159,'B-1 On-Site Hedge Baseline'!$B$1:$L$257,5,FALSE))))</f>
        <v/>
      </c>
      <c r="F159" s="310" t="str">
        <f>IF(B159="","",IF(ISNA(VLOOKUP($B159,'B-1 On-Site Hedge Baseline'!$B$1:$L$257,6,FALSE)),"",(VLOOKUP($B159,'B-1 On-Site Hedge Baseline'!$B$1:$L$257,6,FALSE))))</f>
        <v/>
      </c>
      <c r="G159" s="310" t="str">
        <f>IF(B159="","",IF(ISNA(VLOOKUP($B159,'B-1 On-Site Hedge Baseline'!$B$1:$L$257,7,FALSE)),"",(VLOOKUP($B159,'B-1 On-Site Hedge Baseline'!$B$1:$L$257,7,FALSE))))</f>
        <v/>
      </c>
      <c r="H159" s="310" t="str">
        <f>IF(B159="","",IF(ISNA(VLOOKUP($B159,'B-1 On-Site Hedge Baseline'!$B$1:$L$257,8,FALSE)),"",(VLOOKUP($B159,'B-1 On-Site Hedge Baseline'!$B$1:$L$257,8,FALSE))))</f>
        <v/>
      </c>
      <c r="I159" s="310" t="str">
        <f>IF(B159="","",IF(ISNA(VLOOKUP($B159,'B-1 On-Site Hedge Baseline'!$B$1:$L$257,10,FALSE)),"",(VLOOKUP($B159,'B-1 On-Site Hedge Baseline'!$B$1:$L$257,10,FALSE))))</f>
        <v/>
      </c>
      <c r="J159" s="310" t="str">
        <f>IF(B159="","",IF(ISNA(VLOOKUP($B159,'B-1 On-Site Hedge Baseline'!$B$1:$L$257,11,FALSE)),"",(VLOOKUP($B159,'B-1 On-Site Hedge Baseline'!$B$1:$L$257,11,FALSE))))</f>
        <v/>
      </c>
      <c r="K159" s="310" t="str">
        <f>IF(B159="","",IF(ISNA(VLOOKUP($B159,'B-1 On-Site Hedge Baseline'!$B$1:$U$257,13,FALSE)),"",(VLOOKUP($B159,'B-1 On-Site Hedge Baseline'!$B$1:$U$257,13,FALSE))))</f>
        <v/>
      </c>
      <c r="L159" s="314" t="str">
        <f>IF(B159="","",IF(ISNA(VLOOKUP($B159,'B-1 On-Site Hedge Baseline'!$B$1:$U$257,12,FALSE)),"",(VLOOKUP($B159,'B-1 On-Site Hedge Baseline'!$B$1:$U$257,12,FALSE))))</f>
        <v/>
      </c>
      <c r="M159" s="583"/>
      <c r="N159" s="290" t="str">
        <f>IFERROR(IF(B159="","",INDEX('G-6 Hedgerow Data'!$AN$3:$AZ$15,MATCH(C159,'G-6 Hedgerow Data'!$AM$3:$AM$15,0),MATCH(M159,'G-6 Hedgerow Data'!$AN$2:$AZ$2,0))),"")</f>
        <v/>
      </c>
      <c r="O159" s="291" t="str">
        <f t="shared" si="15"/>
        <v/>
      </c>
      <c r="P159" s="341" t="str">
        <f>IF(B159="","",VLOOKUP(B159,'B-1 On-Site Hedge Baseline'!$B$10:T404,16,FALSE))</f>
        <v/>
      </c>
      <c r="Q159" s="290" t="str">
        <f>IF(M159="","",VLOOKUP(M159,'G-6 Hedgerow Data'!$B$2:$AG$15,2,FALSE))</f>
        <v/>
      </c>
      <c r="R159" s="291" t="str">
        <f>IF(M159="","",VLOOKUP(M159,'G-6 Hedgerow Data'!$B$2:$AG$15,3,FALSE))</f>
        <v/>
      </c>
      <c r="S159" s="106"/>
      <c r="T159" s="328" t="str">
        <f>IFERROR(IF(S159="","",IF(AND(M159="Non-native and ornamental hedgerow", S159&lt;&gt;"Poor"),"Not possible ▲", (VLOOKUP(S159,'G-1 All Habitats'!$Z$2:$AA$9,2,FALSE)))),"")</f>
        <v/>
      </c>
      <c r="U159" s="103"/>
      <c r="V159" s="310" t="str">
        <f>IF(U159="","",IF(VLOOKUP(U159,'G-3 Multipliers'!$L$3:$N$6,2,FALSE)=0,"Spatial Data Missing ⚠",VLOOKUP(U159,'G-3 Multipliers'!$L$3:$N$6,2,FALSE)))</f>
        <v/>
      </c>
      <c r="W159" s="314" t="str">
        <f>IF(U159="","",IF(VLOOKUP(U159,'G-3 Multipliers'!$L$3:$N$6,3,FALSE)=0,"Spatial Data Missing ⚠",VLOOKUP(U159,'G-3 Multipliers'!$L$3:$N$6,3,FALSE)))</f>
        <v/>
      </c>
      <c r="X159" s="290" t="str">
        <f>IFERROR(IF(OR(LEFT(O159,5)="Error",LEFT(N159,5)="Error",T159="Error"),"Check Data ⚠",IF(F159&lt;R159,INDEX('G-6 Hedgerow Data'!$S$3:$AE$14,MATCH(C159,'G-6 Hedgerow Data'!$B$3:$B$14,0),MATCH(M159,'G-6 Hedgerow Data'!$S$2:$AE$2,0)),INDEX('G-6 Hedgerow Data'!$K$3:$Q$14,MATCH(M159,'G-6 Hedgerow Data'!$B$3:$B$14,0),MATCH(O159,'G-6 Hedgerow Data'!$K$2:$Q$2,0)))),"")</f>
        <v/>
      </c>
      <c r="Y159" s="138"/>
      <c r="Z159" s="138"/>
      <c r="AA159" s="298" t="str">
        <f t="shared" si="16"/>
        <v/>
      </c>
      <c r="AB159" s="311" t="str">
        <f t="shared" si="17"/>
        <v/>
      </c>
      <c r="AC159" s="312" t="str">
        <f t="shared" si="14"/>
        <v/>
      </c>
      <c r="AD159" s="325" t="str">
        <f>IF(M159="","",VLOOKUP(M159,'G-6 Hedgerow Data'!$B$3:$AG$15,31,FALSE))</f>
        <v/>
      </c>
      <c r="AE159" s="298" t="str">
        <f t="shared" si="18"/>
        <v/>
      </c>
      <c r="AF159" s="298" t="str">
        <f t="shared" si="19"/>
        <v/>
      </c>
      <c r="AG159" s="314" t="str">
        <f>IFERROR(IF(O159="","",VLOOKUP(AD159,'G-3 Multipliers'!$P$3:$Q$6,2,FALSE)),"")</f>
        <v/>
      </c>
      <c r="AH159" s="304" t="str">
        <f t="shared" si="20"/>
        <v/>
      </c>
      <c r="AI159" s="157"/>
      <c r="AJ159" s="99"/>
      <c r="AK159" s="101"/>
      <c r="AT159" s="15" t="str">
        <f>IFERROR(INDEX('G-6 Hedgerow Data'!$BJ$3:$BJ$15,MATCH(M159,'G-6 Hedgerow Data'!$B$3:$B$15,0)),"")</f>
        <v/>
      </c>
    </row>
    <row r="160" spans="2:46" ht="14" x14ac:dyDescent="0.3">
      <c r="B160" s="319" t="str">
        <f>'B-1 On-Site Hedge Baseline'!AK158</f>
        <v/>
      </c>
      <c r="C160" s="310" t="str">
        <f>IF(B160="","",IF(ISNA(VLOOKUP($B160,'B-1 On-Site Hedge Baseline'!$B$1:$L$257,3,FALSE)),"",(VLOOKUP($B160,'B-1 On-Site Hedge Baseline'!$B$1:$L$257,3,FALSE))))</f>
        <v/>
      </c>
      <c r="D160" s="310" t="str">
        <f>IF(B160="","",IF(ISNA(VLOOKUP($B160,'B-1 On-Site Hedge Baseline'!$B$1:$L$257,4,FALSE)),"",(VLOOKUP($B160,'B-1 On-Site Hedge Baseline'!$B$1:$L$257,4,FALSE))))</f>
        <v/>
      </c>
      <c r="E160" s="310" t="str">
        <f>IF(B160="","",IF(ISNA(VLOOKUP($B160,'B-1 On-Site Hedge Baseline'!$B$1:$L$257,5,FALSE)),"",(VLOOKUP($B160,'B-1 On-Site Hedge Baseline'!$B$1:$L$257,5,FALSE))))</f>
        <v/>
      </c>
      <c r="F160" s="310" t="str">
        <f>IF(B160="","",IF(ISNA(VLOOKUP($B160,'B-1 On-Site Hedge Baseline'!$B$1:$L$257,6,FALSE)),"",(VLOOKUP($B160,'B-1 On-Site Hedge Baseline'!$B$1:$L$257,6,FALSE))))</f>
        <v/>
      </c>
      <c r="G160" s="310" t="str">
        <f>IF(B160="","",IF(ISNA(VLOOKUP($B160,'B-1 On-Site Hedge Baseline'!$B$1:$L$257,7,FALSE)),"",(VLOOKUP($B160,'B-1 On-Site Hedge Baseline'!$B$1:$L$257,7,FALSE))))</f>
        <v/>
      </c>
      <c r="H160" s="310" t="str">
        <f>IF(B160="","",IF(ISNA(VLOOKUP($B160,'B-1 On-Site Hedge Baseline'!$B$1:$L$257,8,FALSE)),"",(VLOOKUP($B160,'B-1 On-Site Hedge Baseline'!$B$1:$L$257,8,FALSE))))</f>
        <v/>
      </c>
      <c r="I160" s="310" t="str">
        <f>IF(B160="","",IF(ISNA(VLOOKUP($B160,'B-1 On-Site Hedge Baseline'!$B$1:$L$257,10,FALSE)),"",(VLOOKUP($B160,'B-1 On-Site Hedge Baseline'!$B$1:$L$257,10,FALSE))))</f>
        <v/>
      </c>
      <c r="J160" s="310" t="str">
        <f>IF(B160="","",IF(ISNA(VLOOKUP($B160,'B-1 On-Site Hedge Baseline'!$B$1:$L$257,11,FALSE)),"",(VLOOKUP($B160,'B-1 On-Site Hedge Baseline'!$B$1:$L$257,11,FALSE))))</f>
        <v/>
      </c>
      <c r="K160" s="310" t="str">
        <f>IF(B160="","",IF(ISNA(VLOOKUP($B160,'B-1 On-Site Hedge Baseline'!$B$1:$U$257,13,FALSE)),"",(VLOOKUP($B160,'B-1 On-Site Hedge Baseline'!$B$1:$U$257,13,FALSE))))</f>
        <v/>
      </c>
      <c r="L160" s="314" t="str">
        <f>IF(B160="","",IF(ISNA(VLOOKUP($B160,'B-1 On-Site Hedge Baseline'!$B$1:$U$257,12,FALSE)),"",(VLOOKUP($B160,'B-1 On-Site Hedge Baseline'!$B$1:$U$257,12,FALSE))))</f>
        <v/>
      </c>
      <c r="M160" s="583"/>
      <c r="N160" s="290" t="str">
        <f>IFERROR(IF(B160="","",INDEX('G-6 Hedgerow Data'!$AN$3:$AZ$15,MATCH(C160,'G-6 Hedgerow Data'!$AM$3:$AM$15,0),MATCH(M160,'G-6 Hedgerow Data'!$AN$2:$AZ$2,0))),"")</f>
        <v/>
      </c>
      <c r="O160" s="291" t="str">
        <f t="shared" si="15"/>
        <v/>
      </c>
      <c r="P160" s="341" t="str">
        <f>IF(B160="","",VLOOKUP(B160,'B-1 On-Site Hedge Baseline'!$B$10:T405,16,FALSE))</f>
        <v/>
      </c>
      <c r="Q160" s="290" t="str">
        <f>IF(M160="","",VLOOKUP(M160,'G-6 Hedgerow Data'!$B$2:$AG$15,2,FALSE))</f>
        <v/>
      </c>
      <c r="R160" s="291" t="str">
        <f>IF(M160="","",VLOOKUP(M160,'G-6 Hedgerow Data'!$B$2:$AG$15,3,FALSE))</f>
        <v/>
      </c>
      <c r="S160" s="106"/>
      <c r="T160" s="328" t="str">
        <f>IFERROR(IF(S160="","",IF(AND(M160="Non-native and ornamental hedgerow", S160&lt;&gt;"Poor"),"Not possible ▲", (VLOOKUP(S160,'G-1 All Habitats'!$Z$2:$AA$9,2,FALSE)))),"")</f>
        <v/>
      </c>
      <c r="U160" s="103"/>
      <c r="V160" s="310" t="str">
        <f>IF(U160="","",IF(VLOOKUP(U160,'G-3 Multipliers'!$L$3:$N$6,2,FALSE)=0,"Spatial Data Missing ⚠",VLOOKUP(U160,'G-3 Multipliers'!$L$3:$N$6,2,FALSE)))</f>
        <v/>
      </c>
      <c r="W160" s="314" t="str">
        <f>IF(U160="","",IF(VLOOKUP(U160,'G-3 Multipliers'!$L$3:$N$6,3,FALSE)=0,"Spatial Data Missing ⚠",VLOOKUP(U160,'G-3 Multipliers'!$L$3:$N$6,3,FALSE)))</f>
        <v/>
      </c>
      <c r="X160" s="290" t="str">
        <f>IFERROR(IF(OR(LEFT(O160,5)="Error",LEFT(N160,5)="Error",T160="Error"),"Check Data ⚠",IF(F160&lt;R160,INDEX('G-6 Hedgerow Data'!$S$3:$AE$14,MATCH(C160,'G-6 Hedgerow Data'!$B$3:$B$14,0),MATCH(M160,'G-6 Hedgerow Data'!$S$2:$AE$2,0)),INDEX('G-6 Hedgerow Data'!$K$3:$Q$14,MATCH(M160,'G-6 Hedgerow Data'!$B$3:$B$14,0),MATCH(O160,'G-6 Hedgerow Data'!$K$2:$Q$2,0)))),"")</f>
        <v/>
      </c>
      <c r="Y160" s="138"/>
      <c r="Z160" s="138"/>
      <c r="AA160" s="298" t="str">
        <f t="shared" si="16"/>
        <v/>
      </c>
      <c r="AB160" s="311" t="str">
        <f t="shared" si="17"/>
        <v/>
      </c>
      <c r="AC160" s="312" t="str">
        <f t="shared" si="14"/>
        <v/>
      </c>
      <c r="AD160" s="325" t="str">
        <f>IF(M160="","",VLOOKUP(M160,'G-6 Hedgerow Data'!$B$3:$AG$15,31,FALSE))</f>
        <v/>
      </c>
      <c r="AE160" s="298" t="str">
        <f t="shared" si="18"/>
        <v/>
      </c>
      <c r="AF160" s="298" t="str">
        <f t="shared" si="19"/>
        <v/>
      </c>
      <c r="AG160" s="314" t="str">
        <f>IFERROR(IF(O160="","",VLOOKUP(AD160,'G-3 Multipliers'!$P$3:$Q$6,2,FALSE)),"")</f>
        <v/>
      </c>
      <c r="AH160" s="304" t="str">
        <f t="shared" si="20"/>
        <v/>
      </c>
      <c r="AI160" s="157"/>
      <c r="AJ160" s="99"/>
      <c r="AK160" s="101"/>
      <c r="AT160" s="15" t="str">
        <f>IFERROR(INDEX('G-6 Hedgerow Data'!$BJ$3:$BJ$15,MATCH(M160,'G-6 Hedgerow Data'!$B$3:$B$15,0)),"")</f>
        <v/>
      </c>
    </row>
    <row r="161" spans="2:46" ht="14" x14ac:dyDescent="0.3">
      <c r="B161" s="319" t="str">
        <f>'B-1 On-Site Hedge Baseline'!AK159</f>
        <v/>
      </c>
      <c r="C161" s="310" t="str">
        <f>IF(B161="","",IF(ISNA(VLOOKUP($B161,'B-1 On-Site Hedge Baseline'!$B$1:$L$257,3,FALSE)),"",(VLOOKUP($B161,'B-1 On-Site Hedge Baseline'!$B$1:$L$257,3,FALSE))))</f>
        <v/>
      </c>
      <c r="D161" s="310" t="str">
        <f>IF(B161="","",IF(ISNA(VLOOKUP($B161,'B-1 On-Site Hedge Baseline'!$B$1:$L$257,4,FALSE)),"",(VLOOKUP($B161,'B-1 On-Site Hedge Baseline'!$B$1:$L$257,4,FALSE))))</f>
        <v/>
      </c>
      <c r="E161" s="310" t="str">
        <f>IF(B161="","",IF(ISNA(VLOOKUP($B161,'B-1 On-Site Hedge Baseline'!$B$1:$L$257,5,FALSE)),"",(VLOOKUP($B161,'B-1 On-Site Hedge Baseline'!$B$1:$L$257,5,FALSE))))</f>
        <v/>
      </c>
      <c r="F161" s="310" t="str">
        <f>IF(B161="","",IF(ISNA(VLOOKUP($B161,'B-1 On-Site Hedge Baseline'!$B$1:$L$257,6,FALSE)),"",(VLOOKUP($B161,'B-1 On-Site Hedge Baseline'!$B$1:$L$257,6,FALSE))))</f>
        <v/>
      </c>
      <c r="G161" s="310" t="str">
        <f>IF(B161="","",IF(ISNA(VLOOKUP($B161,'B-1 On-Site Hedge Baseline'!$B$1:$L$257,7,FALSE)),"",(VLOOKUP($B161,'B-1 On-Site Hedge Baseline'!$B$1:$L$257,7,FALSE))))</f>
        <v/>
      </c>
      <c r="H161" s="310" t="str">
        <f>IF(B161="","",IF(ISNA(VLOOKUP($B161,'B-1 On-Site Hedge Baseline'!$B$1:$L$257,8,FALSE)),"",(VLOOKUP($B161,'B-1 On-Site Hedge Baseline'!$B$1:$L$257,8,FALSE))))</f>
        <v/>
      </c>
      <c r="I161" s="310" t="str">
        <f>IF(B161="","",IF(ISNA(VLOOKUP($B161,'B-1 On-Site Hedge Baseline'!$B$1:$L$257,10,FALSE)),"",(VLOOKUP($B161,'B-1 On-Site Hedge Baseline'!$B$1:$L$257,10,FALSE))))</f>
        <v/>
      </c>
      <c r="J161" s="310" t="str">
        <f>IF(B161="","",IF(ISNA(VLOOKUP($B161,'B-1 On-Site Hedge Baseline'!$B$1:$L$257,11,FALSE)),"",(VLOOKUP($B161,'B-1 On-Site Hedge Baseline'!$B$1:$L$257,11,FALSE))))</f>
        <v/>
      </c>
      <c r="K161" s="310" t="str">
        <f>IF(B161="","",IF(ISNA(VLOOKUP($B161,'B-1 On-Site Hedge Baseline'!$B$1:$U$257,13,FALSE)),"",(VLOOKUP($B161,'B-1 On-Site Hedge Baseline'!$B$1:$U$257,13,FALSE))))</f>
        <v/>
      </c>
      <c r="L161" s="314" t="str">
        <f>IF(B161="","",IF(ISNA(VLOOKUP($B161,'B-1 On-Site Hedge Baseline'!$B$1:$U$257,12,FALSE)),"",(VLOOKUP($B161,'B-1 On-Site Hedge Baseline'!$B$1:$U$257,12,FALSE))))</f>
        <v/>
      </c>
      <c r="M161" s="583"/>
      <c r="N161" s="290" t="str">
        <f>IFERROR(IF(B161="","",INDEX('G-6 Hedgerow Data'!$AN$3:$AZ$15,MATCH(C161,'G-6 Hedgerow Data'!$AM$3:$AM$15,0),MATCH(M161,'G-6 Hedgerow Data'!$AN$2:$AZ$2,0))),"")</f>
        <v/>
      </c>
      <c r="O161" s="291" t="str">
        <f t="shared" si="15"/>
        <v/>
      </c>
      <c r="P161" s="341" t="str">
        <f>IF(B161="","",VLOOKUP(B161,'B-1 On-Site Hedge Baseline'!$B$10:T406,16,FALSE))</f>
        <v/>
      </c>
      <c r="Q161" s="290" t="str">
        <f>IF(M161="","",VLOOKUP(M161,'G-6 Hedgerow Data'!$B$2:$AG$15,2,FALSE))</f>
        <v/>
      </c>
      <c r="R161" s="291" t="str">
        <f>IF(M161="","",VLOOKUP(M161,'G-6 Hedgerow Data'!$B$2:$AG$15,3,FALSE))</f>
        <v/>
      </c>
      <c r="S161" s="106"/>
      <c r="T161" s="328" t="str">
        <f>IFERROR(IF(S161="","",IF(AND(M161="Non-native and ornamental hedgerow", S161&lt;&gt;"Poor"),"Not possible ▲", (VLOOKUP(S161,'G-1 All Habitats'!$Z$2:$AA$9,2,FALSE)))),"")</f>
        <v/>
      </c>
      <c r="U161" s="103"/>
      <c r="V161" s="310" t="str">
        <f>IF(U161="","",IF(VLOOKUP(U161,'G-3 Multipliers'!$L$3:$N$6,2,FALSE)=0,"Spatial Data Missing ⚠",VLOOKUP(U161,'G-3 Multipliers'!$L$3:$N$6,2,FALSE)))</f>
        <v/>
      </c>
      <c r="W161" s="314" t="str">
        <f>IF(U161="","",IF(VLOOKUP(U161,'G-3 Multipliers'!$L$3:$N$6,3,FALSE)=0,"Spatial Data Missing ⚠",VLOOKUP(U161,'G-3 Multipliers'!$L$3:$N$6,3,FALSE)))</f>
        <v/>
      </c>
      <c r="X161" s="290" t="str">
        <f>IFERROR(IF(OR(LEFT(O161,5)="Error",LEFT(N161,5)="Error",T161="Error"),"Check Data ⚠",IF(F161&lt;R161,INDEX('G-6 Hedgerow Data'!$S$3:$AE$14,MATCH(C161,'G-6 Hedgerow Data'!$B$3:$B$14,0),MATCH(M161,'G-6 Hedgerow Data'!$S$2:$AE$2,0)),INDEX('G-6 Hedgerow Data'!$K$3:$Q$14,MATCH(M161,'G-6 Hedgerow Data'!$B$3:$B$14,0),MATCH(O161,'G-6 Hedgerow Data'!$K$2:$Q$2,0)))),"")</f>
        <v/>
      </c>
      <c r="Y161" s="138"/>
      <c r="Z161" s="138"/>
      <c r="AA161" s="298" t="str">
        <f t="shared" si="16"/>
        <v/>
      </c>
      <c r="AB161" s="311" t="str">
        <f t="shared" si="17"/>
        <v/>
      </c>
      <c r="AC161" s="312" t="str">
        <f t="shared" si="14"/>
        <v/>
      </c>
      <c r="AD161" s="325" t="str">
        <f>IF(M161="","",VLOOKUP(M161,'G-6 Hedgerow Data'!$B$3:$AG$15,31,FALSE))</f>
        <v/>
      </c>
      <c r="AE161" s="298" t="str">
        <f t="shared" si="18"/>
        <v/>
      </c>
      <c r="AF161" s="298" t="str">
        <f t="shared" si="19"/>
        <v/>
      </c>
      <c r="AG161" s="314" t="str">
        <f>IFERROR(IF(O161="","",VLOOKUP(AD161,'G-3 Multipliers'!$P$3:$Q$6,2,FALSE)),"")</f>
        <v/>
      </c>
      <c r="AH161" s="304" t="str">
        <f t="shared" si="20"/>
        <v/>
      </c>
      <c r="AI161" s="157"/>
      <c r="AJ161" s="99"/>
      <c r="AK161" s="101"/>
      <c r="AT161" s="15" t="str">
        <f>IFERROR(INDEX('G-6 Hedgerow Data'!$BJ$3:$BJ$15,MATCH(M161,'G-6 Hedgerow Data'!$B$3:$B$15,0)),"")</f>
        <v/>
      </c>
    </row>
    <row r="162" spans="2:46" ht="14" x14ac:dyDescent="0.3">
      <c r="B162" s="319" t="str">
        <f>'B-1 On-Site Hedge Baseline'!AK160</f>
        <v/>
      </c>
      <c r="C162" s="310" t="str">
        <f>IF(B162="","",IF(ISNA(VLOOKUP($B162,'B-1 On-Site Hedge Baseline'!$B$1:$L$257,3,FALSE)),"",(VLOOKUP($B162,'B-1 On-Site Hedge Baseline'!$B$1:$L$257,3,FALSE))))</f>
        <v/>
      </c>
      <c r="D162" s="310" t="str">
        <f>IF(B162="","",IF(ISNA(VLOOKUP($B162,'B-1 On-Site Hedge Baseline'!$B$1:$L$257,4,FALSE)),"",(VLOOKUP($B162,'B-1 On-Site Hedge Baseline'!$B$1:$L$257,4,FALSE))))</f>
        <v/>
      </c>
      <c r="E162" s="310" t="str">
        <f>IF(B162="","",IF(ISNA(VLOOKUP($B162,'B-1 On-Site Hedge Baseline'!$B$1:$L$257,5,FALSE)),"",(VLOOKUP($B162,'B-1 On-Site Hedge Baseline'!$B$1:$L$257,5,FALSE))))</f>
        <v/>
      </c>
      <c r="F162" s="310" t="str">
        <f>IF(B162="","",IF(ISNA(VLOOKUP($B162,'B-1 On-Site Hedge Baseline'!$B$1:$L$257,6,FALSE)),"",(VLOOKUP($B162,'B-1 On-Site Hedge Baseline'!$B$1:$L$257,6,FALSE))))</f>
        <v/>
      </c>
      <c r="G162" s="310" t="str">
        <f>IF(B162="","",IF(ISNA(VLOOKUP($B162,'B-1 On-Site Hedge Baseline'!$B$1:$L$257,7,FALSE)),"",(VLOOKUP($B162,'B-1 On-Site Hedge Baseline'!$B$1:$L$257,7,FALSE))))</f>
        <v/>
      </c>
      <c r="H162" s="310" t="str">
        <f>IF(B162="","",IF(ISNA(VLOOKUP($B162,'B-1 On-Site Hedge Baseline'!$B$1:$L$257,8,FALSE)),"",(VLOOKUP($B162,'B-1 On-Site Hedge Baseline'!$B$1:$L$257,8,FALSE))))</f>
        <v/>
      </c>
      <c r="I162" s="310" t="str">
        <f>IF(B162="","",IF(ISNA(VLOOKUP($B162,'B-1 On-Site Hedge Baseline'!$B$1:$L$257,10,FALSE)),"",(VLOOKUP($B162,'B-1 On-Site Hedge Baseline'!$B$1:$L$257,10,FALSE))))</f>
        <v/>
      </c>
      <c r="J162" s="310" t="str">
        <f>IF(B162="","",IF(ISNA(VLOOKUP($B162,'B-1 On-Site Hedge Baseline'!$B$1:$L$257,11,FALSE)),"",(VLOOKUP($B162,'B-1 On-Site Hedge Baseline'!$B$1:$L$257,11,FALSE))))</f>
        <v/>
      </c>
      <c r="K162" s="310" t="str">
        <f>IF(B162="","",IF(ISNA(VLOOKUP($B162,'B-1 On-Site Hedge Baseline'!$B$1:$U$257,13,FALSE)),"",(VLOOKUP($B162,'B-1 On-Site Hedge Baseline'!$B$1:$U$257,13,FALSE))))</f>
        <v/>
      </c>
      <c r="L162" s="314" t="str">
        <f>IF(B162="","",IF(ISNA(VLOOKUP($B162,'B-1 On-Site Hedge Baseline'!$B$1:$U$257,12,FALSE)),"",(VLOOKUP($B162,'B-1 On-Site Hedge Baseline'!$B$1:$U$257,12,FALSE))))</f>
        <v/>
      </c>
      <c r="M162" s="583"/>
      <c r="N162" s="290" t="str">
        <f>IFERROR(IF(B162="","",INDEX('G-6 Hedgerow Data'!$AN$3:$AZ$15,MATCH(C162,'G-6 Hedgerow Data'!$AM$3:$AM$15,0),MATCH(M162,'G-6 Hedgerow Data'!$AN$2:$AZ$2,0))),"")</f>
        <v/>
      </c>
      <c r="O162" s="291" t="str">
        <f t="shared" si="15"/>
        <v/>
      </c>
      <c r="P162" s="341" t="str">
        <f>IF(B162="","",VLOOKUP(B162,'B-1 On-Site Hedge Baseline'!$B$10:T407,16,FALSE))</f>
        <v/>
      </c>
      <c r="Q162" s="290" t="str">
        <f>IF(M162="","",VLOOKUP(M162,'G-6 Hedgerow Data'!$B$2:$AG$15,2,FALSE))</f>
        <v/>
      </c>
      <c r="R162" s="291" t="str">
        <f>IF(M162="","",VLOOKUP(M162,'G-6 Hedgerow Data'!$B$2:$AG$15,3,FALSE))</f>
        <v/>
      </c>
      <c r="S162" s="106"/>
      <c r="T162" s="328" t="str">
        <f>IFERROR(IF(S162="","",IF(AND(M162="Non-native and ornamental hedgerow", S162&lt;&gt;"Poor"),"Not possible ▲", (VLOOKUP(S162,'G-1 All Habitats'!$Z$2:$AA$9,2,FALSE)))),"")</f>
        <v/>
      </c>
      <c r="U162" s="103"/>
      <c r="V162" s="310" t="str">
        <f>IF(U162="","",IF(VLOOKUP(U162,'G-3 Multipliers'!$L$3:$N$6,2,FALSE)=0,"Spatial Data Missing ⚠",VLOOKUP(U162,'G-3 Multipliers'!$L$3:$N$6,2,FALSE)))</f>
        <v/>
      </c>
      <c r="W162" s="314" t="str">
        <f>IF(U162="","",IF(VLOOKUP(U162,'G-3 Multipliers'!$L$3:$N$6,3,FALSE)=0,"Spatial Data Missing ⚠",VLOOKUP(U162,'G-3 Multipliers'!$L$3:$N$6,3,FALSE)))</f>
        <v/>
      </c>
      <c r="X162" s="290" t="str">
        <f>IFERROR(IF(OR(LEFT(O162,5)="Error",LEFT(N162,5)="Error",T162="Error"),"Check Data ⚠",IF(F162&lt;R162,INDEX('G-6 Hedgerow Data'!$S$3:$AE$14,MATCH(C162,'G-6 Hedgerow Data'!$B$3:$B$14,0),MATCH(M162,'G-6 Hedgerow Data'!$S$2:$AE$2,0)),INDEX('G-6 Hedgerow Data'!$K$3:$Q$14,MATCH(M162,'G-6 Hedgerow Data'!$B$3:$B$14,0),MATCH(O162,'G-6 Hedgerow Data'!$K$2:$Q$2,0)))),"")</f>
        <v/>
      </c>
      <c r="Y162" s="138"/>
      <c r="Z162" s="138"/>
      <c r="AA162" s="298" t="str">
        <f t="shared" si="16"/>
        <v/>
      </c>
      <c r="AB162" s="311" t="str">
        <f t="shared" si="17"/>
        <v/>
      </c>
      <c r="AC162" s="312" t="str">
        <f t="shared" si="14"/>
        <v/>
      </c>
      <c r="AD162" s="325" t="str">
        <f>IF(M162="","",VLOOKUP(M162,'G-6 Hedgerow Data'!$B$3:$AG$15,31,FALSE))</f>
        <v/>
      </c>
      <c r="AE162" s="298" t="str">
        <f t="shared" si="18"/>
        <v/>
      </c>
      <c r="AF162" s="298" t="str">
        <f t="shared" si="19"/>
        <v/>
      </c>
      <c r="AG162" s="314" t="str">
        <f>IFERROR(IF(O162="","",VLOOKUP(AD162,'G-3 Multipliers'!$P$3:$Q$6,2,FALSE)),"")</f>
        <v/>
      </c>
      <c r="AH162" s="304" t="str">
        <f t="shared" si="20"/>
        <v/>
      </c>
      <c r="AI162" s="157"/>
      <c r="AJ162" s="99"/>
      <c r="AK162" s="101"/>
      <c r="AT162" s="15" t="str">
        <f>IFERROR(INDEX('G-6 Hedgerow Data'!$BJ$3:$BJ$15,MATCH(M162,'G-6 Hedgerow Data'!$B$3:$B$15,0)),"")</f>
        <v/>
      </c>
    </row>
    <row r="163" spans="2:46" ht="14" x14ac:dyDescent="0.3">
      <c r="B163" s="319" t="str">
        <f>'B-1 On-Site Hedge Baseline'!AK161</f>
        <v/>
      </c>
      <c r="C163" s="310" t="str">
        <f>IF(B163="","",IF(ISNA(VLOOKUP($B163,'B-1 On-Site Hedge Baseline'!$B$1:$L$257,3,FALSE)),"",(VLOOKUP($B163,'B-1 On-Site Hedge Baseline'!$B$1:$L$257,3,FALSE))))</f>
        <v/>
      </c>
      <c r="D163" s="310" t="str">
        <f>IF(B163="","",IF(ISNA(VLOOKUP($B163,'B-1 On-Site Hedge Baseline'!$B$1:$L$257,4,FALSE)),"",(VLOOKUP($B163,'B-1 On-Site Hedge Baseline'!$B$1:$L$257,4,FALSE))))</f>
        <v/>
      </c>
      <c r="E163" s="310" t="str">
        <f>IF(B163="","",IF(ISNA(VLOOKUP($B163,'B-1 On-Site Hedge Baseline'!$B$1:$L$257,5,FALSE)),"",(VLOOKUP($B163,'B-1 On-Site Hedge Baseline'!$B$1:$L$257,5,FALSE))))</f>
        <v/>
      </c>
      <c r="F163" s="310" t="str">
        <f>IF(B163="","",IF(ISNA(VLOOKUP($B163,'B-1 On-Site Hedge Baseline'!$B$1:$L$257,6,FALSE)),"",(VLOOKUP($B163,'B-1 On-Site Hedge Baseline'!$B$1:$L$257,6,FALSE))))</f>
        <v/>
      </c>
      <c r="G163" s="310" t="str">
        <f>IF(B163="","",IF(ISNA(VLOOKUP($B163,'B-1 On-Site Hedge Baseline'!$B$1:$L$257,7,FALSE)),"",(VLOOKUP($B163,'B-1 On-Site Hedge Baseline'!$B$1:$L$257,7,FALSE))))</f>
        <v/>
      </c>
      <c r="H163" s="310" t="str">
        <f>IF(B163="","",IF(ISNA(VLOOKUP($B163,'B-1 On-Site Hedge Baseline'!$B$1:$L$257,8,FALSE)),"",(VLOOKUP($B163,'B-1 On-Site Hedge Baseline'!$B$1:$L$257,8,FALSE))))</f>
        <v/>
      </c>
      <c r="I163" s="310" t="str">
        <f>IF(B163="","",IF(ISNA(VLOOKUP($B163,'B-1 On-Site Hedge Baseline'!$B$1:$L$257,10,FALSE)),"",(VLOOKUP($B163,'B-1 On-Site Hedge Baseline'!$B$1:$L$257,10,FALSE))))</f>
        <v/>
      </c>
      <c r="J163" s="310" t="str">
        <f>IF(B163="","",IF(ISNA(VLOOKUP($B163,'B-1 On-Site Hedge Baseline'!$B$1:$L$257,11,FALSE)),"",(VLOOKUP($B163,'B-1 On-Site Hedge Baseline'!$B$1:$L$257,11,FALSE))))</f>
        <v/>
      </c>
      <c r="K163" s="310" t="str">
        <f>IF(B163="","",IF(ISNA(VLOOKUP($B163,'B-1 On-Site Hedge Baseline'!$B$1:$U$257,13,FALSE)),"",(VLOOKUP($B163,'B-1 On-Site Hedge Baseline'!$B$1:$U$257,13,FALSE))))</f>
        <v/>
      </c>
      <c r="L163" s="314" t="str">
        <f>IF(B163="","",IF(ISNA(VLOOKUP($B163,'B-1 On-Site Hedge Baseline'!$B$1:$U$257,12,FALSE)),"",(VLOOKUP($B163,'B-1 On-Site Hedge Baseline'!$B$1:$U$257,12,FALSE))))</f>
        <v/>
      </c>
      <c r="M163" s="583"/>
      <c r="N163" s="290" t="str">
        <f>IFERROR(IF(B163="","",INDEX('G-6 Hedgerow Data'!$AN$3:$AZ$15,MATCH(C163,'G-6 Hedgerow Data'!$AM$3:$AM$15,0),MATCH(M163,'G-6 Hedgerow Data'!$AN$2:$AZ$2,0))),"")</f>
        <v/>
      </c>
      <c r="O163" s="291" t="str">
        <f t="shared" si="15"/>
        <v/>
      </c>
      <c r="P163" s="341" t="str">
        <f>IF(B163="","",VLOOKUP(B163,'B-1 On-Site Hedge Baseline'!$B$10:T408,16,FALSE))</f>
        <v/>
      </c>
      <c r="Q163" s="290" t="str">
        <f>IF(M163="","",VLOOKUP(M163,'G-6 Hedgerow Data'!$B$2:$AG$15,2,FALSE))</f>
        <v/>
      </c>
      <c r="R163" s="291" t="str">
        <f>IF(M163="","",VLOOKUP(M163,'G-6 Hedgerow Data'!$B$2:$AG$15,3,FALSE))</f>
        <v/>
      </c>
      <c r="S163" s="106"/>
      <c r="T163" s="328" t="str">
        <f>IFERROR(IF(S163="","",IF(AND(M163="Non-native and ornamental hedgerow", S163&lt;&gt;"Poor"),"Not possible ▲", (VLOOKUP(S163,'G-1 All Habitats'!$Z$2:$AA$9,2,FALSE)))),"")</f>
        <v/>
      </c>
      <c r="U163" s="103"/>
      <c r="V163" s="310" t="str">
        <f>IF(U163="","",IF(VLOOKUP(U163,'G-3 Multipliers'!$L$3:$N$6,2,FALSE)=0,"Spatial Data Missing ⚠",VLOOKUP(U163,'G-3 Multipliers'!$L$3:$N$6,2,FALSE)))</f>
        <v/>
      </c>
      <c r="W163" s="314" t="str">
        <f>IF(U163="","",IF(VLOOKUP(U163,'G-3 Multipliers'!$L$3:$N$6,3,FALSE)=0,"Spatial Data Missing ⚠",VLOOKUP(U163,'G-3 Multipliers'!$L$3:$N$6,3,FALSE)))</f>
        <v/>
      </c>
      <c r="X163" s="290" t="str">
        <f>IFERROR(IF(OR(LEFT(O163,5)="Error",LEFT(N163,5)="Error",T163="Error"),"Check Data ⚠",IF(F163&lt;R163,INDEX('G-6 Hedgerow Data'!$S$3:$AE$14,MATCH(C163,'G-6 Hedgerow Data'!$B$3:$B$14,0),MATCH(M163,'G-6 Hedgerow Data'!$S$2:$AE$2,0)),INDEX('G-6 Hedgerow Data'!$K$3:$Q$14,MATCH(M163,'G-6 Hedgerow Data'!$B$3:$B$14,0),MATCH(O163,'G-6 Hedgerow Data'!$K$2:$Q$2,0)))),"")</f>
        <v/>
      </c>
      <c r="Y163" s="138"/>
      <c r="Z163" s="138"/>
      <c r="AA163" s="298" t="str">
        <f t="shared" si="16"/>
        <v/>
      </c>
      <c r="AB163" s="311" t="str">
        <f t="shared" si="17"/>
        <v/>
      </c>
      <c r="AC163" s="312" t="str">
        <f t="shared" si="14"/>
        <v/>
      </c>
      <c r="AD163" s="325" t="str">
        <f>IF(M163="","",VLOOKUP(M163,'G-6 Hedgerow Data'!$B$3:$AG$15,31,FALSE))</f>
        <v/>
      </c>
      <c r="AE163" s="298" t="str">
        <f t="shared" si="18"/>
        <v/>
      </c>
      <c r="AF163" s="298" t="str">
        <f t="shared" si="19"/>
        <v/>
      </c>
      <c r="AG163" s="314" t="str">
        <f>IFERROR(IF(O163="","",VLOOKUP(AD163,'G-3 Multipliers'!$P$3:$Q$6,2,FALSE)),"")</f>
        <v/>
      </c>
      <c r="AH163" s="304" t="str">
        <f t="shared" si="20"/>
        <v/>
      </c>
      <c r="AI163" s="157"/>
      <c r="AJ163" s="99"/>
      <c r="AK163" s="101"/>
      <c r="AT163" s="15" t="str">
        <f>IFERROR(INDEX('G-6 Hedgerow Data'!$BJ$3:$BJ$15,MATCH(M163,'G-6 Hedgerow Data'!$B$3:$B$15,0)),"")</f>
        <v/>
      </c>
    </row>
    <row r="164" spans="2:46" ht="14" x14ac:dyDescent="0.3">
      <c r="B164" s="319" t="str">
        <f>'B-1 On-Site Hedge Baseline'!AK162</f>
        <v/>
      </c>
      <c r="C164" s="310" t="str">
        <f>IF(B164="","",IF(ISNA(VLOOKUP($B164,'B-1 On-Site Hedge Baseline'!$B$1:$L$257,3,FALSE)),"",(VLOOKUP($B164,'B-1 On-Site Hedge Baseline'!$B$1:$L$257,3,FALSE))))</f>
        <v/>
      </c>
      <c r="D164" s="310" t="str">
        <f>IF(B164="","",IF(ISNA(VLOOKUP($B164,'B-1 On-Site Hedge Baseline'!$B$1:$L$257,4,FALSE)),"",(VLOOKUP($B164,'B-1 On-Site Hedge Baseline'!$B$1:$L$257,4,FALSE))))</f>
        <v/>
      </c>
      <c r="E164" s="310" t="str">
        <f>IF(B164="","",IF(ISNA(VLOOKUP($B164,'B-1 On-Site Hedge Baseline'!$B$1:$L$257,5,FALSE)),"",(VLOOKUP($B164,'B-1 On-Site Hedge Baseline'!$B$1:$L$257,5,FALSE))))</f>
        <v/>
      </c>
      <c r="F164" s="310" t="str">
        <f>IF(B164="","",IF(ISNA(VLOOKUP($B164,'B-1 On-Site Hedge Baseline'!$B$1:$L$257,6,FALSE)),"",(VLOOKUP($B164,'B-1 On-Site Hedge Baseline'!$B$1:$L$257,6,FALSE))))</f>
        <v/>
      </c>
      <c r="G164" s="310" t="str">
        <f>IF(B164="","",IF(ISNA(VLOOKUP($B164,'B-1 On-Site Hedge Baseline'!$B$1:$L$257,7,FALSE)),"",(VLOOKUP($B164,'B-1 On-Site Hedge Baseline'!$B$1:$L$257,7,FALSE))))</f>
        <v/>
      </c>
      <c r="H164" s="310" t="str">
        <f>IF(B164="","",IF(ISNA(VLOOKUP($B164,'B-1 On-Site Hedge Baseline'!$B$1:$L$257,8,FALSE)),"",(VLOOKUP($B164,'B-1 On-Site Hedge Baseline'!$B$1:$L$257,8,FALSE))))</f>
        <v/>
      </c>
      <c r="I164" s="310" t="str">
        <f>IF(B164="","",IF(ISNA(VLOOKUP($B164,'B-1 On-Site Hedge Baseline'!$B$1:$L$257,10,FALSE)),"",(VLOOKUP($B164,'B-1 On-Site Hedge Baseline'!$B$1:$L$257,10,FALSE))))</f>
        <v/>
      </c>
      <c r="J164" s="310" t="str">
        <f>IF(B164="","",IF(ISNA(VLOOKUP($B164,'B-1 On-Site Hedge Baseline'!$B$1:$L$257,11,FALSE)),"",(VLOOKUP($B164,'B-1 On-Site Hedge Baseline'!$B$1:$L$257,11,FALSE))))</f>
        <v/>
      </c>
      <c r="K164" s="310" t="str">
        <f>IF(B164="","",IF(ISNA(VLOOKUP($B164,'B-1 On-Site Hedge Baseline'!$B$1:$U$257,13,FALSE)),"",(VLOOKUP($B164,'B-1 On-Site Hedge Baseline'!$B$1:$U$257,13,FALSE))))</f>
        <v/>
      </c>
      <c r="L164" s="314" t="str">
        <f>IF(B164="","",IF(ISNA(VLOOKUP($B164,'B-1 On-Site Hedge Baseline'!$B$1:$U$257,12,FALSE)),"",(VLOOKUP($B164,'B-1 On-Site Hedge Baseline'!$B$1:$U$257,12,FALSE))))</f>
        <v/>
      </c>
      <c r="M164" s="583"/>
      <c r="N164" s="290" t="str">
        <f>IFERROR(IF(B164="","",INDEX('G-6 Hedgerow Data'!$AN$3:$AZ$15,MATCH(C164,'G-6 Hedgerow Data'!$AM$3:$AM$15,0),MATCH(M164,'G-6 Hedgerow Data'!$AN$2:$AZ$2,0))),"")</f>
        <v/>
      </c>
      <c r="O164" s="291" t="str">
        <f t="shared" si="15"/>
        <v/>
      </c>
      <c r="P164" s="341" t="str">
        <f>IF(B164="","",VLOOKUP(B164,'B-1 On-Site Hedge Baseline'!$B$10:T409,16,FALSE))</f>
        <v/>
      </c>
      <c r="Q164" s="290" t="str">
        <f>IF(M164="","",VLOOKUP(M164,'G-6 Hedgerow Data'!$B$2:$AG$15,2,FALSE))</f>
        <v/>
      </c>
      <c r="R164" s="291" t="str">
        <f>IF(M164="","",VLOOKUP(M164,'G-6 Hedgerow Data'!$B$2:$AG$15,3,FALSE))</f>
        <v/>
      </c>
      <c r="S164" s="106"/>
      <c r="T164" s="328" t="str">
        <f>IFERROR(IF(S164="","",IF(AND(M164="Non-native and ornamental hedgerow", S164&lt;&gt;"Poor"),"Not possible ▲", (VLOOKUP(S164,'G-1 All Habitats'!$Z$2:$AA$9,2,FALSE)))),"")</f>
        <v/>
      </c>
      <c r="U164" s="103"/>
      <c r="V164" s="310" t="str">
        <f>IF(U164="","",IF(VLOOKUP(U164,'G-3 Multipliers'!$L$3:$N$6,2,FALSE)=0,"Spatial Data Missing ⚠",VLOOKUP(U164,'G-3 Multipliers'!$L$3:$N$6,2,FALSE)))</f>
        <v/>
      </c>
      <c r="W164" s="314" t="str">
        <f>IF(U164="","",IF(VLOOKUP(U164,'G-3 Multipliers'!$L$3:$N$6,3,FALSE)=0,"Spatial Data Missing ⚠",VLOOKUP(U164,'G-3 Multipliers'!$L$3:$N$6,3,FALSE)))</f>
        <v/>
      </c>
      <c r="X164" s="290" t="str">
        <f>IFERROR(IF(OR(LEFT(O164,5)="Error",LEFT(N164,5)="Error",T164="Error"),"Check Data ⚠",IF(F164&lt;R164,INDEX('G-6 Hedgerow Data'!$S$3:$AE$14,MATCH(C164,'G-6 Hedgerow Data'!$B$3:$B$14,0),MATCH(M164,'G-6 Hedgerow Data'!$S$2:$AE$2,0)),INDEX('G-6 Hedgerow Data'!$K$3:$Q$14,MATCH(M164,'G-6 Hedgerow Data'!$B$3:$B$14,0),MATCH(O164,'G-6 Hedgerow Data'!$K$2:$Q$2,0)))),"")</f>
        <v/>
      </c>
      <c r="Y164" s="138"/>
      <c r="Z164" s="138"/>
      <c r="AA164" s="298" t="str">
        <f t="shared" si="16"/>
        <v/>
      </c>
      <c r="AB164" s="311" t="str">
        <f t="shared" si="17"/>
        <v/>
      </c>
      <c r="AC164" s="312" t="str">
        <f t="shared" si="14"/>
        <v/>
      </c>
      <c r="AD164" s="325" t="str">
        <f>IF(M164="","",VLOOKUP(M164,'G-6 Hedgerow Data'!$B$3:$AG$15,31,FALSE))</f>
        <v/>
      </c>
      <c r="AE164" s="298" t="str">
        <f t="shared" si="18"/>
        <v/>
      </c>
      <c r="AF164" s="298" t="str">
        <f t="shared" si="19"/>
        <v/>
      </c>
      <c r="AG164" s="314" t="str">
        <f>IFERROR(IF(O164="","",VLOOKUP(AD164,'G-3 Multipliers'!$P$3:$Q$6,2,FALSE)),"")</f>
        <v/>
      </c>
      <c r="AH164" s="304" t="str">
        <f t="shared" si="20"/>
        <v/>
      </c>
      <c r="AI164" s="157"/>
      <c r="AJ164" s="99"/>
      <c r="AK164" s="101"/>
      <c r="AT164" s="15" t="str">
        <f>IFERROR(INDEX('G-6 Hedgerow Data'!$BJ$3:$BJ$15,MATCH(M164,'G-6 Hedgerow Data'!$B$3:$B$15,0)),"")</f>
        <v/>
      </c>
    </row>
    <row r="165" spans="2:46" ht="14" x14ac:dyDescent="0.3">
      <c r="B165" s="319" t="str">
        <f>'B-1 On-Site Hedge Baseline'!AK163</f>
        <v/>
      </c>
      <c r="C165" s="310" t="str">
        <f>IF(B165="","",IF(ISNA(VLOOKUP($B165,'B-1 On-Site Hedge Baseline'!$B$1:$L$257,3,FALSE)),"",(VLOOKUP($B165,'B-1 On-Site Hedge Baseline'!$B$1:$L$257,3,FALSE))))</f>
        <v/>
      </c>
      <c r="D165" s="310" t="str">
        <f>IF(B165="","",IF(ISNA(VLOOKUP($B165,'B-1 On-Site Hedge Baseline'!$B$1:$L$257,4,FALSE)),"",(VLOOKUP($B165,'B-1 On-Site Hedge Baseline'!$B$1:$L$257,4,FALSE))))</f>
        <v/>
      </c>
      <c r="E165" s="310" t="str">
        <f>IF(B165="","",IF(ISNA(VLOOKUP($B165,'B-1 On-Site Hedge Baseline'!$B$1:$L$257,5,FALSE)),"",(VLOOKUP($B165,'B-1 On-Site Hedge Baseline'!$B$1:$L$257,5,FALSE))))</f>
        <v/>
      </c>
      <c r="F165" s="310" t="str">
        <f>IF(B165="","",IF(ISNA(VLOOKUP($B165,'B-1 On-Site Hedge Baseline'!$B$1:$L$257,6,FALSE)),"",(VLOOKUP($B165,'B-1 On-Site Hedge Baseline'!$B$1:$L$257,6,FALSE))))</f>
        <v/>
      </c>
      <c r="G165" s="310" t="str">
        <f>IF(B165="","",IF(ISNA(VLOOKUP($B165,'B-1 On-Site Hedge Baseline'!$B$1:$L$257,7,FALSE)),"",(VLOOKUP($B165,'B-1 On-Site Hedge Baseline'!$B$1:$L$257,7,FALSE))))</f>
        <v/>
      </c>
      <c r="H165" s="310" t="str">
        <f>IF(B165="","",IF(ISNA(VLOOKUP($B165,'B-1 On-Site Hedge Baseline'!$B$1:$L$257,8,FALSE)),"",(VLOOKUP($B165,'B-1 On-Site Hedge Baseline'!$B$1:$L$257,8,FALSE))))</f>
        <v/>
      </c>
      <c r="I165" s="310" t="str">
        <f>IF(B165="","",IF(ISNA(VLOOKUP($B165,'B-1 On-Site Hedge Baseline'!$B$1:$L$257,10,FALSE)),"",(VLOOKUP($B165,'B-1 On-Site Hedge Baseline'!$B$1:$L$257,10,FALSE))))</f>
        <v/>
      </c>
      <c r="J165" s="310" t="str">
        <f>IF(B165="","",IF(ISNA(VLOOKUP($B165,'B-1 On-Site Hedge Baseline'!$B$1:$L$257,11,FALSE)),"",(VLOOKUP($B165,'B-1 On-Site Hedge Baseline'!$B$1:$L$257,11,FALSE))))</f>
        <v/>
      </c>
      <c r="K165" s="310" t="str">
        <f>IF(B165="","",IF(ISNA(VLOOKUP($B165,'B-1 On-Site Hedge Baseline'!$B$1:$U$257,13,FALSE)),"",(VLOOKUP($B165,'B-1 On-Site Hedge Baseline'!$B$1:$U$257,13,FALSE))))</f>
        <v/>
      </c>
      <c r="L165" s="314" t="str">
        <f>IF(B165="","",IF(ISNA(VLOOKUP($B165,'B-1 On-Site Hedge Baseline'!$B$1:$U$257,12,FALSE)),"",(VLOOKUP($B165,'B-1 On-Site Hedge Baseline'!$B$1:$U$257,12,FALSE))))</f>
        <v/>
      </c>
      <c r="M165" s="583"/>
      <c r="N165" s="290" t="str">
        <f>IFERROR(IF(B165="","",INDEX('G-6 Hedgerow Data'!$AN$3:$AZ$15,MATCH(C165,'G-6 Hedgerow Data'!$AM$3:$AM$15,0),MATCH(M165,'G-6 Hedgerow Data'!$AN$2:$AZ$2,0))),"")</f>
        <v/>
      </c>
      <c r="O165" s="291" t="str">
        <f t="shared" si="15"/>
        <v/>
      </c>
      <c r="P165" s="341" t="str">
        <f>IF(B165="","",VLOOKUP(B165,'B-1 On-Site Hedge Baseline'!$B$10:T410,16,FALSE))</f>
        <v/>
      </c>
      <c r="Q165" s="290" t="str">
        <f>IF(M165="","",VLOOKUP(M165,'G-6 Hedgerow Data'!$B$2:$AG$15,2,FALSE))</f>
        <v/>
      </c>
      <c r="R165" s="291" t="str">
        <f>IF(M165="","",VLOOKUP(M165,'G-6 Hedgerow Data'!$B$2:$AG$15,3,FALSE))</f>
        <v/>
      </c>
      <c r="S165" s="106"/>
      <c r="T165" s="328" t="str">
        <f>IFERROR(IF(S165="","",IF(AND(M165="Non-native and ornamental hedgerow", S165&lt;&gt;"Poor"),"Not possible ▲", (VLOOKUP(S165,'G-1 All Habitats'!$Z$2:$AA$9,2,FALSE)))),"")</f>
        <v/>
      </c>
      <c r="U165" s="103"/>
      <c r="V165" s="310" t="str">
        <f>IF(U165="","",IF(VLOOKUP(U165,'G-3 Multipliers'!$L$3:$N$6,2,FALSE)=0,"Spatial Data Missing ⚠",VLOOKUP(U165,'G-3 Multipliers'!$L$3:$N$6,2,FALSE)))</f>
        <v/>
      </c>
      <c r="W165" s="314" t="str">
        <f>IF(U165="","",IF(VLOOKUP(U165,'G-3 Multipliers'!$L$3:$N$6,3,FALSE)=0,"Spatial Data Missing ⚠",VLOOKUP(U165,'G-3 Multipliers'!$L$3:$N$6,3,FALSE)))</f>
        <v/>
      </c>
      <c r="X165" s="290" t="str">
        <f>IFERROR(IF(OR(LEFT(O165,5)="Error",LEFT(N165,5)="Error",T165="Error"),"Check Data ⚠",IF(F165&lt;R165,INDEX('G-6 Hedgerow Data'!$S$3:$AE$14,MATCH(C165,'G-6 Hedgerow Data'!$B$3:$B$14,0),MATCH(M165,'G-6 Hedgerow Data'!$S$2:$AE$2,0)),INDEX('G-6 Hedgerow Data'!$K$3:$Q$14,MATCH(M165,'G-6 Hedgerow Data'!$B$3:$B$14,0),MATCH(O165,'G-6 Hedgerow Data'!$K$2:$Q$2,0)))),"")</f>
        <v/>
      </c>
      <c r="Y165" s="138"/>
      <c r="Z165" s="138"/>
      <c r="AA165" s="298" t="str">
        <f t="shared" si="16"/>
        <v/>
      </c>
      <c r="AB165" s="311" t="str">
        <f t="shared" si="17"/>
        <v/>
      </c>
      <c r="AC165" s="312" t="str">
        <f t="shared" si="14"/>
        <v/>
      </c>
      <c r="AD165" s="325" t="str">
        <f>IF(M165="","",VLOOKUP(M165,'G-6 Hedgerow Data'!$B$3:$AG$15,31,FALSE))</f>
        <v/>
      </c>
      <c r="AE165" s="298" t="str">
        <f t="shared" si="18"/>
        <v/>
      </c>
      <c r="AF165" s="298" t="str">
        <f t="shared" si="19"/>
        <v/>
      </c>
      <c r="AG165" s="314" t="str">
        <f>IFERROR(IF(O165="","",VLOOKUP(AD165,'G-3 Multipliers'!$P$3:$Q$6,2,FALSE)),"")</f>
        <v/>
      </c>
      <c r="AH165" s="304" t="str">
        <f t="shared" si="20"/>
        <v/>
      </c>
      <c r="AI165" s="157"/>
      <c r="AJ165" s="99"/>
      <c r="AK165" s="101"/>
      <c r="AT165" s="15" t="str">
        <f>IFERROR(INDEX('G-6 Hedgerow Data'!$BJ$3:$BJ$15,MATCH(M165,'G-6 Hedgerow Data'!$B$3:$B$15,0)),"")</f>
        <v/>
      </c>
    </row>
    <row r="166" spans="2:46" ht="14" x14ac:dyDescent="0.3">
      <c r="B166" s="319" t="str">
        <f>'B-1 On-Site Hedge Baseline'!AK164</f>
        <v/>
      </c>
      <c r="C166" s="310" t="str">
        <f>IF(B166="","",IF(ISNA(VLOOKUP($B166,'B-1 On-Site Hedge Baseline'!$B$1:$L$257,3,FALSE)),"",(VLOOKUP($B166,'B-1 On-Site Hedge Baseline'!$B$1:$L$257,3,FALSE))))</f>
        <v/>
      </c>
      <c r="D166" s="310" t="str">
        <f>IF(B166="","",IF(ISNA(VLOOKUP($B166,'B-1 On-Site Hedge Baseline'!$B$1:$L$257,4,FALSE)),"",(VLOOKUP($B166,'B-1 On-Site Hedge Baseline'!$B$1:$L$257,4,FALSE))))</f>
        <v/>
      </c>
      <c r="E166" s="310" t="str">
        <f>IF(B166="","",IF(ISNA(VLOOKUP($B166,'B-1 On-Site Hedge Baseline'!$B$1:$L$257,5,FALSE)),"",(VLOOKUP($B166,'B-1 On-Site Hedge Baseline'!$B$1:$L$257,5,FALSE))))</f>
        <v/>
      </c>
      <c r="F166" s="310" t="str">
        <f>IF(B166="","",IF(ISNA(VLOOKUP($B166,'B-1 On-Site Hedge Baseline'!$B$1:$L$257,6,FALSE)),"",(VLOOKUP($B166,'B-1 On-Site Hedge Baseline'!$B$1:$L$257,6,FALSE))))</f>
        <v/>
      </c>
      <c r="G166" s="310" t="str">
        <f>IF(B166="","",IF(ISNA(VLOOKUP($B166,'B-1 On-Site Hedge Baseline'!$B$1:$L$257,7,FALSE)),"",(VLOOKUP($B166,'B-1 On-Site Hedge Baseline'!$B$1:$L$257,7,FALSE))))</f>
        <v/>
      </c>
      <c r="H166" s="310" t="str">
        <f>IF(B166="","",IF(ISNA(VLOOKUP($B166,'B-1 On-Site Hedge Baseline'!$B$1:$L$257,8,FALSE)),"",(VLOOKUP($B166,'B-1 On-Site Hedge Baseline'!$B$1:$L$257,8,FALSE))))</f>
        <v/>
      </c>
      <c r="I166" s="310" t="str">
        <f>IF(B166="","",IF(ISNA(VLOOKUP($B166,'B-1 On-Site Hedge Baseline'!$B$1:$L$257,10,FALSE)),"",(VLOOKUP($B166,'B-1 On-Site Hedge Baseline'!$B$1:$L$257,10,FALSE))))</f>
        <v/>
      </c>
      <c r="J166" s="310" t="str">
        <f>IF(B166="","",IF(ISNA(VLOOKUP($B166,'B-1 On-Site Hedge Baseline'!$B$1:$L$257,11,FALSE)),"",(VLOOKUP($B166,'B-1 On-Site Hedge Baseline'!$B$1:$L$257,11,FALSE))))</f>
        <v/>
      </c>
      <c r="K166" s="310" t="str">
        <f>IF(B166="","",IF(ISNA(VLOOKUP($B166,'B-1 On-Site Hedge Baseline'!$B$1:$U$257,13,FALSE)),"",(VLOOKUP($B166,'B-1 On-Site Hedge Baseline'!$B$1:$U$257,13,FALSE))))</f>
        <v/>
      </c>
      <c r="L166" s="314" t="str">
        <f>IF(B166="","",IF(ISNA(VLOOKUP($B166,'B-1 On-Site Hedge Baseline'!$B$1:$U$257,12,FALSE)),"",(VLOOKUP($B166,'B-1 On-Site Hedge Baseline'!$B$1:$U$257,12,FALSE))))</f>
        <v/>
      </c>
      <c r="M166" s="583"/>
      <c r="N166" s="290" t="str">
        <f>IFERROR(IF(B166="","",INDEX('G-6 Hedgerow Data'!$AN$3:$AZ$15,MATCH(C166,'G-6 Hedgerow Data'!$AM$3:$AM$15,0),MATCH(M166,'G-6 Hedgerow Data'!$AN$2:$AZ$2,0))),"")</f>
        <v/>
      </c>
      <c r="O166" s="291" t="str">
        <f t="shared" si="15"/>
        <v/>
      </c>
      <c r="P166" s="341" t="str">
        <f>IF(B166="","",VLOOKUP(B166,'B-1 On-Site Hedge Baseline'!$B$10:T411,16,FALSE))</f>
        <v/>
      </c>
      <c r="Q166" s="290" t="str">
        <f>IF(M166="","",VLOOKUP(M166,'G-6 Hedgerow Data'!$B$2:$AG$15,2,FALSE))</f>
        <v/>
      </c>
      <c r="R166" s="291" t="str">
        <f>IF(M166="","",VLOOKUP(M166,'G-6 Hedgerow Data'!$B$2:$AG$15,3,FALSE))</f>
        <v/>
      </c>
      <c r="S166" s="106"/>
      <c r="T166" s="328" t="str">
        <f>IFERROR(IF(S166="","",IF(AND(M166="Non-native and ornamental hedgerow", S166&lt;&gt;"Poor"),"Not possible ▲", (VLOOKUP(S166,'G-1 All Habitats'!$Z$2:$AA$9,2,FALSE)))),"")</f>
        <v/>
      </c>
      <c r="U166" s="103"/>
      <c r="V166" s="310" t="str">
        <f>IF(U166="","",IF(VLOOKUP(U166,'G-3 Multipliers'!$L$3:$N$6,2,FALSE)=0,"Spatial Data Missing ⚠",VLOOKUP(U166,'G-3 Multipliers'!$L$3:$N$6,2,FALSE)))</f>
        <v/>
      </c>
      <c r="W166" s="314" t="str">
        <f>IF(U166="","",IF(VLOOKUP(U166,'G-3 Multipliers'!$L$3:$N$6,3,FALSE)=0,"Spatial Data Missing ⚠",VLOOKUP(U166,'G-3 Multipliers'!$L$3:$N$6,3,FALSE)))</f>
        <v/>
      </c>
      <c r="X166" s="290" t="str">
        <f>IFERROR(IF(OR(LEFT(O166,5)="Error",LEFT(N166,5)="Error",T166="Error"),"Check Data ⚠",IF(F166&lt;R166,INDEX('G-6 Hedgerow Data'!$S$3:$AE$14,MATCH(C166,'G-6 Hedgerow Data'!$B$3:$B$14,0),MATCH(M166,'G-6 Hedgerow Data'!$S$2:$AE$2,0)),INDEX('G-6 Hedgerow Data'!$K$3:$Q$14,MATCH(M166,'G-6 Hedgerow Data'!$B$3:$B$14,0),MATCH(O166,'G-6 Hedgerow Data'!$K$2:$Q$2,0)))),"")</f>
        <v/>
      </c>
      <c r="Y166" s="138"/>
      <c r="Z166" s="138"/>
      <c r="AA166" s="298" t="str">
        <f t="shared" si="16"/>
        <v/>
      </c>
      <c r="AB166" s="311" t="str">
        <f t="shared" si="17"/>
        <v/>
      </c>
      <c r="AC166" s="312" t="str">
        <f t="shared" si="14"/>
        <v/>
      </c>
      <c r="AD166" s="325" t="str">
        <f>IF(M166="","",VLOOKUP(M166,'G-6 Hedgerow Data'!$B$3:$AG$15,31,FALSE))</f>
        <v/>
      </c>
      <c r="AE166" s="298" t="str">
        <f t="shared" si="18"/>
        <v/>
      </c>
      <c r="AF166" s="298" t="str">
        <f t="shared" si="19"/>
        <v/>
      </c>
      <c r="AG166" s="314" t="str">
        <f>IFERROR(IF(O166="","",VLOOKUP(AD166,'G-3 Multipliers'!$P$3:$Q$6,2,FALSE)),"")</f>
        <v/>
      </c>
      <c r="AH166" s="304" t="str">
        <f t="shared" si="20"/>
        <v/>
      </c>
      <c r="AI166" s="157"/>
      <c r="AJ166" s="99"/>
      <c r="AK166" s="101"/>
      <c r="AT166" s="15" t="str">
        <f>IFERROR(INDEX('G-6 Hedgerow Data'!$BJ$3:$BJ$15,MATCH(M166,'G-6 Hedgerow Data'!$B$3:$B$15,0)),"")</f>
        <v/>
      </c>
    </row>
    <row r="167" spans="2:46" ht="14" x14ac:dyDescent="0.3">
      <c r="B167" s="319" t="str">
        <f>'B-1 On-Site Hedge Baseline'!AK165</f>
        <v/>
      </c>
      <c r="C167" s="310" t="str">
        <f>IF(B167="","",IF(ISNA(VLOOKUP($B167,'B-1 On-Site Hedge Baseline'!$B$1:$L$257,3,FALSE)),"",(VLOOKUP($B167,'B-1 On-Site Hedge Baseline'!$B$1:$L$257,3,FALSE))))</f>
        <v/>
      </c>
      <c r="D167" s="310" t="str">
        <f>IF(B167="","",IF(ISNA(VLOOKUP($B167,'B-1 On-Site Hedge Baseline'!$B$1:$L$257,4,FALSE)),"",(VLOOKUP($B167,'B-1 On-Site Hedge Baseline'!$B$1:$L$257,4,FALSE))))</f>
        <v/>
      </c>
      <c r="E167" s="310" t="str">
        <f>IF(B167="","",IF(ISNA(VLOOKUP($B167,'B-1 On-Site Hedge Baseline'!$B$1:$L$257,5,FALSE)),"",(VLOOKUP($B167,'B-1 On-Site Hedge Baseline'!$B$1:$L$257,5,FALSE))))</f>
        <v/>
      </c>
      <c r="F167" s="310" t="str">
        <f>IF(B167="","",IF(ISNA(VLOOKUP($B167,'B-1 On-Site Hedge Baseline'!$B$1:$L$257,6,FALSE)),"",(VLOOKUP($B167,'B-1 On-Site Hedge Baseline'!$B$1:$L$257,6,FALSE))))</f>
        <v/>
      </c>
      <c r="G167" s="310" t="str">
        <f>IF(B167="","",IF(ISNA(VLOOKUP($B167,'B-1 On-Site Hedge Baseline'!$B$1:$L$257,7,FALSE)),"",(VLOOKUP($B167,'B-1 On-Site Hedge Baseline'!$B$1:$L$257,7,FALSE))))</f>
        <v/>
      </c>
      <c r="H167" s="310" t="str">
        <f>IF(B167="","",IF(ISNA(VLOOKUP($B167,'B-1 On-Site Hedge Baseline'!$B$1:$L$257,8,FALSE)),"",(VLOOKUP($B167,'B-1 On-Site Hedge Baseline'!$B$1:$L$257,8,FALSE))))</f>
        <v/>
      </c>
      <c r="I167" s="310" t="str">
        <f>IF(B167="","",IF(ISNA(VLOOKUP($B167,'B-1 On-Site Hedge Baseline'!$B$1:$L$257,10,FALSE)),"",(VLOOKUP($B167,'B-1 On-Site Hedge Baseline'!$B$1:$L$257,10,FALSE))))</f>
        <v/>
      </c>
      <c r="J167" s="310" t="str">
        <f>IF(B167="","",IF(ISNA(VLOOKUP($B167,'B-1 On-Site Hedge Baseline'!$B$1:$L$257,11,FALSE)),"",(VLOOKUP($B167,'B-1 On-Site Hedge Baseline'!$B$1:$L$257,11,FALSE))))</f>
        <v/>
      </c>
      <c r="K167" s="310" t="str">
        <f>IF(B167="","",IF(ISNA(VLOOKUP($B167,'B-1 On-Site Hedge Baseline'!$B$1:$U$257,13,FALSE)),"",(VLOOKUP($B167,'B-1 On-Site Hedge Baseline'!$B$1:$U$257,13,FALSE))))</f>
        <v/>
      </c>
      <c r="L167" s="314" t="str">
        <f>IF(B167="","",IF(ISNA(VLOOKUP($B167,'B-1 On-Site Hedge Baseline'!$B$1:$U$257,12,FALSE)),"",(VLOOKUP($B167,'B-1 On-Site Hedge Baseline'!$B$1:$U$257,12,FALSE))))</f>
        <v/>
      </c>
      <c r="M167" s="583"/>
      <c r="N167" s="290" t="str">
        <f>IFERROR(IF(B167="","",INDEX('G-6 Hedgerow Data'!$AN$3:$AZ$15,MATCH(C167,'G-6 Hedgerow Data'!$AM$3:$AM$15,0),MATCH(M167,'G-6 Hedgerow Data'!$AN$2:$AZ$2,0))),"")</f>
        <v/>
      </c>
      <c r="O167" s="291" t="str">
        <f t="shared" si="15"/>
        <v/>
      </c>
      <c r="P167" s="341" t="str">
        <f>IF(B167="","",VLOOKUP(B167,'B-1 On-Site Hedge Baseline'!$B$10:T412,16,FALSE))</f>
        <v/>
      </c>
      <c r="Q167" s="290" t="str">
        <f>IF(M167="","",VLOOKUP(M167,'G-6 Hedgerow Data'!$B$2:$AG$15,2,FALSE))</f>
        <v/>
      </c>
      <c r="R167" s="291" t="str">
        <f>IF(M167="","",VLOOKUP(M167,'G-6 Hedgerow Data'!$B$2:$AG$15,3,FALSE))</f>
        <v/>
      </c>
      <c r="S167" s="106"/>
      <c r="T167" s="328" t="str">
        <f>IFERROR(IF(S167="","",IF(AND(M167="Non-native and ornamental hedgerow", S167&lt;&gt;"Poor"),"Not possible ▲", (VLOOKUP(S167,'G-1 All Habitats'!$Z$2:$AA$9,2,FALSE)))),"")</f>
        <v/>
      </c>
      <c r="U167" s="103"/>
      <c r="V167" s="310" t="str">
        <f>IF(U167="","",IF(VLOOKUP(U167,'G-3 Multipliers'!$L$3:$N$6,2,FALSE)=0,"Spatial Data Missing ⚠",VLOOKUP(U167,'G-3 Multipliers'!$L$3:$N$6,2,FALSE)))</f>
        <v/>
      </c>
      <c r="W167" s="314" t="str">
        <f>IF(U167="","",IF(VLOOKUP(U167,'G-3 Multipliers'!$L$3:$N$6,3,FALSE)=0,"Spatial Data Missing ⚠",VLOOKUP(U167,'G-3 Multipliers'!$L$3:$N$6,3,FALSE)))</f>
        <v/>
      </c>
      <c r="X167" s="290" t="str">
        <f>IFERROR(IF(OR(LEFT(O167,5)="Error",LEFT(N167,5)="Error",T167="Error"),"Check Data ⚠",IF(F167&lt;R167,INDEX('G-6 Hedgerow Data'!$S$3:$AE$14,MATCH(C167,'G-6 Hedgerow Data'!$B$3:$B$14,0),MATCH(M167,'G-6 Hedgerow Data'!$S$2:$AE$2,0)),INDEX('G-6 Hedgerow Data'!$K$3:$Q$14,MATCH(M167,'G-6 Hedgerow Data'!$B$3:$B$14,0),MATCH(O167,'G-6 Hedgerow Data'!$K$2:$Q$2,0)))),"")</f>
        <v/>
      </c>
      <c r="Y167" s="138"/>
      <c r="Z167" s="138"/>
      <c r="AA167" s="298" t="str">
        <f t="shared" si="16"/>
        <v/>
      </c>
      <c r="AB167" s="311" t="str">
        <f t="shared" si="17"/>
        <v/>
      </c>
      <c r="AC167" s="312" t="str">
        <f t="shared" si="14"/>
        <v/>
      </c>
      <c r="AD167" s="325" t="str">
        <f>IF(M167="","",VLOOKUP(M167,'G-6 Hedgerow Data'!$B$3:$AG$15,31,FALSE))</f>
        <v/>
      </c>
      <c r="AE167" s="298" t="str">
        <f t="shared" si="18"/>
        <v/>
      </c>
      <c r="AF167" s="298" t="str">
        <f t="shared" si="19"/>
        <v/>
      </c>
      <c r="AG167" s="314" t="str">
        <f>IFERROR(IF(O167="","",VLOOKUP(AD167,'G-3 Multipliers'!$P$3:$Q$6,2,FALSE)),"")</f>
        <v/>
      </c>
      <c r="AH167" s="304" t="str">
        <f t="shared" si="20"/>
        <v/>
      </c>
      <c r="AI167" s="157"/>
      <c r="AJ167" s="99"/>
      <c r="AK167" s="101"/>
      <c r="AT167" s="15" t="str">
        <f>IFERROR(INDEX('G-6 Hedgerow Data'!$BJ$3:$BJ$15,MATCH(M167,'G-6 Hedgerow Data'!$B$3:$B$15,0)),"")</f>
        <v/>
      </c>
    </row>
    <row r="168" spans="2:46" ht="14" x14ac:dyDescent="0.3">
      <c r="B168" s="319" t="str">
        <f>'B-1 On-Site Hedge Baseline'!AK166</f>
        <v/>
      </c>
      <c r="C168" s="310" t="str">
        <f>IF(B168="","",IF(ISNA(VLOOKUP($B168,'B-1 On-Site Hedge Baseline'!$B$1:$L$257,3,FALSE)),"",(VLOOKUP($B168,'B-1 On-Site Hedge Baseline'!$B$1:$L$257,3,FALSE))))</f>
        <v/>
      </c>
      <c r="D168" s="310" t="str">
        <f>IF(B168="","",IF(ISNA(VLOOKUP($B168,'B-1 On-Site Hedge Baseline'!$B$1:$L$257,4,FALSE)),"",(VLOOKUP($B168,'B-1 On-Site Hedge Baseline'!$B$1:$L$257,4,FALSE))))</f>
        <v/>
      </c>
      <c r="E168" s="310" t="str">
        <f>IF(B168="","",IF(ISNA(VLOOKUP($B168,'B-1 On-Site Hedge Baseline'!$B$1:$L$257,5,FALSE)),"",(VLOOKUP($B168,'B-1 On-Site Hedge Baseline'!$B$1:$L$257,5,FALSE))))</f>
        <v/>
      </c>
      <c r="F168" s="310" t="str">
        <f>IF(B168="","",IF(ISNA(VLOOKUP($B168,'B-1 On-Site Hedge Baseline'!$B$1:$L$257,6,FALSE)),"",(VLOOKUP($B168,'B-1 On-Site Hedge Baseline'!$B$1:$L$257,6,FALSE))))</f>
        <v/>
      </c>
      <c r="G168" s="310" t="str">
        <f>IF(B168="","",IF(ISNA(VLOOKUP($B168,'B-1 On-Site Hedge Baseline'!$B$1:$L$257,7,FALSE)),"",(VLOOKUP($B168,'B-1 On-Site Hedge Baseline'!$B$1:$L$257,7,FALSE))))</f>
        <v/>
      </c>
      <c r="H168" s="310" t="str">
        <f>IF(B168="","",IF(ISNA(VLOOKUP($B168,'B-1 On-Site Hedge Baseline'!$B$1:$L$257,8,FALSE)),"",(VLOOKUP($B168,'B-1 On-Site Hedge Baseline'!$B$1:$L$257,8,FALSE))))</f>
        <v/>
      </c>
      <c r="I168" s="310" t="str">
        <f>IF(B168="","",IF(ISNA(VLOOKUP($B168,'B-1 On-Site Hedge Baseline'!$B$1:$L$257,10,FALSE)),"",(VLOOKUP($B168,'B-1 On-Site Hedge Baseline'!$B$1:$L$257,10,FALSE))))</f>
        <v/>
      </c>
      <c r="J168" s="310" t="str">
        <f>IF(B168="","",IF(ISNA(VLOOKUP($B168,'B-1 On-Site Hedge Baseline'!$B$1:$L$257,11,FALSE)),"",(VLOOKUP($B168,'B-1 On-Site Hedge Baseline'!$B$1:$L$257,11,FALSE))))</f>
        <v/>
      </c>
      <c r="K168" s="310" t="str">
        <f>IF(B168="","",IF(ISNA(VLOOKUP($B168,'B-1 On-Site Hedge Baseline'!$B$1:$U$257,13,FALSE)),"",(VLOOKUP($B168,'B-1 On-Site Hedge Baseline'!$B$1:$U$257,13,FALSE))))</f>
        <v/>
      </c>
      <c r="L168" s="314" t="str">
        <f>IF(B168="","",IF(ISNA(VLOOKUP($B168,'B-1 On-Site Hedge Baseline'!$B$1:$U$257,12,FALSE)),"",(VLOOKUP($B168,'B-1 On-Site Hedge Baseline'!$B$1:$U$257,12,FALSE))))</f>
        <v/>
      </c>
      <c r="M168" s="583"/>
      <c r="N168" s="290" t="str">
        <f>IFERROR(IF(B168="","",INDEX('G-6 Hedgerow Data'!$AN$3:$AZ$15,MATCH(C168,'G-6 Hedgerow Data'!$AM$3:$AM$15,0),MATCH(M168,'G-6 Hedgerow Data'!$AN$2:$AZ$2,0))),"")</f>
        <v/>
      </c>
      <c r="O168" s="291" t="str">
        <f t="shared" si="15"/>
        <v/>
      </c>
      <c r="P168" s="341" t="str">
        <f>IF(B168="","",VLOOKUP(B168,'B-1 On-Site Hedge Baseline'!$B$10:T413,16,FALSE))</f>
        <v/>
      </c>
      <c r="Q168" s="290" t="str">
        <f>IF(M168="","",VLOOKUP(M168,'G-6 Hedgerow Data'!$B$2:$AG$15,2,FALSE))</f>
        <v/>
      </c>
      <c r="R168" s="291" t="str">
        <f>IF(M168="","",VLOOKUP(M168,'G-6 Hedgerow Data'!$B$2:$AG$15,3,FALSE))</f>
        <v/>
      </c>
      <c r="S168" s="106"/>
      <c r="T168" s="328" t="str">
        <f>IFERROR(IF(S168="","",IF(AND(M168="Non-native and ornamental hedgerow", S168&lt;&gt;"Poor"),"Not possible ▲", (VLOOKUP(S168,'G-1 All Habitats'!$Z$2:$AA$9,2,FALSE)))),"")</f>
        <v/>
      </c>
      <c r="U168" s="103"/>
      <c r="V168" s="310" t="str">
        <f>IF(U168="","",IF(VLOOKUP(U168,'G-3 Multipliers'!$L$3:$N$6,2,FALSE)=0,"Spatial Data Missing ⚠",VLOOKUP(U168,'G-3 Multipliers'!$L$3:$N$6,2,FALSE)))</f>
        <v/>
      </c>
      <c r="W168" s="314" t="str">
        <f>IF(U168="","",IF(VLOOKUP(U168,'G-3 Multipliers'!$L$3:$N$6,3,FALSE)=0,"Spatial Data Missing ⚠",VLOOKUP(U168,'G-3 Multipliers'!$L$3:$N$6,3,FALSE)))</f>
        <v/>
      </c>
      <c r="X168" s="290" t="str">
        <f>IFERROR(IF(OR(LEFT(O168,5)="Error",LEFT(N168,5)="Error",T168="Error"),"Check Data ⚠",IF(F168&lt;R168,INDEX('G-6 Hedgerow Data'!$S$3:$AE$14,MATCH(C168,'G-6 Hedgerow Data'!$B$3:$B$14,0),MATCH(M168,'G-6 Hedgerow Data'!$S$2:$AE$2,0)),INDEX('G-6 Hedgerow Data'!$K$3:$Q$14,MATCH(M168,'G-6 Hedgerow Data'!$B$3:$B$14,0),MATCH(O168,'G-6 Hedgerow Data'!$K$2:$Q$2,0)))),"")</f>
        <v/>
      </c>
      <c r="Y168" s="138"/>
      <c r="Z168" s="138"/>
      <c r="AA168" s="298" t="str">
        <f t="shared" si="16"/>
        <v/>
      </c>
      <c r="AB168" s="311" t="str">
        <f t="shared" si="17"/>
        <v/>
      </c>
      <c r="AC168" s="312" t="str">
        <f t="shared" si="14"/>
        <v/>
      </c>
      <c r="AD168" s="325" t="str">
        <f>IF(M168="","",VLOOKUP(M168,'G-6 Hedgerow Data'!$B$3:$AG$15,31,FALSE))</f>
        <v/>
      </c>
      <c r="AE168" s="298" t="str">
        <f t="shared" si="18"/>
        <v/>
      </c>
      <c r="AF168" s="298" t="str">
        <f t="shared" si="19"/>
        <v/>
      </c>
      <c r="AG168" s="314" t="str">
        <f>IFERROR(IF(O168="","",VLOOKUP(AD168,'G-3 Multipliers'!$P$3:$Q$6,2,FALSE)),"")</f>
        <v/>
      </c>
      <c r="AH168" s="304" t="str">
        <f t="shared" si="20"/>
        <v/>
      </c>
      <c r="AI168" s="157"/>
      <c r="AJ168" s="99"/>
      <c r="AK168" s="101"/>
      <c r="AT168" s="15" t="str">
        <f>IFERROR(INDEX('G-6 Hedgerow Data'!$BJ$3:$BJ$15,MATCH(M168,'G-6 Hedgerow Data'!$B$3:$B$15,0)),"")</f>
        <v/>
      </c>
    </row>
    <row r="169" spans="2:46" ht="14" x14ac:dyDescent="0.3">
      <c r="B169" s="319" t="str">
        <f>'B-1 On-Site Hedge Baseline'!AK167</f>
        <v/>
      </c>
      <c r="C169" s="310" t="str">
        <f>IF(B169="","",IF(ISNA(VLOOKUP($B169,'B-1 On-Site Hedge Baseline'!$B$1:$L$257,3,FALSE)),"",(VLOOKUP($B169,'B-1 On-Site Hedge Baseline'!$B$1:$L$257,3,FALSE))))</f>
        <v/>
      </c>
      <c r="D169" s="310" t="str">
        <f>IF(B169="","",IF(ISNA(VLOOKUP($B169,'B-1 On-Site Hedge Baseline'!$B$1:$L$257,4,FALSE)),"",(VLOOKUP($B169,'B-1 On-Site Hedge Baseline'!$B$1:$L$257,4,FALSE))))</f>
        <v/>
      </c>
      <c r="E169" s="310" t="str">
        <f>IF(B169="","",IF(ISNA(VLOOKUP($B169,'B-1 On-Site Hedge Baseline'!$B$1:$L$257,5,FALSE)),"",(VLOOKUP($B169,'B-1 On-Site Hedge Baseline'!$B$1:$L$257,5,FALSE))))</f>
        <v/>
      </c>
      <c r="F169" s="310" t="str">
        <f>IF(B169="","",IF(ISNA(VLOOKUP($B169,'B-1 On-Site Hedge Baseline'!$B$1:$L$257,6,FALSE)),"",(VLOOKUP($B169,'B-1 On-Site Hedge Baseline'!$B$1:$L$257,6,FALSE))))</f>
        <v/>
      </c>
      <c r="G169" s="310" t="str">
        <f>IF(B169="","",IF(ISNA(VLOOKUP($B169,'B-1 On-Site Hedge Baseline'!$B$1:$L$257,7,FALSE)),"",(VLOOKUP($B169,'B-1 On-Site Hedge Baseline'!$B$1:$L$257,7,FALSE))))</f>
        <v/>
      </c>
      <c r="H169" s="310" t="str">
        <f>IF(B169="","",IF(ISNA(VLOOKUP($B169,'B-1 On-Site Hedge Baseline'!$B$1:$L$257,8,FALSE)),"",(VLOOKUP($B169,'B-1 On-Site Hedge Baseline'!$B$1:$L$257,8,FALSE))))</f>
        <v/>
      </c>
      <c r="I169" s="310" t="str">
        <f>IF(B169="","",IF(ISNA(VLOOKUP($B169,'B-1 On-Site Hedge Baseline'!$B$1:$L$257,10,FALSE)),"",(VLOOKUP($B169,'B-1 On-Site Hedge Baseline'!$B$1:$L$257,10,FALSE))))</f>
        <v/>
      </c>
      <c r="J169" s="310" t="str">
        <f>IF(B169="","",IF(ISNA(VLOOKUP($B169,'B-1 On-Site Hedge Baseline'!$B$1:$L$257,11,FALSE)),"",(VLOOKUP($B169,'B-1 On-Site Hedge Baseline'!$B$1:$L$257,11,FALSE))))</f>
        <v/>
      </c>
      <c r="K169" s="310" t="str">
        <f>IF(B169="","",IF(ISNA(VLOOKUP($B169,'B-1 On-Site Hedge Baseline'!$B$1:$U$257,13,FALSE)),"",(VLOOKUP($B169,'B-1 On-Site Hedge Baseline'!$B$1:$U$257,13,FALSE))))</f>
        <v/>
      </c>
      <c r="L169" s="314" t="str">
        <f>IF(B169="","",IF(ISNA(VLOOKUP($B169,'B-1 On-Site Hedge Baseline'!$B$1:$U$257,12,FALSE)),"",(VLOOKUP($B169,'B-1 On-Site Hedge Baseline'!$B$1:$U$257,12,FALSE))))</f>
        <v/>
      </c>
      <c r="M169" s="583"/>
      <c r="N169" s="290" t="str">
        <f>IFERROR(IF(B169="","",INDEX('G-6 Hedgerow Data'!$AN$3:$AZ$15,MATCH(C169,'G-6 Hedgerow Data'!$AM$3:$AM$15,0),MATCH(M169,'G-6 Hedgerow Data'!$AN$2:$AZ$2,0))),"")</f>
        <v/>
      </c>
      <c r="O169" s="291" t="str">
        <f t="shared" si="15"/>
        <v/>
      </c>
      <c r="P169" s="341" t="str">
        <f>IF(B169="","",VLOOKUP(B169,'B-1 On-Site Hedge Baseline'!$B$10:T414,16,FALSE))</f>
        <v/>
      </c>
      <c r="Q169" s="290" t="str">
        <f>IF(M169="","",VLOOKUP(M169,'G-6 Hedgerow Data'!$B$2:$AG$15,2,FALSE))</f>
        <v/>
      </c>
      <c r="R169" s="291" t="str">
        <f>IF(M169="","",VLOOKUP(M169,'G-6 Hedgerow Data'!$B$2:$AG$15,3,FALSE))</f>
        <v/>
      </c>
      <c r="S169" s="106"/>
      <c r="T169" s="328" t="str">
        <f>IFERROR(IF(S169="","",IF(AND(M169="Non-native and ornamental hedgerow", S169&lt;&gt;"Poor"),"Not possible ▲", (VLOOKUP(S169,'G-1 All Habitats'!$Z$2:$AA$9,2,FALSE)))),"")</f>
        <v/>
      </c>
      <c r="U169" s="103"/>
      <c r="V169" s="310" t="str">
        <f>IF(U169="","",IF(VLOOKUP(U169,'G-3 Multipliers'!$L$3:$N$6,2,FALSE)=0,"Spatial Data Missing ⚠",VLOOKUP(U169,'G-3 Multipliers'!$L$3:$N$6,2,FALSE)))</f>
        <v/>
      </c>
      <c r="W169" s="314" t="str">
        <f>IF(U169="","",IF(VLOOKUP(U169,'G-3 Multipliers'!$L$3:$N$6,3,FALSE)=0,"Spatial Data Missing ⚠",VLOOKUP(U169,'G-3 Multipliers'!$L$3:$N$6,3,FALSE)))</f>
        <v/>
      </c>
      <c r="X169" s="290" t="str">
        <f>IFERROR(IF(OR(LEFT(O169,5)="Error",LEFT(N169,5)="Error",T169="Error"),"Check Data ⚠",IF(F169&lt;R169,INDEX('G-6 Hedgerow Data'!$S$3:$AE$14,MATCH(C169,'G-6 Hedgerow Data'!$B$3:$B$14,0),MATCH(M169,'G-6 Hedgerow Data'!$S$2:$AE$2,0)),INDEX('G-6 Hedgerow Data'!$K$3:$Q$14,MATCH(M169,'G-6 Hedgerow Data'!$B$3:$B$14,0),MATCH(O169,'G-6 Hedgerow Data'!$K$2:$Q$2,0)))),"")</f>
        <v/>
      </c>
      <c r="Y169" s="138"/>
      <c r="Z169" s="138"/>
      <c r="AA169" s="298" t="str">
        <f t="shared" si="16"/>
        <v/>
      </c>
      <c r="AB169" s="311" t="str">
        <f t="shared" si="17"/>
        <v/>
      </c>
      <c r="AC169" s="312" t="str">
        <f t="shared" si="14"/>
        <v/>
      </c>
      <c r="AD169" s="325" t="str">
        <f>IF(M169="","",VLOOKUP(M169,'G-6 Hedgerow Data'!$B$3:$AG$15,31,FALSE))</f>
        <v/>
      </c>
      <c r="AE169" s="298" t="str">
        <f t="shared" si="18"/>
        <v/>
      </c>
      <c r="AF169" s="298" t="str">
        <f t="shared" si="19"/>
        <v/>
      </c>
      <c r="AG169" s="314" t="str">
        <f>IFERROR(IF(O169="","",VLOOKUP(AD169,'G-3 Multipliers'!$P$3:$Q$6,2,FALSE)),"")</f>
        <v/>
      </c>
      <c r="AH169" s="304" t="str">
        <f t="shared" si="20"/>
        <v/>
      </c>
      <c r="AI169" s="157"/>
      <c r="AJ169" s="99"/>
      <c r="AK169" s="101"/>
      <c r="AT169" s="15" t="str">
        <f>IFERROR(INDEX('G-6 Hedgerow Data'!$BJ$3:$BJ$15,MATCH(M169,'G-6 Hedgerow Data'!$B$3:$B$15,0)),"")</f>
        <v/>
      </c>
    </row>
    <row r="170" spans="2:46" ht="14" x14ac:dyDescent="0.3">
      <c r="B170" s="319" t="str">
        <f>'B-1 On-Site Hedge Baseline'!AK168</f>
        <v/>
      </c>
      <c r="C170" s="310" t="str">
        <f>IF(B170="","",IF(ISNA(VLOOKUP($B170,'B-1 On-Site Hedge Baseline'!$B$1:$L$257,3,FALSE)),"",(VLOOKUP($B170,'B-1 On-Site Hedge Baseline'!$B$1:$L$257,3,FALSE))))</f>
        <v/>
      </c>
      <c r="D170" s="310" t="str">
        <f>IF(B170="","",IF(ISNA(VLOOKUP($B170,'B-1 On-Site Hedge Baseline'!$B$1:$L$257,4,FALSE)),"",(VLOOKUP($B170,'B-1 On-Site Hedge Baseline'!$B$1:$L$257,4,FALSE))))</f>
        <v/>
      </c>
      <c r="E170" s="310" t="str">
        <f>IF(B170="","",IF(ISNA(VLOOKUP($B170,'B-1 On-Site Hedge Baseline'!$B$1:$L$257,5,FALSE)),"",(VLOOKUP($B170,'B-1 On-Site Hedge Baseline'!$B$1:$L$257,5,FALSE))))</f>
        <v/>
      </c>
      <c r="F170" s="310" t="str">
        <f>IF(B170="","",IF(ISNA(VLOOKUP($B170,'B-1 On-Site Hedge Baseline'!$B$1:$L$257,6,FALSE)),"",(VLOOKUP($B170,'B-1 On-Site Hedge Baseline'!$B$1:$L$257,6,FALSE))))</f>
        <v/>
      </c>
      <c r="G170" s="310" t="str">
        <f>IF(B170="","",IF(ISNA(VLOOKUP($B170,'B-1 On-Site Hedge Baseline'!$B$1:$L$257,7,FALSE)),"",(VLOOKUP($B170,'B-1 On-Site Hedge Baseline'!$B$1:$L$257,7,FALSE))))</f>
        <v/>
      </c>
      <c r="H170" s="310" t="str">
        <f>IF(B170="","",IF(ISNA(VLOOKUP($B170,'B-1 On-Site Hedge Baseline'!$B$1:$L$257,8,FALSE)),"",(VLOOKUP($B170,'B-1 On-Site Hedge Baseline'!$B$1:$L$257,8,FALSE))))</f>
        <v/>
      </c>
      <c r="I170" s="310" t="str">
        <f>IF(B170="","",IF(ISNA(VLOOKUP($B170,'B-1 On-Site Hedge Baseline'!$B$1:$L$257,10,FALSE)),"",(VLOOKUP($B170,'B-1 On-Site Hedge Baseline'!$B$1:$L$257,10,FALSE))))</f>
        <v/>
      </c>
      <c r="J170" s="310" t="str">
        <f>IF(B170="","",IF(ISNA(VLOOKUP($B170,'B-1 On-Site Hedge Baseline'!$B$1:$L$257,11,FALSE)),"",(VLOOKUP($B170,'B-1 On-Site Hedge Baseline'!$B$1:$L$257,11,FALSE))))</f>
        <v/>
      </c>
      <c r="K170" s="310" t="str">
        <f>IF(B170="","",IF(ISNA(VLOOKUP($B170,'B-1 On-Site Hedge Baseline'!$B$1:$U$257,13,FALSE)),"",(VLOOKUP($B170,'B-1 On-Site Hedge Baseline'!$B$1:$U$257,13,FALSE))))</f>
        <v/>
      </c>
      <c r="L170" s="314" t="str">
        <f>IF(B170="","",IF(ISNA(VLOOKUP($B170,'B-1 On-Site Hedge Baseline'!$B$1:$U$257,12,FALSE)),"",(VLOOKUP($B170,'B-1 On-Site Hedge Baseline'!$B$1:$U$257,12,FALSE))))</f>
        <v/>
      </c>
      <c r="M170" s="583"/>
      <c r="N170" s="290" t="str">
        <f>IFERROR(IF(B170="","",INDEX('G-6 Hedgerow Data'!$AN$3:$AZ$15,MATCH(C170,'G-6 Hedgerow Data'!$AM$3:$AM$15,0),MATCH(M170,'G-6 Hedgerow Data'!$AN$2:$AZ$2,0))),"")</f>
        <v/>
      </c>
      <c r="O170" s="291" t="str">
        <f t="shared" si="15"/>
        <v/>
      </c>
      <c r="P170" s="341" t="str">
        <f>IF(B170="","",VLOOKUP(B170,'B-1 On-Site Hedge Baseline'!$B$10:T415,16,FALSE))</f>
        <v/>
      </c>
      <c r="Q170" s="290" t="str">
        <f>IF(M170="","",VLOOKUP(M170,'G-6 Hedgerow Data'!$B$2:$AG$15,2,FALSE))</f>
        <v/>
      </c>
      <c r="R170" s="291" t="str">
        <f>IF(M170="","",VLOOKUP(M170,'G-6 Hedgerow Data'!$B$2:$AG$15,3,FALSE))</f>
        <v/>
      </c>
      <c r="S170" s="106"/>
      <c r="T170" s="328" t="str">
        <f>IFERROR(IF(S170="","",IF(AND(M170="Non-native and ornamental hedgerow", S170&lt;&gt;"Poor"),"Not possible ▲", (VLOOKUP(S170,'G-1 All Habitats'!$Z$2:$AA$9,2,FALSE)))),"")</f>
        <v/>
      </c>
      <c r="U170" s="103"/>
      <c r="V170" s="310" t="str">
        <f>IF(U170="","",IF(VLOOKUP(U170,'G-3 Multipliers'!$L$3:$N$6,2,FALSE)=0,"Spatial Data Missing ⚠",VLOOKUP(U170,'G-3 Multipliers'!$L$3:$N$6,2,FALSE)))</f>
        <v/>
      </c>
      <c r="W170" s="314" t="str">
        <f>IF(U170="","",IF(VLOOKUP(U170,'G-3 Multipliers'!$L$3:$N$6,3,FALSE)=0,"Spatial Data Missing ⚠",VLOOKUP(U170,'G-3 Multipliers'!$L$3:$N$6,3,FALSE)))</f>
        <v/>
      </c>
      <c r="X170" s="290" t="str">
        <f>IFERROR(IF(OR(LEFT(O170,5)="Error",LEFT(N170,5)="Error",T170="Error"),"Check Data ⚠",IF(F170&lt;R170,INDEX('G-6 Hedgerow Data'!$S$3:$AE$14,MATCH(C170,'G-6 Hedgerow Data'!$B$3:$B$14,0),MATCH(M170,'G-6 Hedgerow Data'!$S$2:$AE$2,0)),INDEX('G-6 Hedgerow Data'!$K$3:$Q$14,MATCH(M170,'G-6 Hedgerow Data'!$B$3:$B$14,0),MATCH(O170,'G-6 Hedgerow Data'!$K$2:$Q$2,0)))),"")</f>
        <v/>
      </c>
      <c r="Y170" s="138"/>
      <c r="Z170" s="138"/>
      <c r="AA170" s="298" t="str">
        <f t="shared" si="16"/>
        <v/>
      </c>
      <c r="AB170" s="311" t="str">
        <f t="shared" si="17"/>
        <v/>
      </c>
      <c r="AC170" s="312" t="str">
        <f t="shared" si="14"/>
        <v/>
      </c>
      <c r="AD170" s="325" t="str">
        <f>IF(M170="","",VLOOKUP(M170,'G-6 Hedgerow Data'!$B$3:$AG$15,31,FALSE))</f>
        <v/>
      </c>
      <c r="AE170" s="298" t="str">
        <f t="shared" si="18"/>
        <v/>
      </c>
      <c r="AF170" s="298" t="str">
        <f t="shared" si="19"/>
        <v/>
      </c>
      <c r="AG170" s="314" t="str">
        <f>IFERROR(IF(O170="","",VLOOKUP(AD170,'G-3 Multipliers'!$P$3:$Q$6,2,FALSE)),"")</f>
        <v/>
      </c>
      <c r="AH170" s="304" t="str">
        <f t="shared" si="20"/>
        <v/>
      </c>
      <c r="AI170" s="157"/>
      <c r="AJ170" s="99"/>
      <c r="AK170" s="101"/>
      <c r="AT170" s="15" t="str">
        <f>IFERROR(INDEX('G-6 Hedgerow Data'!$BJ$3:$BJ$15,MATCH(M170,'G-6 Hedgerow Data'!$B$3:$B$15,0)),"")</f>
        <v/>
      </c>
    </row>
    <row r="171" spans="2:46" ht="14" x14ac:dyDescent="0.3">
      <c r="B171" s="319" t="str">
        <f>'B-1 On-Site Hedge Baseline'!AK169</f>
        <v/>
      </c>
      <c r="C171" s="310" t="str">
        <f>IF(B171="","",IF(ISNA(VLOOKUP($B171,'B-1 On-Site Hedge Baseline'!$B$1:$L$257,3,FALSE)),"",(VLOOKUP($B171,'B-1 On-Site Hedge Baseline'!$B$1:$L$257,3,FALSE))))</f>
        <v/>
      </c>
      <c r="D171" s="310" t="str">
        <f>IF(B171="","",IF(ISNA(VLOOKUP($B171,'B-1 On-Site Hedge Baseline'!$B$1:$L$257,4,FALSE)),"",(VLOOKUP($B171,'B-1 On-Site Hedge Baseline'!$B$1:$L$257,4,FALSE))))</f>
        <v/>
      </c>
      <c r="E171" s="310" t="str">
        <f>IF(B171="","",IF(ISNA(VLOOKUP($B171,'B-1 On-Site Hedge Baseline'!$B$1:$L$257,5,FALSE)),"",(VLOOKUP($B171,'B-1 On-Site Hedge Baseline'!$B$1:$L$257,5,FALSE))))</f>
        <v/>
      </c>
      <c r="F171" s="310" t="str">
        <f>IF(B171="","",IF(ISNA(VLOOKUP($B171,'B-1 On-Site Hedge Baseline'!$B$1:$L$257,6,FALSE)),"",(VLOOKUP($B171,'B-1 On-Site Hedge Baseline'!$B$1:$L$257,6,FALSE))))</f>
        <v/>
      </c>
      <c r="G171" s="310" t="str">
        <f>IF(B171="","",IF(ISNA(VLOOKUP($B171,'B-1 On-Site Hedge Baseline'!$B$1:$L$257,7,FALSE)),"",(VLOOKUP($B171,'B-1 On-Site Hedge Baseline'!$B$1:$L$257,7,FALSE))))</f>
        <v/>
      </c>
      <c r="H171" s="310" t="str">
        <f>IF(B171="","",IF(ISNA(VLOOKUP($B171,'B-1 On-Site Hedge Baseline'!$B$1:$L$257,8,FALSE)),"",(VLOOKUP($B171,'B-1 On-Site Hedge Baseline'!$B$1:$L$257,8,FALSE))))</f>
        <v/>
      </c>
      <c r="I171" s="310" t="str">
        <f>IF(B171="","",IF(ISNA(VLOOKUP($B171,'B-1 On-Site Hedge Baseline'!$B$1:$L$257,10,FALSE)),"",(VLOOKUP($B171,'B-1 On-Site Hedge Baseline'!$B$1:$L$257,10,FALSE))))</f>
        <v/>
      </c>
      <c r="J171" s="310" t="str">
        <f>IF(B171="","",IF(ISNA(VLOOKUP($B171,'B-1 On-Site Hedge Baseline'!$B$1:$L$257,11,FALSE)),"",(VLOOKUP($B171,'B-1 On-Site Hedge Baseline'!$B$1:$L$257,11,FALSE))))</f>
        <v/>
      </c>
      <c r="K171" s="310" t="str">
        <f>IF(B171="","",IF(ISNA(VLOOKUP($B171,'B-1 On-Site Hedge Baseline'!$B$1:$U$257,13,FALSE)),"",(VLOOKUP($B171,'B-1 On-Site Hedge Baseline'!$B$1:$U$257,13,FALSE))))</f>
        <v/>
      </c>
      <c r="L171" s="314" t="str">
        <f>IF(B171="","",IF(ISNA(VLOOKUP($B171,'B-1 On-Site Hedge Baseline'!$B$1:$U$257,12,FALSE)),"",(VLOOKUP($B171,'B-1 On-Site Hedge Baseline'!$B$1:$U$257,12,FALSE))))</f>
        <v/>
      </c>
      <c r="M171" s="583"/>
      <c r="N171" s="290" t="str">
        <f>IFERROR(IF(B171="","",INDEX('G-6 Hedgerow Data'!$AN$3:$AZ$15,MATCH(C171,'G-6 Hedgerow Data'!$AM$3:$AM$15,0),MATCH(M171,'G-6 Hedgerow Data'!$AN$2:$AZ$2,0))),"")</f>
        <v/>
      </c>
      <c r="O171" s="291" t="str">
        <f t="shared" si="15"/>
        <v/>
      </c>
      <c r="P171" s="341" t="str">
        <f>IF(B171="","",VLOOKUP(B171,'B-1 On-Site Hedge Baseline'!$B$10:T416,16,FALSE))</f>
        <v/>
      </c>
      <c r="Q171" s="290" t="str">
        <f>IF(M171="","",VLOOKUP(M171,'G-6 Hedgerow Data'!$B$2:$AG$15,2,FALSE))</f>
        <v/>
      </c>
      <c r="R171" s="291" t="str">
        <f>IF(M171="","",VLOOKUP(M171,'G-6 Hedgerow Data'!$B$2:$AG$15,3,FALSE))</f>
        <v/>
      </c>
      <c r="S171" s="106"/>
      <c r="T171" s="328" t="str">
        <f>IFERROR(IF(S171="","",IF(AND(M171="Non-native and ornamental hedgerow", S171&lt;&gt;"Poor"),"Not possible ▲", (VLOOKUP(S171,'G-1 All Habitats'!$Z$2:$AA$9,2,FALSE)))),"")</f>
        <v/>
      </c>
      <c r="U171" s="103"/>
      <c r="V171" s="310" t="str">
        <f>IF(U171="","",IF(VLOOKUP(U171,'G-3 Multipliers'!$L$3:$N$6,2,FALSE)=0,"Spatial Data Missing ⚠",VLOOKUP(U171,'G-3 Multipliers'!$L$3:$N$6,2,FALSE)))</f>
        <v/>
      </c>
      <c r="W171" s="314" t="str">
        <f>IF(U171="","",IF(VLOOKUP(U171,'G-3 Multipliers'!$L$3:$N$6,3,FALSE)=0,"Spatial Data Missing ⚠",VLOOKUP(U171,'G-3 Multipliers'!$L$3:$N$6,3,FALSE)))</f>
        <v/>
      </c>
      <c r="X171" s="290" t="str">
        <f>IFERROR(IF(OR(LEFT(O171,5)="Error",LEFT(N171,5)="Error",T171="Error"),"Check Data ⚠",IF(F171&lt;R171,INDEX('G-6 Hedgerow Data'!$S$3:$AE$14,MATCH(C171,'G-6 Hedgerow Data'!$B$3:$B$14,0),MATCH(M171,'G-6 Hedgerow Data'!$S$2:$AE$2,0)),INDEX('G-6 Hedgerow Data'!$K$3:$Q$14,MATCH(M171,'G-6 Hedgerow Data'!$B$3:$B$14,0),MATCH(O171,'G-6 Hedgerow Data'!$K$2:$Q$2,0)))),"")</f>
        <v/>
      </c>
      <c r="Y171" s="138"/>
      <c r="Z171" s="138"/>
      <c r="AA171" s="298" t="str">
        <f t="shared" si="16"/>
        <v/>
      </c>
      <c r="AB171" s="311" t="str">
        <f t="shared" si="17"/>
        <v/>
      </c>
      <c r="AC171" s="312" t="str">
        <f t="shared" si="14"/>
        <v/>
      </c>
      <c r="AD171" s="325" t="str">
        <f>IF(M171="","",VLOOKUP(M171,'G-6 Hedgerow Data'!$B$3:$AG$15,31,FALSE))</f>
        <v/>
      </c>
      <c r="AE171" s="298" t="str">
        <f t="shared" si="18"/>
        <v/>
      </c>
      <c r="AF171" s="298" t="str">
        <f t="shared" si="19"/>
        <v/>
      </c>
      <c r="AG171" s="314" t="str">
        <f>IFERROR(IF(O171="","",VLOOKUP(AD171,'G-3 Multipliers'!$P$3:$Q$6,2,FALSE)),"")</f>
        <v/>
      </c>
      <c r="AH171" s="304" t="str">
        <f t="shared" si="20"/>
        <v/>
      </c>
      <c r="AI171" s="157"/>
      <c r="AJ171" s="99"/>
      <c r="AK171" s="101"/>
      <c r="AT171" s="15" t="str">
        <f>IFERROR(INDEX('G-6 Hedgerow Data'!$BJ$3:$BJ$15,MATCH(M171,'G-6 Hedgerow Data'!$B$3:$B$15,0)),"")</f>
        <v/>
      </c>
    </row>
    <row r="172" spans="2:46" ht="14" x14ac:dyDescent="0.3">
      <c r="B172" s="319" t="str">
        <f>'B-1 On-Site Hedge Baseline'!AK170</f>
        <v/>
      </c>
      <c r="C172" s="310" t="str">
        <f>IF(B172="","",IF(ISNA(VLOOKUP($B172,'B-1 On-Site Hedge Baseline'!$B$1:$L$257,3,FALSE)),"",(VLOOKUP($B172,'B-1 On-Site Hedge Baseline'!$B$1:$L$257,3,FALSE))))</f>
        <v/>
      </c>
      <c r="D172" s="310" t="str">
        <f>IF(B172="","",IF(ISNA(VLOOKUP($B172,'B-1 On-Site Hedge Baseline'!$B$1:$L$257,4,FALSE)),"",(VLOOKUP($B172,'B-1 On-Site Hedge Baseline'!$B$1:$L$257,4,FALSE))))</f>
        <v/>
      </c>
      <c r="E172" s="310" t="str">
        <f>IF(B172="","",IF(ISNA(VLOOKUP($B172,'B-1 On-Site Hedge Baseline'!$B$1:$L$257,5,FALSE)),"",(VLOOKUP($B172,'B-1 On-Site Hedge Baseline'!$B$1:$L$257,5,FALSE))))</f>
        <v/>
      </c>
      <c r="F172" s="310" t="str">
        <f>IF(B172="","",IF(ISNA(VLOOKUP($B172,'B-1 On-Site Hedge Baseline'!$B$1:$L$257,6,FALSE)),"",(VLOOKUP($B172,'B-1 On-Site Hedge Baseline'!$B$1:$L$257,6,FALSE))))</f>
        <v/>
      </c>
      <c r="G172" s="310" t="str">
        <f>IF(B172="","",IF(ISNA(VLOOKUP($B172,'B-1 On-Site Hedge Baseline'!$B$1:$L$257,7,FALSE)),"",(VLOOKUP($B172,'B-1 On-Site Hedge Baseline'!$B$1:$L$257,7,FALSE))))</f>
        <v/>
      </c>
      <c r="H172" s="310" t="str">
        <f>IF(B172="","",IF(ISNA(VLOOKUP($B172,'B-1 On-Site Hedge Baseline'!$B$1:$L$257,8,FALSE)),"",(VLOOKUP($B172,'B-1 On-Site Hedge Baseline'!$B$1:$L$257,8,FALSE))))</f>
        <v/>
      </c>
      <c r="I172" s="310" t="str">
        <f>IF(B172="","",IF(ISNA(VLOOKUP($B172,'B-1 On-Site Hedge Baseline'!$B$1:$L$257,10,FALSE)),"",(VLOOKUP($B172,'B-1 On-Site Hedge Baseline'!$B$1:$L$257,10,FALSE))))</f>
        <v/>
      </c>
      <c r="J172" s="310" t="str">
        <f>IF(B172="","",IF(ISNA(VLOOKUP($B172,'B-1 On-Site Hedge Baseline'!$B$1:$L$257,11,FALSE)),"",(VLOOKUP($B172,'B-1 On-Site Hedge Baseline'!$B$1:$L$257,11,FALSE))))</f>
        <v/>
      </c>
      <c r="K172" s="310" t="str">
        <f>IF(B172="","",IF(ISNA(VLOOKUP($B172,'B-1 On-Site Hedge Baseline'!$B$1:$U$257,13,FALSE)),"",(VLOOKUP($B172,'B-1 On-Site Hedge Baseline'!$B$1:$U$257,13,FALSE))))</f>
        <v/>
      </c>
      <c r="L172" s="314" t="str">
        <f>IF(B172="","",IF(ISNA(VLOOKUP($B172,'B-1 On-Site Hedge Baseline'!$B$1:$U$257,12,FALSE)),"",(VLOOKUP($B172,'B-1 On-Site Hedge Baseline'!$B$1:$U$257,12,FALSE))))</f>
        <v/>
      </c>
      <c r="M172" s="583"/>
      <c r="N172" s="290" t="str">
        <f>IFERROR(IF(B172="","",INDEX('G-6 Hedgerow Data'!$AN$3:$AZ$15,MATCH(C172,'G-6 Hedgerow Data'!$AM$3:$AM$15,0),MATCH(M172,'G-6 Hedgerow Data'!$AN$2:$AZ$2,0))),"")</f>
        <v/>
      </c>
      <c r="O172" s="291" t="str">
        <f t="shared" si="15"/>
        <v/>
      </c>
      <c r="P172" s="341" t="str">
        <f>IF(B172="","",VLOOKUP(B172,'B-1 On-Site Hedge Baseline'!$B$10:T417,16,FALSE))</f>
        <v/>
      </c>
      <c r="Q172" s="290" t="str">
        <f>IF(M172="","",VLOOKUP(M172,'G-6 Hedgerow Data'!$B$2:$AG$15,2,FALSE))</f>
        <v/>
      </c>
      <c r="R172" s="291" t="str">
        <f>IF(M172="","",VLOOKUP(M172,'G-6 Hedgerow Data'!$B$2:$AG$15,3,FALSE))</f>
        <v/>
      </c>
      <c r="S172" s="106"/>
      <c r="T172" s="328" t="str">
        <f>IFERROR(IF(S172="","",IF(AND(M172="Non-native and ornamental hedgerow", S172&lt;&gt;"Poor"),"Not possible ▲", (VLOOKUP(S172,'G-1 All Habitats'!$Z$2:$AA$9,2,FALSE)))),"")</f>
        <v/>
      </c>
      <c r="U172" s="103"/>
      <c r="V172" s="310" t="str">
        <f>IF(U172="","",IF(VLOOKUP(U172,'G-3 Multipliers'!$L$3:$N$6,2,FALSE)=0,"Spatial Data Missing ⚠",VLOOKUP(U172,'G-3 Multipliers'!$L$3:$N$6,2,FALSE)))</f>
        <v/>
      </c>
      <c r="W172" s="314" t="str">
        <f>IF(U172="","",IF(VLOOKUP(U172,'G-3 Multipliers'!$L$3:$N$6,3,FALSE)=0,"Spatial Data Missing ⚠",VLOOKUP(U172,'G-3 Multipliers'!$L$3:$N$6,3,FALSE)))</f>
        <v/>
      </c>
      <c r="X172" s="290" t="str">
        <f>IFERROR(IF(OR(LEFT(O172,5)="Error",LEFT(N172,5)="Error",T172="Error"),"Check Data ⚠",IF(F172&lt;R172,INDEX('G-6 Hedgerow Data'!$S$3:$AE$14,MATCH(C172,'G-6 Hedgerow Data'!$B$3:$B$14,0),MATCH(M172,'G-6 Hedgerow Data'!$S$2:$AE$2,0)),INDEX('G-6 Hedgerow Data'!$K$3:$Q$14,MATCH(M172,'G-6 Hedgerow Data'!$B$3:$B$14,0),MATCH(O172,'G-6 Hedgerow Data'!$K$2:$Q$2,0)))),"")</f>
        <v/>
      </c>
      <c r="Y172" s="138"/>
      <c r="Z172" s="138"/>
      <c r="AA172" s="298" t="str">
        <f t="shared" si="16"/>
        <v/>
      </c>
      <c r="AB172" s="311" t="str">
        <f t="shared" si="17"/>
        <v/>
      </c>
      <c r="AC172" s="312" t="str">
        <f t="shared" si="14"/>
        <v/>
      </c>
      <c r="AD172" s="325" t="str">
        <f>IF(M172="","",VLOOKUP(M172,'G-6 Hedgerow Data'!$B$3:$AG$15,31,FALSE))</f>
        <v/>
      </c>
      <c r="AE172" s="298" t="str">
        <f t="shared" si="18"/>
        <v/>
      </c>
      <c r="AF172" s="298" t="str">
        <f t="shared" si="19"/>
        <v/>
      </c>
      <c r="AG172" s="314" t="str">
        <f>IFERROR(IF(O172="","",VLOOKUP(AD172,'G-3 Multipliers'!$P$3:$Q$6,2,FALSE)),"")</f>
        <v/>
      </c>
      <c r="AH172" s="304" t="str">
        <f t="shared" si="20"/>
        <v/>
      </c>
      <c r="AI172" s="157"/>
      <c r="AJ172" s="99"/>
      <c r="AK172" s="101"/>
      <c r="AT172" s="15" t="str">
        <f>IFERROR(INDEX('G-6 Hedgerow Data'!$BJ$3:$BJ$15,MATCH(M172,'G-6 Hedgerow Data'!$B$3:$B$15,0)),"")</f>
        <v/>
      </c>
    </row>
    <row r="173" spans="2:46" ht="14" x14ac:dyDescent="0.3">
      <c r="B173" s="319" t="str">
        <f>'B-1 On-Site Hedge Baseline'!AK171</f>
        <v/>
      </c>
      <c r="C173" s="310" t="str">
        <f>IF(B173="","",IF(ISNA(VLOOKUP($B173,'B-1 On-Site Hedge Baseline'!$B$1:$L$257,3,FALSE)),"",(VLOOKUP($B173,'B-1 On-Site Hedge Baseline'!$B$1:$L$257,3,FALSE))))</f>
        <v/>
      </c>
      <c r="D173" s="310" t="str">
        <f>IF(B173="","",IF(ISNA(VLOOKUP($B173,'B-1 On-Site Hedge Baseline'!$B$1:$L$257,4,FALSE)),"",(VLOOKUP($B173,'B-1 On-Site Hedge Baseline'!$B$1:$L$257,4,FALSE))))</f>
        <v/>
      </c>
      <c r="E173" s="310" t="str">
        <f>IF(B173="","",IF(ISNA(VLOOKUP($B173,'B-1 On-Site Hedge Baseline'!$B$1:$L$257,5,FALSE)),"",(VLOOKUP($B173,'B-1 On-Site Hedge Baseline'!$B$1:$L$257,5,FALSE))))</f>
        <v/>
      </c>
      <c r="F173" s="310" t="str">
        <f>IF(B173="","",IF(ISNA(VLOOKUP($B173,'B-1 On-Site Hedge Baseline'!$B$1:$L$257,6,FALSE)),"",(VLOOKUP($B173,'B-1 On-Site Hedge Baseline'!$B$1:$L$257,6,FALSE))))</f>
        <v/>
      </c>
      <c r="G173" s="310" t="str">
        <f>IF(B173="","",IF(ISNA(VLOOKUP($B173,'B-1 On-Site Hedge Baseline'!$B$1:$L$257,7,FALSE)),"",(VLOOKUP($B173,'B-1 On-Site Hedge Baseline'!$B$1:$L$257,7,FALSE))))</f>
        <v/>
      </c>
      <c r="H173" s="310" t="str">
        <f>IF(B173="","",IF(ISNA(VLOOKUP($B173,'B-1 On-Site Hedge Baseline'!$B$1:$L$257,8,FALSE)),"",(VLOOKUP($B173,'B-1 On-Site Hedge Baseline'!$B$1:$L$257,8,FALSE))))</f>
        <v/>
      </c>
      <c r="I173" s="310" t="str">
        <f>IF(B173="","",IF(ISNA(VLOOKUP($B173,'B-1 On-Site Hedge Baseline'!$B$1:$L$257,10,FALSE)),"",(VLOOKUP($B173,'B-1 On-Site Hedge Baseline'!$B$1:$L$257,10,FALSE))))</f>
        <v/>
      </c>
      <c r="J173" s="310" t="str">
        <f>IF(B173="","",IF(ISNA(VLOOKUP($B173,'B-1 On-Site Hedge Baseline'!$B$1:$L$257,11,FALSE)),"",(VLOOKUP($B173,'B-1 On-Site Hedge Baseline'!$B$1:$L$257,11,FALSE))))</f>
        <v/>
      </c>
      <c r="K173" s="310" t="str">
        <f>IF(B173="","",IF(ISNA(VLOOKUP($B173,'B-1 On-Site Hedge Baseline'!$B$1:$U$257,13,FALSE)),"",(VLOOKUP($B173,'B-1 On-Site Hedge Baseline'!$B$1:$U$257,13,FALSE))))</f>
        <v/>
      </c>
      <c r="L173" s="314" t="str">
        <f>IF(B173="","",IF(ISNA(VLOOKUP($B173,'B-1 On-Site Hedge Baseline'!$B$1:$U$257,12,FALSE)),"",(VLOOKUP($B173,'B-1 On-Site Hedge Baseline'!$B$1:$U$257,12,FALSE))))</f>
        <v/>
      </c>
      <c r="M173" s="583"/>
      <c r="N173" s="290" t="str">
        <f>IFERROR(IF(B173="","",INDEX('G-6 Hedgerow Data'!$AN$3:$AZ$15,MATCH(C173,'G-6 Hedgerow Data'!$AM$3:$AM$15,0),MATCH(M173,'G-6 Hedgerow Data'!$AN$2:$AZ$2,0))),"")</f>
        <v/>
      </c>
      <c r="O173" s="291" t="str">
        <f t="shared" si="15"/>
        <v/>
      </c>
      <c r="P173" s="341" t="str">
        <f>IF(B173="","",VLOOKUP(B173,'B-1 On-Site Hedge Baseline'!$B$10:T418,16,FALSE))</f>
        <v/>
      </c>
      <c r="Q173" s="290" t="str">
        <f>IF(M173="","",VLOOKUP(M173,'G-6 Hedgerow Data'!$B$2:$AG$15,2,FALSE))</f>
        <v/>
      </c>
      <c r="R173" s="291" t="str">
        <f>IF(M173="","",VLOOKUP(M173,'G-6 Hedgerow Data'!$B$2:$AG$15,3,FALSE))</f>
        <v/>
      </c>
      <c r="S173" s="106"/>
      <c r="T173" s="328" t="str">
        <f>IFERROR(IF(S173="","",IF(AND(M173="Non-native and ornamental hedgerow", S173&lt;&gt;"Poor"),"Not possible ▲", (VLOOKUP(S173,'G-1 All Habitats'!$Z$2:$AA$9,2,FALSE)))),"")</f>
        <v/>
      </c>
      <c r="U173" s="103"/>
      <c r="V173" s="310" t="str">
        <f>IF(U173="","",IF(VLOOKUP(U173,'G-3 Multipliers'!$L$3:$N$6,2,FALSE)=0,"Spatial Data Missing ⚠",VLOOKUP(U173,'G-3 Multipliers'!$L$3:$N$6,2,FALSE)))</f>
        <v/>
      </c>
      <c r="W173" s="314" t="str">
        <f>IF(U173="","",IF(VLOOKUP(U173,'G-3 Multipliers'!$L$3:$N$6,3,FALSE)=0,"Spatial Data Missing ⚠",VLOOKUP(U173,'G-3 Multipliers'!$L$3:$N$6,3,FALSE)))</f>
        <v/>
      </c>
      <c r="X173" s="290" t="str">
        <f>IFERROR(IF(OR(LEFT(O173,5)="Error",LEFT(N173,5)="Error",T173="Error"),"Check Data ⚠",IF(F173&lt;R173,INDEX('G-6 Hedgerow Data'!$S$3:$AE$14,MATCH(C173,'G-6 Hedgerow Data'!$B$3:$B$14,0),MATCH(M173,'G-6 Hedgerow Data'!$S$2:$AE$2,0)),INDEX('G-6 Hedgerow Data'!$K$3:$Q$14,MATCH(M173,'G-6 Hedgerow Data'!$B$3:$B$14,0),MATCH(O173,'G-6 Hedgerow Data'!$K$2:$Q$2,0)))),"")</f>
        <v/>
      </c>
      <c r="Y173" s="138"/>
      <c r="Z173" s="138"/>
      <c r="AA173" s="298" t="str">
        <f t="shared" si="16"/>
        <v/>
      </c>
      <c r="AB173" s="311" t="str">
        <f t="shared" si="17"/>
        <v/>
      </c>
      <c r="AC173" s="312" t="str">
        <f t="shared" si="14"/>
        <v/>
      </c>
      <c r="AD173" s="325" t="str">
        <f>IF(M173="","",VLOOKUP(M173,'G-6 Hedgerow Data'!$B$3:$AG$15,31,FALSE))</f>
        <v/>
      </c>
      <c r="AE173" s="298" t="str">
        <f t="shared" si="18"/>
        <v/>
      </c>
      <c r="AF173" s="298" t="str">
        <f t="shared" si="19"/>
        <v/>
      </c>
      <c r="AG173" s="314" t="str">
        <f>IFERROR(IF(O173="","",VLOOKUP(AD173,'G-3 Multipliers'!$P$3:$Q$6,2,FALSE)),"")</f>
        <v/>
      </c>
      <c r="AH173" s="304" t="str">
        <f t="shared" si="20"/>
        <v/>
      </c>
      <c r="AI173" s="157"/>
      <c r="AJ173" s="99"/>
      <c r="AK173" s="101"/>
      <c r="AT173" s="15" t="str">
        <f>IFERROR(INDEX('G-6 Hedgerow Data'!$BJ$3:$BJ$15,MATCH(M173,'G-6 Hedgerow Data'!$B$3:$B$15,0)),"")</f>
        <v/>
      </c>
    </row>
    <row r="174" spans="2:46" ht="14" x14ac:dyDescent="0.3">
      <c r="B174" s="319" t="str">
        <f>'B-1 On-Site Hedge Baseline'!AK172</f>
        <v/>
      </c>
      <c r="C174" s="310" t="str">
        <f>IF(B174="","",IF(ISNA(VLOOKUP($B174,'B-1 On-Site Hedge Baseline'!$B$1:$L$257,3,FALSE)),"",(VLOOKUP($B174,'B-1 On-Site Hedge Baseline'!$B$1:$L$257,3,FALSE))))</f>
        <v/>
      </c>
      <c r="D174" s="310" t="str">
        <f>IF(B174="","",IF(ISNA(VLOOKUP($B174,'B-1 On-Site Hedge Baseline'!$B$1:$L$257,4,FALSE)),"",(VLOOKUP($B174,'B-1 On-Site Hedge Baseline'!$B$1:$L$257,4,FALSE))))</f>
        <v/>
      </c>
      <c r="E174" s="310" t="str">
        <f>IF(B174="","",IF(ISNA(VLOOKUP($B174,'B-1 On-Site Hedge Baseline'!$B$1:$L$257,5,FALSE)),"",(VLOOKUP($B174,'B-1 On-Site Hedge Baseline'!$B$1:$L$257,5,FALSE))))</f>
        <v/>
      </c>
      <c r="F174" s="310" t="str">
        <f>IF(B174="","",IF(ISNA(VLOOKUP($B174,'B-1 On-Site Hedge Baseline'!$B$1:$L$257,6,FALSE)),"",(VLOOKUP($B174,'B-1 On-Site Hedge Baseline'!$B$1:$L$257,6,FALSE))))</f>
        <v/>
      </c>
      <c r="G174" s="310" t="str">
        <f>IF(B174="","",IF(ISNA(VLOOKUP($B174,'B-1 On-Site Hedge Baseline'!$B$1:$L$257,7,FALSE)),"",(VLOOKUP($B174,'B-1 On-Site Hedge Baseline'!$B$1:$L$257,7,FALSE))))</f>
        <v/>
      </c>
      <c r="H174" s="310" t="str">
        <f>IF(B174="","",IF(ISNA(VLOOKUP($B174,'B-1 On-Site Hedge Baseline'!$B$1:$L$257,8,FALSE)),"",(VLOOKUP($B174,'B-1 On-Site Hedge Baseline'!$B$1:$L$257,8,FALSE))))</f>
        <v/>
      </c>
      <c r="I174" s="310" t="str">
        <f>IF(B174="","",IF(ISNA(VLOOKUP($B174,'B-1 On-Site Hedge Baseline'!$B$1:$L$257,10,FALSE)),"",(VLOOKUP($B174,'B-1 On-Site Hedge Baseline'!$B$1:$L$257,10,FALSE))))</f>
        <v/>
      </c>
      <c r="J174" s="310" t="str">
        <f>IF(B174="","",IF(ISNA(VLOOKUP($B174,'B-1 On-Site Hedge Baseline'!$B$1:$L$257,11,FALSE)),"",(VLOOKUP($B174,'B-1 On-Site Hedge Baseline'!$B$1:$L$257,11,FALSE))))</f>
        <v/>
      </c>
      <c r="K174" s="310" t="str">
        <f>IF(B174="","",IF(ISNA(VLOOKUP($B174,'B-1 On-Site Hedge Baseline'!$B$1:$U$257,13,FALSE)),"",(VLOOKUP($B174,'B-1 On-Site Hedge Baseline'!$B$1:$U$257,13,FALSE))))</f>
        <v/>
      </c>
      <c r="L174" s="314" t="str">
        <f>IF(B174="","",IF(ISNA(VLOOKUP($B174,'B-1 On-Site Hedge Baseline'!$B$1:$U$257,12,FALSE)),"",(VLOOKUP($B174,'B-1 On-Site Hedge Baseline'!$B$1:$U$257,12,FALSE))))</f>
        <v/>
      </c>
      <c r="M174" s="583"/>
      <c r="N174" s="290" t="str">
        <f>IFERROR(IF(B174="","",INDEX('G-6 Hedgerow Data'!$AN$3:$AZ$15,MATCH(C174,'G-6 Hedgerow Data'!$AM$3:$AM$15,0),MATCH(M174,'G-6 Hedgerow Data'!$AN$2:$AZ$2,0))),"")</f>
        <v/>
      </c>
      <c r="O174" s="291" t="str">
        <f t="shared" si="15"/>
        <v/>
      </c>
      <c r="P174" s="341" t="str">
        <f>IF(B174="","",VLOOKUP(B174,'B-1 On-Site Hedge Baseline'!$B$10:T419,16,FALSE))</f>
        <v/>
      </c>
      <c r="Q174" s="290" t="str">
        <f>IF(M174="","",VLOOKUP(M174,'G-6 Hedgerow Data'!$B$2:$AG$15,2,FALSE))</f>
        <v/>
      </c>
      <c r="R174" s="291" t="str">
        <f>IF(M174="","",VLOOKUP(M174,'G-6 Hedgerow Data'!$B$2:$AG$15,3,FALSE))</f>
        <v/>
      </c>
      <c r="S174" s="106"/>
      <c r="T174" s="328" t="str">
        <f>IFERROR(IF(S174="","",IF(AND(M174="Non-native and ornamental hedgerow", S174&lt;&gt;"Poor"),"Not possible ▲", (VLOOKUP(S174,'G-1 All Habitats'!$Z$2:$AA$9,2,FALSE)))),"")</f>
        <v/>
      </c>
      <c r="U174" s="103"/>
      <c r="V174" s="310" t="str">
        <f>IF(U174="","",IF(VLOOKUP(U174,'G-3 Multipliers'!$L$3:$N$6,2,FALSE)=0,"Spatial Data Missing ⚠",VLOOKUP(U174,'G-3 Multipliers'!$L$3:$N$6,2,FALSE)))</f>
        <v/>
      </c>
      <c r="W174" s="314" t="str">
        <f>IF(U174="","",IF(VLOOKUP(U174,'G-3 Multipliers'!$L$3:$N$6,3,FALSE)=0,"Spatial Data Missing ⚠",VLOOKUP(U174,'G-3 Multipliers'!$L$3:$N$6,3,FALSE)))</f>
        <v/>
      </c>
      <c r="X174" s="290" t="str">
        <f>IFERROR(IF(OR(LEFT(O174,5)="Error",LEFT(N174,5)="Error",T174="Error"),"Check Data ⚠",IF(F174&lt;R174,INDEX('G-6 Hedgerow Data'!$S$3:$AE$14,MATCH(C174,'G-6 Hedgerow Data'!$B$3:$B$14,0),MATCH(M174,'G-6 Hedgerow Data'!$S$2:$AE$2,0)),INDEX('G-6 Hedgerow Data'!$K$3:$Q$14,MATCH(M174,'G-6 Hedgerow Data'!$B$3:$B$14,0),MATCH(O174,'G-6 Hedgerow Data'!$K$2:$Q$2,0)))),"")</f>
        <v/>
      </c>
      <c r="Y174" s="138"/>
      <c r="Z174" s="138"/>
      <c r="AA174" s="298" t="str">
        <f t="shared" si="16"/>
        <v/>
      </c>
      <c r="AB174" s="311" t="str">
        <f t="shared" si="17"/>
        <v/>
      </c>
      <c r="AC174" s="312" t="str">
        <f t="shared" si="14"/>
        <v/>
      </c>
      <c r="AD174" s="325" t="str">
        <f>IF(M174="","",VLOOKUP(M174,'G-6 Hedgerow Data'!$B$3:$AG$15,31,FALSE))</f>
        <v/>
      </c>
      <c r="AE174" s="298" t="str">
        <f t="shared" si="18"/>
        <v/>
      </c>
      <c r="AF174" s="298" t="str">
        <f t="shared" si="19"/>
        <v/>
      </c>
      <c r="AG174" s="314" t="str">
        <f>IFERROR(IF(O174="","",VLOOKUP(AD174,'G-3 Multipliers'!$P$3:$Q$6,2,FALSE)),"")</f>
        <v/>
      </c>
      <c r="AH174" s="304" t="str">
        <f t="shared" si="20"/>
        <v/>
      </c>
      <c r="AI174" s="157"/>
      <c r="AJ174" s="99"/>
      <c r="AK174" s="101"/>
      <c r="AT174" s="15" t="str">
        <f>IFERROR(INDEX('G-6 Hedgerow Data'!$BJ$3:$BJ$15,MATCH(M174,'G-6 Hedgerow Data'!$B$3:$B$15,0)),"")</f>
        <v/>
      </c>
    </row>
    <row r="175" spans="2:46" ht="14" x14ac:dyDescent="0.3">
      <c r="B175" s="319" t="str">
        <f>'B-1 On-Site Hedge Baseline'!AK173</f>
        <v/>
      </c>
      <c r="C175" s="310" t="str">
        <f>IF(B175="","",IF(ISNA(VLOOKUP($B175,'B-1 On-Site Hedge Baseline'!$B$1:$L$257,3,FALSE)),"",(VLOOKUP($B175,'B-1 On-Site Hedge Baseline'!$B$1:$L$257,3,FALSE))))</f>
        <v/>
      </c>
      <c r="D175" s="310" t="str">
        <f>IF(B175="","",IF(ISNA(VLOOKUP($B175,'B-1 On-Site Hedge Baseline'!$B$1:$L$257,4,FALSE)),"",(VLOOKUP($B175,'B-1 On-Site Hedge Baseline'!$B$1:$L$257,4,FALSE))))</f>
        <v/>
      </c>
      <c r="E175" s="310" t="str">
        <f>IF(B175="","",IF(ISNA(VLOOKUP($B175,'B-1 On-Site Hedge Baseline'!$B$1:$L$257,5,FALSE)),"",(VLOOKUP($B175,'B-1 On-Site Hedge Baseline'!$B$1:$L$257,5,FALSE))))</f>
        <v/>
      </c>
      <c r="F175" s="310" t="str">
        <f>IF(B175="","",IF(ISNA(VLOOKUP($B175,'B-1 On-Site Hedge Baseline'!$B$1:$L$257,6,FALSE)),"",(VLOOKUP($B175,'B-1 On-Site Hedge Baseline'!$B$1:$L$257,6,FALSE))))</f>
        <v/>
      </c>
      <c r="G175" s="310" t="str">
        <f>IF(B175="","",IF(ISNA(VLOOKUP($B175,'B-1 On-Site Hedge Baseline'!$B$1:$L$257,7,FALSE)),"",(VLOOKUP($B175,'B-1 On-Site Hedge Baseline'!$B$1:$L$257,7,FALSE))))</f>
        <v/>
      </c>
      <c r="H175" s="310" t="str">
        <f>IF(B175="","",IF(ISNA(VLOOKUP($B175,'B-1 On-Site Hedge Baseline'!$B$1:$L$257,8,FALSE)),"",(VLOOKUP($B175,'B-1 On-Site Hedge Baseline'!$B$1:$L$257,8,FALSE))))</f>
        <v/>
      </c>
      <c r="I175" s="310" t="str">
        <f>IF(B175="","",IF(ISNA(VLOOKUP($B175,'B-1 On-Site Hedge Baseline'!$B$1:$L$257,10,FALSE)),"",(VLOOKUP($B175,'B-1 On-Site Hedge Baseline'!$B$1:$L$257,10,FALSE))))</f>
        <v/>
      </c>
      <c r="J175" s="310" t="str">
        <f>IF(B175="","",IF(ISNA(VLOOKUP($B175,'B-1 On-Site Hedge Baseline'!$B$1:$L$257,11,FALSE)),"",(VLOOKUP($B175,'B-1 On-Site Hedge Baseline'!$B$1:$L$257,11,FALSE))))</f>
        <v/>
      </c>
      <c r="K175" s="310" t="str">
        <f>IF(B175="","",IF(ISNA(VLOOKUP($B175,'B-1 On-Site Hedge Baseline'!$B$1:$U$257,13,FALSE)),"",(VLOOKUP($B175,'B-1 On-Site Hedge Baseline'!$B$1:$U$257,13,FALSE))))</f>
        <v/>
      </c>
      <c r="L175" s="314" t="str">
        <f>IF(B175="","",IF(ISNA(VLOOKUP($B175,'B-1 On-Site Hedge Baseline'!$B$1:$U$257,12,FALSE)),"",(VLOOKUP($B175,'B-1 On-Site Hedge Baseline'!$B$1:$U$257,12,FALSE))))</f>
        <v/>
      </c>
      <c r="M175" s="583"/>
      <c r="N175" s="290" t="str">
        <f>IFERROR(IF(B175="","",INDEX('G-6 Hedgerow Data'!$AN$3:$AZ$15,MATCH(C175,'G-6 Hedgerow Data'!$AM$3:$AM$15,0),MATCH(M175,'G-6 Hedgerow Data'!$AN$2:$AZ$2,0))),"")</f>
        <v/>
      </c>
      <c r="O175" s="291" t="str">
        <f t="shared" si="15"/>
        <v/>
      </c>
      <c r="P175" s="341" t="str">
        <f>IF(B175="","",VLOOKUP(B175,'B-1 On-Site Hedge Baseline'!$B$10:T420,16,FALSE))</f>
        <v/>
      </c>
      <c r="Q175" s="290" t="str">
        <f>IF(M175="","",VLOOKUP(M175,'G-6 Hedgerow Data'!$B$2:$AG$15,2,FALSE))</f>
        <v/>
      </c>
      <c r="R175" s="291" t="str">
        <f>IF(M175="","",VLOOKUP(M175,'G-6 Hedgerow Data'!$B$2:$AG$15,3,FALSE))</f>
        <v/>
      </c>
      <c r="S175" s="106"/>
      <c r="T175" s="328" t="str">
        <f>IFERROR(IF(S175="","",IF(AND(M175="Non-native and ornamental hedgerow", S175&lt;&gt;"Poor"),"Not possible ▲", (VLOOKUP(S175,'G-1 All Habitats'!$Z$2:$AA$9,2,FALSE)))),"")</f>
        <v/>
      </c>
      <c r="U175" s="103"/>
      <c r="V175" s="310" t="str">
        <f>IF(U175="","",IF(VLOOKUP(U175,'G-3 Multipliers'!$L$3:$N$6,2,FALSE)=0,"Spatial Data Missing ⚠",VLOOKUP(U175,'G-3 Multipliers'!$L$3:$N$6,2,FALSE)))</f>
        <v/>
      </c>
      <c r="W175" s="314" t="str">
        <f>IF(U175="","",IF(VLOOKUP(U175,'G-3 Multipliers'!$L$3:$N$6,3,FALSE)=0,"Spatial Data Missing ⚠",VLOOKUP(U175,'G-3 Multipliers'!$L$3:$N$6,3,FALSE)))</f>
        <v/>
      </c>
      <c r="X175" s="290" t="str">
        <f>IFERROR(IF(OR(LEFT(O175,5)="Error",LEFT(N175,5)="Error",T175="Error"),"Check Data ⚠",IF(F175&lt;R175,INDEX('G-6 Hedgerow Data'!$S$3:$AE$14,MATCH(C175,'G-6 Hedgerow Data'!$B$3:$B$14,0),MATCH(M175,'G-6 Hedgerow Data'!$S$2:$AE$2,0)),INDEX('G-6 Hedgerow Data'!$K$3:$Q$14,MATCH(M175,'G-6 Hedgerow Data'!$B$3:$B$14,0),MATCH(O175,'G-6 Hedgerow Data'!$K$2:$Q$2,0)))),"")</f>
        <v/>
      </c>
      <c r="Y175" s="138"/>
      <c r="Z175" s="138"/>
      <c r="AA175" s="298" t="str">
        <f t="shared" si="16"/>
        <v/>
      </c>
      <c r="AB175" s="311" t="str">
        <f t="shared" si="17"/>
        <v/>
      </c>
      <c r="AC175" s="312" t="str">
        <f t="shared" si="14"/>
        <v/>
      </c>
      <c r="AD175" s="325" t="str">
        <f>IF(M175="","",VLOOKUP(M175,'G-6 Hedgerow Data'!$B$3:$AG$15,31,FALSE))</f>
        <v/>
      </c>
      <c r="AE175" s="298" t="str">
        <f t="shared" si="18"/>
        <v/>
      </c>
      <c r="AF175" s="298" t="str">
        <f t="shared" si="19"/>
        <v/>
      </c>
      <c r="AG175" s="314" t="str">
        <f>IFERROR(IF(O175="","",VLOOKUP(AD175,'G-3 Multipliers'!$P$3:$Q$6,2,FALSE)),"")</f>
        <v/>
      </c>
      <c r="AH175" s="304" t="str">
        <f t="shared" si="20"/>
        <v/>
      </c>
      <c r="AI175" s="157"/>
      <c r="AJ175" s="99"/>
      <c r="AK175" s="101"/>
      <c r="AT175" s="15" t="str">
        <f>IFERROR(INDEX('G-6 Hedgerow Data'!$BJ$3:$BJ$15,MATCH(M175,'G-6 Hedgerow Data'!$B$3:$B$15,0)),"")</f>
        <v/>
      </c>
    </row>
    <row r="176" spans="2:46" ht="14" x14ac:dyDescent="0.3">
      <c r="B176" s="319" t="str">
        <f>'B-1 On-Site Hedge Baseline'!AK174</f>
        <v/>
      </c>
      <c r="C176" s="310" t="str">
        <f>IF(B176="","",IF(ISNA(VLOOKUP($B176,'B-1 On-Site Hedge Baseline'!$B$1:$L$257,3,FALSE)),"",(VLOOKUP($B176,'B-1 On-Site Hedge Baseline'!$B$1:$L$257,3,FALSE))))</f>
        <v/>
      </c>
      <c r="D176" s="310" t="str">
        <f>IF(B176="","",IF(ISNA(VLOOKUP($B176,'B-1 On-Site Hedge Baseline'!$B$1:$L$257,4,FALSE)),"",(VLOOKUP($B176,'B-1 On-Site Hedge Baseline'!$B$1:$L$257,4,FALSE))))</f>
        <v/>
      </c>
      <c r="E176" s="310" t="str">
        <f>IF(B176="","",IF(ISNA(VLOOKUP($B176,'B-1 On-Site Hedge Baseline'!$B$1:$L$257,5,FALSE)),"",(VLOOKUP($B176,'B-1 On-Site Hedge Baseline'!$B$1:$L$257,5,FALSE))))</f>
        <v/>
      </c>
      <c r="F176" s="310" t="str">
        <f>IF(B176="","",IF(ISNA(VLOOKUP($B176,'B-1 On-Site Hedge Baseline'!$B$1:$L$257,6,FALSE)),"",(VLOOKUP($B176,'B-1 On-Site Hedge Baseline'!$B$1:$L$257,6,FALSE))))</f>
        <v/>
      </c>
      <c r="G176" s="310" t="str">
        <f>IF(B176="","",IF(ISNA(VLOOKUP($B176,'B-1 On-Site Hedge Baseline'!$B$1:$L$257,7,FALSE)),"",(VLOOKUP($B176,'B-1 On-Site Hedge Baseline'!$B$1:$L$257,7,FALSE))))</f>
        <v/>
      </c>
      <c r="H176" s="310" t="str">
        <f>IF(B176="","",IF(ISNA(VLOOKUP($B176,'B-1 On-Site Hedge Baseline'!$B$1:$L$257,8,FALSE)),"",(VLOOKUP($B176,'B-1 On-Site Hedge Baseline'!$B$1:$L$257,8,FALSE))))</f>
        <v/>
      </c>
      <c r="I176" s="310" t="str">
        <f>IF(B176="","",IF(ISNA(VLOOKUP($B176,'B-1 On-Site Hedge Baseline'!$B$1:$L$257,10,FALSE)),"",(VLOOKUP($B176,'B-1 On-Site Hedge Baseline'!$B$1:$L$257,10,FALSE))))</f>
        <v/>
      </c>
      <c r="J176" s="310" t="str">
        <f>IF(B176="","",IF(ISNA(VLOOKUP($B176,'B-1 On-Site Hedge Baseline'!$B$1:$L$257,11,FALSE)),"",(VLOOKUP($B176,'B-1 On-Site Hedge Baseline'!$B$1:$L$257,11,FALSE))))</f>
        <v/>
      </c>
      <c r="K176" s="310" t="str">
        <f>IF(B176="","",IF(ISNA(VLOOKUP($B176,'B-1 On-Site Hedge Baseline'!$B$1:$U$257,13,FALSE)),"",(VLOOKUP($B176,'B-1 On-Site Hedge Baseline'!$B$1:$U$257,13,FALSE))))</f>
        <v/>
      </c>
      <c r="L176" s="314" t="str">
        <f>IF(B176="","",IF(ISNA(VLOOKUP($B176,'B-1 On-Site Hedge Baseline'!$B$1:$U$257,12,FALSE)),"",(VLOOKUP($B176,'B-1 On-Site Hedge Baseline'!$B$1:$U$257,12,FALSE))))</f>
        <v/>
      </c>
      <c r="M176" s="583"/>
      <c r="N176" s="290" t="str">
        <f>IFERROR(IF(B176="","",INDEX('G-6 Hedgerow Data'!$AN$3:$AZ$15,MATCH(C176,'G-6 Hedgerow Data'!$AM$3:$AM$15,0),MATCH(M176,'G-6 Hedgerow Data'!$AN$2:$AZ$2,0))),"")</f>
        <v/>
      </c>
      <c r="O176" s="291" t="str">
        <f t="shared" si="15"/>
        <v/>
      </c>
      <c r="P176" s="341" t="str">
        <f>IF(B176="","",VLOOKUP(B176,'B-1 On-Site Hedge Baseline'!$B$10:T421,16,FALSE))</f>
        <v/>
      </c>
      <c r="Q176" s="290" t="str">
        <f>IF(M176="","",VLOOKUP(M176,'G-6 Hedgerow Data'!$B$2:$AG$15,2,FALSE))</f>
        <v/>
      </c>
      <c r="R176" s="291" t="str">
        <f>IF(M176="","",VLOOKUP(M176,'G-6 Hedgerow Data'!$B$2:$AG$15,3,FALSE))</f>
        <v/>
      </c>
      <c r="S176" s="106"/>
      <c r="T176" s="328" t="str">
        <f>IFERROR(IF(S176="","",IF(AND(M176="Non-native and ornamental hedgerow", S176&lt;&gt;"Poor"),"Not possible ▲", (VLOOKUP(S176,'G-1 All Habitats'!$Z$2:$AA$9,2,FALSE)))),"")</f>
        <v/>
      </c>
      <c r="U176" s="103"/>
      <c r="V176" s="310" t="str">
        <f>IF(U176="","",IF(VLOOKUP(U176,'G-3 Multipliers'!$L$3:$N$6,2,FALSE)=0,"Spatial Data Missing ⚠",VLOOKUP(U176,'G-3 Multipliers'!$L$3:$N$6,2,FALSE)))</f>
        <v/>
      </c>
      <c r="W176" s="314" t="str">
        <f>IF(U176="","",IF(VLOOKUP(U176,'G-3 Multipliers'!$L$3:$N$6,3,FALSE)=0,"Spatial Data Missing ⚠",VLOOKUP(U176,'G-3 Multipliers'!$L$3:$N$6,3,FALSE)))</f>
        <v/>
      </c>
      <c r="X176" s="290" t="str">
        <f>IFERROR(IF(OR(LEFT(O176,5)="Error",LEFT(N176,5)="Error",T176="Error"),"Check Data ⚠",IF(F176&lt;R176,INDEX('G-6 Hedgerow Data'!$S$3:$AE$14,MATCH(C176,'G-6 Hedgerow Data'!$B$3:$B$14,0),MATCH(M176,'G-6 Hedgerow Data'!$S$2:$AE$2,0)),INDEX('G-6 Hedgerow Data'!$K$3:$Q$14,MATCH(M176,'G-6 Hedgerow Data'!$B$3:$B$14,0),MATCH(O176,'G-6 Hedgerow Data'!$K$2:$Q$2,0)))),"")</f>
        <v/>
      </c>
      <c r="Y176" s="138"/>
      <c r="Z176" s="138"/>
      <c r="AA176" s="298" t="str">
        <f t="shared" si="16"/>
        <v/>
      </c>
      <c r="AB176" s="311" t="str">
        <f t="shared" si="17"/>
        <v/>
      </c>
      <c r="AC176" s="312" t="str">
        <f t="shared" si="14"/>
        <v/>
      </c>
      <c r="AD176" s="325" t="str">
        <f>IF(M176="","",VLOOKUP(M176,'G-6 Hedgerow Data'!$B$3:$AG$15,31,FALSE))</f>
        <v/>
      </c>
      <c r="AE176" s="298" t="str">
        <f t="shared" si="18"/>
        <v/>
      </c>
      <c r="AF176" s="298" t="str">
        <f t="shared" si="19"/>
        <v/>
      </c>
      <c r="AG176" s="314" t="str">
        <f>IFERROR(IF(O176="","",VLOOKUP(AD176,'G-3 Multipliers'!$P$3:$Q$6,2,FALSE)),"")</f>
        <v/>
      </c>
      <c r="AH176" s="304" t="str">
        <f t="shared" si="20"/>
        <v/>
      </c>
      <c r="AI176" s="157"/>
      <c r="AJ176" s="99"/>
      <c r="AK176" s="101"/>
      <c r="AT176" s="15" t="str">
        <f>IFERROR(INDEX('G-6 Hedgerow Data'!$BJ$3:$BJ$15,MATCH(M176,'G-6 Hedgerow Data'!$B$3:$B$15,0)),"")</f>
        <v/>
      </c>
    </row>
    <row r="177" spans="2:46" ht="14" x14ac:dyDescent="0.3">
      <c r="B177" s="319" t="str">
        <f>'B-1 On-Site Hedge Baseline'!AK175</f>
        <v/>
      </c>
      <c r="C177" s="310" t="str">
        <f>IF(B177="","",IF(ISNA(VLOOKUP($B177,'B-1 On-Site Hedge Baseline'!$B$1:$L$257,3,FALSE)),"",(VLOOKUP($B177,'B-1 On-Site Hedge Baseline'!$B$1:$L$257,3,FALSE))))</f>
        <v/>
      </c>
      <c r="D177" s="310" t="str">
        <f>IF(B177="","",IF(ISNA(VLOOKUP($B177,'B-1 On-Site Hedge Baseline'!$B$1:$L$257,4,FALSE)),"",(VLOOKUP($B177,'B-1 On-Site Hedge Baseline'!$B$1:$L$257,4,FALSE))))</f>
        <v/>
      </c>
      <c r="E177" s="310" t="str">
        <f>IF(B177="","",IF(ISNA(VLOOKUP($B177,'B-1 On-Site Hedge Baseline'!$B$1:$L$257,5,FALSE)),"",(VLOOKUP($B177,'B-1 On-Site Hedge Baseline'!$B$1:$L$257,5,FALSE))))</f>
        <v/>
      </c>
      <c r="F177" s="310" t="str">
        <f>IF(B177="","",IF(ISNA(VLOOKUP($B177,'B-1 On-Site Hedge Baseline'!$B$1:$L$257,6,FALSE)),"",(VLOOKUP($B177,'B-1 On-Site Hedge Baseline'!$B$1:$L$257,6,FALSE))))</f>
        <v/>
      </c>
      <c r="G177" s="310" t="str">
        <f>IF(B177="","",IF(ISNA(VLOOKUP($B177,'B-1 On-Site Hedge Baseline'!$B$1:$L$257,7,FALSE)),"",(VLOOKUP($B177,'B-1 On-Site Hedge Baseline'!$B$1:$L$257,7,FALSE))))</f>
        <v/>
      </c>
      <c r="H177" s="310" t="str">
        <f>IF(B177="","",IF(ISNA(VLOOKUP($B177,'B-1 On-Site Hedge Baseline'!$B$1:$L$257,8,FALSE)),"",(VLOOKUP($B177,'B-1 On-Site Hedge Baseline'!$B$1:$L$257,8,FALSE))))</f>
        <v/>
      </c>
      <c r="I177" s="310" t="str">
        <f>IF(B177="","",IF(ISNA(VLOOKUP($B177,'B-1 On-Site Hedge Baseline'!$B$1:$L$257,10,FALSE)),"",(VLOOKUP($B177,'B-1 On-Site Hedge Baseline'!$B$1:$L$257,10,FALSE))))</f>
        <v/>
      </c>
      <c r="J177" s="310" t="str">
        <f>IF(B177="","",IF(ISNA(VLOOKUP($B177,'B-1 On-Site Hedge Baseline'!$B$1:$L$257,11,FALSE)),"",(VLOOKUP($B177,'B-1 On-Site Hedge Baseline'!$B$1:$L$257,11,FALSE))))</f>
        <v/>
      </c>
      <c r="K177" s="310" t="str">
        <f>IF(B177="","",IF(ISNA(VLOOKUP($B177,'B-1 On-Site Hedge Baseline'!$B$1:$U$257,13,FALSE)),"",(VLOOKUP($B177,'B-1 On-Site Hedge Baseline'!$B$1:$U$257,13,FALSE))))</f>
        <v/>
      </c>
      <c r="L177" s="314" t="str">
        <f>IF(B177="","",IF(ISNA(VLOOKUP($B177,'B-1 On-Site Hedge Baseline'!$B$1:$U$257,12,FALSE)),"",(VLOOKUP($B177,'B-1 On-Site Hedge Baseline'!$B$1:$U$257,12,FALSE))))</f>
        <v/>
      </c>
      <c r="M177" s="583"/>
      <c r="N177" s="290" t="str">
        <f>IFERROR(IF(B177="","",INDEX('G-6 Hedgerow Data'!$AN$3:$AZ$15,MATCH(C177,'G-6 Hedgerow Data'!$AM$3:$AM$15,0),MATCH(M177,'G-6 Hedgerow Data'!$AN$2:$AZ$2,0))),"")</f>
        <v/>
      </c>
      <c r="O177" s="291" t="str">
        <f t="shared" si="15"/>
        <v/>
      </c>
      <c r="P177" s="341" t="str">
        <f>IF(B177="","",VLOOKUP(B177,'B-1 On-Site Hedge Baseline'!$B$10:T422,16,FALSE))</f>
        <v/>
      </c>
      <c r="Q177" s="290" t="str">
        <f>IF(M177="","",VLOOKUP(M177,'G-6 Hedgerow Data'!$B$2:$AG$15,2,FALSE))</f>
        <v/>
      </c>
      <c r="R177" s="291" t="str">
        <f>IF(M177="","",VLOOKUP(M177,'G-6 Hedgerow Data'!$B$2:$AG$15,3,FALSE))</f>
        <v/>
      </c>
      <c r="S177" s="106"/>
      <c r="T177" s="328" t="str">
        <f>IFERROR(IF(S177="","",IF(AND(M177="Non-native and ornamental hedgerow", S177&lt;&gt;"Poor"),"Not possible ▲", (VLOOKUP(S177,'G-1 All Habitats'!$Z$2:$AA$9,2,FALSE)))),"")</f>
        <v/>
      </c>
      <c r="U177" s="103"/>
      <c r="V177" s="310" t="str">
        <f>IF(U177="","",IF(VLOOKUP(U177,'G-3 Multipliers'!$L$3:$N$6,2,FALSE)=0,"Spatial Data Missing ⚠",VLOOKUP(U177,'G-3 Multipliers'!$L$3:$N$6,2,FALSE)))</f>
        <v/>
      </c>
      <c r="W177" s="314" t="str">
        <f>IF(U177="","",IF(VLOOKUP(U177,'G-3 Multipliers'!$L$3:$N$6,3,FALSE)=0,"Spatial Data Missing ⚠",VLOOKUP(U177,'G-3 Multipliers'!$L$3:$N$6,3,FALSE)))</f>
        <v/>
      </c>
      <c r="X177" s="290" t="str">
        <f>IFERROR(IF(OR(LEFT(O177,5)="Error",LEFT(N177,5)="Error",T177="Error"),"Check Data ⚠",IF(F177&lt;R177,INDEX('G-6 Hedgerow Data'!$S$3:$AE$14,MATCH(C177,'G-6 Hedgerow Data'!$B$3:$B$14,0),MATCH(M177,'G-6 Hedgerow Data'!$S$2:$AE$2,0)),INDEX('G-6 Hedgerow Data'!$K$3:$Q$14,MATCH(M177,'G-6 Hedgerow Data'!$B$3:$B$14,0),MATCH(O177,'G-6 Hedgerow Data'!$K$2:$Q$2,0)))),"")</f>
        <v/>
      </c>
      <c r="Y177" s="138"/>
      <c r="Z177" s="138"/>
      <c r="AA177" s="298" t="str">
        <f t="shared" si="16"/>
        <v/>
      </c>
      <c r="AB177" s="311" t="str">
        <f t="shared" si="17"/>
        <v/>
      </c>
      <c r="AC177" s="312" t="str">
        <f t="shared" si="14"/>
        <v/>
      </c>
      <c r="AD177" s="325" t="str">
        <f>IF(M177="","",VLOOKUP(M177,'G-6 Hedgerow Data'!$B$3:$AG$15,31,FALSE))</f>
        <v/>
      </c>
      <c r="AE177" s="298" t="str">
        <f t="shared" si="18"/>
        <v/>
      </c>
      <c r="AF177" s="298" t="str">
        <f t="shared" si="19"/>
        <v/>
      </c>
      <c r="AG177" s="314" t="str">
        <f>IFERROR(IF(O177="","",VLOOKUP(AD177,'G-3 Multipliers'!$P$3:$Q$6,2,FALSE)),"")</f>
        <v/>
      </c>
      <c r="AH177" s="304" t="str">
        <f t="shared" si="20"/>
        <v/>
      </c>
      <c r="AI177" s="157"/>
      <c r="AJ177" s="99"/>
      <c r="AK177" s="101"/>
      <c r="AT177" s="15" t="str">
        <f>IFERROR(INDEX('G-6 Hedgerow Data'!$BJ$3:$BJ$15,MATCH(M177,'G-6 Hedgerow Data'!$B$3:$B$15,0)),"")</f>
        <v/>
      </c>
    </row>
    <row r="178" spans="2:46" ht="14" x14ac:dyDescent="0.3">
      <c r="B178" s="319" t="str">
        <f>'B-1 On-Site Hedge Baseline'!AK176</f>
        <v/>
      </c>
      <c r="C178" s="310" t="str">
        <f>IF(B178="","",IF(ISNA(VLOOKUP($B178,'B-1 On-Site Hedge Baseline'!$B$1:$L$257,3,FALSE)),"",(VLOOKUP($B178,'B-1 On-Site Hedge Baseline'!$B$1:$L$257,3,FALSE))))</f>
        <v/>
      </c>
      <c r="D178" s="310" t="str">
        <f>IF(B178="","",IF(ISNA(VLOOKUP($B178,'B-1 On-Site Hedge Baseline'!$B$1:$L$257,4,FALSE)),"",(VLOOKUP($B178,'B-1 On-Site Hedge Baseline'!$B$1:$L$257,4,FALSE))))</f>
        <v/>
      </c>
      <c r="E178" s="310" t="str">
        <f>IF(B178="","",IF(ISNA(VLOOKUP($B178,'B-1 On-Site Hedge Baseline'!$B$1:$L$257,5,FALSE)),"",(VLOOKUP($B178,'B-1 On-Site Hedge Baseline'!$B$1:$L$257,5,FALSE))))</f>
        <v/>
      </c>
      <c r="F178" s="310" t="str">
        <f>IF(B178="","",IF(ISNA(VLOOKUP($B178,'B-1 On-Site Hedge Baseline'!$B$1:$L$257,6,FALSE)),"",(VLOOKUP($B178,'B-1 On-Site Hedge Baseline'!$B$1:$L$257,6,FALSE))))</f>
        <v/>
      </c>
      <c r="G178" s="310" t="str">
        <f>IF(B178="","",IF(ISNA(VLOOKUP($B178,'B-1 On-Site Hedge Baseline'!$B$1:$L$257,7,FALSE)),"",(VLOOKUP($B178,'B-1 On-Site Hedge Baseline'!$B$1:$L$257,7,FALSE))))</f>
        <v/>
      </c>
      <c r="H178" s="310" t="str">
        <f>IF(B178="","",IF(ISNA(VLOOKUP($B178,'B-1 On-Site Hedge Baseline'!$B$1:$L$257,8,FALSE)),"",(VLOOKUP($B178,'B-1 On-Site Hedge Baseline'!$B$1:$L$257,8,FALSE))))</f>
        <v/>
      </c>
      <c r="I178" s="310" t="str">
        <f>IF(B178="","",IF(ISNA(VLOOKUP($B178,'B-1 On-Site Hedge Baseline'!$B$1:$L$257,10,FALSE)),"",(VLOOKUP($B178,'B-1 On-Site Hedge Baseline'!$B$1:$L$257,10,FALSE))))</f>
        <v/>
      </c>
      <c r="J178" s="310" t="str">
        <f>IF(B178="","",IF(ISNA(VLOOKUP($B178,'B-1 On-Site Hedge Baseline'!$B$1:$L$257,11,FALSE)),"",(VLOOKUP($B178,'B-1 On-Site Hedge Baseline'!$B$1:$L$257,11,FALSE))))</f>
        <v/>
      </c>
      <c r="K178" s="310" t="str">
        <f>IF(B178="","",IF(ISNA(VLOOKUP($B178,'B-1 On-Site Hedge Baseline'!$B$1:$U$257,13,FALSE)),"",(VLOOKUP($B178,'B-1 On-Site Hedge Baseline'!$B$1:$U$257,13,FALSE))))</f>
        <v/>
      </c>
      <c r="L178" s="314" t="str">
        <f>IF(B178="","",IF(ISNA(VLOOKUP($B178,'B-1 On-Site Hedge Baseline'!$B$1:$U$257,12,FALSE)),"",(VLOOKUP($B178,'B-1 On-Site Hedge Baseline'!$B$1:$U$257,12,FALSE))))</f>
        <v/>
      </c>
      <c r="M178" s="583"/>
      <c r="N178" s="290" t="str">
        <f>IFERROR(IF(B178="","",INDEX('G-6 Hedgerow Data'!$AN$3:$AZ$15,MATCH(C178,'G-6 Hedgerow Data'!$AM$3:$AM$15,0),MATCH(M178,'G-6 Hedgerow Data'!$AN$2:$AZ$2,0))),"")</f>
        <v/>
      </c>
      <c r="O178" s="291" t="str">
        <f t="shared" si="15"/>
        <v/>
      </c>
      <c r="P178" s="341" t="str">
        <f>IF(B178="","",VLOOKUP(B178,'B-1 On-Site Hedge Baseline'!$B$10:T423,16,FALSE))</f>
        <v/>
      </c>
      <c r="Q178" s="290" t="str">
        <f>IF(M178="","",VLOOKUP(M178,'G-6 Hedgerow Data'!$B$2:$AG$15,2,FALSE))</f>
        <v/>
      </c>
      <c r="R178" s="291" t="str">
        <f>IF(M178="","",VLOOKUP(M178,'G-6 Hedgerow Data'!$B$2:$AG$15,3,FALSE))</f>
        <v/>
      </c>
      <c r="S178" s="106"/>
      <c r="T178" s="328" t="str">
        <f>IFERROR(IF(S178="","",IF(AND(M178="Non-native and ornamental hedgerow", S178&lt;&gt;"Poor"),"Not possible ▲", (VLOOKUP(S178,'G-1 All Habitats'!$Z$2:$AA$9,2,FALSE)))),"")</f>
        <v/>
      </c>
      <c r="U178" s="103"/>
      <c r="V178" s="310" t="str">
        <f>IF(U178="","",IF(VLOOKUP(U178,'G-3 Multipliers'!$L$3:$N$6,2,FALSE)=0,"Spatial Data Missing ⚠",VLOOKUP(U178,'G-3 Multipliers'!$L$3:$N$6,2,FALSE)))</f>
        <v/>
      </c>
      <c r="W178" s="314" t="str">
        <f>IF(U178="","",IF(VLOOKUP(U178,'G-3 Multipliers'!$L$3:$N$6,3,FALSE)=0,"Spatial Data Missing ⚠",VLOOKUP(U178,'G-3 Multipliers'!$L$3:$N$6,3,FALSE)))</f>
        <v/>
      </c>
      <c r="X178" s="290" t="str">
        <f>IFERROR(IF(OR(LEFT(O178,5)="Error",LEFT(N178,5)="Error",T178="Error"),"Check Data ⚠",IF(F178&lt;R178,INDEX('G-6 Hedgerow Data'!$S$3:$AE$14,MATCH(C178,'G-6 Hedgerow Data'!$B$3:$B$14,0),MATCH(M178,'G-6 Hedgerow Data'!$S$2:$AE$2,0)),INDEX('G-6 Hedgerow Data'!$K$3:$Q$14,MATCH(M178,'G-6 Hedgerow Data'!$B$3:$B$14,0),MATCH(O178,'G-6 Hedgerow Data'!$K$2:$Q$2,0)))),"")</f>
        <v/>
      </c>
      <c r="Y178" s="138"/>
      <c r="Z178" s="138"/>
      <c r="AA178" s="298" t="str">
        <f t="shared" si="16"/>
        <v/>
      </c>
      <c r="AB178" s="311" t="str">
        <f t="shared" si="17"/>
        <v/>
      </c>
      <c r="AC178" s="312" t="str">
        <f t="shared" si="14"/>
        <v/>
      </c>
      <c r="AD178" s="325" t="str">
        <f>IF(M178="","",VLOOKUP(M178,'G-6 Hedgerow Data'!$B$3:$AG$15,31,FALSE))</f>
        <v/>
      </c>
      <c r="AE178" s="298" t="str">
        <f t="shared" si="18"/>
        <v/>
      </c>
      <c r="AF178" s="298" t="str">
        <f t="shared" si="19"/>
        <v/>
      </c>
      <c r="AG178" s="314" t="str">
        <f>IFERROR(IF(O178="","",VLOOKUP(AD178,'G-3 Multipliers'!$P$3:$Q$6,2,FALSE)),"")</f>
        <v/>
      </c>
      <c r="AH178" s="304" t="str">
        <f t="shared" si="20"/>
        <v/>
      </c>
      <c r="AI178" s="157"/>
      <c r="AJ178" s="99"/>
      <c r="AK178" s="101"/>
      <c r="AT178" s="15" t="str">
        <f>IFERROR(INDEX('G-6 Hedgerow Data'!$BJ$3:$BJ$15,MATCH(M178,'G-6 Hedgerow Data'!$B$3:$B$15,0)),"")</f>
        <v/>
      </c>
    </row>
    <row r="179" spans="2:46" ht="14" x14ac:dyDescent="0.3">
      <c r="B179" s="319" t="str">
        <f>'B-1 On-Site Hedge Baseline'!AK177</f>
        <v/>
      </c>
      <c r="C179" s="310" t="str">
        <f>IF(B179="","",IF(ISNA(VLOOKUP($B179,'B-1 On-Site Hedge Baseline'!$B$1:$L$257,3,FALSE)),"",(VLOOKUP($B179,'B-1 On-Site Hedge Baseline'!$B$1:$L$257,3,FALSE))))</f>
        <v/>
      </c>
      <c r="D179" s="310" t="str">
        <f>IF(B179="","",IF(ISNA(VLOOKUP($B179,'B-1 On-Site Hedge Baseline'!$B$1:$L$257,4,FALSE)),"",(VLOOKUP($B179,'B-1 On-Site Hedge Baseline'!$B$1:$L$257,4,FALSE))))</f>
        <v/>
      </c>
      <c r="E179" s="310" t="str">
        <f>IF(B179="","",IF(ISNA(VLOOKUP($B179,'B-1 On-Site Hedge Baseline'!$B$1:$L$257,5,FALSE)),"",(VLOOKUP($B179,'B-1 On-Site Hedge Baseline'!$B$1:$L$257,5,FALSE))))</f>
        <v/>
      </c>
      <c r="F179" s="310" t="str">
        <f>IF(B179="","",IF(ISNA(VLOOKUP($B179,'B-1 On-Site Hedge Baseline'!$B$1:$L$257,6,FALSE)),"",(VLOOKUP($B179,'B-1 On-Site Hedge Baseline'!$B$1:$L$257,6,FALSE))))</f>
        <v/>
      </c>
      <c r="G179" s="310" t="str">
        <f>IF(B179="","",IF(ISNA(VLOOKUP($B179,'B-1 On-Site Hedge Baseline'!$B$1:$L$257,7,FALSE)),"",(VLOOKUP($B179,'B-1 On-Site Hedge Baseline'!$B$1:$L$257,7,FALSE))))</f>
        <v/>
      </c>
      <c r="H179" s="310" t="str">
        <f>IF(B179="","",IF(ISNA(VLOOKUP($B179,'B-1 On-Site Hedge Baseline'!$B$1:$L$257,8,FALSE)),"",(VLOOKUP($B179,'B-1 On-Site Hedge Baseline'!$B$1:$L$257,8,FALSE))))</f>
        <v/>
      </c>
      <c r="I179" s="310" t="str">
        <f>IF(B179="","",IF(ISNA(VLOOKUP($B179,'B-1 On-Site Hedge Baseline'!$B$1:$L$257,10,FALSE)),"",(VLOOKUP($B179,'B-1 On-Site Hedge Baseline'!$B$1:$L$257,10,FALSE))))</f>
        <v/>
      </c>
      <c r="J179" s="310" t="str">
        <f>IF(B179="","",IF(ISNA(VLOOKUP($B179,'B-1 On-Site Hedge Baseline'!$B$1:$L$257,11,FALSE)),"",(VLOOKUP($B179,'B-1 On-Site Hedge Baseline'!$B$1:$L$257,11,FALSE))))</f>
        <v/>
      </c>
      <c r="K179" s="310" t="str">
        <f>IF(B179="","",IF(ISNA(VLOOKUP($B179,'B-1 On-Site Hedge Baseline'!$B$1:$U$257,13,FALSE)),"",(VLOOKUP($B179,'B-1 On-Site Hedge Baseline'!$B$1:$U$257,13,FALSE))))</f>
        <v/>
      </c>
      <c r="L179" s="314" t="str">
        <f>IF(B179="","",IF(ISNA(VLOOKUP($B179,'B-1 On-Site Hedge Baseline'!$B$1:$U$257,12,FALSE)),"",(VLOOKUP($B179,'B-1 On-Site Hedge Baseline'!$B$1:$U$257,12,FALSE))))</f>
        <v/>
      </c>
      <c r="M179" s="583"/>
      <c r="N179" s="290" t="str">
        <f>IFERROR(IF(B179="","",INDEX('G-6 Hedgerow Data'!$AN$3:$AZ$15,MATCH(C179,'G-6 Hedgerow Data'!$AM$3:$AM$15,0),MATCH(M179,'G-6 Hedgerow Data'!$AN$2:$AZ$2,0))),"")</f>
        <v/>
      </c>
      <c r="O179" s="291" t="str">
        <f t="shared" si="15"/>
        <v/>
      </c>
      <c r="P179" s="341" t="str">
        <f>IF(B179="","",VLOOKUP(B179,'B-1 On-Site Hedge Baseline'!$B$10:T424,16,FALSE))</f>
        <v/>
      </c>
      <c r="Q179" s="290" t="str">
        <f>IF(M179="","",VLOOKUP(M179,'G-6 Hedgerow Data'!$B$2:$AG$15,2,FALSE))</f>
        <v/>
      </c>
      <c r="R179" s="291" t="str">
        <f>IF(M179="","",VLOOKUP(M179,'G-6 Hedgerow Data'!$B$2:$AG$15,3,FALSE))</f>
        <v/>
      </c>
      <c r="S179" s="106"/>
      <c r="T179" s="328" t="str">
        <f>IFERROR(IF(S179="","",IF(AND(M179="Non-native and ornamental hedgerow", S179&lt;&gt;"Poor"),"Not possible ▲", (VLOOKUP(S179,'G-1 All Habitats'!$Z$2:$AA$9,2,FALSE)))),"")</f>
        <v/>
      </c>
      <c r="U179" s="103"/>
      <c r="V179" s="310" t="str">
        <f>IF(U179="","",IF(VLOOKUP(U179,'G-3 Multipliers'!$L$3:$N$6,2,FALSE)=0,"Spatial Data Missing ⚠",VLOOKUP(U179,'G-3 Multipliers'!$L$3:$N$6,2,FALSE)))</f>
        <v/>
      </c>
      <c r="W179" s="314" t="str">
        <f>IF(U179="","",IF(VLOOKUP(U179,'G-3 Multipliers'!$L$3:$N$6,3,FALSE)=0,"Spatial Data Missing ⚠",VLOOKUP(U179,'G-3 Multipliers'!$L$3:$N$6,3,FALSE)))</f>
        <v/>
      </c>
      <c r="X179" s="290" t="str">
        <f>IFERROR(IF(OR(LEFT(O179,5)="Error",LEFT(N179,5)="Error",T179="Error"),"Check Data ⚠",IF(F179&lt;R179,INDEX('G-6 Hedgerow Data'!$S$3:$AE$14,MATCH(C179,'G-6 Hedgerow Data'!$B$3:$B$14,0),MATCH(M179,'G-6 Hedgerow Data'!$S$2:$AE$2,0)),INDEX('G-6 Hedgerow Data'!$K$3:$Q$14,MATCH(M179,'G-6 Hedgerow Data'!$B$3:$B$14,0),MATCH(O179,'G-6 Hedgerow Data'!$K$2:$Q$2,0)))),"")</f>
        <v/>
      </c>
      <c r="Y179" s="138"/>
      <c r="Z179" s="138"/>
      <c r="AA179" s="298" t="str">
        <f t="shared" si="16"/>
        <v/>
      </c>
      <c r="AB179" s="311" t="str">
        <f t="shared" si="17"/>
        <v/>
      </c>
      <c r="AC179" s="312" t="str">
        <f t="shared" si="14"/>
        <v/>
      </c>
      <c r="AD179" s="325" t="str">
        <f>IF(M179="","",VLOOKUP(M179,'G-6 Hedgerow Data'!$B$3:$AG$15,31,FALSE))</f>
        <v/>
      </c>
      <c r="AE179" s="298" t="str">
        <f t="shared" si="18"/>
        <v/>
      </c>
      <c r="AF179" s="298" t="str">
        <f t="shared" si="19"/>
        <v/>
      </c>
      <c r="AG179" s="314" t="str">
        <f>IFERROR(IF(O179="","",VLOOKUP(AD179,'G-3 Multipliers'!$P$3:$Q$6,2,FALSE)),"")</f>
        <v/>
      </c>
      <c r="AH179" s="304" t="str">
        <f t="shared" si="20"/>
        <v/>
      </c>
      <c r="AI179" s="157"/>
      <c r="AJ179" s="99"/>
      <c r="AK179" s="101"/>
      <c r="AT179" s="15" t="str">
        <f>IFERROR(INDEX('G-6 Hedgerow Data'!$BJ$3:$BJ$15,MATCH(M179,'G-6 Hedgerow Data'!$B$3:$B$15,0)),"")</f>
        <v/>
      </c>
    </row>
    <row r="180" spans="2:46" ht="14" x14ac:dyDescent="0.3">
      <c r="B180" s="319" t="str">
        <f>'B-1 On-Site Hedge Baseline'!AK178</f>
        <v/>
      </c>
      <c r="C180" s="310" t="str">
        <f>IF(B180="","",IF(ISNA(VLOOKUP($B180,'B-1 On-Site Hedge Baseline'!$B$1:$L$257,3,FALSE)),"",(VLOOKUP($B180,'B-1 On-Site Hedge Baseline'!$B$1:$L$257,3,FALSE))))</f>
        <v/>
      </c>
      <c r="D180" s="310" t="str">
        <f>IF(B180="","",IF(ISNA(VLOOKUP($B180,'B-1 On-Site Hedge Baseline'!$B$1:$L$257,4,FALSE)),"",(VLOOKUP($B180,'B-1 On-Site Hedge Baseline'!$B$1:$L$257,4,FALSE))))</f>
        <v/>
      </c>
      <c r="E180" s="310" t="str">
        <f>IF(B180="","",IF(ISNA(VLOOKUP($B180,'B-1 On-Site Hedge Baseline'!$B$1:$L$257,5,FALSE)),"",(VLOOKUP($B180,'B-1 On-Site Hedge Baseline'!$B$1:$L$257,5,FALSE))))</f>
        <v/>
      </c>
      <c r="F180" s="310" t="str">
        <f>IF(B180="","",IF(ISNA(VLOOKUP($B180,'B-1 On-Site Hedge Baseline'!$B$1:$L$257,6,FALSE)),"",(VLOOKUP($B180,'B-1 On-Site Hedge Baseline'!$B$1:$L$257,6,FALSE))))</f>
        <v/>
      </c>
      <c r="G180" s="310" t="str">
        <f>IF(B180="","",IF(ISNA(VLOOKUP($B180,'B-1 On-Site Hedge Baseline'!$B$1:$L$257,7,FALSE)),"",(VLOOKUP($B180,'B-1 On-Site Hedge Baseline'!$B$1:$L$257,7,FALSE))))</f>
        <v/>
      </c>
      <c r="H180" s="310" t="str">
        <f>IF(B180="","",IF(ISNA(VLOOKUP($B180,'B-1 On-Site Hedge Baseline'!$B$1:$L$257,8,FALSE)),"",(VLOOKUP($B180,'B-1 On-Site Hedge Baseline'!$B$1:$L$257,8,FALSE))))</f>
        <v/>
      </c>
      <c r="I180" s="310" t="str">
        <f>IF(B180="","",IF(ISNA(VLOOKUP($B180,'B-1 On-Site Hedge Baseline'!$B$1:$L$257,10,FALSE)),"",(VLOOKUP($B180,'B-1 On-Site Hedge Baseline'!$B$1:$L$257,10,FALSE))))</f>
        <v/>
      </c>
      <c r="J180" s="310" t="str">
        <f>IF(B180="","",IF(ISNA(VLOOKUP($B180,'B-1 On-Site Hedge Baseline'!$B$1:$L$257,11,FALSE)),"",(VLOOKUP($B180,'B-1 On-Site Hedge Baseline'!$B$1:$L$257,11,FALSE))))</f>
        <v/>
      </c>
      <c r="K180" s="310" t="str">
        <f>IF(B180="","",IF(ISNA(VLOOKUP($B180,'B-1 On-Site Hedge Baseline'!$B$1:$U$257,13,FALSE)),"",(VLOOKUP($B180,'B-1 On-Site Hedge Baseline'!$B$1:$U$257,13,FALSE))))</f>
        <v/>
      </c>
      <c r="L180" s="314" t="str">
        <f>IF(B180="","",IF(ISNA(VLOOKUP($B180,'B-1 On-Site Hedge Baseline'!$B$1:$U$257,12,FALSE)),"",(VLOOKUP($B180,'B-1 On-Site Hedge Baseline'!$B$1:$U$257,12,FALSE))))</f>
        <v/>
      </c>
      <c r="M180" s="583"/>
      <c r="N180" s="290" t="str">
        <f>IFERROR(IF(B180="","",INDEX('G-6 Hedgerow Data'!$AN$3:$AZ$15,MATCH(C180,'G-6 Hedgerow Data'!$AM$3:$AM$15,0),MATCH(M180,'G-6 Hedgerow Data'!$AN$2:$AZ$2,0))),"")</f>
        <v/>
      </c>
      <c r="O180" s="291" t="str">
        <f t="shared" si="15"/>
        <v/>
      </c>
      <c r="P180" s="341" t="str">
        <f>IF(B180="","",VLOOKUP(B180,'B-1 On-Site Hedge Baseline'!$B$10:T425,16,FALSE))</f>
        <v/>
      </c>
      <c r="Q180" s="290" t="str">
        <f>IF(M180="","",VLOOKUP(M180,'G-6 Hedgerow Data'!$B$2:$AG$15,2,FALSE))</f>
        <v/>
      </c>
      <c r="R180" s="291" t="str">
        <f>IF(M180="","",VLOOKUP(M180,'G-6 Hedgerow Data'!$B$2:$AG$15,3,FALSE))</f>
        <v/>
      </c>
      <c r="S180" s="106"/>
      <c r="T180" s="328" t="str">
        <f>IFERROR(IF(S180="","",IF(AND(M180="Non-native and ornamental hedgerow", S180&lt;&gt;"Poor"),"Not possible ▲", (VLOOKUP(S180,'G-1 All Habitats'!$Z$2:$AA$9,2,FALSE)))),"")</f>
        <v/>
      </c>
      <c r="U180" s="103"/>
      <c r="V180" s="310" t="str">
        <f>IF(U180="","",IF(VLOOKUP(U180,'G-3 Multipliers'!$L$3:$N$6,2,FALSE)=0,"Spatial Data Missing ⚠",VLOOKUP(U180,'G-3 Multipliers'!$L$3:$N$6,2,FALSE)))</f>
        <v/>
      </c>
      <c r="W180" s="314" t="str">
        <f>IF(U180="","",IF(VLOOKUP(U180,'G-3 Multipliers'!$L$3:$N$6,3,FALSE)=0,"Spatial Data Missing ⚠",VLOOKUP(U180,'G-3 Multipliers'!$L$3:$N$6,3,FALSE)))</f>
        <v/>
      </c>
      <c r="X180" s="290" t="str">
        <f>IFERROR(IF(OR(LEFT(O180,5)="Error",LEFT(N180,5)="Error",T180="Error"),"Check Data ⚠",IF(F180&lt;R180,INDEX('G-6 Hedgerow Data'!$S$3:$AE$14,MATCH(C180,'G-6 Hedgerow Data'!$B$3:$B$14,0),MATCH(M180,'G-6 Hedgerow Data'!$S$2:$AE$2,0)),INDEX('G-6 Hedgerow Data'!$K$3:$Q$14,MATCH(M180,'G-6 Hedgerow Data'!$B$3:$B$14,0),MATCH(O180,'G-6 Hedgerow Data'!$K$2:$Q$2,0)))),"")</f>
        <v/>
      </c>
      <c r="Y180" s="138"/>
      <c r="Z180" s="138"/>
      <c r="AA180" s="298" t="str">
        <f t="shared" si="16"/>
        <v/>
      </c>
      <c r="AB180" s="311" t="str">
        <f t="shared" si="17"/>
        <v/>
      </c>
      <c r="AC180" s="312" t="str">
        <f t="shared" si="14"/>
        <v/>
      </c>
      <c r="AD180" s="325" t="str">
        <f>IF(M180="","",VLOOKUP(M180,'G-6 Hedgerow Data'!$B$3:$AG$15,31,FALSE))</f>
        <v/>
      </c>
      <c r="AE180" s="298" t="str">
        <f t="shared" si="18"/>
        <v/>
      </c>
      <c r="AF180" s="298" t="str">
        <f t="shared" si="19"/>
        <v/>
      </c>
      <c r="AG180" s="314" t="str">
        <f>IFERROR(IF(O180="","",VLOOKUP(AD180,'G-3 Multipliers'!$P$3:$Q$6,2,FALSE)),"")</f>
        <v/>
      </c>
      <c r="AH180" s="304" t="str">
        <f t="shared" si="20"/>
        <v/>
      </c>
      <c r="AI180" s="157"/>
      <c r="AJ180" s="99"/>
      <c r="AK180" s="101"/>
      <c r="AT180" s="15" t="str">
        <f>IFERROR(INDEX('G-6 Hedgerow Data'!$BJ$3:$BJ$15,MATCH(M180,'G-6 Hedgerow Data'!$B$3:$B$15,0)),"")</f>
        <v/>
      </c>
    </row>
    <row r="181" spans="2:46" ht="14" x14ac:dyDescent="0.3">
      <c r="B181" s="319" t="str">
        <f>'B-1 On-Site Hedge Baseline'!AK179</f>
        <v/>
      </c>
      <c r="C181" s="310" t="str">
        <f>IF(B181="","",IF(ISNA(VLOOKUP($B181,'B-1 On-Site Hedge Baseline'!$B$1:$L$257,3,FALSE)),"",(VLOOKUP($B181,'B-1 On-Site Hedge Baseline'!$B$1:$L$257,3,FALSE))))</f>
        <v/>
      </c>
      <c r="D181" s="310" t="str">
        <f>IF(B181="","",IF(ISNA(VLOOKUP($B181,'B-1 On-Site Hedge Baseline'!$B$1:$L$257,4,FALSE)),"",(VLOOKUP($B181,'B-1 On-Site Hedge Baseline'!$B$1:$L$257,4,FALSE))))</f>
        <v/>
      </c>
      <c r="E181" s="310" t="str">
        <f>IF(B181="","",IF(ISNA(VLOOKUP($B181,'B-1 On-Site Hedge Baseline'!$B$1:$L$257,5,FALSE)),"",(VLOOKUP($B181,'B-1 On-Site Hedge Baseline'!$B$1:$L$257,5,FALSE))))</f>
        <v/>
      </c>
      <c r="F181" s="310" t="str">
        <f>IF(B181="","",IF(ISNA(VLOOKUP($B181,'B-1 On-Site Hedge Baseline'!$B$1:$L$257,6,FALSE)),"",(VLOOKUP($B181,'B-1 On-Site Hedge Baseline'!$B$1:$L$257,6,FALSE))))</f>
        <v/>
      </c>
      <c r="G181" s="310" t="str">
        <f>IF(B181="","",IF(ISNA(VLOOKUP($B181,'B-1 On-Site Hedge Baseline'!$B$1:$L$257,7,FALSE)),"",(VLOOKUP($B181,'B-1 On-Site Hedge Baseline'!$B$1:$L$257,7,FALSE))))</f>
        <v/>
      </c>
      <c r="H181" s="310" t="str">
        <f>IF(B181="","",IF(ISNA(VLOOKUP($B181,'B-1 On-Site Hedge Baseline'!$B$1:$L$257,8,FALSE)),"",(VLOOKUP($B181,'B-1 On-Site Hedge Baseline'!$B$1:$L$257,8,FALSE))))</f>
        <v/>
      </c>
      <c r="I181" s="310" t="str">
        <f>IF(B181="","",IF(ISNA(VLOOKUP($B181,'B-1 On-Site Hedge Baseline'!$B$1:$L$257,10,FALSE)),"",(VLOOKUP($B181,'B-1 On-Site Hedge Baseline'!$B$1:$L$257,10,FALSE))))</f>
        <v/>
      </c>
      <c r="J181" s="310" t="str">
        <f>IF(B181="","",IF(ISNA(VLOOKUP($B181,'B-1 On-Site Hedge Baseline'!$B$1:$L$257,11,FALSE)),"",(VLOOKUP($B181,'B-1 On-Site Hedge Baseline'!$B$1:$L$257,11,FALSE))))</f>
        <v/>
      </c>
      <c r="K181" s="310" t="str">
        <f>IF(B181="","",IF(ISNA(VLOOKUP($B181,'B-1 On-Site Hedge Baseline'!$B$1:$U$257,13,FALSE)),"",(VLOOKUP($B181,'B-1 On-Site Hedge Baseline'!$B$1:$U$257,13,FALSE))))</f>
        <v/>
      </c>
      <c r="L181" s="314" t="str">
        <f>IF(B181="","",IF(ISNA(VLOOKUP($B181,'B-1 On-Site Hedge Baseline'!$B$1:$U$257,12,FALSE)),"",(VLOOKUP($B181,'B-1 On-Site Hedge Baseline'!$B$1:$U$257,12,FALSE))))</f>
        <v/>
      </c>
      <c r="M181" s="583"/>
      <c r="N181" s="290" t="str">
        <f>IFERROR(IF(B181="","",INDEX('G-6 Hedgerow Data'!$AN$3:$AZ$15,MATCH(C181,'G-6 Hedgerow Data'!$AM$3:$AM$15,0),MATCH(M181,'G-6 Hedgerow Data'!$AN$2:$AZ$2,0))),"")</f>
        <v/>
      </c>
      <c r="O181" s="291" t="str">
        <f t="shared" si="15"/>
        <v/>
      </c>
      <c r="P181" s="341" t="str">
        <f>IF(B181="","",VLOOKUP(B181,'B-1 On-Site Hedge Baseline'!$B$10:T426,16,FALSE))</f>
        <v/>
      </c>
      <c r="Q181" s="290" t="str">
        <f>IF(M181="","",VLOOKUP(M181,'G-6 Hedgerow Data'!$B$2:$AG$15,2,FALSE))</f>
        <v/>
      </c>
      <c r="R181" s="291" t="str">
        <f>IF(M181="","",VLOOKUP(M181,'G-6 Hedgerow Data'!$B$2:$AG$15,3,FALSE))</f>
        <v/>
      </c>
      <c r="S181" s="106"/>
      <c r="T181" s="328" t="str">
        <f>IFERROR(IF(S181="","",IF(AND(M181="Non-native and ornamental hedgerow", S181&lt;&gt;"Poor"),"Not possible ▲", (VLOOKUP(S181,'G-1 All Habitats'!$Z$2:$AA$9,2,FALSE)))),"")</f>
        <v/>
      </c>
      <c r="U181" s="103"/>
      <c r="V181" s="310" t="str">
        <f>IF(U181="","",IF(VLOOKUP(U181,'G-3 Multipliers'!$L$3:$N$6,2,FALSE)=0,"Spatial Data Missing ⚠",VLOOKUP(U181,'G-3 Multipliers'!$L$3:$N$6,2,FALSE)))</f>
        <v/>
      </c>
      <c r="W181" s="314" t="str">
        <f>IF(U181="","",IF(VLOOKUP(U181,'G-3 Multipliers'!$L$3:$N$6,3,FALSE)=0,"Spatial Data Missing ⚠",VLOOKUP(U181,'G-3 Multipliers'!$L$3:$N$6,3,FALSE)))</f>
        <v/>
      </c>
      <c r="X181" s="290" t="str">
        <f>IFERROR(IF(OR(LEFT(O181,5)="Error",LEFT(N181,5)="Error",T181="Error"),"Check Data ⚠",IF(F181&lt;R181,INDEX('G-6 Hedgerow Data'!$S$3:$AE$14,MATCH(C181,'G-6 Hedgerow Data'!$B$3:$B$14,0),MATCH(M181,'G-6 Hedgerow Data'!$S$2:$AE$2,0)),INDEX('G-6 Hedgerow Data'!$K$3:$Q$14,MATCH(M181,'G-6 Hedgerow Data'!$B$3:$B$14,0),MATCH(O181,'G-6 Hedgerow Data'!$K$2:$Q$2,0)))),"")</f>
        <v/>
      </c>
      <c r="Y181" s="138"/>
      <c r="Z181" s="138"/>
      <c r="AA181" s="298" t="str">
        <f t="shared" si="16"/>
        <v/>
      </c>
      <c r="AB181" s="311" t="str">
        <f t="shared" si="17"/>
        <v/>
      </c>
      <c r="AC181" s="312" t="str">
        <f t="shared" si="14"/>
        <v/>
      </c>
      <c r="AD181" s="325" t="str">
        <f>IF(M181="","",VLOOKUP(M181,'G-6 Hedgerow Data'!$B$3:$AG$15,31,FALSE))</f>
        <v/>
      </c>
      <c r="AE181" s="298" t="str">
        <f t="shared" si="18"/>
        <v/>
      </c>
      <c r="AF181" s="298" t="str">
        <f t="shared" si="19"/>
        <v/>
      </c>
      <c r="AG181" s="314" t="str">
        <f>IFERROR(IF(O181="","",VLOOKUP(AD181,'G-3 Multipliers'!$P$3:$Q$6,2,FALSE)),"")</f>
        <v/>
      </c>
      <c r="AH181" s="304" t="str">
        <f t="shared" si="20"/>
        <v/>
      </c>
      <c r="AI181" s="157"/>
      <c r="AJ181" s="99"/>
      <c r="AK181" s="101"/>
      <c r="AT181" s="15" t="str">
        <f>IFERROR(INDEX('G-6 Hedgerow Data'!$BJ$3:$BJ$15,MATCH(M181,'G-6 Hedgerow Data'!$B$3:$B$15,0)),"")</f>
        <v/>
      </c>
    </row>
    <row r="182" spans="2:46" ht="14" x14ac:dyDescent="0.3">
      <c r="B182" s="319" t="str">
        <f>'B-1 On-Site Hedge Baseline'!AK180</f>
        <v/>
      </c>
      <c r="C182" s="310" t="str">
        <f>IF(B182="","",IF(ISNA(VLOOKUP($B182,'B-1 On-Site Hedge Baseline'!$B$1:$L$257,3,FALSE)),"",(VLOOKUP($B182,'B-1 On-Site Hedge Baseline'!$B$1:$L$257,3,FALSE))))</f>
        <v/>
      </c>
      <c r="D182" s="310" t="str">
        <f>IF(B182="","",IF(ISNA(VLOOKUP($B182,'B-1 On-Site Hedge Baseline'!$B$1:$L$257,4,FALSE)),"",(VLOOKUP($B182,'B-1 On-Site Hedge Baseline'!$B$1:$L$257,4,FALSE))))</f>
        <v/>
      </c>
      <c r="E182" s="310" t="str">
        <f>IF(B182="","",IF(ISNA(VLOOKUP($B182,'B-1 On-Site Hedge Baseline'!$B$1:$L$257,5,FALSE)),"",(VLOOKUP($B182,'B-1 On-Site Hedge Baseline'!$B$1:$L$257,5,FALSE))))</f>
        <v/>
      </c>
      <c r="F182" s="310" t="str">
        <f>IF(B182="","",IF(ISNA(VLOOKUP($B182,'B-1 On-Site Hedge Baseline'!$B$1:$L$257,6,FALSE)),"",(VLOOKUP($B182,'B-1 On-Site Hedge Baseline'!$B$1:$L$257,6,FALSE))))</f>
        <v/>
      </c>
      <c r="G182" s="310" t="str">
        <f>IF(B182="","",IF(ISNA(VLOOKUP($B182,'B-1 On-Site Hedge Baseline'!$B$1:$L$257,7,FALSE)),"",(VLOOKUP($B182,'B-1 On-Site Hedge Baseline'!$B$1:$L$257,7,FALSE))))</f>
        <v/>
      </c>
      <c r="H182" s="310" t="str">
        <f>IF(B182="","",IF(ISNA(VLOOKUP($B182,'B-1 On-Site Hedge Baseline'!$B$1:$L$257,8,FALSE)),"",(VLOOKUP($B182,'B-1 On-Site Hedge Baseline'!$B$1:$L$257,8,FALSE))))</f>
        <v/>
      </c>
      <c r="I182" s="310" t="str">
        <f>IF(B182="","",IF(ISNA(VLOOKUP($B182,'B-1 On-Site Hedge Baseline'!$B$1:$L$257,10,FALSE)),"",(VLOOKUP($B182,'B-1 On-Site Hedge Baseline'!$B$1:$L$257,10,FALSE))))</f>
        <v/>
      </c>
      <c r="J182" s="310" t="str">
        <f>IF(B182="","",IF(ISNA(VLOOKUP($B182,'B-1 On-Site Hedge Baseline'!$B$1:$L$257,11,FALSE)),"",(VLOOKUP($B182,'B-1 On-Site Hedge Baseline'!$B$1:$L$257,11,FALSE))))</f>
        <v/>
      </c>
      <c r="K182" s="310" t="str">
        <f>IF(B182="","",IF(ISNA(VLOOKUP($B182,'B-1 On-Site Hedge Baseline'!$B$1:$U$257,13,FALSE)),"",(VLOOKUP($B182,'B-1 On-Site Hedge Baseline'!$B$1:$U$257,13,FALSE))))</f>
        <v/>
      </c>
      <c r="L182" s="314" t="str">
        <f>IF(B182="","",IF(ISNA(VLOOKUP($B182,'B-1 On-Site Hedge Baseline'!$B$1:$U$257,12,FALSE)),"",(VLOOKUP($B182,'B-1 On-Site Hedge Baseline'!$B$1:$U$257,12,FALSE))))</f>
        <v/>
      </c>
      <c r="M182" s="583"/>
      <c r="N182" s="290" t="str">
        <f>IFERROR(IF(B182="","",INDEX('G-6 Hedgerow Data'!$AN$3:$AZ$15,MATCH(C182,'G-6 Hedgerow Data'!$AM$3:$AM$15,0),MATCH(M182,'G-6 Hedgerow Data'!$AN$2:$AZ$2,0))),"")</f>
        <v/>
      </c>
      <c r="O182" s="291" t="str">
        <f t="shared" si="15"/>
        <v/>
      </c>
      <c r="P182" s="341" t="str">
        <f>IF(B182="","",VLOOKUP(B182,'B-1 On-Site Hedge Baseline'!$B$10:T427,16,FALSE))</f>
        <v/>
      </c>
      <c r="Q182" s="290" t="str">
        <f>IF(M182="","",VLOOKUP(M182,'G-6 Hedgerow Data'!$B$2:$AG$15,2,FALSE))</f>
        <v/>
      </c>
      <c r="R182" s="291" t="str">
        <f>IF(M182="","",VLOOKUP(M182,'G-6 Hedgerow Data'!$B$2:$AG$15,3,FALSE))</f>
        <v/>
      </c>
      <c r="S182" s="106"/>
      <c r="T182" s="328" t="str">
        <f>IFERROR(IF(S182="","",IF(AND(M182="Non-native and ornamental hedgerow", S182&lt;&gt;"Poor"),"Not possible ▲", (VLOOKUP(S182,'G-1 All Habitats'!$Z$2:$AA$9,2,FALSE)))),"")</f>
        <v/>
      </c>
      <c r="U182" s="103"/>
      <c r="V182" s="310" t="str">
        <f>IF(U182="","",IF(VLOOKUP(U182,'G-3 Multipliers'!$L$3:$N$6,2,FALSE)=0,"Spatial Data Missing ⚠",VLOOKUP(U182,'G-3 Multipliers'!$L$3:$N$6,2,FALSE)))</f>
        <v/>
      </c>
      <c r="W182" s="314" t="str">
        <f>IF(U182="","",IF(VLOOKUP(U182,'G-3 Multipliers'!$L$3:$N$6,3,FALSE)=0,"Spatial Data Missing ⚠",VLOOKUP(U182,'G-3 Multipliers'!$L$3:$N$6,3,FALSE)))</f>
        <v/>
      </c>
      <c r="X182" s="290" t="str">
        <f>IFERROR(IF(OR(LEFT(O182,5)="Error",LEFT(N182,5)="Error",T182="Error"),"Check Data ⚠",IF(F182&lt;R182,INDEX('G-6 Hedgerow Data'!$S$3:$AE$14,MATCH(C182,'G-6 Hedgerow Data'!$B$3:$B$14,0),MATCH(M182,'G-6 Hedgerow Data'!$S$2:$AE$2,0)),INDEX('G-6 Hedgerow Data'!$K$3:$Q$14,MATCH(M182,'G-6 Hedgerow Data'!$B$3:$B$14,0),MATCH(O182,'G-6 Hedgerow Data'!$K$2:$Q$2,0)))),"")</f>
        <v/>
      </c>
      <c r="Y182" s="138"/>
      <c r="Z182" s="138"/>
      <c r="AA182" s="298" t="str">
        <f t="shared" si="16"/>
        <v/>
      </c>
      <c r="AB182" s="311" t="str">
        <f t="shared" si="17"/>
        <v/>
      </c>
      <c r="AC182" s="312" t="str">
        <f t="shared" si="14"/>
        <v/>
      </c>
      <c r="AD182" s="325" t="str">
        <f>IF(M182="","",VLOOKUP(M182,'G-6 Hedgerow Data'!$B$3:$AG$15,31,FALSE))</f>
        <v/>
      </c>
      <c r="AE182" s="298" t="str">
        <f t="shared" si="18"/>
        <v/>
      </c>
      <c r="AF182" s="298" t="str">
        <f t="shared" si="19"/>
        <v/>
      </c>
      <c r="AG182" s="314" t="str">
        <f>IFERROR(IF(O182="","",VLOOKUP(AD182,'G-3 Multipliers'!$P$3:$Q$6,2,FALSE)),"")</f>
        <v/>
      </c>
      <c r="AH182" s="304" t="str">
        <f t="shared" si="20"/>
        <v/>
      </c>
      <c r="AI182" s="157"/>
      <c r="AJ182" s="99"/>
      <c r="AK182" s="101"/>
      <c r="AT182" s="15" t="str">
        <f>IFERROR(INDEX('G-6 Hedgerow Data'!$BJ$3:$BJ$15,MATCH(M182,'G-6 Hedgerow Data'!$B$3:$B$15,0)),"")</f>
        <v/>
      </c>
    </row>
    <row r="183" spans="2:46" ht="14" x14ac:dyDescent="0.3">
      <c r="B183" s="319" t="str">
        <f>'B-1 On-Site Hedge Baseline'!AK181</f>
        <v/>
      </c>
      <c r="C183" s="310" t="str">
        <f>IF(B183="","",IF(ISNA(VLOOKUP($B183,'B-1 On-Site Hedge Baseline'!$B$1:$L$257,3,FALSE)),"",(VLOOKUP($B183,'B-1 On-Site Hedge Baseline'!$B$1:$L$257,3,FALSE))))</f>
        <v/>
      </c>
      <c r="D183" s="310" t="str">
        <f>IF(B183="","",IF(ISNA(VLOOKUP($B183,'B-1 On-Site Hedge Baseline'!$B$1:$L$257,4,FALSE)),"",(VLOOKUP($B183,'B-1 On-Site Hedge Baseline'!$B$1:$L$257,4,FALSE))))</f>
        <v/>
      </c>
      <c r="E183" s="310" t="str">
        <f>IF(B183="","",IF(ISNA(VLOOKUP($B183,'B-1 On-Site Hedge Baseline'!$B$1:$L$257,5,FALSE)),"",(VLOOKUP($B183,'B-1 On-Site Hedge Baseline'!$B$1:$L$257,5,FALSE))))</f>
        <v/>
      </c>
      <c r="F183" s="310" t="str">
        <f>IF(B183="","",IF(ISNA(VLOOKUP($B183,'B-1 On-Site Hedge Baseline'!$B$1:$L$257,6,FALSE)),"",(VLOOKUP($B183,'B-1 On-Site Hedge Baseline'!$B$1:$L$257,6,FALSE))))</f>
        <v/>
      </c>
      <c r="G183" s="310" t="str">
        <f>IF(B183="","",IF(ISNA(VLOOKUP($B183,'B-1 On-Site Hedge Baseline'!$B$1:$L$257,7,FALSE)),"",(VLOOKUP($B183,'B-1 On-Site Hedge Baseline'!$B$1:$L$257,7,FALSE))))</f>
        <v/>
      </c>
      <c r="H183" s="310" t="str">
        <f>IF(B183="","",IF(ISNA(VLOOKUP($B183,'B-1 On-Site Hedge Baseline'!$B$1:$L$257,8,FALSE)),"",(VLOOKUP($B183,'B-1 On-Site Hedge Baseline'!$B$1:$L$257,8,FALSE))))</f>
        <v/>
      </c>
      <c r="I183" s="310" t="str">
        <f>IF(B183="","",IF(ISNA(VLOOKUP($B183,'B-1 On-Site Hedge Baseline'!$B$1:$L$257,10,FALSE)),"",(VLOOKUP($B183,'B-1 On-Site Hedge Baseline'!$B$1:$L$257,10,FALSE))))</f>
        <v/>
      </c>
      <c r="J183" s="310" t="str">
        <f>IF(B183="","",IF(ISNA(VLOOKUP($B183,'B-1 On-Site Hedge Baseline'!$B$1:$L$257,11,FALSE)),"",(VLOOKUP($B183,'B-1 On-Site Hedge Baseline'!$B$1:$L$257,11,FALSE))))</f>
        <v/>
      </c>
      <c r="K183" s="310" t="str">
        <f>IF(B183="","",IF(ISNA(VLOOKUP($B183,'B-1 On-Site Hedge Baseline'!$B$1:$U$257,13,FALSE)),"",(VLOOKUP($B183,'B-1 On-Site Hedge Baseline'!$B$1:$U$257,13,FALSE))))</f>
        <v/>
      </c>
      <c r="L183" s="314" t="str">
        <f>IF(B183="","",IF(ISNA(VLOOKUP($B183,'B-1 On-Site Hedge Baseline'!$B$1:$U$257,12,FALSE)),"",(VLOOKUP($B183,'B-1 On-Site Hedge Baseline'!$B$1:$U$257,12,FALSE))))</f>
        <v/>
      </c>
      <c r="M183" s="583"/>
      <c r="N183" s="290" t="str">
        <f>IFERROR(IF(B183="","",INDEX('G-6 Hedgerow Data'!$AN$3:$AZ$15,MATCH(C183,'G-6 Hedgerow Data'!$AM$3:$AM$15,0),MATCH(M183,'G-6 Hedgerow Data'!$AN$2:$AZ$2,0))),"")</f>
        <v/>
      </c>
      <c r="O183" s="291" t="str">
        <f t="shared" si="15"/>
        <v/>
      </c>
      <c r="P183" s="341" t="str">
        <f>IF(B183="","",VLOOKUP(B183,'B-1 On-Site Hedge Baseline'!$B$10:T428,16,FALSE))</f>
        <v/>
      </c>
      <c r="Q183" s="290" t="str">
        <f>IF(M183="","",VLOOKUP(M183,'G-6 Hedgerow Data'!$B$2:$AG$15,2,FALSE))</f>
        <v/>
      </c>
      <c r="R183" s="291" t="str">
        <f>IF(M183="","",VLOOKUP(M183,'G-6 Hedgerow Data'!$B$2:$AG$15,3,FALSE))</f>
        <v/>
      </c>
      <c r="S183" s="106"/>
      <c r="T183" s="328" t="str">
        <f>IFERROR(IF(S183="","",IF(AND(M183="Non-native and ornamental hedgerow", S183&lt;&gt;"Poor"),"Not possible ▲", (VLOOKUP(S183,'G-1 All Habitats'!$Z$2:$AA$9,2,FALSE)))),"")</f>
        <v/>
      </c>
      <c r="U183" s="103"/>
      <c r="V183" s="310" t="str">
        <f>IF(U183="","",IF(VLOOKUP(U183,'G-3 Multipliers'!$L$3:$N$6,2,FALSE)=0,"Spatial Data Missing ⚠",VLOOKUP(U183,'G-3 Multipliers'!$L$3:$N$6,2,FALSE)))</f>
        <v/>
      </c>
      <c r="W183" s="314" t="str">
        <f>IF(U183="","",IF(VLOOKUP(U183,'G-3 Multipliers'!$L$3:$N$6,3,FALSE)=0,"Spatial Data Missing ⚠",VLOOKUP(U183,'G-3 Multipliers'!$L$3:$N$6,3,FALSE)))</f>
        <v/>
      </c>
      <c r="X183" s="290" t="str">
        <f>IFERROR(IF(OR(LEFT(O183,5)="Error",LEFT(N183,5)="Error",T183="Error"),"Check Data ⚠",IF(F183&lt;R183,INDEX('G-6 Hedgerow Data'!$S$3:$AE$14,MATCH(C183,'G-6 Hedgerow Data'!$B$3:$B$14,0),MATCH(M183,'G-6 Hedgerow Data'!$S$2:$AE$2,0)),INDEX('G-6 Hedgerow Data'!$K$3:$Q$14,MATCH(M183,'G-6 Hedgerow Data'!$B$3:$B$14,0),MATCH(O183,'G-6 Hedgerow Data'!$K$2:$Q$2,0)))),"")</f>
        <v/>
      </c>
      <c r="Y183" s="138"/>
      <c r="Z183" s="138"/>
      <c r="AA183" s="298" t="str">
        <f t="shared" si="16"/>
        <v/>
      </c>
      <c r="AB183" s="311" t="str">
        <f t="shared" si="17"/>
        <v/>
      </c>
      <c r="AC183" s="312" t="str">
        <f t="shared" si="14"/>
        <v/>
      </c>
      <c r="AD183" s="325" t="str">
        <f>IF(M183="","",VLOOKUP(M183,'G-6 Hedgerow Data'!$B$3:$AG$15,31,FALSE))</f>
        <v/>
      </c>
      <c r="AE183" s="298" t="str">
        <f t="shared" si="18"/>
        <v/>
      </c>
      <c r="AF183" s="298" t="str">
        <f t="shared" si="19"/>
        <v/>
      </c>
      <c r="AG183" s="314" t="str">
        <f>IFERROR(IF(O183="","",VLOOKUP(AD183,'G-3 Multipliers'!$P$3:$Q$6,2,FALSE)),"")</f>
        <v/>
      </c>
      <c r="AH183" s="304" t="str">
        <f t="shared" si="20"/>
        <v/>
      </c>
      <c r="AI183" s="157"/>
      <c r="AJ183" s="99"/>
      <c r="AK183" s="101"/>
      <c r="AT183" s="15" t="str">
        <f>IFERROR(INDEX('G-6 Hedgerow Data'!$BJ$3:$BJ$15,MATCH(M183,'G-6 Hedgerow Data'!$B$3:$B$15,0)),"")</f>
        <v/>
      </c>
    </row>
    <row r="184" spans="2:46" ht="14" x14ac:dyDescent="0.3">
      <c r="B184" s="319" t="str">
        <f>'B-1 On-Site Hedge Baseline'!AK182</f>
        <v/>
      </c>
      <c r="C184" s="310" t="str">
        <f>IF(B184="","",IF(ISNA(VLOOKUP($B184,'B-1 On-Site Hedge Baseline'!$B$1:$L$257,3,FALSE)),"",(VLOOKUP($B184,'B-1 On-Site Hedge Baseline'!$B$1:$L$257,3,FALSE))))</f>
        <v/>
      </c>
      <c r="D184" s="310" t="str">
        <f>IF(B184="","",IF(ISNA(VLOOKUP($B184,'B-1 On-Site Hedge Baseline'!$B$1:$L$257,4,FALSE)),"",(VLOOKUP($B184,'B-1 On-Site Hedge Baseline'!$B$1:$L$257,4,FALSE))))</f>
        <v/>
      </c>
      <c r="E184" s="310" t="str">
        <f>IF(B184="","",IF(ISNA(VLOOKUP($B184,'B-1 On-Site Hedge Baseline'!$B$1:$L$257,5,FALSE)),"",(VLOOKUP($B184,'B-1 On-Site Hedge Baseline'!$B$1:$L$257,5,FALSE))))</f>
        <v/>
      </c>
      <c r="F184" s="310" t="str">
        <f>IF(B184="","",IF(ISNA(VLOOKUP($B184,'B-1 On-Site Hedge Baseline'!$B$1:$L$257,6,FALSE)),"",(VLOOKUP($B184,'B-1 On-Site Hedge Baseline'!$B$1:$L$257,6,FALSE))))</f>
        <v/>
      </c>
      <c r="G184" s="310" t="str">
        <f>IF(B184="","",IF(ISNA(VLOOKUP($B184,'B-1 On-Site Hedge Baseline'!$B$1:$L$257,7,FALSE)),"",(VLOOKUP($B184,'B-1 On-Site Hedge Baseline'!$B$1:$L$257,7,FALSE))))</f>
        <v/>
      </c>
      <c r="H184" s="310" t="str">
        <f>IF(B184="","",IF(ISNA(VLOOKUP($B184,'B-1 On-Site Hedge Baseline'!$B$1:$L$257,8,FALSE)),"",(VLOOKUP($B184,'B-1 On-Site Hedge Baseline'!$B$1:$L$257,8,FALSE))))</f>
        <v/>
      </c>
      <c r="I184" s="310" t="str">
        <f>IF(B184="","",IF(ISNA(VLOOKUP($B184,'B-1 On-Site Hedge Baseline'!$B$1:$L$257,10,FALSE)),"",(VLOOKUP($B184,'B-1 On-Site Hedge Baseline'!$B$1:$L$257,10,FALSE))))</f>
        <v/>
      </c>
      <c r="J184" s="310" t="str">
        <f>IF(B184="","",IF(ISNA(VLOOKUP($B184,'B-1 On-Site Hedge Baseline'!$B$1:$L$257,11,FALSE)),"",(VLOOKUP($B184,'B-1 On-Site Hedge Baseline'!$B$1:$L$257,11,FALSE))))</f>
        <v/>
      </c>
      <c r="K184" s="310" t="str">
        <f>IF(B184="","",IF(ISNA(VLOOKUP($B184,'B-1 On-Site Hedge Baseline'!$B$1:$U$257,13,FALSE)),"",(VLOOKUP($B184,'B-1 On-Site Hedge Baseline'!$B$1:$U$257,13,FALSE))))</f>
        <v/>
      </c>
      <c r="L184" s="314" t="str">
        <f>IF(B184="","",IF(ISNA(VLOOKUP($B184,'B-1 On-Site Hedge Baseline'!$B$1:$U$257,12,FALSE)),"",(VLOOKUP($B184,'B-1 On-Site Hedge Baseline'!$B$1:$U$257,12,FALSE))))</f>
        <v/>
      </c>
      <c r="M184" s="583"/>
      <c r="N184" s="290" t="str">
        <f>IFERROR(IF(B184="","",INDEX('G-6 Hedgerow Data'!$AN$3:$AZ$15,MATCH(C184,'G-6 Hedgerow Data'!$AM$3:$AM$15,0),MATCH(M184,'G-6 Hedgerow Data'!$AN$2:$AZ$2,0))),"")</f>
        <v/>
      </c>
      <c r="O184" s="291" t="str">
        <f t="shared" si="15"/>
        <v/>
      </c>
      <c r="P184" s="341" t="str">
        <f>IF(B184="","",VLOOKUP(B184,'B-1 On-Site Hedge Baseline'!$B$10:T429,16,FALSE))</f>
        <v/>
      </c>
      <c r="Q184" s="290" t="str">
        <f>IF(M184="","",VLOOKUP(M184,'G-6 Hedgerow Data'!$B$2:$AG$15,2,FALSE))</f>
        <v/>
      </c>
      <c r="R184" s="291" t="str">
        <f>IF(M184="","",VLOOKUP(M184,'G-6 Hedgerow Data'!$B$2:$AG$15,3,FALSE))</f>
        <v/>
      </c>
      <c r="S184" s="106"/>
      <c r="T184" s="328" t="str">
        <f>IFERROR(IF(S184="","",IF(AND(M184="Non-native and ornamental hedgerow", S184&lt;&gt;"Poor"),"Not possible ▲", (VLOOKUP(S184,'G-1 All Habitats'!$Z$2:$AA$9,2,FALSE)))),"")</f>
        <v/>
      </c>
      <c r="U184" s="103"/>
      <c r="V184" s="310" t="str">
        <f>IF(U184="","",IF(VLOOKUP(U184,'G-3 Multipliers'!$L$3:$N$6,2,FALSE)=0,"Spatial Data Missing ⚠",VLOOKUP(U184,'G-3 Multipliers'!$L$3:$N$6,2,FALSE)))</f>
        <v/>
      </c>
      <c r="W184" s="314" t="str">
        <f>IF(U184="","",IF(VLOOKUP(U184,'G-3 Multipliers'!$L$3:$N$6,3,FALSE)=0,"Spatial Data Missing ⚠",VLOOKUP(U184,'G-3 Multipliers'!$L$3:$N$6,3,FALSE)))</f>
        <v/>
      </c>
      <c r="X184" s="290" t="str">
        <f>IFERROR(IF(OR(LEFT(O184,5)="Error",LEFT(N184,5)="Error",T184="Error"),"Check Data ⚠",IF(F184&lt;R184,INDEX('G-6 Hedgerow Data'!$S$3:$AE$14,MATCH(C184,'G-6 Hedgerow Data'!$B$3:$B$14,0),MATCH(M184,'G-6 Hedgerow Data'!$S$2:$AE$2,0)),INDEX('G-6 Hedgerow Data'!$K$3:$Q$14,MATCH(M184,'G-6 Hedgerow Data'!$B$3:$B$14,0),MATCH(O184,'G-6 Hedgerow Data'!$K$2:$Q$2,0)))),"")</f>
        <v/>
      </c>
      <c r="Y184" s="138"/>
      <c r="Z184" s="138"/>
      <c r="AA184" s="298" t="str">
        <f t="shared" si="16"/>
        <v/>
      </c>
      <c r="AB184" s="311" t="str">
        <f t="shared" si="17"/>
        <v/>
      </c>
      <c r="AC184" s="312" t="str">
        <f t="shared" si="14"/>
        <v/>
      </c>
      <c r="AD184" s="325" t="str">
        <f>IF(M184="","",VLOOKUP(M184,'G-6 Hedgerow Data'!$B$3:$AG$15,31,FALSE))</f>
        <v/>
      </c>
      <c r="AE184" s="298" t="str">
        <f t="shared" si="18"/>
        <v/>
      </c>
      <c r="AF184" s="298" t="str">
        <f t="shared" si="19"/>
        <v/>
      </c>
      <c r="AG184" s="314" t="str">
        <f>IFERROR(IF(O184="","",VLOOKUP(AD184,'G-3 Multipliers'!$P$3:$Q$6,2,FALSE)),"")</f>
        <v/>
      </c>
      <c r="AH184" s="304" t="str">
        <f t="shared" si="20"/>
        <v/>
      </c>
      <c r="AI184" s="157"/>
      <c r="AJ184" s="99"/>
      <c r="AK184" s="101"/>
      <c r="AT184" s="15" t="str">
        <f>IFERROR(INDEX('G-6 Hedgerow Data'!$BJ$3:$BJ$15,MATCH(M184,'G-6 Hedgerow Data'!$B$3:$B$15,0)),"")</f>
        <v/>
      </c>
    </row>
    <row r="185" spans="2:46" ht="14" x14ac:dyDescent="0.3">
      <c r="B185" s="319" t="str">
        <f>'B-1 On-Site Hedge Baseline'!AK183</f>
        <v/>
      </c>
      <c r="C185" s="310" t="str">
        <f>IF(B185="","",IF(ISNA(VLOOKUP($B185,'B-1 On-Site Hedge Baseline'!$B$1:$L$257,3,FALSE)),"",(VLOOKUP($B185,'B-1 On-Site Hedge Baseline'!$B$1:$L$257,3,FALSE))))</f>
        <v/>
      </c>
      <c r="D185" s="310" t="str">
        <f>IF(B185="","",IF(ISNA(VLOOKUP($B185,'B-1 On-Site Hedge Baseline'!$B$1:$L$257,4,FALSE)),"",(VLOOKUP($B185,'B-1 On-Site Hedge Baseline'!$B$1:$L$257,4,FALSE))))</f>
        <v/>
      </c>
      <c r="E185" s="310" t="str">
        <f>IF(B185="","",IF(ISNA(VLOOKUP($B185,'B-1 On-Site Hedge Baseline'!$B$1:$L$257,5,FALSE)),"",(VLOOKUP($B185,'B-1 On-Site Hedge Baseline'!$B$1:$L$257,5,FALSE))))</f>
        <v/>
      </c>
      <c r="F185" s="310" t="str">
        <f>IF(B185="","",IF(ISNA(VLOOKUP($B185,'B-1 On-Site Hedge Baseline'!$B$1:$L$257,6,FALSE)),"",(VLOOKUP($B185,'B-1 On-Site Hedge Baseline'!$B$1:$L$257,6,FALSE))))</f>
        <v/>
      </c>
      <c r="G185" s="310" t="str">
        <f>IF(B185="","",IF(ISNA(VLOOKUP($B185,'B-1 On-Site Hedge Baseline'!$B$1:$L$257,7,FALSE)),"",(VLOOKUP($B185,'B-1 On-Site Hedge Baseline'!$B$1:$L$257,7,FALSE))))</f>
        <v/>
      </c>
      <c r="H185" s="310" t="str">
        <f>IF(B185="","",IF(ISNA(VLOOKUP($B185,'B-1 On-Site Hedge Baseline'!$B$1:$L$257,8,FALSE)),"",(VLOOKUP($B185,'B-1 On-Site Hedge Baseline'!$B$1:$L$257,8,FALSE))))</f>
        <v/>
      </c>
      <c r="I185" s="310" t="str">
        <f>IF(B185="","",IF(ISNA(VLOOKUP($B185,'B-1 On-Site Hedge Baseline'!$B$1:$L$257,10,FALSE)),"",(VLOOKUP($B185,'B-1 On-Site Hedge Baseline'!$B$1:$L$257,10,FALSE))))</f>
        <v/>
      </c>
      <c r="J185" s="310" t="str">
        <f>IF(B185="","",IF(ISNA(VLOOKUP($B185,'B-1 On-Site Hedge Baseline'!$B$1:$L$257,11,FALSE)),"",(VLOOKUP($B185,'B-1 On-Site Hedge Baseline'!$B$1:$L$257,11,FALSE))))</f>
        <v/>
      </c>
      <c r="K185" s="310" t="str">
        <f>IF(B185="","",IF(ISNA(VLOOKUP($B185,'B-1 On-Site Hedge Baseline'!$B$1:$U$257,13,FALSE)),"",(VLOOKUP($B185,'B-1 On-Site Hedge Baseline'!$B$1:$U$257,13,FALSE))))</f>
        <v/>
      </c>
      <c r="L185" s="314" t="str">
        <f>IF(B185="","",IF(ISNA(VLOOKUP($B185,'B-1 On-Site Hedge Baseline'!$B$1:$U$257,12,FALSE)),"",(VLOOKUP($B185,'B-1 On-Site Hedge Baseline'!$B$1:$U$257,12,FALSE))))</f>
        <v/>
      </c>
      <c r="M185" s="583"/>
      <c r="N185" s="290" t="str">
        <f>IFERROR(IF(B185="","",INDEX('G-6 Hedgerow Data'!$AN$3:$AZ$15,MATCH(C185,'G-6 Hedgerow Data'!$AM$3:$AM$15,0),MATCH(M185,'G-6 Hedgerow Data'!$AN$2:$AZ$2,0))),"")</f>
        <v/>
      </c>
      <c r="O185" s="291" t="str">
        <f t="shared" si="15"/>
        <v/>
      </c>
      <c r="P185" s="341" t="str">
        <f>IF(B185="","",VLOOKUP(B185,'B-1 On-Site Hedge Baseline'!$B$10:T430,16,FALSE))</f>
        <v/>
      </c>
      <c r="Q185" s="290" t="str">
        <f>IF(M185="","",VLOOKUP(M185,'G-6 Hedgerow Data'!$B$2:$AG$15,2,FALSE))</f>
        <v/>
      </c>
      <c r="R185" s="291" t="str">
        <f>IF(M185="","",VLOOKUP(M185,'G-6 Hedgerow Data'!$B$2:$AG$15,3,FALSE))</f>
        <v/>
      </c>
      <c r="S185" s="106"/>
      <c r="T185" s="328" t="str">
        <f>IFERROR(IF(S185="","",IF(AND(M185="Non-native and ornamental hedgerow", S185&lt;&gt;"Poor"),"Not possible ▲", (VLOOKUP(S185,'G-1 All Habitats'!$Z$2:$AA$9,2,FALSE)))),"")</f>
        <v/>
      </c>
      <c r="U185" s="103"/>
      <c r="V185" s="310" t="str">
        <f>IF(U185="","",IF(VLOOKUP(U185,'G-3 Multipliers'!$L$3:$N$6,2,FALSE)=0,"Spatial Data Missing ⚠",VLOOKUP(U185,'G-3 Multipliers'!$L$3:$N$6,2,FALSE)))</f>
        <v/>
      </c>
      <c r="W185" s="314" t="str">
        <f>IF(U185="","",IF(VLOOKUP(U185,'G-3 Multipliers'!$L$3:$N$6,3,FALSE)=0,"Spatial Data Missing ⚠",VLOOKUP(U185,'G-3 Multipliers'!$L$3:$N$6,3,FALSE)))</f>
        <v/>
      </c>
      <c r="X185" s="290" t="str">
        <f>IFERROR(IF(OR(LEFT(O185,5)="Error",LEFT(N185,5)="Error",T185="Error"),"Check Data ⚠",IF(F185&lt;R185,INDEX('G-6 Hedgerow Data'!$S$3:$AE$14,MATCH(C185,'G-6 Hedgerow Data'!$B$3:$B$14,0),MATCH(M185,'G-6 Hedgerow Data'!$S$2:$AE$2,0)),INDEX('G-6 Hedgerow Data'!$K$3:$Q$14,MATCH(M185,'G-6 Hedgerow Data'!$B$3:$B$14,0),MATCH(O185,'G-6 Hedgerow Data'!$K$2:$Q$2,0)))),"")</f>
        <v/>
      </c>
      <c r="Y185" s="138"/>
      <c r="Z185" s="138"/>
      <c r="AA185" s="298" t="str">
        <f t="shared" si="16"/>
        <v/>
      </c>
      <c r="AB185" s="311" t="str">
        <f t="shared" si="17"/>
        <v/>
      </c>
      <c r="AC185" s="312" t="str">
        <f t="shared" si="14"/>
        <v/>
      </c>
      <c r="AD185" s="325" t="str">
        <f>IF(M185="","",VLOOKUP(M185,'G-6 Hedgerow Data'!$B$3:$AG$15,31,FALSE))</f>
        <v/>
      </c>
      <c r="AE185" s="298" t="str">
        <f t="shared" si="18"/>
        <v/>
      </c>
      <c r="AF185" s="298" t="str">
        <f t="shared" si="19"/>
        <v/>
      </c>
      <c r="AG185" s="314" t="str">
        <f>IFERROR(IF(O185="","",VLOOKUP(AD185,'G-3 Multipliers'!$P$3:$Q$6,2,FALSE)),"")</f>
        <v/>
      </c>
      <c r="AH185" s="304" t="str">
        <f t="shared" si="20"/>
        <v/>
      </c>
      <c r="AI185" s="157"/>
      <c r="AJ185" s="99"/>
      <c r="AK185" s="101"/>
      <c r="AT185" s="15" t="str">
        <f>IFERROR(INDEX('G-6 Hedgerow Data'!$BJ$3:$BJ$15,MATCH(M185,'G-6 Hedgerow Data'!$B$3:$B$15,0)),"")</f>
        <v/>
      </c>
    </row>
    <row r="186" spans="2:46" ht="14" x14ac:dyDescent="0.3">
      <c r="B186" s="319" t="str">
        <f>'B-1 On-Site Hedge Baseline'!AK184</f>
        <v/>
      </c>
      <c r="C186" s="310" t="str">
        <f>IF(B186="","",IF(ISNA(VLOOKUP($B186,'B-1 On-Site Hedge Baseline'!$B$1:$L$257,3,FALSE)),"",(VLOOKUP($B186,'B-1 On-Site Hedge Baseline'!$B$1:$L$257,3,FALSE))))</f>
        <v/>
      </c>
      <c r="D186" s="310" t="str">
        <f>IF(B186="","",IF(ISNA(VLOOKUP($B186,'B-1 On-Site Hedge Baseline'!$B$1:$L$257,4,FALSE)),"",(VLOOKUP($B186,'B-1 On-Site Hedge Baseline'!$B$1:$L$257,4,FALSE))))</f>
        <v/>
      </c>
      <c r="E186" s="310" t="str">
        <f>IF(B186="","",IF(ISNA(VLOOKUP($B186,'B-1 On-Site Hedge Baseline'!$B$1:$L$257,5,FALSE)),"",(VLOOKUP($B186,'B-1 On-Site Hedge Baseline'!$B$1:$L$257,5,FALSE))))</f>
        <v/>
      </c>
      <c r="F186" s="310" t="str">
        <f>IF(B186="","",IF(ISNA(VLOOKUP($B186,'B-1 On-Site Hedge Baseline'!$B$1:$L$257,6,FALSE)),"",(VLOOKUP($B186,'B-1 On-Site Hedge Baseline'!$B$1:$L$257,6,FALSE))))</f>
        <v/>
      </c>
      <c r="G186" s="310" t="str">
        <f>IF(B186="","",IF(ISNA(VLOOKUP($B186,'B-1 On-Site Hedge Baseline'!$B$1:$L$257,7,FALSE)),"",(VLOOKUP($B186,'B-1 On-Site Hedge Baseline'!$B$1:$L$257,7,FALSE))))</f>
        <v/>
      </c>
      <c r="H186" s="310" t="str">
        <f>IF(B186="","",IF(ISNA(VLOOKUP($B186,'B-1 On-Site Hedge Baseline'!$B$1:$L$257,8,FALSE)),"",(VLOOKUP($B186,'B-1 On-Site Hedge Baseline'!$B$1:$L$257,8,FALSE))))</f>
        <v/>
      </c>
      <c r="I186" s="310" t="str">
        <f>IF(B186="","",IF(ISNA(VLOOKUP($B186,'B-1 On-Site Hedge Baseline'!$B$1:$L$257,10,FALSE)),"",(VLOOKUP($B186,'B-1 On-Site Hedge Baseline'!$B$1:$L$257,10,FALSE))))</f>
        <v/>
      </c>
      <c r="J186" s="310" t="str">
        <f>IF(B186="","",IF(ISNA(VLOOKUP($B186,'B-1 On-Site Hedge Baseline'!$B$1:$L$257,11,FALSE)),"",(VLOOKUP($B186,'B-1 On-Site Hedge Baseline'!$B$1:$L$257,11,FALSE))))</f>
        <v/>
      </c>
      <c r="K186" s="310" t="str">
        <f>IF(B186="","",IF(ISNA(VLOOKUP($B186,'B-1 On-Site Hedge Baseline'!$B$1:$U$257,13,FALSE)),"",(VLOOKUP($B186,'B-1 On-Site Hedge Baseline'!$B$1:$U$257,13,FALSE))))</f>
        <v/>
      </c>
      <c r="L186" s="314" t="str">
        <f>IF(B186="","",IF(ISNA(VLOOKUP($B186,'B-1 On-Site Hedge Baseline'!$B$1:$U$257,12,FALSE)),"",(VLOOKUP($B186,'B-1 On-Site Hedge Baseline'!$B$1:$U$257,12,FALSE))))</f>
        <v/>
      </c>
      <c r="M186" s="583"/>
      <c r="N186" s="290" t="str">
        <f>IFERROR(IF(B186="","",INDEX('G-6 Hedgerow Data'!$AN$3:$AZ$15,MATCH(C186,'G-6 Hedgerow Data'!$AM$3:$AM$15,0),MATCH(M186,'G-6 Hedgerow Data'!$AN$2:$AZ$2,0))),"")</f>
        <v/>
      </c>
      <c r="O186" s="291" t="str">
        <f t="shared" si="15"/>
        <v/>
      </c>
      <c r="P186" s="341" t="str">
        <f>IF(B186="","",VLOOKUP(B186,'B-1 On-Site Hedge Baseline'!$B$10:T431,16,FALSE))</f>
        <v/>
      </c>
      <c r="Q186" s="290" t="str">
        <f>IF(M186="","",VLOOKUP(M186,'G-6 Hedgerow Data'!$B$2:$AG$15,2,FALSE))</f>
        <v/>
      </c>
      <c r="R186" s="291" t="str">
        <f>IF(M186="","",VLOOKUP(M186,'G-6 Hedgerow Data'!$B$2:$AG$15,3,FALSE))</f>
        <v/>
      </c>
      <c r="S186" s="106"/>
      <c r="T186" s="328" t="str">
        <f>IFERROR(IF(S186="","",IF(AND(M186="Non-native and ornamental hedgerow", S186&lt;&gt;"Poor"),"Not possible ▲", (VLOOKUP(S186,'G-1 All Habitats'!$Z$2:$AA$9,2,FALSE)))),"")</f>
        <v/>
      </c>
      <c r="U186" s="103"/>
      <c r="V186" s="310" t="str">
        <f>IF(U186="","",IF(VLOOKUP(U186,'G-3 Multipliers'!$L$3:$N$6,2,FALSE)=0,"Spatial Data Missing ⚠",VLOOKUP(U186,'G-3 Multipliers'!$L$3:$N$6,2,FALSE)))</f>
        <v/>
      </c>
      <c r="W186" s="314" t="str">
        <f>IF(U186="","",IF(VLOOKUP(U186,'G-3 Multipliers'!$L$3:$N$6,3,FALSE)=0,"Spatial Data Missing ⚠",VLOOKUP(U186,'G-3 Multipliers'!$L$3:$N$6,3,FALSE)))</f>
        <v/>
      </c>
      <c r="X186" s="290" t="str">
        <f>IFERROR(IF(OR(LEFT(O186,5)="Error",LEFT(N186,5)="Error",T186="Error"),"Check Data ⚠",IF(F186&lt;R186,INDEX('G-6 Hedgerow Data'!$S$3:$AE$14,MATCH(C186,'G-6 Hedgerow Data'!$B$3:$B$14,0),MATCH(M186,'G-6 Hedgerow Data'!$S$2:$AE$2,0)),INDEX('G-6 Hedgerow Data'!$K$3:$Q$14,MATCH(M186,'G-6 Hedgerow Data'!$B$3:$B$14,0),MATCH(O186,'G-6 Hedgerow Data'!$K$2:$Q$2,0)))),"")</f>
        <v/>
      </c>
      <c r="Y186" s="138"/>
      <c r="Z186" s="138"/>
      <c r="AA186" s="298" t="str">
        <f t="shared" si="16"/>
        <v/>
      </c>
      <c r="AB186" s="311" t="str">
        <f t="shared" si="17"/>
        <v/>
      </c>
      <c r="AC186" s="312" t="str">
        <f t="shared" si="14"/>
        <v/>
      </c>
      <c r="AD186" s="325" t="str">
        <f>IF(M186="","",VLOOKUP(M186,'G-6 Hedgerow Data'!$B$3:$AG$15,31,FALSE))</f>
        <v/>
      </c>
      <c r="AE186" s="298" t="str">
        <f t="shared" si="18"/>
        <v/>
      </c>
      <c r="AF186" s="298" t="str">
        <f t="shared" si="19"/>
        <v/>
      </c>
      <c r="AG186" s="314" t="str">
        <f>IFERROR(IF(O186="","",VLOOKUP(AD186,'G-3 Multipliers'!$P$3:$Q$6,2,FALSE)),"")</f>
        <v/>
      </c>
      <c r="AH186" s="304" t="str">
        <f t="shared" si="20"/>
        <v/>
      </c>
      <c r="AI186" s="157"/>
      <c r="AJ186" s="99"/>
      <c r="AK186" s="101"/>
      <c r="AT186" s="15" t="str">
        <f>IFERROR(INDEX('G-6 Hedgerow Data'!$BJ$3:$BJ$15,MATCH(M186,'G-6 Hedgerow Data'!$B$3:$B$15,0)),"")</f>
        <v/>
      </c>
    </row>
    <row r="187" spans="2:46" ht="14" x14ac:dyDescent="0.3">
      <c r="B187" s="319" t="str">
        <f>'B-1 On-Site Hedge Baseline'!AK185</f>
        <v/>
      </c>
      <c r="C187" s="310" t="str">
        <f>IF(B187="","",IF(ISNA(VLOOKUP($B187,'B-1 On-Site Hedge Baseline'!$B$1:$L$257,3,FALSE)),"",(VLOOKUP($B187,'B-1 On-Site Hedge Baseline'!$B$1:$L$257,3,FALSE))))</f>
        <v/>
      </c>
      <c r="D187" s="310" t="str">
        <f>IF(B187="","",IF(ISNA(VLOOKUP($B187,'B-1 On-Site Hedge Baseline'!$B$1:$L$257,4,FALSE)),"",(VLOOKUP($B187,'B-1 On-Site Hedge Baseline'!$B$1:$L$257,4,FALSE))))</f>
        <v/>
      </c>
      <c r="E187" s="310" t="str">
        <f>IF(B187="","",IF(ISNA(VLOOKUP($B187,'B-1 On-Site Hedge Baseline'!$B$1:$L$257,5,FALSE)),"",(VLOOKUP($B187,'B-1 On-Site Hedge Baseline'!$B$1:$L$257,5,FALSE))))</f>
        <v/>
      </c>
      <c r="F187" s="310" t="str">
        <f>IF(B187="","",IF(ISNA(VLOOKUP($B187,'B-1 On-Site Hedge Baseline'!$B$1:$L$257,6,FALSE)),"",(VLOOKUP($B187,'B-1 On-Site Hedge Baseline'!$B$1:$L$257,6,FALSE))))</f>
        <v/>
      </c>
      <c r="G187" s="310" t="str">
        <f>IF(B187="","",IF(ISNA(VLOOKUP($B187,'B-1 On-Site Hedge Baseline'!$B$1:$L$257,7,FALSE)),"",(VLOOKUP($B187,'B-1 On-Site Hedge Baseline'!$B$1:$L$257,7,FALSE))))</f>
        <v/>
      </c>
      <c r="H187" s="310" t="str">
        <f>IF(B187="","",IF(ISNA(VLOOKUP($B187,'B-1 On-Site Hedge Baseline'!$B$1:$L$257,8,FALSE)),"",(VLOOKUP($B187,'B-1 On-Site Hedge Baseline'!$B$1:$L$257,8,FALSE))))</f>
        <v/>
      </c>
      <c r="I187" s="310" t="str">
        <f>IF(B187="","",IF(ISNA(VLOOKUP($B187,'B-1 On-Site Hedge Baseline'!$B$1:$L$257,10,FALSE)),"",(VLOOKUP($B187,'B-1 On-Site Hedge Baseline'!$B$1:$L$257,10,FALSE))))</f>
        <v/>
      </c>
      <c r="J187" s="310" t="str">
        <f>IF(B187="","",IF(ISNA(VLOOKUP($B187,'B-1 On-Site Hedge Baseline'!$B$1:$L$257,11,FALSE)),"",(VLOOKUP($B187,'B-1 On-Site Hedge Baseline'!$B$1:$L$257,11,FALSE))))</f>
        <v/>
      </c>
      <c r="K187" s="310" t="str">
        <f>IF(B187="","",IF(ISNA(VLOOKUP($B187,'B-1 On-Site Hedge Baseline'!$B$1:$U$257,13,FALSE)),"",(VLOOKUP($B187,'B-1 On-Site Hedge Baseline'!$B$1:$U$257,13,FALSE))))</f>
        <v/>
      </c>
      <c r="L187" s="314" t="str">
        <f>IF(B187="","",IF(ISNA(VLOOKUP($B187,'B-1 On-Site Hedge Baseline'!$B$1:$U$257,12,FALSE)),"",(VLOOKUP($B187,'B-1 On-Site Hedge Baseline'!$B$1:$U$257,12,FALSE))))</f>
        <v/>
      </c>
      <c r="M187" s="583"/>
      <c r="N187" s="290" t="str">
        <f>IFERROR(IF(B187="","",INDEX('G-6 Hedgerow Data'!$AN$3:$AZ$15,MATCH(C187,'G-6 Hedgerow Data'!$AM$3:$AM$15,0),MATCH(M187,'G-6 Hedgerow Data'!$AN$2:$AZ$2,0))),"")</f>
        <v/>
      </c>
      <c r="O187" s="291" t="str">
        <f t="shared" si="15"/>
        <v/>
      </c>
      <c r="P187" s="341" t="str">
        <f>IF(B187="","",VLOOKUP(B187,'B-1 On-Site Hedge Baseline'!$B$10:T432,16,FALSE))</f>
        <v/>
      </c>
      <c r="Q187" s="290" t="str">
        <f>IF(M187="","",VLOOKUP(M187,'G-6 Hedgerow Data'!$B$2:$AG$15,2,FALSE))</f>
        <v/>
      </c>
      <c r="R187" s="291" t="str">
        <f>IF(M187="","",VLOOKUP(M187,'G-6 Hedgerow Data'!$B$2:$AG$15,3,FALSE))</f>
        <v/>
      </c>
      <c r="S187" s="106"/>
      <c r="T187" s="328" t="str">
        <f>IFERROR(IF(S187="","",IF(AND(M187="Non-native and ornamental hedgerow", S187&lt;&gt;"Poor"),"Not possible ▲", (VLOOKUP(S187,'G-1 All Habitats'!$Z$2:$AA$9,2,FALSE)))),"")</f>
        <v/>
      </c>
      <c r="U187" s="103"/>
      <c r="V187" s="310" t="str">
        <f>IF(U187="","",IF(VLOOKUP(U187,'G-3 Multipliers'!$L$3:$N$6,2,FALSE)=0,"Spatial Data Missing ⚠",VLOOKUP(U187,'G-3 Multipliers'!$L$3:$N$6,2,FALSE)))</f>
        <v/>
      </c>
      <c r="W187" s="314" t="str">
        <f>IF(U187="","",IF(VLOOKUP(U187,'G-3 Multipliers'!$L$3:$N$6,3,FALSE)=0,"Spatial Data Missing ⚠",VLOOKUP(U187,'G-3 Multipliers'!$L$3:$N$6,3,FALSE)))</f>
        <v/>
      </c>
      <c r="X187" s="290" t="str">
        <f>IFERROR(IF(OR(LEFT(O187,5)="Error",LEFT(N187,5)="Error",T187="Error"),"Check Data ⚠",IF(F187&lt;R187,INDEX('G-6 Hedgerow Data'!$S$3:$AE$14,MATCH(C187,'G-6 Hedgerow Data'!$B$3:$B$14,0),MATCH(M187,'G-6 Hedgerow Data'!$S$2:$AE$2,0)),INDEX('G-6 Hedgerow Data'!$K$3:$Q$14,MATCH(M187,'G-6 Hedgerow Data'!$B$3:$B$14,0),MATCH(O187,'G-6 Hedgerow Data'!$K$2:$Q$2,0)))),"")</f>
        <v/>
      </c>
      <c r="Y187" s="138"/>
      <c r="Z187" s="138"/>
      <c r="AA187" s="298" t="str">
        <f t="shared" si="16"/>
        <v/>
      </c>
      <c r="AB187" s="311" t="str">
        <f t="shared" si="17"/>
        <v/>
      </c>
      <c r="AC187" s="312" t="str">
        <f t="shared" si="14"/>
        <v/>
      </c>
      <c r="AD187" s="325" t="str">
        <f>IF(M187="","",VLOOKUP(M187,'G-6 Hedgerow Data'!$B$3:$AG$15,31,FALSE))</f>
        <v/>
      </c>
      <c r="AE187" s="298" t="str">
        <f t="shared" si="18"/>
        <v/>
      </c>
      <c r="AF187" s="298" t="str">
        <f t="shared" si="19"/>
        <v/>
      </c>
      <c r="AG187" s="314" t="str">
        <f>IFERROR(IF(O187="","",VLOOKUP(AD187,'G-3 Multipliers'!$P$3:$Q$6,2,FALSE)),"")</f>
        <v/>
      </c>
      <c r="AH187" s="304" t="str">
        <f t="shared" si="20"/>
        <v/>
      </c>
      <c r="AI187" s="157"/>
      <c r="AJ187" s="99"/>
      <c r="AK187" s="101"/>
      <c r="AT187" s="15" t="str">
        <f>IFERROR(INDEX('G-6 Hedgerow Data'!$BJ$3:$BJ$15,MATCH(M187,'G-6 Hedgerow Data'!$B$3:$B$15,0)),"")</f>
        <v/>
      </c>
    </row>
    <row r="188" spans="2:46" ht="14" x14ac:dyDescent="0.3">
      <c r="B188" s="319" t="str">
        <f>'B-1 On-Site Hedge Baseline'!AK186</f>
        <v/>
      </c>
      <c r="C188" s="310" t="str">
        <f>IF(B188="","",IF(ISNA(VLOOKUP($B188,'B-1 On-Site Hedge Baseline'!$B$1:$L$257,3,FALSE)),"",(VLOOKUP($B188,'B-1 On-Site Hedge Baseline'!$B$1:$L$257,3,FALSE))))</f>
        <v/>
      </c>
      <c r="D188" s="310" t="str">
        <f>IF(B188="","",IF(ISNA(VLOOKUP($B188,'B-1 On-Site Hedge Baseline'!$B$1:$L$257,4,FALSE)),"",(VLOOKUP($B188,'B-1 On-Site Hedge Baseline'!$B$1:$L$257,4,FALSE))))</f>
        <v/>
      </c>
      <c r="E188" s="310" t="str">
        <f>IF(B188="","",IF(ISNA(VLOOKUP($B188,'B-1 On-Site Hedge Baseline'!$B$1:$L$257,5,FALSE)),"",(VLOOKUP($B188,'B-1 On-Site Hedge Baseline'!$B$1:$L$257,5,FALSE))))</f>
        <v/>
      </c>
      <c r="F188" s="310" t="str">
        <f>IF(B188="","",IF(ISNA(VLOOKUP($B188,'B-1 On-Site Hedge Baseline'!$B$1:$L$257,6,FALSE)),"",(VLOOKUP($B188,'B-1 On-Site Hedge Baseline'!$B$1:$L$257,6,FALSE))))</f>
        <v/>
      </c>
      <c r="G188" s="310" t="str">
        <f>IF(B188="","",IF(ISNA(VLOOKUP($B188,'B-1 On-Site Hedge Baseline'!$B$1:$L$257,7,FALSE)),"",(VLOOKUP($B188,'B-1 On-Site Hedge Baseline'!$B$1:$L$257,7,FALSE))))</f>
        <v/>
      </c>
      <c r="H188" s="310" t="str">
        <f>IF(B188="","",IF(ISNA(VLOOKUP($B188,'B-1 On-Site Hedge Baseline'!$B$1:$L$257,8,FALSE)),"",(VLOOKUP($B188,'B-1 On-Site Hedge Baseline'!$B$1:$L$257,8,FALSE))))</f>
        <v/>
      </c>
      <c r="I188" s="310" t="str">
        <f>IF(B188="","",IF(ISNA(VLOOKUP($B188,'B-1 On-Site Hedge Baseline'!$B$1:$L$257,10,FALSE)),"",(VLOOKUP($B188,'B-1 On-Site Hedge Baseline'!$B$1:$L$257,10,FALSE))))</f>
        <v/>
      </c>
      <c r="J188" s="310" t="str">
        <f>IF(B188="","",IF(ISNA(VLOOKUP($B188,'B-1 On-Site Hedge Baseline'!$B$1:$L$257,11,FALSE)),"",(VLOOKUP($B188,'B-1 On-Site Hedge Baseline'!$B$1:$L$257,11,FALSE))))</f>
        <v/>
      </c>
      <c r="K188" s="310" t="str">
        <f>IF(B188="","",IF(ISNA(VLOOKUP($B188,'B-1 On-Site Hedge Baseline'!$B$1:$U$257,13,FALSE)),"",(VLOOKUP($B188,'B-1 On-Site Hedge Baseline'!$B$1:$U$257,13,FALSE))))</f>
        <v/>
      </c>
      <c r="L188" s="314" t="str">
        <f>IF(B188="","",IF(ISNA(VLOOKUP($B188,'B-1 On-Site Hedge Baseline'!$B$1:$U$257,12,FALSE)),"",(VLOOKUP($B188,'B-1 On-Site Hedge Baseline'!$B$1:$U$257,12,FALSE))))</f>
        <v/>
      </c>
      <c r="M188" s="583"/>
      <c r="N188" s="290" t="str">
        <f>IFERROR(IF(B188="","",INDEX('G-6 Hedgerow Data'!$AN$3:$AZ$15,MATCH(C188,'G-6 Hedgerow Data'!$AM$3:$AM$15,0),MATCH(M188,'G-6 Hedgerow Data'!$AN$2:$AZ$2,0))),"")</f>
        <v/>
      </c>
      <c r="O188" s="291" t="str">
        <f t="shared" si="15"/>
        <v/>
      </c>
      <c r="P188" s="341" t="str">
        <f>IF(B188="","",VLOOKUP(B188,'B-1 On-Site Hedge Baseline'!$B$10:T433,16,FALSE))</f>
        <v/>
      </c>
      <c r="Q188" s="290" t="str">
        <f>IF(M188="","",VLOOKUP(M188,'G-6 Hedgerow Data'!$B$2:$AG$15,2,FALSE))</f>
        <v/>
      </c>
      <c r="R188" s="291" t="str">
        <f>IF(M188="","",VLOOKUP(M188,'G-6 Hedgerow Data'!$B$2:$AG$15,3,FALSE))</f>
        <v/>
      </c>
      <c r="S188" s="106"/>
      <c r="T188" s="328" t="str">
        <f>IFERROR(IF(S188="","",IF(AND(M188="Non-native and ornamental hedgerow", S188&lt;&gt;"Poor"),"Not possible ▲", (VLOOKUP(S188,'G-1 All Habitats'!$Z$2:$AA$9,2,FALSE)))),"")</f>
        <v/>
      </c>
      <c r="U188" s="103"/>
      <c r="V188" s="310" t="str">
        <f>IF(U188="","",IF(VLOOKUP(U188,'G-3 Multipliers'!$L$3:$N$6,2,FALSE)=0,"Spatial Data Missing ⚠",VLOOKUP(U188,'G-3 Multipliers'!$L$3:$N$6,2,FALSE)))</f>
        <v/>
      </c>
      <c r="W188" s="314" t="str">
        <f>IF(U188="","",IF(VLOOKUP(U188,'G-3 Multipliers'!$L$3:$N$6,3,FALSE)=0,"Spatial Data Missing ⚠",VLOOKUP(U188,'G-3 Multipliers'!$L$3:$N$6,3,FALSE)))</f>
        <v/>
      </c>
      <c r="X188" s="290" t="str">
        <f>IFERROR(IF(OR(LEFT(O188,5)="Error",LEFT(N188,5)="Error",T188="Error"),"Check Data ⚠",IF(F188&lt;R188,INDEX('G-6 Hedgerow Data'!$S$3:$AE$14,MATCH(C188,'G-6 Hedgerow Data'!$B$3:$B$14,0),MATCH(M188,'G-6 Hedgerow Data'!$S$2:$AE$2,0)),INDEX('G-6 Hedgerow Data'!$K$3:$Q$14,MATCH(M188,'G-6 Hedgerow Data'!$B$3:$B$14,0),MATCH(O188,'G-6 Hedgerow Data'!$K$2:$Q$2,0)))),"")</f>
        <v/>
      </c>
      <c r="Y188" s="138"/>
      <c r="Z188" s="138"/>
      <c r="AA188" s="298" t="str">
        <f t="shared" si="16"/>
        <v/>
      </c>
      <c r="AB188" s="311" t="str">
        <f t="shared" si="17"/>
        <v/>
      </c>
      <c r="AC188" s="312" t="str">
        <f t="shared" si="14"/>
        <v/>
      </c>
      <c r="AD188" s="325" t="str">
        <f>IF(M188="","",VLOOKUP(M188,'G-6 Hedgerow Data'!$B$3:$AG$15,31,FALSE))</f>
        <v/>
      </c>
      <c r="AE188" s="298" t="str">
        <f t="shared" si="18"/>
        <v/>
      </c>
      <c r="AF188" s="298" t="str">
        <f t="shared" si="19"/>
        <v/>
      </c>
      <c r="AG188" s="314" t="str">
        <f>IFERROR(IF(O188="","",VLOOKUP(AD188,'G-3 Multipliers'!$P$3:$Q$6,2,FALSE)),"")</f>
        <v/>
      </c>
      <c r="AH188" s="304" t="str">
        <f t="shared" si="20"/>
        <v/>
      </c>
      <c r="AI188" s="157"/>
      <c r="AJ188" s="99"/>
      <c r="AK188" s="101"/>
      <c r="AT188" s="15" t="str">
        <f>IFERROR(INDEX('G-6 Hedgerow Data'!$BJ$3:$BJ$15,MATCH(M188,'G-6 Hedgerow Data'!$B$3:$B$15,0)),"")</f>
        <v/>
      </c>
    </row>
    <row r="189" spans="2:46" ht="14" x14ac:dyDescent="0.3">
      <c r="B189" s="319" t="str">
        <f>'B-1 On-Site Hedge Baseline'!AK187</f>
        <v/>
      </c>
      <c r="C189" s="310" t="str">
        <f>IF(B189="","",IF(ISNA(VLOOKUP($B189,'B-1 On-Site Hedge Baseline'!$B$1:$L$257,3,FALSE)),"",(VLOOKUP($B189,'B-1 On-Site Hedge Baseline'!$B$1:$L$257,3,FALSE))))</f>
        <v/>
      </c>
      <c r="D189" s="310" t="str">
        <f>IF(B189="","",IF(ISNA(VLOOKUP($B189,'B-1 On-Site Hedge Baseline'!$B$1:$L$257,4,FALSE)),"",(VLOOKUP($B189,'B-1 On-Site Hedge Baseline'!$B$1:$L$257,4,FALSE))))</f>
        <v/>
      </c>
      <c r="E189" s="310" t="str">
        <f>IF(B189="","",IF(ISNA(VLOOKUP($B189,'B-1 On-Site Hedge Baseline'!$B$1:$L$257,5,FALSE)),"",(VLOOKUP($B189,'B-1 On-Site Hedge Baseline'!$B$1:$L$257,5,FALSE))))</f>
        <v/>
      </c>
      <c r="F189" s="310" t="str">
        <f>IF(B189="","",IF(ISNA(VLOOKUP($B189,'B-1 On-Site Hedge Baseline'!$B$1:$L$257,6,FALSE)),"",(VLOOKUP($B189,'B-1 On-Site Hedge Baseline'!$B$1:$L$257,6,FALSE))))</f>
        <v/>
      </c>
      <c r="G189" s="310" t="str">
        <f>IF(B189="","",IF(ISNA(VLOOKUP($B189,'B-1 On-Site Hedge Baseline'!$B$1:$L$257,7,FALSE)),"",(VLOOKUP($B189,'B-1 On-Site Hedge Baseline'!$B$1:$L$257,7,FALSE))))</f>
        <v/>
      </c>
      <c r="H189" s="310" t="str">
        <f>IF(B189="","",IF(ISNA(VLOOKUP($B189,'B-1 On-Site Hedge Baseline'!$B$1:$L$257,8,FALSE)),"",(VLOOKUP($B189,'B-1 On-Site Hedge Baseline'!$B$1:$L$257,8,FALSE))))</f>
        <v/>
      </c>
      <c r="I189" s="310" t="str">
        <f>IF(B189="","",IF(ISNA(VLOOKUP($B189,'B-1 On-Site Hedge Baseline'!$B$1:$L$257,10,FALSE)),"",(VLOOKUP($B189,'B-1 On-Site Hedge Baseline'!$B$1:$L$257,10,FALSE))))</f>
        <v/>
      </c>
      <c r="J189" s="310" t="str">
        <f>IF(B189="","",IF(ISNA(VLOOKUP($B189,'B-1 On-Site Hedge Baseline'!$B$1:$L$257,11,FALSE)),"",(VLOOKUP($B189,'B-1 On-Site Hedge Baseline'!$B$1:$L$257,11,FALSE))))</f>
        <v/>
      </c>
      <c r="K189" s="310" t="str">
        <f>IF(B189="","",IF(ISNA(VLOOKUP($B189,'B-1 On-Site Hedge Baseline'!$B$1:$U$257,13,FALSE)),"",(VLOOKUP($B189,'B-1 On-Site Hedge Baseline'!$B$1:$U$257,13,FALSE))))</f>
        <v/>
      </c>
      <c r="L189" s="314" t="str">
        <f>IF(B189="","",IF(ISNA(VLOOKUP($B189,'B-1 On-Site Hedge Baseline'!$B$1:$U$257,12,FALSE)),"",(VLOOKUP($B189,'B-1 On-Site Hedge Baseline'!$B$1:$U$257,12,FALSE))))</f>
        <v/>
      </c>
      <c r="M189" s="583"/>
      <c r="N189" s="290" t="str">
        <f>IFERROR(IF(B189="","",INDEX('G-6 Hedgerow Data'!$AN$3:$AZ$15,MATCH(C189,'G-6 Hedgerow Data'!$AM$3:$AM$15,0),MATCH(M189,'G-6 Hedgerow Data'!$AN$2:$AZ$2,0))),"")</f>
        <v/>
      </c>
      <c r="O189" s="291" t="str">
        <f t="shared" si="15"/>
        <v/>
      </c>
      <c r="P189" s="341" t="str">
        <f>IF(B189="","",VLOOKUP(B189,'B-1 On-Site Hedge Baseline'!$B$10:T434,16,FALSE))</f>
        <v/>
      </c>
      <c r="Q189" s="290" t="str">
        <f>IF(M189="","",VLOOKUP(M189,'G-6 Hedgerow Data'!$B$2:$AG$15,2,FALSE))</f>
        <v/>
      </c>
      <c r="R189" s="291" t="str">
        <f>IF(M189="","",VLOOKUP(M189,'G-6 Hedgerow Data'!$B$2:$AG$15,3,FALSE))</f>
        <v/>
      </c>
      <c r="S189" s="106"/>
      <c r="T189" s="328" t="str">
        <f>IFERROR(IF(S189="","",IF(AND(M189="Non-native and ornamental hedgerow", S189&lt;&gt;"Poor"),"Not possible ▲", (VLOOKUP(S189,'G-1 All Habitats'!$Z$2:$AA$9,2,FALSE)))),"")</f>
        <v/>
      </c>
      <c r="U189" s="103"/>
      <c r="V189" s="310" t="str">
        <f>IF(U189="","",IF(VLOOKUP(U189,'G-3 Multipliers'!$L$3:$N$6,2,FALSE)=0,"Spatial Data Missing ⚠",VLOOKUP(U189,'G-3 Multipliers'!$L$3:$N$6,2,FALSE)))</f>
        <v/>
      </c>
      <c r="W189" s="314" t="str">
        <f>IF(U189="","",IF(VLOOKUP(U189,'G-3 Multipliers'!$L$3:$N$6,3,FALSE)=0,"Spatial Data Missing ⚠",VLOOKUP(U189,'G-3 Multipliers'!$L$3:$N$6,3,FALSE)))</f>
        <v/>
      </c>
      <c r="X189" s="290" t="str">
        <f>IFERROR(IF(OR(LEFT(O189,5)="Error",LEFT(N189,5)="Error",T189="Error"),"Check Data ⚠",IF(F189&lt;R189,INDEX('G-6 Hedgerow Data'!$S$3:$AE$14,MATCH(C189,'G-6 Hedgerow Data'!$B$3:$B$14,0),MATCH(M189,'G-6 Hedgerow Data'!$S$2:$AE$2,0)),INDEX('G-6 Hedgerow Data'!$K$3:$Q$14,MATCH(M189,'G-6 Hedgerow Data'!$B$3:$B$14,0),MATCH(O189,'G-6 Hedgerow Data'!$K$2:$Q$2,0)))),"")</f>
        <v/>
      </c>
      <c r="Y189" s="138"/>
      <c r="Z189" s="138"/>
      <c r="AA189" s="298" t="str">
        <f t="shared" si="16"/>
        <v/>
      </c>
      <c r="AB189" s="311" t="str">
        <f t="shared" si="17"/>
        <v/>
      </c>
      <c r="AC189" s="312" t="str">
        <f t="shared" si="14"/>
        <v/>
      </c>
      <c r="AD189" s="325" t="str">
        <f>IF(M189="","",VLOOKUP(M189,'G-6 Hedgerow Data'!$B$3:$AG$15,31,FALSE))</f>
        <v/>
      </c>
      <c r="AE189" s="298" t="str">
        <f t="shared" si="18"/>
        <v/>
      </c>
      <c r="AF189" s="298" t="str">
        <f t="shared" si="19"/>
        <v/>
      </c>
      <c r="AG189" s="314" t="str">
        <f>IFERROR(IF(O189="","",VLOOKUP(AD189,'G-3 Multipliers'!$P$3:$Q$6,2,FALSE)),"")</f>
        <v/>
      </c>
      <c r="AH189" s="304" t="str">
        <f t="shared" si="20"/>
        <v/>
      </c>
      <c r="AI189" s="157"/>
      <c r="AJ189" s="99"/>
      <c r="AK189" s="101"/>
      <c r="AT189" s="15" t="str">
        <f>IFERROR(INDEX('G-6 Hedgerow Data'!$BJ$3:$BJ$15,MATCH(M189,'G-6 Hedgerow Data'!$B$3:$B$15,0)),"")</f>
        <v/>
      </c>
    </row>
    <row r="190" spans="2:46" ht="14" x14ac:dyDescent="0.3">
      <c r="B190" s="319" t="str">
        <f>'B-1 On-Site Hedge Baseline'!AK188</f>
        <v/>
      </c>
      <c r="C190" s="310" t="str">
        <f>IF(B190="","",IF(ISNA(VLOOKUP($B190,'B-1 On-Site Hedge Baseline'!$B$1:$L$257,3,FALSE)),"",(VLOOKUP($B190,'B-1 On-Site Hedge Baseline'!$B$1:$L$257,3,FALSE))))</f>
        <v/>
      </c>
      <c r="D190" s="310" t="str">
        <f>IF(B190="","",IF(ISNA(VLOOKUP($B190,'B-1 On-Site Hedge Baseline'!$B$1:$L$257,4,FALSE)),"",(VLOOKUP($B190,'B-1 On-Site Hedge Baseline'!$B$1:$L$257,4,FALSE))))</f>
        <v/>
      </c>
      <c r="E190" s="310" t="str">
        <f>IF(B190="","",IF(ISNA(VLOOKUP($B190,'B-1 On-Site Hedge Baseline'!$B$1:$L$257,5,FALSE)),"",(VLOOKUP($B190,'B-1 On-Site Hedge Baseline'!$B$1:$L$257,5,FALSE))))</f>
        <v/>
      </c>
      <c r="F190" s="310" t="str">
        <f>IF(B190="","",IF(ISNA(VLOOKUP($B190,'B-1 On-Site Hedge Baseline'!$B$1:$L$257,6,FALSE)),"",(VLOOKUP($B190,'B-1 On-Site Hedge Baseline'!$B$1:$L$257,6,FALSE))))</f>
        <v/>
      </c>
      <c r="G190" s="310" t="str">
        <f>IF(B190="","",IF(ISNA(VLOOKUP($B190,'B-1 On-Site Hedge Baseline'!$B$1:$L$257,7,FALSE)),"",(VLOOKUP($B190,'B-1 On-Site Hedge Baseline'!$B$1:$L$257,7,FALSE))))</f>
        <v/>
      </c>
      <c r="H190" s="310" t="str">
        <f>IF(B190="","",IF(ISNA(VLOOKUP($B190,'B-1 On-Site Hedge Baseline'!$B$1:$L$257,8,FALSE)),"",(VLOOKUP($B190,'B-1 On-Site Hedge Baseline'!$B$1:$L$257,8,FALSE))))</f>
        <v/>
      </c>
      <c r="I190" s="310" t="str">
        <f>IF(B190="","",IF(ISNA(VLOOKUP($B190,'B-1 On-Site Hedge Baseline'!$B$1:$L$257,10,FALSE)),"",(VLOOKUP($B190,'B-1 On-Site Hedge Baseline'!$B$1:$L$257,10,FALSE))))</f>
        <v/>
      </c>
      <c r="J190" s="310" t="str">
        <f>IF(B190="","",IF(ISNA(VLOOKUP($B190,'B-1 On-Site Hedge Baseline'!$B$1:$L$257,11,FALSE)),"",(VLOOKUP($B190,'B-1 On-Site Hedge Baseline'!$B$1:$L$257,11,FALSE))))</f>
        <v/>
      </c>
      <c r="K190" s="310" t="str">
        <f>IF(B190="","",IF(ISNA(VLOOKUP($B190,'B-1 On-Site Hedge Baseline'!$B$1:$U$257,13,FALSE)),"",(VLOOKUP($B190,'B-1 On-Site Hedge Baseline'!$B$1:$U$257,13,FALSE))))</f>
        <v/>
      </c>
      <c r="L190" s="314" t="str">
        <f>IF(B190="","",IF(ISNA(VLOOKUP($B190,'B-1 On-Site Hedge Baseline'!$B$1:$U$257,12,FALSE)),"",(VLOOKUP($B190,'B-1 On-Site Hedge Baseline'!$B$1:$U$257,12,FALSE))))</f>
        <v/>
      </c>
      <c r="M190" s="583"/>
      <c r="N190" s="290" t="str">
        <f>IFERROR(IF(B190="","",INDEX('G-6 Hedgerow Data'!$AN$3:$AZ$15,MATCH(C190,'G-6 Hedgerow Data'!$AM$3:$AM$15,0),MATCH(M190,'G-6 Hedgerow Data'!$AN$2:$AZ$2,0))),"")</f>
        <v/>
      </c>
      <c r="O190" s="291" t="str">
        <f t="shared" si="15"/>
        <v/>
      </c>
      <c r="P190" s="341" t="str">
        <f>IF(B190="","",VLOOKUP(B190,'B-1 On-Site Hedge Baseline'!$B$10:T435,16,FALSE))</f>
        <v/>
      </c>
      <c r="Q190" s="290" t="str">
        <f>IF(M190="","",VLOOKUP(M190,'G-6 Hedgerow Data'!$B$2:$AG$15,2,FALSE))</f>
        <v/>
      </c>
      <c r="R190" s="291" t="str">
        <f>IF(M190="","",VLOOKUP(M190,'G-6 Hedgerow Data'!$B$2:$AG$15,3,FALSE))</f>
        <v/>
      </c>
      <c r="S190" s="106"/>
      <c r="T190" s="328" t="str">
        <f>IFERROR(IF(S190="","",IF(AND(M190="Non-native and ornamental hedgerow", S190&lt;&gt;"Poor"),"Not possible ▲", (VLOOKUP(S190,'G-1 All Habitats'!$Z$2:$AA$9,2,FALSE)))),"")</f>
        <v/>
      </c>
      <c r="U190" s="103"/>
      <c r="V190" s="310" t="str">
        <f>IF(U190="","",IF(VLOOKUP(U190,'G-3 Multipliers'!$L$3:$N$6,2,FALSE)=0,"Spatial Data Missing ⚠",VLOOKUP(U190,'G-3 Multipliers'!$L$3:$N$6,2,FALSE)))</f>
        <v/>
      </c>
      <c r="W190" s="314" t="str">
        <f>IF(U190="","",IF(VLOOKUP(U190,'G-3 Multipliers'!$L$3:$N$6,3,FALSE)=0,"Spatial Data Missing ⚠",VLOOKUP(U190,'G-3 Multipliers'!$L$3:$N$6,3,FALSE)))</f>
        <v/>
      </c>
      <c r="X190" s="290" t="str">
        <f>IFERROR(IF(OR(LEFT(O190,5)="Error",LEFT(N190,5)="Error",T190="Error"),"Check Data ⚠",IF(F190&lt;R190,INDEX('G-6 Hedgerow Data'!$S$3:$AE$14,MATCH(C190,'G-6 Hedgerow Data'!$B$3:$B$14,0),MATCH(M190,'G-6 Hedgerow Data'!$S$2:$AE$2,0)),INDEX('G-6 Hedgerow Data'!$K$3:$Q$14,MATCH(M190,'G-6 Hedgerow Data'!$B$3:$B$14,0),MATCH(O190,'G-6 Hedgerow Data'!$K$2:$Q$2,0)))),"")</f>
        <v/>
      </c>
      <c r="Y190" s="138"/>
      <c r="Z190" s="138"/>
      <c r="AA190" s="298" t="str">
        <f t="shared" si="16"/>
        <v/>
      </c>
      <c r="AB190" s="311" t="str">
        <f t="shared" si="17"/>
        <v/>
      </c>
      <c r="AC190" s="312" t="str">
        <f t="shared" si="14"/>
        <v/>
      </c>
      <c r="AD190" s="325" t="str">
        <f>IF(M190="","",VLOOKUP(M190,'G-6 Hedgerow Data'!$B$3:$AG$15,31,FALSE))</f>
        <v/>
      </c>
      <c r="AE190" s="298" t="str">
        <f t="shared" si="18"/>
        <v/>
      </c>
      <c r="AF190" s="298" t="str">
        <f t="shared" si="19"/>
        <v/>
      </c>
      <c r="AG190" s="314" t="str">
        <f>IFERROR(IF(O190="","",VLOOKUP(AD190,'G-3 Multipliers'!$P$3:$Q$6,2,FALSE)),"")</f>
        <v/>
      </c>
      <c r="AH190" s="304" t="str">
        <f t="shared" si="20"/>
        <v/>
      </c>
      <c r="AI190" s="157"/>
      <c r="AJ190" s="99"/>
      <c r="AK190" s="101"/>
      <c r="AT190" s="15" t="str">
        <f>IFERROR(INDEX('G-6 Hedgerow Data'!$BJ$3:$BJ$15,MATCH(M190,'G-6 Hedgerow Data'!$B$3:$B$15,0)),"")</f>
        <v/>
      </c>
    </row>
    <row r="191" spans="2:46" ht="14" x14ac:dyDescent="0.3">
      <c r="B191" s="319" t="str">
        <f>'B-1 On-Site Hedge Baseline'!AK189</f>
        <v/>
      </c>
      <c r="C191" s="310" t="str">
        <f>IF(B191="","",IF(ISNA(VLOOKUP($B191,'B-1 On-Site Hedge Baseline'!$B$1:$L$257,3,FALSE)),"",(VLOOKUP($B191,'B-1 On-Site Hedge Baseline'!$B$1:$L$257,3,FALSE))))</f>
        <v/>
      </c>
      <c r="D191" s="310" t="str">
        <f>IF(B191="","",IF(ISNA(VLOOKUP($B191,'B-1 On-Site Hedge Baseline'!$B$1:$L$257,4,FALSE)),"",(VLOOKUP($B191,'B-1 On-Site Hedge Baseline'!$B$1:$L$257,4,FALSE))))</f>
        <v/>
      </c>
      <c r="E191" s="310" t="str">
        <f>IF(B191="","",IF(ISNA(VLOOKUP($B191,'B-1 On-Site Hedge Baseline'!$B$1:$L$257,5,FALSE)),"",(VLOOKUP($B191,'B-1 On-Site Hedge Baseline'!$B$1:$L$257,5,FALSE))))</f>
        <v/>
      </c>
      <c r="F191" s="310" t="str">
        <f>IF(B191="","",IF(ISNA(VLOOKUP($B191,'B-1 On-Site Hedge Baseline'!$B$1:$L$257,6,FALSE)),"",(VLOOKUP($B191,'B-1 On-Site Hedge Baseline'!$B$1:$L$257,6,FALSE))))</f>
        <v/>
      </c>
      <c r="G191" s="310" t="str">
        <f>IF(B191="","",IF(ISNA(VLOOKUP($B191,'B-1 On-Site Hedge Baseline'!$B$1:$L$257,7,FALSE)),"",(VLOOKUP($B191,'B-1 On-Site Hedge Baseline'!$B$1:$L$257,7,FALSE))))</f>
        <v/>
      </c>
      <c r="H191" s="310" t="str">
        <f>IF(B191="","",IF(ISNA(VLOOKUP($B191,'B-1 On-Site Hedge Baseline'!$B$1:$L$257,8,FALSE)),"",(VLOOKUP($B191,'B-1 On-Site Hedge Baseline'!$B$1:$L$257,8,FALSE))))</f>
        <v/>
      </c>
      <c r="I191" s="310" t="str">
        <f>IF(B191="","",IF(ISNA(VLOOKUP($B191,'B-1 On-Site Hedge Baseline'!$B$1:$L$257,10,FALSE)),"",(VLOOKUP($B191,'B-1 On-Site Hedge Baseline'!$B$1:$L$257,10,FALSE))))</f>
        <v/>
      </c>
      <c r="J191" s="310" t="str">
        <f>IF(B191="","",IF(ISNA(VLOOKUP($B191,'B-1 On-Site Hedge Baseline'!$B$1:$L$257,11,FALSE)),"",(VLOOKUP($B191,'B-1 On-Site Hedge Baseline'!$B$1:$L$257,11,FALSE))))</f>
        <v/>
      </c>
      <c r="K191" s="310" t="str">
        <f>IF(B191="","",IF(ISNA(VLOOKUP($B191,'B-1 On-Site Hedge Baseline'!$B$1:$U$257,13,FALSE)),"",(VLOOKUP($B191,'B-1 On-Site Hedge Baseline'!$B$1:$U$257,13,FALSE))))</f>
        <v/>
      </c>
      <c r="L191" s="314" t="str">
        <f>IF(B191="","",IF(ISNA(VLOOKUP($B191,'B-1 On-Site Hedge Baseline'!$B$1:$U$257,12,FALSE)),"",(VLOOKUP($B191,'B-1 On-Site Hedge Baseline'!$B$1:$U$257,12,FALSE))))</f>
        <v/>
      </c>
      <c r="M191" s="583"/>
      <c r="N191" s="290" t="str">
        <f>IFERROR(IF(B191="","",INDEX('G-6 Hedgerow Data'!$AN$3:$AZ$15,MATCH(C191,'G-6 Hedgerow Data'!$AM$3:$AM$15,0),MATCH(M191,'G-6 Hedgerow Data'!$AN$2:$AZ$2,0))),"")</f>
        <v/>
      </c>
      <c r="O191" s="291" t="str">
        <f t="shared" si="15"/>
        <v/>
      </c>
      <c r="P191" s="341" t="str">
        <f>IF(B191="","",VLOOKUP(B191,'B-1 On-Site Hedge Baseline'!$B$10:T436,16,FALSE))</f>
        <v/>
      </c>
      <c r="Q191" s="290" t="str">
        <f>IF(M191="","",VLOOKUP(M191,'G-6 Hedgerow Data'!$B$2:$AG$15,2,FALSE))</f>
        <v/>
      </c>
      <c r="R191" s="291" t="str">
        <f>IF(M191="","",VLOOKUP(M191,'G-6 Hedgerow Data'!$B$2:$AG$15,3,FALSE))</f>
        <v/>
      </c>
      <c r="S191" s="106"/>
      <c r="T191" s="328" t="str">
        <f>IFERROR(IF(S191="","",IF(AND(M191="Non-native and ornamental hedgerow", S191&lt;&gt;"Poor"),"Not possible ▲", (VLOOKUP(S191,'G-1 All Habitats'!$Z$2:$AA$9,2,FALSE)))),"")</f>
        <v/>
      </c>
      <c r="U191" s="103"/>
      <c r="V191" s="310" t="str">
        <f>IF(U191="","",IF(VLOOKUP(U191,'G-3 Multipliers'!$L$3:$N$6,2,FALSE)=0,"Spatial Data Missing ⚠",VLOOKUP(U191,'G-3 Multipliers'!$L$3:$N$6,2,FALSE)))</f>
        <v/>
      </c>
      <c r="W191" s="314" t="str">
        <f>IF(U191="","",IF(VLOOKUP(U191,'G-3 Multipliers'!$L$3:$N$6,3,FALSE)=0,"Spatial Data Missing ⚠",VLOOKUP(U191,'G-3 Multipliers'!$L$3:$N$6,3,FALSE)))</f>
        <v/>
      </c>
      <c r="X191" s="290" t="str">
        <f>IFERROR(IF(OR(LEFT(O191,5)="Error",LEFT(N191,5)="Error",T191="Error"),"Check Data ⚠",IF(F191&lt;R191,INDEX('G-6 Hedgerow Data'!$S$3:$AE$14,MATCH(C191,'G-6 Hedgerow Data'!$B$3:$B$14,0),MATCH(M191,'G-6 Hedgerow Data'!$S$2:$AE$2,0)),INDEX('G-6 Hedgerow Data'!$K$3:$Q$14,MATCH(M191,'G-6 Hedgerow Data'!$B$3:$B$14,0),MATCH(O191,'G-6 Hedgerow Data'!$K$2:$Q$2,0)))),"")</f>
        <v/>
      </c>
      <c r="Y191" s="138"/>
      <c r="Z191" s="138"/>
      <c r="AA191" s="298" t="str">
        <f t="shared" si="16"/>
        <v/>
      </c>
      <c r="AB191" s="311" t="str">
        <f t="shared" si="17"/>
        <v/>
      </c>
      <c r="AC191" s="312" t="str">
        <f t="shared" si="14"/>
        <v/>
      </c>
      <c r="AD191" s="325" t="str">
        <f>IF(M191="","",VLOOKUP(M191,'G-6 Hedgerow Data'!$B$3:$AG$15,31,FALSE))</f>
        <v/>
      </c>
      <c r="AE191" s="298" t="str">
        <f t="shared" si="18"/>
        <v/>
      </c>
      <c r="AF191" s="298" t="str">
        <f t="shared" si="19"/>
        <v/>
      </c>
      <c r="AG191" s="314" t="str">
        <f>IFERROR(IF(O191="","",VLOOKUP(AD191,'G-3 Multipliers'!$P$3:$Q$6,2,FALSE)),"")</f>
        <v/>
      </c>
      <c r="AH191" s="304" t="str">
        <f t="shared" si="20"/>
        <v/>
      </c>
      <c r="AI191" s="157"/>
      <c r="AJ191" s="99"/>
      <c r="AK191" s="101"/>
      <c r="AT191" s="15" t="str">
        <f>IFERROR(INDEX('G-6 Hedgerow Data'!$BJ$3:$BJ$15,MATCH(M191,'G-6 Hedgerow Data'!$B$3:$B$15,0)),"")</f>
        <v/>
      </c>
    </row>
    <row r="192" spans="2:46" ht="14" x14ac:dyDescent="0.3">
      <c r="B192" s="319" t="str">
        <f>'B-1 On-Site Hedge Baseline'!AK190</f>
        <v/>
      </c>
      <c r="C192" s="310" t="str">
        <f>IF(B192="","",IF(ISNA(VLOOKUP($B192,'B-1 On-Site Hedge Baseline'!$B$1:$L$257,3,FALSE)),"",(VLOOKUP($B192,'B-1 On-Site Hedge Baseline'!$B$1:$L$257,3,FALSE))))</f>
        <v/>
      </c>
      <c r="D192" s="310" t="str">
        <f>IF(B192="","",IF(ISNA(VLOOKUP($B192,'B-1 On-Site Hedge Baseline'!$B$1:$L$257,4,FALSE)),"",(VLOOKUP($B192,'B-1 On-Site Hedge Baseline'!$B$1:$L$257,4,FALSE))))</f>
        <v/>
      </c>
      <c r="E192" s="310" t="str">
        <f>IF(B192="","",IF(ISNA(VLOOKUP($B192,'B-1 On-Site Hedge Baseline'!$B$1:$L$257,5,FALSE)),"",(VLOOKUP($B192,'B-1 On-Site Hedge Baseline'!$B$1:$L$257,5,FALSE))))</f>
        <v/>
      </c>
      <c r="F192" s="310" t="str">
        <f>IF(B192="","",IF(ISNA(VLOOKUP($B192,'B-1 On-Site Hedge Baseline'!$B$1:$L$257,6,FALSE)),"",(VLOOKUP($B192,'B-1 On-Site Hedge Baseline'!$B$1:$L$257,6,FALSE))))</f>
        <v/>
      </c>
      <c r="G192" s="310" t="str">
        <f>IF(B192="","",IF(ISNA(VLOOKUP($B192,'B-1 On-Site Hedge Baseline'!$B$1:$L$257,7,FALSE)),"",(VLOOKUP($B192,'B-1 On-Site Hedge Baseline'!$B$1:$L$257,7,FALSE))))</f>
        <v/>
      </c>
      <c r="H192" s="310" t="str">
        <f>IF(B192="","",IF(ISNA(VLOOKUP($B192,'B-1 On-Site Hedge Baseline'!$B$1:$L$257,8,FALSE)),"",(VLOOKUP($B192,'B-1 On-Site Hedge Baseline'!$B$1:$L$257,8,FALSE))))</f>
        <v/>
      </c>
      <c r="I192" s="310" t="str">
        <f>IF(B192="","",IF(ISNA(VLOOKUP($B192,'B-1 On-Site Hedge Baseline'!$B$1:$L$257,10,FALSE)),"",(VLOOKUP($B192,'B-1 On-Site Hedge Baseline'!$B$1:$L$257,10,FALSE))))</f>
        <v/>
      </c>
      <c r="J192" s="310" t="str">
        <f>IF(B192="","",IF(ISNA(VLOOKUP($B192,'B-1 On-Site Hedge Baseline'!$B$1:$L$257,11,FALSE)),"",(VLOOKUP($B192,'B-1 On-Site Hedge Baseline'!$B$1:$L$257,11,FALSE))))</f>
        <v/>
      </c>
      <c r="K192" s="310" t="str">
        <f>IF(B192="","",IF(ISNA(VLOOKUP($B192,'B-1 On-Site Hedge Baseline'!$B$1:$U$257,13,FALSE)),"",(VLOOKUP($B192,'B-1 On-Site Hedge Baseline'!$B$1:$U$257,13,FALSE))))</f>
        <v/>
      </c>
      <c r="L192" s="314" t="str">
        <f>IF(B192="","",IF(ISNA(VLOOKUP($B192,'B-1 On-Site Hedge Baseline'!$B$1:$U$257,12,FALSE)),"",(VLOOKUP($B192,'B-1 On-Site Hedge Baseline'!$B$1:$U$257,12,FALSE))))</f>
        <v/>
      </c>
      <c r="M192" s="583"/>
      <c r="N192" s="290" t="str">
        <f>IFERROR(IF(B192="","",INDEX('G-6 Hedgerow Data'!$AN$3:$AZ$15,MATCH(C192,'G-6 Hedgerow Data'!$AM$3:$AM$15,0),MATCH(M192,'G-6 Hedgerow Data'!$AN$2:$AZ$2,0))),"")</f>
        <v/>
      </c>
      <c r="O192" s="291" t="str">
        <f t="shared" si="15"/>
        <v/>
      </c>
      <c r="P192" s="341" t="str">
        <f>IF(B192="","",VLOOKUP(B192,'B-1 On-Site Hedge Baseline'!$B$10:T437,16,FALSE))</f>
        <v/>
      </c>
      <c r="Q192" s="290" t="str">
        <f>IF(M192="","",VLOOKUP(M192,'G-6 Hedgerow Data'!$B$2:$AG$15,2,FALSE))</f>
        <v/>
      </c>
      <c r="R192" s="291" t="str">
        <f>IF(M192="","",VLOOKUP(M192,'G-6 Hedgerow Data'!$B$2:$AG$15,3,FALSE))</f>
        <v/>
      </c>
      <c r="S192" s="106"/>
      <c r="T192" s="328" t="str">
        <f>IFERROR(IF(S192="","",IF(AND(M192="Non-native and ornamental hedgerow", S192&lt;&gt;"Poor"),"Not possible ▲", (VLOOKUP(S192,'G-1 All Habitats'!$Z$2:$AA$9,2,FALSE)))),"")</f>
        <v/>
      </c>
      <c r="U192" s="103"/>
      <c r="V192" s="310" t="str">
        <f>IF(U192="","",IF(VLOOKUP(U192,'G-3 Multipliers'!$L$3:$N$6,2,FALSE)=0,"Spatial Data Missing ⚠",VLOOKUP(U192,'G-3 Multipliers'!$L$3:$N$6,2,FALSE)))</f>
        <v/>
      </c>
      <c r="W192" s="314" t="str">
        <f>IF(U192="","",IF(VLOOKUP(U192,'G-3 Multipliers'!$L$3:$N$6,3,FALSE)=0,"Spatial Data Missing ⚠",VLOOKUP(U192,'G-3 Multipliers'!$L$3:$N$6,3,FALSE)))</f>
        <v/>
      </c>
      <c r="X192" s="290" t="str">
        <f>IFERROR(IF(OR(LEFT(O192,5)="Error",LEFT(N192,5)="Error",T192="Error"),"Check Data ⚠",IF(F192&lt;R192,INDEX('G-6 Hedgerow Data'!$S$3:$AE$14,MATCH(C192,'G-6 Hedgerow Data'!$B$3:$B$14,0),MATCH(M192,'G-6 Hedgerow Data'!$S$2:$AE$2,0)),INDEX('G-6 Hedgerow Data'!$K$3:$Q$14,MATCH(M192,'G-6 Hedgerow Data'!$B$3:$B$14,0),MATCH(O192,'G-6 Hedgerow Data'!$K$2:$Q$2,0)))),"")</f>
        <v/>
      </c>
      <c r="Y192" s="138"/>
      <c r="Z192" s="138"/>
      <c r="AA192" s="298" t="str">
        <f t="shared" si="16"/>
        <v/>
      </c>
      <c r="AB192" s="311" t="str">
        <f t="shared" si="17"/>
        <v/>
      </c>
      <c r="AC192" s="312" t="str">
        <f t="shared" si="14"/>
        <v/>
      </c>
      <c r="AD192" s="325" t="str">
        <f>IF(M192="","",VLOOKUP(M192,'G-6 Hedgerow Data'!$B$3:$AG$15,31,FALSE))</f>
        <v/>
      </c>
      <c r="AE192" s="298" t="str">
        <f t="shared" si="18"/>
        <v/>
      </c>
      <c r="AF192" s="298" t="str">
        <f t="shared" si="19"/>
        <v/>
      </c>
      <c r="AG192" s="314" t="str">
        <f>IFERROR(IF(O192="","",VLOOKUP(AD192,'G-3 Multipliers'!$P$3:$Q$6,2,FALSE)),"")</f>
        <v/>
      </c>
      <c r="AH192" s="304" t="str">
        <f t="shared" si="20"/>
        <v/>
      </c>
      <c r="AI192" s="157"/>
      <c r="AJ192" s="99"/>
      <c r="AK192" s="101"/>
      <c r="AT192" s="15" t="str">
        <f>IFERROR(INDEX('G-6 Hedgerow Data'!$BJ$3:$BJ$15,MATCH(M192,'G-6 Hedgerow Data'!$B$3:$B$15,0)),"")</f>
        <v/>
      </c>
    </row>
    <row r="193" spans="2:46" ht="14" x14ac:dyDescent="0.3">
      <c r="B193" s="319" t="str">
        <f>'B-1 On-Site Hedge Baseline'!AK191</f>
        <v/>
      </c>
      <c r="C193" s="310" t="str">
        <f>IF(B193="","",IF(ISNA(VLOOKUP($B193,'B-1 On-Site Hedge Baseline'!$B$1:$L$257,3,FALSE)),"",(VLOOKUP($B193,'B-1 On-Site Hedge Baseline'!$B$1:$L$257,3,FALSE))))</f>
        <v/>
      </c>
      <c r="D193" s="310" t="str">
        <f>IF(B193="","",IF(ISNA(VLOOKUP($B193,'B-1 On-Site Hedge Baseline'!$B$1:$L$257,4,FALSE)),"",(VLOOKUP($B193,'B-1 On-Site Hedge Baseline'!$B$1:$L$257,4,FALSE))))</f>
        <v/>
      </c>
      <c r="E193" s="310" t="str">
        <f>IF(B193="","",IF(ISNA(VLOOKUP($B193,'B-1 On-Site Hedge Baseline'!$B$1:$L$257,5,FALSE)),"",(VLOOKUP($B193,'B-1 On-Site Hedge Baseline'!$B$1:$L$257,5,FALSE))))</f>
        <v/>
      </c>
      <c r="F193" s="310" t="str">
        <f>IF(B193="","",IF(ISNA(VLOOKUP($B193,'B-1 On-Site Hedge Baseline'!$B$1:$L$257,6,FALSE)),"",(VLOOKUP($B193,'B-1 On-Site Hedge Baseline'!$B$1:$L$257,6,FALSE))))</f>
        <v/>
      </c>
      <c r="G193" s="310" t="str">
        <f>IF(B193="","",IF(ISNA(VLOOKUP($B193,'B-1 On-Site Hedge Baseline'!$B$1:$L$257,7,FALSE)),"",(VLOOKUP($B193,'B-1 On-Site Hedge Baseline'!$B$1:$L$257,7,FALSE))))</f>
        <v/>
      </c>
      <c r="H193" s="310" t="str">
        <f>IF(B193="","",IF(ISNA(VLOOKUP($B193,'B-1 On-Site Hedge Baseline'!$B$1:$L$257,8,FALSE)),"",(VLOOKUP($B193,'B-1 On-Site Hedge Baseline'!$B$1:$L$257,8,FALSE))))</f>
        <v/>
      </c>
      <c r="I193" s="310" t="str">
        <f>IF(B193="","",IF(ISNA(VLOOKUP($B193,'B-1 On-Site Hedge Baseline'!$B$1:$L$257,10,FALSE)),"",(VLOOKUP($B193,'B-1 On-Site Hedge Baseline'!$B$1:$L$257,10,FALSE))))</f>
        <v/>
      </c>
      <c r="J193" s="310" t="str">
        <f>IF(B193="","",IF(ISNA(VLOOKUP($B193,'B-1 On-Site Hedge Baseline'!$B$1:$L$257,11,FALSE)),"",(VLOOKUP($B193,'B-1 On-Site Hedge Baseline'!$B$1:$L$257,11,FALSE))))</f>
        <v/>
      </c>
      <c r="K193" s="310" t="str">
        <f>IF(B193="","",IF(ISNA(VLOOKUP($B193,'B-1 On-Site Hedge Baseline'!$B$1:$U$257,13,FALSE)),"",(VLOOKUP($B193,'B-1 On-Site Hedge Baseline'!$B$1:$U$257,13,FALSE))))</f>
        <v/>
      </c>
      <c r="L193" s="314" t="str">
        <f>IF(B193="","",IF(ISNA(VLOOKUP($B193,'B-1 On-Site Hedge Baseline'!$B$1:$U$257,12,FALSE)),"",(VLOOKUP($B193,'B-1 On-Site Hedge Baseline'!$B$1:$U$257,12,FALSE))))</f>
        <v/>
      </c>
      <c r="M193" s="583"/>
      <c r="N193" s="290" t="str">
        <f>IFERROR(IF(B193="","",INDEX('G-6 Hedgerow Data'!$AN$3:$AZ$15,MATCH(C193,'G-6 Hedgerow Data'!$AM$3:$AM$15,0),MATCH(M193,'G-6 Hedgerow Data'!$AN$2:$AZ$2,0))),"")</f>
        <v/>
      </c>
      <c r="O193" s="291" t="str">
        <f t="shared" si="15"/>
        <v/>
      </c>
      <c r="P193" s="341" t="str">
        <f>IF(B193="","",VLOOKUP(B193,'B-1 On-Site Hedge Baseline'!$B$10:T438,16,FALSE))</f>
        <v/>
      </c>
      <c r="Q193" s="290" t="str">
        <f>IF(M193="","",VLOOKUP(M193,'G-6 Hedgerow Data'!$B$2:$AG$15,2,FALSE))</f>
        <v/>
      </c>
      <c r="R193" s="291" t="str">
        <f>IF(M193="","",VLOOKUP(M193,'G-6 Hedgerow Data'!$B$2:$AG$15,3,FALSE))</f>
        <v/>
      </c>
      <c r="S193" s="106"/>
      <c r="T193" s="328" t="str">
        <f>IFERROR(IF(S193="","",IF(AND(M193="Non-native and ornamental hedgerow", S193&lt;&gt;"Poor"),"Not possible ▲", (VLOOKUP(S193,'G-1 All Habitats'!$Z$2:$AA$9,2,FALSE)))),"")</f>
        <v/>
      </c>
      <c r="U193" s="103"/>
      <c r="V193" s="310" t="str">
        <f>IF(U193="","",IF(VLOOKUP(U193,'G-3 Multipliers'!$L$3:$N$6,2,FALSE)=0,"Spatial Data Missing ⚠",VLOOKUP(U193,'G-3 Multipliers'!$L$3:$N$6,2,FALSE)))</f>
        <v/>
      </c>
      <c r="W193" s="314" t="str">
        <f>IF(U193="","",IF(VLOOKUP(U193,'G-3 Multipliers'!$L$3:$N$6,3,FALSE)=0,"Spatial Data Missing ⚠",VLOOKUP(U193,'G-3 Multipliers'!$L$3:$N$6,3,FALSE)))</f>
        <v/>
      </c>
      <c r="X193" s="290" t="str">
        <f>IFERROR(IF(OR(LEFT(O193,5)="Error",LEFT(N193,5)="Error",T193="Error"),"Check Data ⚠",IF(F193&lt;R193,INDEX('G-6 Hedgerow Data'!$S$3:$AE$14,MATCH(C193,'G-6 Hedgerow Data'!$B$3:$B$14,0),MATCH(M193,'G-6 Hedgerow Data'!$S$2:$AE$2,0)),INDEX('G-6 Hedgerow Data'!$K$3:$Q$14,MATCH(M193,'G-6 Hedgerow Data'!$B$3:$B$14,0),MATCH(O193,'G-6 Hedgerow Data'!$K$2:$Q$2,0)))),"")</f>
        <v/>
      </c>
      <c r="Y193" s="138"/>
      <c r="Z193" s="138"/>
      <c r="AA193" s="298" t="str">
        <f t="shared" si="16"/>
        <v/>
      </c>
      <c r="AB193" s="311" t="str">
        <f t="shared" si="17"/>
        <v/>
      </c>
      <c r="AC193" s="312" t="str">
        <f t="shared" si="14"/>
        <v/>
      </c>
      <c r="AD193" s="325" t="str">
        <f>IF(M193="","",VLOOKUP(M193,'G-6 Hedgerow Data'!$B$3:$AG$15,31,FALSE))</f>
        <v/>
      </c>
      <c r="AE193" s="298" t="str">
        <f t="shared" si="18"/>
        <v/>
      </c>
      <c r="AF193" s="298" t="str">
        <f t="shared" si="19"/>
        <v/>
      </c>
      <c r="AG193" s="314" t="str">
        <f>IFERROR(IF(O193="","",VLOOKUP(AD193,'G-3 Multipliers'!$P$3:$Q$6,2,FALSE)),"")</f>
        <v/>
      </c>
      <c r="AH193" s="304" t="str">
        <f t="shared" si="20"/>
        <v/>
      </c>
      <c r="AI193" s="157"/>
      <c r="AJ193" s="99"/>
      <c r="AK193" s="101"/>
      <c r="AT193" s="15" t="str">
        <f>IFERROR(INDEX('G-6 Hedgerow Data'!$BJ$3:$BJ$15,MATCH(M193,'G-6 Hedgerow Data'!$B$3:$B$15,0)),"")</f>
        <v/>
      </c>
    </row>
    <row r="194" spans="2:46" ht="14" x14ac:dyDescent="0.3">
      <c r="B194" s="319" t="str">
        <f>'B-1 On-Site Hedge Baseline'!AK192</f>
        <v/>
      </c>
      <c r="C194" s="310" t="str">
        <f>IF(B194="","",IF(ISNA(VLOOKUP($B194,'B-1 On-Site Hedge Baseline'!$B$1:$L$257,3,FALSE)),"",(VLOOKUP($B194,'B-1 On-Site Hedge Baseline'!$B$1:$L$257,3,FALSE))))</f>
        <v/>
      </c>
      <c r="D194" s="310" t="str">
        <f>IF(B194="","",IF(ISNA(VLOOKUP($B194,'B-1 On-Site Hedge Baseline'!$B$1:$L$257,4,FALSE)),"",(VLOOKUP($B194,'B-1 On-Site Hedge Baseline'!$B$1:$L$257,4,FALSE))))</f>
        <v/>
      </c>
      <c r="E194" s="310" t="str">
        <f>IF(B194="","",IF(ISNA(VLOOKUP($B194,'B-1 On-Site Hedge Baseline'!$B$1:$L$257,5,FALSE)),"",(VLOOKUP($B194,'B-1 On-Site Hedge Baseline'!$B$1:$L$257,5,FALSE))))</f>
        <v/>
      </c>
      <c r="F194" s="310" t="str">
        <f>IF(B194="","",IF(ISNA(VLOOKUP($B194,'B-1 On-Site Hedge Baseline'!$B$1:$L$257,6,FALSE)),"",(VLOOKUP($B194,'B-1 On-Site Hedge Baseline'!$B$1:$L$257,6,FALSE))))</f>
        <v/>
      </c>
      <c r="G194" s="310" t="str">
        <f>IF(B194="","",IF(ISNA(VLOOKUP($B194,'B-1 On-Site Hedge Baseline'!$B$1:$L$257,7,FALSE)),"",(VLOOKUP($B194,'B-1 On-Site Hedge Baseline'!$B$1:$L$257,7,FALSE))))</f>
        <v/>
      </c>
      <c r="H194" s="310" t="str">
        <f>IF(B194="","",IF(ISNA(VLOOKUP($B194,'B-1 On-Site Hedge Baseline'!$B$1:$L$257,8,FALSE)),"",(VLOOKUP($B194,'B-1 On-Site Hedge Baseline'!$B$1:$L$257,8,FALSE))))</f>
        <v/>
      </c>
      <c r="I194" s="310" t="str">
        <f>IF(B194="","",IF(ISNA(VLOOKUP($B194,'B-1 On-Site Hedge Baseline'!$B$1:$L$257,10,FALSE)),"",(VLOOKUP($B194,'B-1 On-Site Hedge Baseline'!$B$1:$L$257,10,FALSE))))</f>
        <v/>
      </c>
      <c r="J194" s="310" t="str">
        <f>IF(B194="","",IF(ISNA(VLOOKUP($B194,'B-1 On-Site Hedge Baseline'!$B$1:$L$257,11,FALSE)),"",(VLOOKUP($B194,'B-1 On-Site Hedge Baseline'!$B$1:$L$257,11,FALSE))))</f>
        <v/>
      </c>
      <c r="K194" s="310" t="str">
        <f>IF(B194="","",IF(ISNA(VLOOKUP($B194,'B-1 On-Site Hedge Baseline'!$B$1:$U$257,13,FALSE)),"",(VLOOKUP($B194,'B-1 On-Site Hedge Baseline'!$B$1:$U$257,13,FALSE))))</f>
        <v/>
      </c>
      <c r="L194" s="314" t="str">
        <f>IF(B194="","",IF(ISNA(VLOOKUP($B194,'B-1 On-Site Hedge Baseline'!$B$1:$U$257,12,FALSE)),"",(VLOOKUP($B194,'B-1 On-Site Hedge Baseline'!$B$1:$U$257,12,FALSE))))</f>
        <v/>
      </c>
      <c r="M194" s="583"/>
      <c r="N194" s="290" t="str">
        <f>IFERROR(IF(B194="","",INDEX('G-6 Hedgerow Data'!$AN$3:$AZ$15,MATCH(C194,'G-6 Hedgerow Data'!$AM$3:$AM$15,0),MATCH(M194,'G-6 Hedgerow Data'!$AN$2:$AZ$2,0))),"")</f>
        <v/>
      </c>
      <c r="O194" s="291" t="str">
        <f t="shared" si="15"/>
        <v/>
      </c>
      <c r="P194" s="341" t="str">
        <f>IF(B194="","",VLOOKUP(B194,'B-1 On-Site Hedge Baseline'!$B$10:T439,16,FALSE))</f>
        <v/>
      </c>
      <c r="Q194" s="290" t="str">
        <f>IF(M194="","",VLOOKUP(M194,'G-6 Hedgerow Data'!$B$2:$AG$15,2,FALSE))</f>
        <v/>
      </c>
      <c r="R194" s="291" t="str">
        <f>IF(M194="","",VLOOKUP(M194,'G-6 Hedgerow Data'!$B$2:$AG$15,3,FALSE))</f>
        <v/>
      </c>
      <c r="S194" s="106"/>
      <c r="T194" s="328" t="str">
        <f>IFERROR(IF(S194="","",IF(AND(M194="Non-native and ornamental hedgerow", S194&lt;&gt;"Poor"),"Not possible ▲", (VLOOKUP(S194,'G-1 All Habitats'!$Z$2:$AA$9,2,FALSE)))),"")</f>
        <v/>
      </c>
      <c r="U194" s="103"/>
      <c r="V194" s="310" t="str">
        <f>IF(U194="","",IF(VLOOKUP(U194,'G-3 Multipliers'!$L$3:$N$6,2,FALSE)=0,"Spatial Data Missing ⚠",VLOOKUP(U194,'G-3 Multipliers'!$L$3:$N$6,2,FALSE)))</f>
        <v/>
      </c>
      <c r="W194" s="314" t="str">
        <f>IF(U194="","",IF(VLOOKUP(U194,'G-3 Multipliers'!$L$3:$N$6,3,FALSE)=0,"Spatial Data Missing ⚠",VLOOKUP(U194,'G-3 Multipliers'!$L$3:$N$6,3,FALSE)))</f>
        <v/>
      </c>
      <c r="X194" s="290" t="str">
        <f>IFERROR(IF(OR(LEFT(O194,5)="Error",LEFT(N194,5)="Error",T194="Error"),"Check Data ⚠",IF(F194&lt;R194,INDEX('G-6 Hedgerow Data'!$S$3:$AE$14,MATCH(C194,'G-6 Hedgerow Data'!$B$3:$B$14,0),MATCH(M194,'G-6 Hedgerow Data'!$S$2:$AE$2,0)),INDEX('G-6 Hedgerow Data'!$K$3:$Q$14,MATCH(M194,'G-6 Hedgerow Data'!$B$3:$B$14,0),MATCH(O194,'G-6 Hedgerow Data'!$K$2:$Q$2,0)))),"")</f>
        <v/>
      </c>
      <c r="Y194" s="138"/>
      <c r="Z194" s="138"/>
      <c r="AA194" s="298" t="str">
        <f t="shared" si="16"/>
        <v/>
      </c>
      <c r="AB194" s="311" t="str">
        <f t="shared" si="17"/>
        <v/>
      </c>
      <c r="AC194" s="312" t="str">
        <f t="shared" si="14"/>
        <v/>
      </c>
      <c r="AD194" s="325" t="str">
        <f>IF(M194="","",VLOOKUP(M194,'G-6 Hedgerow Data'!$B$3:$AG$15,31,FALSE))</f>
        <v/>
      </c>
      <c r="AE194" s="298" t="str">
        <f t="shared" si="18"/>
        <v/>
      </c>
      <c r="AF194" s="298" t="str">
        <f t="shared" si="19"/>
        <v/>
      </c>
      <c r="AG194" s="314" t="str">
        <f>IFERROR(IF(O194="","",VLOOKUP(AD194,'G-3 Multipliers'!$P$3:$Q$6,2,FALSE)),"")</f>
        <v/>
      </c>
      <c r="AH194" s="304" t="str">
        <f t="shared" si="20"/>
        <v/>
      </c>
      <c r="AI194" s="157"/>
      <c r="AJ194" s="99"/>
      <c r="AK194" s="101"/>
      <c r="AT194" s="15" t="str">
        <f>IFERROR(INDEX('G-6 Hedgerow Data'!$BJ$3:$BJ$15,MATCH(M194,'G-6 Hedgerow Data'!$B$3:$B$15,0)),"")</f>
        <v/>
      </c>
    </row>
    <row r="195" spans="2:46" ht="14" x14ac:dyDescent="0.3">
      <c r="B195" s="319" t="str">
        <f>'B-1 On-Site Hedge Baseline'!AK193</f>
        <v/>
      </c>
      <c r="C195" s="310" t="str">
        <f>IF(B195="","",IF(ISNA(VLOOKUP($B195,'B-1 On-Site Hedge Baseline'!$B$1:$L$257,3,FALSE)),"",(VLOOKUP($B195,'B-1 On-Site Hedge Baseline'!$B$1:$L$257,3,FALSE))))</f>
        <v/>
      </c>
      <c r="D195" s="310" t="str">
        <f>IF(B195="","",IF(ISNA(VLOOKUP($B195,'B-1 On-Site Hedge Baseline'!$B$1:$L$257,4,FALSE)),"",(VLOOKUP($B195,'B-1 On-Site Hedge Baseline'!$B$1:$L$257,4,FALSE))))</f>
        <v/>
      </c>
      <c r="E195" s="310" t="str">
        <f>IF(B195="","",IF(ISNA(VLOOKUP($B195,'B-1 On-Site Hedge Baseline'!$B$1:$L$257,5,FALSE)),"",(VLOOKUP($B195,'B-1 On-Site Hedge Baseline'!$B$1:$L$257,5,FALSE))))</f>
        <v/>
      </c>
      <c r="F195" s="310" t="str">
        <f>IF(B195="","",IF(ISNA(VLOOKUP($B195,'B-1 On-Site Hedge Baseline'!$B$1:$L$257,6,FALSE)),"",(VLOOKUP($B195,'B-1 On-Site Hedge Baseline'!$B$1:$L$257,6,FALSE))))</f>
        <v/>
      </c>
      <c r="G195" s="310" t="str">
        <f>IF(B195="","",IF(ISNA(VLOOKUP($B195,'B-1 On-Site Hedge Baseline'!$B$1:$L$257,7,FALSE)),"",(VLOOKUP($B195,'B-1 On-Site Hedge Baseline'!$B$1:$L$257,7,FALSE))))</f>
        <v/>
      </c>
      <c r="H195" s="310" t="str">
        <f>IF(B195="","",IF(ISNA(VLOOKUP($B195,'B-1 On-Site Hedge Baseline'!$B$1:$L$257,8,FALSE)),"",(VLOOKUP($B195,'B-1 On-Site Hedge Baseline'!$B$1:$L$257,8,FALSE))))</f>
        <v/>
      </c>
      <c r="I195" s="310" t="str">
        <f>IF(B195="","",IF(ISNA(VLOOKUP($B195,'B-1 On-Site Hedge Baseline'!$B$1:$L$257,10,FALSE)),"",(VLOOKUP($B195,'B-1 On-Site Hedge Baseline'!$B$1:$L$257,10,FALSE))))</f>
        <v/>
      </c>
      <c r="J195" s="310" t="str">
        <f>IF(B195="","",IF(ISNA(VLOOKUP($B195,'B-1 On-Site Hedge Baseline'!$B$1:$L$257,11,FALSE)),"",(VLOOKUP($B195,'B-1 On-Site Hedge Baseline'!$B$1:$L$257,11,FALSE))))</f>
        <v/>
      </c>
      <c r="K195" s="310" t="str">
        <f>IF(B195="","",IF(ISNA(VLOOKUP($B195,'B-1 On-Site Hedge Baseline'!$B$1:$U$257,13,FALSE)),"",(VLOOKUP($B195,'B-1 On-Site Hedge Baseline'!$B$1:$U$257,13,FALSE))))</f>
        <v/>
      </c>
      <c r="L195" s="314" t="str">
        <f>IF(B195="","",IF(ISNA(VLOOKUP($B195,'B-1 On-Site Hedge Baseline'!$B$1:$U$257,12,FALSE)),"",(VLOOKUP($B195,'B-1 On-Site Hedge Baseline'!$B$1:$U$257,12,FALSE))))</f>
        <v/>
      </c>
      <c r="M195" s="583"/>
      <c r="N195" s="290" t="str">
        <f>IFERROR(IF(B195="","",INDEX('G-6 Hedgerow Data'!$AN$3:$AZ$15,MATCH(C195,'G-6 Hedgerow Data'!$AM$3:$AM$15,0),MATCH(M195,'G-6 Hedgerow Data'!$AN$2:$AZ$2,0))),"")</f>
        <v/>
      </c>
      <c r="O195" s="291" t="str">
        <f t="shared" si="15"/>
        <v/>
      </c>
      <c r="P195" s="341" t="str">
        <f>IF(B195="","",VLOOKUP(B195,'B-1 On-Site Hedge Baseline'!$B$10:T440,16,FALSE))</f>
        <v/>
      </c>
      <c r="Q195" s="290" t="str">
        <f>IF(M195="","",VLOOKUP(M195,'G-6 Hedgerow Data'!$B$2:$AG$15,2,FALSE))</f>
        <v/>
      </c>
      <c r="R195" s="291" t="str">
        <f>IF(M195="","",VLOOKUP(M195,'G-6 Hedgerow Data'!$B$2:$AG$15,3,FALSE))</f>
        <v/>
      </c>
      <c r="S195" s="106"/>
      <c r="T195" s="328" t="str">
        <f>IFERROR(IF(S195="","",IF(AND(M195="Non-native and ornamental hedgerow", S195&lt;&gt;"Poor"),"Not possible ▲", (VLOOKUP(S195,'G-1 All Habitats'!$Z$2:$AA$9,2,FALSE)))),"")</f>
        <v/>
      </c>
      <c r="U195" s="103"/>
      <c r="V195" s="310" t="str">
        <f>IF(U195="","",IF(VLOOKUP(U195,'G-3 Multipliers'!$L$3:$N$6,2,FALSE)=0,"Spatial Data Missing ⚠",VLOOKUP(U195,'G-3 Multipliers'!$L$3:$N$6,2,FALSE)))</f>
        <v/>
      </c>
      <c r="W195" s="314" t="str">
        <f>IF(U195="","",IF(VLOOKUP(U195,'G-3 Multipliers'!$L$3:$N$6,3,FALSE)=0,"Spatial Data Missing ⚠",VLOOKUP(U195,'G-3 Multipliers'!$L$3:$N$6,3,FALSE)))</f>
        <v/>
      </c>
      <c r="X195" s="290" t="str">
        <f>IFERROR(IF(OR(LEFT(O195,5)="Error",LEFT(N195,5)="Error",T195="Error"),"Check Data ⚠",IF(F195&lt;R195,INDEX('G-6 Hedgerow Data'!$S$3:$AE$14,MATCH(C195,'G-6 Hedgerow Data'!$B$3:$B$14,0),MATCH(M195,'G-6 Hedgerow Data'!$S$2:$AE$2,0)),INDEX('G-6 Hedgerow Data'!$K$3:$Q$14,MATCH(M195,'G-6 Hedgerow Data'!$B$3:$B$14,0),MATCH(O195,'G-6 Hedgerow Data'!$K$2:$Q$2,0)))),"")</f>
        <v/>
      </c>
      <c r="Y195" s="138"/>
      <c r="Z195" s="138"/>
      <c r="AA195" s="298" t="str">
        <f t="shared" si="16"/>
        <v/>
      </c>
      <c r="AB195" s="311" t="str">
        <f t="shared" si="17"/>
        <v/>
      </c>
      <c r="AC195" s="312" t="str">
        <f t="shared" si="14"/>
        <v/>
      </c>
      <c r="AD195" s="325" t="str">
        <f>IF(M195="","",VLOOKUP(M195,'G-6 Hedgerow Data'!$B$3:$AG$15,31,FALSE))</f>
        <v/>
      </c>
      <c r="AE195" s="298" t="str">
        <f t="shared" si="18"/>
        <v/>
      </c>
      <c r="AF195" s="298" t="str">
        <f t="shared" si="19"/>
        <v/>
      </c>
      <c r="AG195" s="314" t="str">
        <f>IFERROR(IF(O195="","",VLOOKUP(AD195,'G-3 Multipliers'!$P$3:$Q$6,2,FALSE)),"")</f>
        <v/>
      </c>
      <c r="AH195" s="304" t="str">
        <f t="shared" si="20"/>
        <v/>
      </c>
      <c r="AI195" s="157"/>
      <c r="AJ195" s="99"/>
      <c r="AK195" s="101"/>
      <c r="AT195" s="15" t="str">
        <f>IFERROR(INDEX('G-6 Hedgerow Data'!$BJ$3:$BJ$15,MATCH(M195,'G-6 Hedgerow Data'!$B$3:$B$15,0)),"")</f>
        <v/>
      </c>
    </row>
    <row r="196" spans="2:46" ht="14" x14ac:dyDescent="0.3">
      <c r="B196" s="319" t="str">
        <f>'B-1 On-Site Hedge Baseline'!AK194</f>
        <v/>
      </c>
      <c r="C196" s="310" t="str">
        <f>IF(B196="","",IF(ISNA(VLOOKUP($B196,'B-1 On-Site Hedge Baseline'!$B$1:$L$257,3,FALSE)),"",(VLOOKUP($B196,'B-1 On-Site Hedge Baseline'!$B$1:$L$257,3,FALSE))))</f>
        <v/>
      </c>
      <c r="D196" s="310" t="str">
        <f>IF(B196="","",IF(ISNA(VLOOKUP($B196,'B-1 On-Site Hedge Baseline'!$B$1:$L$257,4,FALSE)),"",(VLOOKUP($B196,'B-1 On-Site Hedge Baseline'!$B$1:$L$257,4,FALSE))))</f>
        <v/>
      </c>
      <c r="E196" s="310" t="str">
        <f>IF(B196="","",IF(ISNA(VLOOKUP($B196,'B-1 On-Site Hedge Baseline'!$B$1:$L$257,5,FALSE)),"",(VLOOKUP($B196,'B-1 On-Site Hedge Baseline'!$B$1:$L$257,5,FALSE))))</f>
        <v/>
      </c>
      <c r="F196" s="310" t="str">
        <f>IF(B196="","",IF(ISNA(VLOOKUP($B196,'B-1 On-Site Hedge Baseline'!$B$1:$L$257,6,FALSE)),"",(VLOOKUP($B196,'B-1 On-Site Hedge Baseline'!$B$1:$L$257,6,FALSE))))</f>
        <v/>
      </c>
      <c r="G196" s="310" t="str">
        <f>IF(B196="","",IF(ISNA(VLOOKUP($B196,'B-1 On-Site Hedge Baseline'!$B$1:$L$257,7,FALSE)),"",(VLOOKUP($B196,'B-1 On-Site Hedge Baseline'!$B$1:$L$257,7,FALSE))))</f>
        <v/>
      </c>
      <c r="H196" s="310" t="str">
        <f>IF(B196="","",IF(ISNA(VLOOKUP($B196,'B-1 On-Site Hedge Baseline'!$B$1:$L$257,8,FALSE)),"",(VLOOKUP($B196,'B-1 On-Site Hedge Baseline'!$B$1:$L$257,8,FALSE))))</f>
        <v/>
      </c>
      <c r="I196" s="310" t="str">
        <f>IF(B196="","",IF(ISNA(VLOOKUP($B196,'B-1 On-Site Hedge Baseline'!$B$1:$L$257,10,FALSE)),"",(VLOOKUP($B196,'B-1 On-Site Hedge Baseline'!$B$1:$L$257,10,FALSE))))</f>
        <v/>
      </c>
      <c r="J196" s="310" t="str">
        <f>IF(B196="","",IF(ISNA(VLOOKUP($B196,'B-1 On-Site Hedge Baseline'!$B$1:$L$257,11,FALSE)),"",(VLOOKUP($B196,'B-1 On-Site Hedge Baseline'!$B$1:$L$257,11,FALSE))))</f>
        <v/>
      </c>
      <c r="K196" s="310" t="str">
        <f>IF(B196="","",IF(ISNA(VLOOKUP($B196,'B-1 On-Site Hedge Baseline'!$B$1:$U$257,13,FALSE)),"",(VLOOKUP($B196,'B-1 On-Site Hedge Baseline'!$B$1:$U$257,13,FALSE))))</f>
        <v/>
      </c>
      <c r="L196" s="314" t="str">
        <f>IF(B196="","",IF(ISNA(VLOOKUP($B196,'B-1 On-Site Hedge Baseline'!$B$1:$U$257,12,FALSE)),"",(VLOOKUP($B196,'B-1 On-Site Hedge Baseline'!$B$1:$U$257,12,FALSE))))</f>
        <v/>
      </c>
      <c r="M196" s="583"/>
      <c r="N196" s="290" t="str">
        <f>IFERROR(IF(B196="","",INDEX('G-6 Hedgerow Data'!$AN$3:$AZ$15,MATCH(C196,'G-6 Hedgerow Data'!$AM$3:$AM$15,0),MATCH(M196,'G-6 Hedgerow Data'!$AN$2:$AZ$2,0))),"")</f>
        <v/>
      </c>
      <c r="O196" s="291" t="str">
        <f t="shared" si="15"/>
        <v/>
      </c>
      <c r="P196" s="341" t="str">
        <f>IF(B196="","",VLOOKUP(B196,'B-1 On-Site Hedge Baseline'!$B$10:T441,16,FALSE))</f>
        <v/>
      </c>
      <c r="Q196" s="290" t="str">
        <f>IF(M196="","",VLOOKUP(M196,'G-6 Hedgerow Data'!$B$2:$AG$15,2,FALSE))</f>
        <v/>
      </c>
      <c r="R196" s="291" t="str">
        <f>IF(M196="","",VLOOKUP(M196,'G-6 Hedgerow Data'!$B$2:$AG$15,3,FALSE))</f>
        <v/>
      </c>
      <c r="S196" s="106"/>
      <c r="T196" s="328" t="str">
        <f>IFERROR(IF(S196="","",IF(AND(M196="Non-native and ornamental hedgerow", S196&lt;&gt;"Poor"),"Not possible ▲", (VLOOKUP(S196,'G-1 All Habitats'!$Z$2:$AA$9,2,FALSE)))),"")</f>
        <v/>
      </c>
      <c r="U196" s="103"/>
      <c r="V196" s="310" t="str">
        <f>IF(U196="","",IF(VLOOKUP(U196,'G-3 Multipliers'!$L$3:$N$6,2,FALSE)=0,"Spatial Data Missing ⚠",VLOOKUP(U196,'G-3 Multipliers'!$L$3:$N$6,2,FALSE)))</f>
        <v/>
      </c>
      <c r="W196" s="314" t="str">
        <f>IF(U196="","",IF(VLOOKUP(U196,'G-3 Multipliers'!$L$3:$N$6,3,FALSE)=0,"Spatial Data Missing ⚠",VLOOKUP(U196,'G-3 Multipliers'!$L$3:$N$6,3,FALSE)))</f>
        <v/>
      </c>
      <c r="X196" s="290" t="str">
        <f>IFERROR(IF(OR(LEFT(O196,5)="Error",LEFT(N196,5)="Error",T196="Error"),"Check Data ⚠",IF(F196&lt;R196,INDEX('G-6 Hedgerow Data'!$S$3:$AE$14,MATCH(C196,'G-6 Hedgerow Data'!$B$3:$B$14,0),MATCH(M196,'G-6 Hedgerow Data'!$S$2:$AE$2,0)),INDEX('G-6 Hedgerow Data'!$K$3:$Q$14,MATCH(M196,'G-6 Hedgerow Data'!$B$3:$B$14,0),MATCH(O196,'G-6 Hedgerow Data'!$K$2:$Q$2,0)))),"")</f>
        <v/>
      </c>
      <c r="Y196" s="138"/>
      <c r="Z196" s="138"/>
      <c r="AA196" s="298" t="str">
        <f t="shared" si="16"/>
        <v/>
      </c>
      <c r="AB196" s="311" t="str">
        <f t="shared" si="17"/>
        <v/>
      </c>
      <c r="AC196" s="312" t="str">
        <f t="shared" si="14"/>
        <v/>
      </c>
      <c r="AD196" s="325" t="str">
        <f>IF(M196="","",VLOOKUP(M196,'G-6 Hedgerow Data'!$B$3:$AG$15,31,FALSE))</f>
        <v/>
      </c>
      <c r="AE196" s="298" t="str">
        <f t="shared" si="18"/>
        <v/>
      </c>
      <c r="AF196" s="298" t="str">
        <f t="shared" si="19"/>
        <v/>
      </c>
      <c r="AG196" s="314" t="str">
        <f>IFERROR(IF(O196="","",VLOOKUP(AD196,'G-3 Multipliers'!$P$3:$Q$6,2,FALSE)),"")</f>
        <v/>
      </c>
      <c r="AH196" s="304" t="str">
        <f t="shared" si="20"/>
        <v/>
      </c>
      <c r="AI196" s="157"/>
      <c r="AJ196" s="99"/>
      <c r="AK196" s="101"/>
      <c r="AT196" s="15" t="str">
        <f>IFERROR(INDEX('G-6 Hedgerow Data'!$BJ$3:$BJ$15,MATCH(M196,'G-6 Hedgerow Data'!$B$3:$B$15,0)),"")</f>
        <v/>
      </c>
    </row>
    <row r="197" spans="2:46" ht="14" x14ac:dyDescent="0.3">
      <c r="B197" s="319" t="str">
        <f>'B-1 On-Site Hedge Baseline'!AK195</f>
        <v/>
      </c>
      <c r="C197" s="310" t="str">
        <f>IF(B197="","",IF(ISNA(VLOOKUP($B197,'B-1 On-Site Hedge Baseline'!$B$1:$L$257,3,FALSE)),"",(VLOOKUP($B197,'B-1 On-Site Hedge Baseline'!$B$1:$L$257,3,FALSE))))</f>
        <v/>
      </c>
      <c r="D197" s="310" t="str">
        <f>IF(B197="","",IF(ISNA(VLOOKUP($B197,'B-1 On-Site Hedge Baseline'!$B$1:$L$257,4,FALSE)),"",(VLOOKUP($B197,'B-1 On-Site Hedge Baseline'!$B$1:$L$257,4,FALSE))))</f>
        <v/>
      </c>
      <c r="E197" s="310" t="str">
        <f>IF(B197="","",IF(ISNA(VLOOKUP($B197,'B-1 On-Site Hedge Baseline'!$B$1:$L$257,5,FALSE)),"",(VLOOKUP($B197,'B-1 On-Site Hedge Baseline'!$B$1:$L$257,5,FALSE))))</f>
        <v/>
      </c>
      <c r="F197" s="310" t="str">
        <f>IF(B197="","",IF(ISNA(VLOOKUP($B197,'B-1 On-Site Hedge Baseline'!$B$1:$L$257,6,FALSE)),"",(VLOOKUP($B197,'B-1 On-Site Hedge Baseline'!$B$1:$L$257,6,FALSE))))</f>
        <v/>
      </c>
      <c r="G197" s="310" t="str">
        <f>IF(B197="","",IF(ISNA(VLOOKUP($B197,'B-1 On-Site Hedge Baseline'!$B$1:$L$257,7,FALSE)),"",(VLOOKUP($B197,'B-1 On-Site Hedge Baseline'!$B$1:$L$257,7,FALSE))))</f>
        <v/>
      </c>
      <c r="H197" s="310" t="str">
        <f>IF(B197="","",IF(ISNA(VLOOKUP($B197,'B-1 On-Site Hedge Baseline'!$B$1:$L$257,8,FALSE)),"",(VLOOKUP($B197,'B-1 On-Site Hedge Baseline'!$B$1:$L$257,8,FALSE))))</f>
        <v/>
      </c>
      <c r="I197" s="310" t="str">
        <f>IF(B197="","",IF(ISNA(VLOOKUP($B197,'B-1 On-Site Hedge Baseline'!$B$1:$L$257,10,FALSE)),"",(VLOOKUP($B197,'B-1 On-Site Hedge Baseline'!$B$1:$L$257,10,FALSE))))</f>
        <v/>
      </c>
      <c r="J197" s="310" t="str">
        <f>IF(B197="","",IF(ISNA(VLOOKUP($B197,'B-1 On-Site Hedge Baseline'!$B$1:$L$257,11,FALSE)),"",(VLOOKUP($B197,'B-1 On-Site Hedge Baseline'!$B$1:$L$257,11,FALSE))))</f>
        <v/>
      </c>
      <c r="K197" s="310" t="str">
        <f>IF(B197="","",IF(ISNA(VLOOKUP($B197,'B-1 On-Site Hedge Baseline'!$B$1:$U$257,13,FALSE)),"",(VLOOKUP($B197,'B-1 On-Site Hedge Baseline'!$B$1:$U$257,13,FALSE))))</f>
        <v/>
      </c>
      <c r="L197" s="314" t="str">
        <f>IF(B197="","",IF(ISNA(VLOOKUP($B197,'B-1 On-Site Hedge Baseline'!$B$1:$U$257,12,FALSE)),"",(VLOOKUP($B197,'B-1 On-Site Hedge Baseline'!$B$1:$U$257,12,FALSE))))</f>
        <v/>
      </c>
      <c r="M197" s="583"/>
      <c r="N197" s="290" t="str">
        <f>IFERROR(IF(B197="","",INDEX('G-6 Hedgerow Data'!$AN$3:$AZ$15,MATCH(C197,'G-6 Hedgerow Data'!$AM$3:$AM$15,0),MATCH(M197,'G-6 Hedgerow Data'!$AN$2:$AZ$2,0))),"")</f>
        <v/>
      </c>
      <c r="O197" s="291" t="str">
        <f t="shared" si="15"/>
        <v/>
      </c>
      <c r="P197" s="341" t="str">
        <f>IF(B197="","",VLOOKUP(B197,'B-1 On-Site Hedge Baseline'!$B$10:T442,16,FALSE))</f>
        <v/>
      </c>
      <c r="Q197" s="290" t="str">
        <f>IF(M197="","",VLOOKUP(M197,'G-6 Hedgerow Data'!$B$2:$AG$15,2,FALSE))</f>
        <v/>
      </c>
      <c r="R197" s="291" t="str">
        <f>IF(M197="","",VLOOKUP(M197,'G-6 Hedgerow Data'!$B$2:$AG$15,3,FALSE))</f>
        <v/>
      </c>
      <c r="S197" s="106"/>
      <c r="T197" s="328" t="str">
        <f>IFERROR(IF(S197="","",IF(AND(M197="Non-native and ornamental hedgerow", S197&lt;&gt;"Poor"),"Not possible ▲", (VLOOKUP(S197,'G-1 All Habitats'!$Z$2:$AA$9,2,FALSE)))),"")</f>
        <v/>
      </c>
      <c r="U197" s="103"/>
      <c r="V197" s="310" t="str">
        <f>IF(U197="","",IF(VLOOKUP(U197,'G-3 Multipliers'!$L$3:$N$6,2,FALSE)=0,"Spatial Data Missing ⚠",VLOOKUP(U197,'G-3 Multipliers'!$L$3:$N$6,2,FALSE)))</f>
        <v/>
      </c>
      <c r="W197" s="314" t="str">
        <f>IF(U197="","",IF(VLOOKUP(U197,'G-3 Multipliers'!$L$3:$N$6,3,FALSE)=0,"Spatial Data Missing ⚠",VLOOKUP(U197,'G-3 Multipliers'!$L$3:$N$6,3,FALSE)))</f>
        <v/>
      </c>
      <c r="X197" s="290" t="str">
        <f>IFERROR(IF(OR(LEFT(O197,5)="Error",LEFT(N197,5)="Error",T197="Error"),"Check Data ⚠",IF(F197&lt;R197,INDEX('G-6 Hedgerow Data'!$S$3:$AE$14,MATCH(C197,'G-6 Hedgerow Data'!$B$3:$B$14,0),MATCH(M197,'G-6 Hedgerow Data'!$S$2:$AE$2,0)),INDEX('G-6 Hedgerow Data'!$K$3:$Q$14,MATCH(M197,'G-6 Hedgerow Data'!$B$3:$B$14,0),MATCH(O197,'G-6 Hedgerow Data'!$K$2:$Q$2,0)))),"")</f>
        <v/>
      </c>
      <c r="Y197" s="138"/>
      <c r="Z197" s="138"/>
      <c r="AA197" s="298" t="str">
        <f t="shared" si="16"/>
        <v/>
      </c>
      <c r="AB197" s="311" t="str">
        <f t="shared" si="17"/>
        <v/>
      </c>
      <c r="AC197" s="312" t="str">
        <f t="shared" si="14"/>
        <v/>
      </c>
      <c r="AD197" s="325" t="str">
        <f>IF(M197="","",VLOOKUP(M197,'G-6 Hedgerow Data'!$B$3:$AG$15,31,FALSE))</f>
        <v/>
      </c>
      <c r="AE197" s="298" t="str">
        <f t="shared" si="18"/>
        <v/>
      </c>
      <c r="AF197" s="298" t="str">
        <f t="shared" si="19"/>
        <v/>
      </c>
      <c r="AG197" s="314" t="str">
        <f>IFERROR(IF(O197="","",VLOOKUP(AD197,'G-3 Multipliers'!$P$3:$Q$6,2,FALSE)),"")</f>
        <v/>
      </c>
      <c r="AH197" s="304" t="str">
        <f t="shared" si="20"/>
        <v/>
      </c>
      <c r="AI197" s="157"/>
      <c r="AJ197" s="99"/>
      <c r="AK197" s="101"/>
      <c r="AT197" s="15" t="str">
        <f>IFERROR(INDEX('G-6 Hedgerow Data'!$BJ$3:$BJ$15,MATCH(M197,'G-6 Hedgerow Data'!$B$3:$B$15,0)),"")</f>
        <v/>
      </c>
    </row>
    <row r="198" spans="2:46" ht="14" x14ac:dyDescent="0.3">
      <c r="B198" s="319" t="str">
        <f>'B-1 On-Site Hedge Baseline'!AK196</f>
        <v/>
      </c>
      <c r="C198" s="310" t="str">
        <f>IF(B198="","",IF(ISNA(VLOOKUP($B198,'B-1 On-Site Hedge Baseline'!$B$1:$L$257,3,FALSE)),"",(VLOOKUP($B198,'B-1 On-Site Hedge Baseline'!$B$1:$L$257,3,FALSE))))</f>
        <v/>
      </c>
      <c r="D198" s="310" t="str">
        <f>IF(B198="","",IF(ISNA(VLOOKUP($B198,'B-1 On-Site Hedge Baseline'!$B$1:$L$257,4,FALSE)),"",(VLOOKUP($B198,'B-1 On-Site Hedge Baseline'!$B$1:$L$257,4,FALSE))))</f>
        <v/>
      </c>
      <c r="E198" s="310" t="str">
        <f>IF(B198="","",IF(ISNA(VLOOKUP($B198,'B-1 On-Site Hedge Baseline'!$B$1:$L$257,5,FALSE)),"",(VLOOKUP($B198,'B-1 On-Site Hedge Baseline'!$B$1:$L$257,5,FALSE))))</f>
        <v/>
      </c>
      <c r="F198" s="310" t="str">
        <f>IF(B198="","",IF(ISNA(VLOOKUP($B198,'B-1 On-Site Hedge Baseline'!$B$1:$L$257,6,FALSE)),"",(VLOOKUP($B198,'B-1 On-Site Hedge Baseline'!$B$1:$L$257,6,FALSE))))</f>
        <v/>
      </c>
      <c r="G198" s="310" t="str">
        <f>IF(B198="","",IF(ISNA(VLOOKUP($B198,'B-1 On-Site Hedge Baseline'!$B$1:$L$257,7,FALSE)),"",(VLOOKUP($B198,'B-1 On-Site Hedge Baseline'!$B$1:$L$257,7,FALSE))))</f>
        <v/>
      </c>
      <c r="H198" s="310" t="str">
        <f>IF(B198="","",IF(ISNA(VLOOKUP($B198,'B-1 On-Site Hedge Baseline'!$B$1:$L$257,8,FALSE)),"",(VLOOKUP($B198,'B-1 On-Site Hedge Baseline'!$B$1:$L$257,8,FALSE))))</f>
        <v/>
      </c>
      <c r="I198" s="310" t="str">
        <f>IF(B198="","",IF(ISNA(VLOOKUP($B198,'B-1 On-Site Hedge Baseline'!$B$1:$L$257,10,FALSE)),"",(VLOOKUP($B198,'B-1 On-Site Hedge Baseline'!$B$1:$L$257,10,FALSE))))</f>
        <v/>
      </c>
      <c r="J198" s="310" t="str">
        <f>IF(B198="","",IF(ISNA(VLOOKUP($B198,'B-1 On-Site Hedge Baseline'!$B$1:$L$257,11,FALSE)),"",(VLOOKUP($B198,'B-1 On-Site Hedge Baseline'!$B$1:$L$257,11,FALSE))))</f>
        <v/>
      </c>
      <c r="K198" s="310" t="str">
        <f>IF(B198="","",IF(ISNA(VLOOKUP($B198,'B-1 On-Site Hedge Baseline'!$B$1:$U$257,13,FALSE)),"",(VLOOKUP($B198,'B-1 On-Site Hedge Baseline'!$B$1:$U$257,13,FALSE))))</f>
        <v/>
      </c>
      <c r="L198" s="314" t="str">
        <f>IF(B198="","",IF(ISNA(VLOOKUP($B198,'B-1 On-Site Hedge Baseline'!$B$1:$U$257,12,FALSE)),"",(VLOOKUP($B198,'B-1 On-Site Hedge Baseline'!$B$1:$U$257,12,FALSE))))</f>
        <v/>
      </c>
      <c r="M198" s="583"/>
      <c r="N198" s="290" t="str">
        <f>IFERROR(IF(B198="","",INDEX('G-6 Hedgerow Data'!$AN$3:$AZ$15,MATCH(C198,'G-6 Hedgerow Data'!$AM$3:$AM$15,0),MATCH(M198,'G-6 Hedgerow Data'!$AN$2:$AZ$2,0))),"")</f>
        <v/>
      </c>
      <c r="O198" s="291" t="str">
        <f t="shared" si="15"/>
        <v/>
      </c>
      <c r="P198" s="341" t="str">
        <f>IF(B198="","",VLOOKUP(B198,'B-1 On-Site Hedge Baseline'!$B$10:T443,16,FALSE))</f>
        <v/>
      </c>
      <c r="Q198" s="290" t="str">
        <f>IF(M198="","",VLOOKUP(M198,'G-6 Hedgerow Data'!$B$2:$AG$15,2,FALSE))</f>
        <v/>
      </c>
      <c r="R198" s="291" t="str">
        <f>IF(M198="","",VLOOKUP(M198,'G-6 Hedgerow Data'!$B$2:$AG$15,3,FALSE))</f>
        <v/>
      </c>
      <c r="S198" s="106"/>
      <c r="T198" s="328" t="str">
        <f>IFERROR(IF(S198="","",IF(AND(M198="Non-native and ornamental hedgerow", S198&lt;&gt;"Poor"),"Not possible ▲", (VLOOKUP(S198,'G-1 All Habitats'!$Z$2:$AA$9,2,FALSE)))),"")</f>
        <v/>
      </c>
      <c r="U198" s="103"/>
      <c r="V198" s="310" t="str">
        <f>IF(U198="","",IF(VLOOKUP(U198,'G-3 Multipliers'!$L$3:$N$6,2,FALSE)=0,"Spatial Data Missing ⚠",VLOOKUP(U198,'G-3 Multipliers'!$L$3:$N$6,2,FALSE)))</f>
        <v/>
      </c>
      <c r="W198" s="314" t="str">
        <f>IF(U198="","",IF(VLOOKUP(U198,'G-3 Multipliers'!$L$3:$N$6,3,FALSE)=0,"Spatial Data Missing ⚠",VLOOKUP(U198,'G-3 Multipliers'!$L$3:$N$6,3,FALSE)))</f>
        <v/>
      </c>
      <c r="X198" s="290" t="str">
        <f>IFERROR(IF(OR(LEFT(O198,5)="Error",LEFT(N198,5)="Error",T198="Error"),"Check Data ⚠",IF(F198&lt;R198,INDEX('G-6 Hedgerow Data'!$S$3:$AE$14,MATCH(C198,'G-6 Hedgerow Data'!$B$3:$B$14,0),MATCH(M198,'G-6 Hedgerow Data'!$S$2:$AE$2,0)),INDEX('G-6 Hedgerow Data'!$K$3:$Q$14,MATCH(M198,'G-6 Hedgerow Data'!$B$3:$B$14,0),MATCH(O198,'G-6 Hedgerow Data'!$K$2:$Q$2,0)))),"")</f>
        <v/>
      </c>
      <c r="Y198" s="138"/>
      <c r="Z198" s="138"/>
      <c r="AA198" s="298" t="str">
        <f t="shared" si="16"/>
        <v/>
      </c>
      <c r="AB198" s="311" t="str">
        <f t="shared" si="17"/>
        <v/>
      </c>
      <c r="AC198" s="312" t="str">
        <f t="shared" si="14"/>
        <v/>
      </c>
      <c r="AD198" s="325" t="str">
        <f>IF(M198="","",VLOOKUP(M198,'G-6 Hedgerow Data'!$B$3:$AG$15,31,FALSE))</f>
        <v/>
      </c>
      <c r="AE198" s="298" t="str">
        <f t="shared" si="18"/>
        <v/>
      </c>
      <c r="AF198" s="298" t="str">
        <f t="shared" si="19"/>
        <v/>
      </c>
      <c r="AG198" s="314" t="str">
        <f>IFERROR(IF(O198="","",VLOOKUP(AD198,'G-3 Multipliers'!$P$3:$Q$6,2,FALSE)),"")</f>
        <v/>
      </c>
      <c r="AH198" s="304" t="str">
        <f t="shared" si="20"/>
        <v/>
      </c>
      <c r="AI198" s="157"/>
      <c r="AJ198" s="99"/>
      <c r="AK198" s="101"/>
      <c r="AT198" s="15" t="str">
        <f>IFERROR(INDEX('G-6 Hedgerow Data'!$BJ$3:$BJ$15,MATCH(M198,'G-6 Hedgerow Data'!$B$3:$B$15,0)),"")</f>
        <v/>
      </c>
    </row>
    <row r="199" spans="2:46" ht="14" x14ac:dyDescent="0.3">
      <c r="B199" s="319" t="str">
        <f>'B-1 On-Site Hedge Baseline'!AK197</f>
        <v/>
      </c>
      <c r="C199" s="310" t="str">
        <f>IF(B199="","",IF(ISNA(VLOOKUP($B199,'B-1 On-Site Hedge Baseline'!$B$1:$L$257,3,FALSE)),"",(VLOOKUP($B199,'B-1 On-Site Hedge Baseline'!$B$1:$L$257,3,FALSE))))</f>
        <v/>
      </c>
      <c r="D199" s="310" t="str">
        <f>IF(B199="","",IF(ISNA(VLOOKUP($B199,'B-1 On-Site Hedge Baseline'!$B$1:$L$257,4,FALSE)),"",(VLOOKUP($B199,'B-1 On-Site Hedge Baseline'!$B$1:$L$257,4,FALSE))))</f>
        <v/>
      </c>
      <c r="E199" s="310" t="str">
        <f>IF(B199="","",IF(ISNA(VLOOKUP($B199,'B-1 On-Site Hedge Baseline'!$B$1:$L$257,5,FALSE)),"",(VLOOKUP($B199,'B-1 On-Site Hedge Baseline'!$B$1:$L$257,5,FALSE))))</f>
        <v/>
      </c>
      <c r="F199" s="310" t="str">
        <f>IF(B199="","",IF(ISNA(VLOOKUP($B199,'B-1 On-Site Hedge Baseline'!$B$1:$L$257,6,FALSE)),"",(VLOOKUP($B199,'B-1 On-Site Hedge Baseline'!$B$1:$L$257,6,FALSE))))</f>
        <v/>
      </c>
      <c r="G199" s="310" t="str">
        <f>IF(B199="","",IF(ISNA(VLOOKUP($B199,'B-1 On-Site Hedge Baseline'!$B$1:$L$257,7,FALSE)),"",(VLOOKUP($B199,'B-1 On-Site Hedge Baseline'!$B$1:$L$257,7,FALSE))))</f>
        <v/>
      </c>
      <c r="H199" s="310" t="str">
        <f>IF(B199="","",IF(ISNA(VLOOKUP($B199,'B-1 On-Site Hedge Baseline'!$B$1:$L$257,8,FALSE)),"",(VLOOKUP($B199,'B-1 On-Site Hedge Baseline'!$B$1:$L$257,8,FALSE))))</f>
        <v/>
      </c>
      <c r="I199" s="310" t="str">
        <f>IF(B199="","",IF(ISNA(VLOOKUP($B199,'B-1 On-Site Hedge Baseline'!$B$1:$L$257,10,FALSE)),"",(VLOOKUP($B199,'B-1 On-Site Hedge Baseline'!$B$1:$L$257,10,FALSE))))</f>
        <v/>
      </c>
      <c r="J199" s="310" t="str">
        <f>IF(B199="","",IF(ISNA(VLOOKUP($B199,'B-1 On-Site Hedge Baseline'!$B$1:$L$257,11,FALSE)),"",(VLOOKUP($B199,'B-1 On-Site Hedge Baseline'!$B$1:$L$257,11,FALSE))))</f>
        <v/>
      </c>
      <c r="K199" s="310" t="str">
        <f>IF(B199="","",IF(ISNA(VLOOKUP($B199,'B-1 On-Site Hedge Baseline'!$B$1:$U$257,13,FALSE)),"",(VLOOKUP($B199,'B-1 On-Site Hedge Baseline'!$B$1:$U$257,13,FALSE))))</f>
        <v/>
      </c>
      <c r="L199" s="314" t="str">
        <f>IF(B199="","",IF(ISNA(VLOOKUP($B199,'B-1 On-Site Hedge Baseline'!$B$1:$U$257,12,FALSE)),"",(VLOOKUP($B199,'B-1 On-Site Hedge Baseline'!$B$1:$U$257,12,FALSE))))</f>
        <v/>
      </c>
      <c r="M199" s="583"/>
      <c r="N199" s="290" t="str">
        <f>IFERROR(IF(B199="","",INDEX('G-6 Hedgerow Data'!$AN$3:$AZ$15,MATCH(C199,'G-6 Hedgerow Data'!$AM$3:$AM$15,0),MATCH(M199,'G-6 Hedgerow Data'!$AN$2:$AZ$2,0))),"")</f>
        <v/>
      </c>
      <c r="O199" s="291" t="str">
        <f t="shared" si="15"/>
        <v/>
      </c>
      <c r="P199" s="341" t="str">
        <f>IF(B199="","",VLOOKUP(B199,'B-1 On-Site Hedge Baseline'!$B$10:T444,16,FALSE))</f>
        <v/>
      </c>
      <c r="Q199" s="290" t="str">
        <f>IF(M199="","",VLOOKUP(M199,'G-6 Hedgerow Data'!$B$2:$AG$15,2,FALSE))</f>
        <v/>
      </c>
      <c r="R199" s="291" t="str">
        <f>IF(M199="","",VLOOKUP(M199,'G-6 Hedgerow Data'!$B$2:$AG$15,3,FALSE))</f>
        <v/>
      </c>
      <c r="S199" s="106"/>
      <c r="T199" s="328" t="str">
        <f>IFERROR(IF(S199="","",IF(AND(M199="Non-native and ornamental hedgerow", S199&lt;&gt;"Poor"),"Not possible ▲", (VLOOKUP(S199,'G-1 All Habitats'!$Z$2:$AA$9,2,FALSE)))),"")</f>
        <v/>
      </c>
      <c r="U199" s="103"/>
      <c r="V199" s="310" t="str">
        <f>IF(U199="","",IF(VLOOKUP(U199,'G-3 Multipliers'!$L$3:$N$6,2,FALSE)=0,"Spatial Data Missing ⚠",VLOOKUP(U199,'G-3 Multipliers'!$L$3:$N$6,2,FALSE)))</f>
        <v/>
      </c>
      <c r="W199" s="314" t="str">
        <f>IF(U199="","",IF(VLOOKUP(U199,'G-3 Multipliers'!$L$3:$N$6,3,FALSE)=0,"Spatial Data Missing ⚠",VLOOKUP(U199,'G-3 Multipliers'!$L$3:$N$6,3,FALSE)))</f>
        <v/>
      </c>
      <c r="X199" s="290" t="str">
        <f>IFERROR(IF(OR(LEFT(O199,5)="Error",LEFT(N199,5)="Error",T199="Error"),"Check Data ⚠",IF(F199&lt;R199,INDEX('G-6 Hedgerow Data'!$S$3:$AE$14,MATCH(C199,'G-6 Hedgerow Data'!$B$3:$B$14,0),MATCH(M199,'G-6 Hedgerow Data'!$S$2:$AE$2,0)),INDEX('G-6 Hedgerow Data'!$K$3:$Q$14,MATCH(M199,'G-6 Hedgerow Data'!$B$3:$B$14,0),MATCH(O199,'G-6 Hedgerow Data'!$K$2:$Q$2,0)))),"")</f>
        <v/>
      </c>
      <c r="Y199" s="138"/>
      <c r="Z199" s="138"/>
      <c r="AA199" s="298" t="str">
        <f t="shared" si="16"/>
        <v/>
      </c>
      <c r="AB199" s="311" t="str">
        <f t="shared" si="17"/>
        <v/>
      </c>
      <c r="AC199" s="312" t="str">
        <f t="shared" si="14"/>
        <v/>
      </c>
      <c r="AD199" s="325" t="str">
        <f>IF(M199="","",VLOOKUP(M199,'G-6 Hedgerow Data'!$B$3:$AG$15,31,FALSE))</f>
        <v/>
      </c>
      <c r="AE199" s="298" t="str">
        <f t="shared" si="18"/>
        <v/>
      </c>
      <c r="AF199" s="298" t="str">
        <f t="shared" si="19"/>
        <v/>
      </c>
      <c r="AG199" s="314" t="str">
        <f>IFERROR(IF(O199="","",VLOOKUP(AD199,'G-3 Multipliers'!$P$3:$Q$6,2,FALSE)),"")</f>
        <v/>
      </c>
      <c r="AH199" s="304" t="str">
        <f t="shared" si="20"/>
        <v/>
      </c>
      <c r="AI199" s="157"/>
      <c r="AJ199" s="99"/>
      <c r="AK199" s="101"/>
      <c r="AT199" s="15" t="str">
        <f>IFERROR(INDEX('G-6 Hedgerow Data'!$BJ$3:$BJ$15,MATCH(M199,'G-6 Hedgerow Data'!$B$3:$B$15,0)),"")</f>
        <v/>
      </c>
    </row>
    <row r="200" spans="2:46" ht="14" x14ac:dyDescent="0.3">
      <c r="B200" s="319" t="str">
        <f>'B-1 On-Site Hedge Baseline'!AK198</f>
        <v/>
      </c>
      <c r="C200" s="310" t="str">
        <f>IF(B200="","",IF(ISNA(VLOOKUP($B200,'B-1 On-Site Hedge Baseline'!$B$1:$L$257,3,FALSE)),"",(VLOOKUP($B200,'B-1 On-Site Hedge Baseline'!$B$1:$L$257,3,FALSE))))</f>
        <v/>
      </c>
      <c r="D200" s="310" t="str">
        <f>IF(B200="","",IF(ISNA(VLOOKUP($B200,'B-1 On-Site Hedge Baseline'!$B$1:$L$257,4,FALSE)),"",(VLOOKUP($B200,'B-1 On-Site Hedge Baseline'!$B$1:$L$257,4,FALSE))))</f>
        <v/>
      </c>
      <c r="E200" s="310" t="str">
        <f>IF(B200="","",IF(ISNA(VLOOKUP($B200,'B-1 On-Site Hedge Baseline'!$B$1:$L$257,5,FALSE)),"",(VLOOKUP($B200,'B-1 On-Site Hedge Baseline'!$B$1:$L$257,5,FALSE))))</f>
        <v/>
      </c>
      <c r="F200" s="310" t="str">
        <f>IF(B200="","",IF(ISNA(VLOOKUP($B200,'B-1 On-Site Hedge Baseline'!$B$1:$L$257,6,FALSE)),"",(VLOOKUP($B200,'B-1 On-Site Hedge Baseline'!$B$1:$L$257,6,FALSE))))</f>
        <v/>
      </c>
      <c r="G200" s="310" t="str">
        <f>IF(B200="","",IF(ISNA(VLOOKUP($B200,'B-1 On-Site Hedge Baseline'!$B$1:$L$257,7,FALSE)),"",(VLOOKUP($B200,'B-1 On-Site Hedge Baseline'!$B$1:$L$257,7,FALSE))))</f>
        <v/>
      </c>
      <c r="H200" s="310" t="str">
        <f>IF(B200="","",IF(ISNA(VLOOKUP($B200,'B-1 On-Site Hedge Baseline'!$B$1:$L$257,8,FALSE)),"",(VLOOKUP($B200,'B-1 On-Site Hedge Baseline'!$B$1:$L$257,8,FALSE))))</f>
        <v/>
      </c>
      <c r="I200" s="310" t="str">
        <f>IF(B200="","",IF(ISNA(VLOOKUP($B200,'B-1 On-Site Hedge Baseline'!$B$1:$L$257,10,FALSE)),"",(VLOOKUP($B200,'B-1 On-Site Hedge Baseline'!$B$1:$L$257,10,FALSE))))</f>
        <v/>
      </c>
      <c r="J200" s="310" t="str">
        <f>IF(B200="","",IF(ISNA(VLOOKUP($B200,'B-1 On-Site Hedge Baseline'!$B$1:$L$257,11,FALSE)),"",(VLOOKUP($B200,'B-1 On-Site Hedge Baseline'!$B$1:$L$257,11,FALSE))))</f>
        <v/>
      </c>
      <c r="K200" s="310" t="str">
        <f>IF(B200="","",IF(ISNA(VLOOKUP($B200,'B-1 On-Site Hedge Baseline'!$B$1:$U$257,13,FALSE)),"",(VLOOKUP($B200,'B-1 On-Site Hedge Baseline'!$B$1:$U$257,13,FALSE))))</f>
        <v/>
      </c>
      <c r="L200" s="314" t="str">
        <f>IF(B200="","",IF(ISNA(VLOOKUP($B200,'B-1 On-Site Hedge Baseline'!$B$1:$U$257,12,FALSE)),"",(VLOOKUP($B200,'B-1 On-Site Hedge Baseline'!$B$1:$U$257,12,FALSE))))</f>
        <v/>
      </c>
      <c r="M200" s="583"/>
      <c r="N200" s="290" t="str">
        <f>IFERROR(IF(B200="","",INDEX('G-6 Hedgerow Data'!$AN$3:$AZ$15,MATCH(C200,'G-6 Hedgerow Data'!$AM$3:$AM$15,0),MATCH(M200,'G-6 Hedgerow Data'!$AN$2:$AZ$2,0))),"")</f>
        <v/>
      </c>
      <c r="O200" s="291" t="str">
        <f t="shared" si="15"/>
        <v/>
      </c>
      <c r="P200" s="341" t="str">
        <f>IF(B200="","",VLOOKUP(B200,'B-1 On-Site Hedge Baseline'!$B$10:T445,16,FALSE))</f>
        <v/>
      </c>
      <c r="Q200" s="290" t="str">
        <f>IF(M200="","",VLOOKUP(M200,'G-6 Hedgerow Data'!$B$2:$AG$15,2,FALSE))</f>
        <v/>
      </c>
      <c r="R200" s="291" t="str">
        <f>IF(M200="","",VLOOKUP(M200,'G-6 Hedgerow Data'!$B$2:$AG$15,3,FALSE))</f>
        <v/>
      </c>
      <c r="S200" s="106"/>
      <c r="T200" s="328" t="str">
        <f>IFERROR(IF(S200="","",IF(AND(M200="Non-native and ornamental hedgerow", S200&lt;&gt;"Poor"),"Not possible ▲", (VLOOKUP(S200,'G-1 All Habitats'!$Z$2:$AA$9,2,FALSE)))),"")</f>
        <v/>
      </c>
      <c r="U200" s="103"/>
      <c r="V200" s="310" t="str">
        <f>IF(U200="","",IF(VLOOKUP(U200,'G-3 Multipliers'!$L$3:$N$6,2,FALSE)=0,"Spatial Data Missing ⚠",VLOOKUP(U200,'G-3 Multipliers'!$L$3:$N$6,2,FALSE)))</f>
        <v/>
      </c>
      <c r="W200" s="314" t="str">
        <f>IF(U200="","",IF(VLOOKUP(U200,'G-3 Multipliers'!$L$3:$N$6,3,FALSE)=0,"Spatial Data Missing ⚠",VLOOKUP(U200,'G-3 Multipliers'!$L$3:$N$6,3,FALSE)))</f>
        <v/>
      </c>
      <c r="X200" s="290" t="str">
        <f>IFERROR(IF(OR(LEFT(O200,5)="Error",LEFT(N200,5)="Error",T200="Error"),"Check Data ⚠",IF(F200&lt;R200,INDEX('G-6 Hedgerow Data'!$S$3:$AE$14,MATCH(C200,'G-6 Hedgerow Data'!$B$3:$B$14,0),MATCH(M200,'G-6 Hedgerow Data'!$S$2:$AE$2,0)),INDEX('G-6 Hedgerow Data'!$K$3:$Q$14,MATCH(M200,'G-6 Hedgerow Data'!$B$3:$B$14,0),MATCH(O200,'G-6 Hedgerow Data'!$K$2:$Q$2,0)))),"")</f>
        <v/>
      </c>
      <c r="Y200" s="138"/>
      <c r="Z200" s="138"/>
      <c r="AA200" s="298" t="str">
        <f t="shared" si="16"/>
        <v/>
      </c>
      <c r="AB200" s="311" t="str">
        <f t="shared" si="17"/>
        <v/>
      </c>
      <c r="AC200" s="312" t="str">
        <f t="shared" si="14"/>
        <v/>
      </c>
      <c r="AD200" s="325" t="str">
        <f>IF(M200="","",VLOOKUP(M200,'G-6 Hedgerow Data'!$B$3:$AG$15,31,FALSE))</f>
        <v/>
      </c>
      <c r="AE200" s="298" t="str">
        <f t="shared" si="18"/>
        <v/>
      </c>
      <c r="AF200" s="298" t="str">
        <f t="shared" si="19"/>
        <v/>
      </c>
      <c r="AG200" s="314" t="str">
        <f>IFERROR(IF(O200="","",VLOOKUP(AD200,'G-3 Multipliers'!$P$3:$Q$6,2,FALSE)),"")</f>
        <v/>
      </c>
      <c r="AH200" s="304" t="str">
        <f t="shared" si="20"/>
        <v/>
      </c>
      <c r="AI200" s="157"/>
      <c r="AJ200" s="99"/>
      <c r="AK200" s="101"/>
      <c r="AT200" s="15" t="str">
        <f>IFERROR(INDEX('G-6 Hedgerow Data'!$BJ$3:$BJ$15,MATCH(M200,'G-6 Hedgerow Data'!$B$3:$B$15,0)),"")</f>
        <v/>
      </c>
    </row>
    <row r="201" spans="2:46" ht="14" x14ac:dyDescent="0.3">
      <c r="B201" s="319" t="str">
        <f>'B-1 On-Site Hedge Baseline'!AK199</f>
        <v/>
      </c>
      <c r="C201" s="310" t="str">
        <f>IF(B201="","",IF(ISNA(VLOOKUP($B201,'B-1 On-Site Hedge Baseline'!$B$1:$L$257,3,FALSE)),"",(VLOOKUP($B201,'B-1 On-Site Hedge Baseline'!$B$1:$L$257,3,FALSE))))</f>
        <v/>
      </c>
      <c r="D201" s="310" t="str">
        <f>IF(B201="","",IF(ISNA(VLOOKUP($B201,'B-1 On-Site Hedge Baseline'!$B$1:$L$257,4,FALSE)),"",(VLOOKUP($B201,'B-1 On-Site Hedge Baseline'!$B$1:$L$257,4,FALSE))))</f>
        <v/>
      </c>
      <c r="E201" s="310" t="str">
        <f>IF(B201="","",IF(ISNA(VLOOKUP($B201,'B-1 On-Site Hedge Baseline'!$B$1:$L$257,5,FALSE)),"",(VLOOKUP($B201,'B-1 On-Site Hedge Baseline'!$B$1:$L$257,5,FALSE))))</f>
        <v/>
      </c>
      <c r="F201" s="310" t="str">
        <f>IF(B201="","",IF(ISNA(VLOOKUP($B201,'B-1 On-Site Hedge Baseline'!$B$1:$L$257,6,FALSE)),"",(VLOOKUP($B201,'B-1 On-Site Hedge Baseline'!$B$1:$L$257,6,FALSE))))</f>
        <v/>
      </c>
      <c r="G201" s="310" t="str">
        <f>IF(B201="","",IF(ISNA(VLOOKUP($B201,'B-1 On-Site Hedge Baseline'!$B$1:$L$257,7,FALSE)),"",(VLOOKUP($B201,'B-1 On-Site Hedge Baseline'!$B$1:$L$257,7,FALSE))))</f>
        <v/>
      </c>
      <c r="H201" s="310" t="str">
        <f>IF(B201="","",IF(ISNA(VLOOKUP($B201,'B-1 On-Site Hedge Baseline'!$B$1:$L$257,8,FALSE)),"",(VLOOKUP($B201,'B-1 On-Site Hedge Baseline'!$B$1:$L$257,8,FALSE))))</f>
        <v/>
      </c>
      <c r="I201" s="310" t="str">
        <f>IF(B201="","",IF(ISNA(VLOOKUP($B201,'B-1 On-Site Hedge Baseline'!$B$1:$L$257,10,FALSE)),"",(VLOOKUP($B201,'B-1 On-Site Hedge Baseline'!$B$1:$L$257,10,FALSE))))</f>
        <v/>
      </c>
      <c r="J201" s="310" t="str">
        <f>IF(B201="","",IF(ISNA(VLOOKUP($B201,'B-1 On-Site Hedge Baseline'!$B$1:$L$257,11,FALSE)),"",(VLOOKUP($B201,'B-1 On-Site Hedge Baseline'!$B$1:$L$257,11,FALSE))))</f>
        <v/>
      </c>
      <c r="K201" s="310" t="str">
        <f>IF(B201="","",IF(ISNA(VLOOKUP($B201,'B-1 On-Site Hedge Baseline'!$B$1:$U$257,13,FALSE)),"",(VLOOKUP($B201,'B-1 On-Site Hedge Baseline'!$B$1:$U$257,13,FALSE))))</f>
        <v/>
      </c>
      <c r="L201" s="314" t="str">
        <f>IF(B201="","",IF(ISNA(VLOOKUP($B201,'B-1 On-Site Hedge Baseline'!$B$1:$U$257,12,FALSE)),"",(VLOOKUP($B201,'B-1 On-Site Hedge Baseline'!$B$1:$U$257,12,FALSE))))</f>
        <v/>
      </c>
      <c r="M201" s="583"/>
      <c r="N201" s="290" t="str">
        <f>IFERROR(IF(B201="","",INDEX('G-6 Hedgerow Data'!$AN$3:$AZ$15,MATCH(C201,'G-6 Hedgerow Data'!$AM$3:$AM$15,0),MATCH(M201,'G-6 Hedgerow Data'!$AN$2:$AZ$2,0))),"")</f>
        <v/>
      </c>
      <c r="O201" s="291" t="str">
        <f t="shared" si="15"/>
        <v/>
      </c>
      <c r="P201" s="341" t="str">
        <f>IF(B201="","",VLOOKUP(B201,'B-1 On-Site Hedge Baseline'!$B$10:T446,16,FALSE))</f>
        <v/>
      </c>
      <c r="Q201" s="290" t="str">
        <f>IF(M201="","",VLOOKUP(M201,'G-6 Hedgerow Data'!$B$2:$AG$15,2,FALSE))</f>
        <v/>
      </c>
      <c r="R201" s="291" t="str">
        <f>IF(M201="","",VLOOKUP(M201,'G-6 Hedgerow Data'!$B$2:$AG$15,3,FALSE))</f>
        <v/>
      </c>
      <c r="S201" s="106"/>
      <c r="T201" s="328" t="str">
        <f>IFERROR(IF(S201="","",IF(AND(M201="Non-native and ornamental hedgerow", S201&lt;&gt;"Poor"),"Not possible ▲", (VLOOKUP(S201,'G-1 All Habitats'!$Z$2:$AA$9,2,FALSE)))),"")</f>
        <v/>
      </c>
      <c r="U201" s="103"/>
      <c r="V201" s="310" t="str">
        <f>IF(U201="","",IF(VLOOKUP(U201,'G-3 Multipliers'!$L$3:$N$6,2,FALSE)=0,"Spatial Data Missing ⚠",VLOOKUP(U201,'G-3 Multipliers'!$L$3:$N$6,2,FALSE)))</f>
        <v/>
      </c>
      <c r="W201" s="314" t="str">
        <f>IF(U201="","",IF(VLOOKUP(U201,'G-3 Multipliers'!$L$3:$N$6,3,FALSE)=0,"Spatial Data Missing ⚠",VLOOKUP(U201,'G-3 Multipliers'!$L$3:$N$6,3,FALSE)))</f>
        <v/>
      </c>
      <c r="X201" s="290" t="str">
        <f>IFERROR(IF(OR(LEFT(O201,5)="Error",LEFT(N201,5)="Error",T201="Error"),"Check Data ⚠",IF(F201&lt;R201,INDEX('G-6 Hedgerow Data'!$S$3:$AE$14,MATCH(C201,'G-6 Hedgerow Data'!$B$3:$B$14,0),MATCH(M201,'G-6 Hedgerow Data'!$S$2:$AE$2,0)),INDEX('G-6 Hedgerow Data'!$K$3:$Q$14,MATCH(M201,'G-6 Hedgerow Data'!$B$3:$B$14,0),MATCH(O201,'G-6 Hedgerow Data'!$K$2:$Q$2,0)))),"")</f>
        <v/>
      </c>
      <c r="Y201" s="138"/>
      <c r="Z201" s="138"/>
      <c r="AA201" s="298" t="str">
        <f t="shared" si="16"/>
        <v/>
      </c>
      <c r="AB201" s="311" t="str">
        <f t="shared" si="17"/>
        <v/>
      </c>
      <c r="AC201" s="312" t="str">
        <f t="shared" si="14"/>
        <v/>
      </c>
      <c r="AD201" s="325" t="str">
        <f>IF(M201="","",VLOOKUP(M201,'G-6 Hedgerow Data'!$B$3:$AG$15,31,FALSE))</f>
        <v/>
      </c>
      <c r="AE201" s="298" t="str">
        <f t="shared" si="18"/>
        <v/>
      </c>
      <c r="AF201" s="298" t="str">
        <f t="shared" si="19"/>
        <v/>
      </c>
      <c r="AG201" s="314" t="str">
        <f>IFERROR(IF(O201="","",VLOOKUP(AD201,'G-3 Multipliers'!$P$3:$Q$6,2,FALSE)),"")</f>
        <v/>
      </c>
      <c r="AH201" s="304" t="str">
        <f t="shared" si="20"/>
        <v/>
      </c>
      <c r="AI201" s="157"/>
      <c r="AJ201" s="99"/>
      <c r="AK201" s="101"/>
      <c r="AT201" s="15" t="str">
        <f>IFERROR(INDEX('G-6 Hedgerow Data'!$BJ$3:$BJ$15,MATCH(M201,'G-6 Hedgerow Data'!$B$3:$B$15,0)),"")</f>
        <v/>
      </c>
    </row>
    <row r="202" spans="2:46" ht="14" x14ac:dyDescent="0.3">
      <c r="B202" s="319" t="str">
        <f>'B-1 On-Site Hedge Baseline'!AK200</f>
        <v/>
      </c>
      <c r="C202" s="310" t="str">
        <f>IF(B202="","",IF(ISNA(VLOOKUP($B202,'B-1 On-Site Hedge Baseline'!$B$1:$L$257,3,FALSE)),"",(VLOOKUP($B202,'B-1 On-Site Hedge Baseline'!$B$1:$L$257,3,FALSE))))</f>
        <v/>
      </c>
      <c r="D202" s="310" t="str">
        <f>IF(B202="","",IF(ISNA(VLOOKUP($B202,'B-1 On-Site Hedge Baseline'!$B$1:$L$257,4,FALSE)),"",(VLOOKUP($B202,'B-1 On-Site Hedge Baseline'!$B$1:$L$257,4,FALSE))))</f>
        <v/>
      </c>
      <c r="E202" s="310" t="str">
        <f>IF(B202="","",IF(ISNA(VLOOKUP($B202,'B-1 On-Site Hedge Baseline'!$B$1:$L$257,5,FALSE)),"",(VLOOKUP($B202,'B-1 On-Site Hedge Baseline'!$B$1:$L$257,5,FALSE))))</f>
        <v/>
      </c>
      <c r="F202" s="310" t="str">
        <f>IF(B202="","",IF(ISNA(VLOOKUP($B202,'B-1 On-Site Hedge Baseline'!$B$1:$L$257,6,FALSE)),"",(VLOOKUP($B202,'B-1 On-Site Hedge Baseline'!$B$1:$L$257,6,FALSE))))</f>
        <v/>
      </c>
      <c r="G202" s="310" t="str">
        <f>IF(B202="","",IF(ISNA(VLOOKUP($B202,'B-1 On-Site Hedge Baseline'!$B$1:$L$257,7,FALSE)),"",(VLOOKUP($B202,'B-1 On-Site Hedge Baseline'!$B$1:$L$257,7,FALSE))))</f>
        <v/>
      </c>
      <c r="H202" s="310" t="str">
        <f>IF(B202="","",IF(ISNA(VLOOKUP($B202,'B-1 On-Site Hedge Baseline'!$B$1:$L$257,8,FALSE)),"",(VLOOKUP($B202,'B-1 On-Site Hedge Baseline'!$B$1:$L$257,8,FALSE))))</f>
        <v/>
      </c>
      <c r="I202" s="310" t="str">
        <f>IF(B202="","",IF(ISNA(VLOOKUP($B202,'B-1 On-Site Hedge Baseline'!$B$1:$L$257,10,FALSE)),"",(VLOOKUP($B202,'B-1 On-Site Hedge Baseline'!$B$1:$L$257,10,FALSE))))</f>
        <v/>
      </c>
      <c r="J202" s="310" t="str">
        <f>IF(B202="","",IF(ISNA(VLOOKUP($B202,'B-1 On-Site Hedge Baseline'!$B$1:$L$257,11,FALSE)),"",(VLOOKUP($B202,'B-1 On-Site Hedge Baseline'!$B$1:$L$257,11,FALSE))))</f>
        <v/>
      </c>
      <c r="K202" s="310" t="str">
        <f>IF(B202="","",IF(ISNA(VLOOKUP($B202,'B-1 On-Site Hedge Baseline'!$B$1:$U$257,13,FALSE)),"",(VLOOKUP($B202,'B-1 On-Site Hedge Baseline'!$B$1:$U$257,13,FALSE))))</f>
        <v/>
      </c>
      <c r="L202" s="314" t="str">
        <f>IF(B202="","",IF(ISNA(VLOOKUP($B202,'B-1 On-Site Hedge Baseline'!$B$1:$U$257,12,FALSE)),"",(VLOOKUP($B202,'B-1 On-Site Hedge Baseline'!$B$1:$U$257,12,FALSE))))</f>
        <v/>
      </c>
      <c r="M202" s="583"/>
      <c r="N202" s="290" t="str">
        <f>IFERROR(IF(B202="","",INDEX('G-6 Hedgerow Data'!$AN$3:$AZ$15,MATCH(C202,'G-6 Hedgerow Data'!$AM$3:$AM$15,0),MATCH(M202,'G-6 Hedgerow Data'!$AN$2:$AZ$2,0))),"")</f>
        <v/>
      </c>
      <c r="O202" s="291" t="str">
        <f t="shared" si="15"/>
        <v/>
      </c>
      <c r="P202" s="341" t="str">
        <f>IF(B202="","",VLOOKUP(B202,'B-1 On-Site Hedge Baseline'!$B$10:T447,16,FALSE))</f>
        <v/>
      </c>
      <c r="Q202" s="290" t="str">
        <f>IF(M202="","",VLOOKUP(M202,'G-6 Hedgerow Data'!$B$2:$AG$15,2,FALSE))</f>
        <v/>
      </c>
      <c r="R202" s="291" t="str">
        <f>IF(M202="","",VLOOKUP(M202,'G-6 Hedgerow Data'!$B$2:$AG$15,3,FALSE))</f>
        <v/>
      </c>
      <c r="S202" s="106"/>
      <c r="T202" s="328" t="str">
        <f>IFERROR(IF(S202="","",IF(AND(M202="Non-native and ornamental hedgerow", S202&lt;&gt;"Poor"),"Not possible ▲", (VLOOKUP(S202,'G-1 All Habitats'!$Z$2:$AA$9,2,FALSE)))),"")</f>
        <v/>
      </c>
      <c r="U202" s="103"/>
      <c r="V202" s="310" t="str">
        <f>IF(U202="","",IF(VLOOKUP(U202,'G-3 Multipliers'!$L$3:$N$6,2,FALSE)=0,"Spatial Data Missing ⚠",VLOOKUP(U202,'G-3 Multipliers'!$L$3:$N$6,2,FALSE)))</f>
        <v/>
      </c>
      <c r="W202" s="314" t="str">
        <f>IF(U202="","",IF(VLOOKUP(U202,'G-3 Multipliers'!$L$3:$N$6,3,FALSE)=0,"Spatial Data Missing ⚠",VLOOKUP(U202,'G-3 Multipliers'!$L$3:$N$6,3,FALSE)))</f>
        <v/>
      </c>
      <c r="X202" s="290" t="str">
        <f>IFERROR(IF(OR(LEFT(O202,5)="Error",LEFT(N202,5)="Error",T202="Error"),"Check Data ⚠",IF(F202&lt;R202,INDEX('G-6 Hedgerow Data'!$S$3:$AE$14,MATCH(C202,'G-6 Hedgerow Data'!$B$3:$B$14,0),MATCH(M202,'G-6 Hedgerow Data'!$S$2:$AE$2,0)),INDEX('G-6 Hedgerow Data'!$K$3:$Q$14,MATCH(M202,'G-6 Hedgerow Data'!$B$3:$B$14,0),MATCH(O202,'G-6 Hedgerow Data'!$K$2:$Q$2,0)))),"")</f>
        <v/>
      </c>
      <c r="Y202" s="138"/>
      <c r="Z202" s="138"/>
      <c r="AA202" s="298" t="str">
        <f t="shared" si="16"/>
        <v/>
      </c>
      <c r="AB202" s="311" t="str">
        <f t="shared" si="17"/>
        <v/>
      </c>
      <c r="AC202" s="312" t="str">
        <f t="shared" si="14"/>
        <v/>
      </c>
      <c r="AD202" s="325" t="str">
        <f>IF(M202="","",VLOOKUP(M202,'G-6 Hedgerow Data'!$B$3:$AG$15,31,FALSE))</f>
        <v/>
      </c>
      <c r="AE202" s="298" t="str">
        <f t="shared" si="18"/>
        <v/>
      </c>
      <c r="AF202" s="298" t="str">
        <f t="shared" si="19"/>
        <v/>
      </c>
      <c r="AG202" s="314" t="str">
        <f>IFERROR(IF(O202="","",VLOOKUP(AD202,'G-3 Multipliers'!$P$3:$Q$6,2,FALSE)),"")</f>
        <v/>
      </c>
      <c r="AH202" s="304" t="str">
        <f t="shared" si="20"/>
        <v/>
      </c>
      <c r="AI202" s="157"/>
      <c r="AJ202" s="99"/>
      <c r="AK202" s="101"/>
      <c r="AT202" s="15" t="str">
        <f>IFERROR(INDEX('G-6 Hedgerow Data'!$BJ$3:$BJ$15,MATCH(M202,'G-6 Hedgerow Data'!$B$3:$B$15,0)),"")</f>
        <v/>
      </c>
    </row>
    <row r="203" spans="2:46" ht="14" x14ac:dyDescent="0.3">
      <c r="B203" s="319" t="str">
        <f>'B-1 On-Site Hedge Baseline'!AK201</f>
        <v/>
      </c>
      <c r="C203" s="310" t="str">
        <f>IF(B203="","",IF(ISNA(VLOOKUP($B203,'B-1 On-Site Hedge Baseline'!$B$1:$L$257,3,FALSE)),"",(VLOOKUP($B203,'B-1 On-Site Hedge Baseline'!$B$1:$L$257,3,FALSE))))</f>
        <v/>
      </c>
      <c r="D203" s="310" t="str">
        <f>IF(B203="","",IF(ISNA(VLOOKUP($B203,'B-1 On-Site Hedge Baseline'!$B$1:$L$257,4,FALSE)),"",(VLOOKUP($B203,'B-1 On-Site Hedge Baseline'!$B$1:$L$257,4,FALSE))))</f>
        <v/>
      </c>
      <c r="E203" s="310" t="str">
        <f>IF(B203="","",IF(ISNA(VLOOKUP($B203,'B-1 On-Site Hedge Baseline'!$B$1:$L$257,5,FALSE)),"",(VLOOKUP($B203,'B-1 On-Site Hedge Baseline'!$B$1:$L$257,5,FALSE))))</f>
        <v/>
      </c>
      <c r="F203" s="310" t="str">
        <f>IF(B203="","",IF(ISNA(VLOOKUP($B203,'B-1 On-Site Hedge Baseline'!$B$1:$L$257,6,FALSE)),"",(VLOOKUP($B203,'B-1 On-Site Hedge Baseline'!$B$1:$L$257,6,FALSE))))</f>
        <v/>
      </c>
      <c r="G203" s="310" t="str">
        <f>IF(B203="","",IF(ISNA(VLOOKUP($B203,'B-1 On-Site Hedge Baseline'!$B$1:$L$257,7,FALSE)),"",(VLOOKUP($B203,'B-1 On-Site Hedge Baseline'!$B$1:$L$257,7,FALSE))))</f>
        <v/>
      </c>
      <c r="H203" s="310" t="str">
        <f>IF(B203="","",IF(ISNA(VLOOKUP($B203,'B-1 On-Site Hedge Baseline'!$B$1:$L$257,8,FALSE)),"",(VLOOKUP($B203,'B-1 On-Site Hedge Baseline'!$B$1:$L$257,8,FALSE))))</f>
        <v/>
      </c>
      <c r="I203" s="310" t="str">
        <f>IF(B203="","",IF(ISNA(VLOOKUP($B203,'B-1 On-Site Hedge Baseline'!$B$1:$L$257,10,FALSE)),"",(VLOOKUP($B203,'B-1 On-Site Hedge Baseline'!$B$1:$L$257,10,FALSE))))</f>
        <v/>
      </c>
      <c r="J203" s="310" t="str">
        <f>IF(B203="","",IF(ISNA(VLOOKUP($B203,'B-1 On-Site Hedge Baseline'!$B$1:$L$257,11,FALSE)),"",(VLOOKUP($B203,'B-1 On-Site Hedge Baseline'!$B$1:$L$257,11,FALSE))))</f>
        <v/>
      </c>
      <c r="K203" s="310" t="str">
        <f>IF(B203="","",IF(ISNA(VLOOKUP($B203,'B-1 On-Site Hedge Baseline'!$B$1:$U$257,13,FALSE)),"",(VLOOKUP($B203,'B-1 On-Site Hedge Baseline'!$B$1:$U$257,13,FALSE))))</f>
        <v/>
      </c>
      <c r="L203" s="314" t="str">
        <f>IF(B203="","",IF(ISNA(VLOOKUP($B203,'B-1 On-Site Hedge Baseline'!$B$1:$U$257,12,FALSE)),"",(VLOOKUP($B203,'B-1 On-Site Hedge Baseline'!$B$1:$U$257,12,FALSE))))</f>
        <v/>
      </c>
      <c r="M203" s="583"/>
      <c r="N203" s="290" t="str">
        <f>IFERROR(IF(B203="","",INDEX('G-6 Hedgerow Data'!$AN$3:$AZ$15,MATCH(C203,'G-6 Hedgerow Data'!$AM$3:$AM$15,0),MATCH(M203,'G-6 Hedgerow Data'!$AN$2:$AZ$2,0))),"")</f>
        <v/>
      </c>
      <c r="O203" s="291" t="str">
        <f t="shared" si="15"/>
        <v/>
      </c>
      <c r="P203" s="341" t="str">
        <f>IF(B203="","",VLOOKUP(B203,'B-1 On-Site Hedge Baseline'!$B$10:T448,16,FALSE))</f>
        <v/>
      </c>
      <c r="Q203" s="290" t="str">
        <f>IF(M203="","",VLOOKUP(M203,'G-6 Hedgerow Data'!$B$2:$AG$15,2,FALSE))</f>
        <v/>
      </c>
      <c r="R203" s="291" t="str">
        <f>IF(M203="","",VLOOKUP(M203,'G-6 Hedgerow Data'!$B$2:$AG$15,3,FALSE))</f>
        <v/>
      </c>
      <c r="S203" s="106"/>
      <c r="T203" s="328" t="str">
        <f>IFERROR(IF(S203="","",IF(AND(M203="Non-native and ornamental hedgerow", S203&lt;&gt;"Poor"),"Not possible ▲", (VLOOKUP(S203,'G-1 All Habitats'!$Z$2:$AA$9,2,FALSE)))),"")</f>
        <v/>
      </c>
      <c r="U203" s="103"/>
      <c r="V203" s="310" t="str">
        <f>IF(U203="","",IF(VLOOKUP(U203,'G-3 Multipliers'!$L$3:$N$6,2,FALSE)=0,"Spatial Data Missing ⚠",VLOOKUP(U203,'G-3 Multipliers'!$L$3:$N$6,2,FALSE)))</f>
        <v/>
      </c>
      <c r="W203" s="314" t="str">
        <f>IF(U203="","",IF(VLOOKUP(U203,'G-3 Multipliers'!$L$3:$N$6,3,FALSE)=0,"Spatial Data Missing ⚠",VLOOKUP(U203,'G-3 Multipliers'!$L$3:$N$6,3,FALSE)))</f>
        <v/>
      </c>
      <c r="X203" s="290" t="str">
        <f>IFERROR(IF(OR(LEFT(O203,5)="Error",LEFT(N203,5)="Error",T203="Error"),"Check Data ⚠",IF(F203&lt;R203,INDEX('G-6 Hedgerow Data'!$S$3:$AE$14,MATCH(C203,'G-6 Hedgerow Data'!$B$3:$B$14,0),MATCH(M203,'G-6 Hedgerow Data'!$S$2:$AE$2,0)),INDEX('G-6 Hedgerow Data'!$K$3:$Q$14,MATCH(M203,'G-6 Hedgerow Data'!$B$3:$B$14,0),MATCH(O203,'G-6 Hedgerow Data'!$K$2:$Q$2,0)))),"")</f>
        <v/>
      </c>
      <c r="Y203" s="138"/>
      <c r="Z203" s="138"/>
      <c r="AA203" s="298" t="str">
        <f t="shared" si="16"/>
        <v/>
      </c>
      <c r="AB203" s="311" t="str">
        <f t="shared" si="17"/>
        <v/>
      </c>
      <c r="AC203" s="312" t="str">
        <f t="shared" si="14"/>
        <v/>
      </c>
      <c r="AD203" s="325" t="str">
        <f>IF(M203="","",VLOOKUP(M203,'G-6 Hedgerow Data'!$B$3:$AG$15,31,FALSE))</f>
        <v/>
      </c>
      <c r="AE203" s="298" t="str">
        <f t="shared" si="18"/>
        <v/>
      </c>
      <c r="AF203" s="298" t="str">
        <f t="shared" si="19"/>
        <v/>
      </c>
      <c r="AG203" s="314" t="str">
        <f>IFERROR(IF(O203="","",VLOOKUP(AD203,'G-3 Multipliers'!$P$3:$Q$6,2,FALSE)),"")</f>
        <v/>
      </c>
      <c r="AH203" s="304" t="str">
        <f t="shared" si="20"/>
        <v/>
      </c>
      <c r="AI203" s="157"/>
      <c r="AJ203" s="99"/>
      <c r="AK203" s="101"/>
      <c r="AT203" s="15" t="str">
        <f>IFERROR(INDEX('G-6 Hedgerow Data'!$BJ$3:$BJ$15,MATCH(M203,'G-6 Hedgerow Data'!$B$3:$B$15,0)),"")</f>
        <v/>
      </c>
    </row>
    <row r="204" spans="2:46" ht="14" x14ac:dyDescent="0.3">
      <c r="B204" s="319" t="str">
        <f>'B-1 On-Site Hedge Baseline'!AK202</f>
        <v/>
      </c>
      <c r="C204" s="310" t="str">
        <f>IF(B204="","",IF(ISNA(VLOOKUP($B204,'B-1 On-Site Hedge Baseline'!$B$1:$L$257,3,FALSE)),"",(VLOOKUP($B204,'B-1 On-Site Hedge Baseline'!$B$1:$L$257,3,FALSE))))</f>
        <v/>
      </c>
      <c r="D204" s="310" t="str">
        <f>IF(B204="","",IF(ISNA(VLOOKUP($B204,'B-1 On-Site Hedge Baseline'!$B$1:$L$257,4,FALSE)),"",(VLOOKUP($B204,'B-1 On-Site Hedge Baseline'!$B$1:$L$257,4,FALSE))))</f>
        <v/>
      </c>
      <c r="E204" s="310" t="str">
        <f>IF(B204="","",IF(ISNA(VLOOKUP($B204,'B-1 On-Site Hedge Baseline'!$B$1:$L$257,5,FALSE)),"",(VLOOKUP($B204,'B-1 On-Site Hedge Baseline'!$B$1:$L$257,5,FALSE))))</f>
        <v/>
      </c>
      <c r="F204" s="310" t="str">
        <f>IF(B204="","",IF(ISNA(VLOOKUP($B204,'B-1 On-Site Hedge Baseline'!$B$1:$L$257,6,FALSE)),"",(VLOOKUP($B204,'B-1 On-Site Hedge Baseline'!$B$1:$L$257,6,FALSE))))</f>
        <v/>
      </c>
      <c r="G204" s="310" t="str">
        <f>IF(B204="","",IF(ISNA(VLOOKUP($B204,'B-1 On-Site Hedge Baseline'!$B$1:$L$257,7,FALSE)),"",(VLOOKUP($B204,'B-1 On-Site Hedge Baseline'!$B$1:$L$257,7,FALSE))))</f>
        <v/>
      </c>
      <c r="H204" s="310" t="str">
        <f>IF(B204="","",IF(ISNA(VLOOKUP($B204,'B-1 On-Site Hedge Baseline'!$B$1:$L$257,8,FALSE)),"",(VLOOKUP($B204,'B-1 On-Site Hedge Baseline'!$B$1:$L$257,8,FALSE))))</f>
        <v/>
      </c>
      <c r="I204" s="310" t="str">
        <f>IF(B204="","",IF(ISNA(VLOOKUP($B204,'B-1 On-Site Hedge Baseline'!$B$1:$L$257,10,FALSE)),"",(VLOOKUP($B204,'B-1 On-Site Hedge Baseline'!$B$1:$L$257,10,FALSE))))</f>
        <v/>
      </c>
      <c r="J204" s="310" t="str">
        <f>IF(B204="","",IF(ISNA(VLOOKUP($B204,'B-1 On-Site Hedge Baseline'!$B$1:$L$257,11,FALSE)),"",(VLOOKUP($B204,'B-1 On-Site Hedge Baseline'!$B$1:$L$257,11,FALSE))))</f>
        <v/>
      </c>
      <c r="K204" s="310" t="str">
        <f>IF(B204="","",IF(ISNA(VLOOKUP($B204,'B-1 On-Site Hedge Baseline'!$B$1:$U$257,13,FALSE)),"",(VLOOKUP($B204,'B-1 On-Site Hedge Baseline'!$B$1:$U$257,13,FALSE))))</f>
        <v/>
      </c>
      <c r="L204" s="314" t="str">
        <f>IF(B204="","",IF(ISNA(VLOOKUP($B204,'B-1 On-Site Hedge Baseline'!$B$1:$U$257,12,FALSE)),"",(VLOOKUP($B204,'B-1 On-Site Hedge Baseline'!$B$1:$U$257,12,FALSE))))</f>
        <v/>
      </c>
      <c r="M204" s="583"/>
      <c r="N204" s="290" t="str">
        <f>IFERROR(IF(B204="","",INDEX('G-6 Hedgerow Data'!$AN$3:$AZ$15,MATCH(C204,'G-6 Hedgerow Data'!$AM$3:$AM$15,0),MATCH(M204,'G-6 Hedgerow Data'!$AN$2:$AZ$2,0))),"")</f>
        <v/>
      </c>
      <c r="O204" s="291" t="str">
        <f t="shared" si="15"/>
        <v/>
      </c>
      <c r="P204" s="341" t="str">
        <f>IF(B204="","",VLOOKUP(B204,'B-1 On-Site Hedge Baseline'!$B$10:T449,16,FALSE))</f>
        <v/>
      </c>
      <c r="Q204" s="290" t="str">
        <f>IF(M204="","",VLOOKUP(M204,'G-6 Hedgerow Data'!$B$2:$AG$15,2,FALSE))</f>
        <v/>
      </c>
      <c r="R204" s="291" t="str">
        <f>IF(M204="","",VLOOKUP(M204,'G-6 Hedgerow Data'!$B$2:$AG$15,3,FALSE))</f>
        <v/>
      </c>
      <c r="S204" s="106"/>
      <c r="T204" s="328" t="str">
        <f>IFERROR(IF(S204="","",IF(AND(M204="Non-native and ornamental hedgerow", S204&lt;&gt;"Poor"),"Not possible ▲", (VLOOKUP(S204,'G-1 All Habitats'!$Z$2:$AA$9,2,FALSE)))),"")</f>
        <v/>
      </c>
      <c r="U204" s="103"/>
      <c r="V204" s="310" t="str">
        <f>IF(U204="","",IF(VLOOKUP(U204,'G-3 Multipliers'!$L$3:$N$6,2,FALSE)=0,"Spatial Data Missing ⚠",VLOOKUP(U204,'G-3 Multipliers'!$L$3:$N$6,2,FALSE)))</f>
        <v/>
      </c>
      <c r="W204" s="314" t="str">
        <f>IF(U204="","",IF(VLOOKUP(U204,'G-3 Multipliers'!$L$3:$N$6,3,FALSE)=0,"Spatial Data Missing ⚠",VLOOKUP(U204,'G-3 Multipliers'!$L$3:$N$6,3,FALSE)))</f>
        <v/>
      </c>
      <c r="X204" s="290" t="str">
        <f>IFERROR(IF(OR(LEFT(O204,5)="Error",LEFT(N204,5)="Error",T204="Error"),"Check Data ⚠",IF(F204&lt;R204,INDEX('G-6 Hedgerow Data'!$S$3:$AE$14,MATCH(C204,'G-6 Hedgerow Data'!$B$3:$B$14,0),MATCH(M204,'G-6 Hedgerow Data'!$S$2:$AE$2,0)),INDEX('G-6 Hedgerow Data'!$K$3:$Q$14,MATCH(M204,'G-6 Hedgerow Data'!$B$3:$B$14,0),MATCH(O204,'G-6 Hedgerow Data'!$K$2:$Q$2,0)))),"")</f>
        <v/>
      </c>
      <c r="Y204" s="138"/>
      <c r="Z204" s="138"/>
      <c r="AA204" s="298" t="str">
        <f t="shared" si="16"/>
        <v/>
      </c>
      <c r="AB204" s="311" t="str">
        <f t="shared" si="17"/>
        <v/>
      </c>
      <c r="AC204" s="312" t="str">
        <f t="shared" ref="AC204:AC257" si="21">IF(OR(S204="",M204=""),"",IF(LEFT(AB204,5)="Error ▲","Check Data ⚠",IF(AB204="Check Data ⚠","Check Data ⚠",VLOOKUP(AB204,TemporalMultipliers,3,FALSE))))</f>
        <v/>
      </c>
      <c r="AD204" s="325" t="str">
        <f>IF(M204="","",VLOOKUP(M204,'G-6 Hedgerow Data'!$B$3:$AG$15,31,FALSE))</f>
        <v/>
      </c>
      <c r="AE204" s="298" t="str">
        <f t="shared" si="18"/>
        <v/>
      </c>
      <c r="AF204" s="298" t="str">
        <f t="shared" si="19"/>
        <v/>
      </c>
      <c r="AG204" s="314" t="str">
        <f>IFERROR(IF(O204="","",VLOOKUP(AD204,'G-3 Multipliers'!$P$3:$Q$6,2,FALSE)),"")</f>
        <v/>
      </c>
      <c r="AH204" s="304" t="str">
        <f t="shared" si="20"/>
        <v/>
      </c>
      <c r="AI204" s="157"/>
      <c r="AJ204" s="99"/>
      <c r="AK204" s="101"/>
      <c r="AT204" s="15" t="str">
        <f>IFERROR(INDEX('G-6 Hedgerow Data'!$BJ$3:$BJ$15,MATCH(M204,'G-6 Hedgerow Data'!$B$3:$B$15,0)),"")</f>
        <v/>
      </c>
    </row>
    <row r="205" spans="2:46" ht="14" x14ac:dyDescent="0.3">
      <c r="B205" s="319" t="str">
        <f>'B-1 On-Site Hedge Baseline'!AK203</f>
        <v/>
      </c>
      <c r="C205" s="310" t="str">
        <f>IF(B205="","",IF(ISNA(VLOOKUP($B205,'B-1 On-Site Hedge Baseline'!$B$1:$L$257,3,FALSE)),"",(VLOOKUP($B205,'B-1 On-Site Hedge Baseline'!$B$1:$L$257,3,FALSE))))</f>
        <v/>
      </c>
      <c r="D205" s="310" t="str">
        <f>IF(B205="","",IF(ISNA(VLOOKUP($B205,'B-1 On-Site Hedge Baseline'!$B$1:$L$257,4,FALSE)),"",(VLOOKUP($B205,'B-1 On-Site Hedge Baseline'!$B$1:$L$257,4,FALSE))))</f>
        <v/>
      </c>
      <c r="E205" s="310" t="str">
        <f>IF(B205="","",IF(ISNA(VLOOKUP($B205,'B-1 On-Site Hedge Baseline'!$B$1:$L$257,5,FALSE)),"",(VLOOKUP($B205,'B-1 On-Site Hedge Baseline'!$B$1:$L$257,5,FALSE))))</f>
        <v/>
      </c>
      <c r="F205" s="310" t="str">
        <f>IF(B205="","",IF(ISNA(VLOOKUP($B205,'B-1 On-Site Hedge Baseline'!$B$1:$L$257,6,FALSE)),"",(VLOOKUP($B205,'B-1 On-Site Hedge Baseline'!$B$1:$L$257,6,FALSE))))</f>
        <v/>
      </c>
      <c r="G205" s="310" t="str">
        <f>IF(B205="","",IF(ISNA(VLOOKUP($B205,'B-1 On-Site Hedge Baseline'!$B$1:$L$257,7,FALSE)),"",(VLOOKUP($B205,'B-1 On-Site Hedge Baseline'!$B$1:$L$257,7,FALSE))))</f>
        <v/>
      </c>
      <c r="H205" s="310" t="str">
        <f>IF(B205="","",IF(ISNA(VLOOKUP($B205,'B-1 On-Site Hedge Baseline'!$B$1:$L$257,8,FALSE)),"",(VLOOKUP($B205,'B-1 On-Site Hedge Baseline'!$B$1:$L$257,8,FALSE))))</f>
        <v/>
      </c>
      <c r="I205" s="310" t="str">
        <f>IF(B205="","",IF(ISNA(VLOOKUP($B205,'B-1 On-Site Hedge Baseline'!$B$1:$L$257,10,FALSE)),"",(VLOOKUP($B205,'B-1 On-Site Hedge Baseline'!$B$1:$L$257,10,FALSE))))</f>
        <v/>
      </c>
      <c r="J205" s="310" t="str">
        <f>IF(B205="","",IF(ISNA(VLOOKUP($B205,'B-1 On-Site Hedge Baseline'!$B$1:$L$257,11,FALSE)),"",(VLOOKUP($B205,'B-1 On-Site Hedge Baseline'!$B$1:$L$257,11,FALSE))))</f>
        <v/>
      </c>
      <c r="K205" s="310" t="str">
        <f>IF(B205="","",IF(ISNA(VLOOKUP($B205,'B-1 On-Site Hedge Baseline'!$B$1:$U$257,13,FALSE)),"",(VLOOKUP($B205,'B-1 On-Site Hedge Baseline'!$B$1:$U$257,13,FALSE))))</f>
        <v/>
      </c>
      <c r="L205" s="314" t="str">
        <f>IF(B205="","",IF(ISNA(VLOOKUP($B205,'B-1 On-Site Hedge Baseline'!$B$1:$U$257,12,FALSE)),"",(VLOOKUP($B205,'B-1 On-Site Hedge Baseline'!$B$1:$U$257,12,FALSE))))</f>
        <v/>
      </c>
      <c r="M205" s="583"/>
      <c r="N205" s="290" t="str">
        <f>IFERROR(IF(B205="","",INDEX('G-6 Hedgerow Data'!$AN$3:$AZ$15,MATCH(C205,'G-6 Hedgerow Data'!$AM$3:$AM$15,0),MATCH(M205,'G-6 Hedgerow Data'!$AN$2:$AZ$2,0))),"")</f>
        <v/>
      </c>
      <c r="O205" s="291" t="str">
        <f t="shared" ref="O205:O257" si="22">IFERROR(IF(B205="","",IF(AND(LEFT(C205,55)&lt;&gt;LEFT(M205,55),N205="High - High"),"Error - Not like for like ▲",IF(H205&gt;T205,"Error - Can not reduce condition ▲",IF(AND(F205=R205,H205=T205),"Error - No enhancement ▲",IF(AND(C205&lt;&gt;M205,F205&lt;R205),"Lower Distinctiveness Habitat"&amp;" - "&amp;S205,G205&amp;" - "&amp;S205))))),"")</f>
        <v/>
      </c>
      <c r="P205" s="341" t="str">
        <f>IF(B205="","",VLOOKUP(B205,'B-1 On-Site Hedge Baseline'!$B$10:T450,16,FALSE))</f>
        <v/>
      </c>
      <c r="Q205" s="290" t="str">
        <f>IF(M205="","",VLOOKUP(M205,'G-6 Hedgerow Data'!$B$2:$AG$15,2,FALSE))</f>
        <v/>
      </c>
      <c r="R205" s="291" t="str">
        <f>IF(M205="","",VLOOKUP(M205,'G-6 Hedgerow Data'!$B$2:$AG$15,3,FALSE))</f>
        <v/>
      </c>
      <c r="S205" s="106"/>
      <c r="T205" s="328" t="str">
        <f>IFERROR(IF(S205="","",IF(AND(M205="Non-native and ornamental hedgerow", S205&lt;&gt;"Poor"),"Not possible ▲", (VLOOKUP(S205,'G-1 All Habitats'!$Z$2:$AA$9,2,FALSE)))),"")</f>
        <v/>
      </c>
      <c r="U205" s="103"/>
      <c r="V205" s="310" t="str">
        <f>IF(U205="","",IF(VLOOKUP(U205,'G-3 Multipliers'!$L$3:$N$6,2,FALSE)=0,"Spatial Data Missing ⚠",VLOOKUP(U205,'G-3 Multipliers'!$L$3:$N$6,2,FALSE)))</f>
        <v/>
      </c>
      <c r="W205" s="314" t="str">
        <f>IF(U205="","",IF(VLOOKUP(U205,'G-3 Multipliers'!$L$3:$N$6,3,FALSE)=0,"Spatial Data Missing ⚠",VLOOKUP(U205,'G-3 Multipliers'!$L$3:$N$6,3,FALSE)))</f>
        <v/>
      </c>
      <c r="X205" s="290" t="str">
        <f>IFERROR(IF(OR(LEFT(O205,5)="Error",LEFT(N205,5)="Error",T205="Error"),"Check Data ⚠",IF(F205&lt;R205,INDEX('G-6 Hedgerow Data'!$S$3:$AE$14,MATCH(C205,'G-6 Hedgerow Data'!$B$3:$B$14,0),MATCH(M205,'G-6 Hedgerow Data'!$S$2:$AE$2,0)),INDEX('G-6 Hedgerow Data'!$K$3:$Q$14,MATCH(M205,'G-6 Hedgerow Data'!$B$3:$B$14,0),MATCH(O205,'G-6 Hedgerow Data'!$K$2:$Q$2,0)))),"")</f>
        <v/>
      </c>
      <c r="Y205" s="138"/>
      <c r="Z205" s="138"/>
      <c r="AA205" s="298" t="str">
        <f t="shared" ref="AA205:AA257" si="23">IF(X205="Check Data ⚠","Check Data ⚠",IF(M205="","",IF(AND(Y205&gt;0,Z205&gt;0),"Error -both advance and delayed habitat creation ▲",IF(AND(OR(Y205="Habitat already in target condition",X205&lt;=Y205),Z205=0),"Check details - Is there evidence that habitat has reached target condition? ⚠",IF(X205="","",IF(Y205&gt;0,"Check details - Is there evidence habitat creation started/in place? ⚠",IF(Z205&gt;0,"Check details- Delay in starting habitat in required condition? ⚠","Standard time to target condition applied")))))))</f>
        <v/>
      </c>
      <c r="AB205" s="311" t="str">
        <f t="shared" ref="AB205:AB257" si="24">IF(X205="","",IF(AA205="Check Data ⚠","Check Data ⚠",IF(Y205="30+",0,IF(Z205="30+","30+ ⚠",IF(X205+Z205&gt;30,"30+",IF(AA205="Error -both advance and delayed habitat creation ▲","Check Data ⚠",IF(X205+Z205-Y205&gt;0,X205+Z205-Y205,IF(X205-Y205&lt;=0,0,))))))))</f>
        <v/>
      </c>
      <c r="AC205" s="312" t="str">
        <f t="shared" si="21"/>
        <v/>
      </c>
      <c r="AD205" s="325" t="str">
        <f>IF(M205="","",VLOOKUP(M205,'G-6 Hedgerow Data'!$B$3:$AG$15,31,FALSE))</f>
        <v/>
      </c>
      <c r="AE205" s="298" t="str">
        <f t="shared" ref="AE205:AE257" si="25">IF(M205="","",IF(OR(LEFT(AA205,5)="Error ▲",AA205="Check Data ⚠"),"Check Data ⚠",IF(X205="","",IF($AA205="Check details - Is there evidence that habitat has reached target condition? ⚠","Low Difficulty - only applicable if all habitat created before losses ⚠","Standard difficulty applied"))))</f>
        <v/>
      </c>
      <c r="AF205" s="298" t="str">
        <f t="shared" ref="AF205:AF257" si="26">(IF(AND(AE205="Standard difficulty applied",X205&gt;Y205),AD205,IF(AND(AE205="Low Difficulty - only applicable if all habitat created before losses ⚠",Y205&gt;=X205),"Low",AD205)))</f>
        <v/>
      </c>
      <c r="AG205" s="314" t="str">
        <f>IFERROR(IF(O205="","",VLOOKUP(AD205,'G-3 Multipliers'!$P$3:$Q$6,2,FALSE)),"")</f>
        <v/>
      </c>
      <c r="AH205" s="304" t="str">
        <f t="shared" ref="AH205:AH257" si="27">IFERROR(IF(K205="Check data ⚠", "Check data ⚠", (IF(OR(M205="",S205="",U205=""),"",(((((P205*R205*T205)-(P205*F205*H205))*(AG205*AC205))+(P205*F205*H205))*(W205))))),"")</f>
        <v/>
      </c>
      <c r="AI205" s="157"/>
      <c r="AJ205" s="99"/>
      <c r="AK205" s="101"/>
      <c r="AT205" s="15" t="str">
        <f>IFERROR(INDEX('G-6 Hedgerow Data'!$BJ$3:$BJ$15,MATCH(M205,'G-6 Hedgerow Data'!$B$3:$B$15,0)),"")</f>
        <v/>
      </c>
    </row>
    <row r="206" spans="2:46" ht="14" x14ac:dyDescent="0.3">
      <c r="B206" s="319" t="str">
        <f>'B-1 On-Site Hedge Baseline'!AK204</f>
        <v/>
      </c>
      <c r="C206" s="310" t="str">
        <f>IF(B206="","",IF(ISNA(VLOOKUP($B206,'B-1 On-Site Hedge Baseline'!$B$1:$L$257,3,FALSE)),"",(VLOOKUP($B206,'B-1 On-Site Hedge Baseline'!$B$1:$L$257,3,FALSE))))</f>
        <v/>
      </c>
      <c r="D206" s="310" t="str">
        <f>IF(B206="","",IF(ISNA(VLOOKUP($B206,'B-1 On-Site Hedge Baseline'!$B$1:$L$257,4,FALSE)),"",(VLOOKUP($B206,'B-1 On-Site Hedge Baseline'!$B$1:$L$257,4,FALSE))))</f>
        <v/>
      </c>
      <c r="E206" s="310" t="str">
        <f>IF(B206="","",IF(ISNA(VLOOKUP($B206,'B-1 On-Site Hedge Baseline'!$B$1:$L$257,5,FALSE)),"",(VLOOKUP($B206,'B-1 On-Site Hedge Baseline'!$B$1:$L$257,5,FALSE))))</f>
        <v/>
      </c>
      <c r="F206" s="310" t="str">
        <f>IF(B206="","",IF(ISNA(VLOOKUP($B206,'B-1 On-Site Hedge Baseline'!$B$1:$L$257,6,FALSE)),"",(VLOOKUP($B206,'B-1 On-Site Hedge Baseline'!$B$1:$L$257,6,FALSE))))</f>
        <v/>
      </c>
      <c r="G206" s="310" t="str">
        <f>IF(B206="","",IF(ISNA(VLOOKUP($B206,'B-1 On-Site Hedge Baseline'!$B$1:$L$257,7,FALSE)),"",(VLOOKUP($B206,'B-1 On-Site Hedge Baseline'!$B$1:$L$257,7,FALSE))))</f>
        <v/>
      </c>
      <c r="H206" s="310" t="str">
        <f>IF(B206="","",IF(ISNA(VLOOKUP($B206,'B-1 On-Site Hedge Baseline'!$B$1:$L$257,8,FALSE)),"",(VLOOKUP($B206,'B-1 On-Site Hedge Baseline'!$B$1:$L$257,8,FALSE))))</f>
        <v/>
      </c>
      <c r="I206" s="310" t="str">
        <f>IF(B206="","",IF(ISNA(VLOOKUP($B206,'B-1 On-Site Hedge Baseline'!$B$1:$L$257,10,FALSE)),"",(VLOOKUP($B206,'B-1 On-Site Hedge Baseline'!$B$1:$L$257,10,FALSE))))</f>
        <v/>
      </c>
      <c r="J206" s="310" t="str">
        <f>IF(B206="","",IF(ISNA(VLOOKUP($B206,'B-1 On-Site Hedge Baseline'!$B$1:$L$257,11,FALSE)),"",(VLOOKUP($B206,'B-1 On-Site Hedge Baseline'!$B$1:$L$257,11,FALSE))))</f>
        <v/>
      </c>
      <c r="K206" s="310" t="str">
        <f>IF(B206="","",IF(ISNA(VLOOKUP($B206,'B-1 On-Site Hedge Baseline'!$B$1:$U$257,13,FALSE)),"",(VLOOKUP($B206,'B-1 On-Site Hedge Baseline'!$B$1:$U$257,13,FALSE))))</f>
        <v/>
      </c>
      <c r="L206" s="314" t="str">
        <f>IF(B206="","",IF(ISNA(VLOOKUP($B206,'B-1 On-Site Hedge Baseline'!$B$1:$U$257,12,FALSE)),"",(VLOOKUP($B206,'B-1 On-Site Hedge Baseline'!$B$1:$U$257,12,FALSE))))</f>
        <v/>
      </c>
      <c r="M206" s="583"/>
      <c r="N206" s="290" t="str">
        <f>IFERROR(IF(B206="","",INDEX('G-6 Hedgerow Data'!$AN$3:$AZ$15,MATCH(C206,'G-6 Hedgerow Data'!$AM$3:$AM$15,0),MATCH(M206,'G-6 Hedgerow Data'!$AN$2:$AZ$2,0))),"")</f>
        <v/>
      </c>
      <c r="O206" s="291" t="str">
        <f t="shared" si="22"/>
        <v/>
      </c>
      <c r="P206" s="341" t="str">
        <f>IF(B206="","",VLOOKUP(B206,'B-1 On-Site Hedge Baseline'!$B$10:T451,16,FALSE))</f>
        <v/>
      </c>
      <c r="Q206" s="290" t="str">
        <f>IF(M206="","",VLOOKUP(M206,'G-6 Hedgerow Data'!$B$2:$AG$15,2,FALSE))</f>
        <v/>
      </c>
      <c r="R206" s="291" t="str">
        <f>IF(M206="","",VLOOKUP(M206,'G-6 Hedgerow Data'!$B$2:$AG$15,3,FALSE))</f>
        <v/>
      </c>
      <c r="S206" s="106"/>
      <c r="T206" s="328" t="str">
        <f>IFERROR(IF(S206="","",IF(AND(M206="Non-native and ornamental hedgerow", S206&lt;&gt;"Poor"),"Not possible ▲", (VLOOKUP(S206,'G-1 All Habitats'!$Z$2:$AA$9,2,FALSE)))),"")</f>
        <v/>
      </c>
      <c r="U206" s="103"/>
      <c r="V206" s="310" t="str">
        <f>IF(U206="","",IF(VLOOKUP(U206,'G-3 Multipliers'!$L$3:$N$6,2,FALSE)=0,"Spatial Data Missing ⚠",VLOOKUP(U206,'G-3 Multipliers'!$L$3:$N$6,2,FALSE)))</f>
        <v/>
      </c>
      <c r="W206" s="314" t="str">
        <f>IF(U206="","",IF(VLOOKUP(U206,'G-3 Multipliers'!$L$3:$N$6,3,FALSE)=0,"Spatial Data Missing ⚠",VLOOKUP(U206,'G-3 Multipliers'!$L$3:$N$6,3,FALSE)))</f>
        <v/>
      </c>
      <c r="X206" s="290" t="str">
        <f>IFERROR(IF(OR(LEFT(O206,5)="Error",LEFT(N206,5)="Error",T206="Error"),"Check Data ⚠",IF(F206&lt;R206,INDEX('G-6 Hedgerow Data'!$S$3:$AE$14,MATCH(C206,'G-6 Hedgerow Data'!$B$3:$B$14,0),MATCH(M206,'G-6 Hedgerow Data'!$S$2:$AE$2,0)),INDEX('G-6 Hedgerow Data'!$K$3:$Q$14,MATCH(M206,'G-6 Hedgerow Data'!$B$3:$B$14,0),MATCH(O206,'G-6 Hedgerow Data'!$K$2:$Q$2,0)))),"")</f>
        <v/>
      </c>
      <c r="Y206" s="138"/>
      <c r="Z206" s="138"/>
      <c r="AA206" s="298" t="str">
        <f t="shared" si="23"/>
        <v/>
      </c>
      <c r="AB206" s="311" t="str">
        <f t="shared" si="24"/>
        <v/>
      </c>
      <c r="AC206" s="312" t="str">
        <f t="shared" si="21"/>
        <v/>
      </c>
      <c r="AD206" s="325" t="str">
        <f>IF(M206="","",VLOOKUP(M206,'G-6 Hedgerow Data'!$B$3:$AG$15,31,FALSE))</f>
        <v/>
      </c>
      <c r="AE206" s="298" t="str">
        <f t="shared" si="25"/>
        <v/>
      </c>
      <c r="AF206" s="298" t="str">
        <f t="shared" si="26"/>
        <v/>
      </c>
      <c r="AG206" s="314" t="str">
        <f>IFERROR(IF(O206="","",VLOOKUP(AD206,'G-3 Multipliers'!$P$3:$Q$6,2,FALSE)),"")</f>
        <v/>
      </c>
      <c r="AH206" s="304" t="str">
        <f t="shared" si="27"/>
        <v/>
      </c>
      <c r="AI206" s="157"/>
      <c r="AJ206" s="99"/>
      <c r="AK206" s="101"/>
      <c r="AT206" s="15" t="str">
        <f>IFERROR(INDEX('G-6 Hedgerow Data'!$BJ$3:$BJ$15,MATCH(M206,'G-6 Hedgerow Data'!$B$3:$B$15,0)),"")</f>
        <v/>
      </c>
    </row>
    <row r="207" spans="2:46" ht="14" x14ac:dyDescent="0.3">
      <c r="B207" s="319" t="str">
        <f>'B-1 On-Site Hedge Baseline'!AK205</f>
        <v/>
      </c>
      <c r="C207" s="310" t="str">
        <f>IF(B207="","",IF(ISNA(VLOOKUP($B207,'B-1 On-Site Hedge Baseline'!$B$1:$L$257,3,FALSE)),"",(VLOOKUP($B207,'B-1 On-Site Hedge Baseline'!$B$1:$L$257,3,FALSE))))</f>
        <v/>
      </c>
      <c r="D207" s="310" t="str">
        <f>IF(B207="","",IF(ISNA(VLOOKUP($B207,'B-1 On-Site Hedge Baseline'!$B$1:$L$257,4,FALSE)),"",(VLOOKUP($B207,'B-1 On-Site Hedge Baseline'!$B$1:$L$257,4,FALSE))))</f>
        <v/>
      </c>
      <c r="E207" s="310" t="str">
        <f>IF(B207="","",IF(ISNA(VLOOKUP($B207,'B-1 On-Site Hedge Baseline'!$B$1:$L$257,5,FALSE)),"",(VLOOKUP($B207,'B-1 On-Site Hedge Baseline'!$B$1:$L$257,5,FALSE))))</f>
        <v/>
      </c>
      <c r="F207" s="310" t="str">
        <f>IF(B207="","",IF(ISNA(VLOOKUP($B207,'B-1 On-Site Hedge Baseline'!$B$1:$L$257,6,FALSE)),"",(VLOOKUP($B207,'B-1 On-Site Hedge Baseline'!$B$1:$L$257,6,FALSE))))</f>
        <v/>
      </c>
      <c r="G207" s="310" t="str">
        <f>IF(B207="","",IF(ISNA(VLOOKUP($B207,'B-1 On-Site Hedge Baseline'!$B$1:$L$257,7,FALSE)),"",(VLOOKUP($B207,'B-1 On-Site Hedge Baseline'!$B$1:$L$257,7,FALSE))))</f>
        <v/>
      </c>
      <c r="H207" s="310" t="str">
        <f>IF(B207="","",IF(ISNA(VLOOKUP($B207,'B-1 On-Site Hedge Baseline'!$B$1:$L$257,8,FALSE)),"",(VLOOKUP($B207,'B-1 On-Site Hedge Baseline'!$B$1:$L$257,8,FALSE))))</f>
        <v/>
      </c>
      <c r="I207" s="310" t="str">
        <f>IF(B207="","",IF(ISNA(VLOOKUP($B207,'B-1 On-Site Hedge Baseline'!$B$1:$L$257,10,FALSE)),"",(VLOOKUP($B207,'B-1 On-Site Hedge Baseline'!$B$1:$L$257,10,FALSE))))</f>
        <v/>
      </c>
      <c r="J207" s="310" t="str">
        <f>IF(B207="","",IF(ISNA(VLOOKUP($B207,'B-1 On-Site Hedge Baseline'!$B$1:$L$257,11,FALSE)),"",(VLOOKUP($B207,'B-1 On-Site Hedge Baseline'!$B$1:$L$257,11,FALSE))))</f>
        <v/>
      </c>
      <c r="K207" s="310" t="str">
        <f>IF(B207="","",IF(ISNA(VLOOKUP($B207,'B-1 On-Site Hedge Baseline'!$B$1:$U$257,13,FALSE)),"",(VLOOKUP($B207,'B-1 On-Site Hedge Baseline'!$B$1:$U$257,13,FALSE))))</f>
        <v/>
      </c>
      <c r="L207" s="314" t="str">
        <f>IF(B207="","",IF(ISNA(VLOOKUP($B207,'B-1 On-Site Hedge Baseline'!$B$1:$U$257,12,FALSE)),"",(VLOOKUP($B207,'B-1 On-Site Hedge Baseline'!$B$1:$U$257,12,FALSE))))</f>
        <v/>
      </c>
      <c r="M207" s="583"/>
      <c r="N207" s="290" t="str">
        <f>IFERROR(IF(B207="","",INDEX('G-6 Hedgerow Data'!$AN$3:$AZ$15,MATCH(C207,'G-6 Hedgerow Data'!$AM$3:$AM$15,0),MATCH(M207,'G-6 Hedgerow Data'!$AN$2:$AZ$2,0))),"")</f>
        <v/>
      </c>
      <c r="O207" s="291" t="str">
        <f t="shared" si="22"/>
        <v/>
      </c>
      <c r="P207" s="341" t="str">
        <f>IF(B207="","",VLOOKUP(B207,'B-1 On-Site Hedge Baseline'!$B$10:T452,16,FALSE))</f>
        <v/>
      </c>
      <c r="Q207" s="290" t="str">
        <f>IF(M207="","",VLOOKUP(M207,'G-6 Hedgerow Data'!$B$2:$AG$15,2,FALSE))</f>
        <v/>
      </c>
      <c r="R207" s="291" t="str">
        <f>IF(M207="","",VLOOKUP(M207,'G-6 Hedgerow Data'!$B$2:$AG$15,3,FALSE))</f>
        <v/>
      </c>
      <c r="S207" s="106"/>
      <c r="T207" s="328" t="str">
        <f>IFERROR(IF(S207="","",IF(AND(M207="Non-native and ornamental hedgerow", S207&lt;&gt;"Poor"),"Not possible ▲", (VLOOKUP(S207,'G-1 All Habitats'!$Z$2:$AA$9,2,FALSE)))),"")</f>
        <v/>
      </c>
      <c r="U207" s="103"/>
      <c r="V207" s="310" t="str">
        <f>IF(U207="","",IF(VLOOKUP(U207,'G-3 Multipliers'!$L$3:$N$6,2,FALSE)=0,"Spatial Data Missing ⚠",VLOOKUP(U207,'G-3 Multipliers'!$L$3:$N$6,2,FALSE)))</f>
        <v/>
      </c>
      <c r="W207" s="314" t="str">
        <f>IF(U207="","",IF(VLOOKUP(U207,'G-3 Multipliers'!$L$3:$N$6,3,FALSE)=0,"Spatial Data Missing ⚠",VLOOKUP(U207,'G-3 Multipliers'!$L$3:$N$6,3,FALSE)))</f>
        <v/>
      </c>
      <c r="X207" s="290" t="str">
        <f>IFERROR(IF(OR(LEFT(O207,5)="Error",LEFT(N207,5)="Error",T207="Error"),"Check Data ⚠",IF(F207&lt;R207,INDEX('G-6 Hedgerow Data'!$S$3:$AE$14,MATCH(C207,'G-6 Hedgerow Data'!$B$3:$B$14,0),MATCH(M207,'G-6 Hedgerow Data'!$S$2:$AE$2,0)),INDEX('G-6 Hedgerow Data'!$K$3:$Q$14,MATCH(M207,'G-6 Hedgerow Data'!$B$3:$B$14,0),MATCH(O207,'G-6 Hedgerow Data'!$K$2:$Q$2,0)))),"")</f>
        <v/>
      </c>
      <c r="Y207" s="138"/>
      <c r="Z207" s="138"/>
      <c r="AA207" s="298" t="str">
        <f t="shared" si="23"/>
        <v/>
      </c>
      <c r="AB207" s="311" t="str">
        <f t="shared" si="24"/>
        <v/>
      </c>
      <c r="AC207" s="312" t="str">
        <f t="shared" si="21"/>
        <v/>
      </c>
      <c r="AD207" s="325" t="str">
        <f>IF(M207="","",VLOOKUP(M207,'G-6 Hedgerow Data'!$B$3:$AG$15,31,FALSE))</f>
        <v/>
      </c>
      <c r="AE207" s="298" t="str">
        <f t="shared" si="25"/>
        <v/>
      </c>
      <c r="AF207" s="298" t="str">
        <f t="shared" si="26"/>
        <v/>
      </c>
      <c r="AG207" s="314" t="str">
        <f>IFERROR(IF(O207="","",VLOOKUP(AD207,'G-3 Multipliers'!$P$3:$Q$6,2,FALSE)),"")</f>
        <v/>
      </c>
      <c r="AH207" s="304" t="str">
        <f t="shared" si="27"/>
        <v/>
      </c>
      <c r="AI207" s="157"/>
      <c r="AJ207" s="99"/>
      <c r="AK207" s="101"/>
      <c r="AT207" s="15" t="str">
        <f>IFERROR(INDEX('G-6 Hedgerow Data'!$BJ$3:$BJ$15,MATCH(M207,'G-6 Hedgerow Data'!$B$3:$B$15,0)),"")</f>
        <v/>
      </c>
    </row>
    <row r="208" spans="2:46" ht="14" x14ac:dyDescent="0.3">
      <c r="B208" s="319" t="str">
        <f>'B-1 On-Site Hedge Baseline'!AK206</f>
        <v/>
      </c>
      <c r="C208" s="310" t="str">
        <f>IF(B208="","",IF(ISNA(VLOOKUP($B208,'B-1 On-Site Hedge Baseline'!$B$1:$L$257,3,FALSE)),"",(VLOOKUP($B208,'B-1 On-Site Hedge Baseline'!$B$1:$L$257,3,FALSE))))</f>
        <v/>
      </c>
      <c r="D208" s="310" t="str">
        <f>IF(B208="","",IF(ISNA(VLOOKUP($B208,'B-1 On-Site Hedge Baseline'!$B$1:$L$257,4,FALSE)),"",(VLOOKUP($B208,'B-1 On-Site Hedge Baseline'!$B$1:$L$257,4,FALSE))))</f>
        <v/>
      </c>
      <c r="E208" s="310" t="str">
        <f>IF(B208="","",IF(ISNA(VLOOKUP($B208,'B-1 On-Site Hedge Baseline'!$B$1:$L$257,5,FALSE)),"",(VLOOKUP($B208,'B-1 On-Site Hedge Baseline'!$B$1:$L$257,5,FALSE))))</f>
        <v/>
      </c>
      <c r="F208" s="310" t="str">
        <f>IF(B208="","",IF(ISNA(VLOOKUP($B208,'B-1 On-Site Hedge Baseline'!$B$1:$L$257,6,FALSE)),"",(VLOOKUP($B208,'B-1 On-Site Hedge Baseline'!$B$1:$L$257,6,FALSE))))</f>
        <v/>
      </c>
      <c r="G208" s="310" t="str">
        <f>IF(B208="","",IF(ISNA(VLOOKUP($B208,'B-1 On-Site Hedge Baseline'!$B$1:$L$257,7,FALSE)),"",(VLOOKUP($B208,'B-1 On-Site Hedge Baseline'!$B$1:$L$257,7,FALSE))))</f>
        <v/>
      </c>
      <c r="H208" s="310" t="str">
        <f>IF(B208="","",IF(ISNA(VLOOKUP($B208,'B-1 On-Site Hedge Baseline'!$B$1:$L$257,8,FALSE)),"",(VLOOKUP($B208,'B-1 On-Site Hedge Baseline'!$B$1:$L$257,8,FALSE))))</f>
        <v/>
      </c>
      <c r="I208" s="310" t="str">
        <f>IF(B208="","",IF(ISNA(VLOOKUP($B208,'B-1 On-Site Hedge Baseline'!$B$1:$L$257,10,FALSE)),"",(VLOOKUP($B208,'B-1 On-Site Hedge Baseline'!$B$1:$L$257,10,FALSE))))</f>
        <v/>
      </c>
      <c r="J208" s="310" t="str">
        <f>IF(B208="","",IF(ISNA(VLOOKUP($B208,'B-1 On-Site Hedge Baseline'!$B$1:$L$257,11,FALSE)),"",(VLOOKUP($B208,'B-1 On-Site Hedge Baseline'!$B$1:$L$257,11,FALSE))))</f>
        <v/>
      </c>
      <c r="K208" s="310" t="str">
        <f>IF(B208="","",IF(ISNA(VLOOKUP($B208,'B-1 On-Site Hedge Baseline'!$B$1:$U$257,13,FALSE)),"",(VLOOKUP($B208,'B-1 On-Site Hedge Baseline'!$B$1:$U$257,13,FALSE))))</f>
        <v/>
      </c>
      <c r="L208" s="314" t="str">
        <f>IF(B208="","",IF(ISNA(VLOOKUP($B208,'B-1 On-Site Hedge Baseline'!$B$1:$U$257,12,FALSE)),"",(VLOOKUP($B208,'B-1 On-Site Hedge Baseline'!$B$1:$U$257,12,FALSE))))</f>
        <v/>
      </c>
      <c r="M208" s="583"/>
      <c r="N208" s="290" t="str">
        <f>IFERROR(IF(B208="","",INDEX('G-6 Hedgerow Data'!$AN$3:$AZ$15,MATCH(C208,'G-6 Hedgerow Data'!$AM$3:$AM$15,0),MATCH(M208,'G-6 Hedgerow Data'!$AN$2:$AZ$2,0))),"")</f>
        <v/>
      </c>
      <c r="O208" s="291" t="str">
        <f t="shared" si="22"/>
        <v/>
      </c>
      <c r="P208" s="341" t="str">
        <f>IF(B208="","",VLOOKUP(B208,'B-1 On-Site Hedge Baseline'!$B$10:T453,16,FALSE))</f>
        <v/>
      </c>
      <c r="Q208" s="290" t="str">
        <f>IF(M208="","",VLOOKUP(M208,'G-6 Hedgerow Data'!$B$2:$AG$15,2,FALSE))</f>
        <v/>
      </c>
      <c r="R208" s="291" t="str">
        <f>IF(M208="","",VLOOKUP(M208,'G-6 Hedgerow Data'!$B$2:$AG$15,3,FALSE))</f>
        <v/>
      </c>
      <c r="S208" s="106"/>
      <c r="T208" s="328" t="str">
        <f>IFERROR(IF(S208="","",IF(AND(M208="Non-native and ornamental hedgerow", S208&lt;&gt;"Poor"),"Not possible ▲", (VLOOKUP(S208,'G-1 All Habitats'!$Z$2:$AA$9,2,FALSE)))),"")</f>
        <v/>
      </c>
      <c r="U208" s="103"/>
      <c r="V208" s="310" t="str">
        <f>IF(U208="","",IF(VLOOKUP(U208,'G-3 Multipliers'!$L$3:$N$6,2,FALSE)=0,"Spatial Data Missing ⚠",VLOOKUP(U208,'G-3 Multipliers'!$L$3:$N$6,2,FALSE)))</f>
        <v/>
      </c>
      <c r="W208" s="314" t="str">
        <f>IF(U208="","",IF(VLOOKUP(U208,'G-3 Multipliers'!$L$3:$N$6,3,FALSE)=0,"Spatial Data Missing ⚠",VLOOKUP(U208,'G-3 Multipliers'!$L$3:$N$6,3,FALSE)))</f>
        <v/>
      </c>
      <c r="X208" s="290" t="str">
        <f>IFERROR(IF(OR(LEFT(O208,5)="Error",LEFT(N208,5)="Error",T208="Error"),"Check Data ⚠",IF(F208&lt;R208,INDEX('G-6 Hedgerow Data'!$S$3:$AE$14,MATCH(C208,'G-6 Hedgerow Data'!$B$3:$B$14,0),MATCH(M208,'G-6 Hedgerow Data'!$S$2:$AE$2,0)),INDEX('G-6 Hedgerow Data'!$K$3:$Q$14,MATCH(M208,'G-6 Hedgerow Data'!$B$3:$B$14,0),MATCH(O208,'G-6 Hedgerow Data'!$K$2:$Q$2,0)))),"")</f>
        <v/>
      </c>
      <c r="Y208" s="138"/>
      <c r="Z208" s="138"/>
      <c r="AA208" s="298" t="str">
        <f t="shared" si="23"/>
        <v/>
      </c>
      <c r="AB208" s="311" t="str">
        <f t="shared" si="24"/>
        <v/>
      </c>
      <c r="AC208" s="312" t="str">
        <f t="shared" si="21"/>
        <v/>
      </c>
      <c r="AD208" s="325" t="str">
        <f>IF(M208="","",VLOOKUP(M208,'G-6 Hedgerow Data'!$B$3:$AG$15,31,FALSE))</f>
        <v/>
      </c>
      <c r="AE208" s="298" t="str">
        <f t="shared" si="25"/>
        <v/>
      </c>
      <c r="AF208" s="298" t="str">
        <f t="shared" si="26"/>
        <v/>
      </c>
      <c r="AG208" s="314" t="str">
        <f>IFERROR(IF(O208="","",VLOOKUP(AD208,'G-3 Multipliers'!$P$3:$Q$6,2,FALSE)),"")</f>
        <v/>
      </c>
      <c r="AH208" s="304" t="str">
        <f t="shared" si="27"/>
        <v/>
      </c>
      <c r="AI208" s="157"/>
      <c r="AJ208" s="99"/>
      <c r="AK208" s="101"/>
      <c r="AT208" s="15" t="str">
        <f>IFERROR(INDEX('G-6 Hedgerow Data'!$BJ$3:$BJ$15,MATCH(M208,'G-6 Hedgerow Data'!$B$3:$B$15,0)),"")</f>
        <v/>
      </c>
    </row>
    <row r="209" spans="2:46" ht="14" x14ac:dyDescent="0.3">
      <c r="B209" s="319" t="str">
        <f>'B-1 On-Site Hedge Baseline'!AK207</f>
        <v/>
      </c>
      <c r="C209" s="310" t="str">
        <f>IF(B209="","",IF(ISNA(VLOOKUP($B209,'B-1 On-Site Hedge Baseline'!$B$1:$L$257,3,FALSE)),"",(VLOOKUP($B209,'B-1 On-Site Hedge Baseline'!$B$1:$L$257,3,FALSE))))</f>
        <v/>
      </c>
      <c r="D209" s="310" t="str">
        <f>IF(B209="","",IF(ISNA(VLOOKUP($B209,'B-1 On-Site Hedge Baseline'!$B$1:$L$257,4,FALSE)),"",(VLOOKUP($B209,'B-1 On-Site Hedge Baseline'!$B$1:$L$257,4,FALSE))))</f>
        <v/>
      </c>
      <c r="E209" s="310" t="str">
        <f>IF(B209="","",IF(ISNA(VLOOKUP($B209,'B-1 On-Site Hedge Baseline'!$B$1:$L$257,5,FALSE)),"",(VLOOKUP($B209,'B-1 On-Site Hedge Baseline'!$B$1:$L$257,5,FALSE))))</f>
        <v/>
      </c>
      <c r="F209" s="310" t="str">
        <f>IF(B209="","",IF(ISNA(VLOOKUP($B209,'B-1 On-Site Hedge Baseline'!$B$1:$L$257,6,FALSE)),"",(VLOOKUP($B209,'B-1 On-Site Hedge Baseline'!$B$1:$L$257,6,FALSE))))</f>
        <v/>
      </c>
      <c r="G209" s="310" t="str">
        <f>IF(B209="","",IF(ISNA(VLOOKUP($B209,'B-1 On-Site Hedge Baseline'!$B$1:$L$257,7,FALSE)),"",(VLOOKUP($B209,'B-1 On-Site Hedge Baseline'!$B$1:$L$257,7,FALSE))))</f>
        <v/>
      </c>
      <c r="H209" s="310" t="str">
        <f>IF(B209="","",IF(ISNA(VLOOKUP($B209,'B-1 On-Site Hedge Baseline'!$B$1:$L$257,8,FALSE)),"",(VLOOKUP($B209,'B-1 On-Site Hedge Baseline'!$B$1:$L$257,8,FALSE))))</f>
        <v/>
      </c>
      <c r="I209" s="310" t="str">
        <f>IF(B209="","",IF(ISNA(VLOOKUP($B209,'B-1 On-Site Hedge Baseline'!$B$1:$L$257,10,FALSE)),"",(VLOOKUP($B209,'B-1 On-Site Hedge Baseline'!$B$1:$L$257,10,FALSE))))</f>
        <v/>
      </c>
      <c r="J209" s="310" t="str">
        <f>IF(B209="","",IF(ISNA(VLOOKUP($B209,'B-1 On-Site Hedge Baseline'!$B$1:$L$257,11,FALSE)),"",(VLOOKUP($B209,'B-1 On-Site Hedge Baseline'!$B$1:$L$257,11,FALSE))))</f>
        <v/>
      </c>
      <c r="K209" s="310" t="str">
        <f>IF(B209="","",IF(ISNA(VLOOKUP($B209,'B-1 On-Site Hedge Baseline'!$B$1:$U$257,13,FALSE)),"",(VLOOKUP($B209,'B-1 On-Site Hedge Baseline'!$B$1:$U$257,13,FALSE))))</f>
        <v/>
      </c>
      <c r="L209" s="314" t="str">
        <f>IF(B209="","",IF(ISNA(VLOOKUP($B209,'B-1 On-Site Hedge Baseline'!$B$1:$U$257,12,FALSE)),"",(VLOOKUP($B209,'B-1 On-Site Hedge Baseline'!$B$1:$U$257,12,FALSE))))</f>
        <v/>
      </c>
      <c r="M209" s="583"/>
      <c r="N209" s="290" t="str">
        <f>IFERROR(IF(B209="","",INDEX('G-6 Hedgerow Data'!$AN$3:$AZ$15,MATCH(C209,'G-6 Hedgerow Data'!$AM$3:$AM$15,0),MATCH(M209,'G-6 Hedgerow Data'!$AN$2:$AZ$2,0))),"")</f>
        <v/>
      </c>
      <c r="O209" s="291" t="str">
        <f t="shared" si="22"/>
        <v/>
      </c>
      <c r="P209" s="341" t="str">
        <f>IF(B209="","",VLOOKUP(B209,'B-1 On-Site Hedge Baseline'!$B$10:T454,16,FALSE))</f>
        <v/>
      </c>
      <c r="Q209" s="290" t="str">
        <f>IF(M209="","",VLOOKUP(M209,'G-6 Hedgerow Data'!$B$2:$AG$15,2,FALSE))</f>
        <v/>
      </c>
      <c r="R209" s="291" t="str">
        <f>IF(M209="","",VLOOKUP(M209,'G-6 Hedgerow Data'!$B$2:$AG$15,3,FALSE))</f>
        <v/>
      </c>
      <c r="S209" s="106"/>
      <c r="T209" s="328" t="str">
        <f>IFERROR(IF(S209="","",IF(AND(M209="Non-native and ornamental hedgerow", S209&lt;&gt;"Poor"),"Not possible ▲", (VLOOKUP(S209,'G-1 All Habitats'!$Z$2:$AA$9,2,FALSE)))),"")</f>
        <v/>
      </c>
      <c r="U209" s="103"/>
      <c r="V209" s="310" t="str">
        <f>IF(U209="","",IF(VLOOKUP(U209,'G-3 Multipliers'!$L$3:$N$6,2,FALSE)=0,"Spatial Data Missing ⚠",VLOOKUP(U209,'G-3 Multipliers'!$L$3:$N$6,2,FALSE)))</f>
        <v/>
      </c>
      <c r="W209" s="314" t="str">
        <f>IF(U209="","",IF(VLOOKUP(U209,'G-3 Multipliers'!$L$3:$N$6,3,FALSE)=0,"Spatial Data Missing ⚠",VLOOKUP(U209,'G-3 Multipliers'!$L$3:$N$6,3,FALSE)))</f>
        <v/>
      </c>
      <c r="X209" s="290" t="str">
        <f>IFERROR(IF(OR(LEFT(O209,5)="Error",LEFT(N209,5)="Error",T209="Error"),"Check Data ⚠",IF(F209&lt;R209,INDEX('G-6 Hedgerow Data'!$S$3:$AE$14,MATCH(C209,'G-6 Hedgerow Data'!$B$3:$B$14,0),MATCH(M209,'G-6 Hedgerow Data'!$S$2:$AE$2,0)),INDEX('G-6 Hedgerow Data'!$K$3:$Q$14,MATCH(M209,'G-6 Hedgerow Data'!$B$3:$B$14,0),MATCH(O209,'G-6 Hedgerow Data'!$K$2:$Q$2,0)))),"")</f>
        <v/>
      </c>
      <c r="Y209" s="138"/>
      <c r="Z209" s="138"/>
      <c r="AA209" s="298" t="str">
        <f t="shared" si="23"/>
        <v/>
      </c>
      <c r="AB209" s="311" t="str">
        <f t="shared" si="24"/>
        <v/>
      </c>
      <c r="AC209" s="312" t="str">
        <f t="shared" si="21"/>
        <v/>
      </c>
      <c r="AD209" s="325" t="str">
        <f>IF(M209="","",VLOOKUP(M209,'G-6 Hedgerow Data'!$B$3:$AG$15,31,FALSE))</f>
        <v/>
      </c>
      <c r="AE209" s="298" t="str">
        <f t="shared" si="25"/>
        <v/>
      </c>
      <c r="AF209" s="298" t="str">
        <f t="shared" si="26"/>
        <v/>
      </c>
      <c r="AG209" s="314" t="str">
        <f>IFERROR(IF(O209="","",VLOOKUP(AD209,'G-3 Multipliers'!$P$3:$Q$6,2,FALSE)),"")</f>
        <v/>
      </c>
      <c r="AH209" s="304" t="str">
        <f t="shared" si="27"/>
        <v/>
      </c>
      <c r="AI209" s="157"/>
      <c r="AJ209" s="99"/>
      <c r="AK209" s="101"/>
      <c r="AT209" s="15" t="str">
        <f>IFERROR(INDEX('G-6 Hedgerow Data'!$BJ$3:$BJ$15,MATCH(M209,'G-6 Hedgerow Data'!$B$3:$B$15,0)),"")</f>
        <v/>
      </c>
    </row>
    <row r="210" spans="2:46" ht="14" x14ac:dyDescent="0.3">
      <c r="B210" s="319" t="str">
        <f>'B-1 On-Site Hedge Baseline'!AK208</f>
        <v/>
      </c>
      <c r="C210" s="310" t="str">
        <f>IF(B210="","",IF(ISNA(VLOOKUP($B210,'B-1 On-Site Hedge Baseline'!$B$1:$L$257,3,FALSE)),"",(VLOOKUP($B210,'B-1 On-Site Hedge Baseline'!$B$1:$L$257,3,FALSE))))</f>
        <v/>
      </c>
      <c r="D210" s="310" t="str">
        <f>IF(B210="","",IF(ISNA(VLOOKUP($B210,'B-1 On-Site Hedge Baseline'!$B$1:$L$257,4,FALSE)),"",(VLOOKUP($B210,'B-1 On-Site Hedge Baseline'!$B$1:$L$257,4,FALSE))))</f>
        <v/>
      </c>
      <c r="E210" s="310" t="str">
        <f>IF(B210="","",IF(ISNA(VLOOKUP($B210,'B-1 On-Site Hedge Baseline'!$B$1:$L$257,5,FALSE)),"",(VLOOKUP($B210,'B-1 On-Site Hedge Baseline'!$B$1:$L$257,5,FALSE))))</f>
        <v/>
      </c>
      <c r="F210" s="310" t="str">
        <f>IF(B210="","",IF(ISNA(VLOOKUP($B210,'B-1 On-Site Hedge Baseline'!$B$1:$L$257,6,FALSE)),"",(VLOOKUP($B210,'B-1 On-Site Hedge Baseline'!$B$1:$L$257,6,FALSE))))</f>
        <v/>
      </c>
      <c r="G210" s="310" t="str">
        <f>IF(B210="","",IF(ISNA(VLOOKUP($B210,'B-1 On-Site Hedge Baseline'!$B$1:$L$257,7,FALSE)),"",(VLOOKUP($B210,'B-1 On-Site Hedge Baseline'!$B$1:$L$257,7,FALSE))))</f>
        <v/>
      </c>
      <c r="H210" s="310" t="str">
        <f>IF(B210="","",IF(ISNA(VLOOKUP($B210,'B-1 On-Site Hedge Baseline'!$B$1:$L$257,8,FALSE)),"",(VLOOKUP($B210,'B-1 On-Site Hedge Baseline'!$B$1:$L$257,8,FALSE))))</f>
        <v/>
      </c>
      <c r="I210" s="310" t="str">
        <f>IF(B210="","",IF(ISNA(VLOOKUP($B210,'B-1 On-Site Hedge Baseline'!$B$1:$L$257,10,FALSE)),"",(VLOOKUP($B210,'B-1 On-Site Hedge Baseline'!$B$1:$L$257,10,FALSE))))</f>
        <v/>
      </c>
      <c r="J210" s="310" t="str">
        <f>IF(B210="","",IF(ISNA(VLOOKUP($B210,'B-1 On-Site Hedge Baseline'!$B$1:$L$257,11,FALSE)),"",(VLOOKUP($B210,'B-1 On-Site Hedge Baseline'!$B$1:$L$257,11,FALSE))))</f>
        <v/>
      </c>
      <c r="K210" s="310" t="str">
        <f>IF(B210="","",IF(ISNA(VLOOKUP($B210,'B-1 On-Site Hedge Baseline'!$B$1:$U$257,13,FALSE)),"",(VLOOKUP($B210,'B-1 On-Site Hedge Baseline'!$B$1:$U$257,13,FALSE))))</f>
        <v/>
      </c>
      <c r="L210" s="314" t="str">
        <f>IF(B210="","",IF(ISNA(VLOOKUP($B210,'B-1 On-Site Hedge Baseline'!$B$1:$U$257,12,FALSE)),"",(VLOOKUP($B210,'B-1 On-Site Hedge Baseline'!$B$1:$U$257,12,FALSE))))</f>
        <v/>
      </c>
      <c r="M210" s="583"/>
      <c r="N210" s="290" t="str">
        <f>IFERROR(IF(B210="","",INDEX('G-6 Hedgerow Data'!$AN$3:$AZ$15,MATCH(C210,'G-6 Hedgerow Data'!$AM$3:$AM$15,0),MATCH(M210,'G-6 Hedgerow Data'!$AN$2:$AZ$2,0))),"")</f>
        <v/>
      </c>
      <c r="O210" s="291" t="str">
        <f t="shared" si="22"/>
        <v/>
      </c>
      <c r="P210" s="341" t="str">
        <f>IF(B210="","",VLOOKUP(B210,'B-1 On-Site Hedge Baseline'!$B$10:T455,16,FALSE))</f>
        <v/>
      </c>
      <c r="Q210" s="290" t="str">
        <f>IF(M210="","",VLOOKUP(M210,'G-6 Hedgerow Data'!$B$2:$AG$15,2,FALSE))</f>
        <v/>
      </c>
      <c r="R210" s="291" t="str">
        <f>IF(M210="","",VLOOKUP(M210,'G-6 Hedgerow Data'!$B$2:$AG$15,3,FALSE))</f>
        <v/>
      </c>
      <c r="S210" s="106"/>
      <c r="T210" s="328" t="str">
        <f>IFERROR(IF(S210="","",IF(AND(M210="Non-native and ornamental hedgerow", S210&lt;&gt;"Poor"),"Not possible ▲", (VLOOKUP(S210,'G-1 All Habitats'!$Z$2:$AA$9,2,FALSE)))),"")</f>
        <v/>
      </c>
      <c r="U210" s="103"/>
      <c r="V210" s="310" t="str">
        <f>IF(U210="","",IF(VLOOKUP(U210,'G-3 Multipliers'!$L$3:$N$6,2,FALSE)=0,"Spatial Data Missing ⚠",VLOOKUP(U210,'G-3 Multipliers'!$L$3:$N$6,2,FALSE)))</f>
        <v/>
      </c>
      <c r="W210" s="314" t="str">
        <f>IF(U210="","",IF(VLOOKUP(U210,'G-3 Multipliers'!$L$3:$N$6,3,FALSE)=0,"Spatial Data Missing ⚠",VLOOKUP(U210,'G-3 Multipliers'!$L$3:$N$6,3,FALSE)))</f>
        <v/>
      </c>
      <c r="X210" s="290" t="str">
        <f>IFERROR(IF(OR(LEFT(O210,5)="Error",LEFT(N210,5)="Error",T210="Error"),"Check Data ⚠",IF(F210&lt;R210,INDEX('G-6 Hedgerow Data'!$S$3:$AE$14,MATCH(C210,'G-6 Hedgerow Data'!$B$3:$B$14,0),MATCH(M210,'G-6 Hedgerow Data'!$S$2:$AE$2,0)),INDEX('G-6 Hedgerow Data'!$K$3:$Q$14,MATCH(M210,'G-6 Hedgerow Data'!$B$3:$B$14,0),MATCH(O210,'G-6 Hedgerow Data'!$K$2:$Q$2,0)))),"")</f>
        <v/>
      </c>
      <c r="Y210" s="138"/>
      <c r="Z210" s="138"/>
      <c r="AA210" s="298" t="str">
        <f t="shared" si="23"/>
        <v/>
      </c>
      <c r="AB210" s="311" t="str">
        <f t="shared" si="24"/>
        <v/>
      </c>
      <c r="AC210" s="312" t="str">
        <f t="shared" si="21"/>
        <v/>
      </c>
      <c r="AD210" s="325" t="str">
        <f>IF(M210="","",VLOOKUP(M210,'G-6 Hedgerow Data'!$B$3:$AG$15,31,FALSE))</f>
        <v/>
      </c>
      <c r="AE210" s="298" t="str">
        <f t="shared" si="25"/>
        <v/>
      </c>
      <c r="AF210" s="298" t="str">
        <f t="shared" si="26"/>
        <v/>
      </c>
      <c r="AG210" s="314" t="str">
        <f>IFERROR(IF(O210="","",VLOOKUP(AD210,'G-3 Multipliers'!$P$3:$Q$6,2,FALSE)),"")</f>
        <v/>
      </c>
      <c r="AH210" s="304" t="str">
        <f t="shared" si="27"/>
        <v/>
      </c>
      <c r="AI210" s="157"/>
      <c r="AJ210" s="99"/>
      <c r="AK210" s="101"/>
      <c r="AT210" s="15" t="str">
        <f>IFERROR(INDEX('G-6 Hedgerow Data'!$BJ$3:$BJ$15,MATCH(M210,'G-6 Hedgerow Data'!$B$3:$B$15,0)),"")</f>
        <v/>
      </c>
    </row>
    <row r="211" spans="2:46" ht="14" x14ac:dyDescent="0.3">
      <c r="B211" s="319" t="str">
        <f>'B-1 On-Site Hedge Baseline'!AK209</f>
        <v/>
      </c>
      <c r="C211" s="310" t="str">
        <f>IF(B211="","",IF(ISNA(VLOOKUP($B211,'B-1 On-Site Hedge Baseline'!$B$1:$L$257,3,FALSE)),"",(VLOOKUP($B211,'B-1 On-Site Hedge Baseline'!$B$1:$L$257,3,FALSE))))</f>
        <v/>
      </c>
      <c r="D211" s="310" t="str">
        <f>IF(B211="","",IF(ISNA(VLOOKUP($B211,'B-1 On-Site Hedge Baseline'!$B$1:$L$257,4,FALSE)),"",(VLOOKUP($B211,'B-1 On-Site Hedge Baseline'!$B$1:$L$257,4,FALSE))))</f>
        <v/>
      </c>
      <c r="E211" s="310" t="str">
        <f>IF(B211="","",IF(ISNA(VLOOKUP($B211,'B-1 On-Site Hedge Baseline'!$B$1:$L$257,5,FALSE)),"",(VLOOKUP($B211,'B-1 On-Site Hedge Baseline'!$B$1:$L$257,5,FALSE))))</f>
        <v/>
      </c>
      <c r="F211" s="310" t="str">
        <f>IF(B211="","",IF(ISNA(VLOOKUP($B211,'B-1 On-Site Hedge Baseline'!$B$1:$L$257,6,FALSE)),"",(VLOOKUP($B211,'B-1 On-Site Hedge Baseline'!$B$1:$L$257,6,FALSE))))</f>
        <v/>
      </c>
      <c r="G211" s="310" t="str">
        <f>IF(B211="","",IF(ISNA(VLOOKUP($B211,'B-1 On-Site Hedge Baseline'!$B$1:$L$257,7,FALSE)),"",(VLOOKUP($B211,'B-1 On-Site Hedge Baseline'!$B$1:$L$257,7,FALSE))))</f>
        <v/>
      </c>
      <c r="H211" s="310" t="str">
        <f>IF(B211="","",IF(ISNA(VLOOKUP($B211,'B-1 On-Site Hedge Baseline'!$B$1:$L$257,8,FALSE)),"",(VLOOKUP($B211,'B-1 On-Site Hedge Baseline'!$B$1:$L$257,8,FALSE))))</f>
        <v/>
      </c>
      <c r="I211" s="310" t="str">
        <f>IF(B211="","",IF(ISNA(VLOOKUP($B211,'B-1 On-Site Hedge Baseline'!$B$1:$L$257,10,FALSE)),"",(VLOOKUP($B211,'B-1 On-Site Hedge Baseline'!$B$1:$L$257,10,FALSE))))</f>
        <v/>
      </c>
      <c r="J211" s="310" t="str">
        <f>IF(B211="","",IF(ISNA(VLOOKUP($B211,'B-1 On-Site Hedge Baseline'!$B$1:$L$257,11,FALSE)),"",(VLOOKUP($B211,'B-1 On-Site Hedge Baseline'!$B$1:$L$257,11,FALSE))))</f>
        <v/>
      </c>
      <c r="K211" s="310" t="str">
        <f>IF(B211="","",IF(ISNA(VLOOKUP($B211,'B-1 On-Site Hedge Baseline'!$B$1:$U$257,13,FALSE)),"",(VLOOKUP($B211,'B-1 On-Site Hedge Baseline'!$B$1:$U$257,13,FALSE))))</f>
        <v/>
      </c>
      <c r="L211" s="314" t="str">
        <f>IF(B211="","",IF(ISNA(VLOOKUP($B211,'B-1 On-Site Hedge Baseline'!$B$1:$U$257,12,FALSE)),"",(VLOOKUP($B211,'B-1 On-Site Hedge Baseline'!$B$1:$U$257,12,FALSE))))</f>
        <v/>
      </c>
      <c r="M211" s="583"/>
      <c r="N211" s="290" t="str">
        <f>IFERROR(IF(B211="","",INDEX('G-6 Hedgerow Data'!$AN$3:$AZ$15,MATCH(C211,'G-6 Hedgerow Data'!$AM$3:$AM$15,0),MATCH(M211,'G-6 Hedgerow Data'!$AN$2:$AZ$2,0))),"")</f>
        <v/>
      </c>
      <c r="O211" s="291" t="str">
        <f t="shared" si="22"/>
        <v/>
      </c>
      <c r="P211" s="341" t="str">
        <f>IF(B211="","",VLOOKUP(B211,'B-1 On-Site Hedge Baseline'!$B$10:T456,16,FALSE))</f>
        <v/>
      </c>
      <c r="Q211" s="290" t="str">
        <f>IF(M211="","",VLOOKUP(M211,'G-6 Hedgerow Data'!$B$2:$AG$15,2,FALSE))</f>
        <v/>
      </c>
      <c r="R211" s="291" t="str">
        <f>IF(M211="","",VLOOKUP(M211,'G-6 Hedgerow Data'!$B$2:$AG$15,3,FALSE))</f>
        <v/>
      </c>
      <c r="S211" s="106"/>
      <c r="T211" s="328" t="str">
        <f>IFERROR(IF(S211="","",IF(AND(M211="Non-native and ornamental hedgerow", S211&lt;&gt;"Poor"),"Not possible ▲", (VLOOKUP(S211,'G-1 All Habitats'!$Z$2:$AA$9,2,FALSE)))),"")</f>
        <v/>
      </c>
      <c r="U211" s="103"/>
      <c r="V211" s="310" t="str">
        <f>IF(U211="","",IF(VLOOKUP(U211,'G-3 Multipliers'!$L$3:$N$6,2,FALSE)=0,"Spatial Data Missing ⚠",VLOOKUP(U211,'G-3 Multipliers'!$L$3:$N$6,2,FALSE)))</f>
        <v/>
      </c>
      <c r="W211" s="314" t="str">
        <f>IF(U211="","",IF(VLOOKUP(U211,'G-3 Multipliers'!$L$3:$N$6,3,FALSE)=0,"Spatial Data Missing ⚠",VLOOKUP(U211,'G-3 Multipliers'!$L$3:$N$6,3,FALSE)))</f>
        <v/>
      </c>
      <c r="X211" s="290" t="str">
        <f>IFERROR(IF(OR(LEFT(O211,5)="Error",LEFT(N211,5)="Error",T211="Error"),"Check Data ⚠",IF(F211&lt;R211,INDEX('G-6 Hedgerow Data'!$S$3:$AE$14,MATCH(C211,'G-6 Hedgerow Data'!$B$3:$B$14,0),MATCH(M211,'G-6 Hedgerow Data'!$S$2:$AE$2,0)),INDEX('G-6 Hedgerow Data'!$K$3:$Q$14,MATCH(M211,'G-6 Hedgerow Data'!$B$3:$B$14,0),MATCH(O211,'G-6 Hedgerow Data'!$K$2:$Q$2,0)))),"")</f>
        <v/>
      </c>
      <c r="Y211" s="138"/>
      <c r="Z211" s="138"/>
      <c r="AA211" s="298" t="str">
        <f t="shared" si="23"/>
        <v/>
      </c>
      <c r="AB211" s="311" t="str">
        <f t="shared" si="24"/>
        <v/>
      </c>
      <c r="AC211" s="312" t="str">
        <f t="shared" si="21"/>
        <v/>
      </c>
      <c r="AD211" s="325" t="str">
        <f>IF(M211="","",VLOOKUP(M211,'G-6 Hedgerow Data'!$B$3:$AG$15,31,FALSE))</f>
        <v/>
      </c>
      <c r="AE211" s="298" t="str">
        <f t="shared" si="25"/>
        <v/>
      </c>
      <c r="AF211" s="298" t="str">
        <f t="shared" si="26"/>
        <v/>
      </c>
      <c r="AG211" s="314" t="str">
        <f>IFERROR(IF(O211="","",VLOOKUP(AD211,'G-3 Multipliers'!$P$3:$Q$6,2,FALSE)),"")</f>
        <v/>
      </c>
      <c r="AH211" s="304" t="str">
        <f t="shared" si="27"/>
        <v/>
      </c>
      <c r="AI211" s="157"/>
      <c r="AJ211" s="99"/>
      <c r="AK211" s="101"/>
      <c r="AT211" s="15" t="str">
        <f>IFERROR(INDEX('G-6 Hedgerow Data'!$BJ$3:$BJ$15,MATCH(M211,'G-6 Hedgerow Data'!$B$3:$B$15,0)),"")</f>
        <v/>
      </c>
    </row>
    <row r="212" spans="2:46" ht="14" x14ac:dyDescent="0.3">
      <c r="B212" s="319" t="str">
        <f>'B-1 On-Site Hedge Baseline'!AK210</f>
        <v/>
      </c>
      <c r="C212" s="310" t="str">
        <f>IF(B212="","",IF(ISNA(VLOOKUP($B212,'B-1 On-Site Hedge Baseline'!$B$1:$L$257,3,FALSE)),"",(VLOOKUP($B212,'B-1 On-Site Hedge Baseline'!$B$1:$L$257,3,FALSE))))</f>
        <v/>
      </c>
      <c r="D212" s="310" t="str">
        <f>IF(B212="","",IF(ISNA(VLOOKUP($B212,'B-1 On-Site Hedge Baseline'!$B$1:$L$257,4,FALSE)),"",(VLOOKUP($B212,'B-1 On-Site Hedge Baseline'!$B$1:$L$257,4,FALSE))))</f>
        <v/>
      </c>
      <c r="E212" s="310" t="str">
        <f>IF(B212="","",IF(ISNA(VLOOKUP($B212,'B-1 On-Site Hedge Baseline'!$B$1:$L$257,5,FALSE)),"",(VLOOKUP($B212,'B-1 On-Site Hedge Baseline'!$B$1:$L$257,5,FALSE))))</f>
        <v/>
      </c>
      <c r="F212" s="310" t="str">
        <f>IF(B212="","",IF(ISNA(VLOOKUP($B212,'B-1 On-Site Hedge Baseline'!$B$1:$L$257,6,FALSE)),"",(VLOOKUP($B212,'B-1 On-Site Hedge Baseline'!$B$1:$L$257,6,FALSE))))</f>
        <v/>
      </c>
      <c r="G212" s="310" t="str">
        <f>IF(B212="","",IF(ISNA(VLOOKUP($B212,'B-1 On-Site Hedge Baseline'!$B$1:$L$257,7,FALSE)),"",(VLOOKUP($B212,'B-1 On-Site Hedge Baseline'!$B$1:$L$257,7,FALSE))))</f>
        <v/>
      </c>
      <c r="H212" s="310" t="str">
        <f>IF(B212="","",IF(ISNA(VLOOKUP($B212,'B-1 On-Site Hedge Baseline'!$B$1:$L$257,8,FALSE)),"",(VLOOKUP($B212,'B-1 On-Site Hedge Baseline'!$B$1:$L$257,8,FALSE))))</f>
        <v/>
      </c>
      <c r="I212" s="310" t="str">
        <f>IF(B212="","",IF(ISNA(VLOOKUP($B212,'B-1 On-Site Hedge Baseline'!$B$1:$L$257,10,FALSE)),"",(VLOOKUP($B212,'B-1 On-Site Hedge Baseline'!$B$1:$L$257,10,FALSE))))</f>
        <v/>
      </c>
      <c r="J212" s="310" t="str">
        <f>IF(B212="","",IF(ISNA(VLOOKUP($B212,'B-1 On-Site Hedge Baseline'!$B$1:$L$257,11,FALSE)),"",(VLOOKUP($B212,'B-1 On-Site Hedge Baseline'!$B$1:$L$257,11,FALSE))))</f>
        <v/>
      </c>
      <c r="K212" s="310" t="str">
        <f>IF(B212="","",IF(ISNA(VLOOKUP($B212,'B-1 On-Site Hedge Baseline'!$B$1:$U$257,13,FALSE)),"",(VLOOKUP($B212,'B-1 On-Site Hedge Baseline'!$B$1:$U$257,13,FALSE))))</f>
        <v/>
      </c>
      <c r="L212" s="314" t="str">
        <f>IF(B212="","",IF(ISNA(VLOOKUP($B212,'B-1 On-Site Hedge Baseline'!$B$1:$U$257,12,FALSE)),"",(VLOOKUP($B212,'B-1 On-Site Hedge Baseline'!$B$1:$U$257,12,FALSE))))</f>
        <v/>
      </c>
      <c r="M212" s="583"/>
      <c r="N212" s="290" t="str">
        <f>IFERROR(IF(B212="","",INDEX('G-6 Hedgerow Data'!$AN$3:$AZ$15,MATCH(C212,'G-6 Hedgerow Data'!$AM$3:$AM$15,0),MATCH(M212,'G-6 Hedgerow Data'!$AN$2:$AZ$2,0))),"")</f>
        <v/>
      </c>
      <c r="O212" s="291" t="str">
        <f t="shared" si="22"/>
        <v/>
      </c>
      <c r="P212" s="341" t="str">
        <f>IF(B212="","",VLOOKUP(B212,'B-1 On-Site Hedge Baseline'!$B$10:T457,16,FALSE))</f>
        <v/>
      </c>
      <c r="Q212" s="290" t="str">
        <f>IF(M212="","",VLOOKUP(M212,'G-6 Hedgerow Data'!$B$2:$AG$15,2,FALSE))</f>
        <v/>
      </c>
      <c r="R212" s="291" t="str">
        <f>IF(M212="","",VLOOKUP(M212,'G-6 Hedgerow Data'!$B$2:$AG$15,3,FALSE))</f>
        <v/>
      </c>
      <c r="S212" s="106"/>
      <c r="T212" s="328" t="str">
        <f>IFERROR(IF(S212="","",IF(AND(M212="Non-native and ornamental hedgerow", S212&lt;&gt;"Poor"),"Not possible ▲", (VLOOKUP(S212,'G-1 All Habitats'!$Z$2:$AA$9,2,FALSE)))),"")</f>
        <v/>
      </c>
      <c r="U212" s="103"/>
      <c r="V212" s="310" t="str">
        <f>IF(U212="","",IF(VLOOKUP(U212,'G-3 Multipliers'!$L$3:$N$6,2,FALSE)=0,"Spatial Data Missing ⚠",VLOOKUP(U212,'G-3 Multipliers'!$L$3:$N$6,2,FALSE)))</f>
        <v/>
      </c>
      <c r="W212" s="314" t="str">
        <f>IF(U212="","",IF(VLOOKUP(U212,'G-3 Multipliers'!$L$3:$N$6,3,FALSE)=0,"Spatial Data Missing ⚠",VLOOKUP(U212,'G-3 Multipliers'!$L$3:$N$6,3,FALSE)))</f>
        <v/>
      </c>
      <c r="X212" s="290" t="str">
        <f>IFERROR(IF(OR(LEFT(O212,5)="Error",LEFT(N212,5)="Error",T212="Error"),"Check Data ⚠",IF(F212&lt;R212,INDEX('G-6 Hedgerow Data'!$S$3:$AE$14,MATCH(C212,'G-6 Hedgerow Data'!$B$3:$B$14,0),MATCH(M212,'G-6 Hedgerow Data'!$S$2:$AE$2,0)),INDEX('G-6 Hedgerow Data'!$K$3:$Q$14,MATCH(M212,'G-6 Hedgerow Data'!$B$3:$B$14,0),MATCH(O212,'G-6 Hedgerow Data'!$K$2:$Q$2,0)))),"")</f>
        <v/>
      </c>
      <c r="Y212" s="138"/>
      <c r="Z212" s="138"/>
      <c r="AA212" s="298" t="str">
        <f t="shared" si="23"/>
        <v/>
      </c>
      <c r="AB212" s="311" t="str">
        <f t="shared" si="24"/>
        <v/>
      </c>
      <c r="AC212" s="312" t="str">
        <f t="shared" si="21"/>
        <v/>
      </c>
      <c r="AD212" s="325" t="str">
        <f>IF(M212="","",VLOOKUP(M212,'G-6 Hedgerow Data'!$B$3:$AG$15,31,FALSE))</f>
        <v/>
      </c>
      <c r="AE212" s="298" t="str">
        <f t="shared" si="25"/>
        <v/>
      </c>
      <c r="AF212" s="298" t="str">
        <f t="shared" si="26"/>
        <v/>
      </c>
      <c r="AG212" s="314" t="str">
        <f>IFERROR(IF(O212="","",VLOOKUP(AD212,'G-3 Multipliers'!$P$3:$Q$6,2,FALSE)),"")</f>
        <v/>
      </c>
      <c r="AH212" s="304" t="str">
        <f t="shared" si="27"/>
        <v/>
      </c>
      <c r="AI212" s="157"/>
      <c r="AJ212" s="99"/>
      <c r="AK212" s="101"/>
      <c r="AT212" s="15" t="str">
        <f>IFERROR(INDEX('G-6 Hedgerow Data'!$BJ$3:$BJ$15,MATCH(M212,'G-6 Hedgerow Data'!$B$3:$B$15,0)),"")</f>
        <v/>
      </c>
    </row>
    <row r="213" spans="2:46" ht="14" x14ac:dyDescent="0.3">
      <c r="B213" s="319" t="str">
        <f>'B-1 On-Site Hedge Baseline'!AK211</f>
        <v/>
      </c>
      <c r="C213" s="310" t="str">
        <f>IF(B213="","",IF(ISNA(VLOOKUP($B213,'B-1 On-Site Hedge Baseline'!$B$1:$L$257,3,FALSE)),"",(VLOOKUP($B213,'B-1 On-Site Hedge Baseline'!$B$1:$L$257,3,FALSE))))</f>
        <v/>
      </c>
      <c r="D213" s="310" t="str">
        <f>IF(B213="","",IF(ISNA(VLOOKUP($B213,'B-1 On-Site Hedge Baseline'!$B$1:$L$257,4,FALSE)),"",(VLOOKUP($B213,'B-1 On-Site Hedge Baseline'!$B$1:$L$257,4,FALSE))))</f>
        <v/>
      </c>
      <c r="E213" s="310" t="str">
        <f>IF(B213="","",IF(ISNA(VLOOKUP($B213,'B-1 On-Site Hedge Baseline'!$B$1:$L$257,5,FALSE)),"",(VLOOKUP($B213,'B-1 On-Site Hedge Baseline'!$B$1:$L$257,5,FALSE))))</f>
        <v/>
      </c>
      <c r="F213" s="310" t="str">
        <f>IF(B213="","",IF(ISNA(VLOOKUP($B213,'B-1 On-Site Hedge Baseline'!$B$1:$L$257,6,FALSE)),"",(VLOOKUP($B213,'B-1 On-Site Hedge Baseline'!$B$1:$L$257,6,FALSE))))</f>
        <v/>
      </c>
      <c r="G213" s="310" t="str">
        <f>IF(B213="","",IF(ISNA(VLOOKUP($B213,'B-1 On-Site Hedge Baseline'!$B$1:$L$257,7,FALSE)),"",(VLOOKUP($B213,'B-1 On-Site Hedge Baseline'!$B$1:$L$257,7,FALSE))))</f>
        <v/>
      </c>
      <c r="H213" s="310" t="str">
        <f>IF(B213="","",IF(ISNA(VLOOKUP($B213,'B-1 On-Site Hedge Baseline'!$B$1:$L$257,8,FALSE)),"",(VLOOKUP($B213,'B-1 On-Site Hedge Baseline'!$B$1:$L$257,8,FALSE))))</f>
        <v/>
      </c>
      <c r="I213" s="310" t="str">
        <f>IF(B213="","",IF(ISNA(VLOOKUP($B213,'B-1 On-Site Hedge Baseline'!$B$1:$L$257,10,FALSE)),"",(VLOOKUP($B213,'B-1 On-Site Hedge Baseline'!$B$1:$L$257,10,FALSE))))</f>
        <v/>
      </c>
      <c r="J213" s="310" t="str">
        <f>IF(B213="","",IF(ISNA(VLOOKUP($B213,'B-1 On-Site Hedge Baseline'!$B$1:$L$257,11,FALSE)),"",(VLOOKUP($B213,'B-1 On-Site Hedge Baseline'!$B$1:$L$257,11,FALSE))))</f>
        <v/>
      </c>
      <c r="K213" s="310" t="str">
        <f>IF(B213="","",IF(ISNA(VLOOKUP($B213,'B-1 On-Site Hedge Baseline'!$B$1:$U$257,13,FALSE)),"",(VLOOKUP($B213,'B-1 On-Site Hedge Baseline'!$B$1:$U$257,13,FALSE))))</f>
        <v/>
      </c>
      <c r="L213" s="314" t="str">
        <f>IF(B213="","",IF(ISNA(VLOOKUP($B213,'B-1 On-Site Hedge Baseline'!$B$1:$U$257,12,FALSE)),"",(VLOOKUP($B213,'B-1 On-Site Hedge Baseline'!$B$1:$U$257,12,FALSE))))</f>
        <v/>
      </c>
      <c r="M213" s="583"/>
      <c r="N213" s="290" t="str">
        <f>IFERROR(IF(B213="","",INDEX('G-6 Hedgerow Data'!$AN$3:$AZ$15,MATCH(C213,'G-6 Hedgerow Data'!$AM$3:$AM$15,0),MATCH(M213,'G-6 Hedgerow Data'!$AN$2:$AZ$2,0))),"")</f>
        <v/>
      </c>
      <c r="O213" s="291" t="str">
        <f t="shared" si="22"/>
        <v/>
      </c>
      <c r="P213" s="341" t="str">
        <f>IF(B213="","",VLOOKUP(B213,'B-1 On-Site Hedge Baseline'!$B$10:T458,16,FALSE))</f>
        <v/>
      </c>
      <c r="Q213" s="290" t="str">
        <f>IF(M213="","",VLOOKUP(M213,'G-6 Hedgerow Data'!$B$2:$AG$15,2,FALSE))</f>
        <v/>
      </c>
      <c r="R213" s="291" t="str">
        <f>IF(M213="","",VLOOKUP(M213,'G-6 Hedgerow Data'!$B$2:$AG$15,3,FALSE))</f>
        <v/>
      </c>
      <c r="S213" s="106"/>
      <c r="T213" s="328" t="str">
        <f>IFERROR(IF(S213="","",IF(AND(M213="Non-native and ornamental hedgerow", S213&lt;&gt;"Poor"),"Not possible ▲", (VLOOKUP(S213,'G-1 All Habitats'!$Z$2:$AA$9,2,FALSE)))),"")</f>
        <v/>
      </c>
      <c r="U213" s="103"/>
      <c r="V213" s="310" t="str">
        <f>IF(U213="","",IF(VLOOKUP(U213,'G-3 Multipliers'!$L$3:$N$6,2,FALSE)=0,"Spatial Data Missing ⚠",VLOOKUP(U213,'G-3 Multipliers'!$L$3:$N$6,2,FALSE)))</f>
        <v/>
      </c>
      <c r="W213" s="314" t="str">
        <f>IF(U213="","",IF(VLOOKUP(U213,'G-3 Multipliers'!$L$3:$N$6,3,FALSE)=0,"Spatial Data Missing ⚠",VLOOKUP(U213,'G-3 Multipliers'!$L$3:$N$6,3,FALSE)))</f>
        <v/>
      </c>
      <c r="X213" s="290" t="str">
        <f>IFERROR(IF(OR(LEFT(O213,5)="Error",LEFT(N213,5)="Error",T213="Error"),"Check Data ⚠",IF(F213&lt;R213,INDEX('G-6 Hedgerow Data'!$S$3:$AE$14,MATCH(C213,'G-6 Hedgerow Data'!$B$3:$B$14,0),MATCH(M213,'G-6 Hedgerow Data'!$S$2:$AE$2,0)),INDEX('G-6 Hedgerow Data'!$K$3:$Q$14,MATCH(M213,'G-6 Hedgerow Data'!$B$3:$B$14,0),MATCH(O213,'G-6 Hedgerow Data'!$K$2:$Q$2,0)))),"")</f>
        <v/>
      </c>
      <c r="Y213" s="138"/>
      <c r="Z213" s="138"/>
      <c r="AA213" s="298" t="str">
        <f t="shared" si="23"/>
        <v/>
      </c>
      <c r="AB213" s="311" t="str">
        <f t="shared" si="24"/>
        <v/>
      </c>
      <c r="AC213" s="312" t="str">
        <f t="shared" si="21"/>
        <v/>
      </c>
      <c r="AD213" s="325" t="str">
        <f>IF(M213="","",VLOOKUP(M213,'G-6 Hedgerow Data'!$B$3:$AG$15,31,FALSE))</f>
        <v/>
      </c>
      <c r="AE213" s="298" t="str">
        <f t="shared" si="25"/>
        <v/>
      </c>
      <c r="AF213" s="298" t="str">
        <f t="shared" si="26"/>
        <v/>
      </c>
      <c r="AG213" s="314" t="str">
        <f>IFERROR(IF(O213="","",VLOOKUP(AD213,'G-3 Multipliers'!$P$3:$Q$6,2,FALSE)),"")</f>
        <v/>
      </c>
      <c r="AH213" s="304" t="str">
        <f t="shared" si="27"/>
        <v/>
      </c>
      <c r="AI213" s="157"/>
      <c r="AJ213" s="99"/>
      <c r="AK213" s="101"/>
      <c r="AT213" s="15" t="str">
        <f>IFERROR(INDEX('G-6 Hedgerow Data'!$BJ$3:$BJ$15,MATCH(M213,'G-6 Hedgerow Data'!$B$3:$B$15,0)),"")</f>
        <v/>
      </c>
    </row>
    <row r="214" spans="2:46" ht="14" x14ac:dyDescent="0.3">
      <c r="B214" s="319" t="str">
        <f>'B-1 On-Site Hedge Baseline'!AK212</f>
        <v/>
      </c>
      <c r="C214" s="310" t="str">
        <f>IF(B214="","",IF(ISNA(VLOOKUP($B214,'B-1 On-Site Hedge Baseline'!$B$1:$L$257,3,FALSE)),"",(VLOOKUP($B214,'B-1 On-Site Hedge Baseline'!$B$1:$L$257,3,FALSE))))</f>
        <v/>
      </c>
      <c r="D214" s="310" t="str">
        <f>IF(B214="","",IF(ISNA(VLOOKUP($B214,'B-1 On-Site Hedge Baseline'!$B$1:$L$257,4,FALSE)),"",(VLOOKUP($B214,'B-1 On-Site Hedge Baseline'!$B$1:$L$257,4,FALSE))))</f>
        <v/>
      </c>
      <c r="E214" s="310" t="str">
        <f>IF(B214="","",IF(ISNA(VLOOKUP($B214,'B-1 On-Site Hedge Baseline'!$B$1:$L$257,5,FALSE)),"",(VLOOKUP($B214,'B-1 On-Site Hedge Baseline'!$B$1:$L$257,5,FALSE))))</f>
        <v/>
      </c>
      <c r="F214" s="310" t="str">
        <f>IF(B214="","",IF(ISNA(VLOOKUP($B214,'B-1 On-Site Hedge Baseline'!$B$1:$L$257,6,FALSE)),"",(VLOOKUP($B214,'B-1 On-Site Hedge Baseline'!$B$1:$L$257,6,FALSE))))</f>
        <v/>
      </c>
      <c r="G214" s="310" t="str">
        <f>IF(B214="","",IF(ISNA(VLOOKUP($B214,'B-1 On-Site Hedge Baseline'!$B$1:$L$257,7,FALSE)),"",(VLOOKUP($B214,'B-1 On-Site Hedge Baseline'!$B$1:$L$257,7,FALSE))))</f>
        <v/>
      </c>
      <c r="H214" s="310" t="str">
        <f>IF(B214="","",IF(ISNA(VLOOKUP($B214,'B-1 On-Site Hedge Baseline'!$B$1:$L$257,8,FALSE)),"",(VLOOKUP($B214,'B-1 On-Site Hedge Baseline'!$B$1:$L$257,8,FALSE))))</f>
        <v/>
      </c>
      <c r="I214" s="310" t="str">
        <f>IF(B214="","",IF(ISNA(VLOOKUP($B214,'B-1 On-Site Hedge Baseline'!$B$1:$L$257,10,FALSE)),"",(VLOOKUP($B214,'B-1 On-Site Hedge Baseline'!$B$1:$L$257,10,FALSE))))</f>
        <v/>
      </c>
      <c r="J214" s="310" t="str">
        <f>IF(B214="","",IF(ISNA(VLOOKUP($B214,'B-1 On-Site Hedge Baseline'!$B$1:$L$257,11,FALSE)),"",(VLOOKUP($B214,'B-1 On-Site Hedge Baseline'!$B$1:$L$257,11,FALSE))))</f>
        <v/>
      </c>
      <c r="K214" s="310" t="str">
        <f>IF(B214="","",IF(ISNA(VLOOKUP($B214,'B-1 On-Site Hedge Baseline'!$B$1:$U$257,13,FALSE)),"",(VLOOKUP($B214,'B-1 On-Site Hedge Baseline'!$B$1:$U$257,13,FALSE))))</f>
        <v/>
      </c>
      <c r="L214" s="314" t="str">
        <f>IF(B214="","",IF(ISNA(VLOOKUP($B214,'B-1 On-Site Hedge Baseline'!$B$1:$U$257,12,FALSE)),"",(VLOOKUP($B214,'B-1 On-Site Hedge Baseline'!$B$1:$U$257,12,FALSE))))</f>
        <v/>
      </c>
      <c r="M214" s="583"/>
      <c r="N214" s="290" t="str">
        <f>IFERROR(IF(B214="","",INDEX('G-6 Hedgerow Data'!$AN$3:$AZ$15,MATCH(C214,'G-6 Hedgerow Data'!$AM$3:$AM$15,0),MATCH(M214,'G-6 Hedgerow Data'!$AN$2:$AZ$2,0))),"")</f>
        <v/>
      </c>
      <c r="O214" s="291" t="str">
        <f t="shared" si="22"/>
        <v/>
      </c>
      <c r="P214" s="341" t="str">
        <f>IF(B214="","",VLOOKUP(B214,'B-1 On-Site Hedge Baseline'!$B$10:T459,16,FALSE))</f>
        <v/>
      </c>
      <c r="Q214" s="290" t="str">
        <f>IF(M214="","",VLOOKUP(M214,'G-6 Hedgerow Data'!$B$2:$AG$15,2,FALSE))</f>
        <v/>
      </c>
      <c r="R214" s="291" t="str">
        <f>IF(M214="","",VLOOKUP(M214,'G-6 Hedgerow Data'!$B$2:$AG$15,3,FALSE))</f>
        <v/>
      </c>
      <c r="S214" s="106"/>
      <c r="T214" s="328" t="str">
        <f>IFERROR(IF(S214="","",IF(AND(M214="Non-native and ornamental hedgerow", S214&lt;&gt;"Poor"),"Not possible ▲", (VLOOKUP(S214,'G-1 All Habitats'!$Z$2:$AA$9,2,FALSE)))),"")</f>
        <v/>
      </c>
      <c r="U214" s="103"/>
      <c r="V214" s="310" t="str">
        <f>IF(U214="","",IF(VLOOKUP(U214,'G-3 Multipliers'!$L$3:$N$6,2,FALSE)=0,"Spatial Data Missing ⚠",VLOOKUP(U214,'G-3 Multipliers'!$L$3:$N$6,2,FALSE)))</f>
        <v/>
      </c>
      <c r="W214" s="314" t="str">
        <f>IF(U214="","",IF(VLOOKUP(U214,'G-3 Multipliers'!$L$3:$N$6,3,FALSE)=0,"Spatial Data Missing ⚠",VLOOKUP(U214,'G-3 Multipliers'!$L$3:$N$6,3,FALSE)))</f>
        <v/>
      </c>
      <c r="X214" s="290" t="str">
        <f>IFERROR(IF(OR(LEFT(O214,5)="Error",LEFT(N214,5)="Error",T214="Error"),"Check Data ⚠",IF(F214&lt;R214,INDEX('G-6 Hedgerow Data'!$S$3:$AE$14,MATCH(C214,'G-6 Hedgerow Data'!$B$3:$B$14,0),MATCH(M214,'G-6 Hedgerow Data'!$S$2:$AE$2,0)),INDEX('G-6 Hedgerow Data'!$K$3:$Q$14,MATCH(M214,'G-6 Hedgerow Data'!$B$3:$B$14,0),MATCH(O214,'G-6 Hedgerow Data'!$K$2:$Q$2,0)))),"")</f>
        <v/>
      </c>
      <c r="Y214" s="138"/>
      <c r="Z214" s="138"/>
      <c r="AA214" s="298" t="str">
        <f t="shared" si="23"/>
        <v/>
      </c>
      <c r="AB214" s="311" t="str">
        <f t="shared" si="24"/>
        <v/>
      </c>
      <c r="AC214" s="312" t="str">
        <f t="shared" si="21"/>
        <v/>
      </c>
      <c r="AD214" s="325" t="str">
        <f>IF(M214="","",VLOOKUP(M214,'G-6 Hedgerow Data'!$B$3:$AG$15,31,FALSE))</f>
        <v/>
      </c>
      <c r="AE214" s="298" t="str">
        <f t="shared" si="25"/>
        <v/>
      </c>
      <c r="AF214" s="298" t="str">
        <f t="shared" si="26"/>
        <v/>
      </c>
      <c r="AG214" s="314" t="str">
        <f>IFERROR(IF(O214="","",VLOOKUP(AD214,'G-3 Multipliers'!$P$3:$Q$6,2,FALSE)),"")</f>
        <v/>
      </c>
      <c r="AH214" s="304" t="str">
        <f t="shared" si="27"/>
        <v/>
      </c>
      <c r="AI214" s="157"/>
      <c r="AJ214" s="99"/>
      <c r="AK214" s="101"/>
      <c r="AT214" s="15" t="str">
        <f>IFERROR(INDEX('G-6 Hedgerow Data'!$BJ$3:$BJ$15,MATCH(M214,'G-6 Hedgerow Data'!$B$3:$B$15,0)),"")</f>
        <v/>
      </c>
    </row>
    <row r="215" spans="2:46" ht="14" x14ac:dyDescent="0.3">
      <c r="B215" s="319" t="str">
        <f>'B-1 On-Site Hedge Baseline'!AK213</f>
        <v/>
      </c>
      <c r="C215" s="310" t="str">
        <f>IF(B215="","",IF(ISNA(VLOOKUP($B215,'B-1 On-Site Hedge Baseline'!$B$1:$L$257,3,FALSE)),"",(VLOOKUP($B215,'B-1 On-Site Hedge Baseline'!$B$1:$L$257,3,FALSE))))</f>
        <v/>
      </c>
      <c r="D215" s="310" t="str">
        <f>IF(B215="","",IF(ISNA(VLOOKUP($B215,'B-1 On-Site Hedge Baseline'!$B$1:$L$257,4,FALSE)),"",(VLOOKUP($B215,'B-1 On-Site Hedge Baseline'!$B$1:$L$257,4,FALSE))))</f>
        <v/>
      </c>
      <c r="E215" s="310" t="str">
        <f>IF(B215="","",IF(ISNA(VLOOKUP($B215,'B-1 On-Site Hedge Baseline'!$B$1:$L$257,5,FALSE)),"",(VLOOKUP($B215,'B-1 On-Site Hedge Baseline'!$B$1:$L$257,5,FALSE))))</f>
        <v/>
      </c>
      <c r="F215" s="310" t="str">
        <f>IF(B215="","",IF(ISNA(VLOOKUP($B215,'B-1 On-Site Hedge Baseline'!$B$1:$L$257,6,FALSE)),"",(VLOOKUP($B215,'B-1 On-Site Hedge Baseline'!$B$1:$L$257,6,FALSE))))</f>
        <v/>
      </c>
      <c r="G215" s="310" t="str">
        <f>IF(B215="","",IF(ISNA(VLOOKUP($B215,'B-1 On-Site Hedge Baseline'!$B$1:$L$257,7,FALSE)),"",(VLOOKUP($B215,'B-1 On-Site Hedge Baseline'!$B$1:$L$257,7,FALSE))))</f>
        <v/>
      </c>
      <c r="H215" s="310" t="str">
        <f>IF(B215="","",IF(ISNA(VLOOKUP($B215,'B-1 On-Site Hedge Baseline'!$B$1:$L$257,8,FALSE)),"",(VLOOKUP($B215,'B-1 On-Site Hedge Baseline'!$B$1:$L$257,8,FALSE))))</f>
        <v/>
      </c>
      <c r="I215" s="310" t="str">
        <f>IF(B215="","",IF(ISNA(VLOOKUP($B215,'B-1 On-Site Hedge Baseline'!$B$1:$L$257,10,FALSE)),"",(VLOOKUP($B215,'B-1 On-Site Hedge Baseline'!$B$1:$L$257,10,FALSE))))</f>
        <v/>
      </c>
      <c r="J215" s="310" t="str">
        <f>IF(B215="","",IF(ISNA(VLOOKUP($B215,'B-1 On-Site Hedge Baseline'!$B$1:$L$257,11,FALSE)),"",(VLOOKUP($B215,'B-1 On-Site Hedge Baseline'!$B$1:$L$257,11,FALSE))))</f>
        <v/>
      </c>
      <c r="K215" s="310" t="str">
        <f>IF(B215="","",IF(ISNA(VLOOKUP($B215,'B-1 On-Site Hedge Baseline'!$B$1:$U$257,13,FALSE)),"",(VLOOKUP($B215,'B-1 On-Site Hedge Baseline'!$B$1:$U$257,13,FALSE))))</f>
        <v/>
      </c>
      <c r="L215" s="314" t="str">
        <f>IF(B215="","",IF(ISNA(VLOOKUP($B215,'B-1 On-Site Hedge Baseline'!$B$1:$U$257,12,FALSE)),"",(VLOOKUP($B215,'B-1 On-Site Hedge Baseline'!$B$1:$U$257,12,FALSE))))</f>
        <v/>
      </c>
      <c r="M215" s="583"/>
      <c r="N215" s="290" t="str">
        <f>IFERROR(IF(B215="","",INDEX('G-6 Hedgerow Data'!$AN$3:$AZ$15,MATCH(C215,'G-6 Hedgerow Data'!$AM$3:$AM$15,0),MATCH(M215,'G-6 Hedgerow Data'!$AN$2:$AZ$2,0))),"")</f>
        <v/>
      </c>
      <c r="O215" s="291" t="str">
        <f t="shared" si="22"/>
        <v/>
      </c>
      <c r="P215" s="341" t="str">
        <f>IF(B215="","",VLOOKUP(B215,'B-1 On-Site Hedge Baseline'!$B$10:T460,16,FALSE))</f>
        <v/>
      </c>
      <c r="Q215" s="290" t="str">
        <f>IF(M215="","",VLOOKUP(M215,'G-6 Hedgerow Data'!$B$2:$AG$15,2,FALSE))</f>
        <v/>
      </c>
      <c r="R215" s="291" t="str">
        <f>IF(M215="","",VLOOKUP(M215,'G-6 Hedgerow Data'!$B$2:$AG$15,3,FALSE))</f>
        <v/>
      </c>
      <c r="S215" s="106"/>
      <c r="T215" s="328" t="str">
        <f>IFERROR(IF(S215="","",IF(AND(M215="Non-native and ornamental hedgerow", S215&lt;&gt;"Poor"),"Not possible ▲", (VLOOKUP(S215,'G-1 All Habitats'!$Z$2:$AA$9,2,FALSE)))),"")</f>
        <v/>
      </c>
      <c r="U215" s="103"/>
      <c r="V215" s="310" t="str">
        <f>IF(U215="","",IF(VLOOKUP(U215,'G-3 Multipliers'!$L$3:$N$6,2,FALSE)=0,"Spatial Data Missing ⚠",VLOOKUP(U215,'G-3 Multipliers'!$L$3:$N$6,2,FALSE)))</f>
        <v/>
      </c>
      <c r="W215" s="314" t="str">
        <f>IF(U215="","",IF(VLOOKUP(U215,'G-3 Multipliers'!$L$3:$N$6,3,FALSE)=0,"Spatial Data Missing ⚠",VLOOKUP(U215,'G-3 Multipliers'!$L$3:$N$6,3,FALSE)))</f>
        <v/>
      </c>
      <c r="X215" s="290" t="str">
        <f>IFERROR(IF(OR(LEFT(O215,5)="Error",LEFT(N215,5)="Error",T215="Error"),"Check Data ⚠",IF(F215&lt;R215,INDEX('G-6 Hedgerow Data'!$S$3:$AE$14,MATCH(C215,'G-6 Hedgerow Data'!$B$3:$B$14,0),MATCH(M215,'G-6 Hedgerow Data'!$S$2:$AE$2,0)),INDEX('G-6 Hedgerow Data'!$K$3:$Q$14,MATCH(M215,'G-6 Hedgerow Data'!$B$3:$B$14,0),MATCH(O215,'G-6 Hedgerow Data'!$K$2:$Q$2,0)))),"")</f>
        <v/>
      </c>
      <c r="Y215" s="138"/>
      <c r="Z215" s="138"/>
      <c r="AA215" s="298" t="str">
        <f t="shared" si="23"/>
        <v/>
      </c>
      <c r="AB215" s="311" t="str">
        <f t="shared" si="24"/>
        <v/>
      </c>
      <c r="AC215" s="312" t="str">
        <f t="shared" si="21"/>
        <v/>
      </c>
      <c r="AD215" s="325" t="str">
        <f>IF(M215="","",VLOOKUP(M215,'G-6 Hedgerow Data'!$B$3:$AG$15,31,FALSE))</f>
        <v/>
      </c>
      <c r="AE215" s="298" t="str">
        <f t="shared" si="25"/>
        <v/>
      </c>
      <c r="AF215" s="298" t="str">
        <f t="shared" si="26"/>
        <v/>
      </c>
      <c r="AG215" s="314" t="str">
        <f>IFERROR(IF(O215="","",VLOOKUP(AD215,'G-3 Multipliers'!$P$3:$Q$6,2,FALSE)),"")</f>
        <v/>
      </c>
      <c r="AH215" s="304" t="str">
        <f t="shared" si="27"/>
        <v/>
      </c>
      <c r="AI215" s="157"/>
      <c r="AJ215" s="99"/>
      <c r="AK215" s="101"/>
      <c r="AT215" s="15" t="str">
        <f>IFERROR(INDEX('G-6 Hedgerow Data'!$BJ$3:$BJ$15,MATCH(M215,'G-6 Hedgerow Data'!$B$3:$B$15,0)),"")</f>
        <v/>
      </c>
    </row>
    <row r="216" spans="2:46" ht="14" x14ac:dyDescent="0.3">
      <c r="B216" s="319" t="str">
        <f>'B-1 On-Site Hedge Baseline'!AK214</f>
        <v/>
      </c>
      <c r="C216" s="310" t="str">
        <f>IF(B216="","",IF(ISNA(VLOOKUP($B216,'B-1 On-Site Hedge Baseline'!$B$1:$L$257,3,FALSE)),"",(VLOOKUP($B216,'B-1 On-Site Hedge Baseline'!$B$1:$L$257,3,FALSE))))</f>
        <v/>
      </c>
      <c r="D216" s="310" t="str">
        <f>IF(B216="","",IF(ISNA(VLOOKUP($B216,'B-1 On-Site Hedge Baseline'!$B$1:$L$257,4,FALSE)),"",(VLOOKUP($B216,'B-1 On-Site Hedge Baseline'!$B$1:$L$257,4,FALSE))))</f>
        <v/>
      </c>
      <c r="E216" s="310" t="str">
        <f>IF(B216="","",IF(ISNA(VLOOKUP($B216,'B-1 On-Site Hedge Baseline'!$B$1:$L$257,5,FALSE)),"",(VLOOKUP($B216,'B-1 On-Site Hedge Baseline'!$B$1:$L$257,5,FALSE))))</f>
        <v/>
      </c>
      <c r="F216" s="310" t="str">
        <f>IF(B216="","",IF(ISNA(VLOOKUP($B216,'B-1 On-Site Hedge Baseline'!$B$1:$L$257,6,FALSE)),"",(VLOOKUP($B216,'B-1 On-Site Hedge Baseline'!$B$1:$L$257,6,FALSE))))</f>
        <v/>
      </c>
      <c r="G216" s="310" t="str">
        <f>IF(B216="","",IF(ISNA(VLOOKUP($B216,'B-1 On-Site Hedge Baseline'!$B$1:$L$257,7,FALSE)),"",(VLOOKUP($B216,'B-1 On-Site Hedge Baseline'!$B$1:$L$257,7,FALSE))))</f>
        <v/>
      </c>
      <c r="H216" s="310" t="str">
        <f>IF(B216="","",IF(ISNA(VLOOKUP($B216,'B-1 On-Site Hedge Baseline'!$B$1:$L$257,8,FALSE)),"",(VLOOKUP($B216,'B-1 On-Site Hedge Baseline'!$B$1:$L$257,8,FALSE))))</f>
        <v/>
      </c>
      <c r="I216" s="310" t="str">
        <f>IF(B216="","",IF(ISNA(VLOOKUP($B216,'B-1 On-Site Hedge Baseline'!$B$1:$L$257,10,FALSE)),"",(VLOOKUP($B216,'B-1 On-Site Hedge Baseline'!$B$1:$L$257,10,FALSE))))</f>
        <v/>
      </c>
      <c r="J216" s="310" t="str">
        <f>IF(B216="","",IF(ISNA(VLOOKUP($B216,'B-1 On-Site Hedge Baseline'!$B$1:$L$257,11,FALSE)),"",(VLOOKUP($B216,'B-1 On-Site Hedge Baseline'!$B$1:$L$257,11,FALSE))))</f>
        <v/>
      </c>
      <c r="K216" s="310" t="str">
        <f>IF(B216="","",IF(ISNA(VLOOKUP($B216,'B-1 On-Site Hedge Baseline'!$B$1:$U$257,13,FALSE)),"",(VLOOKUP($B216,'B-1 On-Site Hedge Baseline'!$B$1:$U$257,13,FALSE))))</f>
        <v/>
      </c>
      <c r="L216" s="314" t="str">
        <f>IF(B216="","",IF(ISNA(VLOOKUP($B216,'B-1 On-Site Hedge Baseline'!$B$1:$U$257,12,FALSE)),"",(VLOOKUP($B216,'B-1 On-Site Hedge Baseline'!$B$1:$U$257,12,FALSE))))</f>
        <v/>
      </c>
      <c r="M216" s="583"/>
      <c r="N216" s="290" t="str">
        <f>IFERROR(IF(B216="","",INDEX('G-6 Hedgerow Data'!$AN$3:$AZ$15,MATCH(C216,'G-6 Hedgerow Data'!$AM$3:$AM$15,0),MATCH(M216,'G-6 Hedgerow Data'!$AN$2:$AZ$2,0))),"")</f>
        <v/>
      </c>
      <c r="O216" s="291" t="str">
        <f t="shared" si="22"/>
        <v/>
      </c>
      <c r="P216" s="341" t="str">
        <f>IF(B216="","",VLOOKUP(B216,'B-1 On-Site Hedge Baseline'!$B$10:T461,16,FALSE))</f>
        <v/>
      </c>
      <c r="Q216" s="290" t="str">
        <f>IF(M216="","",VLOOKUP(M216,'G-6 Hedgerow Data'!$B$2:$AG$15,2,FALSE))</f>
        <v/>
      </c>
      <c r="R216" s="291" t="str">
        <f>IF(M216="","",VLOOKUP(M216,'G-6 Hedgerow Data'!$B$2:$AG$15,3,FALSE))</f>
        <v/>
      </c>
      <c r="S216" s="106"/>
      <c r="T216" s="328" t="str">
        <f>IFERROR(IF(S216="","",IF(AND(M216="Non-native and ornamental hedgerow", S216&lt;&gt;"Poor"),"Not possible ▲", (VLOOKUP(S216,'G-1 All Habitats'!$Z$2:$AA$9,2,FALSE)))),"")</f>
        <v/>
      </c>
      <c r="U216" s="103"/>
      <c r="V216" s="310" t="str">
        <f>IF(U216="","",IF(VLOOKUP(U216,'G-3 Multipliers'!$L$3:$N$6,2,FALSE)=0,"Spatial Data Missing ⚠",VLOOKUP(U216,'G-3 Multipliers'!$L$3:$N$6,2,FALSE)))</f>
        <v/>
      </c>
      <c r="W216" s="314" t="str">
        <f>IF(U216="","",IF(VLOOKUP(U216,'G-3 Multipliers'!$L$3:$N$6,3,FALSE)=0,"Spatial Data Missing ⚠",VLOOKUP(U216,'G-3 Multipliers'!$L$3:$N$6,3,FALSE)))</f>
        <v/>
      </c>
      <c r="X216" s="290" t="str">
        <f>IFERROR(IF(OR(LEFT(O216,5)="Error",LEFT(N216,5)="Error",T216="Error"),"Check Data ⚠",IF(F216&lt;R216,INDEX('G-6 Hedgerow Data'!$S$3:$AE$14,MATCH(C216,'G-6 Hedgerow Data'!$B$3:$B$14,0),MATCH(M216,'G-6 Hedgerow Data'!$S$2:$AE$2,0)),INDEX('G-6 Hedgerow Data'!$K$3:$Q$14,MATCH(M216,'G-6 Hedgerow Data'!$B$3:$B$14,0),MATCH(O216,'G-6 Hedgerow Data'!$K$2:$Q$2,0)))),"")</f>
        <v/>
      </c>
      <c r="Y216" s="138"/>
      <c r="Z216" s="138"/>
      <c r="AA216" s="298" t="str">
        <f t="shared" si="23"/>
        <v/>
      </c>
      <c r="AB216" s="311" t="str">
        <f t="shared" si="24"/>
        <v/>
      </c>
      <c r="AC216" s="312" t="str">
        <f t="shared" si="21"/>
        <v/>
      </c>
      <c r="AD216" s="325" t="str">
        <f>IF(M216="","",VLOOKUP(M216,'G-6 Hedgerow Data'!$B$3:$AG$15,31,FALSE))</f>
        <v/>
      </c>
      <c r="AE216" s="298" t="str">
        <f t="shared" si="25"/>
        <v/>
      </c>
      <c r="AF216" s="298" t="str">
        <f t="shared" si="26"/>
        <v/>
      </c>
      <c r="AG216" s="314" t="str">
        <f>IFERROR(IF(O216="","",VLOOKUP(AD216,'G-3 Multipliers'!$P$3:$Q$6,2,FALSE)),"")</f>
        <v/>
      </c>
      <c r="AH216" s="304" t="str">
        <f t="shared" si="27"/>
        <v/>
      </c>
      <c r="AI216" s="157"/>
      <c r="AJ216" s="99"/>
      <c r="AK216" s="101"/>
      <c r="AT216" s="15" t="str">
        <f>IFERROR(INDEX('G-6 Hedgerow Data'!$BJ$3:$BJ$15,MATCH(M216,'G-6 Hedgerow Data'!$B$3:$B$15,0)),"")</f>
        <v/>
      </c>
    </row>
    <row r="217" spans="2:46" ht="14" x14ac:dyDescent="0.3">
      <c r="B217" s="319" t="str">
        <f>'B-1 On-Site Hedge Baseline'!AK215</f>
        <v/>
      </c>
      <c r="C217" s="310" t="str">
        <f>IF(B217="","",IF(ISNA(VLOOKUP($B217,'B-1 On-Site Hedge Baseline'!$B$1:$L$257,3,FALSE)),"",(VLOOKUP($B217,'B-1 On-Site Hedge Baseline'!$B$1:$L$257,3,FALSE))))</f>
        <v/>
      </c>
      <c r="D217" s="310" t="str">
        <f>IF(B217="","",IF(ISNA(VLOOKUP($B217,'B-1 On-Site Hedge Baseline'!$B$1:$L$257,4,FALSE)),"",(VLOOKUP($B217,'B-1 On-Site Hedge Baseline'!$B$1:$L$257,4,FALSE))))</f>
        <v/>
      </c>
      <c r="E217" s="310" t="str">
        <f>IF(B217="","",IF(ISNA(VLOOKUP($B217,'B-1 On-Site Hedge Baseline'!$B$1:$L$257,5,FALSE)),"",(VLOOKUP($B217,'B-1 On-Site Hedge Baseline'!$B$1:$L$257,5,FALSE))))</f>
        <v/>
      </c>
      <c r="F217" s="310" t="str">
        <f>IF(B217="","",IF(ISNA(VLOOKUP($B217,'B-1 On-Site Hedge Baseline'!$B$1:$L$257,6,FALSE)),"",(VLOOKUP($B217,'B-1 On-Site Hedge Baseline'!$B$1:$L$257,6,FALSE))))</f>
        <v/>
      </c>
      <c r="G217" s="310" t="str">
        <f>IF(B217="","",IF(ISNA(VLOOKUP($B217,'B-1 On-Site Hedge Baseline'!$B$1:$L$257,7,FALSE)),"",(VLOOKUP($B217,'B-1 On-Site Hedge Baseline'!$B$1:$L$257,7,FALSE))))</f>
        <v/>
      </c>
      <c r="H217" s="310" t="str">
        <f>IF(B217="","",IF(ISNA(VLOOKUP($B217,'B-1 On-Site Hedge Baseline'!$B$1:$L$257,8,FALSE)),"",(VLOOKUP($B217,'B-1 On-Site Hedge Baseline'!$B$1:$L$257,8,FALSE))))</f>
        <v/>
      </c>
      <c r="I217" s="310" t="str">
        <f>IF(B217="","",IF(ISNA(VLOOKUP($B217,'B-1 On-Site Hedge Baseline'!$B$1:$L$257,10,FALSE)),"",(VLOOKUP($B217,'B-1 On-Site Hedge Baseline'!$B$1:$L$257,10,FALSE))))</f>
        <v/>
      </c>
      <c r="J217" s="310" t="str">
        <f>IF(B217="","",IF(ISNA(VLOOKUP($B217,'B-1 On-Site Hedge Baseline'!$B$1:$L$257,11,FALSE)),"",(VLOOKUP($B217,'B-1 On-Site Hedge Baseline'!$B$1:$L$257,11,FALSE))))</f>
        <v/>
      </c>
      <c r="K217" s="310" t="str">
        <f>IF(B217="","",IF(ISNA(VLOOKUP($B217,'B-1 On-Site Hedge Baseline'!$B$1:$U$257,13,FALSE)),"",(VLOOKUP($B217,'B-1 On-Site Hedge Baseline'!$B$1:$U$257,13,FALSE))))</f>
        <v/>
      </c>
      <c r="L217" s="314" t="str">
        <f>IF(B217="","",IF(ISNA(VLOOKUP($B217,'B-1 On-Site Hedge Baseline'!$B$1:$U$257,12,FALSE)),"",(VLOOKUP($B217,'B-1 On-Site Hedge Baseline'!$B$1:$U$257,12,FALSE))))</f>
        <v/>
      </c>
      <c r="M217" s="583"/>
      <c r="N217" s="290" t="str">
        <f>IFERROR(IF(B217="","",INDEX('G-6 Hedgerow Data'!$AN$3:$AZ$15,MATCH(C217,'G-6 Hedgerow Data'!$AM$3:$AM$15,0),MATCH(M217,'G-6 Hedgerow Data'!$AN$2:$AZ$2,0))),"")</f>
        <v/>
      </c>
      <c r="O217" s="291" t="str">
        <f t="shared" si="22"/>
        <v/>
      </c>
      <c r="P217" s="341" t="str">
        <f>IF(B217="","",VLOOKUP(B217,'B-1 On-Site Hedge Baseline'!$B$10:T462,16,FALSE))</f>
        <v/>
      </c>
      <c r="Q217" s="290" t="str">
        <f>IF(M217="","",VLOOKUP(M217,'G-6 Hedgerow Data'!$B$2:$AG$15,2,FALSE))</f>
        <v/>
      </c>
      <c r="R217" s="291" t="str">
        <f>IF(M217="","",VLOOKUP(M217,'G-6 Hedgerow Data'!$B$2:$AG$15,3,FALSE))</f>
        <v/>
      </c>
      <c r="S217" s="106"/>
      <c r="T217" s="328" t="str">
        <f>IFERROR(IF(S217="","",IF(AND(M217="Non-native and ornamental hedgerow", S217&lt;&gt;"Poor"),"Not possible ▲", (VLOOKUP(S217,'G-1 All Habitats'!$Z$2:$AA$9,2,FALSE)))),"")</f>
        <v/>
      </c>
      <c r="U217" s="103"/>
      <c r="V217" s="310" t="str">
        <f>IF(U217="","",IF(VLOOKUP(U217,'G-3 Multipliers'!$L$3:$N$6,2,FALSE)=0,"Spatial Data Missing ⚠",VLOOKUP(U217,'G-3 Multipliers'!$L$3:$N$6,2,FALSE)))</f>
        <v/>
      </c>
      <c r="W217" s="314" t="str">
        <f>IF(U217="","",IF(VLOOKUP(U217,'G-3 Multipliers'!$L$3:$N$6,3,FALSE)=0,"Spatial Data Missing ⚠",VLOOKUP(U217,'G-3 Multipliers'!$L$3:$N$6,3,FALSE)))</f>
        <v/>
      </c>
      <c r="X217" s="290" t="str">
        <f>IFERROR(IF(OR(LEFT(O217,5)="Error",LEFT(N217,5)="Error",T217="Error"),"Check Data ⚠",IF(F217&lt;R217,INDEX('G-6 Hedgerow Data'!$S$3:$AE$14,MATCH(C217,'G-6 Hedgerow Data'!$B$3:$B$14,0),MATCH(M217,'G-6 Hedgerow Data'!$S$2:$AE$2,0)),INDEX('G-6 Hedgerow Data'!$K$3:$Q$14,MATCH(M217,'G-6 Hedgerow Data'!$B$3:$B$14,0),MATCH(O217,'G-6 Hedgerow Data'!$K$2:$Q$2,0)))),"")</f>
        <v/>
      </c>
      <c r="Y217" s="138"/>
      <c r="Z217" s="138"/>
      <c r="AA217" s="298" t="str">
        <f t="shared" si="23"/>
        <v/>
      </c>
      <c r="AB217" s="311" t="str">
        <f t="shared" si="24"/>
        <v/>
      </c>
      <c r="AC217" s="312" t="str">
        <f t="shared" si="21"/>
        <v/>
      </c>
      <c r="AD217" s="325" t="str">
        <f>IF(M217="","",VLOOKUP(M217,'G-6 Hedgerow Data'!$B$3:$AG$15,31,FALSE))</f>
        <v/>
      </c>
      <c r="AE217" s="298" t="str">
        <f t="shared" si="25"/>
        <v/>
      </c>
      <c r="AF217" s="298" t="str">
        <f t="shared" si="26"/>
        <v/>
      </c>
      <c r="AG217" s="314" t="str">
        <f>IFERROR(IF(O217="","",VLOOKUP(AD217,'G-3 Multipliers'!$P$3:$Q$6,2,FALSE)),"")</f>
        <v/>
      </c>
      <c r="AH217" s="304" t="str">
        <f t="shared" si="27"/>
        <v/>
      </c>
      <c r="AI217" s="157"/>
      <c r="AJ217" s="99"/>
      <c r="AK217" s="101"/>
      <c r="AT217" s="15" t="str">
        <f>IFERROR(INDEX('G-6 Hedgerow Data'!$BJ$3:$BJ$15,MATCH(M217,'G-6 Hedgerow Data'!$B$3:$B$15,0)),"")</f>
        <v/>
      </c>
    </row>
    <row r="218" spans="2:46" ht="14" x14ac:dyDescent="0.3">
      <c r="B218" s="319" t="str">
        <f>'B-1 On-Site Hedge Baseline'!AK216</f>
        <v/>
      </c>
      <c r="C218" s="310" t="str">
        <f>IF(B218="","",IF(ISNA(VLOOKUP($B218,'B-1 On-Site Hedge Baseline'!$B$1:$L$257,3,FALSE)),"",(VLOOKUP($B218,'B-1 On-Site Hedge Baseline'!$B$1:$L$257,3,FALSE))))</f>
        <v/>
      </c>
      <c r="D218" s="310" t="str">
        <f>IF(B218="","",IF(ISNA(VLOOKUP($B218,'B-1 On-Site Hedge Baseline'!$B$1:$L$257,4,FALSE)),"",(VLOOKUP($B218,'B-1 On-Site Hedge Baseline'!$B$1:$L$257,4,FALSE))))</f>
        <v/>
      </c>
      <c r="E218" s="310" t="str">
        <f>IF(B218="","",IF(ISNA(VLOOKUP($B218,'B-1 On-Site Hedge Baseline'!$B$1:$L$257,5,FALSE)),"",(VLOOKUP($B218,'B-1 On-Site Hedge Baseline'!$B$1:$L$257,5,FALSE))))</f>
        <v/>
      </c>
      <c r="F218" s="310" t="str">
        <f>IF(B218="","",IF(ISNA(VLOOKUP($B218,'B-1 On-Site Hedge Baseline'!$B$1:$L$257,6,FALSE)),"",(VLOOKUP($B218,'B-1 On-Site Hedge Baseline'!$B$1:$L$257,6,FALSE))))</f>
        <v/>
      </c>
      <c r="G218" s="310" t="str">
        <f>IF(B218="","",IF(ISNA(VLOOKUP($B218,'B-1 On-Site Hedge Baseline'!$B$1:$L$257,7,FALSE)),"",(VLOOKUP($B218,'B-1 On-Site Hedge Baseline'!$B$1:$L$257,7,FALSE))))</f>
        <v/>
      </c>
      <c r="H218" s="310" t="str">
        <f>IF(B218="","",IF(ISNA(VLOOKUP($B218,'B-1 On-Site Hedge Baseline'!$B$1:$L$257,8,FALSE)),"",(VLOOKUP($B218,'B-1 On-Site Hedge Baseline'!$B$1:$L$257,8,FALSE))))</f>
        <v/>
      </c>
      <c r="I218" s="310" t="str">
        <f>IF(B218="","",IF(ISNA(VLOOKUP($B218,'B-1 On-Site Hedge Baseline'!$B$1:$L$257,10,FALSE)),"",(VLOOKUP($B218,'B-1 On-Site Hedge Baseline'!$B$1:$L$257,10,FALSE))))</f>
        <v/>
      </c>
      <c r="J218" s="310" t="str">
        <f>IF(B218="","",IF(ISNA(VLOOKUP($B218,'B-1 On-Site Hedge Baseline'!$B$1:$L$257,11,FALSE)),"",(VLOOKUP($B218,'B-1 On-Site Hedge Baseline'!$B$1:$L$257,11,FALSE))))</f>
        <v/>
      </c>
      <c r="K218" s="310" t="str">
        <f>IF(B218="","",IF(ISNA(VLOOKUP($B218,'B-1 On-Site Hedge Baseline'!$B$1:$U$257,13,FALSE)),"",(VLOOKUP($B218,'B-1 On-Site Hedge Baseline'!$B$1:$U$257,13,FALSE))))</f>
        <v/>
      </c>
      <c r="L218" s="314" t="str">
        <f>IF(B218="","",IF(ISNA(VLOOKUP($B218,'B-1 On-Site Hedge Baseline'!$B$1:$U$257,12,FALSE)),"",(VLOOKUP($B218,'B-1 On-Site Hedge Baseline'!$B$1:$U$257,12,FALSE))))</f>
        <v/>
      </c>
      <c r="M218" s="583"/>
      <c r="N218" s="290" t="str">
        <f>IFERROR(IF(B218="","",INDEX('G-6 Hedgerow Data'!$AN$3:$AZ$15,MATCH(C218,'G-6 Hedgerow Data'!$AM$3:$AM$15,0),MATCH(M218,'G-6 Hedgerow Data'!$AN$2:$AZ$2,0))),"")</f>
        <v/>
      </c>
      <c r="O218" s="291" t="str">
        <f t="shared" si="22"/>
        <v/>
      </c>
      <c r="P218" s="341" t="str">
        <f>IF(B218="","",VLOOKUP(B218,'B-1 On-Site Hedge Baseline'!$B$10:T463,16,FALSE))</f>
        <v/>
      </c>
      <c r="Q218" s="290" t="str">
        <f>IF(M218="","",VLOOKUP(M218,'G-6 Hedgerow Data'!$B$2:$AG$15,2,FALSE))</f>
        <v/>
      </c>
      <c r="R218" s="291" t="str">
        <f>IF(M218="","",VLOOKUP(M218,'G-6 Hedgerow Data'!$B$2:$AG$15,3,FALSE))</f>
        <v/>
      </c>
      <c r="S218" s="106"/>
      <c r="T218" s="328" t="str">
        <f>IFERROR(IF(S218="","",IF(AND(M218="Non-native and ornamental hedgerow", S218&lt;&gt;"Poor"),"Not possible ▲", (VLOOKUP(S218,'G-1 All Habitats'!$Z$2:$AA$9,2,FALSE)))),"")</f>
        <v/>
      </c>
      <c r="U218" s="103"/>
      <c r="V218" s="310" t="str">
        <f>IF(U218="","",IF(VLOOKUP(U218,'G-3 Multipliers'!$L$3:$N$6,2,FALSE)=0,"Spatial Data Missing ⚠",VLOOKUP(U218,'G-3 Multipliers'!$L$3:$N$6,2,FALSE)))</f>
        <v/>
      </c>
      <c r="W218" s="314" t="str">
        <f>IF(U218="","",IF(VLOOKUP(U218,'G-3 Multipliers'!$L$3:$N$6,3,FALSE)=0,"Spatial Data Missing ⚠",VLOOKUP(U218,'G-3 Multipliers'!$L$3:$N$6,3,FALSE)))</f>
        <v/>
      </c>
      <c r="X218" s="290" t="str">
        <f>IFERROR(IF(OR(LEFT(O218,5)="Error",LEFT(N218,5)="Error",T218="Error"),"Check Data ⚠",IF(F218&lt;R218,INDEX('G-6 Hedgerow Data'!$S$3:$AE$14,MATCH(C218,'G-6 Hedgerow Data'!$B$3:$B$14,0),MATCH(M218,'G-6 Hedgerow Data'!$S$2:$AE$2,0)),INDEX('G-6 Hedgerow Data'!$K$3:$Q$14,MATCH(M218,'G-6 Hedgerow Data'!$B$3:$B$14,0),MATCH(O218,'G-6 Hedgerow Data'!$K$2:$Q$2,0)))),"")</f>
        <v/>
      </c>
      <c r="Y218" s="138"/>
      <c r="Z218" s="138"/>
      <c r="AA218" s="298" t="str">
        <f t="shared" si="23"/>
        <v/>
      </c>
      <c r="AB218" s="311" t="str">
        <f t="shared" si="24"/>
        <v/>
      </c>
      <c r="AC218" s="312" t="str">
        <f t="shared" si="21"/>
        <v/>
      </c>
      <c r="AD218" s="325" t="str">
        <f>IF(M218="","",VLOOKUP(M218,'G-6 Hedgerow Data'!$B$3:$AG$15,31,FALSE))</f>
        <v/>
      </c>
      <c r="AE218" s="298" t="str">
        <f t="shared" si="25"/>
        <v/>
      </c>
      <c r="AF218" s="298" t="str">
        <f t="shared" si="26"/>
        <v/>
      </c>
      <c r="AG218" s="314" t="str">
        <f>IFERROR(IF(O218="","",VLOOKUP(AD218,'G-3 Multipliers'!$P$3:$Q$6,2,FALSE)),"")</f>
        <v/>
      </c>
      <c r="AH218" s="304" t="str">
        <f t="shared" si="27"/>
        <v/>
      </c>
      <c r="AI218" s="157"/>
      <c r="AJ218" s="99"/>
      <c r="AK218" s="101"/>
      <c r="AT218" s="15" t="str">
        <f>IFERROR(INDEX('G-6 Hedgerow Data'!$BJ$3:$BJ$15,MATCH(M218,'G-6 Hedgerow Data'!$B$3:$B$15,0)),"")</f>
        <v/>
      </c>
    </row>
    <row r="219" spans="2:46" ht="14" x14ac:dyDescent="0.3">
      <c r="B219" s="319" t="str">
        <f>'B-1 On-Site Hedge Baseline'!AK217</f>
        <v/>
      </c>
      <c r="C219" s="310" t="str">
        <f>IF(B219="","",IF(ISNA(VLOOKUP($B219,'B-1 On-Site Hedge Baseline'!$B$1:$L$257,3,FALSE)),"",(VLOOKUP($B219,'B-1 On-Site Hedge Baseline'!$B$1:$L$257,3,FALSE))))</f>
        <v/>
      </c>
      <c r="D219" s="310" t="str">
        <f>IF(B219="","",IF(ISNA(VLOOKUP($B219,'B-1 On-Site Hedge Baseline'!$B$1:$L$257,4,FALSE)),"",(VLOOKUP($B219,'B-1 On-Site Hedge Baseline'!$B$1:$L$257,4,FALSE))))</f>
        <v/>
      </c>
      <c r="E219" s="310" t="str">
        <f>IF(B219="","",IF(ISNA(VLOOKUP($B219,'B-1 On-Site Hedge Baseline'!$B$1:$L$257,5,FALSE)),"",(VLOOKUP($B219,'B-1 On-Site Hedge Baseline'!$B$1:$L$257,5,FALSE))))</f>
        <v/>
      </c>
      <c r="F219" s="310" t="str">
        <f>IF(B219="","",IF(ISNA(VLOOKUP($B219,'B-1 On-Site Hedge Baseline'!$B$1:$L$257,6,FALSE)),"",(VLOOKUP($B219,'B-1 On-Site Hedge Baseline'!$B$1:$L$257,6,FALSE))))</f>
        <v/>
      </c>
      <c r="G219" s="310" t="str">
        <f>IF(B219="","",IF(ISNA(VLOOKUP($B219,'B-1 On-Site Hedge Baseline'!$B$1:$L$257,7,FALSE)),"",(VLOOKUP($B219,'B-1 On-Site Hedge Baseline'!$B$1:$L$257,7,FALSE))))</f>
        <v/>
      </c>
      <c r="H219" s="310" t="str">
        <f>IF(B219="","",IF(ISNA(VLOOKUP($B219,'B-1 On-Site Hedge Baseline'!$B$1:$L$257,8,FALSE)),"",(VLOOKUP($B219,'B-1 On-Site Hedge Baseline'!$B$1:$L$257,8,FALSE))))</f>
        <v/>
      </c>
      <c r="I219" s="310" t="str">
        <f>IF(B219="","",IF(ISNA(VLOOKUP($B219,'B-1 On-Site Hedge Baseline'!$B$1:$L$257,10,FALSE)),"",(VLOOKUP($B219,'B-1 On-Site Hedge Baseline'!$B$1:$L$257,10,FALSE))))</f>
        <v/>
      </c>
      <c r="J219" s="310" t="str">
        <f>IF(B219="","",IF(ISNA(VLOOKUP($B219,'B-1 On-Site Hedge Baseline'!$B$1:$L$257,11,FALSE)),"",(VLOOKUP($B219,'B-1 On-Site Hedge Baseline'!$B$1:$L$257,11,FALSE))))</f>
        <v/>
      </c>
      <c r="K219" s="310" t="str">
        <f>IF(B219="","",IF(ISNA(VLOOKUP($B219,'B-1 On-Site Hedge Baseline'!$B$1:$U$257,13,FALSE)),"",(VLOOKUP($B219,'B-1 On-Site Hedge Baseline'!$B$1:$U$257,13,FALSE))))</f>
        <v/>
      </c>
      <c r="L219" s="314" t="str">
        <f>IF(B219="","",IF(ISNA(VLOOKUP($B219,'B-1 On-Site Hedge Baseline'!$B$1:$U$257,12,FALSE)),"",(VLOOKUP($B219,'B-1 On-Site Hedge Baseline'!$B$1:$U$257,12,FALSE))))</f>
        <v/>
      </c>
      <c r="M219" s="583"/>
      <c r="N219" s="290" t="str">
        <f>IFERROR(IF(B219="","",INDEX('G-6 Hedgerow Data'!$AN$3:$AZ$15,MATCH(C219,'G-6 Hedgerow Data'!$AM$3:$AM$15,0),MATCH(M219,'G-6 Hedgerow Data'!$AN$2:$AZ$2,0))),"")</f>
        <v/>
      </c>
      <c r="O219" s="291" t="str">
        <f t="shared" si="22"/>
        <v/>
      </c>
      <c r="P219" s="341" t="str">
        <f>IF(B219="","",VLOOKUP(B219,'B-1 On-Site Hedge Baseline'!$B$10:T464,16,FALSE))</f>
        <v/>
      </c>
      <c r="Q219" s="290" t="str">
        <f>IF(M219="","",VLOOKUP(M219,'G-6 Hedgerow Data'!$B$2:$AG$15,2,FALSE))</f>
        <v/>
      </c>
      <c r="R219" s="291" t="str">
        <f>IF(M219="","",VLOOKUP(M219,'G-6 Hedgerow Data'!$B$2:$AG$15,3,FALSE))</f>
        <v/>
      </c>
      <c r="S219" s="106"/>
      <c r="T219" s="328" t="str">
        <f>IFERROR(IF(S219="","",IF(AND(M219="Non-native and ornamental hedgerow", S219&lt;&gt;"Poor"),"Not possible ▲", (VLOOKUP(S219,'G-1 All Habitats'!$Z$2:$AA$9,2,FALSE)))),"")</f>
        <v/>
      </c>
      <c r="U219" s="103"/>
      <c r="V219" s="310" t="str">
        <f>IF(U219="","",IF(VLOOKUP(U219,'G-3 Multipliers'!$L$3:$N$6,2,FALSE)=0,"Spatial Data Missing ⚠",VLOOKUP(U219,'G-3 Multipliers'!$L$3:$N$6,2,FALSE)))</f>
        <v/>
      </c>
      <c r="W219" s="314" t="str">
        <f>IF(U219="","",IF(VLOOKUP(U219,'G-3 Multipliers'!$L$3:$N$6,3,FALSE)=0,"Spatial Data Missing ⚠",VLOOKUP(U219,'G-3 Multipliers'!$L$3:$N$6,3,FALSE)))</f>
        <v/>
      </c>
      <c r="X219" s="290" t="str">
        <f>IFERROR(IF(OR(LEFT(O219,5)="Error",LEFT(N219,5)="Error",T219="Error"),"Check Data ⚠",IF(F219&lt;R219,INDEX('G-6 Hedgerow Data'!$S$3:$AE$14,MATCH(C219,'G-6 Hedgerow Data'!$B$3:$B$14,0),MATCH(M219,'G-6 Hedgerow Data'!$S$2:$AE$2,0)),INDEX('G-6 Hedgerow Data'!$K$3:$Q$14,MATCH(M219,'G-6 Hedgerow Data'!$B$3:$B$14,0),MATCH(O219,'G-6 Hedgerow Data'!$K$2:$Q$2,0)))),"")</f>
        <v/>
      </c>
      <c r="Y219" s="138"/>
      <c r="Z219" s="138"/>
      <c r="AA219" s="298" t="str">
        <f t="shared" si="23"/>
        <v/>
      </c>
      <c r="AB219" s="311" t="str">
        <f t="shared" si="24"/>
        <v/>
      </c>
      <c r="AC219" s="312" t="str">
        <f t="shared" si="21"/>
        <v/>
      </c>
      <c r="AD219" s="325" t="str">
        <f>IF(M219="","",VLOOKUP(M219,'G-6 Hedgerow Data'!$B$3:$AG$15,31,FALSE))</f>
        <v/>
      </c>
      <c r="AE219" s="298" t="str">
        <f t="shared" si="25"/>
        <v/>
      </c>
      <c r="AF219" s="298" t="str">
        <f t="shared" si="26"/>
        <v/>
      </c>
      <c r="AG219" s="314" t="str">
        <f>IFERROR(IF(O219="","",VLOOKUP(AD219,'G-3 Multipliers'!$P$3:$Q$6,2,FALSE)),"")</f>
        <v/>
      </c>
      <c r="AH219" s="304" t="str">
        <f t="shared" si="27"/>
        <v/>
      </c>
      <c r="AI219" s="157"/>
      <c r="AJ219" s="99"/>
      <c r="AK219" s="101"/>
      <c r="AT219" s="15" t="str">
        <f>IFERROR(INDEX('G-6 Hedgerow Data'!$BJ$3:$BJ$15,MATCH(M219,'G-6 Hedgerow Data'!$B$3:$B$15,0)),"")</f>
        <v/>
      </c>
    </row>
    <row r="220" spans="2:46" ht="14" x14ac:dyDescent="0.3">
      <c r="B220" s="319" t="str">
        <f>'B-1 On-Site Hedge Baseline'!AK218</f>
        <v/>
      </c>
      <c r="C220" s="310" t="str">
        <f>IF(B220="","",IF(ISNA(VLOOKUP($B220,'B-1 On-Site Hedge Baseline'!$B$1:$L$257,3,FALSE)),"",(VLOOKUP($B220,'B-1 On-Site Hedge Baseline'!$B$1:$L$257,3,FALSE))))</f>
        <v/>
      </c>
      <c r="D220" s="310" t="str">
        <f>IF(B220="","",IF(ISNA(VLOOKUP($B220,'B-1 On-Site Hedge Baseline'!$B$1:$L$257,4,FALSE)),"",(VLOOKUP($B220,'B-1 On-Site Hedge Baseline'!$B$1:$L$257,4,FALSE))))</f>
        <v/>
      </c>
      <c r="E220" s="310" t="str">
        <f>IF(B220="","",IF(ISNA(VLOOKUP($B220,'B-1 On-Site Hedge Baseline'!$B$1:$L$257,5,FALSE)),"",(VLOOKUP($B220,'B-1 On-Site Hedge Baseline'!$B$1:$L$257,5,FALSE))))</f>
        <v/>
      </c>
      <c r="F220" s="310" t="str">
        <f>IF(B220="","",IF(ISNA(VLOOKUP($B220,'B-1 On-Site Hedge Baseline'!$B$1:$L$257,6,FALSE)),"",(VLOOKUP($B220,'B-1 On-Site Hedge Baseline'!$B$1:$L$257,6,FALSE))))</f>
        <v/>
      </c>
      <c r="G220" s="310" t="str">
        <f>IF(B220="","",IF(ISNA(VLOOKUP($B220,'B-1 On-Site Hedge Baseline'!$B$1:$L$257,7,FALSE)),"",(VLOOKUP($B220,'B-1 On-Site Hedge Baseline'!$B$1:$L$257,7,FALSE))))</f>
        <v/>
      </c>
      <c r="H220" s="310" t="str">
        <f>IF(B220="","",IF(ISNA(VLOOKUP($B220,'B-1 On-Site Hedge Baseline'!$B$1:$L$257,8,FALSE)),"",(VLOOKUP($B220,'B-1 On-Site Hedge Baseline'!$B$1:$L$257,8,FALSE))))</f>
        <v/>
      </c>
      <c r="I220" s="310" t="str">
        <f>IF(B220="","",IF(ISNA(VLOOKUP($B220,'B-1 On-Site Hedge Baseline'!$B$1:$L$257,10,FALSE)),"",(VLOOKUP($B220,'B-1 On-Site Hedge Baseline'!$B$1:$L$257,10,FALSE))))</f>
        <v/>
      </c>
      <c r="J220" s="310" t="str">
        <f>IF(B220="","",IF(ISNA(VLOOKUP($B220,'B-1 On-Site Hedge Baseline'!$B$1:$L$257,11,FALSE)),"",(VLOOKUP($B220,'B-1 On-Site Hedge Baseline'!$B$1:$L$257,11,FALSE))))</f>
        <v/>
      </c>
      <c r="K220" s="310" t="str">
        <f>IF(B220="","",IF(ISNA(VLOOKUP($B220,'B-1 On-Site Hedge Baseline'!$B$1:$U$257,13,FALSE)),"",(VLOOKUP($B220,'B-1 On-Site Hedge Baseline'!$B$1:$U$257,13,FALSE))))</f>
        <v/>
      </c>
      <c r="L220" s="314" t="str">
        <f>IF(B220="","",IF(ISNA(VLOOKUP($B220,'B-1 On-Site Hedge Baseline'!$B$1:$U$257,12,FALSE)),"",(VLOOKUP($B220,'B-1 On-Site Hedge Baseline'!$B$1:$U$257,12,FALSE))))</f>
        <v/>
      </c>
      <c r="M220" s="583"/>
      <c r="N220" s="290" t="str">
        <f>IFERROR(IF(B220="","",INDEX('G-6 Hedgerow Data'!$AN$3:$AZ$15,MATCH(C220,'G-6 Hedgerow Data'!$AM$3:$AM$15,0),MATCH(M220,'G-6 Hedgerow Data'!$AN$2:$AZ$2,0))),"")</f>
        <v/>
      </c>
      <c r="O220" s="291" t="str">
        <f t="shared" si="22"/>
        <v/>
      </c>
      <c r="P220" s="341" t="str">
        <f>IF(B220="","",VLOOKUP(B220,'B-1 On-Site Hedge Baseline'!$B$10:T465,16,FALSE))</f>
        <v/>
      </c>
      <c r="Q220" s="290" t="str">
        <f>IF(M220="","",VLOOKUP(M220,'G-6 Hedgerow Data'!$B$2:$AG$15,2,FALSE))</f>
        <v/>
      </c>
      <c r="R220" s="291" t="str">
        <f>IF(M220="","",VLOOKUP(M220,'G-6 Hedgerow Data'!$B$2:$AG$15,3,FALSE))</f>
        <v/>
      </c>
      <c r="S220" s="106"/>
      <c r="T220" s="328" t="str">
        <f>IFERROR(IF(S220="","",IF(AND(M220="Non-native and ornamental hedgerow", S220&lt;&gt;"Poor"),"Not possible ▲", (VLOOKUP(S220,'G-1 All Habitats'!$Z$2:$AA$9,2,FALSE)))),"")</f>
        <v/>
      </c>
      <c r="U220" s="103"/>
      <c r="V220" s="310" t="str">
        <f>IF(U220="","",IF(VLOOKUP(U220,'G-3 Multipliers'!$L$3:$N$6,2,FALSE)=0,"Spatial Data Missing ⚠",VLOOKUP(U220,'G-3 Multipliers'!$L$3:$N$6,2,FALSE)))</f>
        <v/>
      </c>
      <c r="W220" s="314" t="str">
        <f>IF(U220="","",IF(VLOOKUP(U220,'G-3 Multipliers'!$L$3:$N$6,3,FALSE)=0,"Spatial Data Missing ⚠",VLOOKUP(U220,'G-3 Multipliers'!$L$3:$N$6,3,FALSE)))</f>
        <v/>
      </c>
      <c r="X220" s="290" t="str">
        <f>IFERROR(IF(OR(LEFT(O220,5)="Error",LEFT(N220,5)="Error",T220="Error"),"Check Data ⚠",IF(F220&lt;R220,INDEX('G-6 Hedgerow Data'!$S$3:$AE$14,MATCH(C220,'G-6 Hedgerow Data'!$B$3:$B$14,0),MATCH(M220,'G-6 Hedgerow Data'!$S$2:$AE$2,0)),INDEX('G-6 Hedgerow Data'!$K$3:$Q$14,MATCH(M220,'G-6 Hedgerow Data'!$B$3:$B$14,0),MATCH(O220,'G-6 Hedgerow Data'!$K$2:$Q$2,0)))),"")</f>
        <v/>
      </c>
      <c r="Y220" s="138"/>
      <c r="Z220" s="138"/>
      <c r="AA220" s="298" t="str">
        <f t="shared" si="23"/>
        <v/>
      </c>
      <c r="AB220" s="311" t="str">
        <f t="shared" si="24"/>
        <v/>
      </c>
      <c r="AC220" s="312" t="str">
        <f t="shared" si="21"/>
        <v/>
      </c>
      <c r="AD220" s="325" t="str">
        <f>IF(M220="","",VLOOKUP(M220,'G-6 Hedgerow Data'!$B$3:$AG$15,31,FALSE))</f>
        <v/>
      </c>
      <c r="AE220" s="298" t="str">
        <f t="shared" si="25"/>
        <v/>
      </c>
      <c r="AF220" s="298" t="str">
        <f t="shared" si="26"/>
        <v/>
      </c>
      <c r="AG220" s="314" t="str">
        <f>IFERROR(IF(O220="","",VLOOKUP(AD220,'G-3 Multipliers'!$P$3:$Q$6,2,FALSE)),"")</f>
        <v/>
      </c>
      <c r="AH220" s="304" t="str">
        <f t="shared" si="27"/>
        <v/>
      </c>
      <c r="AI220" s="157"/>
      <c r="AJ220" s="99"/>
      <c r="AK220" s="101"/>
      <c r="AT220" s="15" t="str">
        <f>IFERROR(INDEX('G-6 Hedgerow Data'!$BJ$3:$BJ$15,MATCH(M220,'G-6 Hedgerow Data'!$B$3:$B$15,0)),"")</f>
        <v/>
      </c>
    </row>
    <row r="221" spans="2:46" ht="14" x14ac:dyDescent="0.3">
      <c r="B221" s="319" t="str">
        <f>'B-1 On-Site Hedge Baseline'!AK219</f>
        <v/>
      </c>
      <c r="C221" s="310" t="str">
        <f>IF(B221="","",IF(ISNA(VLOOKUP($B221,'B-1 On-Site Hedge Baseline'!$B$1:$L$257,3,FALSE)),"",(VLOOKUP($B221,'B-1 On-Site Hedge Baseline'!$B$1:$L$257,3,FALSE))))</f>
        <v/>
      </c>
      <c r="D221" s="310" t="str">
        <f>IF(B221="","",IF(ISNA(VLOOKUP($B221,'B-1 On-Site Hedge Baseline'!$B$1:$L$257,4,FALSE)),"",(VLOOKUP($B221,'B-1 On-Site Hedge Baseline'!$B$1:$L$257,4,FALSE))))</f>
        <v/>
      </c>
      <c r="E221" s="310" t="str">
        <f>IF(B221="","",IF(ISNA(VLOOKUP($B221,'B-1 On-Site Hedge Baseline'!$B$1:$L$257,5,FALSE)),"",(VLOOKUP($B221,'B-1 On-Site Hedge Baseline'!$B$1:$L$257,5,FALSE))))</f>
        <v/>
      </c>
      <c r="F221" s="310" t="str">
        <f>IF(B221="","",IF(ISNA(VLOOKUP($B221,'B-1 On-Site Hedge Baseline'!$B$1:$L$257,6,FALSE)),"",(VLOOKUP($B221,'B-1 On-Site Hedge Baseline'!$B$1:$L$257,6,FALSE))))</f>
        <v/>
      </c>
      <c r="G221" s="310" t="str">
        <f>IF(B221="","",IF(ISNA(VLOOKUP($B221,'B-1 On-Site Hedge Baseline'!$B$1:$L$257,7,FALSE)),"",(VLOOKUP($B221,'B-1 On-Site Hedge Baseline'!$B$1:$L$257,7,FALSE))))</f>
        <v/>
      </c>
      <c r="H221" s="310" t="str">
        <f>IF(B221="","",IF(ISNA(VLOOKUP($B221,'B-1 On-Site Hedge Baseline'!$B$1:$L$257,8,FALSE)),"",(VLOOKUP($B221,'B-1 On-Site Hedge Baseline'!$B$1:$L$257,8,FALSE))))</f>
        <v/>
      </c>
      <c r="I221" s="310" t="str">
        <f>IF(B221="","",IF(ISNA(VLOOKUP($B221,'B-1 On-Site Hedge Baseline'!$B$1:$L$257,10,FALSE)),"",(VLOOKUP($B221,'B-1 On-Site Hedge Baseline'!$B$1:$L$257,10,FALSE))))</f>
        <v/>
      </c>
      <c r="J221" s="310" t="str">
        <f>IF(B221="","",IF(ISNA(VLOOKUP($B221,'B-1 On-Site Hedge Baseline'!$B$1:$L$257,11,FALSE)),"",(VLOOKUP($B221,'B-1 On-Site Hedge Baseline'!$B$1:$L$257,11,FALSE))))</f>
        <v/>
      </c>
      <c r="K221" s="310" t="str">
        <f>IF(B221="","",IF(ISNA(VLOOKUP($B221,'B-1 On-Site Hedge Baseline'!$B$1:$U$257,13,FALSE)),"",(VLOOKUP($B221,'B-1 On-Site Hedge Baseline'!$B$1:$U$257,13,FALSE))))</f>
        <v/>
      </c>
      <c r="L221" s="314" t="str">
        <f>IF(B221="","",IF(ISNA(VLOOKUP($B221,'B-1 On-Site Hedge Baseline'!$B$1:$U$257,12,FALSE)),"",(VLOOKUP($B221,'B-1 On-Site Hedge Baseline'!$B$1:$U$257,12,FALSE))))</f>
        <v/>
      </c>
      <c r="M221" s="583"/>
      <c r="N221" s="290" t="str">
        <f>IFERROR(IF(B221="","",INDEX('G-6 Hedgerow Data'!$AN$3:$AZ$15,MATCH(C221,'G-6 Hedgerow Data'!$AM$3:$AM$15,0),MATCH(M221,'G-6 Hedgerow Data'!$AN$2:$AZ$2,0))),"")</f>
        <v/>
      </c>
      <c r="O221" s="291" t="str">
        <f t="shared" si="22"/>
        <v/>
      </c>
      <c r="P221" s="341" t="str">
        <f>IF(B221="","",VLOOKUP(B221,'B-1 On-Site Hedge Baseline'!$B$10:T466,16,FALSE))</f>
        <v/>
      </c>
      <c r="Q221" s="290" t="str">
        <f>IF(M221="","",VLOOKUP(M221,'G-6 Hedgerow Data'!$B$2:$AG$15,2,FALSE))</f>
        <v/>
      </c>
      <c r="R221" s="291" t="str">
        <f>IF(M221="","",VLOOKUP(M221,'G-6 Hedgerow Data'!$B$2:$AG$15,3,FALSE))</f>
        <v/>
      </c>
      <c r="S221" s="106"/>
      <c r="T221" s="328" t="str">
        <f>IFERROR(IF(S221="","",IF(AND(M221="Non-native and ornamental hedgerow", S221&lt;&gt;"Poor"),"Not possible ▲", (VLOOKUP(S221,'G-1 All Habitats'!$Z$2:$AA$9,2,FALSE)))),"")</f>
        <v/>
      </c>
      <c r="U221" s="103"/>
      <c r="V221" s="310" t="str">
        <f>IF(U221="","",IF(VLOOKUP(U221,'G-3 Multipliers'!$L$3:$N$6,2,FALSE)=0,"Spatial Data Missing ⚠",VLOOKUP(U221,'G-3 Multipliers'!$L$3:$N$6,2,FALSE)))</f>
        <v/>
      </c>
      <c r="W221" s="314" t="str">
        <f>IF(U221="","",IF(VLOOKUP(U221,'G-3 Multipliers'!$L$3:$N$6,3,FALSE)=0,"Spatial Data Missing ⚠",VLOOKUP(U221,'G-3 Multipliers'!$L$3:$N$6,3,FALSE)))</f>
        <v/>
      </c>
      <c r="X221" s="290" t="str">
        <f>IFERROR(IF(OR(LEFT(O221,5)="Error",LEFT(N221,5)="Error",T221="Error"),"Check Data ⚠",IF(F221&lt;R221,INDEX('G-6 Hedgerow Data'!$S$3:$AE$14,MATCH(C221,'G-6 Hedgerow Data'!$B$3:$B$14,0),MATCH(M221,'G-6 Hedgerow Data'!$S$2:$AE$2,0)),INDEX('G-6 Hedgerow Data'!$K$3:$Q$14,MATCH(M221,'G-6 Hedgerow Data'!$B$3:$B$14,0),MATCH(O221,'G-6 Hedgerow Data'!$K$2:$Q$2,0)))),"")</f>
        <v/>
      </c>
      <c r="Y221" s="138"/>
      <c r="Z221" s="138"/>
      <c r="AA221" s="298" t="str">
        <f t="shared" si="23"/>
        <v/>
      </c>
      <c r="AB221" s="311" t="str">
        <f t="shared" si="24"/>
        <v/>
      </c>
      <c r="AC221" s="312" t="str">
        <f t="shared" si="21"/>
        <v/>
      </c>
      <c r="AD221" s="325" t="str">
        <f>IF(M221="","",VLOOKUP(M221,'G-6 Hedgerow Data'!$B$3:$AG$15,31,FALSE))</f>
        <v/>
      </c>
      <c r="AE221" s="298" t="str">
        <f t="shared" si="25"/>
        <v/>
      </c>
      <c r="AF221" s="298" t="str">
        <f t="shared" si="26"/>
        <v/>
      </c>
      <c r="AG221" s="314" t="str">
        <f>IFERROR(IF(O221="","",VLOOKUP(AD221,'G-3 Multipliers'!$P$3:$Q$6,2,FALSE)),"")</f>
        <v/>
      </c>
      <c r="AH221" s="304" t="str">
        <f t="shared" si="27"/>
        <v/>
      </c>
      <c r="AI221" s="157"/>
      <c r="AJ221" s="99"/>
      <c r="AK221" s="101"/>
      <c r="AT221" s="15" t="str">
        <f>IFERROR(INDEX('G-6 Hedgerow Data'!$BJ$3:$BJ$15,MATCH(M221,'G-6 Hedgerow Data'!$B$3:$B$15,0)),"")</f>
        <v/>
      </c>
    </row>
    <row r="222" spans="2:46" ht="14" x14ac:dyDescent="0.3">
      <c r="B222" s="319" t="str">
        <f>'B-1 On-Site Hedge Baseline'!AK220</f>
        <v/>
      </c>
      <c r="C222" s="310" t="str">
        <f>IF(B222="","",IF(ISNA(VLOOKUP($B222,'B-1 On-Site Hedge Baseline'!$B$1:$L$257,3,FALSE)),"",(VLOOKUP($B222,'B-1 On-Site Hedge Baseline'!$B$1:$L$257,3,FALSE))))</f>
        <v/>
      </c>
      <c r="D222" s="310" t="str">
        <f>IF(B222="","",IF(ISNA(VLOOKUP($B222,'B-1 On-Site Hedge Baseline'!$B$1:$L$257,4,FALSE)),"",(VLOOKUP($B222,'B-1 On-Site Hedge Baseline'!$B$1:$L$257,4,FALSE))))</f>
        <v/>
      </c>
      <c r="E222" s="310" t="str">
        <f>IF(B222="","",IF(ISNA(VLOOKUP($B222,'B-1 On-Site Hedge Baseline'!$B$1:$L$257,5,FALSE)),"",(VLOOKUP($B222,'B-1 On-Site Hedge Baseline'!$B$1:$L$257,5,FALSE))))</f>
        <v/>
      </c>
      <c r="F222" s="310" t="str">
        <f>IF(B222="","",IF(ISNA(VLOOKUP($B222,'B-1 On-Site Hedge Baseline'!$B$1:$L$257,6,FALSE)),"",(VLOOKUP($B222,'B-1 On-Site Hedge Baseline'!$B$1:$L$257,6,FALSE))))</f>
        <v/>
      </c>
      <c r="G222" s="310" t="str">
        <f>IF(B222="","",IF(ISNA(VLOOKUP($B222,'B-1 On-Site Hedge Baseline'!$B$1:$L$257,7,FALSE)),"",(VLOOKUP($B222,'B-1 On-Site Hedge Baseline'!$B$1:$L$257,7,FALSE))))</f>
        <v/>
      </c>
      <c r="H222" s="310" t="str">
        <f>IF(B222="","",IF(ISNA(VLOOKUP($B222,'B-1 On-Site Hedge Baseline'!$B$1:$L$257,8,FALSE)),"",(VLOOKUP($B222,'B-1 On-Site Hedge Baseline'!$B$1:$L$257,8,FALSE))))</f>
        <v/>
      </c>
      <c r="I222" s="310" t="str">
        <f>IF(B222="","",IF(ISNA(VLOOKUP($B222,'B-1 On-Site Hedge Baseline'!$B$1:$L$257,10,FALSE)),"",(VLOOKUP($B222,'B-1 On-Site Hedge Baseline'!$B$1:$L$257,10,FALSE))))</f>
        <v/>
      </c>
      <c r="J222" s="310" t="str">
        <f>IF(B222="","",IF(ISNA(VLOOKUP($B222,'B-1 On-Site Hedge Baseline'!$B$1:$L$257,11,FALSE)),"",(VLOOKUP($B222,'B-1 On-Site Hedge Baseline'!$B$1:$L$257,11,FALSE))))</f>
        <v/>
      </c>
      <c r="K222" s="310" t="str">
        <f>IF(B222="","",IF(ISNA(VLOOKUP($B222,'B-1 On-Site Hedge Baseline'!$B$1:$U$257,13,FALSE)),"",(VLOOKUP($B222,'B-1 On-Site Hedge Baseline'!$B$1:$U$257,13,FALSE))))</f>
        <v/>
      </c>
      <c r="L222" s="314" t="str">
        <f>IF(B222="","",IF(ISNA(VLOOKUP($B222,'B-1 On-Site Hedge Baseline'!$B$1:$U$257,12,FALSE)),"",(VLOOKUP($B222,'B-1 On-Site Hedge Baseline'!$B$1:$U$257,12,FALSE))))</f>
        <v/>
      </c>
      <c r="M222" s="583"/>
      <c r="N222" s="290" t="str">
        <f>IFERROR(IF(B222="","",INDEX('G-6 Hedgerow Data'!$AN$3:$AZ$15,MATCH(C222,'G-6 Hedgerow Data'!$AM$3:$AM$15,0),MATCH(M222,'G-6 Hedgerow Data'!$AN$2:$AZ$2,0))),"")</f>
        <v/>
      </c>
      <c r="O222" s="291" t="str">
        <f t="shared" si="22"/>
        <v/>
      </c>
      <c r="P222" s="341" t="str">
        <f>IF(B222="","",VLOOKUP(B222,'B-1 On-Site Hedge Baseline'!$B$10:T467,16,FALSE))</f>
        <v/>
      </c>
      <c r="Q222" s="290" t="str">
        <f>IF(M222="","",VLOOKUP(M222,'G-6 Hedgerow Data'!$B$2:$AG$15,2,FALSE))</f>
        <v/>
      </c>
      <c r="R222" s="291" t="str">
        <f>IF(M222="","",VLOOKUP(M222,'G-6 Hedgerow Data'!$B$2:$AG$15,3,FALSE))</f>
        <v/>
      </c>
      <c r="S222" s="106"/>
      <c r="T222" s="328" t="str">
        <f>IFERROR(IF(S222="","",IF(AND(M222="Non-native and ornamental hedgerow", S222&lt;&gt;"Poor"),"Not possible ▲", (VLOOKUP(S222,'G-1 All Habitats'!$Z$2:$AA$9,2,FALSE)))),"")</f>
        <v/>
      </c>
      <c r="U222" s="103"/>
      <c r="V222" s="310" t="str">
        <f>IF(U222="","",IF(VLOOKUP(U222,'G-3 Multipliers'!$L$3:$N$6,2,FALSE)=0,"Spatial Data Missing ⚠",VLOOKUP(U222,'G-3 Multipliers'!$L$3:$N$6,2,FALSE)))</f>
        <v/>
      </c>
      <c r="W222" s="314" t="str">
        <f>IF(U222="","",IF(VLOOKUP(U222,'G-3 Multipliers'!$L$3:$N$6,3,FALSE)=0,"Spatial Data Missing ⚠",VLOOKUP(U222,'G-3 Multipliers'!$L$3:$N$6,3,FALSE)))</f>
        <v/>
      </c>
      <c r="X222" s="290" t="str">
        <f>IFERROR(IF(OR(LEFT(O222,5)="Error",LEFT(N222,5)="Error",T222="Error"),"Check Data ⚠",IF(F222&lt;R222,INDEX('G-6 Hedgerow Data'!$S$3:$AE$14,MATCH(C222,'G-6 Hedgerow Data'!$B$3:$B$14,0),MATCH(M222,'G-6 Hedgerow Data'!$S$2:$AE$2,0)),INDEX('G-6 Hedgerow Data'!$K$3:$Q$14,MATCH(M222,'G-6 Hedgerow Data'!$B$3:$B$14,0),MATCH(O222,'G-6 Hedgerow Data'!$K$2:$Q$2,0)))),"")</f>
        <v/>
      </c>
      <c r="Y222" s="138"/>
      <c r="Z222" s="138"/>
      <c r="AA222" s="298" t="str">
        <f t="shared" si="23"/>
        <v/>
      </c>
      <c r="AB222" s="311" t="str">
        <f t="shared" si="24"/>
        <v/>
      </c>
      <c r="AC222" s="312" t="str">
        <f t="shared" si="21"/>
        <v/>
      </c>
      <c r="AD222" s="325" t="str">
        <f>IF(M222="","",VLOOKUP(M222,'G-6 Hedgerow Data'!$B$3:$AG$15,31,FALSE))</f>
        <v/>
      </c>
      <c r="AE222" s="298" t="str">
        <f t="shared" si="25"/>
        <v/>
      </c>
      <c r="AF222" s="298" t="str">
        <f t="shared" si="26"/>
        <v/>
      </c>
      <c r="AG222" s="314" t="str">
        <f>IFERROR(IF(O222="","",VLOOKUP(AD222,'G-3 Multipliers'!$P$3:$Q$6,2,FALSE)),"")</f>
        <v/>
      </c>
      <c r="AH222" s="304" t="str">
        <f t="shared" si="27"/>
        <v/>
      </c>
      <c r="AI222" s="157"/>
      <c r="AJ222" s="99"/>
      <c r="AK222" s="101"/>
      <c r="AT222" s="15" t="str">
        <f>IFERROR(INDEX('G-6 Hedgerow Data'!$BJ$3:$BJ$15,MATCH(M222,'G-6 Hedgerow Data'!$B$3:$B$15,0)),"")</f>
        <v/>
      </c>
    </row>
    <row r="223" spans="2:46" ht="14" x14ac:dyDescent="0.3">
      <c r="B223" s="319" t="str">
        <f>'B-1 On-Site Hedge Baseline'!AK221</f>
        <v/>
      </c>
      <c r="C223" s="310" t="str">
        <f>IF(B223="","",IF(ISNA(VLOOKUP($B223,'B-1 On-Site Hedge Baseline'!$B$1:$L$257,3,FALSE)),"",(VLOOKUP($B223,'B-1 On-Site Hedge Baseline'!$B$1:$L$257,3,FALSE))))</f>
        <v/>
      </c>
      <c r="D223" s="310" t="str">
        <f>IF(B223="","",IF(ISNA(VLOOKUP($B223,'B-1 On-Site Hedge Baseline'!$B$1:$L$257,4,FALSE)),"",(VLOOKUP($B223,'B-1 On-Site Hedge Baseline'!$B$1:$L$257,4,FALSE))))</f>
        <v/>
      </c>
      <c r="E223" s="310" t="str">
        <f>IF(B223="","",IF(ISNA(VLOOKUP($B223,'B-1 On-Site Hedge Baseline'!$B$1:$L$257,5,FALSE)),"",(VLOOKUP($B223,'B-1 On-Site Hedge Baseline'!$B$1:$L$257,5,FALSE))))</f>
        <v/>
      </c>
      <c r="F223" s="310" t="str">
        <f>IF(B223="","",IF(ISNA(VLOOKUP($B223,'B-1 On-Site Hedge Baseline'!$B$1:$L$257,6,FALSE)),"",(VLOOKUP($B223,'B-1 On-Site Hedge Baseline'!$B$1:$L$257,6,FALSE))))</f>
        <v/>
      </c>
      <c r="G223" s="310" t="str">
        <f>IF(B223="","",IF(ISNA(VLOOKUP($B223,'B-1 On-Site Hedge Baseline'!$B$1:$L$257,7,FALSE)),"",(VLOOKUP($B223,'B-1 On-Site Hedge Baseline'!$B$1:$L$257,7,FALSE))))</f>
        <v/>
      </c>
      <c r="H223" s="310" t="str">
        <f>IF(B223="","",IF(ISNA(VLOOKUP($B223,'B-1 On-Site Hedge Baseline'!$B$1:$L$257,8,FALSE)),"",(VLOOKUP($B223,'B-1 On-Site Hedge Baseline'!$B$1:$L$257,8,FALSE))))</f>
        <v/>
      </c>
      <c r="I223" s="310" t="str">
        <f>IF(B223="","",IF(ISNA(VLOOKUP($B223,'B-1 On-Site Hedge Baseline'!$B$1:$L$257,10,FALSE)),"",(VLOOKUP($B223,'B-1 On-Site Hedge Baseline'!$B$1:$L$257,10,FALSE))))</f>
        <v/>
      </c>
      <c r="J223" s="310" t="str">
        <f>IF(B223="","",IF(ISNA(VLOOKUP($B223,'B-1 On-Site Hedge Baseline'!$B$1:$L$257,11,FALSE)),"",(VLOOKUP($B223,'B-1 On-Site Hedge Baseline'!$B$1:$L$257,11,FALSE))))</f>
        <v/>
      </c>
      <c r="K223" s="310" t="str">
        <f>IF(B223="","",IF(ISNA(VLOOKUP($B223,'B-1 On-Site Hedge Baseline'!$B$1:$U$257,13,FALSE)),"",(VLOOKUP($B223,'B-1 On-Site Hedge Baseline'!$B$1:$U$257,13,FALSE))))</f>
        <v/>
      </c>
      <c r="L223" s="314" t="str">
        <f>IF(B223="","",IF(ISNA(VLOOKUP($B223,'B-1 On-Site Hedge Baseline'!$B$1:$U$257,12,FALSE)),"",(VLOOKUP($B223,'B-1 On-Site Hedge Baseline'!$B$1:$U$257,12,FALSE))))</f>
        <v/>
      </c>
      <c r="M223" s="583"/>
      <c r="N223" s="290" t="str">
        <f>IFERROR(IF(B223="","",INDEX('G-6 Hedgerow Data'!$AN$3:$AZ$15,MATCH(C223,'G-6 Hedgerow Data'!$AM$3:$AM$15,0),MATCH(M223,'G-6 Hedgerow Data'!$AN$2:$AZ$2,0))),"")</f>
        <v/>
      </c>
      <c r="O223" s="291" t="str">
        <f t="shared" si="22"/>
        <v/>
      </c>
      <c r="P223" s="341" t="str">
        <f>IF(B223="","",VLOOKUP(B223,'B-1 On-Site Hedge Baseline'!$B$10:T468,16,FALSE))</f>
        <v/>
      </c>
      <c r="Q223" s="290" t="str">
        <f>IF(M223="","",VLOOKUP(M223,'G-6 Hedgerow Data'!$B$2:$AG$15,2,FALSE))</f>
        <v/>
      </c>
      <c r="R223" s="291" t="str">
        <f>IF(M223="","",VLOOKUP(M223,'G-6 Hedgerow Data'!$B$2:$AG$15,3,FALSE))</f>
        <v/>
      </c>
      <c r="S223" s="106"/>
      <c r="T223" s="328" t="str">
        <f>IFERROR(IF(S223="","",IF(AND(M223="Non-native and ornamental hedgerow", S223&lt;&gt;"Poor"),"Not possible ▲", (VLOOKUP(S223,'G-1 All Habitats'!$Z$2:$AA$9,2,FALSE)))),"")</f>
        <v/>
      </c>
      <c r="U223" s="103"/>
      <c r="V223" s="310" t="str">
        <f>IF(U223="","",IF(VLOOKUP(U223,'G-3 Multipliers'!$L$3:$N$6,2,FALSE)=0,"Spatial Data Missing ⚠",VLOOKUP(U223,'G-3 Multipliers'!$L$3:$N$6,2,FALSE)))</f>
        <v/>
      </c>
      <c r="W223" s="314" t="str">
        <f>IF(U223="","",IF(VLOOKUP(U223,'G-3 Multipliers'!$L$3:$N$6,3,FALSE)=0,"Spatial Data Missing ⚠",VLOOKUP(U223,'G-3 Multipliers'!$L$3:$N$6,3,FALSE)))</f>
        <v/>
      </c>
      <c r="X223" s="290" t="str">
        <f>IFERROR(IF(OR(LEFT(O223,5)="Error",LEFT(N223,5)="Error",T223="Error"),"Check Data ⚠",IF(F223&lt;R223,INDEX('G-6 Hedgerow Data'!$S$3:$AE$14,MATCH(C223,'G-6 Hedgerow Data'!$B$3:$B$14,0),MATCH(M223,'G-6 Hedgerow Data'!$S$2:$AE$2,0)),INDEX('G-6 Hedgerow Data'!$K$3:$Q$14,MATCH(M223,'G-6 Hedgerow Data'!$B$3:$B$14,0),MATCH(O223,'G-6 Hedgerow Data'!$K$2:$Q$2,0)))),"")</f>
        <v/>
      </c>
      <c r="Y223" s="138"/>
      <c r="Z223" s="138"/>
      <c r="AA223" s="298" t="str">
        <f t="shared" si="23"/>
        <v/>
      </c>
      <c r="AB223" s="311" t="str">
        <f t="shared" si="24"/>
        <v/>
      </c>
      <c r="AC223" s="312" t="str">
        <f t="shared" si="21"/>
        <v/>
      </c>
      <c r="AD223" s="325" t="str">
        <f>IF(M223="","",VLOOKUP(M223,'G-6 Hedgerow Data'!$B$3:$AG$15,31,FALSE))</f>
        <v/>
      </c>
      <c r="AE223" s="298" t="str">
        <f t="shared" si="25"/>
        <v/>
      </c>
      <c r="AF223" s="298" t="str">
        <f t="shared" si="26"/>
        <v/>
      </c>
      <c r="AG223" s="314" t="str">
        <f>IFERROR(IF(O223="","",VLOOKUP(AD223,'G-3 Multipliers'!$P$3:$Q$6,2,FALSE)),"")</f>
        <v/>
      </c>
      <c r="AH223" s="304" t="str">
        <f t="shared" si="27"/>
        <v/>
      </c>
      <c r="AI223" s="157"/>
      <c r="AJ223" s="99"/>
      <c r="AK223" s="101"/>
      <c r="AT223" s="15" t="str">
        <f>IFERROR(INDEX('G-6 Hedgerow Data'!$BJ$3:$BJ$15,MATCH(M223,'G-6 Hedgerow Data'!$B$3:$B$15,0)),"")</f>
        <v/>
      </c>
    </row>
    <row r="224" spans="2:46" ht="14" x14ac:dyDescent="0.3">
      <c r="B224" s="319" t="str">
        <f>'B-1 On-Site Hedge Baseline'!AK222</f>
        <v/>
      </c>
      <c r="C224" s="310" t="str">
        <f>IF(B224="","",IF(ISNA(VLOOKUP($B224,'B-1 On-Site Hedge Baseline'!$B$1:$L$257,3,FALSE)),"",(VLOOKUP($B224,'B-1 On-Site Hedge Baseline'!$B$1:$L$257,3,FALSE))))</f>
        <v/>
      </c>
      <c r="D224" s="310" t="str">
        <f>IF(B224="","",IF(ISNA(VLOOKUP($B224,'B-1 On-Site Hedge Baseline'!$B$1:$L$257,4,FALSE)),"",(VLOOKUP($B224,'B-1 On-Site Hedge Baseline'!$B$1:$L$257,4,FALSE))))</f>
        <v/>
      </c>
      <c r="E224" s="310" t="str">
        <f>IF(B224="","",IF(ISNA(VLOOKUP($B224,'B-1 On-Site Hedge Baseline'!$B$1:$L$257,5,FALSE)),"",(VLOOKUP($B224,'B-1 On-Site Hedge Baseline'!$B$1:$L$257,5,FALSE))))</f>
        <v/>
      </c>
      <c r="F224" s="310" t="str">
        <f>IF(B224="","",IF(ISNA(VLOOKUP($B224,'B-1 On-Site Hedge Baseline'!$B$1:$L$257,6,FALSE)),"",(VLOOKUP($B224,'B-1 On-Site Hedge Baseline'!$B$1:$L$257,6,FALSE))))</f>
        <v/>
      </c>
      <c r="G224" s="310" t="str">
        <f>IF(B224="","",IF(ISNA(VLOOKUP($B224,'B-1 On-Site Hedge Baseline'!$B$1:$L$257,7,FALSE)),"",(VLOOKUP($B224,'B-1 On-Site Hedge Baseline'!$B$1:$L$257,7,FALSE))))</f>
        <v/>
      </c>
      <c r="H224" s="310" t="str">
        <f>IF(B224="","",IF(ISNA(VLOOKUP($B224,'B-1 On-Site Hedge Baseline'!$B$1:$L$257,8,FALSE)),"",(VLOOKUP($B224,'B-1 On-Site Hedge Baseline'!$B$1:$L$257,8,FALSE))))</f>
        <v/>
      </c>
      <c r="I224" s="310" t="str">
        <f>IF(B224="","",IF(ISNA(VLOOKUP($B224,'B-1 On-Site Hedge Baseline'!$B$1:$L$257,10,FALSE)),"",(VLOOKUP($B224,'B-1 On-Site Hedge Baseline'!$B$1:$L$257,10,FALSE))))</f>
        <v/>
      </c>
      <c r="J224" s="310" t="str">
        <f>IF(B224="","",IF(ISNA(VLOOKUP($B224,'B-1 On-Site Hedge Baseline'!$B$1:$L$257,11,FALSE)),"",(VLOOKUP($B224,'B-1 On-Site Hedge Baseline'!$B$1:$L$257,11,FALSE))))</f>
        <v/>
      </c>
      <c r="K224" s="310" t="str">
        <f>IF(B224="","",IF(ISNA(VLOOKUP($B224,'B-1 On-Site Hedge Baseline'!$B$1:$U$257,13,FALSE)),"",(VLOOKUP($B224,'B-1 On-Site Hedge Baseline'!$B$1:$U$257,13,FALSE))))</f>
        <v/>
      </c>
      <c r="L224" s="314" t="str">
        <f>IF(B224="","",IF(ISNA(VLOOKUP($B224,'B-1 On-Site Hedge Baseline'!$B$1:$U$257,12,FALSE)),"",(VLOOKUP($B224,'B-1 On-Site Hedge Baseline'!$B$1:$U$257,12,FALSE))))</f>
        <v/>
      </c>
      <c r="M224" s="583"/>
      <c r="N224" s="290" t="str">
        <f>IFERROR(IF(B224="","",INDEX('G-6 Hedgerow Data'!$AN$3:$AZ$15,MATCH(C224,'G-6 Hedgerow Data'!$AM$3:$AM$15,0),MATCH(M224,'G-6 Hedgerow Data'!$AN$2:$AZ$2,0))),"")</f>
        <v/>
      </c>
      <c r="O224" s="291" t="str">
        <f t="shared" si="22"/>
        <v/>
      </c>
      <c r="P224" s="341" t="str">
        <f>IF(B224="","",VLOOKUP(B224,'B-1 On-Site Hedge Baseline'!$B$10:T469,16,FALSE))</f>
        <v/>
      </c>
      <c r="Q224" s="290" t="str">
        <f>IF(M224="","",VLOOKUP(M224,'G-6 Hedgerow Data'!$B$2:$AG$15,2,FALSE))</f>
        <v/>
      </c>
      <c r="R224" s="291" t="str">
        <f>IF(M224="","",VLOOKUP(M224,'G-6 Hedgerow Data'!$B$2:$AG$15,3,FALSE))</f>
        <v/>
      </c>
      <c r="S224" s="106"/>
      <c r="T224" s="328" t="str">
        <f>IFERROR(IF(S224="","",IF(AND(M224="Non-native and ornamental hedgerow", S224&lt;&gt;"Poor"),"Not possible ▲", (VLOOKUP(S224,'G-1 All Habitats'!$Z$2:$AA$9,2,FALSE)))),"")</f>
        <v/>
      </c>
      <c r="U224" s="103"/>
      <c r="V224" s="310" t="str">
        <f>IF(U224="","",IF(VLOOKUP(U224,'G-3 Multipliers'!$L$3:$N$6,2,FALSE)=0,"Spatial Data Missing ⚠",VLOOKUP(U224,'G-3 Multipliers'!$L$3:$N$6,2,FALSE)))</f>
        <v/>
      </c>
      <c r="W224" s="314" t="str">
        <f>IF(U224="","",IF(VLOOKUP(U224,'G-3 Multipliers'!$L$3:$N$6,3,FALSE)=0,"Spatial Data Missing ⚠",VLOOKUP(U224,'G-3 Multipliers'!$L$3:$N$6,3,FALSE)))</f>
        <v/>
      </c>
      <c r="X224" s="290" t="str">
        <f>IFERROR(IF(OR(LEFT(O224,5)="Error",LEFT(N224,5)="Error",T224="Error"),"Check Data ⚠",IF(F224&lt;R224,INDEX('G-6 Hedgerow Data'!$S$3:$AE$14,MATCH(C224,'G-6 Hedgerow Data'!$B$3:$B$14,0),MATCH(M224,'G-6 Hedgerow Data'!$S$2:$AE$2,0)),INDEX('G-6 Hedgerow Data'!$K$3:$Q$14,MATCH(M224,'G-6 Hedgerow Data'!$B$3:$B$14,0),MATCH(O224,'G-6 Hedgerow Data'!$K$2:$Q$2,0)))),"")</f>
        <v/>
      </c>
      <c r="Y224" s="138"/>
      <c r="Z224" s="138"/>
      <c r="AA224" s="298" t="str">
        <f t="shared" si="23"/>
        <v/>
      </c>
      <c r="AB224" s="311" t="str">
        <f t="shared" si="24"/>
        <v/>
      </c>
      <c r="AC224" s="312" t="str">
        <f t="shared" si="21"/>
        <v/>
      </c>
      <c r="AD224" s="325" t="str">
        <f>IF(M224="","",VLOOKUP(M224,'G-6 Hedgerow Data'!$B$3:$AG$15,31,FALSE))</f>
        <v/>
      </c>
      <c r="AE224" s="298" t="str">
        <f t="shared" si="25"/>
        <v/>
      </c>
      <c r="AF224" s="298" t="str">
        <f t="shared" si="26"/>
        <v/>
      </c>
      <c r="AG224" s="314" t="str">
        <f>IFERROR(IF(O224="","",VLOOKUP(AD224,'G-3 Multipliers'!$P$3:$Q$6,2,FALSE)),"")</f>
        <v/>
      </c>
      <c r="AH224" s="304" t="str">
        <f t="shared" si="27"/>
        <v/>
      </c>
      <c r="AI224" s="157"/>
      <c r="AJ224" s="99"/>
      <c r="AK224" s="101"/>
      <c r="AT224" s="15" t="str">
        <f>IFERROR(INDEX('G-6 Hedgerow Data'!$BJ$3:$BJ$15,MATCH(M224,'G-6 Hedgerow Data'!$B$3:$B$15,0)),"")</f>
        <v/>
      </c>
    </row>
    <row r="225" spans="2:46" ht="14" x14ac:dyDescent="0.3">
      <c r="B225" s="319" t="str">
        <f>'B-1 On-Site Hedge Baseline'!AK223</f>
        <v/>
      </c>
      <c r="C225" s="310" t="str">
        <f>IF(B225="","",IF(ISNA(VLOOKUP($B225,'B-1 On-Site Hedge Baseline'!$B$1:$L$257,3,FALSE)),"",(VLOOKUP($B225,'B-1 On-Site Hedge Baseline'!$B$1:$L$257,3,FALSE))))</f>
        <v/>
      </c>
      <c r="D225" s="310" t="str">
        <f>IF(B225="","",IF(ISNA(VLOOKUP($B225,'B-1 On-Site Hedge Baseline'!$B$1:$L$257,4,FALSE)),"",(VLOOKUP($B225,'B-1 On-Site Hedge Baseline'!$B$1:$L$257,4,FALSE))))</f>
        <v/>
      </c>
      <c r="E225" s="310" t="str">
        <f>IF(B225="","",IF(ISNA(VLOOKUP($B225,'B-1 On-Site Hedge Baseline'!$B$1:$L$257,5,FALSE)),"",(VLOOKUP($B225,'B-1 On-Site Hedge Baseline'!$B$1:$L$257,5,FALSE))))</f>
        <v/>
      </c>
      <c r="F225" s="310" t="str">
        <f>IF(B225="","",IF(ISNA(VLOOKUP($B225,'B-1 On-Site Hedge Baseline'!$B$1:$L$257,6,FALSE)),"",(VLOOKUP($B225,'B-1 On-Site Hedge Baseline'!$B$1:$L$257,6,FALSE))))</f>
        <v/>
      </c>
      <c r="G225" s="310" t="str">
        <f>IF(B225="","",IF(ISNA(VLOOKUP($B225,'B-1 On-Site Hedge Baseline'!$B$1:$L$257,7,FALSE)),"",(VLOOKUP($B225,'B-1 On-Site Hedge Baseline'!$B$1:$L$257,7,FALSE))))</f>
        <v/>
      </c>
      <c r="H225" s="310" t="str">
        <f>IF(B225="","",IF(ISNA(VLOOKUP($B225,'B-1 On-Site Hedge Baseline'!$B$1:$L$257,8,FALSE)),"",(VLOOKUP($B225,'B-1 On-Site Hedge Baseline'!$B$1:$L$257,8,FALSE))))</f>
        <v/>
      </c>
      <c r="I225" s="310" t="str">
        <f>IF(B225="","",IF(ISNA(VLOOKUP($B225,'B-1 On-Site Hedge Baseline'!$B$1:$L$257,10,FALSE)),"",(VLOOKUP($B225,'B-1 On-Site Hedge Baseline'!$B$1:$L$257,10,FALSE))))</f>
        <v/>
      </c>
      <c r="J225" s="310" t="str">
        <f>IF(B225="","",IF(ISNA(VLOOKUP($B225,'B-1 On-Site Hedge Baseline'!$B$1:$L$257,11,FALSE)),"",(VLOOKUP($B225,'B-1 On-Site Hedge Baseline'!$B$1:$L$257,11,FALSE))))</f>
        <v/>
      </c>
      <c r="K225" s="310" t="str">
        <f>IF(B225="","",IF(ISNA(VLOOKUP($B225,'B-1 On-Site Hedge Baseline'!$B$1:$U$257,13,FALSE)),"",(VLOOKUP($B225,'B-1 On-Site Hedge Baseline'!$B$1:$U$257,13,FALSE))))</f>
        <v/>
      </c>
      <c r="L225" s="314" t="str">
        <f>IF(B225="","",IF(ISNA(VLOOKUP($B225,'B-1 On-Site Hedge Baseline'!$B$1:$U$257,12,FALSE)),"",(VLOOKUP($B225,'B-1 On-Site Hedge Baseline'!$B$1:$U$257,12,FALSE))))</f>
        <v/>
      </c>
      <c r="M225" s="583"/>
      <c r="N225" s="290" t="str">
        <f>IFERROR(IF(B225="","",INDEX('G-6 Hedgerow Data'!$AN$3:$AZ$15,MATCH(C225,'G-6 Hedgerow Data'!$AM$3:$AM$15,0),MATCH(M225,'G-6 Hedgerow Data'!$AN$2:$AZ$2,0))),"")</f>
        <v/>
      </c>
      <c r="O225" s="291" t="str">
        <f t="shared" si="22"/>
        <v/>
      </c>
      <c r="P225" s="341" t="str">
        <f>IF(B225="","",VLOOKUP(B225,'B-1 On-Site Hedge Baseline'!$B$10:T470,16,FALSE))</f>
        <v/>
      </c>
      <c r="Q225" s="290" t="str">
        <f>IF(M225="","",VLOOKUP(M225,'G-6 Hedgerow Data'!$B$2:$AG$15,2,FALSE))</f>
        <v/>
      </c>
      <c r="R225" s="291" t="str">
        <f>IF(M225="","",VLOOKUP(M225,'G-6 Hedgerow Data'!$B$2:$AG$15,3,FALSE))</f>
        <v/>
      </c>
      <c r="S225" s="106"/>
      <c r="T225" s="328" t="str">
        <f>IFERROR(IF(S225="","",IF(AND(M225="Non-native and ornamental hedgerow", S225&lt;&gt;"Poor"),"Not possible ▲", (VLOOKUP(S225,'G-1 All Habitats'!$Z$2:$AA$9,2,FALSE)))),"")</f>
        <v/>
      </c>
      <c r="U225" s="103"/>
      <c r="V225" s="310" t="str">
        <f>IF(U225="","",IF(VLOOKUP(U225,'G-3 Multipliers'!$L$3:$N$6,2,FALSE)=0,"Spatial Data Missing ⚠",VLOOKUP(U225,'G-3 Multipliers'!$L$3:$N$6,2,FALSE)))</f>
        <v/>
      </c>
      <c r="W225" s="314" t="str">
        <f>IF(U225="","",IF(VLOOKUP(U225,'G-3 Multipliers'!$L$3:$N$6,3,FALSE)=0,"Spatial Data Missing ⚠",VLOOKUP(U225,'G-3 Multipliers'!$L$3:$N$6,3,FALSE)))</f>
        <v/>
      </c>
      <c r="X225" s="290" t="str">
        <f>IFERROR(IF(OR(LEFT(O225,5)="Error",LEFT(N225,5)="Error",T225="Error"),"Check Data ⚠",IF(F225&lt;R225,INDEX('G-6 Hedgerow Data'!$S$3:$AE$14,MATCH(C225,'G-6 Hedgerow Data'!$B$3:$B$14,0),MATCH(M225,'G-6 Hedgerow Data'!$S$2:$AE$2,0)),INDEX('G-6 Hedgerow Data'!$K$3:$Q$14,MATCH(M225,'G-6 Hedgerow Data'!$B$3:$B$14,0),MATCH(O225,'G-6 Hedgerow Data'!$K$2:$Q$2,0)))),"")</f>
        <v/>
      </c>
      <c r="Y225" s="138"/>
      <c r="Z225" s="138"/>
      <c r="AA225" s="298" t="str">
        <f t="shared" si="23"/>
        <v/>
      </c>
      <c r="AB225" s="311" t="str">
        <f t="shared" si="24"/>
        <v/>
      </c>
      <c r="AC225" s="312" t="str">
        <f t="shared" si="21"/>
        <v/>
      </c>
      <c r="AD225" s="325" t="str">
        <f>IF(M225="","",VLOOKUP(M225,'G-6 Hedgerow Data'!$B$3:$AG$15,31,FALSE))</f>
        <v/>
      </c>
      <c r="AE225" s="298" t="str">
        <f t="shared" si="25"/>
        <v/>
      </c>
      <c r="AF225" s="298" t="str">
        <f t="shared" si="26"/>
        <v/>
      </c>
      <c r="AG225" s="314" t="str">
        <f>IFERROR(IF(O225="","",VLOOKUP(AD225,'G-3 Multipliers'!$P$3:$Q$6,2,FALSE)),"")</f>
        <v/>
      </c>
      <c r="AH225" s="304" t="str">
        <f t="shared" si="27"/>
        <v/>
      </c>
      <c r="AI225" s="157"/>
      <c r="AJ225" s="99"/>
      <c r="AK225" s="101"/>
      <c r="AT225" s="15" t="str">
        <f>IFERROR(INDEX('G-6 Hedgerow Data'!$BJ$3:$BJ$15,MATCH(M225,'G-6 Hedgerow Data'!$B$3:$B$15,0)),"")</f>
        <v/>
      </c>
    </row>
    <row r="226" spans="2:46" ht="14" x14ac:dyDescent="0.3">
      <c r="B226" s="319" t="str">
        <f>'B-1 On-Site Hedge Baseline'!AK224</f>
        <v/>
      </c>
      <c r="C226" s="310" t="str">
        <f>IF(B226="","",IF(ISNA(VLOOKUP($B226,'B-1 On-Site Hedge Baseline'!$B$1:$L$257,3,FALSE)),"",(VLOOKUP($B226,'B-1 On-Site Hedge Baseline'!$B$1:$L$257,3,FALSE))))</f>
        <v/>
      </c>
      <c r="D226" s="310" t="str">
        <f>IF(B226="","",IF(ISNA(VLOOKUP($B226,'B-1 On-Site Hedge Baseline'!$B$1:$L$257,4,FALSE)),"",(VLOOKUP($B226,'B-1 On-Site Hedge Baseline'!$B$1:$L$257,4,FALSE))))</f>
        <v/>
      </c>
      <c r="E226" s="310" t="str">
        <f>IF(B226="","",IF(ISNA(VLOOKUP($B226,'B-1 On-Site Hedge Baseline'!$B$1:$L$257,5,FALSE)),"",(VLOOKUP($B226,'B-1 On-Site Hedge Baseline'!$B$1:$L$257,5,FALSE))))</f>
        <v/>
      </c>
      <c r="F226" s="310" t="str">
        <f>IF(B226="","",IF(ISNA(VLOOKUP($B226,'B-1 On-Site Hedge Baseline'!$B$1:$L$257,6,FALSE)),"",(VLOOKUP($B226,'B-1 On-Site Hedge Baseline'!$B$1:$L$257,6,FALSE))))</f>
        <v/>
      </c>
      <c r="G226" s="310" t="str">
        <f>IF(B226="","",IF(ISNA(VLOOKUP($B226,'B-1 On-Site Hedge Baseline'!$B$1:$L$257,7,FALSE)),"",(VLOOKUP($B226,'B-1 On-Site Hedge Baseline'!$B$1:$L$257,7,FALSE))))</f>
        <v/>
      </c>
      <c r="H226" s="310" t="str">
        <f>IF(B226="","",IF(ISNA(VLOOKUP($B226,'B-1 On-Site Hedge Baseline'!$B$1:$L$257,8,FALSE)),"",(VLOOKUP($B226,'B-1 On-Site Hedge Baseline'!$B$1:$L$257,8,FALSE))))</f>
        <v/>
      </c>
      <c r="I226" s="310" t="str">
        <f>IF(B226="","",IF(ISNA(VLOOKUP($B226,'B-1 On-Site Hedge Baseline'!$B$1:$L$257,10,FALSE)),"",(VLOOKUP($B226,'B-1 On-Site Hedge Baseline'!$B$1:$L$257,10,FALSE))))</f>
        <v/>
      </c>
      <c r="J226" s="310" t="str">
        <f>IF(B226="","",IF(ISNA(VLOOKUP($B226,'B-1 On-Site Hedge Baseline'!$B$1:$L$257,11,FALSE)),"",(VLOOKUP($B226,'B-1 On-Site Hedge Baseline'!$B$1:$L$257,11,FALSE))))</f>
        <v/>
      </c>
      <c r="K226" s="310" t="str">
        <f>IF(B226="","",IF(ISNA(VLOOKUP($B226,'B-1 On-Site Hedge Baseline'!$B$1:$U$257,13,FALSE)),"",(VLOOKUP($B226,'B-1 On-Site Hedge Baseline'!$B$1:$U$257,13,FALSE))))</f>
        <v/>
      </c>
      <c r="L226" s="314" t="str">
        <f>IF(B226="","",IF(ISNA(VLOOKUP($B226,'B-1 On-Site Hedge Baseline'!$B$1:$U$257,12,FALSE)),"",(VLOOKUP($B226,'B-1 On-Site Hedge Baseline'!$B$1:$U$257,12,FALSE))))</f>
        <v/>
      </c>
      <c r="M226" s="583"/>
      <c r="N226" s="290" t="str">
        <f>IFERROR(IF(B226="","",INDEX('G-6 Hedgerow Data'!$AN$3:$AZ$15,MATCH(C226,'G-6 Hedgerow Data'!$AM$3:$AM$15,0),MATCH(M226,'G-6 Hedgerow Data'!$AN$2:$AZ$2,0))),"")</f>
        <v/>
      </c>
      <c r="O226" s="291" t="str">
        <f t="shared" si="22"/>
        <v/>
      </c>
      <c r="P226" s="341" t="str">
        <f>IF(B226="","",VLOOKUP(B226,'B-1 On-Site Hedge Baseline'!$B$10:T471,16,FALSE))</f>
        <v/>
      </c>
      <c r="Q226" s="290" t="str">
        <f>IF(M226="","",VLOOKUP(M226,'G-6 Hedgerow Data'!$B$2:$AG$15,2,FALSE))</f>
        <v/>
      </c>
      <c r="R226" s="291" t="str">
        <f>IF(M226="","",VLOOKUP(M226,'G-6 Hedgerow Data'!$B$2:$AG$15,3,FALSE))</f>
        <v/>
      </c>
      <c r="S226" s="106"/>
      <c r="T226" s="328" t="str">
        <f>IFERROR(IF(S226="","",IF(AND(M226="Non-native and ornamental hedgerow", S226&lt;&gt;"Poor"),"Not possible ▲", (VLOOKUP(S226,'G-1 All Habitats'!$Z$2:$AA$9,2,FALSE)))),"")</f>
        <v/>
      </c>
      <c r="U226" s="103"/>
      <c r="V226" s="310" t="str">
        <f>IF(U226="","",IF(VLOOKUP(U226,'G-3 Multipliers'!$L$3:$N$6,2,FALSE)=0,"Spatial Data Missing ⚠",VLOOKUP(U226,'G-3 Multipliers'!$L$3:$N$6,2,FALSE)))</f>
        <v/>
      </c>
      <c r="W226" s="314" t="str">
        <f>IF(U226="","",IF(VLOOKUP(U226,'G-3 Multipliers'!$L$3:$N$6,3,FALSE)=0,"Spatial Data Missing ⚠",VLOOKUP(U226,'G-3 Multipliers'!$L$3:$N$6,3,FALSE)))</f>
        <v/>
      </c>
      <c r="X226" s="290" t="str">
        <f>IFERROR(IF(OR(LEFT(O226,5)="Error",LEFT(N226,5)="Error",T226="Error"),"Check Data ⚠",IF(F226&lt;R226,INDEX('G-6 Hedgerow Data'!$S$3:$AE$14,MATCH(C226,'G-6 Hedgerow Data'!$B$3:$B$14,0),MATCH(M226,'G-6 Hedgerow Data'!$S$2:$AE$2,0)),INDEX('G-6 Hedgerow Data'!$K$3:$Q$14,MATCH(M226,'G-6 Hedgerow Data'!$B$3:$B$14,0),MATCH(O226,'G-6 Hedgerow Data'!$K$2:$Q$2,0)))),"")</f>
        <v/>
      </c>
      <c r="Y226" s="138"/>
      <c r="Z226" s="138"/>
      <c r="AA226" s="298" t="str">
        <f t="shared" si="23"/>
        <v/>
      </c>
      <c r="AB226" s="311" t="str">
        <f t="shared" si="24"/>
        <v/>
      </c>
      <c r="AC226" s="312" t="str">
        <f t="shared" si="21"/>
        <v/>
      </c>
      <c r="AD226" s="325" t="str">
        <f>IF(M226="","",VLOOKUP(M226,'G-6 Hedgerow Data'!$B$3:$AG$15,31,FALSE))</f>
        <v/>
      </c>
      <c r="AE226" s="298" t="str">
        <f t="shared" si="25"/>
        <v/>
      </c>
      <c r="AF226" s="298" t="str">
        <f t="shared" si="26"/>
        <v/>
      </c>
      <c r="AG226" s="314" t="str">
        <f>IFERROR(IF(O226="","",VLOOKUP(AD226,'G-3 Multipliers'!$P$3:$Q$6,2,FALSE)),"")</f>
        <v/>
      </c>
      <c r="AH226" s="304" t="str">
        <f t="shared" si="27"/>
        <v/>
      </c>
      <c r="AI226" s="157"/>
      <c r="AJ226" s="99"/>
      <c r="AK226" s="101"/>
      <c r="AT226" s="15" t="str">
        <f>IFERROR(INDEX('G-6 Hedgerow Data'!$BJ$3:$BJ$15,MATCH(M226,'G-6 Hedgerow Data'!$B$3:$B$15,0)),"")</f>
        <v/>
      </c>
    </row>
    <row r="227" spans="2:46" ht="14" x14ac:dyDescent="0.3">
      <c r="B227" s="319" t="str">
        <f>'B-1 On-Site Hedge Baseline'!AK225</f>
        <v/>
      </c>
      <c r="C227" s="310" t="str">
        <f>IF(B227="","",IF(ISNA(VLOOKUP($B227,'B-1 On-Site Hedge Baseline'!$B$1:$L$257,3,FALSE)),"",(VLOOKUP($B227,'B-1 On-Site Hedge Baseline'!$B$1:$L$257,3,FALSE))))</f>
        <v/>
      </c>
      <c r="D227" s="310" t="str">
        <f>IF(B227="","",IF(ISNA(VLOOKUP($B227,'B-1 On-Site Hedge Baseline'!$B$1:$L$257,4,FALSE)),"",(VLOOKUP($B227,'B-1 On-Site Hedge Baseline'!$B$1:$L$257,4,FALSE))))</f>
        <v/>
      </c>
      <c r="E227" s="310" t="str">
        <f>IF(B227="","",IF(ISNA(VLOOKUP($B227,'B-1 On-Site Hedge Baseline'!$B$1:$L$257,5,FALSE)),"",(VLOOKUP($B227,'B-1 On-Site Hedge Baseline'!$B$1:$L$257,5,FALSE))))</f>
        <v/>
      </c>
      <c r="F227" s="310" t="str">
        <f>IF(B227="","",IF(ISNA(VLOOKUP($B227,'B-1 On-Site Hedge Baseline'!$B$1:$L$257,6,FALSE)),"",(VLOOKUP($B227,'B-1 On-Site Hedge Baseline'!$B$1:$L$257,6,FALSE))))</f>
        <v/>
      </c>
      <c r="G227" s="310" t="str">
        <f>IF(B227="","",IF(ISNA(VLOOKUP($B227,'B-1 On-Site Hedge Baseline'!$B$1:$L$257,7,FALSE)),"",(VLOOKUP($B227,'B-1 On-Site Hedge Baseline'!$B$1:$L$257,7,FALSE))))</f>
        <v/>
      </c>
      <c r="H227" s="310" t="str">
        <f>IF(B227="","",IF(ISNA(VLOOKUP($B227,'B-1 On-Site Hedge Baseline'!$B$1:$L$257,8,FALSE)),"",(VLOOKUP($B227,'B-1 On-Site Hedge Baseline'!$B$1:$L$257,8,FALSE))))</f>
        <v/>
      </c>
      <c r="I227" s="310" t="str">
        <f>IF(B227="","",IF(ISNA(VLOOKUP($B227,'B-1 On-Site Hedge Baseline'!$B$1:$L$257,10,FALSE)),"",(VLOOKUP($B227,'B-1 On-Site Hedge Baseline'!$B$1:$L$257,10,FALSE))))</f>
        <v/>
      </c>
      <c r="J227" s="310" t="str">
        <f>IF(B227="","",IF(ISNA(VLOOKUP($B227,'B-1 On-Site Hedge Baseline'!$B$1:$L$257,11,FALSE)),"",(VLOOKUP($B227,'B-1 On-Site Hedge Baseline'!$B$1:$L$257,11,FALSE))))</f>
        <v/>
      </c>
      <c r="K227" s="310" t="str">
        <f>IF(B227="","",IF(ISNA(VLOOKUP($B227,'B-1 On-Site Hedge Baseline'!$B$1:$U$257,13,FALSE)),"",(VLOOKUP($B227,'B-1 On-Site Hedge Baseline'!$B$1:$U$257,13,FALSE))))</f>
        <v/>
      </c>
      <c r="L227" s="314" t="str">
        <f>IF(B227="","",IF(ISNA(VLOOKUP($B227,'B-1 On-Site Hedge Baseline'!$B$1:$U$257,12,FALSE)),"",(VLOOKUP($B227,'B-1 On-Site Hedge Baseline'!$B$1:$U$257,12,FALSE))))</f>
        <v/>
      </c>
      <c r="M227" s="583"/>
      <c r="N227" s="290" t="str">
        <f>IFERROR(IF(B227="","",INDEX('G-6 Hedgerow Data'!$AN$3:$AZ$15,MATCH(C227,'G-6 Hedgerow Data'!$AM$3:$AM$15,0),MATCH(M227,'G-6 Hedgerow Data'!$AN$2:$AZ$2,0))),"")</f>
        <v/>
      </c>
      <c r="O227" s="291" t="str">
        <f t="shared" si="22"/>
        <v/>
      </c>
      <c r="P227" s="341" t="str">
        <f>IF(B227="","",VLOOKUP(B227,'B-1 On-Site Hedge Baseline'!$B$10:T472,16,FALSE))</f>
        <v/>
      </c>
      <c r="Q227" s="290" t="str">
        <f>IF(M227="","",VLOOKUP(M227,'G-6 Hedgerow Data'!$B$2:$AG$15,2,FALSE))</f>
        <v/>
      </c>
      <c r="R227" s="291" t="str">
        <f>IF(M227="","",VLOOKUP(M227,'G-6 Hedgerow Data'!$B$2:$AG$15,3,FALSE))</f>
        <v/>
      </c>
      <c r="S227" s="106"/>
      <c r="T227" s="328" t="str">
        <f>IFERROR(IF(S227="","",IF(AND(M227="Non-native and ornamental hedgerow", S227&lt;&gt;"Poor"),"Not possible ▲", (VLOOKUP(S227,'G-1 All Habitats'!$Z$2:$AA$9,2,FALSE)))),"")</f>
        <v/>
      </c>
      <c r="U227" s="103"/>
      <c r="V227" s="310" t="str">
        <f>IF(U227="","",IF(VLOOKUP(U227,'G-3 Multipliers'!$L$3:$N$6,2,FALSE)=0,"Spatial Data Missing ⚠",VLOOKUP(U227,'G-3 Multipliers'!$L$3:$N$6,2,FALSE)))</f>
        <v/>
      </c>
      <c r="W227" s="314" t="str">
        <f>IF(U227="","",IF(VLOOKUP(U227,'G-3 Multipliers'!$L$3:$N$6,3,FALSE)=0,"Spatial Data Missing ⚠",VLOOKUP(U227,'G-3 Multipliers'!$L$3:$N$6,3,FALSE)))</f>
        <v/>
      </c>
      <c r="X227" s="290" t="str">
        <f>IFERROR(IF(OR(LEFT(O227,5)="Error",LEFT(N227,5)="Error",T227="Error"),"Check Data ⚠",IF(F227&lt;R227,INDEX('G-6 Hedgerow Data'!$S$3:$AE$14,MATCH(C227,'G-6 Hedgerow Data'!$B$3:$B$14,0),MATCH(M227,'G-6 Hedgerow Data'!$S$2:$AE$2,0)),INDEX('G-6 Hedgerow Data'!$K$3:$Q$14,MATCH(M227,'G-6 Hedgerow Data'!$B$3:$B$14,0),MATCH(O227,'G-6 Hedgerow Data'!$K$2:$Q$2,0)))),"")</f>
        <v/>
      </c>
      <c r="Y227" s="138"/>
      <c r="Z227" s="138"/>
      <c r="AA227" s="298" t="str">
        <f t="shared" si="23"/>
        <v/>
      </c>
      <c r="AB227" s="311" t="str">
        <f t="shared" si="24"/>
        <v/>
      </c>
      <c r="AC227" s="312" t="str">
        <f t="shared" si="21"/>
        <v/>
      </c>
      <c r="AD227" s="325" t="str">
        <f>IF(M227="","",VLOOKUP(M227,'G-6 Hedgerow Data'!$B$3:$AG$15,31,FALSE))</f>
        <v/>
      </c>
      <c r="AE227" s="298" t="str">
        <f t="shared" si="25"/>
        <v/>
      </c>
      <c r="AF227" s="298" t="str">
        <f t="shared" si="26"/>
        <v/>
      </c>
      <c r="AG227" s="314" t="str">
        <f>IFERROR(IF(O227="","",VLOOKUP(AD227,'G-3 Multipliers'!$P$3:$Q$6,2,FALSE)),"")</f>
        <v/>
      </c>
      <c r="AH227" s="304" t="str">
        <f t="shared" si="27"/>
        <v/>
      </c>
      <c r="AI227" s="157"/>
      <c r="AJ227" s="99"/>
      <c r="AK227" s="101"/>
      <c r="AT227" s="15" t="str">
        <f>IFERROR(INDEX('G-6 Hedgerow Data'!$BJ$3:$BJ$15,MATCH(M227,'G-6 Hedgerow Data'!$B$3:$B$15,0)),"")</f>
        <v/>
      </c>
    </row>
    <row r="228" spans="2:46" ht="14" x14ac:dyDescent="0.3">
      <c r="B228" s="319" t="str">
        <f>'B-1 On-Site Hedge Baseline'!AK226</f>
        <v/>
      </c>
      <c r="C228" s="310" t="str">
        <f>IF(B228="","",IF(ISNA(VLOOKUP($B228,'B-1 On-Site Hedge Baseline'!$B$1:$L$257,3,FALSE)),"",(VLOOKUP($B228,'B-1 On-Site Hedge Baseline'!$B$1:$L$257,3,FALSE))))</f>
        <v/>
      </c>
      <c r="D228" s="310" t="str">
        <f>IF(B228="","",IF(ISNA(VLOOKUP($B228,'B-1 On-Site Hedge Baseline'!$B$1:$L$257,4,FALSE)),"",(VLOOKUP($B228,'B-1 On-Site Hedge Baseline'!$B$1:$L$257,4,FALSE))))</f>
        <v/>
      </c>
      <c r="E228" s="310" t="str">
        <f>IF(B228="","",IF(ISNA(VLOOKUP($B228,'B-1 On-Site Hedge Baseline'!$B$1:$L$257,5,FALSE)),"",(VLOOKUP($B228,'B-1 On-Site Hedge Baseline'!$B$1:$L$257,5,FALSE))))</f>
        <v/>
      </c>
      <c r="F228" s="310" t="str">
        <f>IF(B228="","",IF(ISNA(VLOOKUP($B228,'B-1 On-Site Hedge Baseline'!$B$1:$L$257,6,FALSE)),"",(VLOOKUP($B228,'B-1 On-Site Hedge Baseline'!$B$1:$L$257,6,FALSE))))</f>
        <v/>
      </c>
      <c r="G228" s="310" t="str">
        <f>IF(B228="","",IF(ISNA(VLOOKUP($B228,'B-1 On-Site Hedge Baseline'!$B$1:$L$257,7,FALSE)),"",(VLOOKUP($B228,'B-1 On-Site Hedge Baseline'!$B$1:$L$257,7,FALSE))))</f>
        <v/>
      </c>
      <c r="H228" s="310" t="str">
        <f>IF(B228="","",IF(ISNA(VLOOKUP($B228,'B-1 On-Site Hedge Baseline'!$B$1:$L$257,8,FALSE)),"",(VLOOKUP($B228,'B-1 On-Site Hedge Baseline'!$B$1:$L$257,8,FALSE))))</f>
        <v/>
      </c>
      <c r="I228" s="310" t="str">
        <f>IF(B228="","",IF(ISNA(VLOOKUP($B228,'B-1 On-Site Hedge Baseline'!$B$1:$L$257,10,FALSE)),"",(VLOOKUP($B228,'B-1 On-Site Hedge Baseline'!$B$1:$L$257,10,FALSE))))</f>
        <v/>
      </c>
      <c r="J228" s="310" t="str">
        <f>IF(B228="","",IF(ISNA(VLOOKUP($B228,'B-1 On-Site Hedge Baseline'!$B$1:$L$257,11,FALSE)),"",(VLOOKUP($B228,'B-1 On-Site Hedge Baseline'!$B$1:$L$257,11,FALSE))))</f>
        <v/>
      </c>
      <c r="K228" s="310" t="str">
        <f>IF(B228="","",IF(ISNA(VLOOKUP($B228,'B-1 On-Site Hedge Baseline'!$B$1:$U$257,13,FALSE)),"",(VLOOKUP($B228,'B-1 On-Site Hedge Baseline'!$B$1:$U$257,13,FALSE))))</f>
        <v/>
      </c>
      <c r="L228" s="314" t="str">
        <f>IF(B228="","",IF(ISNA(VLOOKUP($B228,'B-1 On-Site Hedge Baseline'!$B$1:$U$257,12,FALSE)),"",(VLOOKUP($B228,'B-1 On-Site Hedge Baseline'!$B$1:$U$257,12,FALSE))))</f>
        <v/>
      </c>
      <c r="M228" s="583"/>
      <c r="N228" s="290" t="str">
        <f>IFERROR(IF(B228="","",INDEX('G-6 Hedgerow Data'!$AN$3:$AZ$15,MATCH(C228,'G-6 Hedgerow Data'!$AM$3:$AM$15,0),MATCH(M228,'G-6 Hedgerow Data'!$AN$2:$AZ$2,0))),"")</f>
        <v/>
      </c>
      <c r="O228" s="291" t="str">
        <f t="shared" si="22"/>
        <v/>
      </c>
      <c r="P228" s="341" t="str">
        <f>IF(B228="","",VLOOKUP(B228,'B-1 On-Site Hedge Baseline'!$B$10:T473,16,FALSE))</f>
        <v/>
      </c>
      <c r="Q228" s="290" t="str">
        <f>IF(M228="","",VLOOKUP(M228,'G-6 Hedgerow Data'!$B$2:$AG$15,2,FALSE))</f>
        <v/>
      </c>
      <c r="R228" s="291" t="str">
        <f>IF(M228="","",VLOOKUP(M228,'G-6 Hedgerow Data'!$B$2:$AG$15,3,FALSE))</f>
        <v/>
      </c>
      <c r="S228" s="106"/>
      <c r="T228" s="328" t="str">
        <f>IFERROR(IF(S228="","",IF(AND(M228="Non-native and ornamental hedgerow", S228&lt;&gt;"Poor"),"Not possible ▲", (VLOOKUP(S228,'G-1 All Habitats'!$Z$2:$AA$9,2,FALSE)))),"")</f>
        <v/>
      </c>
      <c r="U228" s="103"/>
      <c r="V228" s="310" t="str">
        <f>IF(U228="","",IF(VLOOKUP(U228,'G-3 Multipliers'!$L$3:$N$6,2,FALSE)=0,"Spatial Data Missing ⚠",VLOOKUP(U228,'G-3 Multipliers'!$L$3:$N$6,2,FALSE)))</f>
        <v/>
      </c>
      <c r="W228" s="314" t="str">
        <f>IF(U228="","",IF(VLOOKUP(U228,'G-3 Multipliers'!$L$3:$N$6,3,FALSE)=0,"Spatial Data Missing ⚠",VLOOKUP(U228,'G-3 Multipliers'!$L$3:$N$6,3,FALSE)))</f>
        <v/>
      </c>
      <c r="X228" s="290" t="str">
        <f>IFERROR(IF(OR(LEFT(O228,5)="Error",LEFT(N228,5)="Error",T228="Error"),"Check Data ⚠",IF(F228&lt;R228,INDEX('G-6 Hedgerow Data'!$S$3:$AE$14,MATCH(C228,'G-6 Hedgerow Data'!$B$3:$B$14,0),MATCH(M228,'G-6 Hedgerow Data'!$S$2:$AE$2,0)),INDEX('G-6 Hedgerow Data'!$K$3:$Q$14,MATCH(M228,'G-6 Hedgerow Data'!$B$3:$B$14,0),MATCH(O228,'G-6 Hedgerow Data'!$K$2:$Q$2,0)))),"")</f>
        <v/>
      </c>
      <c r="Y228" s="138"/>
      <c r="Z228" s="138"/>
      <c r="AA228" s="298" t="str">
        <f t="shared" si="23"/>
        <v/>
      </c>
      <c r="AB228" s="311" t="str">
        <f t="shared" si="24"/>
        <v/>
      </c>
      <c r="AC228" s="312" t="str">
        <f t="shared" si="21"/>
        <v/>
      </c>
      <c r="AD228" s="325" t="str">
        <f>IF(M228="","",VLOOKUP(M228,'G-6 Hedgerow Data'!$B$3:$AG$15,31,FALSE))</f>
        <v/>
      </c>
      <c r="AE228" s="298" t="str">
        <f t="shared" si="25"/>
        <v/>
      </c>
      <c r="AF228" s="298" t="str">
        <f t="shared" si="26"/>
        <v/>
      </c>
      <c r="AG228" s="314" t="str">
        <f>IFERROR(IF(O228="","",VLOOKUP(AD228,'G-3 Multipliers'!$P$3:$Q$6,2,FALSE)),"")</f>
        <v/>
      </c>
      <c r="AH228" s="304" t="str">
        <f t="shared" si="27"/>
        <v/>
      </c>
      <c r="AI228" s="157"/>
      <c r="AJ228" s="99"/>
      <c r="AK228" s="101"/>
      <c r="AT228" s="15" t="str">
        <f>IFERROR(INDEX('G-6 Hedgerow Data'!$BJ$3:$BJ$15,MATCH(M228,'G-6 Hedgerow Data'!$B$3:$B$15,0)),"")</f>
        <v/>
      </c>
    </row>
    <row r="229" spans="2:46" ht="14" x14ac:dyDescent="0.3">
      <c r="B229" s="319" t="str">
        <f>'B-1 On-Site Hedge Baseline'!AK227</f>
        <v/>
      </c>
      <c r="C229" s="310" t="str">
        <f>IF(B229="","",IF(ISNA(VLOOKUP($B229,'B-1 On-Site Hedge Baseline'!$B$1:$L$257,3,FALSE)),"",(VLOOKUP($B229,'B-1 On-Site Hedge Baseline'!$B$1:$L$257,3,FALSE))))</f>
        <v/>
      </c>
      <c r="D229" s="310" t="str">
        <f>IF(B229="","",IF(ISNA(VLOOKUP($B229,'B-1 On-Site Hedge Baseline'!$B$1:$L$257,4,FALSE)),"",(VLOOKUP($B229,'B-1 On-Site Hedge Baseline'!$B$1:$L$257,4,FALSE))))</f>
        <v/>
      </c>
      <c r="E229" s="310" t="str">
        <f>IF(B229="","",IF(ISNA(VLOOKUP($B229,'B-1 On-Site Hedge Baseline'!$B$1:$L$257,5,FALSE)),"",(VLOOKUP($B229,'B-1 On-Site Hedge Baseline'!$B$1:$L$257,5,FALSE))))</f>
        <v/>
      </c>
      <c r="F229" s="310" t="str">
        <f>IF(B229="","",IF(ISNA(VLOOKUP($B229,'B-1 On-Site Hedge Baseline'!$B$1:$L$257,6,FALSE)),"",(VLOOKUP($B229,'B-1 On-Site Hedge Baseline'!$B$1:$L$257,6,FALSE))))</f>
        <v/>
      </c>
      <c r="G229" s="310" t="str">
        <f>IF(B229="","",IF(ISNA(VLOOKUP($B229,'B-1 On-Site Hedge Baseline'!$B$1:$L$257,7,FALSE)),"",(VLOOKUP($B229,'B-1 On-Site Hedge Baseline'!$B$1:$L$257,7,FALSE))))</f>
        <v/>
      </c>
      <c r="H229" s="310" t="str">
        <f>IF(B229="","",IF(ISNA(VLOOKUP($B229,'B-1 On-Site Hedge Baseline'!$B$1:$L$257,8,FALSE)),"",(VLOOKUP($B229,'B-1 On-Site Hedge Baseline'!$B$1:$L$257,8,FALSE))))</f>
        <v/>
      </c>
      <c r="I229" s="310" t="str">
        <f>IF(B229="","",IF(ISNA(VLOOKUP($B229,'B-1 On-Site Hedge Baseline'!$B$1:$L$257,10,FALSE)),"",(VLOOKUP($B229,'B-1 On-Site Hedge Baseline'!$B$1:$L$257,10,FALSE))))</f>
        <v/>
      </c>
      <c r="J229" s="310" t="str">
        <f>IF(B229="","",IF(ISNA(VLOOKUP($B229,'B-1 On-Site Hedge Baseline'!$B$1:$L$257,11,FALSE)),"",(VLOOKUP($B229,'B-1 On-Site Hedge Baseline'!$B$1:$L$257,11,FALSE))))</f>
        <v/>
      </c>
      <c r="K229" s="310" t="str">
        <f>IF(B229="","",IF(ISNA(VLOOKUP($B229,'B-1 On-Site Hedge Baseline'!$B$1:$U$257,13,FALSE)),"",(VLOOKUP($B229,'B-1 On-Site Hedge Baseline'!$B$1:$U$257,13,FALSE))))</f>
        <v/>
      </c>
      <c r="L229" s="314" t="str">
        <f>IF(B229="","",IF(ISNA(VLOOKUP($B229,'B-1 On-Site Hedge Baseline'!$B$1:$U$257,12,FALSE)),"",(VLOOKUP($B229,'B-1 On-Site Hedge Baseline'!$B$1:$U$257,12,FALSE))))</f>
        <v/>
      </c>
      <c r="M229" s="583"/>
      <c r="N229" s="290" t="str">
        <f>IFERROR(IF(B229="","",INDEX('G-6 Hedgerow Data'!$AN$3:$AZ$15,MATCH(C229,'G-6 Hedgerow Data'!$AM$3:$AM$15,0),MATCH(M229,'G-6 Hedgerow Data'!$AN$2:$AZ$2,0))),"")</f>
        <v/>
      </c>
      <c r="O229" s="291" t="str">
        <f t="shared" si="22"/>
        <v/>
      </c>
      <c r="P229" s="341" t="str">
        <f>IF(B229="","",VLOOKUP(B229,'B-1 On-Site Hedge Baseline'!$B$10:T474,16,FALSE))</f>
        <v/>
      </c>
      <c r="Q229" s="290" t="str">
        <f>IF(M229="","",VLOOKUP(M229,'G-6 Hedgerow Data'!$B$2:$AG$15,2,FALSE))</f>
        <v/>
      </c>
      <c r="R229" s="291" t="str">
        <f>IF(M229="","",VLOOKUP(M229,'G-6 Hedgerow Data'!$B$2:$AG$15,3,FALSE))</f>
        <v/>
      </c>
      <c r="S229" s="106"/>
      <c r="T229" s="328" t="str">
        <f>IFERROR(IF(S229="","",IF(AND(M229="Non-native and ornamental hedgerow", S229&lt;&gt;"Poor"),"Not possible ▲", (VLOOKUP(S229,'G-1 All Habitats'!$Z$2:$AA$9,2,FALSE)))),"")</f>
        <v/>
      </c>
      <c r="U229" s="103"/>
      <c r="V229" s="310" t="str">
        <f>IF(U229="","",IF(VLOOKUP(U229,'G-3 Multipliers'!$L$3:$N$6,2,FALSE)=0,"Spatial Data Missing ⚠",VLOOKUP(U229,'G-3 Multipliers'!$L$3:$N$6,2,FALSE)))</f>
        <v/>
      </c>
      <c r="W229" s="314" t="str">
        <f>IF(U229="","",IF(VLOOKUP(U229,'G-3 Multipliers'!$L$3:$N$6,3,FALSE)=0,"Spatial Data Missing ⚠",VLOOKUP(U229,'G-3 Multipliers'!$L$3:$N$6,3,FALSE)))</f>
        <v/>
      </c>
      <c r="X229" s="290" t="str">
        <f>IFERROR(IF(OR(LEFT(O229,5)="Error",LEFT(N229,5)="Error",T229="Error"),"Check Data ⚠",IF(F229&lt;R229,INDEX('G-6 Hedgerow Data'!$S$3:$AE$14,MATCH(C229,'G-6 Hedgerow Data'!$B$3:$B$14,0),MATCH(M229,'G-6 Hedgerow Data'!$S$2:$AE$2,0)),INDEX('G-6 Hedgerow Data'!$K$3:$Q$14,MATCH(M229,'G-6 Hedgerow Data'!$B$3:$B$14,0),MATCH(O229,'G-6 Hedgerow Data'!$K$2:$Q$2,0)))),"")</f>
        <v/>
      </c>
      <c r="Y229" s="138"/>
      <c r="Z229" s="138"/>
      <c r="AA229" s="298" t="str">
        <f t="shared" si="23"/>
        <v/>
      </c>
      <c r="AB229" s="311" t="str">
        <f t="shared" si="24"/>
        <v/>
      </c>
      <c r="AC229" s="312" t="str">
        <f t="shared" si="21"/>
        <v/>
      </c>
      <c r="AD229" s="325" t="str">
        <f>IF(M229="","",VLOOKUP(M229,'G-6 Hedgerow Data'!$B$3:$AG$15,31,FALSE))</f>
        <v/>
      </c>
      <c r="AE229" s="298" t="str">
        <f t="shared" si="25"/>
        <v/>
      </c>
      <c r="AF229" s="298" t="str">
        <f t="shared" si="26"/>
        <v/>
      </c>
      <c r="AG229" s="314" t="str">
        <f>IFERROR(IF(O229="","",VLOOKUP(AD229,'G-3 Multipliers'!$P$3:$Q$6,2,FALSE)),"")</f>
        <v/>
      </c>
      <c r="AH229" s="304" t="str">
        <f t="shared" si="27"/>
        <v/>
      </c>
      <c r="AI229" s="157"/>
      <c r="AJ229" s="99"/>
      <c r="AK229" s="101"/>
      <c r="AT229" s="15" t="str">
        <f>IFERROR(INDEX('G-6 Hedgerow Data'!$BJ$3:$BJ$15,MATCH(M229,'G-6 Hedgerow Data'!$B$3:$B$15,0)),"")</f>
        <v/>
      </c>
    </row>
    <row r="230" spans="2:46" ht="14" x14ac:dyDescent="0.3">
      <c r="B230" s="319" t="str">
        <f>'B-1 On-Site Hedge Baseline'!AK228</f>
        <v/>
      </c>
      <c r="C230" s="310" t="str">
        <f>IF(B230="","",IF(ISNA(VLOOKUP($B230,'B-1 On-Site Hedge Baseline'!$B$1:$L$257,3,FALSE)),"",(VLOOKUP($B230,'B-1 On-Site Hedge Baseline'!$B$1:$L$257,3,FALSE))))</f>
        <v/>
      </c>
      <c r="D230" s="310" t="str">
        <f>IF(B230="","",IF(ISNA(VLOOKUP($B230,'B-1 On-Site Hedge Baseline'!$B$1:$L$257,4,FALSE)),"",(VLOOKUP($B230,'B-1 On-Site Hedge Baseline'!$B$1:$L$257,4,FALSE))))</f>
        <v/>
      </c>
      <c r="E230" s="310" t="str">
        <f>IF(B230="","",IF(ISNA(VLOOKUP($B230,'B-1 On-Site Hedge Baseline'!$B$1:$L$257,5,FALSE)),"",(VLOOKUP($B230,'B-1 On-Site Hedge Baseline'!$B$1:$L$257,5,FALSE))))</f>
        <v/>
      </c>
      <c r="F230" s="310" t="str">
        <f>IF(B230="","",IF(ISNA(VLOOKUP($B230,'B-1 On-Site Hedge Baseline'!$B$1:$L$257,6,FALSE)),"",(VLOOKUP($B230,'B-1 On-Site Hedge Baseline'!$B$1:$L$257,6,FALSE))))</f>
        <v/>
      </c>
      <c r="G230" s="310" t="str">
        <f>IF(B230="","",IF(ISNA(VLOOKUP($B230,'B-1 On-Site Hedge Baseline'!$B$1:$L$257,7,FALSE)),"",(VLOOKUP($B230,'B-1 On-Site Hedge Baseline'!$B$1:$L$257,7,FALSE))))</f>
        <v/>
      </c>
      <c r="H230" s="310" t="str">
        <f>IF(B230="","",IF(ISNA(VLOOKUP($B230,'B-1 On-Site Hedge Baseline'!$B$1:$L$257,8,FALSE)),"",(VLOOKUP($B230,'B-1 On-Site Hedge Baseline'!$B$1:$L$257,8,FALSE))))</f>
        <v/>
      </c>
      <c r="I230" s="310" t="str">
        <f>IF(B230="","",IF(ISNA(VLOOKUP($B230,'B-1 On-Site Hedge Baseline'!$B$1:$L$257,10,FALSE)),"",(VLOOKUP($B230,'B-1 On-Site Hedge Baseline'!$B$1:$L$257,10,FALSE))))</f>
        <v/>
      </c>
      <c r="J230" s="310" t="str">
        <f>IF(B230="","",IF(ISNA(VLOOKUP($B230,'B-1 On-Site Hedge Baseline'!$B$1:$L$257,11,FALSE)),"",(VLOOKUP($B230,'B-1 On-Site Hedge Baseline'!$B$1:$L$257,11,FALSE))))</f>
        <v/>
      </c>
      <c r="K230" s="310" t="str">
        <f>IF(B230="","",IF(ISNA(VLOOKUP($B230,'B-1 On-Site Hedge Baseline'!$B$1:$U$257,13,FALSE)),"",(VLOOKUP($B230,'B-1 On-Site Hedge Baseline'!$B$1:$U$257,13,FALSE))))</f>
        <v/>
      </c>
      <c r="L230" s="314" t="str">
        <f>IF(B230="","",IF(ISNA(VLOOKUP($B230,'B-1 On-Site Hedge Baseline'!$B$1:$U$257,12,FALSE)),"",(VLOOKUP($B230,'B-1 On-Site Hedge Baseline'!$B$1:$U$257,12,FALSE))))</f>
        <v/>
      </c>
      <c r="M230" s="583"/>
      <c r="N230" s="290" t="str">
        <f>IFERROR(IF(B230="","",INDEX('G-6 Hedgerow Data'!$AN$3:$AZ$15,MATCH(C230,'G-6 Hedgerow Data'!$AM$3:$AM$15,0),MATCH(M230,'G-6 Hedgerow Data'!$AN$2:$AZ$2,0))),"")</f>
        <v/>
      </c>
      <c r="O230" s="291" t="str">
        <f t="shared" si="22"/>
        <v/>
      </c>
      <c r="P230" s="341" t="str">
        <f>IF(B230="","",VLOOKUP(B230,'B-1 On-Site Hedge Baseline'!$B$10:T475,16,FALSE))</f>
        <v/>
      </c>
      <c r="Q230" s="290" t="str">
        <f>IF(M230="","",VLOOKUP(M230,'G-6 Hedgerow Data'!$B$2:$AG$15,2,FALSE))</f>
        <v/>
      </c>
      <c r="R230" s="291" t="str">
        <f>IF(M230="","",VLOOKUP(M230,'G-6 Hedgerow Data'!$B$2:$AG$15,3,FALSE))</f>
        <v/>
      </c>
      <c r="S230" s="106"/>
      <c r="T230" s="328" t="str">
        <f>IFERROR(IF(S230="","",IF(AND(M230="Non-native and ornamental hedgerow", S230&lt;&gt;"Poor"),"Not possible ▲", (VLOOKUP(S230,'G-1 All Habitats'!$Z$2:$AA$9,2,FALSE)))),"")</f>
        <v/>
      </c>
      <c r="U230" s="103"/>
      <c r="V230" s="310" t="str">
        <f>IF(U230="","",IF(VLOOKUP(U230,'G-3 Multipliers'!$L$3:$N$6,2,FALSE)=0,"Spatial Data Missing ⚠",VLOOKUP(U230,'G-3 Multipliers'!$L$3:$N$6,2,FALSE)))</f>
        <v/>
      </c>
      <c r="W230" s="314" t="str">
        <f>IF(U230="","",IF(VLOOKUP(U230,'G-3 Multipliers'!$L$3:$N$6,3,FALSE)=0,"Spatial Data Missing ⚠",VLOOKUP(U230,'G-3 Multipliers'!$L$3:$N$6,3,FALSE)))</f>
        <v/>
      </c>
      <c r="X230" s="290" t="str">
        <f>IFERROR(IF(OR(LEFT(O230,5)="Error",LEFT(N230,5)="Error",T230="Error"),"Check Data ⚠",IF(F230&lt;R230,INDEX('G-6 Hedgerow Data'!$S$3:$AE$14,MATCH(C230,'G-6 Hedgerow Data'!$B$3:$B$14,0),MATCH(M230,'G-6 Hedgerow Data'!$S$2:$AE$2,0)),INDEX('G-6 Hedgerow Data'!$K$3:$Q$14,MATCH(M230,'G-6 Hedgerow Data'!$B$3:$B$14,0),MATCH(O230,'G-6 Hedgerow Data'!$K$2:$Q$2,0)))),"")</f>
        <v/>
      </c>
      <c r="Y230" s="138"/>
      <c r="Z230" s="138"/>
      <c r="AA230" s="298" t="str">
        <f t="shared" si="23"/>
        <v/>
      </c>
      <c r="AB230" s="311" t="str">
        <f t="shared" si="24"/>
        <v/>
      </c>
      <c r="AC230" s="312" t="str">
        <f t="shared" si="21"/>
        <v/>
      </c>
      <c r="AD230" s="325" t="str">
        <f>IF(M230="","",VLOOKUP(M230,'G-6 Hedgerow Data'!$B$3:$AG$15,31,FALSE))</f>
        <v/>
      </c>
      <c r="AE230" s="298" t="str">
        <f t="shared" si="25"/>
        <v/>
      </c>
      <c r="AF230" s="298" t="str">
        <f t="shared" si="26"/>
        <v/>
      </c>
      <c r="AG230" s="314" t="str">
        <f>IFERROR(IF(O230="","",VLOOKUP(AD230,'G-3 Multipliers'!$P$3:$Q$6,2,FALSE)),"")</f>
        <v/>
      </c>
      <c r="AH230" s="304" t="str">
        <f t="shared" si="27"/>
        <v/>
      </c>
      <c r="AI230" s="157"/>
      <c r="AJ230" s="99"/>
      <c r="AK230" s="101"/>
      <c r="AT230" s="15" t="str">
        <f>IFERROR(INDEX('G-6 Hedgerow Data'!$BJ$3:$BJ$15,MATCH(M230,'G-6 Hedgerow Data'!$B$3:$B$15,0)),"")</f>
        <v/>
      </c>
    </row>
    <row r="231" spans="2:46" ht="14" x14ac:dyDescent="0.3">
      <c r="B231" s="319" t="str">
        <f>'B-1 On-Site Hedge Baseline'!AK229</f>
        <v/>
      </c>
      <c r="C231" s="310" t="str">
        <f>IF(B231="","",IF(ISNA(VLOOKUP($B231,'B-1 On-Site Hedge Baseline'!$B$1:$L$257,3,FALSE)),"",(VLOOKUP($B231,'B-1 On-Site Hedge Baseline'!$B$1:$L$257,3,FALSE))))</f>
        <v/>
      </c>
      <c r="D231" s="310" t="str">
        <f>IF(B231="","",IF(ISNA(VLOOKUP($B231,'B-1 On-Site Hedge Baseline'!$B$1:$L$257,4,FALSE)),"",(VLOOKUP($B231,'B-1 On-Site Hedge Baseline'!$B$1:$L$257,4,FALSE))))</f>
        <v/>
      </c>
      <c r="E231" s="310" t="str">
        <f>IF(B231="","",IF(ISNA(VLOOKUP($B231,'B-1 On-Site Hedge Baseline'!$B$1:$L$257,5,FALSE)),"",(VLOOKUP($B231,'B-1 On-Site Hedge Baseline'!$B$1:$L$257,5,FALSE))))</f>
        <v/>
      </c>
      <c r="F231" s="310" t="str">
        <f>IF(B231="","",IF(ISNA(VLOOKUP($B231,'B-1 On-Site Hedge Baseline'!$B$1:$L$257,6,FALSE)),"",(VLOOKUP($B231,'B-1 On-Site Hedge Baseline'!$B$1:$L$257,6,FALSE))))</f>
        <v/>
      </c>
      <c r="G231" s="310" t="str">
        <f>IF(B231="","",IF(ISNA(VLOOKUP($B231,'B-1 On-Site Hedge Baseline'!$B$1:$L$257,7,FALSE)),"",(VLOOKUP($B231,'B-1 On-Site Hedge Baseline'!$B$1:$L$257,7,FALSE))))</f>
        <v/>
      </c>
      <c r="H231" s="310" t="str">
        <f>IF(B231="","",IF(ISNA(VLOOKUP($B231,'B-1 On-Site Hedge Baseline'!$B$1:$L$257,8,FALSE)),"",(VLOOKUP($B231,'B-1 On-Site Hedge Baseline'!$B$1:$L$257,8,FALSE))))</f>
        <v/>
      </c>
      <c r="I231" s="310" t="str">
        <f>IF(B231="","",IF(ISNA(VLOOKUP($B231,'B-1 On-Site Hedge Baseline'!$B$1:$L$257,10,FALSE)),"",(VLOOKUP($B231,'B-1 On-Site Hedge Baseline'!$B$1:$L$257,10,FALSE))))</f>
        <v/>
      </c>
      <c r="J231" s="310" t="str">
        <f>IF(B231="","",IF(ISNA(VLOOKUP($B231,'B-1 On-Site Hedge Baseline'!$B$1:$L$257,11,FALSE)),"",(VLOOKUP($B231,'B-1 On-Site Hedge Baseline'!$B$1:$L$257,11,FALSE))))</f>
        <v/>
      </c>
      <c r="K231" s="310" t="str">
        <f>IF(B231="","",IF(ISNA(VLOOKUP($B231,'B-1 On-Site Hedge Baseline'!$B$1:$U$257,13,FALSE)),"",(VLOOKUP($B231,'B-1 On-Site Hedge Baseline'!$B$1:$U$257,13,FALSE))))</f>
        <v/>
      </c>
      <c r="L231" s="314" t="str">
        <f>IF(B231="","",IF(ISNA(VLOOKUP($B231,'B-1 On-Site Hedge Baseline'!$B$1:$U$257,12,FALSE)),"",(VLOOKUP($B231,'B-1 On-Site Hedge Baseline'!$B$1:$U$257,12,FALSE))))</f>
        <v/>
      </c>
      <c r="M231" s="583"/>
      <c r="N231" s="290" t="str">
        <f>IFERROR(IF(B231="","",INDEX('G-6 Hedgerow Data'!$AN$3:$AZ$15,MATCH(C231,'G-6 Hedgerow Data'!$AM$3:$AM$15,0),MATCH(M231,'G-6 Hedgerow Data'!$AN$2:$AZ$2,0))),"")</f>
        <v/>
      </c>
      <c r="O231" s="291" t="str">
        <f t="shared" si="22"/>
        <v/>
      </c>
      <c r="P231" s="341" t="str">
        <f>IF(B231="","",VLOOKUP(B231,'B-1 On-Site Hedge Baseline'!$B$10:T476,16,FALSE))</f>
        <v/>
      </c>
      <c r="Q231" s="290" t="str">
        <f>IF(M231="","",VLOOKUP(M231,'G-6 Hedgerow Data'!$B$2:$AG$15,2,FALSE))</f>
        <v/>
      </c>
      <c r="R231" s="291" t="str">
        <f>IF(M231="","",VLOOKUP(M231,'G-6 Hedgerow Data'!$B$2:$AG$15,3,FALSE))</f>
        <v/>
      </c>
      <c r="S231" s="106"/>
      <c r="T231" s="328" t="str">
        <f>IFERROR(IF(S231="","",IF(AND(M231="Non-native and ornamental hedgerow", S231&lt;&gt;"Poor"),"Not possible ▲", (VLOOKUP(S231,'G-1 All Habitats'!$Z$2:$AA$9,2,FALSE)))),"")</f>
        <v/>
      </c>
      <c r="U231" s="103"/>
      <c r="V231" s="310" t="str">
        <f>IF(U231="","",IF(VLOOKUP(U231,'G-3 Multipliers'!$L$3:$N$6,2,FALSE)=0,"Spatial Data Missing ⚠",VLOOKUP(U231,'G-3 Multipliers'!$L$3:$N$6,2,FALSE)))</f>
        <v/>
      </c>
      <c r="W231" s="314" t="str">
        <f>IF(U231="","",IF(VLOOKUP(U231,'G-3 Multipliers'!$L$3:$N$6,3,FALSE)=0,"Spatial Data Missing ⚠",VLOOKUP(U231,'G-3 Multipliers'!$L$3:$N$6,3,FALSE)))</f>
        <v/>
      </c>
      <c r="X231" s="290" t="str">
        <f>IFERROR(IF(OR(LEFT(O231,5)="Error",LEFT(N231,5)="Error",T231="Error"),"Check Data ⚠",IF(F231&lt;R231,INDEX('G-6 Hedgerow Data'!$S$3:$AE$14,MATCH(C231,'G-6 Hedgerow Data'!$B$3:$B$14,0),MATCH(M231,'G-6 Hedgerow Data'!$S$2:$AE$2,0)),INDEX('G-6 Hedgerow Data'!$K$3:$Q$14,MATCH(M231,'G-6 Hedgerow Data'!$B$3:$B$14,0),MATCH(O231,'G-6 Hedgerow Data'!$K$2:$Q$2,0)))),"")</f>
        <v/>
      </c>
      <c r="Y231" s="138"/>
      <c r="Z231" s="138"/>
      <c r="AA231" s="298" t="str">
        <f t="shared" si="23"/>
        <v/>
      </c>
      <c r="AB231" s="311" t="str">
        <f t="shared" si="24"/>
        <v/>
      </c>
      <c r="AC231" s="312" t="str">
        <f t="shared" si="21"/>
        <v/>
      </c>
      <c r="AD231" s="325" t="str">
        <f>IF(M231="","",VLOOKUP(M231,'G-6 Hedgerow Data'!$B$3:$AG$15,31,FALSE))</f>
        <v/>
      </c>
      <c r="AE231" s="298" t="str">
        <f t="shared" si="25"/>
        <v/>
      </c>
      <c r="AF231" s="298" t="str">
        <f t="shared" si="26"/>
        <v/>
      </c>
      <c r="AG231" s="314" t="str">
        <f>IFERROR(IF(O231="","",VLOOKUP(AD231,'G-3 Multipliers'!$P$3:$Q$6,2,FALSE)),"")</f>
        <v/>
      </c>
      <c r="AH231" s="304" t="str">
        <f t="shared" si="27"/>
        <v/>
      </c>
      <c r="AI231" s="157"/>
      <c r="AJ231" s="99"/>
      <c r="AK231" s="101"/>
      <c r="AT231" s="15" t="str">
        <f>IFERROR(INDEX('G-6 Hedgerow Data'!$BJ$3:$BJ$15,MATCH(M231,'G-6 Hedgerow Data'!$B$3:$B$15,0)),"")</f>
        <v/>
      </c>
    </row>
    <row r="232" spans="2:46" ht="14" x14ac:dyDescent="0.3">
      <c r="B232" s="319" t="str">
        <f>'B-1 On-Site Hedge Baseline'!AK230</f>
        <v/>
      </c>
      <c r="C232" s="310" t="str">
        <f>IF(B232="","",IF(ISNA(VLOOKUP($B232,'B-1 On-Site Hedge Baseline'!$B$1:$L$257,3,FALSE)),"",(VLOOKUP($B232,'B-1 On-Site Hedge Baseline'!$B$1:$L$257,3,FALSE))))</f>
        <v/>
      </c>
      <c r="D232" s="310" t="str">
        <f>IF(B232="","",IF(ISNA(VLOOKUP($B232,'B-1 On-Site Hedge Baseline'!$B$1:$L$257,4,FALSE)),"",(VLOOKUP($B232,'B-1 On-Site Hedge Baseline'!$B$1:$L$257,4,FALSE))))</f>
        <v/>
      </c>
      <c r="E232" s="310" t="str">
        <f>IF(B232="","",IF(ISNA(VLOOKUP($B232,'B-1 On-Site Hedge Baseline'!$B$1:$L$257,5,FALSE)),"",(VLOOKUP($B232,'B-1 On-Site Hedge Baseline'!$B$1:$L$257,5,FALSE))))</f>
        <v/>
      </c>
      <c r="F232" s="310" t="str">
        <f>IF(B232="","",IF(ISNA(VLOOKUP($B232,'B-1 On-Site Hedge Baseline'!$B$1:$L$257,6,FALSE)),"",(VLOOKUP($B232,'B-1 On-Site Hedge Baseline'!$B$1:$L$257,6,FALSE))))</f>
        <v/>
      </c>
      <c r="G232" s="310" t="str">
        <f>IF(B232="","",IF(ISNA(VLOOKUP($B232,'B-1 On-Site Hedge Baseline'!$B$1:$L$257,7,FALSE)),"",(VLOOKUP($B232,'B-1 On-Site Hedge Baseline'!$B$1:$L$257,7,FALSE))))</f>
        <v/>
      </c>
      <c r="H232" s="310" t="str">
        <f>IF(B232="","",IF(ISNA(VLOOKUP($B232,'B-1 On-Site Hedge Baseline'!$B$1:$L$257,8,FALSE)),"",(VLOOKUP($B232,'B-1 On-Site Hedge Baseline'!$B$1:$L$257,8,FALSE))))</f>
        <v/>
      </c>
      <c r="I232" s="310" t="str">
        <f>IF(B232="","",IF(ISNA(VLOOKUP($B232,'B-1 On-Site Hedge Baseline'!$B$1:$L$257,10,FALSE)),"",(VLOOKUP($B232,'B-1 On-Site Hedge Baseline'!$B$1:$L$257,10,FALSE))))</f>
        <v/>
      </c>
      <c r="J232" s="310" t="str">
        <f>IF(B232="","",IF(ISNA(VLOOKUP($B232,'B-1 On-Site Hedge Baseline'!$B$1:$L$257,11,FALSE)),"",(VLOOKUP($B232,'B-1 On-Site Hedge Baseline'!$B$1:$L$257,11,FALSE))))</f>
        <v/>
      </c>
      <c r="K232" s="310" t="str">
        <f>IF(B232="","",IF(ISNA(VLOOKUP($B232,'B-1 On-Site Hedge Baseline'!$B$1:$U$257,13,FALSE)),"",(VLOOKUP($B232,'B-1 On-Site Hedge Baseline'!$B$1:$U$257,13,FALSE))))</f>
        <v/>
      </c>
      <c r="L232" s="314" t="str">
        <f>IF(B232="","",IF(ISNA(VLOOKUP($B232,'B-1 On-Site Hedge Baseline'!$B$1:$U$257,12,FALSE)),"",(VLOOKUP($B232,'B-1 On-Site Hedge Baseline'!$B$1:$U$257,12,FALSE))))</f>
        <v/>
      </c>
      <c r="M232" s="583"/>
      <c r="N232" s="290" t="str">
        <f>IFERROR(IF(B232="","",INDEX('G-6 Hedgerow Data'!$AN$3:$AZ$15,MATCH(C232,'G-6 Hedgerow Data'!$AM$3:$AM$15,0),MATCH(M232,'G-6 Hedgerow Data'!$AN$2:$AZ$2,0))),"")</f>
        <v/>
      </c>
      <c r="O232" s="291" t="str">
        <f t="shared" si="22"/>
        <v/>
      </c>
      <c r="P232" s="341" t="str">
        <f>IF(B232="","",VLOOKUP(B232,'B-1 On-Site Hedge Baseline'!$B$10:T477,16,FALSE))</f>
        <v/>
      </c>
      <c r="Q232" s="290" t="str">
        <f>IF(M232="","",VLOOKUP(M232,'G-6 Hedgerow Data'!$B$2:$AG$15,2,FALSE))</f>
        <v/>
      </c>
      <c r="R232" s="291" t="str">
        <f>IF(M232="","",VLOOKUP(M232,'G-6 Hedgerow Data'!$B$2:$AG$15,3,FALSE))</f>
        <v/>
      </c>
      <c r="S232" s="106"/>
      <c r="T232" s="328" t="str">
        <f>IFERROR(IF(S232="","",IF(AND(M232="Non-native and ornamental hedgerow", S232&lt;&gt;"Poor"),"Not possible ▲", (VLOOKUP(S232,'G-1 All Habitats'!$Z$2:$AA$9,2,FALSE)))),"")</f>
        <v/>
      </c>
      <c r="U232" s="103"/>
      <c r="V232" s="310" t="str">
        <f>IF(U232="","",IF(VLOOKUP(U232,'G-3 Multipliers'!$L$3:$N$6,2,FALSE)=0,"Spatial Data Missing ⚠",VLOOKUP(U232,'G-3 Multipliers'!$L$3:$N$6,2,FALSE)))</f>
        <v/>
      </c>
      <c r="W232" s="314" t="str">
        <f>IF(U232="","",IF(VLOOKUP(U232,'G-3 Multipliers'!$L$3:$N$6,3,FALSE)=0,"Spatial Data Missing ⚠",VLOOKUP(U232,'G-3 Multipliers'!$L$3:$N$6,3,FALSE)))</f>
        <v/>
      </c>
      <c r="X232" s="290" t="str">
        <f>IFERROR(IF(OR(LEFT(O232,5)="Error",LEFT(N232,5)="Error",T232="Error"),"Check Data ⚠",IF(F232&lt;R232,INDEX('G-6 Hedgerow Data'!$S$3:$AE$14,MATCH(C232,'G-6 Hedgerow Data'!$B$3:$B$14,0),MATCH(M232,'G-6 Hedgerow Data'!$S$2:$AE$2,0)),INDEX('G-6 Hedgerow Data'!$K$3:$Q$14,MATCH(M232,'G-6 Hedgerow Data'!$B$3:$B$14,0),MATCH(O232,'G-6 Hedgerow Data'!$K$2:$Q$2,0)))),"")</f>
        <v/>
      </c>
      <c r="Y232" s="138"/>
      <c r="Z232" s="138"/>
      <c r="AA232" s="298" t="str">
        <f t="shared" si="23"/>
        <v/>
      </c>
      <c r="AB232" s="311" t="str">
        <f t="shared" si="24"/>
        <v/>
      </c>
      <c r="AC232" s="312" t="str">
        <f t="shared" si="21"/>
        <v/>
      </c>
      <c r="AD232" s="325" t="str">
        <f>IF(M232="","",VLOOKUP(M232,'G-6 Hedgerow Data'!$B$3:$AG$15,31,FALSE))</f>
        <v/>
      </c>
      <c r="AE232" s="298" t="str">
        <f t="shared" si="25"/>
        <v/>
      </c>
      <c r="AF232" s="298" t="str">
        <f t="shared" si="26"/>
        <v/>
      </c>
      <c r="AG232" s="314" t="str">
        <f>IFERROR(IF(O232="","",VLOOKUP(AD232,'G-3 Multipliers'!$P$3:$Q$6,2,FALSE)),"")</f>
        <v/>
      </c>
      <c r="AH232" s="304" t="str">
        <f t="shared" si="27"/>
        <v/>
      </c>
      <c r="AI232" s="157"/>
      <c r="AJ232" s="99"/>
      <c r="AK232" s="101"/>
      <c r="AT232" s="15" t="str">
        <f>IFERROR(INDEX('G-6 Hedgerow Data'!$BJ$3:$BJ$15,MATCH(M232,'G-6 Hedgerow Data'!$B$3:$B$15,0)),"")</f>
        <v/>
      </c>
    </row>
    <row r="233" spans="2:46" ht="14" x14ac:dyDescent="0.3">
      <c r="B233" s="319" t="str">
        <f>'B-1 On-Site Hedge Baseline'!AK231</f>
        <v/>
      </c>
      <c r="C233" s="310" t="str">
        <f>IF(B233="","",IF(ISNA(VLOOKUP($B233,'B-1 On-Site Hedge Baseline'!$B$1:$L$257,3,FALSE)),"",(VLOOKUP($B233,'B-1 On-Site Hedge Baseline'!$B$1:$L$257,3,FALSE))))</f>
        <v/>
      </c>
      <c r="D233" s="310" t="str">
        <f>IF(B233="","",IF(ISNA(VLOOKUP($B233,'B-1 On-Site Hedge Baseline'!$B$1:$L$257,4,FALSE)),"",(VLOOKUP($B233,'B-1 On-Site Hedge Baseline'!$B$1:$L$257,4,FALSE))))</f>
        <v/>
      </c>
      <c r="E233" s="310" t="str">
        <f>IF(B233="","",IF(ISNA(VLOOKUP($B233,'B-1 On-Site Hedge Baseline'!$B$1:$L$257,5,FALSE)),"",(VLOOKUP($B233,'B-1 On-Site Hedge Baseline'!$B$1:$L$257,5,FALSE))))</f>
        <v/>
      </c>
      <c r="F233" s="310" t="str">
        <f>IF(B233="","",IF(ISNA(VLOOKUP($B233,'B-1 On-Site Hedge Baseline'!$B$1:$L$257,6,FALSE)),"",(VLOOKUP($B233,'B-1 On-Site Hedge Baseline'!$B$1:$L$257,6,FALSE))))</f>
        <v/>
      </c>
      <c r="G233" s="310" t="str">
        <f>IF(B233="","",IF(ISNA(VLOOKUP($B233,'B-1 On-Site Hedge Baseline'!$B$1:$L$257,7,FALSE)),"",(VLOOKUP($B233,'B-1 On-Site Hedge Baseline'!$B$1:$L$257,7,FALSE))))</f>
        <v/>
      </c>
      <c r="H233" s="310" t="str">
        <f>IF(B233="","",IF(ISNA(VLOOKUP($B233,'B-1 On-Site Hedge Baseline'!$B$1:$L$257,8,FALSE)),"",(VLOOKUP($B233,'B-1 On-Site Hedge Baseline'!$B$1:$L$257,8,FALSE))))</f>
        <v/>
      </c>
      <c r="I233" s="310" t="str">
        <f>IF(B233="","",IF(ISNA(VLOOKUP($B233,'B-1 On-Site Hedge Baseline'!$B$1:$L$257,10,FALSE)),"",(VLOOKUP($B233,'B-1 On-Site Hedge Baseline'!$B$1:$L$257,10,FALSE))))</f>
        <v/>
      </c>
      <c r="J233" s="310" t="str">
        <f>IF(B233="","",IF(ISNA(VLOOKUP($B233,'B-1 On-Site Hedge Baseline'!$B$1:$L$257,11,FALSE)),"",(VLOOKUP($B233,'B-1 On-Site Hedge Baseline'!$B$1:$L$257,11,FALSE))))</f>
        <v/>
      </c>
      <c r="K233" s="310" t="str">
        <f>IF(B233="","",IF(ISNA(VLOOKUP($B233,'B-1 On-Site Hedge Baseline'!$B$1:$U$257,13,FALSE)),"",(VLOOKUP($B233,'B-1 On-Site Hedge Baseline'!$B$1:$U$257,13,FALSE))))</f>
        <v/>
      </c>
      <c r="L233" s="314" t="str">
        <f>IF(B233="","",IF(ISNA(VLOOKUP($B233,'B-1 On-Site Hedge Baseline'!$B$1:$U$257,12,FALSE)),"",(VLOOKUP($B233,'B-1 On-Site Hedge Baseline'!$B$1:$U$257,12,FALSE))))</f>
        <v/>
      </c>
      <c r="M233" s="583"/>
      <c r="N233" s="290" t="str">
        <f>IFERROR(IF(B233="","",INDEX('G-6 Hedgerow Data'!$AN$3:$AZ$15,MATCH(C233,'G-6 Hedgerow Data'!$AM$3:$AM$15,0),MATCH(M233,'G-6 Hedgerow Data'!$AN$2:$AZ$2,0))),"")</f>
        <v/>
      </c>
      <c r="O233" s="291" t="str">
        <f t="shared" si="22"/>
        <v/>
      </c>
      <c r="P233" s="341" t="str">
        <f>IF(B233="","",VLOOKUP(B233,'B-1 On-Site Hedge Baseline'!$B$10:T478,16,FALSE))</f>
        <v/>
      </c>
      <c r="Q233" s="290" t="str">
        <f>IF(M233="","",VLOOKUP(M233,'G-6 Hedgerow Data'!$B$2:$AG$15,2,FALSE))</f>
        <v/>
      </c>
      <c r="R233" s="291" t="str">
        <f>IF(M233="","",VLOOKUP(M233,'G-6 Hedgerow Data'!$B$2:$AG$15,3,FALSE))</f>
        <v/>
      </c>
      <c r="S233" s="106"/>
      <c r="T233" s="328" t="str">
        <f>IFERROR(IF(S233="","",IF(AND(M233="Non-native and ornamental hedgerow", S233&lt;&gt;"Poor"),"Not possible ▲", (VLOOKUP(S233,'G-1 All Habitats'!$Z$2:$AA$9,2,FALSE)))),"")</f>
        <v/>
      </c>
      <c r="U233" s="103"/>
      <c r="V233" s="310" t="str">
        <f>IF(U233="","",IF(VLOOKUP(U233,'G-3 Multipliers'!$L$3:$N$6,2,FALSE)=0,"Spatial Data Missing ⚠",VLOOKUP(U233,'G-3 Multipliers'!$L$3:$N$6,2,FALSE)))</f>
        <v/>
      </c>
      <c r="W233" s="314" t="str">
        <f>IF(U233="","",IF(VLOOKUP(U233,'G-3 Multipliers'!$L$3:$N$6,3,FALSE)=0,"Spatial Data Missing ⚠",VLOOKUP(U233,'G-3 Multipliers'!$L$3:$N$6,3,FALSE)))</f>
        <v/>
      </c>
      <c r="X233" s="290" t="str">
        <f>IFERROR(IF(OR(LEFT(O233,5)="Error",LEFT(N233,5)="Error",T233="Error"),"Check Data ⚠",IF(F233&lt;R233,INDEX('G-6 Hedgerow Data'!$S$3:$AE$14,MATCH(C233,'G-6 Hedgerow Data'!$B$3:$B$14,0),MATCH(M233,'G-6 Hedgerow Data'!$S$2:$AE$2,0)),INDEX('G-6 Hedgerow Data'!$K$3:$Q$14,MATCH(M233,'G-6 Hedgerow Data'!$B$3:$B$14,0),MATCH(O233,'G-6 Hedgerow Data'!$K$2:$Q$2,0)))),"")</f>
        <v/>
      </c>
      <c r="Y233" s="138"/>
      <c r="Z233" s="138"/>
      <c r="AA233" s="298" t="str">
        <f t="shared" si="23"/>
        <v/>
      </c>
      <c r="AB233" s="311" t="str">
        <f t="shared" si="24"/>
        <v/>
      </c>
      <c r="AC233" s="312" t="str">
        <f t="shared" si="21"/>
        <v/>
      </c>
      <c r="AD233" s="325" t="str">
        <f>IF(M233="","",VLOOKUP(M233,'G-6 Hedgerow Data'!$B$3:$AG$15,31,FALSE))</f>
        <v/>
      </c>
      <c r="AE233" s="298" t="str">
        <f t="shared" si="25"/>
        <v/>
      </c>
      <c r="AF233" s="298" t="str">
        <f t="shared" si="26"/>
        <v/>
      </c>
      <c r="AG233" s="314" t="str">
        <f>IFERROR(IF(O233="","",VLOOKUP(AD233,'G-3 Multipliers'!$P$3:$Q$6,2,FALSE)),"")</f>
        <v/>
      </c>
      <c r="AH233" s="304" t="str">
        <f t="shared" si="27"/>
        <v/>
      </c>
      <c r="AI233" s="157"/>
      <c r="AJ233" s="99"/>
      <c r="AK233" s="101"/>
      <c r="AT233" s="15" t="str">
        <f>IFERROR(INDEX('G-6 Hedgerow Data'!$BJ$3:$BJ$15,MATCH(M233,'G-6 Hedgerow Data'!$B$3:$B$15,0)),"")</f>
        <v/>
      </c>
    </row>
    <row r="234" spans="2:46" ht="14" x14ac:dyDescent="0.3">
      <c r="B234" s="319" t="str">
        <f>'B-1 On-Site Hedge Baseline'!AK232</f>
        <v/>
      </c>
      <c r="C234" s="310" t="str">
        <f>IF(B234="","",IF(ISNA(VLOOKUP($B234,'B-1 On-Site Hedge Baseline'!$B$1:$L$257,3,FALSE)),"",(VLOOKUP($B234,'B-1 On-Site Hedge Baseline'!$B$1:$L$257,3,FALSE))))</f>
        <v/>
      </c>
      <c r="D234" s="310" t="str">
        <f>IF(B234="","",IF(ISNA(VLOOKUP($B234,'B-1 On-Site Hedge Baseline'!$B$1:$L$257,4,FALSE)),"",(VLOOKUP($B234,'B-1 On-Site Hedge Baseline'!$B$1:$L$257,4,FALSE))))</f>
        <v/>
      </c>
      <c r="E234" s="310" t="str">
        <f>IF(B234="","",IF(ISNA(VLOOKUP($B234,'B-1 On-Site Hedge Baseline'!$B$1:$L$257,5,FALSE)),"",(VLOOKUP($B234,'B-1 On-Site Hedge Baseline'!$B$1:$L$257,5,FALSE))))</f>
        <v/>
      </c>
      <c r="F234" s="310" t="str">
        <f>IF(B234="","",IF(ISNA(VLOOKUP($B234,'B-1 On-Site Hedge Baseline'!$B$1:$L$257,6,FALSE)),"",(VLOOKUP($B234,'B-1 On-Site Hedge Baseline'!$B$1:$L$257,6,FALSE))))</f>
        <v/>
      </c>
      <c r="G234" s="310" t="str">
        <f>IF(B234="","",IF(ISNA(VLOOKUP($B234,'B-1 On-Site Hedge Baseline'!$B$1:$L$257,7,FALSE)),"",(VLOOKUP($B234,'B-1 On-Site Hedge Baseline'!$B$1:$L$257,7,FALSE))))</f>
        <v/>
      </c>
      <c r="H234" s="310" t="str">
        <f>IF(B234="","",IF(ISNA(VLOOKUP($B234,'B-1 On-Site Hedge Baseline'!$B$1:$L$257,8,FALSE)),"",(VLOOKUP($B234,'B-1 On-Site Hedge Baseline'!$B$1:$L$257,8,FALSE))))</f>
        <v/>
      </c>
      <c r="I234" s="310" t="str">
        <f>IF(B234="","",IF(ISNA(VLOOKUP($B234,'B-1 On-Site Hedge Baseline'!$B$1:$L$257,10,FALSE)),"",(VLOOKUP($B234,'B-1 On-Site Hedge Baseline'!$B$1:$L$257,10,FALSE))))</f>
        <v/>
      </c>
      <c r="J234" s="310" t="str">
        <f>IF(B234="","",IF(ISNA(VLOOKUP($B234,'B-1 On-Site Hedge Baseline'!$B$1:$L$257,11,FALSE)),"",(VLOOKUP($B234,'B-1 On-Site Hedge Baseline'!$B$1:$L$257,11,FALSE))))</f>
        <v/>
      </c>
      <c r="K234" s="310" t="str">
        <f>IF(B234="","",IF(ISNA(VLOOKUP($B234,'B-1 On-Site Hedge Baseline'!$B$1:$U$257,13,FALSE)),"",(VLOOKUP($B234,'B-1 On-Site Hedge Baseline'!$B$1:$U$257,13,FALSE))))</f>
        <v/>
      </c>
      <c r="L234" s="314" t="str">
        <f>IF(B234="","",IF(ISNA(VLOOKUP($B234,'B-1 On-Site Hedge Baseline'!$B$1:$U$257,12,FALSE)),"",(VLOOKUP($B234,'B-1 On-Site Hedge Baseline'!$B$1:$U$257,12,FALSE))))</f>
        <v/>
      </c>
      <c r="M234" s="583"/>
      <c r="N234" s="290" t="str">
        <f>IFERROR(IF(B234="","",INDEX('G-6 Hedgerow Data'!$AN$3:$AZ$15,MATCH(C234,'G-6 Hedgerow Data'!$AM$3:$AM$15,0),MATCH(M234,'G-6 Hedgerow Data'!$AN$2:$AZ$2,0))),"")</f>
        <v/>
      </c>
      <c r="O234" s="291" t="str">
        <f t="shared" si="22"/>
        <v/>
      </c>
      <c r="P234" s="341" t="str">
        <f>IF(B234="","",VLOOKUP(B234,'B-1 On-Site Hedge Baseline'!$B$10:T479,16,FALSE))</f>
        <v/>
      </c>
      <c r="Q234" s="290" t="str">
        <f>IF(M234="","",VLOOKUP(M234,'G-6 Hedgerow Data'!$B$2:$AG$15,2,FALSE))</f>
        <v/>
      </c>
      <c r="R234" s="291" t="str">
        <f>IF(M234="","",VLOOKUP(M234,'G-6 Hedgerow Data'!$B$2:$AG$15,3,FALSE))</f>
        <v/>
      </c>
      <c r="S234" s="106"/>
      <c r="T234" s="328" t="str">
        <f>IFERROR(IF(S234="","",IF(AND(M234="Non-native and ornamental hedgerow", S234&lt;&gt;"Poor"),"Not possible ▲", (VLOOKUP(S234,'G-1 All Habitats'!$Z$2:$AA$9,2,FALSE)))),"")</f>
        <v/>
      </c>
      <c r="U234" s="103"/>
      <c r="V234" s="310" t="str">
        <f>IF(U234="","",IF(VLOOKUP(U234,'G-3 Multipliers'!$L$3:$N$6,2,FALSE)=0,"Spatial Data Missing ⚠",VLOOKUP(U234,'G-3 Multipliers'!$L$3:$N$6,2,FALSE)))</f>
        <v/>
      </c>
      <c r="W234" s="314" t="str">
        <f>IF(U234="","",IF(VLOOKUP(U234,'G-3 Multipliers'!$L$3:$N$6,3,FALSE)=0,"Spatial Data Missing ⚠",VLOOKUP(U234,'G-3 Multipliers'!$L$3:$N$6,3,FALSE)))</f>
        <v/>
      </c>
      <c r="X234" s="290" t="str">
        <f>IFERROR(IF(OR(LEFT(O234,5)="Error",LEFT(N234,5)="Error",T234="Error"),"Check Data ⚠",IF(F234&lt;R234,INDEX('G-6 Hedgerow Data'!$S$3:$AE$14,MATCH(C234,'G-6 Hedgerow Data'!$B$3:$B$14,0),MATCH(M234,'G-6 Hedgerow Data'!$S$2:$AE$2,0)),INDEX('G-6 Hedgerow Data'!$K$3:$Q$14,MATCH(M234,'G-6 Hedgerow Data'!$B$3:$B$14,0),MATCH(O234,'G-6 Hedgerow Data'!$K$2:$Q$2,0)))),"")</f>
        <v/>
      </c>
      <c r="Y234" s="138"/>
      <c r="Z234" s="138"/>
      <c r="AA234" s="298" t="str">
        <f t="shared" si="23"/>
        <v/>
      </c>
      <c r="AB234" s="311" t="str">
        <f t="shared" si="24"/>
        <v/>
      </c>
      <c r="AC234" s="312" t="str">
        <f t="shared" si="21"/>
        <v/>
      </c>
      <c r="AD234" s="325" t="str">
        <f>IF(M234="","",VLOOKUP(M234,'G-6 Hedgerow Data'!$B$3:$AG$15,31,FALSE))</f>
        <v/>
      </c>
      <c r="AE234" s="298" t="str">
        <f t="shared" si="25"/>
        <v/>
      </c>
      <c r="AF234" s="298" t="str">
        <f t="shared" si="26"/>
        <v/>
      </c>
      <c r="AG234" s="314" t="str">
        <f>IFERROR(IF(O234="","",VLOOKUP(AD234,'G-3 Multipliers'!$P$3:$Q$6,2,FALSE)),"")</f>
        <v/>
      </c>
      <c r="AH234" s="304" t="str">
        <f t="shared" si="27"/>
        <v/>
      </c>
      <c r="AI234" s="157"/>
      <c r="AJ234" s="99"/>
      <c r="AK234" s="101"/>
      <c r="AT234" s="15" t="str">
        <f>IFERROR(INDEX('G-6 Hedgerow Data'!$BJ$3:$BJ$15,MATCH(M234,'G-6 Hedgerow Data'!$B$3:$B$15,0)),"")</f>
        <v/>
      </c>
    </row>
    <row r="235" spans="2:46" ht="14" x14ac:dyDescent="0.3">
      <c r="B235" s="319" t="str">
        <f>'B-1 On-Site Hedge Baseline'!AK233</f>
        <v/>
      </c>
      <c r="C235" s="310" t="str">
        <f>IF(B235="","",IF(ISNA(VLOOKUP($B235,'B-1 On-Site Hedge Baseline'!$B$1:$L$257,3,FALSE)),"",(VLOOKUP($B235,'B-1 On-Site Hedge Baseline'!$B$1:$L$257,3,FALSE))))</f>
        <v/>
      </c>
      <c r="D235" s="310" t="str">
        <f>IF(B235="","",IF(ISNA(VLOOKUP($B235,'B-1 On-Site Hedge Baseline'!$B$1:$L$257,4,FALSE)),"",(VLOOKUP($B235,'B-1 On-Site Hedge Baseline'!$B$1:$L$257,4,FALSE))))</f>
        <v/>
      </c>
      <c r="E235" s="310" t="str">
        <f>IF(B235="","",IF(ISNA(VLOOKUP($B235,'B-1 On-Site Hedge Baseline'!$B$1:$L$257,5,FALSE)),"",(VLOOKUP($B235,'B-1 On-Site Hedge Baseline'!$B$1:$L$257,5,FALSE))))</f>
        <v/>
      </c>
      <c r="F235" s="310" t="str">
        <f>IF(B235="","",IF(ISNA(VLOOKUP($B235,'B-1 On-Site Hedge Baseline'!$B$1:$L$257,6,FALSE)),"",(VLOOKUP($B235,'B-1 On-Site Hedge Baseline'!$B$1:$L$257,6,FALSE))))</f>
        <v/>
      </c>
      <c r="G235" s="310" t="str">
        <f>IF(B235="","",IF(ISNA(VLOOKUP($B235,'B-1 On-Site Hedge Baseline'!$B$1:$L$257,7,FALSE)),"",(VLOOKUP($B235,'B-1 On-Site Hedge Baseline'!$B$1:$L$257,7,FALSE))))</f>
        <v/>
      </c>
      <c r="H235" s="310" t="str">
        <f>IF(B235="","",IF(ISNA(VLOOKUP($B235,'B-1 On-Site Hedge Baseline'!$B$1:$L$257,8,FALSE)),"",(VLOOKUP($B235,'B-1 On-Site Hedge Baseline'!$B$1:$L$257,8,FALSE))))</f>
        <v/>
      </c>
      <c r="I235" s="310" t="str">
        <f>IF(B235="","",IF(ISNA(VLOOKUP($B235,'B-1 On-Site Hedge Baseline'!$B$1:$L$257,10,FALSE)),"",(VLOOKUP($B235,'B-1 On-Site Hedge Baseline'!$B$1:$L$257,10,FALSE))))</f>
        <v/>
      </c>
      <c r="J235" s="310" t="str">
        <f>IF(B235="","",IF(ISNA(VLOOKUP($B235,'B-1 On-Site Hedge Baseline'!$B$1:$L$257,11,FALSE)),"",(VLOOKUP($B235,'B-1 On-Site Hedge Baseline'!$B$1:$L$257,11,FALSE))))</f>
        <v/>
      </c>
      <c r="K235" s="310" t="str">
        <f>IF(B235="","",IF(ISNA(VLOOKUP($B235,'B-1 On-Site Hedge Baseline'!$B$1:$U$257,13,FALSE)),"",(VLOOKUP($B235,'B-1 On-Site Hedge Baseline'!$B$1:$U$257,13,FALSE))))</f>
        <v/>
      </c>
      <c r="L235" s="314" t="str">
        <f>IF(B235="","",IF(ISNA(VLOOKUP($B235,'B-1 On-Site Hedge Baseline'!$B$1:$U$257,12,FALSE)),"",(VLOOKUP($B235,'B-1 On-Site Hedge Baseline'!$B$1:$U$257,12,FALSE))))</f>
        <v/>
      </c>
      <c r="M235" s="583"/>
      <c r="N235" s="290" t="str">
        <f>IFERROR(IF(B235="","",INDEX('G-6 Hedgerow Data'!$AN$3:$AZ$15,MATCH(C235,'G-6 Hedgerow Data'!$AM$3:$AM$15,0),MATCH(M235,'G-6 Hedgerow Data'!$AN$2:$AZ$2,0))),"")</f>
        <v/>
      </c>
      <c r="O235" s="291" t="str">
        <f t="shared" si="22"/>
        <v/>
      </c>
      <c r="P235" s="341" t="str">
        <f>IF(B235="","",VLOOKUP(B235,'B-1 On-Site Hedge Baseline'!$B$10:T480,16,FALSE))</f>
        <v/>
      </c>
      <c r="Q235" s="290" t="str">
        <f>IF(M235="","",VLOOKUP(M235,'G-6 Hedgerow Data'!$B$2:$AG$15,2,FALSE))</f>
        <v/>
      </c>
      <c r="R235" s="291" t="str">
        <f>IF(M235="","",VLOOKUP(M235,'G-6 Hedgerow Data'!$B$2:$AG$15,3,FALSE))</f>
        <v/>
      </c>
      <c r="S235" s="106"/>
      <c r="T235" s="328" t="str">
        <f>IFERROR(IF(S235="","",IF(AND(M235="Non-native and ornamental hedgerow", S235&lt;&gt;"Poor"),"Not possible ▲", (VLOOKUP(S235,'G-1 All Habitats'!$Z$2:$AA$9,2,FALSE)))),"")</f>
        <v/>
      </c>
      <c r="U235" s="103"/>
      <c r="V235" s="310" t="str">
        <f>IF(U235="","",IF(VLOOKUP(U235,'G-3 Multipliers'!$L$3:$N$6,2,FALSE)=0,"Spatial Data Missing ⚠",VLOOKUP(U235,'G-3 Multipliers'!$L$3:$N$6,2,FALSE)))</f>
        <v/>
      </c>
      <c r="W235" s="314" t="str">
        <f>IF(U235="","",IF(VLOOKUP(U235,'G-3 Multipliers'!$L$3:$N$6,3,FALSE)=0,"Spatial Data Missing ⚠",VLOOKUP(U235,'G-3 Multipliers'!$L$3:$N$6,3,FALSE)))</f>
        <v/>
      </c>
      <c r="X235" s="290" t="str">
        <f>IFERROR(IF(OR(LEFT(O235,5)="Error",LEFT(N235,5)="Error",T235="Error"),"Check Data ⚠",IF(F235&lt;R235,INDEX('G-6 Hedgerow Data'!$S$3:$AE$14,MATCH(C235,'G-6 Hedgerow Data'!$B$3:$B$14,0),MATCH(M235,'G-6 Hedgerow Data'!$S$2:$AE$2,0)),INDEX('G-6 Hedgerow Data'!$K$3:$Q$14,MATCH(M235,'G-6 Hedgerow Data'!$B$3:$B$14,0),MATCH(O235,'G-6 Hedgerow Data'!$K$2:$Q$2,0)))),"")</f>
        <v/>
      </c>
      <c r="Y235" s="138"/>
      <c r="Z235" s="138"/>
      <c r="AA235" s="298" t="str">
        <f t="shared" si="23"/>
        <v/>
      </c>
      <c r="AB235" s="311" t="str">
        <f t="shared" si="24"/>
        <v/>
      </c>
      <c r="AC235" s="312" t="str">
        <f t="shared" si="21"/>
        <v/>
      </c>
      <c r="AD235" s="325" t="str">
        <f>IF(M235="","",VLOOKUP(M235,'G-6 Hedgerow Data'!$B$3:$AG$15,31,FALSE))</f>
        <v/>
      </c>
      <c r="AE235" s="298" t="str">
        <f t="shared" si="25"/>
        <v/>
      </c>
      <c r="AF235" s="298" t="str">
        <f t="shared" si="26"/>
        <v/>
      </c>
      <c r="AG235" s="314" t="str">
        <f>IFERROR(IF(O235="","",VLOOKUP(AD235,'G-3 Multipliers'!$P$3:$Q$6,2,FALSE)),"")</f>
        <v/>
      </c>
      <c r="AH235" s="304" t="str">
        <f t="shared" si="27"/>
        <v/>
      </c>
      <c r="AI235" s="157"/>
      <c r="AJ235" s="99"/>
      <c r="AK235" s="101"/>
      <c r="AT235" s="15" t="str">
        <f>IFERROR(INDEX('G-6 Hedgerow Data'!$BJ$3:$BJ$15,MATCH(M235,'G-6 Hedgerow Data'!$B$3:$B$15,0)),"")</f>
        <v/>
      </c>
    </row>
    <row r="236" spans="2:46" ht="14" x14ac:dyDescent="0.3">
      <c r="B236" s="319" t="str">
        <f>'B-1 On-Site Hedge Baseline'!AK234</f>
        <v/>
      </c>
      <c r="C236" s="310" t="str">
        <f>IF(B236="","",IF(ISNA(VLOOKUP($B236,'B-1 On-Site Hedge Baseline'!$B$1:$L$257,3,FALSE)),"",(VLOOKUP($B236,'B-1 On-Site Hedge Baseline'!$B$1:$L$257,3,FALSE))))</f>
        <v/>
      </c>
      <c r="D236" s="310" t="str">
        <f>IF(B236="","",IF(ISNA(VLOOKUP($B236,'B-1 On-Site Hedge Baseline'!$B$1:$L$257,4,FALSE)),"",(VLOOKUP($B236,'B-1 On-Site Hedge Baseline'!$B$1:$L$257,4,FALSE))))</f>
        <v/>
      </c>
      <c r="E236" s="310" t="str">
        <f>IF(B236="","",IF(ISNA(VLOOKUP($B236,'B-1 On-Site Hedge Baseline'!$B$1:$L$257,5,FALSE)),"",(VLOOKUP($B236,'B-1 On-Site Hedge Baseline'!$B$1:$L$257,5,FALSE))))</f>
        <v/>
      </c>
      <c r="F236" s="310" t="str">
        <f>IF(B236="","",IF(ISNA(VLOOKUP($B236,'B-1 On-Site Hedge Baseline'!$B$1:$L$257,6,FALSE)),"",(VLOOKUP($B236,'B-1 On-Site Hedge Baseline'!$B$1:$L$257,6,FALSE))))</f>
        <v/>
      </c>
      <c r="G236" s="310" t="str">
        <f>IF(B236="","",IF(ISNA(VLOOKUP($B236,'B-1 On-Site Hedge Baseline'!$B$1:$L$257,7,FALSE)),"",(VLOOKUP($B236,'B-1 On-Site Hedge Baseline'!$B$1:$L$257,7,FALSE))))</f>
        <v/>
      </c>
      <c r="H236" s="310" t="str">
        <f>IF(B236="","",IF(ISNA(VLOOKUP($B236,'B-1 On-Site Hedge Baseline'!$B$1:$L$257,8,FALSE)),"",(VLOOKUP($B236,'B-1 On-Site Hedge Baseline'!$B$1:$L$257,8,FALSE))))</f>
        <v/>
      </c>
      <c r="I236" s="310" t="str">
        <f>IF(B236="","",IF(ISNA(VLOOKUP($B236,'B-1 On-Site Hedge Baseline'!$B$1:$L$257,10,FALSE)),"",(VLOOKUP($B236,'B-1 On-Site Hedge Baseline'!$B$1:$L$257,10,FALSE))))</f>
        <v/>
      </c>
      <c r="J236" s="310" t="str">
        <f>IF(B236="","",IF(ISNA(VLOOKUP($B236,'B-1 On-Site Hedge Baseline'!$B$1:$L$257,11,FALSE)),"",(VLOOKUP($B236,'B-1 On-Site Hedge Baseline'!$B$1:$L$257,11,FALSE))))</f>
        <v/>
      </c>
      <c r="K236" s="310" t="str">
        <f>IF(B236="","",IF(ISNA(VLOOKUP($B236,'B-1 On-Site Hedge Baseline'!$B$1:$U$257,13,FALSE)),"",(VLOOKUP($B236,'B-1 On-Site Hedge Baseline'!$B$1:$U$257,13,FALSE))))</f>
        <v/>
      </c>
      <c r="L236" s="314" t="str">
        <f>IF(B236="","",IF(ISNA(VLOOKUP($B236,'B-1 On-Site Hedge Baseline'!$B$1:$U$257,12,FALSE)),"",(VLOOKUP($B236,'B-1 On-Site Hedge Baseline'!$B$1:$U$257,12,FALSE))))</f>
        <v/>
      </c>
      <c r="M236" s="583"/>
      <c r="N236" s="290" t="str">
        <f>IFERROR(IF(B236="","",INDEX('G-6 Hedgerow Data'!$AN$3:$AZ$15,MATCH(C236,'G-6 Hedgerow Data'!$AM$3:$AM$15,0),MATCH(M236,'G-6 Hedgerow Data'!$AN$2:$AZ$2,0))),"")</f>
        <v/>
      </c>
      <c r="O236" s="291" t="str">
        <f t="shared" si="22"/>
        <v/>
      </c>
      <c r="P236" s="341" t="str">
        <f>IF(B236="","",VLOOKUP(B236,'B-1 On-Site Hedge Baseline'!$B$10:T481,16,FALSE))</f>
        <v/>
      </c>
      <c r="Q236" s="290" t="str">
        <f>IF(M236="","",VLOOKUP(M236,'G-6 Hedgerow Data'!$B$2:$AG$15,2,FALSE))</f>
        <v/>
      </c>
      <c r="R236" s="291" t="str">
        <f>IF(M236="","",VLOOKUP(M236,'G-6 Hedgerow Data'!$B$2:$AG$15,3,FALSE))</f>
        <v/>
      </c>
      <c r="S236" s="106"/>
      <c r="T236" s="328" t="str">
        <f>IFERROR(IF(S236="","",IF(AND(M236="Non-native and ornamental hedgerow", S236&lt;&gt;"Poor"),"Not possible ▲", (VLOOKUP(S236,'G-1 All Habitats'!$Z$2:$AA$9,2,FALSE)))),"")</f>
        <v/>
      </c>
      <c r="U236" s="103"/>
      <c r="V236" s="310" t="str">
        <f>IF(U236="","",IF(VLOOKUP(U236,'G-3 Multipliers'!$L$3:$N$6,2,FALSE)=0,"Spatial Data Missing ⚠",VLOOKUP(U236,'G-3 Multipliers'!$L$3:$N$6,2,FALSE)))</f>
        <v/>
      </c>
      <c r="W236" s="314" t="str">
        <f>IF(U236="","",IF(VLOOKUP(U236,'G-3 Multipliers'!$L$3:$N$6,3,FALSE)=0,"Spatial Data Missing ⚠",VLOOKUP(U236,'G-3 Multipliers'!$L$3:$N$6,3,FALSE)))</f>
        <v/>
      </c>
      <c r="X236" s="290" t="str">
        <f>IFERROR(IF(OR(LEFT(O236,5)="Error",LEFT(N236,5)="Error",T236="Error"),"Check Data ⚠",IF(F236&lt;R236,INDEX('G-6 Hedgerow Data'!$S$3:$AE$14,MATCH(C236,'G-6 Hedgerow Data'!$B$3:$B$14,0),MATCH(M236,'G-6 Hedgerow Data'!$S$2:$AE$2,0)),INDEX('G-6 Hedgerow Data'!$K$3:$Q$14,MATCH(M236,'G-6 Hedgerow Data'!$B$3:$B$14,0),MATCH(O236,'G-6 Hedgerow Data'!$K$2:$Q$2,0)))),"")</f>
        <v/>
      </c>
      <c r="Y236" s="138"/>
      <c r="Z236" s="138"/>
      <c r="AA236" s="298" t="str">
        <f t="shared" si="23"/>
        <v/>
      </c>
      <c r="AB236" s="311" t="str">
        <f t="shared" si="24"/>
        <v/>
      </c>
      <c r="AC236" s="312" t="str">
        <f t="shared" si="21"/>
        <v/>
      </c>
      <c r="AD236" s="325" t="str">
        <f>IF(M236="","",VLOOKUP(M236,'G-6 Hedgerow Data'!$B$3:$AG$15,31,FALSE))</f>
        <v/>
      </c>
      <c r="AE236" s="298" t="str">
        <f t="shared" si="25"/>
        <v/>
      </c>
      <c r="AF236" s="298" t="str">
        <f t="shared" si="26"/>
        <v/>
      </c>
      <c r="AG236" s="314" t="str">
        <f>IFERROR(IF(O236="","",VLOOKUP(AD236,'G-3 Multipliers'!$P$3:$Q$6,2,FALSE)),"")</f>
        <v/>
      </c>
      <c r="AH236" s="304" t="str">
        <f t="shared" si="27"/>
        <v/>
      </c>
      <c r="AI236" s="157"/>
      <c r="AJ236" s="99"/>
      <c r="AK236" s="101"/>
      <c r="AT236" s="15" t="str">
        <f>IFERROR(INDEX('G-6 Hedgerow Data'!$BJ$3:$BJ$15,MATCH(M236,'G-6 Hedgerow Data'!$B$3:$B$15,0)),"")</f>
        <v/>
      </c>
    </row>
    <row r="237" spans="2:46" ht="14" x14ac:dyDescent="0.3">
      <c r="B237" s="319" t="str">
        <f>'B-1 On-Site Hedge Baseline'!AK235</f>
        <v/>
      </c>
      <c r="C237" s="310" t="str">
        <f>IF(B237="","",IF(ISNA(VLOOKUP($B237,'B-1 On-Site Hedge Baseline'!$B$1:$L$257,3,FALSE)),"",(VLOOKUP($B237,'B-1 On-Site Hedge Baseline'!$B$1:$L$257,3,FALSE))))</f>
        <v/>
      </c>
      <c r="D237" s="310" t="str">
        <f>IF(B237="","",IF(ISNA(VLOOKUP($B237,'B-1 On-Site Hedge Baseline'!$B$1:$L$257,4,FALSE)),"",(VLOOKUP($B237,'B-1 On-Site Hedge Baseline'!$B$1:$L$257,4,FALSE))))</f>
        <v/>
      </c>
      <c r="E237" s="310" t="str">
        <f>IF(B237="","",IF(ISNA(VLOOKUP($B237,'B-1 On-Site Hedge Baseline'!$B$1:$L$257,5,FALSE)),"",(VLOOKUP($B237,'B-1 On-Site Hedge Baseline'!$B$1:$L$257,5,FALSE))))</f>
        <v/>
      </c>
      <c r="F237" s="310" t="str">
        <f>IF(B237="","",IF(ISNA(VLOOKUP($B237,'B-1 On-Site Hedge Baseline'!$B$1:$L$257,6,FALSE)),"",(VLOOKUP($B237,'B-1 On-Site Hedge Baseline'!$B$1:$L$257,6,FALSE))))</f>
        <v/>
      </c>
      <c r="G237" s="310" t="str">
        <f>IF(B237="","",IF(ISNA(VLOOKUP($B237,'B-1 On-Site Hedge Baseline'!$B$1:$L$257,7,FALSE)),"",(VLOOKUP($B237,'B-1 On-Site Hedge Baseline'!$B$1:$L$257,7,FALSE))))</f>
        <v/>
      </c>
      <c r="H237" s="310" t="str">
        <f>IF(B237="","",IF(ISNA(VLOOKUP($B237,'B-1 On-Site Hedge Baseline'!$B$1:$L$257,8,FALSE)),"",(VLOOKUP($B237,'B-1 On-Site Hedge Baseline'!$B$1:$L$257,8,FALSE))))</f>
        <v/>
      </c>
      <c r="I237" s="310" t="str">
        <f>IF(B237="","",IF(ISNA(VLOOKUP($B237,'B-1 On-Site Hedge Baseline'!$B$1:$L$257,10,FALSE)),"",(VLOOKUP($B237,'B-1 On-Site Hedge Baseline'!$B$1:$L$257,10,FALSE))))</f>
        <v/>
      </c>
      <c r="J237" s="310" t="str">
        <f>IF(B237="","",IF(ISNA(VLOOKUP($B237,'B-1 On-Site Hedge Baseline'!$B$1:$L$257,11,FALSE)),"",(VLOOKUP($B237,'B-1 On-Site Hedge Baseline'!$B$1:$L$257,11,FALSE))))</f>
        <v/>
      </c>
      <c r="K237" s="310" t="str">
        <f>IF(B237="","",IF(ISNA(VLOOKUP($B237,'B-1 On-Site Hedge Baseline'!$B$1:$U$257,13,FALSE)),"",(VLOOKUP($B237,'B-1 On-Site Hedge Baseline'!$B$1:$U$257,13,FALSE))))</f>
        <v/>
      </c>
      <c r="L237" s="314" t="str">
        <f>IF(B237="","",IF(ISNA(VLOOKUP($B237,'B-1 On-Site Hedge Baseline'!$B$1:$U$257,12,FALSE)),"",(VLOOKUP($B237,'B-1 On-Site Hedge Baseline'!$B$1:$U$257,12,FALSE))))</f>
        <v/>
      </c>
      <c r="M237" s="583"/>
      <c r="N237" s="290" t="str">
        <f>IFERROR(IF(B237="","",INDEX('G-6 Hedgerow Data'!$AN$3:$AZ$15,MATCH(C237,'G-6 Hedgerow Data'!$AM$3:$AM$15,0),MATCH(M237,'G-6 Hedgerow Data'!$AN$2:$AZ$2,0))),"")</f>
        <v/>
      </c>
      <c r="O237" s="291" t="str">
        <f t="shared" si="22"/>
        <v/>
      </c>
      <c r="P237" s="341" t="str">
        <f>IF(B237="","",VLOOKUP(B237,'B-1 On-Site Hedge Baseline'!$B$10:T482,16,FALSE))</f>
        <v/>
      </c>
      <c r="Q237" s="290" t="str">
        <f>IF(M237="","",VLOOKUP(M237,'G-6 Hedgerow Data'!$B$2:$AG$15,2,FALSE))</f>
        <v/>
      </c>
      <c r="R237" s="291" t="str">
        <f>IF(M237="","",VLOOKUP(M237,'G-6 Hedgerow Data'!$B$2:$AG$15,3,FALSE))</f>
        <v/>
      </c>
      <c r="S237" s="106"/>
      <c r="T237" s="328" t="str">
        <f>IFERROR(IF(S237="","",IF(AND(M237="Non-native and ornamental hedgerow", S237&lt;&gt;"Poor"),"Not possible ▲", (VLOOKUP(S237,'G-1 All Habitats'!$Z$2:$AA$9,2,FALSE)))),"")</f>
        <v/>
      </c>
      <c r="U237" s="103"/>
      <c r="V237" s="310" t="str">
        <f>IF(U237="","",IF(VLOOKUP(U237,'G-3 Multipliers'!$L$3:$N$6,2,FALSE)=0,"Spatial Data Missing ⚠",VLOOKUP(U237,'G-3 Multipliers'!$L$3:$N$6,2,FALSE)))</f>
        <v/>
      </c>
      <c r="W237" s="314" t="str">
        <f>IF(U237="","",IF(VLOOKUP(U237,'G-3 Multipliers'!$L$3:$N$6,3,FALSE)=0,"Spatial Data Missing ⚠",VLOOKUP(U237,'G-3 Multipliers'!$L$3:$N$6,3,FALSE)))</f>
        <v/>
      </c>
      <c r="X237" s="290" t="str">
        <f>IFERROR(IF(OR(LEFT(O237,5)="Error",LEFT(N237,5)="Error",T237="Error"),"Check Data ⚠",IF(F237&lt;R237,INDEX('G-6 Hedgerow Data'!$S$3:$AE$14,MATCH(C237,'G-6 Hedgerow Data'!$B$3:$B$14,0),MATCH(M237,'G-6 Hedgerow Data'!$S$2:$AE$2,0)),INDEX('G-6 Hedgerow Data'!$K$3:$Q$14,MATCH(M237,'G-6 Hedgerow Data'!$B$3:$B$14,0),MATCH(O237,'G-6 Hedgerow Data'!$K$2:$Q$2,0)))),"")</f>
        <v/>
      </c>
      <c r="Y237" s="138"/>
      <c r="Z237" s="138"/>
      <c r="AA237" s="298" t="str">
        <f t="shared" si="23"/>
        <v/>
      </c>
      <c r="AB237" s="311" t="str">
        <f t="shared" si="24"/>
        <v/>
      </c>
      <c r="AC237" s="312" t="str">
        <f t="shared" si="21"/>
        <v/>
      </c>
      <c r="AD237" s="325" t="str">
        <f>IF(M237="","",VLOOKUP(M237,'G-6 Hedgerow Data'!$B$3:$AG$15,31,FALSE))</f>
        <v/>
      </c>
      <c r="AE237" s="298" t="str">
        <f t="shared" si="25"/>
        <v/>
      </c>
      <c r="AF237" s="298" t="str">
        <f t="shared" si="26"/>
        <v/>
      </c>
      <c r="AG237" s="314" t="str">
        <f>IFERROR(IF(O237="","",VLOOKUP(AD237,'G-3 Multipliers'!$P$3:$Q$6,2,FALSE)),"")</f>
        <v/>
      </c>
      <c r="AH237" s="304" t="str">
        <f t="shared" si="27"/>
        <v/>
      </c>
      <c r="AI237" s="157"/>
      <c r="AJ237" s="99"/>
      <c r="AK237" s="101"/>
      <c r="AT237" s="15" t="str">
        <f>IFERROR(INDEX('G-6 Hedgerow Data'!$BJ$3:$BJ$15,MATCH(M237,'G-6 Hedgerow Data'!$B$3:$B$15,0)),"")</f>
        <v/>
      </c>
    </row>
    <row r="238" spans="2:46" ht="14" x14ac:dyDescent="0.3">
      <c r="B238" s="319" t="str">
        <f>'B-1 On-Site Hedge Baseline'!AK236</f>
        <v/>
      </c>
      <c r="C238" s="310" t="str">
        <f>IF(B238="","",IF(ISNA(VLOOKUP($B238,'B-1 On-Site Hedge Baseline'!$B$1:$L$257,3,FALSE)),"",(VLOOKUP($B238,'B-1 On-Site Hedge Baseline'!$B$1:$L$257,3,FALSE))))</f>
        <v/>
      </c>
      <c r="D238" s="310" t="str">
        <f>IF(B238="","",IF(ISNA(VLOOKUP($B238,'B-1 On-Site Hedge Baseline'!$B$1:$L$257,4,FALSE)),"",(VLOOKUP($B238,'B-1 On-Site Hedge Baseline'!$B$1:$L$257,4,FALSE))))</f>
        <v/>
      </c>
      <c r="E238" s="310" t="str">
        <f>IF(B238="","",IF(ISNA(VLOOKUP($B238,'B-1 On-Site Hedge Baseline'!$B$1:$L$257,5,FALSE)),"",(VLOOKUP($B238,'B-1 On-Site Hedge Baseline'!$B$1:$L$257,5,FALSE))))</f>
        <v/>
      </c>
      <c r="F238" s="310" t="str">
        <f>IF(B238="","",IF(ISNA(VLOOKUP($B238,'B-1 On-Site Hedge Baseline'!$B$1:$L$257,6,FALSE)),"",(VLOOKUP($B238,'B-1 On-Site Hedge Baseline'!$B$1:$L$257,6,FALSE))))</f>
        <v/>
      </c>
      <c r="G238" s="310" t="str">
        <f>IF(B238="","",IF(ISNA(VLOOKUP($B238,'B-1 On-Site Hedge Baseline'!$B$1:$L$257,7,FALSE)),"",(VLOOKUP($B238,'B-1 On-Site Hedge Baseline'!$B$1:$L$257,7,FALSE))))</f>
        <v/>
      </c>
      <c r="H238" s="310" t="str">
        <f>IF(B238="","",IF(ISNA(VLOOKUP($B238,'B-1 On-Site Hedge Baseline'!$B$1:$L$257,8,FALSE)),"",(VLOOKUP($B238,'B-1 On-Site Hedge Baseline'!$B$1:$L$257,8,FALSE))))</f>
        <v/>
      </c>
      <c r="I238" s="310" t="str">
        <f>IF(B238="","",IF(ISNA(VLOOKUP($B238,'B-1 On-Site Hedge Baseline'!$B$1:$L$257,10,FALSE)),"",(VLOOKUP($B238,'B-1 On-Site Hedge Baseline'!$B$1:$L$257,10,FALSE))))</f>
        <v/>
      </c>
      <c r="J238" s="310" t="str">
        <f>IF(B238="","",IF(ISNA(VLOOKUP($B238,'B-1 On-Site Hedge Baseline'!$B$1:$L$257,11,FALSE)),"",(VLOOKUP($B238,'B-1 On-Site Hedge Baseline'!$B$1:$L$257,11,FALSE))))</f>
        <v/>
      </c>
      <c r="K238" s="310" t="str">
        <f>IF(B238="","",IF(ISNA(VLOOKUP($B238,'B-1 On-Site Hedge Baseline'!$B$1:$U$257,13,FALSE)),"",(VLOOKUP($B238,'B-1 On-Site Hedge Baseline'!$B$1:$U$257,13,FALSE))))</f>
        <v/>
      </c>
      <c r="L238" s="314" t="str">
        <f>IF(B238="","",IF(ISNA(VLOOKUP($B238,'B-1 On-Site Hedge Baseline'!$B$1:$U$257,12,FALSE)),"",(VLOOKUP($B238,'B-1 On-Site Hedge Baseline'!$B$1:$U$257,12,FALSE))))</f>
        <v/>
      </c>
      <c r="M238" s="583"/>
      <c r="N238" s="290" t="str">
        <f>IFERROR(IF(B238="","",INDEX('G-6 Hedgerow Data'!$AN$3:$AZ$15,MATCH(C238,'G-6 Hedgerow Data'!$AM$3:$AM$15,0),MATCH(M238,'G-6 Hedgerow Data'!$AN$2:$AZ$2,0))),"")</f>
        <v/>
      </c>
      <c r="O238" s="291" t="str">
        <f t="shared" si="22"/>
        <v/>
      </c>
      <c r="P238" s="341" t="str">
        <f>IF(B238="","",VLOOKUP(B238,'B-1 On-Site Hedge Baseline'!$B$10:T483,16,FALSE))</f>
        <v/>
      </c>
      <c r="Q238" s="290" t="str">
        <f>IF(M238="","",VLOOKUP(M238,'G-6 Hedgerow Data'!$B$2:$AG$15,2,FALSE))</f>
        <v/>
      </c>
      <c r="R238" s="291" t="str">
        <f>IF(M238="","",VLOOKUP(M238,'G-6 Hedgerow Data'!$B$2:$AG$15,3,FALSE))</f>
        <v/>
      </c>
      <c r="S238" s="106"/>
      <c r="T238" s="328" t="str">
        <f>IFERROR(IF(S238="","",IF(AND(M238="Non-native and ornamental hedgerow", S238&lt;&gt;"Poor"),"Not possible ▲", (VLOOKUP(S238,'G-1 All Habitats'!$Z$2:$AA$9,2,FALSE)))),"")</f>
        <v/>
      </c>
      <c r="U238" s="103"/>
      <c r="V238" s="310" t="str">
        <f>IF(U238="","",IF(VLOOKUP(U238,'G-3 Multipliers'!$L$3:$N$6,2,FALSE)=0,"Spatial Data Missing ⚠",VLOOKUP(U238,'G-3 Multipliers'!$L$3:$N$6,2,FALSE)))</f>
        <v/>
      </c>
      <c r="W238" s="314" t="str">
        <f>IF(U238="","",IF(VLOOKUP(U238,'G-3 Multipliers'!$L$3:$N$6,3,FALSE)=0,"Spatial Data Missing ⚠",VLOOKUP(U238,'G-3 Multipliers'!$L$3:$N$6,3,FALSE)))</f>
        <v/>
      </c>
      <c r="X238" s="290" t="str">
        <f>IFERROR(IF(OR(LEFT(O238,5)="Error",LEFT(N238,5)="Error",T238="Error"),"Check Data ⚠",IF(F238&lt;R238,INDEX('G-6 Hedgerow Data'!$S$3:$AE$14,MATCH(C238,'G-6 Hedgerow Data'!$B$3:$B$14,0),MATCH(M238,'G-6 Hedgerow Data'!$S$2:$AE$2,0)),INDEX('G-6 Hedgerow Data'!$K$3:$Q$14,MATCH(M238,'G-6 Hedgerow Data'!$B$3:$B$14,0),MATCH(O238,'G-6 Hedgerow Data'!$K$2:$Q$2,0)))),"")</f>
        <v/>
      </c>
      <c r="Y238" s="138"/>
      <c r="Z238" s="138"/>
      <c r="AA238" s="298" t="str">
        <f t="shared" si="23"/>
        <v/>
      </c>
      <c r="AB238" s="311" t="str">
        <f t="shared" si="24"/>
        <v/>
      </c>
      <c r="AC238" s="312" t="str">
        <f t="shared" si="21"/>
        <v/>
      </c>
      <c r="AD238" s="325" t="str">
        <f>IF(M238="","",VLOOKUP(M238,'G-6 Hedgerow Data'!$B$3:$AG$15,31,FALSE))</f>
        <v/>
      </c>
      <c r="AE238" s="298" t="str">
        <f t="shared" si="25"/>
        <v/>
      </c>
      <c r="AF238" s="298" t="str">
        <f t="shared" si="26"/>
        <v/>
      </c>
      <c r="AG238" s="314" t="str">
        <f>IFERROR(IF(O238="","",VLOOKUP(AD238,'G-3 Multipliers'!$P$3:$Q$6,2,FALSE)),"")</f>
        <v/>
      </c>
      <c r="AH238" s="304" t="str">
        <f t="shared" si="27"/>
        <v/>
      </c>
      <c r="AI238" s="157"/>
      <c r="AJ238" s="99"/>
      <c r="AK238" s="101"/>
      <c r="AT238" s="15" t="str">
        <f>IFERROR(INDEX('G-6 Hedgerow Data'!$BJ$3:$BJ$15,MATCH(M238,'G-6 Hedgerow Data'!$B$3:$B$15,0)),"")</f>
        <v/>
      </c>
    </row>
    <row r="239" spans="2:46" ht="14" x14ac:dyDescent="0.3">
      <c r="B239" s="319" t="str">
        <f>'B-1 On-Site Hedge Baseline'!AK237</f>
        <v/>
      </c>
      <c r="C239" s="310" t="str">
        <f>IF(B239="","",IF(ISNA(VLOOKUP($B239,'B-1 On-Site Hedge Baseline'!$B$1:$L$257,3,FALSE)),"",(VLOOKUP($B239,'B-1 On-Site Hedge Baseline'!$B$1:$L$257,3,FALSE))))</f>
        <v/>
      </c>
      <c r="D239" s="310" t="str">
        <f>IF(B239="","",IF(ISNA(VLOOKUP($B239,'B-1 On-Site Hedge Baseline'!$B$1:$L$257,4,FALSE)),"",(VLOOKUP($B239,'B-1 On-Site Hedge Baseline'!$B$1:$L$257,4,FALSE))))</f>
        <v/>
      </c>
      <c r="E239" s="310" t="str">
        <f>IF(B239="","",IF(ISNA(VLOOKUP($B239,'B-1 On-Site Hedge Baseline'!$B$1:$L$257,5,FALSE)),"",(VLOOKUP($B239,'B-1 On-Site Hedge Baseline'!$B$1:$L$257,5,FALSE))))</f>
        <v/>
      </c>
      <c r="F239" s="310" t="str">
        <f>IF(B239="","",IF(ISNA(VLOOKUP($B239,'B-1 On-Site Hedge Baseline'!$B$1:$L$257,6,FALSE)),"",(VLOOKUP($B239,'B-1 On-Site Hedge Baseline'!$B$1:$L$257,6,FALSE))))</f>
        <v/>
      </c>
      <c r="G239" s="310" t="str">
        <f>IF(B239="","",IF(ISNA(VLOOKUP($B239,'B-1 On-Site Hedge Baseline'!$B$1:$L$257,7,FALSE)),"",(VLOOKUP($B239,'B-1 On-Site Hedge Baseline'!$B$1:$L$257,7,FALSE))))</f>
        <v/>
      </c>
      <c r="H239" s="310" t="str">
        <f>IF(B239="","",IF(ISNA(VLOOKUP($B239,'B-1 On-Site Hedge Baseline'!$B$1:$L$257,8,FALSE)),"",(VLOOKUP($B239,'B-1 On-Site Hedge Baseline'!$B$1:$L$257,8,FALSE))))</f>
        <v/>
      </c>
      <c r="I239" s="310" t="str">
        <f>IF(B239="","",IF(ISNA(VLOOKUP($B239,'B-1 On-Site Hedge Baseline'!$B$1:$L$257,10,FALSE)),"",(VLOOKUP($B239,'B-1 On-Site Hedge Baseline'!$B$1:$L$257,10,FALSE))))</f>
        <v/>
      </c>
      <c r="J239" s="310" t="str">
        <f>IF(B239="","",IF(ISNA(VLOOKUP($B239,'B-1 On-Site Hedge Baseline'!$B$1:$L$257,11,FALSE)),"",(VLOOKUP($B239,'B-1 On-Site Hedge Baseline'!$B$1:$L$257,11,FALSE))))</f>
        <v/>
      </c>
      <c r="K239" s="310" t="str">
        <f>IF(B239="","",IF(ISNA(VLOOKUP($B239,'B-1 On-Site Hedge Baseline'!$B$1:$U$257,13,FALSE)),"",(VLOOKUP($B239,'B-1 On-Site Hedge Baseline'!$B$1:$U$257,13,FALSE))))</f>
        <v/>
      </c>
      <c r="L239" s="314" t="str">
        <f>IF(B239="","",IF(ISNA(VLOOKUP($B239,'B-1 On-Site Hedge Baseline'!$B$1:$U$257,12,FALSE)),"",(VLOOKUP($B239,'B-1 On-Site Hedge Baseline'!$B$1:$U$257,12,FALSE))))</f>
        <v/>
      </c>
      <c r="M239" s="583"/>
      <c r="N239" s="290" t="str">
        <f>IFERROR(IF(B239="","",INDEX('G-6 Hedgerow Data'!$AN$3:$AZ$15,MATCH(C239,'G-6 Hedgerow Data'!$AM$3:$AM$15,0),MATCH(M239,'G-6 Hedgerow Data'!$AN$2:$AZ$2,0))),"")</f>
        <v/>
      </c>
      <c r="O239" s="291" t="str">
        <f t="shared" si="22"/>
        <v/>
      </c>
      <c r="P239" s="341" t="str">
        <f>IF(B239="","",VLOOKUP(B239,'B-1 On-Site Hedge Baseline'!$B$10:T484,16,FALSE))</f>
        <v/>
      </c>
      <c r="Q239" s="290" t="str">
        <f>IF(M239="","",VLOOKUP(M239,'G-6 Hedgerow Data'!$B$2:$AG$15,2,FALSE))</f>
        <v/>
      </c>
      <c r="R239" s="291" t="str">
        <f>IF(M239="","",VLOOKUP(M239,'G-6 Hedgerow Data'!$B$2:$AG$15,3,FALSE))</f>
        <v/>
      </c>
      <c r="S239" s="106"/>
      <c r="T239" s="328" t="str">
        <f>IFERROR(IF(S239="","",IF(AND(M239="Non-native and ornamental hedgerow", S239&lt;&gt;"Poor"),"Not possible ▲", (VLOOKUP(S239,'G-1 All Habitats'!$Z$2:$AA$9,2,FALSE)))),"")</f>
        <v/>
      </c>
      <c r="U239" s="103"/>
      <c r="V239" s="310" t="str">
        <f>IF(U239="","",IF(VLOOKUP(U239,'G-3 Multipliers'!$L$3:$N$6,2,FALSE)=0,"Spatial Data Missing ⚠",VLOOKUP(U239,'G-3 Multipliers'!$L$3:$N$6,2,FALSE)))</f>
        <v/>
      </c>
      <c r="W239" s="314" t="str">
        <f>IF(U239="","",IF(VLOOKUP(U239,'G-3 Multipliers'!$L$3:$N$6,3,FALSE)=0,"Spatial Data Missing ⚠",VLOOKUP(U239,'G-3 Multipliers'!$L$3:$N$6,3,FALSE)))</f>
        <v/>
      </c>
      <c r="X239" s="290" t="str">
        <f>IFERROR(IF(OR(LEFT(O239,5)="Error",LEFT(N239,5)="Error",T239="Error"),"Check Data ⚠",IF(F239&lt;R239,INDEX('G-6 Hedgerow Data'!$S$3:$AE$14,MATCH(C239,'G-6 Hedgerow Data'!$B$3:$B$14,0),MATCH(M239,'G-6 Hedgerow Data'!$S$2:$AE$2,0)),INDEX('G-6 Hedgerow Data'!$K$3:$Q$14,MATCH(M239,'G-6 Hedgerow Data'!$B$3:$B$14,0),MATCH(O239,'G-6 Hedgerow Data'!$K$2:$Q$2,0)))),"")</f>
        <v/>
      </c>
      <c r="Y239" s="138"/>
      <c r="Z239" s="138"/>
      <c r="AA239" s="298" t="str">
        <f t="shared" si="23"/>
        <v/>
      </c>
      <c r="AB239" s="311" t="str">
        <f t="shared" si="24"/>
        <v/>
      </c>
      <c r="AC239" s="312" t="str">
        <f t="shared" si="21"/>
        <v/>
      </c>
      <c r="AD239" s="325" t="str">
        <f>IF(M239="","",VLOOKUP(M239,'G-6 Hedgerow Data'!$B$3:$AG$15,31,FALSE))</f>
        <v/>
      </c>
      <c r="AE239" s="298" t="str">
        <f t="shared" si="25"/>
        <v/>
      </c>
      <c r="AF239" s="298" t="str">
        <f t="shared" si="26"/>
        <v/>
      </c>
      <c r="AG239" s="314" t="str">
        <f>IFERROR(IF(O239="","",VLOOKUP(AD239,'G-3 Multipliers'!$P$3:$Q$6,2,FALSE)),"")</f>
        <v/>
      </c>
      <c r="AH239" s="304" t="str">
        <f t="shared" si="27"/>
        <v/>
      </c>
      <c r="AI239" s="157"/>
      <c r="AJ239" s="99"/>
      <c r="AK239" s="101"/>
      <c r="AT239" s="15" t="str">
        <f>IFERROR(INDEX('G-6 Hedgerow Data'!$BJ$3:$BJ$15,MATCH(M239,'G-6 Hedgerow Data'!$B$3:$B$15,0)),"")</f>
        <v/>
      </c>
    </row>
    <row r="240" spans="2:46" ht="14" x14ac:dyDescent="0.3">
      <c r="B240" s="319" t="str">
        <f>'B-1 On-Site Hedge Baseline'!AK238</f>
        <v/>
      </c>
      <c r="C240" s="310" t="str">
        <f>IF(B240="","",IF(ISNA(VLOOKUP($B240,'B-1 On-Site Hedge Baseline'!$B$1:$L$257,3,FALSE)),"",(VLOOKUP($B240,'B-1 On-Site Hedge Baseline'!$B$1:$L$257,3,FALSE))))</f>
        <v/>
      </c>
      <c r="D240" s="310" t="str">
        <f>IF(B240="","",IF(ISNA(VLOOKUP($B240,'B-1 On-Site Hedge Baseline'!$B$1:$L$257,4,FALSE)),"",(VLOOKUP($B240,'B-1 On-Site Hedge Baseline'!$B$1:$L$257,4,FALSE))))</f>
        <v/>
      </c>
      <c r="E240" s="310" t="str">
        <f>IF(B240="","",IF(ISNA(VLOOKUP($B240,'B-1 On-Site Hedge Baseline'!$B$1:$L$257,5,FALSE)),"",(VLOOKUP($B240,'B-1 On-Site Hedge Baseline'!$B$1:$L$257,5,FALSE))))</f>
        <v/>
      </c>
      <c r="F240" s="310" t="str">
        <f>IF(B240="","",IF(ISNA(VLOOKUP($B240,'B-1 On-Site Hedge Baseline'!$B$1:$L$257,6,FALSE)),"",(VLOOKUP($B240,'B-1 On-Site Hedge Baseline'!$B$1:$L$257,6,FALSE))))</f>
        <v/>
      </c>
      <c r="G240" s="310" t="str">
        <f>IF(B240="","",IF(ISNA(VLOOKUP($B240,'B-1 On-Site Hedge Baseline'!$B$1:$L$257,7,FALSE)),"",(VLOOKUP($B240,'B-1 On-Site Hedge Baseline'!$B$1:$L$257,7,FALSE))))</f>
        <v/>
      </c>
      <c r="H240" s="310" t="str">
        <f>IF(B240="","",IF(ISNA(VLOOKUP($B240,'B-1 On-Site Hedge Baseline'!$B$1:$L$257,8,FALSE)),"",(VLOOKUP($B240,'B-1 On-Site Hedge Baseline'!$B$1:$L$257,8,FALSE))))</f>
        <v/>
      </c>
      <c r="I240" s="310" t="str">
        <f>IF(B240="","",IF(ISNA(VLOOKUP($B240,'B-1 On-Site Hedge Baseline'!$B$1:$L$257,10,FALSE)),"",(VLOOKUP($B240,'B-1 On-Site Hedge Baseline'!$B$1:$L$257,10,FALSE))))</f>
        <v/>
      </c>
      <c r="J240" s="310" t="str">
        <f>IF(B240="","",IF(ISNA(VLOOKUP($B240,'B-1 On-Site Hedge Baseline'!$B$1:$L$257,11,FALSE)),"",(VLOOKUP($B240,'B-1 On-Site Hedge Baseline'!$B$1:$L$257,11,FALSE))))</f>
        <v/>
      </c>
      <c r="K240" s="310" t="str">
        <f>IF(B240="","",IF(ISNA(VLOOKUP($B240,'B-1 On-Site Hedge Baseline'!$B$1:$U$257,13,FALSE)),"",(VLOOKUP($B240,'B-1 On-Site Hedge Baseline'!$B$1:$U$257,13,FALSE))))</f>
        <v/>
      </c>
      <c r="L240" s="314" t="str">
        <f>IF(B240="","",IF(ISNA(VLOOKUP($B240,'B-1 On-Site Hedge Baseline'!$B$1:$U$257,12,FALSE)),"",(VLOOKUP($B240,'B-1 On-Site Hedge Baseline'!$B$1:$U$257,12,FALSE))))</f>
        <v/>
      </c>
      <c r="M240" s="583"/>
      <c r="N240" s="290" t="str">
        <f>IFERROR(IF(B240="","",INDEX('G-6 Hedgerow Data'!$AN$3:$AZ$15,MATCH(C240,'G-6 Hedgerow Data'!$AM$3:$AM$15,0),MATCH(M240,'G-6 Hedgerow Data'!$AN$2:$AZ$2,0))),"")</f>
        <v/>
      </c>
      <c r="O240" s="291" t="str">
        <f t="shared" si="22"/>
        <v/>
      </c>
      <c r="P240" s="341" t="str">
        <f>IF(B240="","",VLOOKUP(B240,'B-1 On-Site Hedge Baseline'!$B$10:T485,16,FALSE))</f>
        <v/>
      </c>
      <c r="Q240" s="290" t="str">
        <f>IF(M240="","",VLOOKUP(M240,'G-6 Hedgerow Data'!$B$2:$AG$15,2,FALSE))</f>
        <v/>
      </c>
      <c r="R240" s="291" t="str">
        <f>IF(M240="","",VLOOKUP(M240,'G-6 Hedgerow Data'!$B$2:$AG$15,3,FALSE))</f>
        <v/>
      </c>
      <c r="S240" s="106"/>
      <c r="T240" s="328" t="str">
        <f>IFERROR(IF(S240="","",IF(AND(M240="Non-native and ornamental hedgerow", S240&lt;&gt;"Poor"),"Not possible ▲", (VLOOKUP(S240,'G-1 All Habitats'!$Z$2:$AA$9,2,FALSE)))),"")</f>
        <v/>
      </c>
      <c r="U240" s="103"/>
      <c r="V240" s="310" t="str">
        <f>IF(U240="","",IF(VLOOKUP(U240,'G-3 Multipliers'!$L$3:$N$6,2,FALSE)=0,"Spatial Data Missing ⚠",VLOOKUP(U240,'G-3 Multipliers'!$L$3:$N$6,2,FALSE)))</f>
        <v/>
      </c>
      <c r="W240" s="314" t="str">
        <f>IF(U240="","",IF(VLOOKUP(U240,'G-3 Multipliers'!$L$3:$N$6,3,FALSE)=0,"Spatial Data Missing ⚠",VLOOKUP(U240,'G-3 Multipliers'!$L$3:$N$6,3,FALSE)))</f>
        <v/>
      </c>
      <c r="X240" s="290" t="str">
        <f>IFERROR(IF(OR(LEFT(O240,5)="Error",LEFT(N240,5)="Error",T240="Error"),"Check Data ⚠",IF(F240&lt;R240,INDEX('G-6 Hedgerow Data'!$S$3:$AE$14,MATCH(C240,'G-6 Hedgerow Data'!$B$3:$B$14,0),MATCH(M240,'G-6 Hedgerow Data'!$S$2:$AE$2,0)),INDEX('G-6 Hedgerow Data'!$K$3:$Q$14,MATCH(M240,'G-6 Hedgerow Data'!$B$3:$B$14,0),MATCH(O240,'G-6 Hedgerow Data'!$K$2:$Q$2,0)))),"")</f>
        <v/>
      </c>
      <c r="Y240" s="138"/>
      <c r="Z240" s="138"/>
      <c r="AA240" s="298" t="str">
        <f t="shared" si="23"/>
        <v/>
      </c>
      <c r="AB240" s="311" t="str">
        <f t="shared" si="24"/>
        <v/>
      </c>
      <c r="AC240" s="312" t="str">
        <f t="shared" si="21"/>
        <v/>
      </c>
      <c r="AD240" s="325" t="str">
        <f>IF(M240="","",VLOOKUP(M240,'G-6 Hedgerow Data'!$B$3:$AG$15,31,FALSE))</f>
        <v/>
      </c>
      <c r="AE240" s="298" t="str">
        <f t="shared" si="25"/>
        <v/>
      </c>
      <c r="AF240" s="298" t="str">
        <f t="shared" si="26"/>
        <v/>
      </c>
      <c r="AG240" s="314" t="str">
        <f>IFERROR(IF(O240="","",VLOOKUP(AD240,'G-3 Multipliers'!$P$3:$Q$6,2,FALSE)),"")</f>
        <v/>
      </c>
      <c r="AH240" s="304" t="str">
        <f t="shared" si="27"/>
        <v/>
      </c>
      <c r="AI240" s="157"/>
      <c r="AJ240" s="99"/>
      <c r="AK240" s="101"/>
      <c r="AT240" s="15" t="str">
        <f>IFERROR(INDEX('G-6 Hedgerow Data'!$BJ$3:$BJ$15,MATCH(M240,'G-6 Hedgerow Data'!$B$3:$B$15,0)),"")</f>
        <v/>
      </c>
    </row>
    <row r="241" spans="2:46" ht="14" x14ac:dyDescent="0.3">
      <c r="B241" s="319" t="str">
        <f>'B-1 On-Site Hedge Baseline'!AK239</f>
        <v/>
      </c>
      <c r="C241" s="310" t="str">
        <f>IF(B241="","",IF(ISNA(VLOOKUP($B241,'B-1 On-Site Hedge Baseline'!$B$1:$L$257,3,FALSE)),"",(VLOOKUP($B241,'B-1 On-Site Hedge Baseline'!$B$1:$L$257,3,FALSE))))</f>
        <v/>
      </c>
      <c r="D241" s="310" t="str">
        <f>IF(B241="","",IF(ISNA(VLOOKUP($B241,'B-1 On-Site Hedge Baseline'!$B$1:$L$257,4,FALSE)),"",(VLOOKUP($B241,'B-1 On-Site Hedge Baseline'!$B$1:$L$257,4,FALSE))))</f>
        <v/>
      </c>
      <c r="E241" s="310" t="str">
        <f>IF(B241="","",IF(ISNA(VLOOKUP($B241,'B-1 On-Site Hedge Baseline'!$B$1:$L$257,5,FALSE)),"",(VLOOKUP($B241,'B-1 On-Site Hedge Baseline'!$B$1:$L$257,5,FALSE))))</f>
        <v/>
      </c>
      <c r="F241" s="310" t="str">
        <f>IF(B241="","",IF(ISNA(VLOOKUP($B241,'B-1 On-Site Hedge Baseline'!$B$1:$L$257,6,FALSE)),"",(VLOOKUP($B241,'B-1 On-Site Hedge Baseline'!$B$1:$L$257,6,FALSE))))</f>
        <v/>
      </c>
      <c r="G241" s="310" t="str">
        <f>IF(B241="","",IF(ISNA(VLOOKUP($B241,'B-1 On-Site Hedge Baseline'!$B$1:$L$257,7,FALSE)),"",(VLOOKUP($B241,'B-1 On-Site Hedge Baseline'!$B$1:$L$257,7,FALSE))))</f>
        <v/>
      </c>
      <c r="H241" s="310" t="str">
        <f>IF(B241="","",IF(ISNA(VLOOKUP($B241,'B-1 On-Site Hedge Baseline'!$B$1:$L$257,8,FALSE)),"",(VLOOKUP($B241,'B-1 On-Site Hedge Baseline'!$B$1:$L$257,8,FALSE))))</f>
        <v/>
      </c>
      <c r="I241" s="310" t="str">
        <f>IF(B241="","",IF(ISNA(VLOOKUP($B241,'B-1 On-Site Hedge Baseline'!$B$1:$L$257,10,FALSE)),"",(VLOOKUP($B241,'B-1 On-Site Hedge Baseline'!$B$1:$L$257,10,FALSE))))</f>
        <v/>
      </c>
      <c r="J241" s="310" t="str">
        <f>IF(B241="","",IF(ISNA(VLOOKUP($B241,'B-1 On-Site Hedge Baseline'!$B$1:$L$257,11,FALSE)),"",(VLOOKUP($B241,'B-1 On-Site Hedge Baseline'!$B$1:$L$257,11,FALSE))))</f>
        <v/>
      </c>
      <c r="K241" s="310" t="str">
        <f>IF(B241="","",IF(ISNA(VLOOKUP($B241,'B-1 On-Site Hedge Baseline'!$B$1:$U$257,13,FALSE)),"",(VLOOKUP($B241,'B-1 On-Site Hedge Baseline'!$B$1:$U$257,13,FALSE))))</f>
        <v/>
      </c>
      <c r="L241" s="314" t="str">
        <f>IF(B241="","",IF(ISNA(VLOOKUP($B241,'B-1 On-Site Hedge Baseline'!$B$1:$U$257,12,FALSE)),"",(VLOOKUP($B241,'B-1 On-Site Hedge Baseline'!$B$1:$U$257,12,FALSE))))</f>
        <v/>
      </c>
      <c r="M241" s="583"/>
      <c r="N241" s="290" t="str">
        <f>IFERROR(IF(B241="","",INDEX('G-6 Hedgerow Data'!$AN$3:$AZ$15,MATCH(C241,'G-6 Hedgerow Data'!$AM$3:$AM$15,0),MATCH(M241,'G-6 Hedgerow Data'!$AN$2:$AZ$2,0))),"")</f>
        <v/>
      </c>
      <c r="O241" s="291" t="str">
        <f t="shared" si="22"/>
        <v/>
      </c>
      <c r="P241" s="341" t="str">
        <f>IF(B241="","",VLOOKUP(B241,'B-1 On-Site Hedge Baseline'!$B$10:T486,16,FALSE))</f>
        <v/>
      </c>
      <c r="Q241" s="290" t="str">
        <f>IF(M241="","",VLOOKUP(M241,'G-6 Hedgerow Data'!$B$2:$AG$15,2,FALSE))</f>
        <v/>
      </c>
      <c r="R241" s="291" t="str">
        <f>IF(M241="","",VLOOKUP(M241,'G-6 Hedgerow Data'!$B$2:$AG$15,3,FALSE))</f>
        <v/>
      </c>
      <c r="S241" s="106"/>
      <c r="T241" s="328" t="str">
        <f>IFERROR(IF(S241="","",IF(AND(M241="Non-native and ornamental hedgerow", S241&lt;&gt;"Poor"),"Not possible ▲", (VLOOKUP(S241,'G-1 All Habitats'!$Z$2:$AA$9,2,FALSE)))),"")</f>
        <v/>
      </c>
      <c r="U241" s="103"/>
      <c r="V241" s="310" t="str">
        <f>IF(U241="","",IF(VLOOKUP(U241,'G-3 Multipliers'!$L$3:$N$6,2,FALSE)=0,"Spatial Data Missing ⚠",VLOOKUP(U241,'G-3 Multipliers'!$L$3:$N$6,2,FALSE)))</f>
        <v/>
      </c>
      <c r="W241" s="314" t="str">
        <f>IF(U241="","",IF(VLOOKUP(U241,'G-3 Multipliers'!$L$3:$N$6,3,FALSE)=0,"Spatial Data Missing ⚠",VLOOKUP(U241,'G-3 Multipliers'!$L$3:$N$6,3,FALSE)))</f>
        <v/>
      </c>
      <c r="X241" s="290" t="str">
        <f>IFERROR(IF(OR(LEFT(O241,5)="Error",LEFT(N241,5)="Error",T241="Error"),"Check Data ⚠",IF(F241&lt;R241,INDEX('G-6 Hedgerow Data'!$S$3:$AE$14,MATCH(C241,'G-6 Hedgerow Data'!$B$3:$B$14,0),MATCH(M241,'G-6 Hedgerow Data'!$S$2:$AE$2,0)),INDEX('G-6 Hedgerow Data'!$K$3:$Q$14,MATCH(M241,'G-6 Hedgerow Data'!$B$3:$B$14,0),MATCH(O241,'G-6 Hedgerow Data'!$K$2:$Q$2,0)))),"")</f>
        <v/>
      </c>
      <c r="Y241" s="138"/>
      <c r="Z241" s="138"/>
      <c r="AA241" s="298" t="str">
        <f t="shared" si="23"/>
        <v/>
      </c>
      <c r="AB241" s="311" t="str">
        <f t="shared" si="24"/>
        <v/>
      </c>
      <c r="AC241" s="312" t="str">
        <f t="shared" si="21"/>
        <v/>
      </c>
      <c r="AD241" s="325" t="str">
        <f>IF(M241="","",VLOOKUP(M241,'G-6 Hedgerow Data'!$B$3:$AG$15,31,FALSE))</f>
        <v/>
      </c>
      <c r="AE241" s="298" t="str">
        <f t="shared" si="25"/>
        <v/>
      </c>
      <c r="AF241" s="298" t="str">
        <f t="shared" si="26"/>
        <v/>
      </c>
      <c r="AG241" s="314" t="str">
        <f>IFERROR(IF(O241="","",VLOOKUP(AD241,'G-3 Multipliers'!$P$3:$Q$6,2,FALSE)),"")</f>
        <v/>
      </c>
      <c r="AH241" s="304" t="str">
        <f t="shared" si="27"/>
        <v/>
      </c>
      <c r="AI241" s="157"/>
      <c r="AJ241" s="99"/>
      <c r="AK241" s="101"/>
      <c r="AT241" s="15" t="str">
        <f>IFERROR(INDEX('G-6 Hedgerow Data'!$BJ$3:$BJ$15,MATCH(M241,'G-6 Hedgerow Data'!$B$3:$B$15,0)),"")</f>
        <v/>
      </c>
    </row>
    <row r="242" spans="2:46" ht="14" x14ac:dyDescent="0.3">
      <c r="B242" s="319" t="str">
        <f>'B-1 On-Site Hedge Baseline'!AK240</f>
        <v/>
      </c>
      <c r="C242" s="310" t="str">
        <f>IF(B242="","",IF(ISNA(VLOOKUP($B242,'B-1 On-Site Hedge Baseline'!$B$1:$L$257,3,FALSE)),"",(VLOOKUP($B242,'B-1 On-Site Hedge Baseline'!$B$1:$L$257,3,FALSE))))</f>
        <v/>
      </c>
      <c r="D242" s="310" t="str">
        <f>IF(B242="","",IF(ISNA(VLOOKUP($B242,'B-1 On-Site Hedge Baseline'!$B$1:$L$257,4,FALSE)),"",(VLOOKUP($B242,'B-1 On-Site Hedge Baseline'!$B$1:$L$257,4,FALSE))))</f>
        <v/>
      </c>
      <c r="E242" s="310" t="str">
        <f>IF(B242="","",IF(ISNA(VLOOKUP($B242,'B-1 On-Site Hedge Baseline'!$B$1:$L$257,5,FALSE)),"",(VLOOKUP($B242,'B-1 On-Site Hedge Baseline'!$B$1:$L$257,5,FALSE))))</f>
        <v/>
      </c>
      <c r="F242" s="310" t="str">
        <f>IF(B242="","",IF(ISNA(VLOOKUP($B242,'B-1 On-Site Hedge Baseline'!$B$1:$L$257,6,FALSE)),"",(VLOOKUP($B242,'B-1 On-Site Hedge Baseline'!$B$1:$L$257,6,FALSE))))</f>
        <v/>
      </c>
      <c r="G242" s="310" t="str">
        <f>IF(B242="","",IF(ISNA(VLOOKUP($B242,'B-1 On-Site Hedge Baseline'!$B$1:$L$257,7,FALSE)),"",(VLOOKUP($B242,'B-1 On-Site Hedge Baseline'!$B$1:$L$257,7,FALSE))))</f>
        <v/>
      </c>
      <c r="H242" s="310" t="str">
        <f>IF(B242="","",IF(ISNA(VLOOKUP($B242,'B-1 On-Site Hedge Baseline'!$B$1:$L$257,8,FALSE)),"",(VLOOKUP($B242,'B-1 On-Site Hedge Baseline'!$B$1:$L$257,8,FALSE))))</f>
        <v/>
      </c>
      <c r="I242" s="310" t="str">
        <f>IF(B242="","",IF(ISNA(VLOOKUP($B242,'B-1 On-Site Hedge Baseline'!$B$1:$L$257,10,FALSE)),"",(VLOOKUP($B242,'B-1 On-Site Hedge Baseline'!$B$1:$L$257,10,FALSE))))</f>
        <v/>
      </c>
      <c r="J242" s="310" t="str">
        <f>IF(B242="","",IF(ISNA(VLOOKUP($B242,'B-1 On-Site Hedge Baseline'!$B$1:$L$257,11,FALSE)),"",(VLOOKUP($B242,'B-1 On-Site Hedge Baseline'!$B$1:$L$257,11,FALSE))))</f>
        <v/>
      </c>
      <c r="K242" s="310" t="str">
        <f>IF(B242="","",IF(ISNA(VLOOKUP($B242,'B-1 On-Site Hedge Baseline'!$B$1:$U$257,13,FALSE)),"",(VLOOKUP($B242,'B-1 On-Site Hedge Baseline'!$B$1:$U$257,13,FALSE))))</f>
        <v/>
      </c>
      <c r="L242" s="314" t="str">
        <f>IF(B242="","",IF(ISNA(VLOOKUP($B242,'B-1 On-Site Hedge Baseline'!$B$1:$U$257,12,FALSE)),"",(VLOOKUP($B242,'B-1 On-Site Hedge Baseline'!$B$1:$U$257,12,FALSE))))</f>
        <v/>
      </c>
      <c r="M242" s="583"/>
      <c r="N242" s="290" t="str">
        <f>IFERROR(IF(B242="","",INDEX('G-6 Hedgerow Data'!$AN$3:$AZ$15,MATCH(C242,'G-6 Hedgerow Data'!$AM$3:$AM$15,0),MATCH(M242,'G-6 Hedgerow Data'!$AN$2:$AZ$2,0))),"")</f>
        <v/>
      </c>
      <c r="O242" s="291" t="str">
        <f t="shared" si="22"/>
        <v/>
      </c>
      <c r="P242" s="341" t="str">
        <f>IF(B242="","",VLOOKUP(B242,'B-1 On-Site Hedge Baseline'!$B$10:T487,16,FALSE))</f>
        <v/>
      </c>
      <c r="Q242" s="290" t="str">
        <f>IF(M242="","",VLOOKUP(M242,'G-6 Hedgerow Data'!$B$2:$AG$15,2,FALSE))</f>
        <v/>
      </c>
      <c r="R242" s="291" t="str">
        <f>IF(M242="","",VLOOKUP(M242,'G-6 Hedgerow Data'!$B$2:$AG$15,3,FALSE))</f>
        <v/>
      </c>
      <c r="S242" s="106"/>
      <c r="T242" s="328" t="str">
        <f>IFERROR(IF(S242="","",IF(AND(M242="Non-native and ornamental hedgerow", S242&lt;&gt;"Poor"),"Not possible ▲", (VLOOKUP(S242,'G-1 All Habitats'!$Z$2:$AA$9,2,FALSE)))),"")</f>
        <v/>
      </c>
      <c r="U242" s="103"/>
      <c r="V242" s="310" t="str">
        <f>IF(U242="","",IF(VLOOKUP(U242,'G-3 Multipliers'!$L$3:$N$6,2,FALSE)=0,"Spatial Data Missing ⚠",VLOOKUP(U242,'G-3 Multipliers'!$L$3:$N$6,2,FALSE)))</f>
        <v/>
      </c>
      <c r="W242" s="314" t="str">
        <f>IF(U242="","",IF(VLOOKUP(U242,'G-3 Multipliers'!$L$3:$N$6,3,FALSE)=0,"Spatial Data Missing ⚠",VLOOKUP(U242,'G-3 Multipliers'!$L$3:$N$6,3,FALSE)))</f>
        <v/>
      </c>
      <c r="X242" s="290" t="str">
        <f>IFERROR(IF(OR(LEFT(O242,5)="Error",LEFT(N242,5)="Error",T242="Error"),"Check Data ⚠",IF(F242&lt;R242,INDEX('G-6 Hedgerow Data'!$S$3:$AE$14,MATCH(C242,'G-6 Hedgerow Data'!$B$3:$B$14,0),MATCH(M242,'G-6 Hedgerow Data'!$S$2:$AE$2,0)),INDEX('G-6 Hedgerow Data'!$K$3:$Q$14,MATCH(M242,'G-6 Hedgerow Data'!$B$3:$B$14,0),MATCH(O242,'G-6 Hedgerow Data'!$K$2:$Q$2,0)))),"")</f>
        <v/>
      </c>
      <c r="Y242" s="138"/>
      <c r="Z242" s="138"/>
      <c r="AA242" s="298" t="str">
        <f t="shared" si="23"/>
        <v/>
      </c>
      <c r="AB242" s="311" t="str">
        <f t="shared" si="24"/>
        <v/>
      </c>
      <c r="AC242" s="312" t="str">
        <f t="shared" si="21"/>
        <v/>
      </c>
      <c r="AD242" s="325" t="str">
        <f>IF(M242="","",VLOOKUP(M242,'G-6 Hedgerow Data'!$B$3:$AG$15,31,FALSE))</f>
        <v/>
      </c>
      <c r="AE242" s="298" t="str">
        <f t="shared" si="25"/>
        <v/>
      </c>
      <c r="AF242" s="298" t="str">
        <f t="shared" si="26"/>
        <v/>
      </c>
      <c r="AG242" s="314" t="str">
        <f>IFERROR(IF(O242="","",VLOOKUP(AD242,'G-3 Multipliers'!$P$3:$Q$6,2,FALSE)),"")</f>
        <v/>
      </c>
      <c r="AH242" s="304" t="str">
        <f t="shared" si="27"/>
        <v/>
      </c>
      <c r="AI242" s="157"/>
      <c r="AJ242" s="99"/>
      <c r="AK242" s="101"/>
      <c r="AT242" s="15" t="str">
        <f>IFERROR(INDEX('G-6 Hedgerow Data'!$BJ$3:$BJ$15,MATCH(M242,'G-6 Hedgerow Data'!$B$3:$B$15,0)),"")</f>
        <v/>
      </c>
    </row>
    <row r="243" spans="2:46" ht="14" x14ac:dyDescent="0.3">
      <c r="B243" s="319" t="str">
        <f>'B-1 On-Site Hedge Baseline'!AK241</f>
        <v/>
      </c>
      <c r="C243" s="310" t="str">
        <f>IF(B243="","",IF(ISNA(VLOOKUP($B243,'B-1 On-Site Hedge Baseline'!$B$1:$L$257,3,FALSE)),"",(VLOOKUP($B243,'B-1 On-Site Hedge Baseline'!$B$1:$L$257,3,FALSE))))</f>
        <v/>
      </c>
      <c r="D243" s="310" t="str">
        <f>IF(B243="","",IF(ISNA(VLOOKUP($B243,'B-1 On-Site Hedge Baseline'!$B$1:$L$257,4,FALSE)),"",(VLOOKUP($B243,'B-1 On-Site Hedge Baseline'!$B$1:$L$257,4,FALSE))))</f>
        <v/>
      </c>
      <c r="E243" s="310" t="str">
        <f>IF(B243="","",IF(ISNA(VLOOKUP($B243,'B-1 On-Site Hedge Baseline'!$B$1:$L$257,5,FALSE)),"",(VLOOKUP($B243,'B-1 On-Site Hedge Baseline'!$B$1:$L$257,5,FALSE))))</f>
        <v/>
      </c>
      <c r="F243" s="310" t="str">
        <f>IF(B243="","",IF(ISNA(VLOOKUP($B243,'B-1 On-Site Hedge Baseline'!$B$1:$L$257,6,FALSE)),"",(VLOOKUP($B243,'B-1 On-Site Hedge Baseline'!$B$1:$L$257,6,FALSE))))</f>
        <v/>
      </c>
      <c r="G243" s="310" t="str">
        <f>IF(B243="","",IF(ISNA(VLOOKUP($B243,'B-1 On-Site Hedge Baseline'!$B$1:$L$257,7,FALSE)),"",(VLOOKUP($B243,'B-1 On-Site Hedge Baseline'!$B$1:$L$257,7,FALSE))))</f>
        <v/>
      </c>
      <c r="H243" s="310" t="str">
        <f>IF(B243="","",IF(ISNA(VLOOKUP($B243,'B-1 On-Site Hedge Baseline'!$B$1:$L$257,8,FALSE)),"",(VLOOKUP($B243,'B-1 On-Site Hedge Baseline'!$B$1:$L$257,8,FALSE))))</f>
        <v/>
      </c>
      <c r="I243" s="310" t="str">
        <f>IF(B243="","",IF(ISNA(VLOOKUP($B243,'B-1 On-Site Hedge Baseline'!$B$1:$L$257,10,FALSE)),"",(VLOOKUP($B243,'B-1 On-Site Hedge Baseline'!$B$1:$L$257,10,FALSE))))</f>
        <v/>
      </c>
      <c r="J243" s="310" t="str">
        <f>IF(B243="","",IF(ISNA(VLOOKUP($B243,'B-1 On-Site Hedge Baseline'!$B$1:$L$257,11,FALSE)),"",(VLOOKUP($B243,'B-1 On-Site Hedge Baseline'!$B$1:$L$257,11,FALSE))))</f>
        <v/>
      </c>
      <c r="K243" s="310" t="str">
        <f>IF(B243="","",IF(ISNA(VLOOKUP($B243,'B-1 On-Site Hedge Baseline'!$B$1:$U$257,13,FALSE)),"",(VLOOKUP($B243,'B-1 On-Site Hedge Baseline'!$B$1:$U$257,13,FALSE))))</f>
        <v/>
      </c>
      <c r="L243" s="314" t="str">
        <f>IF(B243="","",IF(ISNA(VLOOKUP($B243,'B-1 On-Site Hedge Baseline'!$B$1:$U$257,12,FALSE)),"",(VLOOKUP($B243,'B-1 On-Site Hedge Baseline'!$B$1:$U$257,12,FALSE))))</f>
        <v/>
      </c>
      <c r="M243" s="583"/>
      <c r="N243" s="290" t="str">
        <f>IFERROR(IF(B243="","",INDEX('G-6 Hedgerow Data'!$AN$3:$AZ$15,MATCH(C243,'G-6 Hedgerow Data'!$AM$3:$AM$15,0),MATCH(M243,'G-6 Hedgerow Data'!$AN$2:$AZ$2,0))),"")</f>
        <v/>
      </c>
      <c r="O243" s="291" t="str">
        <f t="shared" si="22"/>
        <v/>
      </c>
      <c r="P243" s="341" t="str">
        <f>IF(B243="","",VLOOKUP(B243,'B-1 On-Site Hedge Baseline'!$B$10:T488,16,FALSE))</f>
        <v/>
      </c>
      <c r="Q243" s="290" t="str">
        <f>IF(M243="","",VLOOKUP(M243,'G-6 Hedgerow Data'!$B$2:$AG$15,2,FALSE))</f>
        <v/>
      </c>
      <c r="R243" s="291" t="str">
        <f>IF(M243="","",VLOOKUP(M243,'G-6 Hedgerow Data'!$B$2:$AG$15,3,FALSE))</f>
        <v/>
      </c>
      <c r="S243" s="106"/>
      <c r="T243" s="328" t="str">
        <f>IFERROR(IF(S243="","",IF(AND(M243="Non-native and ornamental hedgerow", S243&lt;&gt;"Poor"),"Not possible ▲", (VLOOKUP(S243,'G-1 All Habitats'!$Z$2:$AA$9,2,FALSE)))),"")</f>
        <v/>
      </c>
      <c r="U243" s="103"/>
      <c r="V243" s="310" t="str">
        <f>IF(U243="","",IF(VLOOKUP(U243,'G-3 Multipliers'!$L$3:$N$6,2,FALSE)=0,"Spatial Data Missing ⚠",VLOOKUP(U243,'G-3 Multipliers'!$L$3:$N$6,2,FALSE)))</f>
        <v/>
      </c>
      <c r="W243" s="314" t="str">
        <f>IF(U243="","",IF(VLOOKUP(U243,'G-3 Multipliers'!$L$3:$N$6,3,FALSE)=0,"Spatial Data Missing ⚠",VLOOKUP(U243,'G-3 Multipliers'!$L$3:$N$6,3,FALSE)))</f>
        <v/>
      </c>
      <c r="X243" s="290" t="str">
        <f>IFERROR(IF(OR(LEFT(O243,5)="Error",LEFT(N243,5)="Error",T243="Error"),"Check Data ⚠",IF(F243&lt;R243,INDEX('G-6 Hedgerow Data'!$S$3:$AE$14,MATCH(C243,'G-6 Hedgerow Data'!$B$3:$B$14,0),MATCH(M243,'G-6 Hedgerow Data'!$S$2:$AE$2,0)),INDEX('G-6 Hedgerow Data'!$K$3:$Q$14,MATCH(M243,'G-6 Hedgerow Data'!$B$3:$B$14,0),MATCH(O243,'G-6 Hedgerow Data'!$K$2:$Q$2,0)))),"")</f>
        <v/>
      </c>
      <c r="Y243" s="138"/>
      <c r="Z243" s="138"/>
      <c r="AA243" s="298" t="str">
        <f t="shared" si="23"/>
        <v/>
      </c>
      <c r="AB243" s="311" t="str">
        <f t="shared" si="24"/>
        <v/>
      </c>
      <c r="AC243" s="312" t="str">
        <f t="shared" si="21"/>
        <v/>
      </c>
      <c r="AD243" s="325" t="str">
        <f>IF(M243="","",VLOOKUP(M243,'G-6 Hedgerow Data'!$B$3:$AG$15,31,FALSE))</f>
        <v/>
      </c>
      <c r="AE243" s="298" t="str">
        <f t="shared" si="25"/>
        <v/>
      </c>
      <c r="AF243" s="298" t="str">
        <f t="shared" si="26"/>
        <v/>
      </c>
      <c r="AG243" s="314" t="str">
        <f>IFERROR(IF(O243="","",VLOOKUP(AD243,'G-3 Multipliers'!$P$3:$Q$6,2,FALSE)),"")</f>
        <v/>
      </c>
      <c r="AH243" s="304" t="str">
        <f t="shared" si="27"/>
        <v/>
      </c>
      <c r="AI243" s="157"/>
      <c r="AJ243" s="99"/>
      <c r="AK243" s="101"/>
      <c r="AT243" s="15" t="str">
        <f>IFERROR(INDEX('G-6 Hedgerow Data'!$BJ$3:$BJ$15,MATCH(M243,'G-6 Hedgerow Data'!$B$3:$B$15,0)),"")</f>
        <v/>
      </c>
    </row>
    <row r="244" spans="2:46" ht="14" x14ac:dyDescent="0.3">
      <c r="B244" s="319" t="str">
        <f>'B-1 On-Site Hedge Baseline'!AK242</f>
        <v/>
      </c>
      <c r="C244" s="310" t="str">
        <f>IF(B244="","",IF(ISNA(VLOOKUP($B244,'B-1 On-Site Hedge Baseline'!$B$1:$L$257,3,FALSE)),"",(VLOOKUP($B244,'B-1 On-Site Hedge Baseline'!$B$1:$L$257,3,FALSE))))</f>
        <v/>
      </c>
      <c r="D244" s="310" t="str">
        <f>IF(B244="","",IF(ISNA(VLOOKUP($B244,'B-1 On-Site Hedge Baseline'!$B$1:$L$257,4,FALSE)),"",(VLOOKUP($B244,'B-1 On-Site Hedge Baseline'!$B$1:$L$257,4,FALSE))))</f>
        <v/>
      </c>
      <c r="E244" s="310" t="str">
        <f>IF(B244="","",IF(ISNA(VLOOKUP($B244,'B-1 On-Site Hedge Baseline'!$B$1:$L$257,5,FALSE)),"",(VLOOKUP($B244,'B-1 On-Site Hedge Baseline'!$B$1:$L$257,5,FALSE))))</f>
        <v/>
      </c>
      <c r="F244" s="310" t="str">
        <f>IF(B244="","",IF(ISNA(VLOOKUP($B244,'B-1 On-Site Hedge Baseline'!$B$1:$L$257,6,FALSE)),"",(VLOOKUP($B244,'B-1 On-Site Hedge Baseline'!$B$1:$L$257,6,FALSE))))</f>
        <v/>
      </c>
      <c r="G244" s="310" t="str">
        <f>IF(B244="","",IF(ISNA(VLOOKUP($B244,'B-1 On-Site Hedge Baseline'!$B$1:$L$257,7,FALSE)),"",(VLOOKUP($B244,'B-1 On-Site Hedge Baseline'!$B$1:$L$257,7,FALSE))))</f>
        <v/>
      </c>
      <c r="H244" s="310" t="str">
        <f>IF(B244="","",IF(ISNA(VLOOKUP($B244,'B-1 On-Site Hedge Baseline'!$B$1:$L$257,8,FALSE)),"",(VLOOKUP($B244,'B-1 On-Site Hedge Baseline'!$B$1:$L$257,8,FALSE))))</f>
        <v/>
      </c>
      <c r="I244" s="310" t="str">
        <f>IF(B244="","",IF(ISNA(VLOOKUP($B244,'B-1 On-Site Hedge Baseline'!$B$1:$L$257,10,FALSE)),"",(VLOOKUP($B244,'B-1 On-Site Hedge Baseline'!$B$1:$L$257,10,FALSE))))</f>
        <v/>
      </c>
      <c r="J244" s="310" t="str">
        <f>IF(B244="","",IF(ISNA(VLOOKUP($B244,'B-1 On-Site Hedge Baseline'!$B$1:$L$257,11,FALSE)),"",(VLOOKUP($B244,'B-1 On-Site Hedge Baseline'!$B$1:$L$257,11,FALSE))))</f>
        <v/>
      </c>
      <c r="K244" s="310" t="str">
        <f>IF(B244="","",IF(ISNA(VLOOKUP($B244,'B-1 On-Site Hedge Baseline'!$B$1:$U$257,13,FALSE)),"",(VLOOKUP($B244,'B-1 On-Site Hedge Baseline'!$B$1:$U$257,13,FALSE))))</f>
        <v/>
      </c>
      <c r="L244" s="314" t="str">
        <f>IF(B244="","",IF(ISNA(VLOOKUP($B244,'B-1 On-Site Hedge Baseline'!$B$1:$U$257,12,FALSE)),"",(VLOOKUP($B244,'B-1 On-Site Hedge Baseline'!$B$1:$U$257,12,FALSE))))</f>
        <v/>
      </c>
      <c r="M244" s="583"/>
      <c r="N244" s="290" t="str">
        <f>IFERROR(IF(B244="","",INDEX('G-6 Hedgerow Data'!$AN$3:$AZ$15,MATCH(C244,'G-6 Hedgerow Data'!$AM$3:$AM$15,0),MATCH(M244,'G-6 Hedgerow Data'!$AN$2:$AZ$2,0))),"")</f>
        <v/>
      </c>
      <c r="O244" s="291" t="str">
        <f t="shared" si="22"/>
        <v/>
      </c>
      <c r="P244" s="341" t="str">
        <f>IF(B244="","",VLOOKUP(B244,'B-1 On-Site Hedge Baseline'!$B$10:T489,16,FALSE))</f>
        <v/>
      </c>
      <c r="Q244" s="290" t="str">
        <f>IF(M244="","",VLOOKUP(M244,'G-6 Hedgerow Data'!$B$2:$AG$15,2,FALSE))</f>
        <v/>
      </c>
      <c r="R244" s="291" t="str">
        <f>IF(M244="","",VLOOKUP(M244,'G-6 Hedgerow Data'!$B$2:$AG$15,3,FALSE))</f>
        <v/>
      </c>
      <c r="S244" s="106"/>
      <c r="T244" s="328" t="str">
        <f>IFERROR(IF(S244="","",IF(AND(M244="Non-native and ornamental hedgerow", S244&lt;&gt;"Poor"),"Not possible ▲", (VLOOKUP(S244,'G-1 All Habitats'!$Z$2:$AA$9,2,FALSE)))),"")</f>
        <v/>
      </c>
      <c r="U244" s="103"/>
      <c r="V244" s="310" t="str">
        <f>IF(U244="","",IF(VLOOKUP(U244,'G-3 Multipliers'!$L$3:$N$6,2,FALSE)=0,"Spatial Data Missing ⚠",VLOOKUP(U244,'G-3 Multipliers'!$L$3:$N$6,2,FALSE)))</f>
        <v/>
      </c>
      <c r="W244" s="314" t="str">
        <f>IF(U244="","",IF(VLOOKUP(U244,'G-3 Multipliers'!$L$3:$N$6,3,FALSE)=0,"Spatial Data Missing ⚠",VLOOKUP(U244,'G-3 Multipliers'!$L$3:$N$6,3,FALSE)))</f>
        <v/>
      </c>
      <c r="X244" s="290" t="str">
        <f>IFERROR(IF(OR(LEFT(O244,5)="Error",LEFT(N244,5)="Error",T244="Error"),"Check Data ⚠",IF(F244&lt;R244,INDEX('G-6 Hedgerow Data'!$S$3:$AE$14,MATCH(C244,'G-6 Hedgerow Data'!$B$3:$B$14,0),MATCH(M244,'G-6 Hedgerow Data'!$S$2:$AE$2,0)),INDEX('G-6 Hedgerow Data'!$K$3:$Q$14,MATCH(M244,'G-6 Hedgerow Data'!$B$3:$B$14,0),MATCH(O244,'G-6 Hedgerow Data'!$K$2:$Q$2,0)))),"")</f>
        <v/>
      </c>
      <c r="Y244" s="138"/>
      <c r="Z244" s="138"/>
      <c r="AA244" s="298" t="str">
        <f t="shared" si="23"/>
        <v/>
      </c>
      <c r="AB244" s="311" t="str">
        <f t="shared" si="24"/>
        <v/>
      </c>
      <c r="AC244" s="312" t="str">
        <f t="shared" si="21"/>
        <v/>
      </c>
      <c r="AD244" s="325" t="str">
        <f>IF(M244="","",VLOOKUP(M244,'G-6 Hedgerow Data'!$B$3:$AG$15,31,FALSE))</f>
        <v/>
      </c>
      <c r="AE244" s="298" t="str">
        <f t="shared" si="25"/>
        <v/>
      </c>
      <c r="AF244" s="298" t="str">
        <f t="shared" si="26"/>
        <v/>
      </c>
      <c r="AG244" s="314" t="str">
        <f>IFERROR(IF(O244="","",VLOOKUP(AD244,'G-3 Multipliers'!$P$3:$Q$6,2,FALSE)),"")</f>
        <v/>
      </c>
      <c r="AH244" s="304" t="str">
        <f t="shared" si="27"/>
        <v/>
      </c>
      <c r="AI244" s="157"/>
      <c r="AJ244" s="99"/>
      <c r="AK244" s="101"/>
      <c r="AT244" s="15" t="str">
        <f>IFERROR(INDEX('G-6 Hedgerow Data'!$BJ$3:$BJ$15,MATCH(M244,'G-6 Hedgerow Data'!$B$3:$B$15,0)),"")</f>
        <v/>
      </c>
    </row>
    <row r="245" spans="2:46" ht="14" x14ac:dyDescent="0.3">
      <c r="B245" s="319" t="str">
        <f>'B-1 On-Site Hedge Baseline'!AK243</f>
        <v/>
      </c>
      <c r="C245" s="310" t="str">
        <f>IF(B245="","",IF(ISNA(VLOOKUP($B245,'B-1 On-Site Hedge Baseline'!$B$1:$L$257,3,FALSE)),"",(VLOOKUP($B245,'B-1 On-Site Hedge Baseline'!$B$1:$L$257,3,FALSE))))</f>
        <v/>
      </c>
      <c r="D245" s="310" t="str">
        <f>IF(B245="","",IF(ISNA(VLOOKUP($B245,'B-1 On-Site Hedge Baseline'!$B$1:$L$257,4,FALSE)),"",(VLOOKUP($B245,'B-1 On-Site Hedge Baseline'!$B$1:$L$257,4,FALSE))))</f>
        <v/>
      </c>
      <c r="E245" s="310" t="str">
        <f>IF(B245="","",IF(ISNA(VLOOKUP($B245,'B-1 On-Site Hedge Baseline'!$B$1:$L$257,5,FALSE)),"",(VLOOKUP($B245,'B-1 On-Site Hedge Baseline'!$B$1:$L$257,5,FALSE))))</f>
        <v/>
      </c>
      <c r="F245" s="310" t="str">
        <f>IF(B245="","",IF(ISNA(VLOOKUP($B245,'B-1 On-Site Hedge Baseline'!$B$1:$L$257,6,FALSE)),"",(VLOOKUP($B245,'B-1 On-Site Hedge Baseline'!$B$1:$L$257,6,FALSE))))</f>
        <v/>
      </c>
      <c r="G245" s="310" t="str">
        <f>IF(B245="","",IF(ISNA(VLOOKUP($B245,'B-1 On-Site Hedge Baseline'!$B$1:$L$257,7,FALSE)),"",(VLOOKUP($B245,'B-1 On-Site Hedge Baseline'!$B$1:$L$257,7,FALSE))))</f>
        <v/>
      </c>
      <c r="H245" s="310" t="str">
        <f>IF(B245="","",IF(ISNA(VLOOKUP($B245,'B-1 On-Site Hedge Baseline'!$B$1:$L$257,8,FALSE)),"",(VLOOKUP($B245,'B-1 On-Site Hedge Baseline'!$B$1:$L$257,8,FALSE))))</f>
        <v/>
      </c>
      <c r="I245" s="310" t="str">
        <f>IF(B245="","",IF(ISNA(VLOOKUP($B245,'B-1 On-Site Hedge Baseline'!$B$1:$L$257,10,FALSE)),"",(VLOOKUP($B245,'B-1 On-Site Hedge Baseline'!$B$1:$L$257,10,FALSE))))</f>
        <v/>
      </c>
      <c r="J245" s="310" t="str">
        <f>IF(B245="","",IF(ISNA(VLOOKUP($B245,'B-1 On-Site Hedge Baseline'!$B$1:$L$257,11,FALSE)),"",(VLOOKUP($B245,'B-1 On-Site Hedge Baseline'!$B$1:$L$257,11,FALSE))))</f>
        <v/>
      </c>
      <c r="K245" s="310" t="str">
        <f>IF(B245="","",IF(ISNA(VLOOKUP($B245,'B-1 On-Site Hedge Baseline'!$B$1:$U$257,13,FALSE)),"",(VLOOKUP($B245,'B-1 On-Site Hedge Baseline'!$B$1:$U$257,13,FALSE))))</f>
        <v/>
      </c>
      <c r="L245" s="314" t="str">
        <f>IF(B245="","",IF(ISNA(VLOOKUP($B245,'B-1 On-Site Hedge Baseline'!$B$1:$U$257,12,FALSE)),"",(VLOOKUP($B245,'B-1 On-Site Hedge Baseline'!$B$1:$U$257,12,FALSE))))</f>
        <v/>
      </c>
      <c r="M245" s="583"/>
      <c r="N245" s="290" t="str">
        <f>IFERROR(IF(B245="","",INDEX('G-6 Hedgerow Data'!$AN$3:$AZ$15,MATCH(C245,'G-6 Hedgerow Data'!$AM$3:$AM$15,0),MATCH(M245,'G-6 Hedgerow Data'!$AN$2:$AZ$2,0))),"")</f>
        <v/>
      </c>
      <c r="O245" s="291" t="str">
        <f t="shared" si="22"/>
        <v/>
      </c>
      <c r="P245" s="341" t="str">
        <f>IF(B245="","",VLOOKUP(B245,'B-1 On-Site Hedge Baseline'!$B$10:T490,16,FALSE))</f>
        <v/>
      </c>
      <c r="Q245" s="290" t="str">
        <f>IF(M245="","",VLOOKUP(M245,'G-6 Hedgerow Data'!$B$2:$AG$15,2,FALSE))</f>
        <v/>
      </c>
      <c r="R245" s="291" t="str">
        <f>IF(M245="","",VLOOKUP(M245,'G-6 Hedgerow Data'!$B$2:$AG$15,3,FALSE))</f>
        <v/>
      </c>
      <c r="S245" s="106"/>
      <c r="T245" s="328" t="str">
        <f>IFERROR(IF(S245="","",IF(AND(M245="Non-native and ornamental hedgerow", S245&lt;&gt;"Poor"),"Not possible ▲", (VLOOKUP(S245,'G-1 All Habitats'!$Z$2:$AA$9,2,FALSE)))),"")</f>
        <v/>
      </c>
      <c r="U245" s="103"/>
      <c r="V245" s="310" t="str">
        <f>IF(U245="","",IF(VLOOKUP(U245,'G-3 Multipliers'!$L$3:$N$6,2,FALSE)=0,"Spatial Data Missing ⚠",VLOOKUP(U245,'G-3 Multipliers'!$L$3:$N$6,2,FALSE)))</f>
        <v/>
      </c>
      <c r="W245" s="314" t="str">
        <f>IF(U245="","",IF(VLOOKUP(U245,'G-3 Multipliers'!$L$3:$N$6,3,FALSE)=0,"Spatial Data Missing ⚠",VLOOKUP(U245,'G-3 Multipliers'!$L$3:$N$6,3,FALSE)))</f>
        <v/>
      </c>
      <c r="X245" s="290" t="str">
        <f>IFERROR(IF(OR(LEFT(O245,5)="Error",LEFT(N245,5)="Error",T245="Error"),"Check Data ⚠",IF(F245&lt;R245,INDEX('G-6 Hedgerow Data'!$S$3:$AE$14,MATCH(C245,'G-6 Hedgerow Data'!$B$3:$B$14,0),MATCH(M245,'G-6 Hedgerow Data'!$S$2:$AE$2,0)),INDEX('G-6 Hedgerow Data'!$K$3:$Q$14,MATCH(M245,'G-6 Hedgerow Data'!$B$3:$B$14,0),MATCH(O245,'G-6 Hedgerow Data'!$K$2:$Q$2,0)))),"")</f>
        <v/>
      </c>
      <c r="Y245" s="138"/>
      <c r="Z245" s="138"/>
      <c r="AA245" s="298" t="str">
        <f t="shared" si="23"/>
        <v/>
      </c>
      <c r="AB245" s="311" t="str">
        <f t="shared" si="24"/>
        <v/>
      </c>
      <c r="AC245" s="312" t="str">
        <f t="shared" si="21"/>
        <v/>
      </c>
      <c r="AD245" s="325" t="str">
        <f>IF(M245="","",VLOOKUP(M245,'G-6 Hedgerow Data'!$B$3:$AG$15,31,FALSE))</f>
        <v/>
      </c>
      <c r="AE245" s="298" t="str">
        <f t="shared" si="25"/>
        <v/>
      </c>
      <c r="AF245" s="298" t="str">
        <f t="shared" si="26"/>
        <v/>
      </c>
      <c r="AG245" s="314" t="str">
        <f>IFERROR(IF(O245="","",VLOOKUP(AD245,'G-3 Multipliers'!$P$3:$Q$6,2,FALSE)),"")</f>
        <v/>
      </c>
      <c r="AH245" s="304" t="str">
        <f t="shared" si="27"/>
        <v/>
      </c>
      <c r="AI245" s="157"/>
      <c r="AJ245" s="99"/>
      <c r="AK245" s="101"/>
      <c r="AT245" s="15" t="str">
        <f>IFERROR(INDEX('G-6 Hedgerow Data'!$BJ$3:$BJ$15,MATCH(M245,'G-6 Hedgerow Data'!$B$3:$B$15,0)),"")</f>
        <v/>
      </c>
    </row>
    <row r="246" spans="2:46" ht="14" x14ac:dyDescent="0.3">
      <c r="B246" s="319" t="str">
        <f>'B-1 On-Site Hedge Baseline'!AK244</f>
        <v/>
      </c>
      <c r="C246" s="310" t="str">
        <f>IF(B246="","",IF(ISNA(VLOOKUP($B246,'B-1 On-Site Hedge Baseline'!$B$1:$L$257,3,FALSE)),"",(VLOOKUP($B246,'B-1 On-Site Hedge Baseline'!$B$1:$L$257,3,FALSE))))</f>
        <v/>
      </c>
      <c r="D246" s="310" t="str">
        <f>IF(B246="","",IF(ISNA(VLOOKUP($B246,'B-1 On-Site Hedge Baseline'!$B$1:$L$257,4,FALSE)),"",(VLOOKUP($B246,'B-1 On-Site Hedge Baseline'!$B$1:$L$257,4,FALSE))))</f>
        <v/>
      </c>
      <c r="E246" s="310" t="str">
        <f>IF(B246="","",IF(ISNA(VLOOKUP($B246,'B-1 On-Site Hedge Baseline'!$B$1:$L$257,5,FALSE)),"",(VLOOKUP($B246,'B-1 On-Site Hedge Baseline'!$B$1:$L$257,5,FALSE))))</f>
        <v/>
      </c>
      <c r="F246" s="310" t="str">
        <f>IF(B246="","",IF(ISNA(VLOOKUP($B246,'B-1 On-Site Hedge Baseline'!$B$1:$L$257,6,FALSE)),"",(VLOOKUP($B246,'B-1 On-Site Hedge Baseline'!$B$1:$L$257,6,FALSE))))</f>
        <v/>
      </c>
      <c r="G246" s="310" t="str">
        <f>IF(B246="","",IF(ISNA(VLOOKUP($B246,'B-1 On-Site Hedge Baseline'!$B$1:$L$257,7,FALSE)),"",(VLOOKUP($B246,'B-1 On-Site Hedge Baseline'!$B$1:$L$257,7,FALSE))))</f>
        <v/>
      </c>
      <c r="H246" s="310" t="str">
        <f>IF(B246="","",IF(ISNA(VLOOKUP($B246,'B-1 On-Site Hedge Baseline'!$B$1:$L$257,8,FALSE)),"",(VLOOKUP($B246,'B-1 On-Site Hedge Baseline'!$B$1:$L$257,8,FALSE))))</f>
        <v/>
      </c>
      <c r="I246" s="310" t="str">
        <f>IF(B246="","",IF(ISNA(VLOOKUP($B246,'B-1 On-Site Hedge Baseline'!$B$1:$L$257,10,FALSE)),"",(VLOOKUP($B246,'B-1 On-Site Hedge Baseline'!$B$1:$L$257,10,FALSE))))</f>
        <v/>
      </c>
      <c r="J246" s="310" t="str">
        <f>IF(B246="","",IF(ISNA(VLOOKUP($B246,'B-1 On-Site Hedge Baseline'!$B$1:$L$257,11,FALSE)),"",(VLOOKUP($B246,'B-1 On-Site Hedge Baseline'!$B$1:$L$257,11,FALSE))))</f>
        <v/>
      </c>
      <c r="K246" s="310" t="str">
        <f>IF(B246="","",IF(ISNA(VLOOKUP($B246,'B-1 On-Site Hedge Baseline'!$B$1:$U$257,13,FALSE)),"",(VLOOKUP($B246,'B-1 On-Site Hedge Baseline'!$B$1:$U$257,13,FALSE))))</f>
        <v/>
      </c>
      <c r="L246" s="314" t="str">
        <f>IF(B246="","",IF(ISNA(VLOOKUP($B246,'B-1 On-Site Hedge Baseline'!$B$1:$U$257,12,FALSE)),"",(VLOOKUP($B246,'B-1 On-Site Hedge Baseline'!$B$1:$U$257,12,FALSE))))</f>
        <v/>
      </c>
      <c r="M246" s="583"/>
      <c r="N246" s="290" t="str">
        <f>IFERROR(IF(B246="","",INDEX('G-6 Hedgerow Data'!$AN$3:$AZ$15,MATCH(C246,'G-6 Hedgerow Data'!$AM$3:$AM$15,0),MATCH(M246,'G-6 Hedgerow Data'!$AN$2:$AZ$2,0))),"")</f>
        <v/>
      </c>
      <c r="O246" s="291" t="str">
        <f t="shared" si="22"/>
        <v/>
      </c>
      <c r="P246" s="341" t="str">
        <f>IF(B246="","",VLOOKUP(B246,'B-1 On-Site Hedge Baseline'!$B$10:T491,16,FALSE))</f>
        <v/>
      </c>
      <c r="Q246" s="290" t="str">
        <f>IF(M246="","",VLOOKUP(M246,'G-6 Hedgerow Data'!$B$2:$AG$15,2,FALSE))</f>
        <v/>
      </c>
      <c r="R246" s="291" t="str">
        <f>IF(M246="","",VLOOKUP(M246,'G-6 Hedgerow Data'!$B$2:$AG$15,3,FALSE))</f>
        <v/>
      </c>
      <c r="S246" s="106"/>
      <c r="T246" s="328" t="str">
        <f>IFERROR(IF(S246="","",IF(AND(M246="Non-native and ornamental hedgerow", S246&lt;&gt;"Poor"),"Not possible ▲", (VLOOKUP(S246,'G-1 All Habitats'!$Z$2:$AA$9,2,FALSE)))),"")</f>
        <v/>
      </c>
      <c r="U246" s="103"/>
      <c r="V246" s="310" t="str">
        <f>IF(U246="","",IF(VLOOKUP(U246,'G-3 Multipliers'!$L$3:$N$6,2,FALSE)=0,"Spatial Data Missing ⚠",VLOOKUP(U246,'G-3 Multipliers'!$L$3:$N$6,2,FALSE)))</f>
        <v/>
      </c>
      <c r="W246" s="314" t="str">
        <f>IF(U246="","",IF(VLOOKUP(U246,'G-3 Multipliers'!$L$3:$N$6,3,FALSE)=0,"Spatial Data Missing ⚠",VLOOKUP(U246,'G-3 Multipliers'!$L$3:$N$6,3,FALSE)))</f>
        <v/>
      </c>
      <c r="X246" s="290" t="str">
        <f>IFERROR(IF(OR(LEFT(O246,5)="Error",LEFT(N246,5)="Error",T246="Error"),"Check Data ⚠",IF(F246&lt;R246,INDEX('G-6 Hedgerow Data'!$S$3:$AE$14,MATCH(C246,'G-6 Hedgerow Data'!$B$3:$B$14,0),MATCH(M246,'G-6 Hedgerow Data'!$S$2:$AE$2,0)),INDEX('G-6 Hedgerow Data'!$K$3:$Q$14,MATCH(M246,'G-6 Hedgerow Data'!$B$3:$B$14,0),MATCH(O246,'G-6 Hedgerow Data'!$K$2:$Q$2,0)))),"")</f>
        <v/>
      </c>
      <c r="Y246" s="138"/>
      <c r="Z246" s="138"/>
      <c r="AA246" s="298" t="str">
        <f t="shared" si="23"/>
        <v/>
      </c>
      <c r="AB246" s="311" t="str">
        <f t="shared" si="24"/>
        <v/>
      </c>
      <c r="AC246" s="312" t="str">
        <f t="shared" si="21"/>
        <v/>
      </c>
      <c r="AD246" s="325" t="str">
        <f>IF(M246="","",VLOOKUP(M246,'G-6 Hedgerow Data'!$B$3:$AG$15,31,FALSE))</f>
        <v/>
      </c>
      <c r="AE246" s="298" t="str">
        <f t="shared" si="25"/>
        <v/>
      </c>
      <c r="AF246" s="298" t="str">
        <f t="shared" si="26"/>
        <v/>
      </c>
      <c r="AG246" s="314" t="str">
        <f>IFERROR(IF(O246="","",VLOOKUP(AD246,'G-3 Multipliers'!$P$3:$Q$6,2,FALSE)),"")</f>
        <v/>
      </c>
      <c r="AH246" s="304" t="str">
        <f t="shared" si="27"/>
        <v/>
      </c>
      <c r="AI246" s="157"/>
      <c r="AJ246" s="99"/>
      <c r="AK246" s="101"/>
      <c r="AT246" s="15" t="str">
        <f>IFERROR(INDEX('G-6 Hedgerow Data'!$BJ$3:$BJ$15,MATCH(M246,'G-6 Hedgerow Data'!$B$3:$B$15,0)),"")</f>
        <v/>
      </c>
    </row>
    <row r="247" spans="2:46" ht="14" x14ac:dyDescent="0.3">
      <c r="B247" s="319" t="str">
        <f>'B-1 On-Site Hedge Baseline'!AK245</f>
        <v/>
      </c>
      <c r="C247" s="310" t="str">
        <f>IF(B247="","",IF(ISNA(VLOOKUP($B247,'B-1 On-Site Hedge Baseline'!$B$1:$L$257,3,FALSE)),"",(VLOOKUP($B247,'B-1 On-Site Hedge Baseline'!$B$1:$L$257,3,FALSE))))</f>
        <v/>
      </c>
      <c r="D247" s="310" t="str">
        <f>IF(B247="","",IF(ISNA(VLOOKUP($B247,'B-1 On-Site Hedge Baseline'!$B$1:$L$257,4,FALSE)),"",(VLOOKUP($B247,'B-1 On-Site Hedge Baseline'!$B$1:$L$257,4,FALSE))))</f>
        <v/>
      </c>
      <c r="E247" s="310" t="str">
        <f>IF(B247="","",IF(ISNA(VLOOKUP($B247,'B-1 On-Site Hedge Baseline'!$B$1:$L$257,5,FALSE)),"",(VLOOKUP($B247,'B-1 On-Site Hedge Baseline'!$B$1:$L$257,5,FALSE))))</f>
        <v/>
      </c>
      <c r="F247" s="310" t="str">
        <f>IF(B247="","",IF(ISNA(VLOOKUP($B247,'B-1 On-Site Hedge Baseline'!$B$1:$L$257,6,FALSE)),"",(VLOOKUP($B247,'B-1 On-Site Hedge Baseline'!$B$1:$L$257,6,FALSE))))</f>
        <v/>
      </c>
      <c r="G247" s="310" t="str">
        <f>IF(B247="","",IF(ISNA(VLOOKUP($B247,'B-1 On-Site Hedge Baseline'!$B$1:$L$257,7,FALSE)),"",(VLOOKUP($B247,'B-1 On-Site Hedge Baseline'!$B$1:$L$257,7,FALSE))))</f>
        <v/>
      </c>
      <c r="H247" s="310" t="str">
        <f>IF(B247="","",IF(ISNA(VLOOKUP($B247,'B-1 On-Site Hedge Baseline'!$B$1:$L$257,8,FALSE)),"",(VLOOKUP($B247,'B-1 On-Site Hedge Baseline'!$B$1:$L$257,8,FALSE))))</f>
        <v/>
      </c>
      <c r="I247" s="310" t="str">
        <f>IF(B247="","",IF(ISNA(VLOOKUP($B247,'B-1 On-Site Hedge Baseline'!$B$1:$L$257,10,FALSE)),"",(VLOOKUP($B247,'B-1 On-Site Hedge Baseline'!$B$1:$L$257,10,FALSE))))</f>
        <v/>
      </c>
      <c r="J247" s="310" t="str">
        <f>IF(B247="","",IF(ISNA(VLOOKUP($B247,'B-1 On-Site Hedge Baseline'!$B$1:$L$257,11,FALSE)),"",(VLOOKUP($B247,'B-1 On-Site Hedge Baseline'!$B$1:$L$257,11,FALSE))))</f>
        <v/>
      </c>
      <c r="K247" s="310" t="str">
        <f>IF(B247="","",IF(ISNA(VLOOKUP($B247,'B-1 On-Site Hedge Baseline'!$B$1:$U$257,13,FALSE)),"",(VLOOKUP($B247,'B-1 On-Site Hedge Baseline'!$B$1:$U$257,13,FALSE))))</f>
        <v/>
      </c>
      <c r="L247" s="314" t="str">
        <f>IF(B247="","",IF(ISNA(VLOOKUP($B247,'B-1 On-Site Hedge Baseline'!$B$1:$U$257,12,FALSE)),"",(VLOOKUP($B247,'B-1 On-Site Hedge Baseline'!$B$1:$U$257,12,FALSE))))</f>
        <v/>
      </c>
      <c r="M247" s="583"/>
      <c r="N247" s="290" t="str">
        <f>IFERROR(IF(B247="","",INDEX('G-6 Hedgerow Data'!$AN$3:$AZ$15,MATCH(C247,'G-6 Hedgerow Data'!$AM$3:$AM$15,0),MATCH(M247,'G-6 Hedgerow Data'!$AN$2:$AZ$2,0))),"")</f>
        <v/>
      </c>
      <c r="O247" s="291" t="str">
        <f t="shared" si="22"/>
        <v/>
      </c>
      <c r="P247" s="341" t="str">
        <f>IF(B247="","",VLOOKUP(B247,'B-1 On-Site Hedge Baseline'!$B$10:T492,16,FALSE))</f>
        <v/>
      </c>
      <c r="Q247" s="290" t="str">
        <f>IF(M247="","",VLOOKUP(M247,'G-6 Hedgerow Data'!$B$2:$AG$15,2,FALSE))</f>
        <v/>
      </c>
      <c r="R247" s="291" t="str">
        <f>IF(M247="","",VLOOKUP(M247,'G-6 Hedgerow Data'!$B$2:$AG$15,3,FALSE))</f>
        <v/>
      </c>
      <c r="S247" s="106"/>
      <c r="T247" s="328" t="str">
        <f>IFERROR(IF(S247="","",IF(AND(M247="Non-native and ornamental hedgerow", S247&lt;&gt;"Poor"),"Not possible ▲", (VLOOKUP(S247,'G-1 All Habitats'!$Z$2:$AA$9,2,FALSE)))),"")</f>
        <v/>
      </c>
      <c r="U247" s="103"/>
      <c r="V247" s="310" t="str">
        <f>IF(U247="","",IF(VLOOKUP(U247,'G-3 Multipliers'!$L$3:$N$6,2,FALSE)=0,"Spatial Data Missing ⚠",VLOOKUP(U247,'G-3 Multipliers'!$L$3:$N$6,2,FALSE)))</f>
        <v/>
      </c>
      <c r="W247" s="314" t="str">
        <f>IF(U247="","",IF(VLOOKUP(U247,'G-3 Multipliers'!$L$3:$N$6,3,FALSE)=0,"Spatial Data Missing ⚠",VLOOKUP(U247,'G-3 Multipliers'!$L$3:$N$6,3,FALSE)))</f>
        <v/>
      </c>
      <c r="X247" s="290" t="str">
        <f>IFERROR(IF(OR(LEFT(O247,5)="Error",LEFT(N247,5)="Error",T247="Error"),"Check Data ⚠",IF(F247&lt;R247,INDEX('G-6 Hedgerow Data'!$S$3:$AE$14,MATCH(C247,'G-6 Hedgerow Data'!$B$3:$B$14,0),MATCH(M247,'G-6 Hedgerow Data'!$S$2:$AE$2,0)),INDEX('G-6 Hedgerow Data'!$K$3:$Q$14,MATCH(M247,'G-6 Hedgerow Data'!$B$3:$B$14,0),MATCH(O247,'G-6 Hedgerow Data'!$K$2:$Q$2,0)))),"")</f>
        <v/>
      </c>
      <c r="Y247" s="138"/>
      <c r="Z247" s="138"/>
      <c r="AA247" s="298" t="str">
        <f t="shared" si="23"/>
        <v/>
      </c>
      <c r="AB247" s="311" t="str">
        <f t="shared" si="24"/>
        <v/>
      </c>
      <c r="AC247" s="312" t="str">
        <f t="shared" si="21"/>
        <v/>
      </c>
      <c r="AD247" s="325" t="str">
        <f>IF(M247="","",VLOOKUP(M247,'G-6 Hedgerow Data'!$B$3:$AG$15,31,FALSE))</f>
        <v/>
      </c>
      <c r="AE247" s="298" t="str">
        <f t="shared" si="25"/>
        <v/>
      </c>
      <c r="AF247" s="298" t="str">
        <f t="shared" si="26"/>
        <v/>
      </c>
      <c r="AG247" s="314" t="str">
        <f>IFERROR(IF(O247="","",VLOOKUP(AD247,'G-3 Multipliers'!$P$3:$Q$6,2,FALSE)),"")</f>
        <v/>
      </c>
      <c r="AH247" s="304" t="str">
        <f t="shared" si="27"/>
        <v/>
      </c>
      <c r="AI247" s="157"/>
      <c r="AJ247" s="99"/>
      <c r="AK247" s="101"/>
      <c r="AT247" s="15" t="str">
        <f>IFERROR(INDEX('G-6 Hedgerow Data'!$BJ$3:$BJ$15,MATCH(M247,'G-6 Hedgerow Data'!$B$3:$B$15,0)),"")</f>
        <v/>
      </c>
    </row>
    <row r="248" spans="2:46" ht="14" x14ac:dyDescent="0.3">
      <c r="B248" s="319" t="str">
        <f>'B-1 On-Site Hedge Baseline'!AK246</f>
        <v/>
      </c>
      <c r="C248" s="310" t="str">
        <f>IF(B248="","",IF(ISNA(VLOOKUP($B248,'B-1 On-Site Hedge Baseline'!$B$1:$L$257,3,FALSE)),"",(VLOOKUP($B248,'B-1 On-Site Hedge Baseline'!$B$1:$L$257,3,FALSE))))</f>
        <v/>
      </c>
      <c r="D248" s="310" t="str">
        <f>IF(B248="","",IF(ISNA(VLOOKUP($B248,'B-1 On-Site Hedge Baseline'!$B$1:$L$257,4,FALSE)),"",(VLOOKUP($B248,'B-1 On-Site Hedge Baseline'!$B$1:$L$257,4,FALSE))))</f>
        <v/>
      </c>
      <c r="E248" s="310" t="str">
        <f>IF(B248="","",IF(ISNA(VLOOKUP($B248,'B-1 On-Site Hedge Baseline'!$B$1:$L$257,5,FALSE)),"",(VLOOKUP($B248,'B-1 On-Site Hedge Baseline'!$B$1:$L$257,5,FALSE))))</f>
        <v/>
      </c>
      <c r="F248" s="310" t="str">
        <f>IF(B248="","",IF(ISNA(VLOOKUP($B248,'B-1 On-Site Hedge Baseline'!$B$1:$L$257,6,FALSE)),"",(VLOOKUP($B248,'B-1 On-Site Hedge Baseline'!$B$1:$L$257,6,FALSE))))</f>
        <v/>
      </c>
      <c r="G248" s="310" t="str">
        <f>IF(B248="","",IF(ISNA(VLOOKUP($B248,'B-1 On-Site Hedge Baseline'!$B$1:$L$257,7,FALSE)),"",(VLOOKUP($B248,'B-1 On-Site Hedge Baseline'!$B$1:$L$257,7,FALSE))))</f>
        <v/>
      </c>
      <c r="H248" s="310" t="str">
        <f>IF(B248="","",IF(ISNA(VLOOKUP($B248,'B-1 On-Site Hedge Baseline'!$B$1:$L$257,8,FALSE)),"",(VLOOKUP($B248,'B-1 On-Site Hedge Baseline'!$B$1:$L$257,8,FALSE))))</f>
        <v/>
      </c>
      <c r="I248" s="310" t="str">
        <f>IF(B248="","",IF(ISNA(VLOOKUP($B248,'B-1 On-Site Hedge Baseline'!$B$1:$L$257,10,FALSE)),"",(VLOOKUP($B248,'B-1 On-Site Hedge Baseline'!$B$1:$L$257,10,FALSE))))</f>
        <v/>
      </c>
      <c r="J248" s="310" t="str">
        <f>IF(B248="","",IF(ISNA(VLOOKUP($B248,'B-1 On-Site Hedge Baseline'!$B$1:$L$257,11,FALSE)),"",(VLOOKUP($B248,'B-1 On-Site Hedge Baseline'!$B$1:$L$257,11,FALSE))))</f>
        <v/>
      </c>
      <c r="K248" s="310" t="str">
        <f>IF(B248="","",IF(ISNA(VLOOKUP($B248,'B-1 On-Site Hedge Baseline'!$B$1:$U$257,13,FALSE)),"",(VLOOKUP($B248,'B-1 On-Site Hedge Baseline'!$B$1:$U$257,13,FALSE))))</f>
        <v/>
      </c>
      <c r="L248" s="314" t="str">
        <f>IF(B248="","",IF(ISNA(VLOOKUP($B248,'B-1 On-Site Hedge Baseline'!$B$1:$U$257,12,FALSE)),"",(VLOOKUP($B248,'B-1 On-Site Hedge Baseline'!$B$1:$U$257,12,FALSE))))</f>
        <v/>
      </c>
      <c r="M248" s="583"/>
      <c r="N248" s="290" t="str">
        <f>IFERROR(IF(B248="","",INDEX('G-6 Hedgerow Data'!$AN$3:$AZ$15,MATCH(C248,'G-6 Hedgerow Data'!$AM$3:$AM$15,0),MATCH(M248,'G-6 Hedgerow Data'!$AN$2:$AZ$2,0))),"")</f>
        <v/>
      </c>
      <c r="O248" s="291" t="str">
        <f t="shared" si="22"/>
        <v/>
      </c>
      <c r="P248" s="341" t="str">
        <f>IF(B248="","",VLOOKUP(B248,'B-1 On-Site Hedge Baseline'!$B$10:T493,16,FALSE))</f>
        <v/>
      </c>
      <c r="Q248" s="290" t="str">
        <f>IF(M248="","",VLOOKUP(M248,'G-6 Hedgerow Data'!$B$2:$AG$15,2,FALSE))</f>
        <v/>
      </c>
      <c r="R248" s="291" t="str">
        <f>IF(M248="","",VLOOKUP(M248,'G-6 Hedgerow Data'!$B$2:$AG$15,3,FALSE))</f>
        <v/>
      </c>
      <c r="S248" s="106"/>
      <c r="T248" s="328" t="str">
        <f>IFERROR(IF(S248="","",IF(AND(M248="Non-native and ornamental hedgerow", S248&lt;&gt;"Poor"),"Not possible ▲", (VLOOKUP(S248,'G-1 All Habitats'!$Z$2:$AA$9,2,FALSE)))),"")</f>
        <v/>
      </c>
      <c r="U248" s="103"/>
      <c r="V248" s="310" t="str">
        <f>IF(U248="","",IF(VLOOKUP(U248,'G-3 Multipliers'!$L$3:$N$6,2,FALSE)=0,"Spatial Data Missing ⚠",VLOOKUP(U248,'G-3 Multipliers'!$L$3:$N$6,2,FALSE)))</f>
        <v/>
      </c>
      <c r="W248" s="314" t="str">
        <f>IF(U248="","",IF(VLOOKUP(U248,'G-3 Multipliers'!$L$3:$N$6,3,FALSE)=0,"Spatial Data Missing ⚠",VLOOKUP(U248,'G-3 Multipliers'!$L$3:$N$6,3,FALSE)))</f>
        <v/>
      </c>
      <c r="X248" s="290" t="str">
        <f>IFERROR(IF(OR(LEFT(O248,5)="Error",LEFT(N248,5)="Error",T248="Error"),"Check Data ⚠",IF(F248&lt;R248,INDEX('G-6 Hedgerow Data'!$S$3:$AE$14,MATCH(C248,'G-6 Hedgerow Data'!$B$3:$B$14,0),MATCH(M248,'G-6 Hedgerow Data'!$S$2:$AE$2,0)),INDEX('G-6 Hedgerow Data'!$K$3:$Q$14,MATCH(M248,'G-6 Hedgerow Data'!$B$3:$B$14,0),MATCH(O248,'G-6 Hedgerow Data'!$K$2:$Q$2,0)))),"")</f>
        <v/>
      </c>
      <c r="Y248" s="138"/>
      <c r="Z248" s="138"/>
      <c r="AA248" s="298" t="str">
        <f t="shared" si="23"/>
        <v/>
      </c>
      <c r="AB248" s="311" t="str">
        <f t="shared" si="24"/>
        <v/>
      </c>
      <c r="AC248" s="312" t="str">
        <f t="shared" si="21"/>
        <v/>
      </c>
      <c r="AD248" s="325" t="str">
        <f>IF(M248="","",VLOOKUP(M248,'G-6 Hedgerow Data'!$B$3:$AG$15,31,FALSE))</f>
        <v/>
      </c>
      <c r="AE248" s="298" t="str">
        <f t="shared" si="25"/>
        <v/>
      </c>
      <c r="AF248" s="298" t="str">
        <f t="shared" si="26"/>
        <v/>
      </c>
      <c r="AG248" s="314" t="str">
        <f>IFERROR(IF(O248="","",VLOOKUP(AD248,'G-3 Multipliers'!$P$3:$Q$6,2,FALSE)),"")</f>
        <v/>
      </c>
      <c r="AH248" s="304" t="str">
        <f t="shared" si="27"/>
        <v/>
      </c>
      <c r="AI248" s="157"/>
      <c r="AJ248" s="99"/>
      <c r="AK248" s="101"/>
      <c r="AT248" s="15" t="str">
        <f>IFERROR(INDEX('G-6 Hedgerow Data'!$BJ$3:$BJ$15,MATCH(M248,'G-6 Hedgerow Data'!$B$3:$B$15,0)),"")</f>
        <v/>
      </c>
    </row>
    <row r="249" spans="2:46" ht="14" x14ac:dyDescent="0.3">
      <c r="B249" s="319" t="str">
        <f>'B-1 On-Site Hedge Baseline'!AK247</f>
        <v/>
      </c>
      <c r="C249" s="310" t="str">
        <f>IF(B249="","",IF(ISNA(VLOOKUP($B249,'B-1 On-Site Hedge Baseline'!$B$1:$L$257,3,FALSE)),"",(VLOOKUP($B249,'B-1 On-Site Hedge Baseline'!$B$1:$L$257,3,FALSE))))</f>
        <v/>
      </c>
      <c r="D249" s="310" t="str">
        <f>IF(B249="","",IF(ISNA(VLOOKUP($B249,'B-1 On-Site Hedge Baseline'!$B$1:$L$257,4,FALSE)),"",(VLOOKUP($B249,'B-1 On-Site Hedge Baseline'!$B$1:$L$257,4,FALSE))))</f>
        <v/>
      </c>
      <c r="E249" s="310" t="str">
        <f>IF(B249="","",IF(ISNA(VLOOKUP($B249,'B-1 On-Site Hedge Baseline'!$B$1:$L$257,5,FALSE)),"",(VLOOKUP($B249,'B-1 On-Site Hedge Baseline'!$B$1:$L$257,5,FALSE))))</f>
        <v/>
      </c>
      <c r="F249" s="310" t="str">
        <f>IF(B249="","",IF(ISNA(VLOOKUP($B249,'B-1 On-Site Hedge Baseline'!$B$1:$L$257,6,FALSE)),"",(VLOOKUP($B249,'B-1 On-Site Hedge Baseline'!$B$1:$L$257,6,FALSE))))</f>
        <v/>
      </c>
      <c r="G249" s="310" t="str">
        <f>IF(B249="","",IF(ISNA(VLOOKUP($B249,'B-1 On-Site Hedge Baseline'!$B$1:$L$257,7,FALSE)),"",(VLOOKUP($B249,'B-1 On-Site Hedge Baseline'!$B$1:$L$257,7,FALSE))))</f>
        <v/>
      </c>
      <c r="H249" s="310" t="str">
        <f>IF(B249="","",IF(ISNA(VLOOKUP($B249,'B-1 On-Site Hedge Baseline'!$B$1:$L$257,8,FALSE)),"",(VLOOKUP($B249,'B-1 On-Site Hedge Baseline'!$B$1:$L$257,8,FALSE))))</f>
        <v/>
      </c>
      <c r="I249" s="310" t="str">
        <f>IF(B249="","",IF(ISNA(VLOOKUP($B249,'B-1 On-Site Hedge Baseline'!$B$1:$L$257,10,FALSE)),"",(VLOOKUP($B249,'B-1 On-Site Hedge Baseline'!$B$1:$L$257,10,FALSE))))</f>
        <v/>
      </c>
      <c r="J249" s="310" t="str">
        <f>IF(B249="","",IF(ISNA(VLOOKUP($B249,'B-1 On-Site Hedge Baseline'!$B$1:$L$257,11,FALSE)),"",(VLOOKUP($B249,'B-1 On-Site Hedge Baseline'!$B$1:$L$257,11,FALSE))))</f>
        <v/>
      </c>
      <c r="K249" s="310" t="str">
        <f>IF(B249="","",IF(ISNA(VLOOKUP($B249,'B-1 On-Site Hedge Baseline'!$B$1:$U$257,13,FALSE)),"",(VLOOKUP($B249,'B-1 On-Site Hedge Baseline'!$B$1:$U$257,13,FALSE))))</f>
        <v/>
      </c>
      <c r="L249" s="314" t="str">
        <f>IF(B249="","",IF(ISNA(VLOOKUP($B249,'B-1 On-Site Hedge Baseline'!$B$1:$U$257,12,FALSE)),"",(VLOOKUP($B249,'B-1 On-Site Hedge Baseline'!$B$1:$U$257,12,FALSE))))</f>
        <v/>
      </c>
      <c r="M249" s="583"/>
      <c r="N249" s="290" t="str">
        <f>IFERROR(IF(B249="","",INDEX('G-6 Hedgerow Data'!$AN$3:$AZ$15,MATCH(C249,'G-6 Hedgerow Data'!$AM$3:$AM$15,0),MATCH(M249,'G-6 Hedgerow Data'!$AN$2:$AZ$2,0))),"")</f>
        <v/>
      </c>
      <c r="O249" s="291" t="str">
        <f t="shared" si="22"/>
        <v/>
      </c>
      <c r="P249" s="341" t="str">
        <f>IF(B249="","",VLOOKUP(B249,'B-1 On-Site Hedge Baseline'!$B$10:T494,16,FALSE))</f>
        <v/>
      </c>
      <c r="Q249" s="290" t="str">
        <f>IF(M249="","",VLOOKUP(M249,'G-6 Hedgerow Data'!$B$2:$AG$15,2,FALSE))</f>
        <v/>
      </c>
      <c r="R249" s="291" t="str">
        <f>IF(M249="","",VLOOKUP(M249,'G-6 Hedgerow Data'!$B$2:$AG$15,3,FALSE))</f>
        <v/>
      </c>
      <c r="S249" s="106"/>
      <c r="T249" s="328" t="str">
        <f>IFERROR(IF(S249="","",IF(AND(M249="Non-native and ornamental hedgerow", S249&lt;&gt;"Poor"),"Not possible ▲", (VLOOKUP(S249,'G-1 All Habitats'!$Z$2:$AA$9,2,FALSE)))),"")</f>
        <v/>
      </c>
      <c r="U249" s="103"/>
      <c r="V249" s="310" t="str">
        <f>IF(U249="","",IF(VLOOKUP(U249,'G-3 Multipliers'!$L$3:$N$6,2,FALSE)=0,"Spatial Data Missing ⚠",VLOOKUP(U249,'G-3 Multipliers'!$L$3:$N$6,2,FALSE)))</f>
        <v/>
      </c>
      <c r="W249" s="314" t="str">
        <f>IF(U249="","",IF(VLOOKUP(U249,'G-3 Multipliers'!$L$3:$N$6,3,FALSE)=0,"Spatial Data Missing ⚠",VLOOKUP(U249,'G-3 Multipliers'!$L$3:$N$6,3,FALSE)))</f>
        <v/>
      </c>
      <c r="X249" s="290" t="str">
        <f>IFERROR(IF(OR(LEFT(O249,5)="Error",LEFT(N249,5)="Error",T249="Error"),"Check Data ⚠",IF(F249&lt;R249,INDEX('G-6 Hedgerow Data'!$S$3:$AE$14,MATCH(C249,'G-6 Hedgerow Data'!$B$3:$B$14,0),MATCH(M249,'G-6 Hedgerow Data'!$S$2:$AE$2,0)),INDEX('G-6 Hedgerow Data'!$K$3:$Q$14,MATCH(M249,'G-6 Hedgerow Data'!$B$3:$B$14,0),MATCH(O249,'G-6 Hedgerow Data'!$K$2:$Q$2,0)))),"")</f>
        <v/>
      </c>
      <c r="Y249" s="138"/>
      <c r="Z249" s="138"/>
      <c r="AA249" s="298" t="str">
        <f t="shared" si="23"/>
        <v/>
      </c>
      <c r="AB249" s="311" t="str">
        <f t="shared" si="24"/>
        <v/>
      </c>
      <c r="AC249" s="312" t="str">
        <f t="shared" si="21"/>
        <v/>
      </c>
      <c r="AD249" s="325" t="str">
        <f>IF(M249="","",VLOOKUP(M249,'G-6 Hedgerow Data'!$B$3:$AG$15,31,FALSE))</f>
        <v/>
      </c>
      <c r="AE249" s="298" t="str">
        <f t="shared" si="25"/>
        <v/>
      </c>
      <c r="AF249" s="298" t="str">
        <f t="shared" si="26"/>
        <v/>
      </c>
      <c r="AG249" s="314" t="str">
        <f>IFERROR(IF(O249="","",VLOOKUP(AD249,'G-3 Multipliers'!$P$3:$Q$6,2,FALSE)),"")</f>
        <v/>
      </c>
      <c r="AH249" s="304" t="str">
        <f t="shared" si="27"/>
        <v/>
      </c>
      <c r="AI249" s="157"/>
      <c r="AJ249" s="99"/>
      <c r="AK249" s="101"/>
      <c r="AT249" s="15" t="str">
        <f>IFERROR(INDEX('G-6 Hedgerow Data'!$BJ$3:$BJ$15,MATCH(M249,'G-6 Hedgerow Data'!$B$3:$B$15,0)),"")</f>
        <v/>
      </c>
    </row>
    <row r="250" spans="2:46" ht="14" x14ac:dyDescent="0.3">
      <c r="B250" s="319" t="str">
        <f>'B-1 On-Site Hedge Baseline'!AK248</f>
        <v/>
      </c>
      <c r="C250" s="310" t="str">
        <f>IF(B250="","",IF(ISNA(VLOOKUP($B250,'B-1 On-Site Hedge Baseline'!$B$1:$L$257,3,FALSE)),"",(VLOOKUP($B250,'B-1 On-Site Hedge Baseline'!$B$1:$L$257,3,FALSE))))</f>
        <v/>
      </c>
      <c r="D250" s="310" t="str">
        <f>IF(B250="","",IF(ISNA(VLOOKUP($B250,'B-1 On-Site Hedge Baseline'!$B$1:$L$257,4,FALSE)),"",(VLOOKUP($B250,'B-1 On-Site Hedge Baseline'!$B$1:$L$257,4,FALSE))))</f>
        <v/>
      </c>
      <c r="E250" s="310" t="str">
        <f>IF(B250="","",IF(ISNA(VLOOKUP($B250,'B-1 On-Site Hedge Baseline'!$B$1:$L$257,5,FALSE)),"",(VLOOKUP($B250,'B-1 On-Site Hedge Baseline'!$B$1:$L$257,5,FALSE))))</f>
        <v/>
      </c>
      <c r="F250" s="310" t="str">
        <f>IF(B250="","",IF(ISNA(VLOOKUP($B250,'B-1 On-Site Hedge Baseline'!$B$1:$L$257,6,FALSE)),"",(VLOOKUP($B250,'B-1 On-Site Hedge Baseline'!$B$1:$L$257,6,FALSE))))</f>
        <v/>
      </c>
      <c r="G250" s="310" t="str">
        <f>IF(B250="","",IF(ISNA(VLOOKUP($B250,'B-1 On-Site Hedge Baseline'!$B$1:$L$257,7,FALSE)),"",(VLOOKUP($B250,'B-1 On-Site Hedge Baseline'!$B$1:$L$257,7,FALSE))))</f>
        <v/>
      </c>
      <c r="H250" s="310" t="str">
        <f>IF(B250="","",IF(ISNA(VLOOKUP($B250,'B-1 On-Site Hedge Baseline'!$B$1:$L$257,8,FALSE)),"",(VLOOKUP($B250,'B-1 On-Site Hedge Baseline'!$B$1:$L$257,8,FALSE))))</f>
        <v/>
      </c>
      <c r="I250" s="310" t="str">
        <f>IF(B250="","",IF(ISNA(VLOOKUP($B250,'B-1 On-Site Hedge Baseline'!$B$1:$L$257,10,FALSE)),"",(VLOOKUP($B250,'B-1 On-Site Hedge Baseline'!$B$1:$L$257,10,FALSE))))</f>
        <v/>
      </c>
      <c r="J250" s="310" t="str">
        <f>IF(B250="","",IF(ISNA(VLOOKUP($B250,'B-1 On-Site Hedge Baseline'!$B$1:$L$257,11,FALSE)),"",(VLOOKUP($B250,'B-1 On-Site Hedge Baseline'!$B$1:$L$257,11,FALSE))))</f>
        <v/>
      </c>
      <c r="K250" s="310" t="str">
        <f>IF(B250="","",IF(ISNA(VLOOKUP($B250,'B-1 On-Site Hedge Baseline'!$B$1:$U$257,13,FALSE)),"",(VLOOKUP($B250,'B-1 On-Site Hedge Baseline'!$B$1:$U$257,13,FALSE))))</f>
        <v/>
      </c>
      <c r="L250" s="314" t="str">
        <f>IF(B250="","",IF(ISNA(VLOOKUP($B250,'B-1 On-Site Hedge Baseline'!$B$1:$U$257,12,FALSE)),"",(VLOOKUP($B250,'B-1 On-Site Hedge Baseline'!$B$1:$U$257,12,FALSE))))</f>
        <v/>
      </c>
      <c r="M250" s="583"/>
      <c r="N250" s="290" t="str">
        <f>IFERROR(IF(B250="","",INDEX('G-6 Hedgerow Data'!$AN$3:$AZ$15,MATCH(C250,'G-6 Hedgerow Data'!$AM$3:$AM$15,0),MATCH(M250,'G-6 Hedgerow Data'!$AN$2:$AZ$2,0))),"")</f>
        <v/>
      </c>
      <c r="O250" s="291" t="str">
        <f t="shared" si="22"/>
        <v/>
      </c>
      <c r="P250" s="341" t="str">
        <f>IF(B250="","",VLOOKUP(B250,'B-1 On-Site Hedge Baseline'!$B$10:T495,16,FALSE))</f>
        <v/>
      </c>
      <c r="Q250" s="290" t="str">
        <f>IF(M250="","",VLOOKUP(M250,'G-6 Hedgerow Data'!$B$2:$AG$15,2,FALSE))</f>
        <v/>
      </c>
      <c r="R250" s="291" t="str">
        <f>IF(M250="","",VLOOKUP(M250,'G-6 Hedgerow Data'!$B$2:$AG$15,3,FALSE))</f>
        <v/>
      </c>
      <c r="S250" s="106"/>
      <c r="T250" s="328" t="str">
        <f>IFERROR(IF(S250="","",IF(AND(M250="Non-native and ornamental hedgerow", S250&lt;&gt;"Poor"),"Not possible ▲", (VLOOKUP(S250,'G-1 All Habitats'!$Z$2:$AA$9,2,FALSE)))),"")</f>
        <v/>
      </c>
      <c r="U250" s="103"/>
      <c r="V250" s="310" t="str">
        <f>IF(U250="","",IF(VLOOKUP(U250,'G-3 Multipliers'!$L$3:$N$6,2,FALSE)=0,"Spatial Data Missing ⚠",VLOOKUP(U250,'G-3 Multipliers'!$L$3:$N$6,2,FALSE)))</f>
        <v/>
      </c>
      <c r="W250" s="314" t="str">
        <f>IF(U250="","",IF(VLOOKUP(U250,'G-3 Multipliers'!$L$3:$N$6,3,FALSE)=0,"Spatial Data Missing ⚠",VLOOKUP(U250,'G-3 Multipliers'!$L$3:$N$6,3,FALSE)))</f>
        <v/>
      </c>
      <c r="X250" s="290" t="str">
        <f>IFERROR(IF(OR(LEFT(O250,5)="Error",LEFT(N250,5)="Error",T250="Error"),"Check Data ⚠",IF(F250&lt;R250,INDEX('G-6 Hedgerow Data'!$S$3:$AE$14,MATCH(C250,'G-6 Hedgerow Data'!$B$3:$B$14,0),MATCH(M250,'G-6 Hedgerow Data'!$S$2:$AE$2,0)),INDEX('G-6 Hedgerow Data'!$K$3:$Q$14,MATCH(M250,'G-6 Hedgerow Data'!$B$3:$B$14,0),MATCH(O250,'G-6 Hedgerow Data'!$K$2:$Q$2,0)))),"")</f>
        <v/>
      </c>
      <c r="Y250" s="138"/>
      <c r="Z250" s="138"/>
      <c r="AA250" s="298" t="str">
        <f t="shared" si="23"/>
        <v/>
      </c>
      <c r="AB250" s="311" t="str">
        <f t="shared" si="24"/>
        <v/>
      </c>
      <c r="AC250" s="312" t="str">
        <f t="shared" si="21"/>
        <v/>
      </c>
      <c r="AD250" s="325" t="str">
        <f>IF(M250="","",VLOOKUP(M250,'G-6 Hedgerow Data'!$B$3:$AG$15,31,FALSE))</f>
        <v/>
      </c>
      <c r="AE250" s="298" t="str">
        <f t="shared" si="25"/>
        <v/>
      </c>
      <c r="AF250" s="298" t="str">
        <f t="shared" si="26"/>
        <v/>
      </c>
      <c r="AG250" s="314" t="str">
        <f>IFERROR(IF(O250="","",VLOOKUP(AD250,'G-3 Multipliers'!$P$3:$Q$6,2,FALSE)),"")</f>
        <v/>
      </c>
      <c r="AH250" s="304" t="str">
        <f t="shared" si="27"/>
        <v/>
      </c>
      <c r="AI250" s="157"/>
      <c r="AJ250" s="99"/>
      <c r="AK250" s="101"/>
      <c r="AT250" s="15" t="str">
        <f>IFERROR(INDEX('G-6 Hedgerow Data'!$BJ$3:$BJ$15,MATCH(M250,'G-6 Hedgerow Data'!$B$3:$B$15,0)),"")</f>
        <v/>
      </c>
    </row>
    <row r="251" spans="2:46" ht="14" x14ac:dyDescent="0.3">
      <c r="B251" s="319" t="str">
        <f>'B-1 On-Site Hedge Baseline'!AK249</f>
        <v/>
      </c>
      <c r="C251" s="310" t="str">
        <f>IF(B251="","",IF(ISNA(VLOOKUP($B251,'B-1 On-Site Hedge Baseline'!$B$1:$L$257,3,FALSE)),"",(VLOOKUP($B251,'B-1 On-Site Hedge Baseline'!$B$1:$L$257,3,FALSE))))</f>
        <v/>
      </c>
      <c r="D251" s="310" t="str">
        <f>IF(B251="","",IF(ISNA(VLOOKUP($B251,'B-1 On-Site Hedge Baseline'!$B$1:$L$257,4,FALSE)),"",(VLOOKUP($B251,'B-1 On-Site Hedge Baseline'!$B$1:$L$257,4,FALSE))))</f>
        <v/>
      </c>
      <c r="E251" s="310" t="str">
        <f>IF(B251="","",IF(ISNA(VLOOKUP($B251,'B-1 On-Site Hedge Baseline'!$B$1:$L$257,5,FALSE)),"",(VLOOKUP($B251,'B-1 On-Site Hedge Baseline'!$B$1:$L$257,5,FALSE))))</f>
        <v/>
      </c>
      <c r="F251" s="310" t="str">
        <f>IF(B251="","",IF(ISNA(VLOOKUP($B251,'B-1 On-Site Hedge Baseline'!$B$1:$L$257,6,FALSE)),"",(VLOOKUP($B251,'B-1 On-Site Hedge Baseline'!$B$1:$L$257,6,FALSE))))</f>
        <v/>
      </c>
      <c r="G251" s="310" t="str">
        <f>IF(B251="","",IF(ISNA(VLOOKUP($B251,'B-1 On-Site Hedge Baseline'!$B$1:$L$257,7,FALSE)),"",(VLOOKUP($B251,'B-1 On-Site Hedge Baseline'!$B$1:$L$257,7,FALSE))))</f>
        <v/>
      </c>
      <c r="H251" s="310" t="str">
        <f>IF(B251="","",IF(ISNA(VLOOKUP($B251,'B-1 On-Site Hedge Baseline'!$B$1:$L$257,8,FALSE)),"",(VLOOKUP($B251,'B-1 On-Site Hedge Baseline'!$B$1:$L$257,8,FALSE))))</f>
        <v/>
      </c>
      <c r="I251" s="310" t="str">
        <f>IF(B251="","",IF(ISNA(VLOOKUP($B251,'B-1 On-Site Hedge Baseline'!$B$1:$L$257,10,FALSE)),"",(VLOOKUP($B251,'B-1 On-Site Hedge Baseline'!$B$1:$L$257,10,FALSE))))</f>
        <v/>
      </c>
      <c r="J251" s="310" t="str">
        <f>IF(B251="","",IF(ISNA(VLOOKUP($B251,'B-1 On-Site Hedge Baseline'!$B$1:$L$257,11,FALSE)),"",(VLOOKUP($B251,'B-1 On-Site Hedge Baseline'!$B$1:$L$257,11,FALSE))))</f>
        <v/>
      </c>
      <c r="K251" s="310" t="str">
        <f>IF(B251="","",IF(ISNA(VLOOKUP($B251,'B-1 On-Site Hedge Baseline'!$B$1:$U$257,13,FALSE)),"",(VLOOKUP($B251,'B-1 On-Site Hedge Baseline'!$B$1:$U$257,13,FALSE))))</f>
        <v/>
      </c>
      <c r="L251" s="314" t="str">
        <f>IF(B251="","",IF(ISNA(VLOOKUP($B251,'B-1 On-Site Hedge Baseline'!$B$1:$U$257,12,FALSE)),"",(VLOOKUP($B251,'B-1 On-Site Hedge Baseline'!$B$1:$U$257,12,FALSE))))</f>
        <v/>
      </c>
      <c r="M251" s="583"/>
      <c r="N251" s="290" t="str">
        <f>IFERROR(IF(B251="","",INDEX('G-6 Hedgerow Data'!$AN$3:$AZ$15,MATCH(C251,'G-6 Hedgerow Data'!$AM$3:$AM$15,0),MATCH(M251,'G-6 Hedgerow Data'!$AN$2:$AZ$2,0))),"")</f>
        <v/>
      </c>
      <c r="O251" s="291" t="str">
        <f t="shared" si="22"/>
        <v/>
      </c>
      <c r="P251" s="341" t="str">
        <f>IF(B251="","",VLOOKUP(B251,'B-1 On-Site Hedge Baseline'!$B$10:T496,16,FALSE))</f>
        <v/>
      </c>
      <c r="Q251" s="290" t="str">
        <f>IF(M251="","",VLOOKUP(M251,'G-6 Hedgerow Data'!$B$2:$AG$15,2,FALSE))</f>
        <v/>
      </c>
      <c r="R251" s="291" t="str">
        <f>IF(M251="","",VLOOKUP(M251,'G-6 Hedgerow Data'!$B$2:$AG$15,3,FALSE))</f>
        <v/>
      </c>
      <c r="S251" s="106"/>
      <c r="T251" s="328" t="str">
        <f>IFERROR(IF(S251="","",IF(AND(M251="Non-native and ornamental hedgerow", S251&lt;&gt;"Poor"),"Not possible ▲", (VLOOKUP(S251,'G-1 All Habitats'!$Z$2:$AA$9,2,FALSE)))),"")</f>
        <v/>
      </c>
      <c r="U251" s="103"/>
      <c r="V251" s="310" t="str">
        <f>IF(U251="","",IF(VLOOKUP(U251,'G-3 Multipliers'!$L$3:$N$6,2,FALSE)=0,"Spatial Data Missing ⚠",VLOOKUP(U251,'G-3 Multipliers'!$L$3:$N$6,2,FALSE)))</f>
        <v/>
      </c>
      <c r="W251" s="314" t="str">
        <f>IF(U251="","",IF(VLOOKUP(U251,'G-3 Multipliers'!$L$3:$N$6,3,FALSE)=0,"Spatial Data Missing ⚠",VLOOKUP(U251,'G-3 Multipliers'!$L$3:$N$6,3,FALSE)))</f>
        <v/>
      </c>
      <c r="X251" s="290" t="str">
        <f>IFERROR(IF(OR(LEFT(O251,5)="Error",LEFT(N251,5)="Error",T251="Error"),"Check Data ⚠",IF(F251&lt;R251,INDEX('G-6 Hedgerow Data'!$S$3:$AE$14,MATCH(C251,'G-6 Hedgerow Data'!$B$3:$B$14,0),MATCH(M251,'G-6 Hedgerow Data'!$S$2:$AE$2,0)),INDEX('G-6 Hedgerow Data'!$K$3:$Q$14,MATCH(M251,'G-6 Hedgerow Data'!$B$3:$B$14,0),MATCH(O251,'G-6 Hedgerow Data'!$K$2:$Q$2,0)))),"")</f>
        <v/>
      </c>
      <c r="Y251" s="138"/>
      <c r="Z251" s="138"/>
      <c r="AA251" s="298" t="str">
        <f t="shared" si="23"/>
        <v/>
      </c>
      <c r="AB251" s="311" t="str">
        <f t="shared" si="24"/>
        <v/>
      </c>
      <c r="AC251" s="312" t="str">
        <f t="shared" si="21"/>
        <v/>
      </c>
      <c r="AD251" s="325" t="str">
        <f>IF(M251="","",VLOOKUP(M251,'G-6 Hedgerow Data'!$B$3:$AG$15,31,FALSE))</f>
        <v/>
      </c>
      <c r="AE251" s="298" t="str">
        <f t="shared" si="25"/>
        <v/>
      </c>
      <c r="AF251" s="298" t="str">
        <f t="shared" si="26"/>
        <v/>
      </c>
      <c r="AG251" s="314" t="str">
        <f>IFERROR(IF(O251="","",VLOOKUP(AD251,'G-3 Multipliers'!$P$3:$Q$6,2,FALSE)),"")</f>
        <v/>
      </c>
      <c r="AH251" s="304" t="str">
        <f t="shared" si="27"/>
        <v/>
      </c>
      <c r="AI251" s="157"/>
      <c r="AJ251" s="99"/>
      <c r="AK251" s="101"/>
      <c r="AT251" s="15" t="str">
        <f>IFERROR(INDEX('G-6 Hedgerow Data'!$BJ$3:$BJ$15,MATCH(M251,'G-6 Hedgerow Data'!$B$3:$B$15,0)),"")</f>
        <v/>
      </c>
    </row>
    <row r="252" spans="2:46" ht="14" x14ac:dyDescent="0.3">
      <c r="B252" s="319" t="str">
        <f>'B-1 On-Site Hedge Baseline'!AK250</f>
        <v/>
      </c>
      <c r="C252" s="310" t="str">
        <f>IF(B252="","",IF(ISNA(VLOOKUP($B252,'B-1 On-Site Hedge Baseline'!$B$1:$L$257,3,FALSE)),"",(VLOOKUP($B252,'B-1 On-Site Hedge Baseline'!$B$1:$L$257,3,FALSE))))</f>
        <v/>
      </c>
      <c r="D252" s="310" t="str">
        <f>IF(B252="","",IF(ISNA(VLOOKUP($B252,'B-1 On-Site Hedge Baseline'!$B$1:$L$257,4,FALSE)),"",(VLOOKUP($B252,'B-1 On-Site Hedge Baseline'!$B$1:$L$257,4,FALSE))))</f>
        <v/>
      </c>
      <c r="E252" s="310" t="str">
        <f>IF(B252="","",IF(ISNA(VLOOKUP($B252,'B-1 On-Site Hedge Baseline'!$B$1:$L$257,5,FALSE)),"",(VLOOKUP($B252,'B-1 On-Site Hedge Baseline'!$B$1:$L$257,5,FALSE))))</f>
        <v/>
      </c>
      <c r="F252" s="310" t="str">
        <f>IF(B252="","",IF(ISNA(VLOOKUP($B252,'B-1 On-Site Hedge Baseline'!$B$1:$L$257,6,FALSE)),"",(VLOOKUP($B252,'B-1 On-Site Hedge Baseline'!$B$1:$L$257,6,FALSE))))</f>
        <v/>
      </c>
      <c r="G252" s="310" t="str">
        <f>IF(B252="","",IF(ISNA(VLOOKUP($B252,'B-1 On-Site Hedge Baseline'!$B$1:$L$257,7,FALSE)),"",(VLOOKUP($B252,'B-1 On-Site Hedge Baseline'!$B$1:$L$257,7,FALSE))))</f>
        <v/>
      </c>
      <c r="H252" s="310" t="str">
        <f>IF(B252="","",IF(ISNA(VLOOKUP($B252,'B-1 On-Site Hedge Baseline'!$B$1:$L$257,8,FALSE)),"",(VLOOKUP($B252,'B-1 On-Site Hedge Baseline'!$B$1:$L$257,8,FALSE))))</f>
        <v/>
      </c>
      <c r="I252" s="310" t="str">
        <f>IF(B252="","",IF(ISNA(VLOOKUP($B252,'B-1 On-Site Hedge Baseline'!$B$1:$L$257,10,FALSE)),"",(VLOOKUP($B252,'B-1 On-Site Hedge Baseline'!$B$1:$L$257,10,FALSE))))</f>
        <v/>
      </c>
      <c r="J252" s="310" t="str">
        <f>IF(B252="","",IF(ISNA(VLOOKUP($B252,'B-1 On-Site Hedge Baseline'!$B$1:$L$257,11,FALSE)),"",(VLOOKUP($B252,'B-1 On-Site Hedge Baseline'!$B$1:$L$257,11,FALSE))))</f>
        <v/>
      </c>
      <c r="K252" s="310" t="str">
        <f>IF(B252="","",IF(ISNA(VLOOKUP($B252,'B-1 On-Site Hedge Baseline'!$B$1:$U$257,13,FALSE)),"",(VLOOKUP($B252,'B-1 On-Site Hedge Baseline'!$B$1:$U$257,13,FALSE))))</f>
        <v/>
      </c>
      <c r="L252" s="314" t="str">
        <f>IF(B252="","",IF(ISNA(VLOOKUP($B252,'B-1 On-Site Hedge Baseline'!$B$1:$U$257,12,FALSE)),"",(VLOOKUP($B252,'B-1 On-Site Hedge Baseline'!$B$1:$U$257,12,FALSE))))</f>
        <v/>
      </c>
      <c r="M252" s="583"/>
      <c r="N252" s="290" t="str">
        <f>IFERROR(IF(B252="","",INDEX('G-6 Hedgerow Data'!$AN$3:$AZ$15,MATCH(C252,'G-6 Hedgerow Data'!$AM$3:$AM$15,0),MATCH(M252,'G-6 Hedgerow Data'!$AN$2:$AZ$2,0))),"")</f>
        <v/>
      </c>
      <c r="O252" s="291" t="str">
        <f t="shared" si="22"/>
        <v/>
      </c>
      <c r="P252" s="341" t="str">
        <f>IF(B252="","",VLOOKUP(B252,'B-1 On-Site Hedge Baseline'!$B$10:T497,16,FALSE))</f>
        <v/>
      </c>
      <c r="Q252" s="290" t="str">
        <f>IF(M252="","",VLOOKUP(M252,'G-6 Hedgerow Data'!$B$2:$AG$15,2,FALSE))</f>
        <v/>
      </c>
      <c r="R252" s="291" t="str">
        <f>IF(M252="","",VLOOKUP(M252,'G-6 Hedgerow Data'!$B$2:$AG$15,3,FALSE))</f>
        <v/>
      </c>
      <c r="S252" s="106"/>
      <c r="T252" s="328" t="str">
        <f>IFERROR(IF(S252="","",IF(AND(M252="Non-native and ornamental hedgerow", S252&lt;&gt;"Poor"),"Not possible ▲", (VLOOKUP(S252,'G-1 All Habitats'!$Z$2:$AA$9,2,FALSE)))),"")</f>
        <v/>
      </c>
      <c r="U252" s="103"/>
      <c r="V252" s="310" t="str">
        <f>IF(U252="","",IF(VLOOKUP(U252,'G-3 Multipliers'!$L$3:$N$6,2,FALSE)=0,"Spatial Data Missing ⚠",VLOOKUP(U252,'G-3 Multipliers'!$L$3:$N$6,2,FALSE)))</f>
        <v/>
      </c>
      <c r="W252" s="314" t="str">
        <f>IF(U252="","",IF(VLOOKUP(U252,'G-3 Multipliers'!$L$3:$N$6,3,FALSE)=0,"Spatial Data Missing ⚠",VLOOKUP(U252,'G-3 Multipliers'!$L$3:$N$6,3,FALSE)))</f>
        <v/>
      </c>
      <c r="X252" s="290" t="str">
        <f>IFERROR(IF(OR(LEFT(O252,5)="Error",LEFT(N252,5)="Error",T252="Error"),"Check Data ⚠",IF(F252&lt;R252,INDEX('G-6 Hedgerow Data'!$S$3:$AE$14,MATCH(C252,'G-6 Hedgerow Data'!$B$3:$B$14,0),MATCH(M252,'G-6 Hedgerow Data'!$S$2:$AE$2,0)),INDEX('G-6 Hedgerow Data'!$K$3:$Q$14,MATCH(M252,'G-6 Hedgerow Data'!$B$3:$B$14,0),MATCH(O252,'G-6 Hedgerow Data'!$K$2:$Q$2,0)))),"")</f>
        <v/>
      </c>
      <c r="Y252" s="138"/>
      <c r="Z252" s="138"/>
      <c r="AA252" s="298" t="str">
        <f t="shared" si="23"/>
        <v/>
      </c>
      <c r="AB252" s="311" t="str">
        <f t="shared" si="24"/>
        <v/>
      </c>
      <c r="AC252" s="312" t="str">
        <f t="shared" si="21"/>
        <v/>
      </c>
      <c r="AD252" s="325" t="str">
        <f>IF(M252="","",VLOOKUP(M252,'G-6 Hedgerow Data'!$B$3:$AG$15,31,FALSE))</f>
        <v/>
      </c>
      <c r="AE252" s="298" t="str">
        <f t="shared" si="25"/>
        <v/>
      </c>
      <c r="AF252" s="298" t="str">
        <f t="shared" si="26"/>
        <v/>
      </c>
      <c r="AG252" s="314" t="str">
        <f>IFERROR(IF(O252="","",VLOOKUP(AD252,'G-3 Multipliers'!$P$3:$Q$6,2,FALSE)),"")</f>
        <v/>
      </c>
      <c r="AH252" s="304" t="str">
        <f t="shared" si="27"/>
        <v/>
      </c>
      <c r="AI252" s="157"/>
      <c r="AJ252" s="99"/>
      <c r="AK252" s="101"/>
      <c r="AT252" s="15" t="str">
        <f>IFERROR(INDEX('G-6 Hedgerow Data'!$BJ$3:$BJ$15,MATCH(M252,'G-6 Hedgerow Data'!$B$3:$B$15,0)),"")</f>
        <v/>
      </c>
    </row>
    <row r="253" spans="2:46" ht="14" x14ac:dyDescent="0.3">
      <c r="B253" s="319" t="str">
        <f>'B-1 On-Site Hedge Baseline'!AK251</f>
        <v/>
      </c>
      <c r="C253" s="310" t="str">
        <f>IF(B253="","",IF(ISNA(VLOOKUP($B253,'B-1 On-Site Hedge Baseline'!$B$1:$L$257,3,FALSE)),"",(VLOOKUP($B253,'B-1 On-Site Hedge Baseline'!$B$1:$L$257,3,FALSE))))</f>
        <v/>
      </c>
      <c r="D253" s="310" t="str">
        <f>IF(B253="","",IF(ISNA(VLOOKUP($B253,'B-1 On-Site Hedge Baseline'!$B$1:$L$257,4,FALSE)),"",(VLOOKUP($B253,'B-1 On-Site Hedge Baseline'!$B$1:$L$257,4,FALSE))))</f>
        <v/>
      </c>
      <c r="E253" s="310" t="str">
        <f>IF(B253="","",IF(ISNA(VLOOKUP($B253,'B-1 On-Site Hedge Baseline'!$B$1:$L$257,5,FALSE)),"",(VLOOKUP($B253,'B-1 On-Site Hedge Baseline'!$B$1:$L$257,5,FALSE))))</f>
        <v/>
      </c>
      <c r="F253" s="310" t="str">
        <f>IF(B253="","",IF(ISNA(VLOOKUP($B253,'B-1 On-Site Hedge Baseline'!$B$1:$L$257,6,FALSE)),"",(VLOOKUP($B253,'B-1 On-Site Hedge Baseline'!$B$1:$L$257,6,FALSE))))</f>
        <v/>
      </c>
      <c r="G253" s="310" t="str">
        <f>IF(B253="","",IF(ISNA(VLOOKUP($B253,'B-1 On-Site Hedge Baseline'!$B$1:$L$257,7,FALSE)),"",(VLOOKUP($B253,'B-1 On-Site Hedge Baseline'!$B$1:$L$257,7,FALSE))))</f>
        <v/>
      </c>
      <c r="H253" s="310" t="str">
        <f>IF(B253="","",IF(ISNA(VLOOKUP($B253,'B-1 On-Site Hedge Baseline'!$B$1:$L$257,8,FALSE)),"",(VLOOKUP($B253,'B-1 On-Site Hedge Baseline'!$B$1:$L$257,8,FALSE))))</f>
        <v/>
      </c>
      <c r="I253" s="310" t="str">
        <f>IF(B253="","",IF(ISNA(VLOOKUP($B253,'B-1 On-Site Hedge Baseline'!$B$1:$L$257,10,FALSE)),"",(VLOOKUP($B253,'B-1 On-Site Hedge Baseline'!$B$1:$L$257,10,FALSE))))</f>
        <v/>
      </c>
      <c r="J253" s="310" t="str">
        <f>IF(B253="","",IF(ISNA(VLOOKUP($B253,'B-1 On-Site Hedge Baseline'!$B$1:$L$257,11,FALSE)),"",(VLOOKUP($B253,'B-1 On-Site Hedge Baseline'!$B$1:$L$257,11,FALSE))))</f>
        <v/>
      </c>
      <c r="K253" s="310" t="str">
        <f>IF(B253="","",IF(ISNA(VLOOKUP($B253,'B-1 On-Site Hedge Baseline'!$B$1:$U$257,13,FALSE)),"",(VLOOKUP($B253,'B-1 On-Site Hedge Baseline'!$B$1:$U$257,13,FALSE))))</f>
        <v/>
      </c>
      <c r="L253" s="314" t="str">
        <f>IF(B253="","",IF(ISNA(VLOOKUP($B253,'B-1 On-Site Hedge Baseline'!$B$1:$U$257,12,FALSE)),"",(VLOOKUP($B253,'B-1 On-Site Hedge Baseline'!$B$1:$U$257,12,FALSE))))</f>
        <v/>
      </c>
      <c r="M253" s="583"/>
      <c r="N253" s="290" t="str">
        <f>IFERROR(IF(B253="","",INDEX('G-6 Hedgerow Data'!$AN$3:$AZ$15,MATCH(C253,'G-6 Hedgerow Data'!$AM$3:$AM$15,0),MATCH(M253,'G-6 Hedgerow Data'!$AN$2:$AZ$2,0))),"")</f>
        <v/>
      </c>
      <c r="O253" s="291" t="str">
        <f t="shared" si="22"/>
        <v/>
      </c>
      <c r="P253" s="341" t="str">
        <f>IF(B253="","",VLOOKUP(B253,'B-1 On-Site Hedge Baseline'!$B$10:T498,16,FALSE))</f>
        <v/>
      </c>
      <c r="Q253" s="290" t="str">
        <f>IF(M253="","",VLOOKUP(M253,'G-6 Hedgerow Data'!$B$2:$AG$15,2,FALSE))</f>
        <v/>
      </c>
      <c r="R253" s="291" t="str">
        <f>IF(M253="","",VLOOKUP(M253,'G-6 Hedgerow Data'!$B$2:$AG$15,3,FALSE))</f>
        <v/>
      </c>
      <c r="S253" s="106"/>
      <c r="T253" s="328" t="str">
        <f>IFERROR(IF(S253="","",IF(AND(M253="Non-native and ornamental hedgerow", S253&lt;&gt;"Poor"),"Not possible ▲", (VLOOKUP(S253,'G-1 All Habitats'!$Z$2:$AA$9,2,FALSE)))),"")</f>
        <v/>
      </c>
      <c r="U253" s="103"/>
      <c r="V253" s="310" t="str">
        <f>IF(U253="","",IF(VLOOKUP(U253,'G-3 Multipliers'!$L$3:$N$6,2,FALSE)=0,"Spatial Data Missing ⚠",VLOOKUP(U253,'G-3 Multipliers'!$L$3:$N$6,2,FALSE)))</f>
        <v/>
      </c>
      <c r="W253" s="314" t="str">
        <f>IF(U253="","",IF(VLOOKUP(U253,'G-3 Multipliers'!$L$3:$N$6,3,FALSE)=0,"Spatial Data Missing ⚠",VLOOKUP(U253,'G-3 Multipliers'!$L$3:$N$6,3,FALSE)))</f>
        <v/>
      </c>
      <c r="X253" s="290" t="str">
        <f>IFERROR(IF(OR(LEFT(O253,5)="Error",LEFT(N253,5)="Error",T253="Error"),"Check Data ⚠",IF(F253&lt;R253,INDEX('G-6 Hedgerow Data'!$S$3:$AE$14,MATCH(C253,'G-6 Hedgerow Data'!$B$3:$B$14,0),MATCH(M253,'G-6 Hedgerow Data'!$S$2:$AE$2,0)),INDEX('G-6 Hedgerow Data'!$K$3:$Q$14,MATCH(M253,'G-6 Hedgerow Data'!$B$3:$B$14,0),MATCH(O253,'G-6 Hedgerow Data'!$K$2:$Q$2,0)))),"")</f>
        <v/>
      </c>
      <c r="Y253" s="138"/>
      <c r="Z253" s="138"/>
      <c r="AA253" s="298" t="str">
        <f t="shared" si="23"/>
        <v/>
      </c>
      <c r="AB253" s="311" t="str">
        <f t="shared" si="24"/>
        <v/>
      </c>
      <c r="AC253" s="312" t="str">
        <f t="shared" si="21"/>
        <v/>
      </c>
      <c r="AD253" s="325" t="str">
        <f>IF(M253="","",VLOOKUP(M253,'G-6 Hedgerow Data'!$B$3:$AG$15,31,FALSE))</f>
        <v/>
      </c>
      <c r="AE253" s="298" t="str">
        <f t="shared" si="25"/>
        <v/>
      </c>
      <c r="AF253" s="298" t="str">
        <f t="shared" si="26"/>
        <v/>
      </c>
      <c r="AG253" s="314" t="str">
        <f>IFERROR(IF(O253="","",VLOOKUP(AD253,'G-3 Multipliers'!$P$3:$Q$6,2,FALSE)),"")</f>
        <v/>
      </c>
      <c r="AH253" s="304" t="str">
        <f t="shared" si="27"/>
        <v/>
      </c>
      <c r="AI253" s="157"/>
      <c r="AJ253" s="99"/>
      <c r="AK253" s="101"/>
      <c r="AT253" s="15" t="str">
        <f>IFERROR(INDEX('G-6 Hedgerow Data'!$BJ$3:$BJ$15,MATCH(M253,'G-6 Hedgerow Data'!$B$3:$B$15,0)),"")</f>
        <v/>
      </c>
    </row>
    <row r="254" spans="2:46" ht="14" x14ac:dyDescent="0.3">
      <c r="B254" s="319" t="str">
        <f>'B-1 On-Site Hedge Baseline'!AK252</f>
        <v/>
      </c>
      <c r="C254" s="310" t="str">
        <f>IF(B254="","",IF(ISNA(VLOOKUP($B254,'B-1 On-Site Hedge Baseline'!$B$1:$L$257,3,FALSE)),"",(VLOOKUP($B254,'B-1 On-Site Hedge Baseline'!$B$1:$L$257,3,FALSE))))</f>
        <v/>
      </c>
      <c r="D254" s="310" t="str">
        <f>IF(B254="","",IF(ISNA(VLOOKUP($B254,'B-1 On-Site Hedge Baseline'!$B$1:$L$257,4,FALSE)),"",(VLOOKUP($B254,'B-1 On-Site Hedge Baseline'!$B$1:$L$257,4,FALSE))))</f>
        <v/>
      </c>
      <c r="E254" s="310" t="str">
        <f>IF(B254="","",IF(ISNA(VLOOKUP($B254,'B-1 On-Site Hedge Baseline'!$B$1:$L$257,5,FALSE)),"",(VLOOKUP($B254,'B-1 On-Site Hedge Baseline'!$B$1:$L$257,5,FALSE))))</f>
        <v/>
      </c>
      <c r="F254" s="310" t="str">
        <f>IF(B254="","",IF(ISNA(VLOOKUP($B254,'B-1 On-Site Hedge Baseline'!$B$1:$L$257,6,FALSE)),"",(VLOOKUP($B254,'B-1 On-Site Hedge Baseline'!$B$1:$L$257,6,FALSE))))</f>
        <v/>
      </c>
      <c r="G254" s="310" t="str">
        <f>IF(B254="","",IF(ISNA(VLOOKUP($B254,'B-1 On-Site Hedge Baseline'!$B$1:$L$257,7,FALSE)),"",(VLOOKUP($B254,'B-1 On-Site Hedge Baseline'!$B$1:$L$257,7,FALSE))))</f>
        <v/>
      </c>
      <c r="H254" s="310" t="str">
        <f>IF(B254="","",IF(ISNA(VLOOKUP($B254,'B-1 On-Site Hedge Baseline'!$B$1:$L$257,8,FALSE)),"",(VLOOKUP($B254,'B-1 On-Site Hedge Baseline'!$B$1:$L$257,8,FALSE))))</f>
        <v/>
      </c>
      <c r="I254" s="310" t="str">
        <f>IF(B254="","",IF(ISNA(VLOOKUP($B254,'B-1 On-Site Hedge Baseline'!$B$1:$L$257,10,FALSE)),"",(VLOOKUP($B254,'B-1 On-Site Hedge Baseline'!$B$1:$L$257,10,FALSE))))</f>
        <v/>
      </c>
      <c r="J254" s="310" t="str">
        <f>IF(B254="","",IF(ISNA(VLOOKUP($B254,'B-1 On-Site Hedge Baseline'!$B$1:$L$257,11,FALSE)),"",(VLOOKUP($B254,'B-1 On-Site Hedge Baseline'!$B$1:$L$257,11,FALSE))))</f>
        <v/>
      </c>
      <c r="K254" s="310" t="str">
        <f>IF(B254="","",IF(ISNA(VLOOKUP($B254,'B-1 On-Site Hedge Baseline'!$B$1:$U$257,13,FALSE)),"",(VLOOKUP($B254,'B-1 On-Site Hedge Baseline'!$B$1:$U$257,13,FALSE))))</f>
        <v/>
      </c>
      <c r="L254" s="314" t="str">
        <f>IF(B254="","",IF(ISNA(VLOOKUP($B254,'B-1 On-Site Hedge Baseline'!$B$1:$U$257,12,FALSE)),"",(VLOOKUP($B254,'B-1 On-Site Hedge Baseline'!$B$1:$U$257,12,FALSE))))</f>
        <v/>
      </c>
      <c r="M254" s="583"/>
      <c r="N254" s="290" t="str">
        <f>IFERROR(IF(B254="","",INDEX('G-6 Hedgerow Data'!$AN$3:$AZ$15,MATCH(C254,'G-6 Hedgerow Data'!$AM$3:$AM$15,0),MATCH(M254,'G-6 Hedgerow Data'!$AN$2:$AZ$2,0))),"")</f>
        <v/>
      </c>
      <c r="O254" s="291" t="str">
        <f t="shared" si="22"/>
        <v/>
      </c>
      <c r="P254" s="341" t="str">
        <f>IF(B254="","",VLOOKUP(B254,'B-1 On-Site Hedge Baseline'!$B$10:T499,16,FALSE))</f>
        <v/>
      </c>
      <c r="Q254" s="290" t="str">
        <f>IF(M254="","",VLOOKUP(M254,'G-6 Hedgerow Data'!$B$2:$AG$15,2,FALSE))</f>
        <v/>
      </c>
      <c r="R254" s="291" t="str">
        <f>IF(M254="","",VLOOKUP(M254,'G-6 Hedgerow Data'!$B$2:$AG$15,3,FALSE))</f>
        <v/>
      </c>
      <c r="S254" s="106"/>
      <c r="T254" s="328" t="str">
        <f>IFERROR(IF(S254="","",IF(AND(M254="Non-native and ornamental hedgerow", S254&lt;&gt;"Poor"),"Not possible ▲", (VLOOKUP(S254,'G-1 All Habitats'!$Z$2:$AA$9,2,FALSE)))),"")</f>
        <v/>
      </c>
      <c r="U254" s="103"/>
      <c r="V254" s="310" t="str">
        <f>IF(U254="","",IF(VLOOKUP(U254,'G-3 Multipliers'!$L$3:$N$6,2,FALSE)=0,"Spatial Data Missing ⚠",VLOOKUP(U254,'G-3 Multipliers'!$L$3:$N$6,2,FALSE)))</f>
        <v/>
      </c>
      <c r="W254" s="314" t="str">
        <f>IF(U254="","",IF(VLOOKUP(U254,'G-3 Multipliers'!$L$3:$N$6,3,FALSE)=0,"Spatial Data Missing ⚠",VLOOKUP(U254,'G-3 Multipliers'!$L$3:$N$6,3,FALSE)))</f>
        <v/>
      </c>
      <c r="X254" s="290" t="str">
        <f>IFERROR(IF(OR(LEFT(O254,5)="Error",LEFT(N254,5)="Error",T254="Error"),"Check Data ⚠",IF(F254&lt;R254,INDEX('G-6 Hedgerow Data'!$S$3:$AE$14,MATCH(C254,'G-6 Hedgerow Data'!$B$3:$B$14,0),MATCH(M254,'G-6 Hedgerow Data'!$S$2:$AE$2,0)),INDEX('G-6 Hedgerow Data'!$K$3:$Q$14,MATCH(M254,'G-6 Hedgerow Data'!$B$3:$B$14,0),MATCH(O254,'G-6 Hedgerow Data'!$K$2:$Q$2,0)))),"")</f>
        <v/>
      </c>
      <c r="Y254" s="138"/>
      <c r="Z254" s="138"/>
      <c r="AA254" s="298" t="str">
        <f t="shared" si="23"/>
        <v/>
      </c>
      <c r="AB254" s="311" t="str">
        <f t="shared" si="24"/>
        <v/>
      </c>
      <c r="AC254" s="312" t="str">
        <f t="shared" si="21"/>
        <v/>
      </c>
      <c r="AD254" s="325" t="str">
        <f>IF(M254="","",VLOOKUP(M254,'G-6 Hedgerow Data'!$B$3:$AG$15,31,FALSE))</f>
        <v/>
      </c>
      <c r="AE254" s="298" t="str">
        <f t="shared" si="25"/>
        <v/>
      </c>
      <c r="AF254" s="298" t="str">
        <f t="shared" si="26"/>
        <v/>
      </c>
      <c r="AG254" s="314" t="str">
        <f>IFERROR(IF(O254="","",VLOOKUP(AD254,'G-3 Multipliers'!$P$3:$Q$6,2,FALSE)),"")</f>
        <v/>
      </c>
      <c r="AH254" s="304" t="str">
        <f t="shared" si="27"/>
        <v/>
      </c>
      <c r="AI254" s="157"/>
      <c r="AJ254" s="99"/>
      <c r="AK254" s="101"/>
      <c r="AT254" s="15" t="str">
        <f>IFERROR(INDEX('G-6 Hedgerow Data'!$BJ$3:$BJ$15,MATCH(M254,'G-6 Hedgerow Data'!$B$3:$B$15,0)),"")</f>
        <v/>
      </c>
    </row>
    <row r="255" spans="2:46" ht="14" x14ac:dyDescent="0.3">
      <c r="B255" s="319" t="str">
        <f>'B-1 On-Site Hedge Baseline'!AK253</f>
        <v/>
      </c>
      <c r="C255" s="310" t="str">
        <f>IF(B255="","",IF(ISNA(VLOOKUP($B255,'B-1 On-Site Hedge Baseline'!$B$1:$L$257,3,FALSE)),"",(VLOOKUP($B255,'B-1 On-Site Hedge Baseline'!$B$1:$L$257,3,FALSE))))</f>
        <v/>
      </c>
      <c r="D255" s="310" t="str">
        <f>IF(B255="","",IF(ISNA(VLOOKUP($B255,'B-1 On-Site Hedge Baseline'!$B$1:$L$257,4,FALSE)),"",(VLOOKUP($B255,'B-1 On-Site Hedge Baseline'!$B$1:$L$257,4,FALSE))))</f>
        <v/>
      </c>
      <c r="E255" s="310" t="str">
        <f>IF(B255="","",IF(ISNA(VLOOKUP($B255,'B-1 On-Site Hedge Baseline'!$B$1:$L$257,5,FALSE)),"",(VLOOKUP($B255,'B-1 On-Site Hedge Baseline'!$B$1:$L$257,5,FALSE))))</f>
        <v/>
      </c>
      <c r="F255" s="310" t="str">
        <f>IF(B255="","",IF(ISNA(VLOOKUP($B255,'B-1 On-Site Hedge Baseline'!$B$1:$L$257,6,FALSE)),"",(VLOOKUP($B255,'B-1 On-Site Hedge Baseline'!$B$1:$L$257,6,FALSE))))</f>
        <v/>
      </c>
      <c r="G255" s="310" t="str">
        <f>IF(B255="","",IF(ISNA(VLOOKUP($B255,'B-1 On-Site Hedge Baseline'!$B$1:$L$257,7,FALSE)),"",(VLOOKUP($B255,'B-1 On-Site Hedge Baseline'!$B$1:$L$257,7,FALSE))))</f>
        <v/>
      </c>
      <c r="H255" s="310" t="str">
        <f>IF(B255="","",IF(ISNA(VLOOKUP($B255,'B-1 On-Site Hedge Baseline'!$B$1:$L$257,8,FALSE)),"",(VLOOKUP($B255,'B-1 On-Site Hedge Baseline'!$B$1:$L$257,8,FALSE))))</f>
        <v/>
      </c>
      <c r="I255" s="310" t="str">
        <f>IF(B255="","",IF(ISNA(VLOOKUP($B255,'B-1 On-Site Hedge Baseline'!$B$1:$L$257,10,FALSE)),"",(VLOOKUP($B255,'B-1 On-Site Hedge Baseline'!$B$1:$L$257,10,FALSE))))</f>
        <v/>
      </c>
      <c r="J255" s="310" t="str">
        <f>IF(B255="","",IF(ISNA(VLOOKUP($B255,'B-1 On-Site Hedge Baseline'!$B$1:$L$257,11,FALSE)),"",(VLOOKUP($B255,'B-1 On-Site Hedge Baseline'!$B$1:$L$257,11,FALSE))))</f>
        <v/>
      </c>
      <c r="K255" s="310" t="str">
        <f>IF(B255="","",IF(ISNA(VLOOKUP($B255,'B-1 On-Site Hedge Baseline'!$B$1:$U$257,13,FALSE)),"",(VLOOKUP($B255,'B-1 On-Site Hedge Baseline'!$B$1:$U$257,13,FALSE))))</f>
        <v/>
      </c>
      <c r="L255" s="314" t="str">
        <f>IF(B255="","",IF(ISNA(VLOOKUP($B255,'B-1 On-Site Hedge Baseline'!$B$1:$U$257,12,FALSE)),"",(VLOOKUP($B255,'B-1 On-Site Hedge Baseline'!$B$1:$U$257,12,FALSE))))</f>
        <v/>
      </c>
      <c r="M255" s="583"/>
      <c r="N255" s="290" t="str">
        <f>IFERROR(IF(B255="","",INDEX('G-6 Hedgerow Data'!$AN$3:$AZ$15,MATCH(C255,'G-6 Hedgerow Data'!$AM$3:$AM$15,0),MATCH(M255,'G-6 Hedgerow Data'!$AN$2:$AZ$2,0))),"")</f>
        <v/>
      </c>
      <c r="O255" s="291" t="str">
        <f t="shared" si="22"/>
        <v/>
      </c>
      <c r="P255" s="341" t="str">
        <f>IF(B255="","",VLOOKUP(B255,'B-1 On-Site Hedge Baseline'!$B$10:T500,16,FALSE))</f>
        <v/>
      </c>
      <c r="Q255" s="290" t="str">
        <f>IF(M255="","",VLOOKUP(M255,'G-6 Hedgerow Data'!$B$2:$AG$15,2,FALSE))</f>
        <v/>
      </c>
      <c r="R255" s="291" t="str">
        <f>IF(M255="","",VLOOKUP(M255,'G-6 Hedgerow Data'!$B$2:$AG$15,3,FALSE))</f>
        <v/>
      </c>
      <c r="S255" s="106"/>
      <c r="T255" s="328" t="str">
        <f>IFERROR(IF(S255="","",IF(AND(M255="Non-native and ornamental hedgerow", S255&lt;&gt;"Poor"),"Not possible ▲", (VLOOKUP(S255,'G-1 All Habitats'!$Z$2:$AA$9,2,FALSE)))),"")</f>
        <v/>
      </c>
      <c r="U255" s="103"/>
      <c r="V255" s="310" t="str">
        <f>IF(U255="","",IF(VLOOKUP(U255,'G-3 Multipliers'!$L$3:$N$6,2,FALSE)=0,"Spatial Data Missing ⚠",VLOOKUP(U255,'G-3 Multipliers'!$L$3:$N$6,2,FALSE)))</f>
        <v/>
      </c>
      <c r="W255" s="314" t="str">
        <f>IF(U255="","",IF(VLOOKUP(U255,'G-3 Multipliers'!$L$3:$N$6,3,FALSE)=0,"Spatial Data Missing ⚠",VLOOKUP(U255,'G-3 Multipliers'!$L$3:$N$6,3,FALSE)))</f>
        <v/>
      </c>
      <c r="X255" s="290" t="str">
        <f>IFERROR(IF(OR(LEFT(O255,5)="Error",LEFT(N255,5)="Error",T255="Error"),"Check Data ⚠",IF(F255&lt;R255,INDEX('G-6 Hedgerow Data'!$S$3:$AE$14,MATCH(C255,'G-6 Hedgerow Data'!$B$3:$B$14,0),MATCH(M255,'G-6 Hedgerow Data'!$S$2:$AE$2,0)),INDEX('G-6 Hedgerow Data'!$K$3:$Q$14,MATCH(M255,'G-6 Hedgerow Data'!$B$3:$B$14,0),MATCH(O255,'G-6 Hedgerow Data'!$K$2:$Q$2,0)))),"")</f>
        <v/>
      </c>
      <c r="Y255" s="138"/>
      <c r="Z255" s="138"/>
      <c r="AA255" s="298" t="str">
        <f t="shared" si="23"/>
        <v/>
      </c>
      <c r="AB255" s="311" t="str">
        <f t="shared" si="24"/>
        <v/>
      </c>
      <c r="AC255" s="312" t="str">
        <f t="shared" si="21"/>
        <v/>
      </c>
      <c r="AD255" s="325" t="str">
        <f>IF(M255="","",VLOOKUP(M255,'G-6 Hedgerow Data'!$B$3:$AG$15,31,FALSE))</f>
        <v/>
      </c>
      <c r="AE255" s="298" t="str">
        <f t="shared" si="25"/>
        <v/>
      </c>
      <c r="AF255" s="298" t="str">
        <f t="shared" si="26"/>
        <v/>
      </c>
      <c r="AG255" s="314" t="str">
        <f>IFERROR(IF(O255="","",VLOOKUP(AD255,'G-3 Multipliers'!$P$3:$Q$6,2,FALSE)),"")</f>
        <v/>
      </c>
      <c r="AH255" s="304" t="str">
        <f t="shared" si="27"/>
        <v/>
      </c>
      <c r="AI255" s="157"/>
      <c r="AJ255" s="99"/>
      <c r="AK255" s="101"/>
      <c r="AT255" s="15" t="str">
        <f>IFERROR(INDEX('G-6 Hedgerow Data'!$BJ$3:$BJ$15,MATCH(M255,'G-6 Hedgerow Data'!$B$3:$B$15,0)),"")</f>
        <v/>
      </c>
    </row>
    <row r="256" spans="2:46" ht="14" x14ac:dyDescent="0.3">
      <c r="B256" s="319" t="str">
        <f>'B-1 On-Site Hedge Baseline'!AK254</f>
        <v/>
      </c>
      <c r="C256" s="310" t="str">
        <f>IF(B256="","",IF(ISNA(VLOOKUP($B256,'B-1 On-Site Hedge Baseline'!$B$1:$L$257,3,FALSE)),"",(VLOOKUP($B256,'B-1 On-Site Hedge Baseline'!$B$1:$L$257,3,FALSE))))</f>
        <v/>
      </c>
      <c r="D256" s="310" t="str">
        <f>IF(B256="","",IF(ISNA(VLOOKUP($B256,'B-1 On-Site Hedge Baseline'!$B$1:$L$257,4,FALSE)),"",(VLOOKUP($B256,'B-1 On-Site Hedge Baseline'!$B$1:$L$257,4,FALSE))))</f>
        <v/>
      </c>
      <c r="E256" s="310" t="str">
        <f>IF(B256="","",IF(ISNA(VLOOKUP($B256,'B-1 On-Site Hedge Baseline'!$B$1:$L$257,5,FALSE)),"",(VLOOKUP($B256,'B-1 On-Site Hedge Baseline'!$B$1:$L$257,5,FALSE))))</f>
        <v/>
      </c>
      <c r="F256" s="310" t="str">
        <f>IF(B256="","",IF(ISNA(VLOOKUP($B256,'B-1 On-Site Hedge Baseline'!$B$1:$L$257,6,FALSE)),"",(VLOOKUP($B256,'B-1 On-Site Hedge Baseline'!$B$1:$L$257,6,FALSE))))</f>
        <v/>
      </c>
      <c r="G256" s="310" t="str">
        <f>IF(B256="","",IF(ISNA(VLOOKUP($B256,'B-1 On-Site Hedge Baseline'!$B$1:$L$257,7,FALSE)),"",(VLOOKUP($B256,'B-1 On-Site Hedge Baseline'!$B$1:$L$257,7,FALSE))))</f>
        <v/>
      </c>
      <c r="H256" s="310" t="str">
        <f>IF(B256="","",IF(ISNA(VLOOKUP($B256,'B-1 On-Site Hedge Baseline'!$B$1:$L$257,8,FALSE)),"",(VLOOKUP($B256,'B-1 On-Site Hedge Baseline'!$B$1:$L$257,8,FALSE))))</f>
        <v/>
      </c>
      <c r="I256" s="310" t="str">
        <f>IF(B256="","",IF(ISNA(VLOOKUP($B256,'B-1 On-Site Hedge Baseline'!$B$1:$L$257,10,FALSE)),"",(VLOOKUP($B256,'B-1 On-Site Hedge Baseline'!$B$1:$L$257,10,FALSE))))</f>
        <v/>
      </c>
      <c r="J256" s="310" t="str">
        <f>IF(B256="","",IF(ISNA(VLOOKUP($B256,'B-1 On-Site Hedge Baseline'!$B$1:$L$257,11,FALSE)),"",(VLOOKUP($B256,'B-1 On-Site Hedge Baseline'!$B$1:$L$257,11,FALSE))))</f>
        <v/>
      </c>
      <c r="K256" s="310" t="str">
        <f>IF(B256="","",IF(ISNA(VLOOKUP($B256,'B-1 On-Site Hedge Baseline'!$B$1:$U$257,13,FALSE)),"",(VLOOKUP($B256,'B-1 On-Site Hedge Baseline'!$B$1:$U$257,13,FALSE))))</f>
        <v/>
      </c>
      <c r="L256" s="314" t="str">
        <f>IF(B256="","",IF(ISNA(VLOOKUP($B256,'B-1 On-Site Hedge Baseline'!$B$1:$U$257,12,FALSE)),"",(VLOOKUP($B256,'B-1 On-Site Hedge Baseline'!$B$1:$U$257,12,FALSE))))</f>
        <v/>
      </c>
      <c r="M256" s="583"/>
      <c r="N256" s="290" t="str">
        <f>IFERROR(IF(B256="","",INDEX('G-6 Hedgerow Data'!$AN$3:$AZ$15,MATCH(C256,'G-6 Hedgerow Data'!$AM$3:$AM$15,0),MATCH(M256,'G-6 Hedgerow Data'!$AN$2:$AZ$2,0))),"")</f>
        <v/>
      </c>
      <c r="O256" s="291" t="str">
        <f t="shared" si="22"/>
        <v/>
      </c>
      <c r="P256" s="341" t="str">
        <f>IF(B256="","",VLOOKUP(B256,'B-1 On-Site Hedge Baseline'!$B$10:T501,16,FALSE))</f>
        <v/>
      </c>
      <c r="Q256" s="290" t="str">
        <f>IF(M256="","",VLOOKUP(M256,'G-6 Hedgerow Data'!$B$2:$AG$15,2,FALSE))</f>
        <v/>
      </c>
      <c r="R256" s="291" t="str">
        <f>IF(M256="","",VLOOKUP(M256,'G-6 Hedgerow Data'!$B$2:$AG$15,3,FALSE))</f>
        <v/>
      </c>
      <c r="S256" s="106"/>
      <c r="T256" s="328" t="str">
        <f>IFERROR(IF(S256="","",IF(AND(M256="Non-native and ornamental hedgerow", S256&lt;&gt;"Poor"),"Not possible ▲", (VLOOKUP(S256,'G-1 All Habitats'!$Z$2:$AA$9,2,FALSE)))),"")</f>
        <v/>
      </c>
      <c r="U256" s="103"/>
      <c r="V256" s="310" t="str">
        <f>IF(U256="","",IF(VLOOKUP(U256,'G-3 Multipliers'!$L$3:$N$6,2,FALSE)=0,"Spatial Data Missing ⚠",VLOOKUP(U256,'G-3 Multipliers'!$L$3:$N$6,2,FALSE)))</f>
        <v/>
      </c>
      <c r="W256" s="314" t="str">
        <f>IF(U256="","",IF(VLOOKUP(U256,'G-3 Multipliers'!$L$3:$N$6,3,FALSE)=0,"Spatial Data Missing ⚠",VLOOKUP(U256,'G-3 Multipliers'!$L$3:$N$6,3,FALSE)))</f>
        <v/>
      </c>
      <c r="X256" s="290" t="str">
        <f>IFERROR(IF(OR(LEFT(O256,5)="Error",LEFT(N256,5)="Error",T256="Error"),"Check Data ⚠",IF(F256&lt;R256,INDEX('G-6 Hedgerow Data'!$S$3:$AE$14,MATCH(C256,'G-6 Hedgerow Data'!$B$3:$B$14,0),MATCH(M256,'G-6 Hedgerow Data'!$S$2:$AE$2,0)),INDEX('G-6 Hedgerow Data'!$K$3:$Q$14,MATCH(M256,'G-6 Hedgerow Data'!$B$3:$B$14,0),MATCH(O256,'G-6 Hedgerow Data'!$K$2:$Q$2,0)))),"")</f>
        <v/>
      </c>
      <c r="Y256" s="138"/>
      <c r="Z256" s="138"/>
      <c r="AA256" s="298" t="str">
        <f t="shared" si="23"/>
        <v/>
      </c>
      <c r="AB256" s="311" t="str">
        <f t="shared" si="24"/>
        <v/>
      </c>
      <c r="AC256" s="312" t="str">
        <f t="shared" si="21"/>
        <v/>
      </c>
      <c r="AD256" s="325" t="str">
        <f>IF(M256="","",VLOOKUP(M256,'G-6 Hedgerow Data'!$B$3:$AG$15,31,FALSE))</f>
        <v/>
      </c>
      <c r="AE256" s="298" t="str">
        <f t="shared" si="25"/>
        <v/>
      </c>
      <c r="AF256" s="298" t="str">
        <f t="shared" si="26"/>
        <v/>
      </c>
      <c r="AG256" s="314" t="str">
        <f>IFERROR(IF(O256="","",VLOOKUP(AD256,'G-3 Multipliers'!$P$3:$Q$6,2,FALSE)),"")</f>
        <v/>
      </c>
      <c r="AH256" s="304" t="str">
        <f t="shared" si="27"/>
        <v/>
      </c>
      <c r="AI256" s="157"/>
      <c r="AJ256" s="99"/>
      <c r="AK256" s="101"/>
      <c r="AT256" s="15" t="str">
        <f>IFERROR(INDEX('G-6 Hedgerow Data'!$BJ$3:$BJ$15,MATCH(M256,'G-6 Hedgerow Data'!$B$3:$B$15,0)),"")</f>
        <v/>
      </c>
    </row>
    <row r="257" spans="2:46" ht="14.5" thickBot="1" x14ac:dyDescent="0.35">
      <c r="B257" s="319" t="str">
        <f>'B-1 On-Site Hedge Baseline'!AK255</f>
        <v/>
      </c>
      <c r="C257" s="299" t="str">
        <f>IF(B257="","",IF(ISNA(VLOOKUP($B257,'B-1 On-Site Hedge Baseline'!$B$1:$L$257,3,FALSE)),"",(VLOOKUP($B257,'B-1 On-Site Hedge Baseline'!$B$1:$L$257,3,FALSE))))</f>
        <v/>
      </c>
      <c r="D257" s="299" t="str">
        <f>IF(B257="","",IF(ISNA(VLOOKUP($B257,'B-1 On-Site Hedge Baseline'!$B$1:$L$257,4,FALSE)),"",(VLOOKUP($B257,'B-1 On-Site Hedge Baseline'!$B$1:$L$257,4,FALSE))))</f>
        <v/>
      </c>
      <c r="E257" s="299" t="str">
        <f>IF(B257="","",IF(ISNA(VLOOKUP($B257,'B-1 On-Site Hedge Baseline'!$B$1:$L$257,5,FALSE)),"",(VLOOKUP($B257,'B-1 On-Site Hedge Baseline'!$B$1:$L$257,5,FALSE))))</f>
        <v/>
      </c>
      <c r="F257" s="299" t="str">
        <f>IF(B257="","",IF(ISNA(VLOOKUP($B257,'B-1 On-Site Hedge Baseline'!$B$1:$L$257,6,FALSE)),"",(VLOOKUP($B257,'B-1 On-Site Hedge Baseline'!$B$1:$L$257,6,FALSE))))</f>
        <v/>
      </c>
      <c r="G257" s="299" t="str">
        <f>IF(B257="","",IF(ISNA(VLOOKUP($B257,'B-1 On-Site Hedge Baseline'!$B$1:$L$257,7,FALSE)),"",(VLOOKUP($B257,'B-1 On-Site Hedge Baseline'!$B$1:$L$257,7,FALSE))))</f>
        <v/>
      </c>
      <c r="H257" s="299" t="str">
        <f>IF(B257="","",IF(ISNA(VLOOKUP($B257,'B-1 On-Site Hedge Baseline'!$B$1:$L$257,8,FALSE)),"",(VLOOKUP($B257,'B-1 On-Site Hedge Baseline'!$B$1:$L$257,8,FALSE))))</f>
        <v/>
      </c>
      <c r="I257" s="299" t="str">
        <f>IF(B257="","",IF(ISNA(VLOOKUP($B257,'B-1 On-Site Hedge Baseline'!$B$1:$L$257,10,FALSE)),"",(VLOOKUP($B257,'B-1 On-Site Hedge Baseline'!$B$1:$L$257,10,FALSE))))</f>
        <v/>
      </c>
      <c r="J257" s="299" t="str">
        <f>IF(B257="","",IF(ISNA(VLOOKUP($B257,'B-1 On-Site Hedge Baseline'!$B$1:$L$257,11,FALSE)),"",(VLOOKUP($B257,'B-1 On-Site Hedge Baseline'!$B$1:$L$257,11,FALSE))))</f>
        <v/>
      </c>
      <c r="K257" s="299" t="str">
        <f>IF(B257="","",IF(ISNA(VLOOKUP($B257,'B-1 On-Site Hedge Baseline'!$B$1:$U$257,13,FALSE)),"",(VLOOKUP($B257,'B-1 On-Site Hedge Baseline'!$B$1:$U$257,13,FALSE))))</f>
        <v/>
      </c>
      <c r="L257" s="293" t="str">
        <f>IF(B257="","",IF(ISNA(VLOOKUP($B257,'B-1 On-Site Hedge Baseline'!$B$1:$U$257,12,FALSE)),"",(VLOOKUP($B257,'B-1 On-Site Hedge Baseline'!$B$1:$U$257,12,FALSE))))</f>
        <v/>
      </c>
      <c r="M257" s="583"/>
      <c r="N257" s="290" t="str">
        <f>IFERROR(IF(B257="","",INDEX('G-6 Hedgerow Data'!$AN$3:$AZ$15,MATCH(C257,'G-6 Hedgerow Data'!$AM$3:$AM$15,0),MATCH(M257,'G-6 Hedgerow Data'!$AN$2:$AZ$2,0))),"")</f>
        <v/>
      </c>
      <c r="O257" s="291" t="str">
        <f t="shared" si="22"/>
        <v/>
      </c>
      <c r="P257" s="342" t="str">
        <f>IF(B257="","",VLOOKUP(B257,'B-1 On-Site Hedge Baseline'!$B$10:T502,16,FALSE))</f>
        <v/>
      </c>
      <c r="Q257" s="292" t="str">
        <f>IF(M257="","",VLOOKUP(M257,'G-6 Hedgerow Data'!$B$2:$AG$15,2,FALSE))</f>
        <v/>
      </c>
      <c r="R257" s="291" t="str">
        <f>IF(M257="","",VLOOKUP(M257,'G-6 Hedgerow Data'!$B$2:$AG$15,3,FALSE))</f>
        <v/>
      </c>
      <c r="S257" s="176"/>
      <c r="T257" s="328" t="str">
        <f>IFERROR(IF(S257="","",IF(AND(M257="Non-native and ornamental hedgerow", S257&lt;&gt;"Poor"),"Not possible ▲", (VLOOKUP(S257,'G-1 All Habitats'!$Z$2:$AA$9,2,FALSE)))),"")</f>
        <v/>
      </c>
      <c r="U257" s="110"/>
      <c r="V257" s="299" t="str">
        <f>IF(U257="","",IF(VLOOKUP(U257,'G-3 Multipliers'!$L$3:$N$6,2,FALSE)=0,"Spatial Data Missing ⚠",VLOOKUP(U257,'G-3 Multipliers'!$L$3:$N$6,2,FALSE)))</f>
        <v/>
      </c>
      <c r="W257" s="293" t="str">
        <f>IF(U257="","",IF(VLOOKUP(U257,'G-3 Multipliers'!$L$3:$N$6,3,FALSE)=0,"Spatial Data Missing ⚠",VLOOKUP(U257,'G-3 Multipliers'!$L$3:$N$6,3,FALSE)))</f>
        <v/>
      </c>
      <c r="X257" s="290" t="str">
        <f>IFERROR(IF(OR(LEFT(O257,5)="Error",LEFT(N257,5)="Error",T257="Error"),"Check Data ⚠",IF(F257&lt;R257,INDEX('G-6 Hedgerow Data'!$S$3:$AE$14,MATCH(C257,'G-6 Hedgerow Data'!$B$3:$B$14,0),MATCH(M257,'G-6 Hedgerow Data'!$S$2:$AE$2,0)),INDEX('G-6 Hedgerow Data'!$K$3:$Q$14,MATCH(M257,'G-6 Hedgerow Data'!$B$3:$B$14,0),MATCH(O257,'G-6 Hedgerow Data'!$K$2:$Q$2,0)))),"")</f>
        <v/>
      </c>
      <c r="Y257" s="138"/>
      <c r="Z257" s="144"/>
      <c r="AA257" s="298" t="str">
        <f t="shared" si="23"/>
        <v/>
      </c>
      <c r="AB257" s="311" t="str">
        <f t="shared" si="24"/>
        <v/>
      </c>
      <c r="AC257" s="312" t="str">
        <f t="shared" si="21"/>
        <v/>
      </c>
      <c r="AD257" s="292" t="str">
        <f>IF(M257="","",VLOOKUP(M257,'G-6 Hedgerow Data'!$B$3:$AG$15,31,FALSE))</f>
        <v/>
      </c>
      <c r="AE257" s="298" t="str">
        <f t="shared" si="25"/>
        <v/>
      </c>
      <c r="AF257" s="298" t="str">
        <f t="shared" si="26"/>
        <v/>
      </c>
      <c r="AG257" s="293" t="str">
        <f>IFERROR(IF(O257="","",VLOOKUP(AD257,'G-3 Multipliers'!$P$3:$Q$6,2,FALSE)),"")</f>
        <v/>
      </c>
      <c r="AH257" s="276" t="str">
        <f t="shared" si="27"/>
        <v/>
      </c>
      <c r="AI257" s="111"/>
      <c r="AJ257" s="112"/>
      <c r="AK257" s="476"/>
      <c r="AT257" s="15" t="str">
        <f>IFERROR(INDEX('G-6 Hedgerow Data'!$BJ$3:$BJ$15,MATCH(M257,'G-6 Hedgerow Data'!$B$3:$B$15,0)),"")</f>
        <v/>
      </c>
    </row>
    <row r="258" spans="2:46" ht="14.5" thickBot="1" x14ac:dyDescent="0.35">
      <c r="B258" s="19"/>
      <c r="C258" s="19"/>
      <c r="D258" s="19"/>
      <c r="E258" s="19"/>
      <c r="F258" s="19"/>
      <c r="G258" s="19"/>
      <c r="H258" s="19"/>
      <c r="I258" s="19"/>
      <c r="J258" s="19"/>
      <c r="K258" s="19"/>
      <c r="L258" s="19"/>
      <c r="M258" s="19"/>
      <c r="N258" s="19"/>
      <c r="O258" s="261"/>
      <c r="P258" s="294">
        <f>SUM(P12:P257)</f>
        <v>0</v>
      </c>
      <c r="Q258" s="19"/>
      <c r="R258" s="19"/>
      <c r="S258" s="19"/>
      <c r="T258" s="19"/>
      <c r="U258" s="19"/>
      <c r="V258" s="19"/>
      <c r="W258" s="19"/>
      <c r="X258" s="19"/>
      <c r="Y258" s="19"/>
      <c r="Z258" s="19"/>
      <c r="AA258" s="19"/>
      <c r="AB258" s="19"/>
      <c r="AC258" s="19"/>
      <c r="AD258" s="19"/>
      <c r="AE258" s="19"/>
      <c r="AF258" s="260"/>
      <c r="AG258" s="260"/>
      <c r="AH258" s="294">
        <f>SUM(AH12:AH257)</f>
        <v>0</v>
      </c>
      <c r="AI258" s="19"/>
      <c r="AJ258" s="19"/>
    </row>
    <row r="259" spans="2:46" ht="14" x14ac:dyDescent="0.3"/>
    <row r="260" spans="2:46" ht="14" x14ac:dyDescent="0.3"/>
    <row r="261" spans="2:46" ht="14" x14ac:dyDescent="0.3"/>
    <row r="262" spans="2:46" ht="14" x14ac:dyDescent="0.3"/>
    <row r="263" spans="2:46" ht="14" x14ac:dyDescent="0.3"/>
    <row r="264" spans="2:46" ht="14" x14ac:dyDescent="0.3"/>
    <row r="265" spans="2:46" ht="14" x14ac:dyDescent="0.3"/>
    <row r="266" spans="2:46" ht="14" x14ac:dyDescent="0.3"/>
  </sheetData>
  <sheetProtection algorithmName="SHA-512" hashValue="OfI+y5QixDt6T9f5Rbu8dAwoY7M5P59aH/GIy8c1r3TSPyIKdYa/d6bzohgfygrt0pFByg0dW8m/SJXLNAAnWw==" saltValue="X/7N9Q55qEmVc6BadkVjvw==" spinCount="100000" sheet="1" objects="1" scenarios="1"/>
  <dataConsolidate link="1"/>
  <customSheetViews>
    <customSheetView guid="{8BDA793C-C9C5-4FC6-A0A5-F1109F6D4F22}" state="hidden">
      <pane ySplit="11" topLeftCell="A12" activePane="bottomLeft" state="frozen"/>
      <selection pane="bottomLeft" activeCell="D14" sqref="D14"/>
    </customSheetView>
  </customSheetViews>
  <mergeCells count="19">
    <mergeCell ref="C10:L10"/>
    <mergeCell ref="U10:W10"/>
    <mergeCell ref="B2:D2"/>
    <mergeCell ref="B3:D4"/>
    <mergeCell ref="M9:AG9"/>
    <mergeCell ref="X10:AC10"/>
    <mergeCell ref="AD10:AG10"/>
    <mergeCell ref="N10:O10"/>
    <mergeCell ref="P10:P11"/>
    <mergeCell ref="M10:M11"/>
    <mergeCell ref="Q10:R10"/>
    <mergeCell ref="S10:T10"/>
    <mergeCell ref="X2:AC4"/>
    <mergeCell ref="N2:P2"/>
    <mergeCell ref="O3:P3"/>
    <mergeCell ref="O4:P4"/>
    <mergeCell ref="O5:P5"/>
    <mergeCell ref="AH10:AH11"/>
    <mergeCell ref="AI10:AK10"/>
  </mergeCells>
  <conditionalFormatting sqref="AH258">
    <cfRule type="containsText" dxfId="177" priority="42" operator="containsText" text="Existing Value Not Required">
      <formula>NOT(ISERROR(SEARCH("Existing Value Not Required",AH258)))</formula>
    </cfRule>
    <cfRule type="containsText" dxfId="176" priority="43" operator="containsText" text="Existing Value Required">
      <formula>NOT(ISERROR(SEARCH("Existing Value Required",AH258)))</formula>
    </cfRule>
  </conditionalFormatting>
  <conditionalFormatting sqref="AH12:AH257">
    <cfRule type="containsText" dxfId="175" priority="38" operator="containsText" text="Existing Value Not Required">
      <formula>NOT(ISERROR(SEARCH("Existing Value Not Required",AH12)))</formula>
    </cfRule>
    <cfRule type="containsText" dxfId="174" priority="39" operator="containsText" text="Existing Value Required">
      <formula>NOT(ISERROR(SEARCH("Existing Value Required",AH12)))</formula>
    </cfRule>
  </conditionalFormatting>
  <conditionalFormatting sqref="L12:L257">
    <cfRule type="cellIs" dxfId="173" priority="35" operator="equal">
      <formula>"Same distinctiveness band or better"</formula>
    </cfRule>
    <cfRule type="cellIs" dxfId="172" priority="36" operator="equal">
      <formula>"Like for like or better"</formula>
    </cfRule>
    <cfRule type="cellIs" dxfId="171" priority="37" operator="equal">
      <formula>"Like for Like"</formula>
    </cfRule>
  </conditionalFormatting>
  <conditionalFormatting sqref="N12:N257">
    <cfRule type="beginsWith" dxfId="170" priority="34" operator="beginsWith" text="Error">
      <formula>LEFT(N12,LEN("Error"))="Error"</formula>
    </cfRule>
  </conditionalFormatting>
  <conditionalFormatting sqref="O12:O257">
    <cfRule type="beginsWith" dxfId="169" priority="33" operator="beginsWith" text="Error">
      <formula>LEFT(O12,LEN("Error"))="Error"</formula>
    </cfRule>
  </conditionalFormatting>
  <conditionalFormatting sqref="V12:V257">
    <cfRule type="containsText" dxfId="168" priority="32" operator="containsText" text="Spatial">
      <formula>NOT(ISERROR(SEARCH("Spatial",V12)))</formula>
    </cfRule>
  </conditionalFormatting>
  <conditionalFormatting sqref="W12:W257">
    <cfRule type="containsText" dxfId="167" priority="31" operator="containsText" text="Spatial">
      <formula>NOT(ISERROR(SEARCH("Spatial",W12)))</formula>
    </cfRule>
  </conditionalFormatting>
  <conditionalFormatting sqref="X12:X257">
    <cfRule type="containsText" dxfId="166" priority="29" operator="containsText" text="Error">
      <formula>NOT(ISERROR(SEARCH("Error",X12)))</formula>
    </cfRule>
    <cfRule type="containsText" dxfId="165" priority="30" operator="containsText" text="Check">
      <formula>NOT(ISERROR(SEARCH("Check",X12)))</formula>
    </cfRule>
  </conditionalFormatting>
  <conditionalFormatting sqref="AA12:AA257">
    <cfRule type="containsText" dxfId="164" priority="27" operator="containsText" text="Error">
      <formula>NOT(ISERROR(SEARCH("Error",AA12)))</formula>
    </cfRule>
    <cfRule type="containsText" dxfId="163" priority="28" operator="containsText" text="Check">
      <formula>NOT(ISERROR(SEARCH("Check",AA12)))</formula>
    </cfRule>
  </conditionalFormatting>
  <conditionalFormatting sqref="AB12:AB257">
    <cfRule type="cellIs" dxfId="162" priority="19" operator="equal">
      <formula>"30+ ⚠"</formula>
    </cfRule>
    <cfRule type="containsText" dxfId="161" priority="25" operator="containsText" text="Error">
      <formula>NOT(ISERROR(SEARCH("Error",AB12)))</formula>
    </cfRule>
    <cfRule type="containsText" dxfId="160" priority="26" operator="containsText" text="Check">
      <formula>NOT(ISERROR(SEARCH("Check",AB12)))</formula>
    </cfRule>
  </conditionalFormatting>
  <conditionalFormatting sqref="AC12:AC257">
    <cfRule type="containsText" dxfId="159" priority="23" operator="containsText" text="Error">
      <formula>NOT(ISERROR(SEARCH("Error",AC12)))</formula>
    </cfRule>
    <cfRule type="containsText" dxfId="158" priority="24" operator="containsText" text="Check">
      <formula>NOT(ISERROR(SEARCH("Check",AC12)))</formula>
    </cfRule>
  </conditionalFormatting>
  <conditionalFormatting sqref="AE12:AE257">
    <cfRule type="beginsWith" dxfId="157" priority="21" operator="beginsWith" text="No - Low Difficulty">
      <formula>LEFT(AE12,LEN("No - Low Difficulty"))="No - Low Difficulty"</formula>
    </cfRule>
    <cfRule type="containsText" dxfId="156" priority="22" operator="containsText" text="Check">
      <formula>NOT(ISERROR(SEARCH("Check",AE12)))</formula>
    </cfRule>
  </conditionalFormatting>
  <conditionalFormatting sqref="X5:AB6 X2">
    <cfRule type="containsText" dxfId="155" priority="20" operator="containsText" text="Note">
      <formula>NOT(ISERROR(SEARCH("Note",X2)))</formula>
    </cfRule>
  </conditionalFormatting>
  <conditionalFormatting sqref="O3">
    <cfRule type="containsText" dxfId="154" priority="17" operator="containsText" text="Error">
      <formula>NOT(ISERROR(SEARCH("Error",O3)))</formula>
    </cfRule>
    <cfRule type="containsText" dxfId="153" priority="18" operator="containsText" text="Check">
      <formula>NOT(ISERROR(SEARCH("Check",O3)))</formula>
    </cfRule>
  </conditionalFormatting>
  <conditionalFormatting sqref="O4">
    <cfRule type="containsText" dxfId="152" priority="7" operator="containsText" text="Error">
      <formula>NOT(ISERROR(SEARCH("Error",O4)))</formula>
    </cfRule>
    <cfRule type="containsText" dxfId="151" priority="8" operator="containsText" text="Check">
      <formula>NOT(ISERROR(SEARCH("Check",O4)))</formula>
    </cfRule>
  </conditionalFormatting>
  <conditionalFormatting sqref="O5">
    <cfRule type="containsText" dxfId="150" priority="11" operator="containsText" text="No">
      <formula>NOT(ISERROR(SEARCH("No",O5)))</formula>
    </cfRule>
    <cfRule type="containsText" dxfId="149" priority="12" operator="containsText" text="Yes">
      <formula>NOT(ISERROR(SEARCH("Yes",O5)))</formula>
    </cfRule>
  </conditionalFormatting>
  <conditionalFormatting sqref="T12:T257">
    <cfRule type="containsText" dxfId="148" priority="10" operator="containsText" text="Not possible">
      <formula>NOT(ISERROR(SEARCH("Not possible",T12)))</formula>
    </cfRule>
  </conditionalFormatting>
  <conditionalFormatting sqref="O4:P4">
    <cfRule type="cellIs" dxfId="147" priority="9" operator="equal">
      <formula>0</formula>
    </cfRule>
    <cfRule type="cellIs" dxfId="146" priority="442" operator="lessThan">
      <formula>0</formula>
    </cfRule>
  </conditionalFormatting>
  <conditionalFormatting sqref="O3:P5">
    <cfRule type="containsText" dxfId="145" priority="6" operator="containsText" text="N/A">
      <formula>NOT(ISERROR(SEARCH("N/A",O3)))</formula>
    </cfRule>
  </conditionalFormatting>
  <conditionalFormatting sqref="K1:K1048576">
    <cfRule type="containsText" dxfId="144" priority="4" operator="containsText" text="⚠">
      <formula>NOT(ISERROR(SEARCH("⚠",K1)))</formula>
    </cfRule>
  </conditionalFormatting>
  <conditionalFormatting sqref="AH1:AH1048576">
    <cfRule type="containsText" dxfId="143" priority="3" operator="containsText" text="⚠">
      <formula>NOT(ISERROR(SEARCH("⚠",AH1)))</formula>
    </cfRule>
  </conditionalFormatting>
  <conditionalFormatting sqref="AE1:AE1048576">
    <cfRule type="containsText" dxfId="142" priority="1" operator="containsText" text="⚠">
      <formula>NOT(ISERROR(SEARCH("⚠",AE1)))</formula>
    </cfRule>
  </conditionalFormatting>
  <dataValidations count="1">
    <dataValidation type="list" allowBlank="1" showInputMessage="1" showErrorMessage="1" sqref="S12:S257" xr:uid="{00000000-0002-0000-1400-000000000000}">
      <formula1>INDIRECT(AT12)</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2" id="{D3BC79D6-79FF-42E4-B1ED-D62383676473}">
            <xm:f>#REF!=0</xm:f>
            <x14:dxf>
              <font>
                <color auto="1"/>
              </font>
              <fill>
                <patternFill>
                  <bgColor rgb="FFE0DCD3"/>
                </patternFill>
              </fill>
            </x14:dxf>
          </x14:cfRule>
          <xm:sqref>O4:P4</xm:sqref>
        </x14:conditionalFormatting>
        <x14:conditionalFormatting xmlns:xm="http://schemas.microsoft.com/office/excel/2006/main">
          <x14:cfRule type="cellIs" priority="5" operator="lessThan" id="{648A280C-F032-4F50-9520-A2A1C0C475E3}">
            <xm:f>Start!$F$22</xm:f>
            <x14:dxf>
              <font>
                <color rgb="FF383745"/>
              </font>
              <fill>
                <patternFill>
                  <bgColor rgb="FFFFC000"/>
                </patternFill>
              </fill>
            </x14:dxf>
          </x14:cfRule>
          <x14:cfRule type="cellIs" priority="443" operator="greaterThanOrEqual" id="{FDF2F180-0A36-4F80-9EA9-1F5FD6D5BE0F}">
            <xm:f>Start!$F$22</xm:f>
            <x14:dxf>
              <font>
                <color rgb="FF383745"/>
              </font>
              <fill>
                <patternFill>
                  <bgColor rgb="FF92D050"/>
                </patternFill>
              </fill>
            </x14:dxf>
          </x14:cfRule>
          <xm:sqref>O4:P4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400-000001000000}">
          <x14:formula1>
            <xm:f>'G-6 Hedgerow Data'!$B$3:$B$15</xm:f>
          </x14:formula1>
          <xm:sqref>M12:M257</xm:sqref>
        </x14:dataValidation>
        <x14:dataValidation type="list" allowBlank="1" showInputMessage="1" showErrorMessage="1" xr:uid="{00000000-0002-0000-1400-000002000000}">
          <x14:formula1>
            <xm:f>'G-3 Multipliers'!$L$4:$L$6</xm:f>
          </x14:formula1>
          <xm:sqref>U12:U257</xm:sqref>
        </x14:dataValidation>
        <x14:dataValidation type="list" allowBlank="1" showInputMessage="1" showErrorMessage="1" xr:uid="{00000000-0002-0000-1400-000003000000}">
          <x14:formula1>
            <xm:f>'G-4 Temporal multipliers'!$A$42:$A$73</xm:f>
          </x14:formula1>
          <xm:sqref>Y12:Z257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
    <tabColor rgb="FF0033CC"/>
  </sheetPr>
  <dimension ref="A1:AW272"/>
  <sheetViews>
    <sheetView zoomScaleNormal="80" workbookViewId="0">
      <pane ySplit="9" topLeftCell="A10" activePane="bottomLeft" state="frozen"/>
      <selection pane="bottomLeft" activeCell="A11" sqref="A11"/>
    </sheetView>
  </sheetViews>
  <sheetFormatPr defaultColWidth="0" defaultRowHeight="0" customHeight="1" zeroHeight="1" x14ac:dyDescent="0.3"/>
  <cols>
    <col min="1" max="1" width="3" style="15" customWidth="1"/>
    <col min="2" max="2" width="3.26953125" style="86" customWidth="1"/>
    <col min="3" max="3" width="12.7265625" style="86" customWidth="1"/>
    <col min="4" max="4" width="55" style="15" customWidth="1"/>
    <col min="5" max="5" width="10.7265625" style="15" customWidth="1"/>
    <col min="6" max="6" width="17.7265625" style="15" customWidth="1"/>
    <col min="7" max="7" width="8.81640625" style="15" customWidth="1"/>
    <col min="8" max="8" width="14.26953125" style="15" bestFit="1" customWidth="1"/>
    <col min="9" max="9" width="11.7265625" style="15" customWidth="1"/>
    <col min="10" max="10" width="33.7265625" style="15" customWidth="1"/>
    <col min="11" max="12" width="14.81640625" style="15" customWidth="1"/>
    <col min="13" max="13" width="17.26953125" style="15" customWidth="1"/>
    <col min="14" max="14" width="13.54296875" style="15" customWidth="1"/>
    <col min="15" max="15" width="25.1796875" style="15" customWidth="1"/>
    <col min="16" max="16" width="14.453125" style="15" customWidth="1"/>
    <col min="17" max="17" width="14.26953125" style="15" customWidth="1"/>
    <col min="18" max="18" width="15" style="15" customWidth="1"/>
    <col min="19" max="19" width="19.81640625" style="15" hidden="1" customWidth="1"/>
    <col min="20" max="20" width="3.7265625" style="15" customWidth="1"/>
    <col min="21" max="22" width="12.26953125" style="15" customWidth="1"/>
    <col min="23" max="23" width="13.453125" style="15" customWidth="1"/>
    <col min="24" max="24" width="12.1796875" style="15" customWidth="1"/>
    <col min="25" max="25" width="19.1796875" style="15" customWidth="1"/>
    <col min="26" max="26" width="16.453125" style="15" customWidth="1"/>
    <col min="27" max="27" width="17.453125" style="15" customWidth="1"/>
    <col min="28" max="29" width="50.1796875" style="15" customWidth="1"/>
    <col min="30" max="30" width="16.1796875" style="15" customWidth="1"/>
    <col min="31" max="31" width="8.81640625" style="15" hidden="1" customWidth="1"/>
    <col min="32" max="32" width="6.54296875" style="15" hidden="1" customWidth="1"/>
    <col min="33" max="34" width="8.81640625" style="15" customWidth="1"/>
    <col min="35" max="38" width="8.81640625" style="15" hidden="1" customWidth="1"/>
    <col min="39" max="39" width="11.81640625" style="15" hidden="1" customWidth="1"/>
    <col min="40" max="43" width="8.81640625" style="15" hidden="1" customWidth="1"/>
    <col min="44" max="44" width="19.54296875" style="15" hidden="1" customWidth="1"/>
    <col min="45" max="45" width="35" style="15" hidden="1" customWidth="1"/>
    <col min="46" max="48" width="8.7265625" style="15" hidden="1" customWidth="1"/>
    <col min="49" max="49" width="8.81640625" style="15" hidden="1" customWidth="1"/>
    <col min="50" max="16384" width="8.7265625" style="15" hidden="1"/>
  </cols>
  <sheetData>
    <row r="1" spans="2:48" ht="12.75" customHeight="1" thickBot="1" x14ac:dyDescent="0.35">
      <c r="B1" s="15"/>
      <c r="C1" s="15"/>
    </row>
    <row r="2" spans="2:48" ht="19.5" customHeight="1" thickBot="1" x14ac:dyDescent="0.35">
      <c r="B2" s="1272" t="str">
        <f>CONCATENATE("Project Name:", " ", Start!F12, "     ", "Map Reference:", " ", Start!F55)</f>
        <v xml:space="preserve">Project Name: Gain Site 2 for Digital     Map Reference: </v>
      </c>
      <c r="C2" s="1274"/>
      <c r="D2" s="1273"/>
      <c r="F2" s="1270" t="s">
        <v>245</v>
      </c>
      <c r="G2" s="1278"/>
      <c r="H2" s="1278"/>
      <c r="I2" s="1278"/>
      <c r="J2" s="1271"/>
      <c r="L2" s="1227" t="str" cm="1">
        <f t="array" ref="L2">IF(OR(H10:H257 = "Fairly Good", H10:H257 = "Fairly Poor"),"A 'Fairly' Category has been used - check evidence to ensure this is appropriate ⚠", "")</f>
        <v/>
      </c>
      <c r="M2" s="1227"/>
      <c r="N2" s="1227"/>
      <c r="O2" s="1227"/>
      <c r="P2" s="1227"/>
      <c r="Q2" s="1227"/>
      <c r="R2" s="1227"/>
      <c r="S2" s="665"/>
    </row>
    <row r="3" spans="2:48" ht="15" customHeight="1" x14ac:dyDescent="0.3">
      <c r="B3" s="1275" t="str">
        <f ca="1">MID(CELL("filename",A1),FIND("]",CELL("filename",A1))+1,256)</f>
        <v>C-1 On-Site WaterC' Baseline</v>
      </c>
      <c r="C3" s="1276"/>
      <c r="D3" s="1277"/>
      <c r="F3" s="1217" t="s">
        <v>131</v>
      </c>
      <c r="G3" s="908"/>
      <c r="H3" s="908"/>
      <c r="I3" s="1212" t="e">
        <f>#REF!</f>
        <v>#REF!</v>
      </c>
      <c r="J3" s="1213"/>
      <c r="L3" s="1227"/>
      <c r="M3" s="1227"/>
      <c r="N3" s="1227"/>
      <c r="O3" s="1227"/>
      <c r="P3" s="1227"/>
      <c r="Q3" s="1227"/>
      <c r="R3" s="1227"/>
      <c r="S3" s="665"/>
    </row>
    <row r="4" spans="2:48" ht="19.899999999999999" customHeight="1" thickBot="1" x14ac:dyDescent="0.35">
      <c r="B4" s="1224"/>
      <c r="C4" s="1225"/>
      <c r="D4" s="1226"/>
      <c r="F4" s="1260" t="s">
        <v>133</v>
      </c>
      <c r="G4" s="909"/>
      <c r="H4" s="909"/>
      <c r="I4" s="1257" t="e">
        <f>#REF!</f>
        <v>#REF!</v>
      </c>
      <c r="J4" s="1258"/>
      <c r="L4" s="1227"/>
      <c r="M4" s="1227"/>
      <c r="N4" s="1227"/>
      <c r="O4" s="1227"/>
      <c r="P4" s="1227"/>
      <c r="Q4" s="1227"/>
      <c r="R4" s="1227"/>
      <c r="S4" s="665"/>
    </row>
    <row r="5" spans="2:48" ht="19.149999999999999" customHeight="1" thickBot="1" x14ac:dyDescent="0.35">
      <c r="B5" s="15"/>
      <c r="C5" s="15"/>
      <c r="F5" s="1261" t="s">
        <v>135</v>
      </c>
      <c r="G5" s="917"/>
      <c r="H5" s="917"/>
      <c r="I5" s="917" t="e" cm="1">
        <f t="array" ref="I5">IF(OR('Trading Summary WaterC''s'!G5:H8="No ▲"), "No - check trading summary ▲", "Yes ✓")</f>
        <v>#REF!</v>
      </c>
      <c r="J5" s="1259"/>
      <c r="U5" s="1280" t="str">
        <f>IF(SUM(AI10:AI257)&gt;0,"Check Lengths ⚠","")</f>
        <v/>
      </c>
      <c r="V5" s="1280"/>
      <c r="W5" s="1280"/>
      <c r="X5" s="1280"/>
      <c r="Y5" s="1280"/>
      <c r="Z5" s="1280"/>
      <c r="AA5" s="470"/>
    </row>
    <row r="6" spans="2:48" ht="15.75" customHeight="1" x14ac:dyDescent="0.3">
      <c r="B6" s="15"/>
      <c r="C6" s="15"/>
      <c r="U6" s="1280"/>
      <c r="V6" s="1280"/>
      <c r="W6" s="1280"/>
      <c r="X6" s="1280"/>
      <c r="Y6" s="1280"/>
      <c r="Z6" s="1280"/>
      <c r="AA6" s="470"/>
    </row>
    <row r="7" spans="2:48" ht="46.15" customHeight="1" thickBot="1" x14ac:dyDescent="0.35"/>
    <row r="8" spans="2:48" ht="28.5" thickBot="1" x14ac:dyDescent="0.35">
      <c r="C8" s="1231" t="s">
        <v>246</v>
      </c>
      <c r="D8" s="1231"/>
      <c r="E8" s="1231"/>
      <c r="F8" s="1241" t="s">
        <v>137</v>
      </c>
      <c r="G8" s="1241"/>
      <c r="H8" s="1241" t="s">
        <v>222</v>
      </c>
      <c r="I8" s="1241"/>
      <c r="J8" s="1231" t="s">
        <v>139</v>
      </c>
      <c r="K8" s="1231"/>
      <c r="L8" s="1231"/>
      <c r="M8" s="1241" t="s">
        <v>247</v>
      </c>
      <c r="N8" s="1241"/>
      <c r="O8" s="1241" t="s">
        <v>248</v>
      </c>
      <c r="P8" s="1241"/>
      <c r="Q8" s="1228" t="s">
        <v>140</v>
      </c>
      <c r="R8" s="115" t="s">
        <v>141</v>
      </c>
      <c r="S8" s="1232" t="s">
        <v>1495</v>
      </c>
      <c r="T8" s="87"/>
      <c r="U8" s="1231" t="s">
        <v>142</v>
      </c>
      <c r="V8" s="1231"/>
      <c r="W8" s="1231"/>
      <c r="X8" s="1231"/>
      <c r="Y8" s="1231"/>
      <c r="Z8" s="1231"/>
      <c r="AA8" s="1232" t="s">
        <v>143</v>
      </c>
      <c r="AB8" s="1236" t="s">
        <v>144</v>
      </c>
      <c r="AC8" s="1237"/>
      <c r="AD8" s="1238"/>
      <c r="AE8" s="22" t="s">
        <v>134</v>
      </c>
      <c r="AF8" s="22" t="s">
        <v>134</v>
      </c>
    </row>
    <row r="9" spans="2:48" ht="52.5" customHeight="1" thickBot="1" x14ac:dyDescent="0.35">
      <c r="C9" s="113" t="s">
        <v>204</v>
      </c>
      <c r="D9" s="562" t="s">
        <v>78</v>
      </c>
      <c r="E9" s="507" t="s">
        <v>28</v>
      </c>
      <c r="F9" s="113" t="s">
        <v>137</v>
      </c>
      <c r="G9" s="507" t="s">
        <v>154</v>
      </c>
      <c r="H9" s="113" t="s">
        <v>138</v>
      </c>
      <c r="I9" s="507" t="s">
        <v>154</v>
      </c>
      <c r="J9" s="113" t="s">
        <v>139</v>
      </c>
      <c r="K9" s="562" t="s">
        <v>139</v>
      </c>
      <c r="L9" s="507" t="s">
        <v>249</v>
      </c>
      <c r="M9" s="113" t="s">
        <v>250</v>
      </c>
      <c r="N9" s="507" t="s">
        <v>251</v>
      </c>
      <c r="O9" s="113" t="s">
        <v>252</v>
      </c>
      <c r="P9" s="507" t="s">
        <v>251</v>
      </c>
      <c r="Q9" s="1228"/>
      <c r="R9" s="506" t="s">
        <v>253</v>
      </c>
      <c r="S9" s="1255"/>
      <c r="T9" s="91"/>
      <c r="U9" s="113" t="s">
        <v>230</v>
      </c>
      <c r="V9" s="562" t="s">
        <v>231</v>
      </c>
      <c r="W9" s="562" t="s">
        <v>232</v>
      </c>
      <c r="X9" s="562" t="s">
        <v>233</v>
      </c>
      <c r="Y9" s="562" t="s">
        <v>254</v>
      </c>
      <c r="Z9" s="507" t="s">
        <v>255</v>
      </c>
      <c r="AA9" s="1251"/>
      <c r="AB9" s="681" t="s">
        <v>256</v>
      </c>
      <c r="AC9" s="681" t="s">
        <v>164</v>
      </c>
      <c r="AD9" s="586" t="s">
        <v>1539</v>
      </c>
      <c r="AE9" s="35" t="s">
        <v>166</v>
      </c>
      <c r="AF9" s="35" t="s">
        <v>167</v>
      </c>
      <c r="AI9" s="18" t="s">
        <v>257</v>
      </c>
      <c r="AJ9" s="105" t="s">
        <v>168</v>
      </c>
      <c r="AK9" s="105" t="s">
        <v>169</v>
      </c>
      <c r="AM9" s="105" t="s">
        <v>171</v>
      </c>
      <c r="AO9" s="105" t="s">
        <v>168</v>
      </c>
      <c r="AP9" s="105" t="s">
        <v>169</v>
      </c>
      <c r="AR9" s="85" t="s">
        <v>148</v>
      </c>
      <c r="AS9" s="85" t="s">
        <v>258</v>
      </c>
    </row>
    <row r="10" spans="2:48" ht="14" x14ac:dyDescent="0.3">
      <c r="C10" s="242">
        <v>1</v>
      </c>
      <c r="D10" s="270"/>
      <c r="E10" s="37"/>
      <c r="F10" s="290" t="str">
        <f>IF(D10="","",VLOOKUP(D10,'G-7 WaterC'' Data'!$B$2:$G$8,2,FALSE))</f>
        <v/>
      </c>
      <c r="G10" s="291" t="str">
        <f>IFERROR(VLOOKUP(F10,'G-7 WaterC'' Data'!$C$4:$D$8,2,FALSE),"")</f>
        <v/>
      </c>
      <c r="H10" s="38"/>
      <c r="I10" s="291" t="str">
        <f>IFERROR(INDEX('G-7 WaterC'' Data'!$H$4:$L$8,MATCH(D10,'G-7 WaterC'' Data'!$B$4:$B$8,0),MATCH(H10,'G-7 WaterC'' Data'!$H$3:$L$3,0)),"")</f>
        <v/>
      </c>
      <c r="J10" s="777"/>
      <c r="K10" s="290" t="str">
        <f>IF(J10="","",IF(VLOOKUP(J10,'G-7 WaterC'' Data'!$AK$4:$AM$6,2,FALSE)=0,"Spatial Data Missing ⚠",VLOOKUP(J10,'G-7 WaterC'' Data'!$AK$4:$AM$6,2,FALSE)))</f>
        <v/>
      </c>
      <c r="L10" s="296" t="str">
        <f>IF(J10="","",IF(VLOOKUP(J10,'G-7 WaterC'' Data'!$AK$4:$AM$9,3,FALSE)=0,"Spatial Data Missing ⚠",VLOOKUP(J10,'G-7 WaterC'' Data'!$AK$4:$AM$6,3,FALSE)))</f>
        <v/>
      </c>
      <c r="M10" s="38"/>
      <c r="N10" s="291" t="str">
        <f>IF(M10="","",IF(AND(D10&lt;&gt;"Culvert",M10="N/A - Culvert"),"Not possible ▲",IF(AND(D10="Culvert",M10&lt;&gt;"N/A - Culvert"),"Not possible ▲",IF(VLOOKUP(M10,'G-7 WaterC'' Data'!$AA$4:$AB$7,2,FALSE)=0,"Spatial Data Missing ⚠",VLOOKUP(M10,'G-7 WaterC'' Data'!$AA$4:$AB$7,2,FALSE)))))</f>
        <v/>
      </c>
      <c r="O10" s="44"/>
      <c r="P10" s="291" t="str">
        <f>IF(O10="","",IF(AND(O10="N/A - Culvert", D10&lt;&gt;"Culvert"),"Not possible ▲", IF(AND(D10="Culvert",O10&lt;&gt;"N/A - Culvert"),"Not possible ▲",IF(VLOOKUP(O10,'G-7 WaterC'' Data'!$AD$4:$AE$14,2,FALSE)=0,"Spatial Data Missing ⚠",VLOOKUP(O10,'G-7 WaterC'' Data'!$AD$4:$AE$14,2,FALSE)))))</f>
        <v/>
      </c>
      <c r="Q10" s="297" t="str">
        <f>IF(D10="","",VLOOKUP(D10,'G-7 WaterC'' Data'!$B$2:$G$8,6,FALSE))</f>
        <v/>
      </c>
      <c r="R10" s="546" t="str">
        <f>IFERROR(IF(AND(Q10='G-1 All Habitats'!$X$3, AE10&gt;0, U10&lt;=0, V10&lt;=0, OR(AA10="No", AA10="")),"Any Loss Unacceptable ⚠", (IF(AND(Q10='G-1 All Habitats'!$X$3, AE10&gt;0, U10&lt;=0, V10&lt;=0, AA10="Yes"), 0, (IF(AND(Q10='G-1 All Habitats'!$X$3,(U10+V10)&lt;E10, OR(AA10="No", AA10="")),"Any Loss Unacceptable ⚠", (IF(AND(Q10='G-1 All Habitats'!$X$3,(U10+V10)&gt;E10), E10*G10*I10*L10*N10*P10, (IF(Q10="","",IF(AND(Q10='G-1 All Habitats'!$X$3,V10&gt;0),W10+X10,IF(AND(Q10='G-1 All Habitats'!$X$3,U10&gt;0), W10+X10, IF(AND(S10="Yes", V10&gt;(E10-U10)),(E10-U10)*G10*I10*L10*N10*P10, IF(AND(S10="Yes", V10&lt;=(E10-U10)), X10, E10*G10*I10*L10*N10*P10 ))))))))))))),"Check Data ▲")</f>
        <v/>
      </c>
      <c r="S10" s="670" t="str">
        <f>AU10</f>
        <v/>
      </c>
      <c r="T10" s="17"/>
      <c r="U10" s="543"/>
      <c r="V10" s="552"/>
      <c r="W10" s="553" t="str">
        <f>IFERROR(IF(U10&gt;E10,"Error in Lengths ▲",U10*G10*I10*L10*N10*P10),"")</f>
        <v/>
      </c>
      <c r="X10" s="553" t="str">
        <f>IFERROR(IF(D10="","",V10*G10*I10*L10*N10*P10),"")</f>
        <v/>
      </c>
      <c r="Y10" s="302" t="str">
        <f>IFERROR(IF(D10="","", IF(E10&gt;(U10+V10),E10-U10-V10,0)),"")</f>
        <v/>
      </c>
      <c r="Z10" s="589" t="str">
        <f>IFERROR(IF(AND(AA10="Yes", D10="Priority habitat"), "Alternative compensation agreed ✓", IF(E10="","", IF(AND(D10="Priority habitat", V10+U10&lt;E10),"Any loss unacceptable ▲", IF(OR(V10+U10=E10,V10+U10&gt;E10),"0.00", IF((W10+X10)&gt;R10,0, R10-W10-X10))))),"Check Data ⚠")</f>
        <v/>
      </c>
      <c r="AA10" s="590"/>
      <c r="AB10" s="485"/>
      <c r="AC10" s="118"/>
      <c r="AD10" s="118"/>
      <c r="AE10" s="41" t="str">
        <f>IF(OR(Q10="",AA10="Yes"),"",IF(Q10='G-1 All Habitats'!$X$3,E10-U10-V10,"None"))</f>
        <v/>
      </c>
      <c r="AF10" s="42" t="str">
        <f>IF(Q10="","", IF(Q10='G-1 All Habitats'!$X$3, AE10*G10*I10*L10*N10*P10,"None"))</f>
        <v/>
      </c>
      <c r="AI10" s="15">
        <f>IFERROR(IF(U10+V10&gt;E10,1,0),"")</f>
        <v>0</v>
      </c>
      <c r="AJ10" s="105" t="str">
        <f>IF(D10="","",IF(U10&gt;0,TRUE,FALSE))</f>
        <v/>
      </c>
      <c r="AK10" s="105" t="str">
        <f>IF(D10="","",IF(V10&gt;0,TRUE,FALSE))</f>
        <v/>
      </c>
      <c r="AM10" s="105">
        <v>1</v>
      </c>
      <c r="AO10" s="105" t="str">
        <f t="array" ref="AO10">IFERROR(INDEX($AM$10:$AM$258, MATCH(0, IF(TRUE=$AJ$10:$AJ$258, COUNTIF($AO9:$AO$9, $AM$10:$AM$258), ""), 0)),"")</f>
        <v/>
      </c>
      <c r="AP10" s="105" t="str">
        <f t="array" ref="AP10">IFERROR(INDEX($AM$10:$AM$258, MATCH(0, IF(TRUE=$AK$10:$AK$258, COUNTIF($AP9:$AP$9, $AM$10:$AM$258), ""), 0)),"")</f>
        <v/>
      </c>
      <c r="AR10" s="15" t="str">
        <f>IFERROR(INDEX('G-7 WaterC'' Data'!$AZ$3:$AZ$7,MATCH(D10,'G-7 WaterC'' Data'!$AY$3:$AY$7,0)),"")</f>
        <v/>
      </c>
      <c r="AS10" s="15" t="str">
        <f>IFERROR(INDEX('G-7 WaterC'' Data'!AZ10:AZ14,MATCH(D10,'G-7 WaterC'' Data'!$AY$10:$AY$14,0)),"")</f>
        <v/>
      </c>
      <c r="AU10" s="15" t="str">
        <f>IF(D10="","",VLOOKUP(D10,'G-7 WaterC'' Data'!B$4:M$8,12,FALSE))</f>
        <v/>
      </c>
      <c r="AV10" s="15" t="str">
        <f>IF(AA10="","", IF(AA10="Yes", "Yes ✓", "No ▲"))</f>
        <v/>
      </c>
    </row>
    <row r="11" spans="2:48" ht="28" customHeight="1" x14ac:dyDescent="0.3">
      <c r="C11" s="92">
        <v>2</v>
      </c>
      <c r="D11" s="270"/>
      <c r="E11" s="37"/>
      <c r="F11" s="290" t="str">
        <f>IF(D11="","",VLOOKUP(D11,'G-7 WaterC'' Data'!$B$2:$G$8,2,FALSE))</f>
        <v/>
      </c>
      <c r="G11" s="291" t="str">
        <f>IFERROR(VLOOKUP(F11,'G-7 WaterC'' Data'!$C$4:$D$8,2,FALSE),"")</f>
        <v/>
      </c>
      <c r="H11" s="38"/>
      <c r="I11" s="291" t="str">
        <f>IFERROR(INDEX('G-7 WaterC'' Data'!$H$4:$L$8,MATCH(D11,'G-7 WaterC'' Data'!$B$4:$B$8,0),MATCH(H11,'G-7 WaterC'' Data'!$H$3:$L$3,0)),"")</f>
        <v/>
      </c>
      <c r="J11" s="777"/>
      <c r="K11" s="325" t="str">
        <f>IF(J11="","",IF(VLOOKUP(J11,'G-7 WaterC'' Data'!$AK$4:$AM$6,2,FALSE)=0,"Spatial Data Missing ⚠",VLOOKUP(J11,'G-7 WaterC'' Data'!$AK$4:$AM$6,2,FALSE)))</f>
        <v/>
      </c>
      <c r="L11" s="296" t="str">
        <f>IF(J11="","",IF(VLOOKUP(J11,'G-7 WaterC'' Data'!$AK$4:$AM$9,3,FALSE)=0,"Spatial Data Missing ⚠",VLOOKUP(J11,'G-7 WaterC'' Data'!$AK$4:$AM$6,3,FALSE)))</f>
        <v/>
      </c>
      <c r="M11" s="38"/>
      <c r="N11" s="291" t="str">
        <f>IF(M11="","",IF(AND(D11&lt;&gt;"Culvert",M11="N/A - Culvert"),"Not possible ▲",IF(AND(D11="Culvert",M11&lt;&gt;"N/A - Culvert"),"Not possible ▲",IF(VLOOKUP(M11,'G-7 WaterC'' Data'!$AA$4:$AB$7,2,FALSE)=0,"Spatial Data Missing ⚠",VLOOKUP(M11,'G-7 WaterC'' Data'!$AA$4:$AB$7,2,FALSE)))))</f>
        <v/>
      </c>
      <c r="O11" s="44"/>
      <c r="P11" s="291" t="str">
        <f>IF(O11="","",IF(AND(O11="N/A - Culvert", D11&lt;&gt;"Culvert"),"Not possible ▲", IF(AND(D11="Culvert",O11&lt;&gt;"N/A - Culvert"),"Not possible ▲",IF(VLOOKUP(O11,'G-7 WaterC'' Data'!$AD$4:$AE$14,2,FALSE)=0,"Spatial Data Missing ⚠",VLOOKUP(O11,'G-7 WaterC'' Data'!$AD$4:$AE$14,2,FALSE)))))</f>
        <v/>
      </c>
      <c r="Q11" s="297" t="str">
        <f>IF(D11="","",VLOOKUP(D11,'G-7 WaterC'' Data'!$B$2:$G$8,6,FALSE))</f>
        <v/>
      </c>
      <c r="R11" s="304" t="str">
        <f>IFERROR(IF(AND(Q11='G-1 All Habitats'!$X$3, AE11&gt;0, U11&lt;=0, V11&lt;=0, OR(AA11="No", AA11="")),"Any Loss Unacceptable ⚠", (IF(AND(Q11='G-1 All Habitats'!$X$3, AE11&gt;0, U11&lt;=0, V11&lt;=0, AA11="Yes"), 0, (IF(AND(Q11='G-1 All Habitats'!$X$3,(U11+V11)&lt;E11, OR(AA11="No", AA11="")),"Any Loss Unacceptable ⚠", (IF(AND(Q11='G-1 All Habitats'!$X$3,(U11+V11)&gt;E11), E11*G11*I11*L11*N11*P11, (IF(Q11="","",IF(AND(Q11='G-1 All Habitats'!$X$3,V11&gt;0),W11+X11,IF(AND(Q11='G-1 All Habitats'!$X$3,U11&gt;0), W11+X11, IF(AND(S11="Yes", V11&gt;(E11-U11)),(E11-U11)*G11*I11*L11*N11*P11, IF(AND(S11="Yes", V11&lt;=(E11-U11)), X11, E11*G11*I11*L11*N11*P11 ))))))))))))),"Check Data ▲")</f>
        <v/>
      </c>
      <c r="S11" s="671" t="str">
        <f t="shared" ref="S11:S74" si="0">AU11</f>
        <v/>
      </c>
      <c r="T11" s="17"/>
      <c r="U11" s="38"/>
      <c r="V11" s="106"/>
      <c r="W11" s="302" t="str">
        <f t="shared" ref="W11:W74" si="1">IFERROR(IF(U11&gt;E11,"Error in Lengths ▲",U11*G11*I11*L11*N11*P11),"")</f>
        <v/>
      </c>
      <c r="X11" s="302" t="str">
        <f t="shared" ref="X11:X74" si="2">IFERROR(IF(D11="","",V11*G11*I11*L11*N11*P11),"")</f>
        <v/>
      </c>
      <c r="Y11" s="302" t="str">
        <f t="shared" ref="Y11:Y74" si="3">IFERROR(IF(D11="","", IF(E11&gt;(U11+V11),E11-U11-V11,0)),"")</f>
        <v/>
      </c>
      <c r="Z11" s="471" t="str">
        <f t="shared" ref="Z11:Z74" si="4">IFERROR(IF(AND(AA11="Yes", D11="Priority habitat"), "Alternative compensation agreed ✓", IF(E11="","", IF(AND(D11="Priority habitat", V11+U11&lt;E11),"Any loss unacceptable ▲", IF(OR(V11+U11=E11,V11+U11&gt;E11),"0.00", IF((W11+X11)&gt;R11,0, R11-W11-X11))))),"Check Data ⚠")</f>
        <v/>
      </c>
      <c r="AA11" s="488"/>
      <c r="AB11" s="486"/>
      <c r="AC11" s="101"/>
      <c r="AD11" s="101"/>
      <c r="AE11" s="41" t="str">
        <f>IF(OR(Q11="",AA11="Yes"),"",IF(Q11='G-1 All Habitats'!$X$3,E11-U11-V11,"None"))</f>
        <v/>
      </c>
      <c r="AF11" s="42" t="str">
        <f>IF(Q11="","", IF(Q11='G-1 All Habitats'!$X$3, AE11*G11*I11*L11*N11*P11,"None"))</f>
        <v/>
      </c>
      <c r="AG11" s="463"/>
      <c r="AH11" s="463"/>
      <c r="AI11" s="463">
        <f>IFERROR(IF(U11+V11&gt;E11,1,0),"")</f>
        <v>0</v>
      </c>
      <c r="AJ11" s="778" t="str">
        <f t="shared" ref="AJ11:AJ74" si="5">IF(D11="","",IF(U11&gt;0,TRUE,FALSE))</f>
        <v/>
      </c>
      <c r="AK11" s="778" t="str">
        <f t="shared" ref="AK11:AK74" si="6">IF(D11="","",IF(V11&gt;0,TRUE,FALSE))</f>
        <v/>
      </c>
      <c r="AL11" s="463"/>
      <c r="AM11" s="778">
        <v>2</v>
      </c>
      <c r="AN11" s="463"/>
      <c r="AO11" s="778" t="str">
        <f t="array" ref="AO11">IFERROR(INDEX($AM$10:$AM$258, MATCH(0, IF(TRUE=$AJ$10:$AJ$258, COUNTIF($AO$9:$AO10, $AM$10:$AM$258), ""), 0)),"")</f>
        <v/>
      </c>
      <c r="AP11" s="778" t="str">
        <f t="array" ref="AP11">IFERROR(INDEX($AM$10:$AM$258, MATCH(0, IF(TRUE=$AK$10:$AK$258, COUNTIF($AP$9:$AP10, $AM$10:$AM$258), ""), 0)),"")</f>
        <v/>
      </c>
      <c r="AQ11" s="463"/>
      <c r="AR11" s="463" t="str">
        <f>IFERROR(INDEX('G-7 WaterC'' Data'!$AZ$3:$AZ$7,MATCH(D11,'G-7 WaterC'' Data'!$AY$3:$AY$7,0)),"")</f>
        <v/>
      </c>
      <c r="AS11" s="463" t="str">
        <f>IFERROR(INDEX('G-7 WaterC'' Data'!AZ11:AZ15,MATCH(D11,'G-7 WaterC'' Data'!$AY$10:$AY$14,0)),"")</f>
        <v/>
      </c>
      <c r="AT11" s="463"/>
      <c r="AU11" s="463" t="str">
        <f>IF(D11="","",VLOOKUP(D11,'G-7 WaterC'' Data'!B$4:M$8,12,FALSE))</f>
        <v/>
      </c>
      <c r="AV11" s="15" t="str">
        <f t="shared" ref="AV11:AV74" si="7">IF(AA11="","", IF(AA11="Yes", "Yes ✓", "No ▲"))</f>
        <v/>
      </c>
    </row>
    <row r="12" spans="2:48" ht="14" x14ac:dyDescent="0.3">
      <c r="C12" s="92">
        <v>3</v>
      </c>
      <c r="D12" s="270"/>
      <c r="E12" s="37"/>
      <c r="F12" s="290" t="str">
        <f>IF(D12="","",VLOOKUP(D12,'G-7 WaterC'' Data'!$B$2:$G$8,2,FALSE))</f>
        <v/>
      </c>
      <c r="G12" s="291" t="str">
        <f>IFERROR(VLOOKUP(F12,'G-7 WaterC'' Data'!$C$4:$D$8,2,FALSE),"")</f>
        <v/>
      </c>
      <c r="H12" s="38"/>
      <c r="I12" s="291" t="str">
        <f>IFERROR(INDEX('G-7 WaterC'' Data'!$H$4:$L$8,MATCH(D12,'G-7 WaterC'' Data'!$B$4:$B$8,0),MATCH(H12,'G-7 WaterC'' Data'!$H$3:$L$3,0)),"")</f>
        <v/>
      </c>
      <c r="J12" s="777"/>
      <c r="K12" s="325" t="str">
        <f>IF(J12="","",IF(VLOOKUP(J12,'G-7 WaterC'' Data'!$AK$4:$AM$6,2,FALSE)=0,"Spatial Data Missing ⚠",VLOOKUP(J12,'G-7 WaterC'' Data'!$AK$4:$AM$6,2,FALSE)))</f>
        <v/>
      </c>
      <c r="L12" s="296" t="str">
        <f>IF(J12="","",IF(VLOOKUP(J12,'G-7 WaterC'' Data'!$AK$4:$AM$9,3,FALSE)=0,"Spatial Data Missing ⚠",VLOOKUP(J12,'G-7 WaterC'' Data'!$AK$4:$AM$6,3,FALSE)))</f>
        <v/>
      </c>
      <c r="M12" s="38"/>
      <c r="N12" s="291" t="str">
        <f>IF(M12="","",IF(AND(D12&lt;&gt;"Culvert",M12="N/A - Culvert"),"Not possible ▲",IF(AND(D12="Culvert",M12&lt;&gt;"N/A - Culvert"),"Not possible ▲",IF(VLOOKUP(M12,'G-7 WaterC'' Data'!$AA$4:$AB$7,2,FALSE)=0,"Spatial Data Missing ⚠",VLOOKUP(M12,'G-7 WaterC'' Data'!$AA$4:$AB$7,2,FALSE)))))</f>
        <v/>
      </c>
      <c r="O12" s="44"/>
      <c r="P12" s="291" t="str">
        <f>IF(O12="","",IF(AND(O12="N/A - Culvert", D12&lt;&gt;"Culvert"),"Not possible ▲", IF(AND(D12="Culvert",O12&lt;&gt;"N/A - Culvert"),"Not possible ▲",IF(VLOOKUP(O12,'G-7 WaterC'' Data'!$AD$4:$AE$14,2,FALSE)=0,"Spatial Data Missing ⚠",VLOOKUP(O12,'G-7 WaterC'' Data'!$AD$4:$AE$14,2,FALSE)))))</f>
        <v/>
      </c>
      <c r="Q12" s="297" t="str">
        <f>IF(D12="","",VLOOKUP(D12,'G-7 WaterC'' Data'!$B$2:$G$8,6,FALSE))</f>
        <v/>
      </c>
      <c r="R12" s="304" t="str">
        <f>IFERROR(IF(AND(Q12='G-1 All Habitats'!$X$3, AE12&gt;0, U12&lt;=0, V12&lt;=0, OR(AA12="No", AA12="")),"Any Loss Unacceptable ⚠", (IF(AND(Q12='G-1 All Habitats'!$X$3, AE12&gt;0, U12&lt;=0, V12&lt;=0, AA12="Yes"), 0, (IF(AND(Q12='G-1 All Habitats'!$X$3,(U12+V12)&lt;E12, OR(AA12="No", AA12="")),"Any Loss Unacceptable ⚠", (IF(AND(Q12='G-1 All Habitats'!$X$3,(U12+V12)&gt;E12), E12*G12*I12*L12*N12*P12, (IF(Q12="","",IF(AND(Q12='G-1 All Habitats'!$X$3,V12&gt;0),W12+X12,IF(AND(Q12='G-1 All Habitats'!$X$3,U12&gt;0), W12+X12, IF(AND(S12="Yes", V12&gt;(E12-U12)),(E12-U12)*G12*I12*L12*N12*P12, IF(AND(S12="Yes", V12&lt;=(E12-U12)), X12, E12*G12*I12*L12*N12*P12 ))))))))))))),"Check Data ▲")</f>
        <v/>
      </c>
      <c r="S12" s="671" t="str">
        <f t="shared" si="0"/>
        <v/>
      </c>
      <c r="T12" s="17"/>
      <c r="U12" s="38"/>
      <c r="V12" s="106"/>
      <c r="W12" s="302" t="str">
        <f t="shared" si="1"/>
        <v/>
      </c>
      <c r="X12" s="302" t="str">
        <f t="shared" si="2"/>
        <v/>
      </c>
      <c r="Y12" s="302" t="str">
        <f t="shared" si="3"/>
        <v/>
      </c>
      <c r="Z12" s="471" t="str">
        <f t="shared" si="4"/>
        <v/>
      </c>
      <c r="AA12" s="488"/>
      <c r="AB12" s="486"/>
      <c r="AC12" s="101"/>
      <c r="AD12" s="101"/>
      <c r="AE12" s="41" t="str">
        <f>IF(OR(Q12="",AA12="Yes"),"",IF(Q12='G-1 All Habitats'!$X$3,E12-U12-V12,"None"))</f>
        <v/>
      </c>
      <c r="AF12" s="42" t="str">
        <f>IF(Q12="","", IF(Q12='G-1 All Habitats'!$X$3, AE12*G12*I12*L12*N12*P12,"None"))</f>
        <v/>
      </c>
      <c r="AI12" s="15">
        <f t="shared" ref="AI12:AI74" si="8">IFERROR(IF(U12+V12&gt;E12,1,0),"")</f>
        <v>0</v>
      </c>
      <c r="AJ12" s="105" t="str">
        <f t="shared" si="5"/>
        <v/>
      </c>
      <c r="AK12" s="105" t="str">
        <f t="shared" si="6"/>
        <v/>
      </c>
      <c r="AM12" s="105">
        <v>3</v>
      </c>
      <c r="AO12" s="105" t="str">
        <f t="array" ref="AO12">IFERROR(INDEX($AM$10:$AM$258, MATCH(0, IF(TRUE=$AJ$10:$AJ$258, COUNTIF($AO$9:$AO11, $AM$10:$AM$258), ""), 0)),"")</f>
        <v/>
      </c>
      <c r="AP12" s="105" t="str">
        <f t="array" ref="AP12">IFERROR(INDEX($AM$10:$AM$258, MATCH(0, IF(TRUE=$AK$10:$AK$258, COUNTIF($AP$9:$AP11, $AM$10:$AM$258), ""), 0)),"")</f>
        <v/>
      </c>
      <c r="AR12" s="15" t="str">
        <f>IFERROR(INDEX('G-7 WaterC'' Data'!$AZ$3:$AZ$7,MATCH(D12,'G-7 WaterC'' Data'!$AY$3:$AY$7,0)),"")</f>
        <v/>
      </c>
      <c r="AS12" s="15" t="str">
        <f>IFERROR(INDEX('G-7 WaterC'' Data'!AZ12:AZ16,MATCH(D12,'G-7 WaterC'' Data'!$AY$10:$AY$14,0)),"")</f>
        <v/>
      </c>
      <c r="AU12" s="15" t="str">
        <f>IF(D12="","",VLOOKUP(D12,'G-7 WaterC'' Data'!B$4:M$8,12,FALSE))</f>
        <v/>
      </c>
      <c r="AV12" s="15" t="str">
        <f t="shared" si="7"/>
        <v/>
      </c>
    </row>
    <row r="13" spans="2:48" ht="14" x14ac:dyDescent="0.3">
      <c r="C13" s="92">
        <v>4</v>
      </c>
      <c r="D13" s="270"/>
      <c r="E13" s="37"/>
      <c r="F13" s="290" t="str">
        <f>IF(D13="","",VLOOKUP(D13,'G-7 WaterC'' Data'!$B$2:$G$8,2,FALSE))</f>
        <v/>
      </c>
      <c r="G13" s="291" t="str">
        <f>IFERROR(VLOOKUP(F13,'G-7 WaterC'' Data'!$C$4:$D$8,2,FALSE),"")</f>
        <v/>
      </c>
      <c r="H13" s="38"/>
      <c r="I13" s="291" t="str">
        <f>IFERROR(INDEX('G-7 WaterC'' Data'!$H$4:$L$8,MATCH(D13,'G-7 WaterC'' Data'!$B$4:$B$8,0),MATCH(H13,'G-7 WaterC'' Data'!$H$3:$L$3,0)),"")</f>
        <v/>
      </c>
      <c r="J13" s="777"/>
      <c r="K13" s="325" t="str">
        <f>IF(J13="","",IF(VLOOKUP(J13,'G-7 WaterC'' Data'!$AK$4:$AM$6,2,FALSE)=0,"Spatial Data Missing ⚠",VLOOKUP(J13,'G-7 WaterC'' Data'!$AK$4:$AM$6,2,FALSE)))</f>
        <v/>
      </c>
      <c r="L13" s="296" t="str">
        <f>IF(J13="","",IF(VLOOKUP(J13,'G-7 WaterC'' Data'!$AK$4:$AM$9,3,FALSE)=0,"Spatial Data Missing ⚠",VLOOKUP(J13,'G-7 WaterC'' Data'!$AK$4:$AM$6,3,FALSE)))</f>
        <v/>
      </c>
      <c r="M13" s="38"/>
      <c r="N13" s="291" t="str">
        <f>IF(M13="","",IF(AND(D13&lt;&gt;"Culvert",M13="N/A - Culvert"),"Not possible ▲",IF(AND(D13="Culvert",M13&lt;&gt;"N/A - Culvert"),"Not possible ▲",IF(VLOOKUP(M13,'G-7 WaterC'' Data'!$AA$4:$AB$7,2,FALSE)=0,"Spatial Data Missing ⚠",VLOOKUP(M13,'G-7 WaterC'' Data'!$AA$4:$AB$7,2,FALSE)))))</f>
        <v/>
      </c>
      <c r="O13" s="44"/>
      <c r="P13" s="291" t="str">
        <f>IF(O13="","",IF(AND(O13="N/A - Culvert", D13&lt;&gt;"Culvert"),"Not possible ▲", IF(AND(D13="Culvert",O13&lt;&gt;"N/A - Culvert"),"Not possible ▲",IF(VLOOKUP(O13,'G-7 WaterC'' Data'!$AD$4:$AE$14,2,FALSE)=0,"Spatial Data Missing ⚠",VLOOKUP(O13,'G-7 WaterC'' Data'!$AD$4:$AE$14,2,FALSE)))))</f>
        <v/>
      </c>
      <c r="Q13" s="297" t="str">
        <f>IF(D13="","",VLOOKUP(D13,'G-7 WaterC'' Data'!$B$2:$G$8,6,FALSE))</f>
        <v/>
      </c>
      <c r="R13" s="304" t="str">
        <f>IFERROR(IF(AND(Q13='G-1 All Habitats'!$X$3, AE13&gt;0, U13&lt;=0, V13&lt;=0, OR(AA13="No", AA13="")),"Any Loss Unacceptable ⚠", (IF(AND(Q13='G-1 All Habitats'!$X$3, AE13&gt;0, U13&lt;=0, V13&lt;=0, AA13="Yes"), 0, (IF(AND(Q13='G-1 All Habitats'!$X$3,(U13+V13)&lt;E13, OR(AA13="No", AA13="")),"Any Loss Unacceptable ⚠", (IF(AND(Q13='G-1 All Habitats'!$X$3,(U13+V13)&gt;E13), E13*G13*I13*L13*N13*P13, (IF(Q13="","",IF(AND(Q13='G-1 All Habitats'!$X$3,V13&gt;0),W13+X13,IF(AND(Q13='G-1 All Habitats'!$X$3,U13&gt;0), W13+X13, IF(AND(S13="Yes", V13&gt;(E13-U13)),(E13-U13)*G13*I13*L13*N13*P13, IF(AND(S13="Yes", V13&lt;=(E13-U13)), X13, E13*G13*I13*L13*N13*P13 ))))))))))))),"Check Data ▲")</f>
        <v/>
      </c>
      <c r="S13" s="671" t="str">
        <f t="shared" si="0"/>
        <v/>
      </c>
      <c r="T13" s="17"/>
      <c r="U13" s="38"/>
      <c r="V13" s="106"/>
      <c r="W13" s="302" t="str">
        <f t="shared" si="1"/>
        <v/>
      </c>
      <c r="X13" s="302" t="str">
        <f t="shared" si="2"/>
        <v/>
      </c>
      <c r="Y13" s="302" t="str">
        <f t="shared" si="3"/>
        <v/>
      </c>
      <c r="Z13" s="471" t="str">
        <f t="shared" si="4"/>
        <v/>
      </c>
      <c r="AA13" s="488"/>
      <c r="AB13" s="486"/>
      <c r="AC13" s="101"/>
      <c r="AD13" s="101"/>
      <c r="AE13" s="41" t="str">
        <f>IF(OR(Q13="",AA13="Yes"),"",IF(Q13='G-1 All Habitats'!$X$3,E13-U13-V13,"None"))</f>
        <v/>
      </c>
      <c r="AF13" s="42" t="str">
        <f>IF(Q13="","", IF(Q13='G-1 All Habitats'!$X$3, AE13*G13*I13*L13*N13*P13,"None"))</f>
        <v/>
      </c>
      <c r="AI13" s="15">
        <f t="shared" si="8"/>
        <v>0</v>
      </c>
      <c r="AJ13" s="105" t="str">
        <f t="shared" si="5"/>
        <v/>
      </c>
      <c r="AK13" s="105" t="str">
        <f t="shared" si="6"/>
        <v/>
      </c>
      <c r="AM13" s="105">
        <v>4</v>
      </c>
      <c r="AO13" s="105" t="str">
        <f t="array" ref="AO13">IFERROR(INDEX($AM$10:$AM$258, MATCH(0, IF(TRUE=$AJ$10:$AJ$258, COUNTIF($AO$9:$AO12, $AM$10:$AM$258), ""), 0)),"")</f>
        <v/>
      </c>
      <c r="AP13" s="105" t="str">
        <f t="array" ref="AP13">IFERROR(INDEX($AM$10:$AM$258, MATCH(0, IF(TRUE=$AK$10:$AK$258, COUNTIF($AP$9:$AP12, $AM$10:$AM$258), ""), 0)),"")</f>
        <v/>
      </c>
      <c r="AR13" s="15" t="str">
        <f>IFERROR(INDEX('G-7 WaterC'' Data'!$AZ$3:$AZ$7,MATCH(D13,'G-7 WaterC'' Data'!$AY$3:$AY$7,0)),"")</f>
        <v/>
      </c>
      <c r="AS13" s="15" t="str">
        <f>IFERROR(INDEX('G-7 WaterC'' Data'!AZ13:AZ17,MATCH(D13,'G-7 WaterC'' Data'!$AY$10:$AY$14,0)),"")</f>
        <v/>
      </c>
      <c r="AU13" s="15" t="str">
        <f>IF(D13="","",VLOOKUP(D13,'G-7 WaterC'' Data'!B$4:M$8,12,FALSE))</f>
        <v/>
      </c>
      <c r="AV13" s="15" t="str">
        <f t="shared" si="7"/>
        <v/>
      </c>
    </row>
    <row r="14" spans="2:48" ht="14" x14ac:dyDescent="0.3">
      <c r="C14" s="92">
        <v>5</v>
      </c>
      <c r="D14" s="270"/>
      <c r="E14" s="120"/>
      <c r="F14" s="290" t="str">
        <f>IF(D14="","",VLOOKUP(D14,'G-7 WaterC'' Data'!$B$2:$G$8,2,FALSE))</f>
        <v/>
      </c>
      <c r="G14" s="291" t="str">
        <f>IFERROR(VLOOKUP(F14,'G-7 WaterC'' Data'!$C$4:$D$8,2,FALSE),"")</f>
        <v/>
      </c>
      <c r="H14" s="38"/>
      <c r="I14" s="291" t="str">
        <f>IFERROR(INDEX('G-7 WaterC'' Data'!$H$4:$L$8,MATCH(D14,'G-7 WaterC'' Data'!$B$4:$B$8,0),MATCH(H14,'G-7 WaterC'' Data'!$H$3:$L$3,0)),"")</f>
        <v/>
      </c>
      <c r="J14" s="777"/>
      <c r="K14" s="325" t="str">
        <f>IF(J14="","",IF(VLOOKUP(J14,'G-7 WaterC'' Data'!$AK$4:$AM$6,2,FALSE)=0,"Spatial Data Missing ⚠",VLOOKUP(J14,'G-7 WaterC'' Data'!$AK$4:$AM$6,2,FALSE)))</f>
        <v/>
      </c>
      <c r="L14" s="296" t="str">
        <f>IF(J14="","",IF(VLOOKUP(J14,'G-7 WaterC'' Data'!$AK$4:$AM$9,3,FALSE)=0,"Spatial Data Missing ⚠",VLOOKUP(J14,'G-7 WaterC'' Data'!$AK$4:$AM$6,3,FALSE)))</f>
        <v/>
      </c>
      <c r="M14" s="38"/>
      <c r="N14" s="291" t="str">
        <f>IF(M14="","",IF(AND(D14&lt;&gt;"Culvert",M14="N/A - Culvert"),"Not possible ▲",IF(AND(D14="Culvert",M14&lt;&gt;"N/A - Culvert"),"Not possible ▲",IF(VLOOKUP(M14,'G-7 WaterC'' Data'!$AA$4:$AB$7,2,FALSE)=0,"Spatial Data Missing ⚠",VLOOKUP(M14,'G-7 WaterC'' Data'!$AA$4:$AB$7,2,FALSE)))))</f>
        <v/>
      </c>
      <c r="O14" s="44"/>
      <c r="P14" s="291" t="str">
        <f>IF(O14="","",IF(AND(O14="N/A - Culvert", D14&lt;&gt;"Culvert"),"Not possible ▲", IF(AND(D14="Culvert",O14&lt;&gt;"N/A - Culvert"),"Not possible ▲",IF(VLOOKUP(O14,'G-7 WaterC'' Data'!$AD$4:$AE$14,2,FALSE)=0,"Spatial Data Missing ⚠",VLOOKUP(O14,'G-7 WaterC'' Data'!$AD$4:$AE$14,2,FALSE)))))</f>
        <v/>
      </c>
      <c r="Q14" s="297" t="str">
        <f>IF(D14="","",VLOOKUP(D14,'G-7 WaterC'' Data'!$B$2:$G$8,6,FALSE))</f>
        <v/>
      </c>
      <c r="R14" s="304" t="str">
        <f>IFERROR(IF(AND(Q14='G-1 All Habitats'!$X$3, AE14&gt;0, U14&lt;=0, V14&lt;=0, OR(AA14="No", AA14="")),"Any Loss Unacceptable ⚠", (IF(AND(Q14='G-1 All Habitats'!$X$3, AE14&gt;0, U14&lt;=0, V14&lt;=0, AA14="Yes"), 0, (IF(AND(Q14='G-1 All Habitats'!$X$3,(U14+V14)&lt;E14, OR(AA14="No", AA14="")),"Any Loss Unacceptable ⚠", (IF(AND(Q14='G-1 All Habitats'!$X$3,(U14+V14)&gt;E14), E14*G14*I14*L14*N14*P14, (IF(Q14="","",IF(AND(Q14='G-1 All Habitats'!$X$3,V14&gt;0),W14+X14,IF(AND(Q14='G-1 All Habitats'!$X$3,U14&gt;0), W14+X14, IF(AND(S14="Yes", V14&gt;(E14-U14)),(E14-U14)*G14*I14*L14*N14*P14, IF(AND(S14="Yes", V14&lt;=(E14-U14)), X14, E14*G14*I14*L14*N14*P14 ))))))))))))),"Check Data ▲")</f>
        <v/>
      </c>
      <c r="S14" s="671" t="str">
        <f t="shared" si="0"/>
        <v/>
      </c>
      <c r="T14" s="17"/>
      <c r="U14" s="38"/>
      <c r="V14" s="106"/>
      <c r="W14" s="302" t="str">
        <f t="shared" si="1"/>
        <v/>
      </c>
      <c r="X14" s="302" t="str">
        <f t="shared" si="2"/>
        <v/>
      </c>
      <c r="Y14" s="302" t="str">
        <f t="shared" si="3"/>
        <v/>
      </c>
      <c r="Z14" s="471" t="str">
        <f t="shared" si="4"/>
        <v/>
      </c>
      <c r="AA14" s="488"/>
      <c r="AB14" s="486"/>
      <c r="AC14" s="101"/>
      <c r="AD14" s="101"/>
      <c r="AE14" s="41" t="str">
        <f>IF(OR(Q14="",AA14="Yes"),"",IF(Q14='G-1 All Habitats'!$X$3,E14-U14-V14,"None"))</f>
        <v/>
      </c>
      <c r="AF14" s="42" t="str">
        <f>IF(Q14="","", IF(Q14='G-1 All Habitats'!$X$3, AE14*G14*I14*L14*N14*P14,"None"))</f>
        <v/>
      </c>
      <c r="AI14" s="15">
        <f t="shared" si="8"/>
        <v>0</v>
      </c>
      <c r="AJ14" s="105" t="str">
        <f t="shared" si="5"/>
        <v/>
      </c>
      <c r="AK14" s="105" t="str">
        <f t="shared" si="6"/>
        <v/>
      </c>
      <c r="AM14" s="105">
        <v>5</v>
      </c>
      <c r="AO14" s="105" t="str">
        <f t="array" ref="AO14">IFERROR(INDEX($AM$10:$AM$258, MATCH(0, IF(TRUE=$AJ$10:$AJ$258, COUNTIF($AO$9:$AO13, $AM$10:$AM$258), ""), 0)),"")</f>
        <v/>
      </c>
      <c r="AP14" s="105" t="str">
        <f t="array" ref="AP14">IFERROR(INDEX($AM$10:$AM$258, MATCH(0, IF(TRUE=$AK$10:$AK$258, COUNTIF($AP$9:$AP13, $AM$10:$AM$258), ""), 0)),"")</f>
        <v/>
      </c>
      <c r="AR14" s="15" t="str">
        <f>IFERROR(INDEX('G-7 WaterC'' Data'!$AZ$3:$AZ$7,MATCH(D14,'G-7 WaterC'' Data'!$AY$3:$AY$7,0)),"")</f>
        <v/>
      </c>
      <c r="AS14" s="15" t="str">
        <f>IFERROR(INDEX('G-7 WaterC'' Data'!AZ14:AZ18,MATCH(D14,'G-7 WaterC'' Data'!$AY$10:$AY$14,0)),"")</f>
        <v/>
      </c>
      <c r="AU14" s="15" t="str">
        <f>IF(D14="","",VLOOKUP(D14,'G-7 WaterC'' Data'!B$4:M$8,12,FALSE))</f>
        <v/>
      </c>
      <c r="AV14" s="15" t="str">
        <f t="shared" si="7"/>
        <v/>
      </c>
    </row>
    <row r="15" spans="2:48" ht="14" x14ac:dyDescent="0.3">
      <c r="C15" s="92">
        <v>6</v>
      </c>
      <c r="D15" s="270"/>
      <c r="E15" s="120"/>
      <c r="F15" s="290" t="str">
        <f>IF(D15="","",VLOOKUP(D15,'G-7 WaterC'' Data'!$B$2:$G$8,2,FALSE))</f>
        <v/>
      </c>
      <c r="G15" s="291" t="str">
        <f>IFERROR(VLOOKUP(F15,'G-7 WaterC'' Data'!$C$4:$D$8,2,FALSE),"")</f>
        <v/>
      </c>
      <c r="H15" s="38"/>
      <c r="I15" s="291" t="str">
        <f>IFERROR(INDEX('G-7 WaterC'' Data'!$H$4:$L$8,MATCH(D15,'G-7 WaterC'' Data'!$B$4:$B$8,0),MATCH(H15,'G-7 WaterC'' Data'!$H$3:$L$3,0)),"")</f>
        <v/>
      </c>
      <c r="J15" s="777"/>
      <c r="K15" s="325" t="str">
        <f>IF(J15="","",IF(VLOOKUP(J15,'G-7 WaterC'' Data'!$AK$4:$AM$6,2,FALSE)=0,"Spatial Data Missing ⚠",VLOOKUP(J15,'G-7 WaterC'' Data'!$AK$4:$AM$6,2,FALSE)))</f>
        <v/>
      </c>
      <c r="L15" s="296" t="str">
        <f>IF(J15="","",IF(VLOOKUP(J15,'G-7 WaterC'' Data'!$AK$4:$AM$9,3,FALSE)=0,"Spatial Data Missing ⚠",VLOOKUP(J15,'G-7 WaterC'' Data'!$AK$4:$AM$6,3,FALSE)))</f>
        <v/>
      </c>
      <c r="M15" s="38"/>
      <c r="N15" s="291" t="str">
        <f>IF(M15="","",IF(AND(D15&lt;&gt;"Culvert",M15="N/A - Culvert"),"Not possible ▲",IF(AND(D15="Culvert",M15&lt;&gt;"N/A - Culvert"),"Not possible ▲",IF(VLOOKUP(M15,'G-7 WaterC'' Data'!$AA$4:$AB$7,2,FALSE)=0,"Spatial Data Missing ⚠",VLOOKUP(M15,'G-7 WaterC'' Data'!$AA$4:$AB$7,2,FALSE)))))</f>
        <v/>
      </c>
      <c r="O15" s="44"/>
      <c r="P15" s="291" t="str">
        <f>IF(O15="","",IF(AND(O15="N/A - Culvert", D15&lt;&gt;"Culvert"),"Not possible ▲", IF(AND(D15="Culvert",O15&lt;&gt;"N/A - Culvert"),"Not possible ▲",IF(VLOOKUP(O15,'G-7 WaterC'' Data'!$AD$4:$AE$14,2,FALSE)=0,"Spatial Data Missing ⚠",VLOOKUP(O15,'G-7 WaterC'' Data'!$AD$4:$AE$14,2,FALSE)))))</f>
        <v/>
      </c>
      <c r="Q15" s="297" t="str">
        <f>IF(D15="","",VLOOKUP(D15,'G-7 WaterC'' Data'!$B$2:$G$8,6,FALSE))</f>
        <v/>
      </c>
      <c r="R15" s="304" t="str">
        <f>IFERROR(IF(AND(Q15='G-1 All Habitats'!$X$3, AE15&gt;0, U15&lt;=0, V15&lt;=0, OR(AA15="No", AA15="")),"Any Loss Unacceptable ⚠", (IF(AND(Q15='G-1 All Habitats'!$X$3, AE15&gt;0, U15&lt;=0, V15&lt;=0, AA15="Yes"), 0, (IF(AND(Q15='G-1 All Habitats'!$X$3,(U15+V15)&lt;E15, OR(AA15="No", AA15="")),"Any Loss Unacceptable ⚠", (IF(AND(Q15='G-1 All Habitats'!$X$3,(U15+V15)&gt;E15), E15*G15*I15*L15*N15*P15, (IF(Q15="","",IF(AND(Q15='G-1 All Habitats'!$X$3,V15&gt;0),W15+X15,IF(AND(Q15='G-1 All Habitats'!$X$3,U15&gt;0), W15+X15, IF(AND(S15="Yes", V15&gt;(E15-U15)),(E15-U15)*G15*I15*L15*N15*P15, IF(AND(S15="Yes", V15&lt;=(E15-U15)), X15, E15*G15*I15*L15*N15*P15 ))))))))))))),"Check Data ▲")</f>
        <v/>
      </c>
      <c r="S15" s="671" t="str">
        <f t="shared" si="0"/>
        <v/>
      </c>
      <c r="T15" s="17"/>
      <c r="U15" s="95"/>
      <c r="V15" s="106"/>
      <c r="W15" s="302" t="str">
        <f t="shared" si="1"/>
        <v/>
      </c>
      <c r="X15" s="302" t="str">
        <f t="shared" si="2"/>
        <v/>
      </c>
      <c r="Y15" s="302" t="str">
        <f t="shared" si="3"/>
        <v/>
      </c>
      <c r="Z15" s="471" t="str">
        <f t="shared" si="4"/>
        <v/>
      </c>
      <c r="AA15" s="488"/>
      <c r="AB15" s="486"/>
      <c r="AC15" s="101"/>
      <c r="AD15" s="101"/>
      <c r="AE15" s="41" t="str">
        <f>IF(OR(Q15="",AA15="Yes"),"",IF(Q15='G-1 All Habitats'!$X$3,E15-U15-V15,"None"))</f>
        <v/>
      </c>
      <c r="AF15" s="42" t="str">
        <f>IF(Q15="","", IF(Q15='G-1 All Habitats'!$X$3, AE15*G15*I15*L15*N15*P15,"None"))</f>
        <v/>
      </c>
      <c r="AI15" s="15">
        <f t="shared" si="8"/>
        <v>0</v>
      </c>
      <c r="AJ15" s="105" t="str">
        <f t="shared" si="5"/>
        <v/>
      </c>
      <c r="AK15" s="105" t="str">
        <f t="shared" si="6"/>
        <v/>
      </c>
      <c r="AM15" s="105">
        <v>6</v>
      </c>
      <c r="AO15" s="105" t="str">
        <f t="array" ref="AO15">IFERROR(INDEX($AM$10:$AM$258, MATCH(0, IF(TRUE=$AJ$10:$AJ$258, COUNTIF($AO$9:$AO14, $AM$10:$AM$258), ""), 0)),"")</f>
        <v/>
      </c>
      <c r="AP15" s="105" t="str">
        <f t="array" ref="AP15">IFERROR(INDEX($AM$10:$AM$258, MATCH(0, IF(TRUE=$AK$10:$AK$258, COUNTIF($AP$9:$AP14, $AM$10:$AM$258), ""), 0)),"")</f>
        <v/>
      </c>
      <c r="AR15" s="15" t="str">
        <f>IFERROR(INDEX('G-7 WaterC'' Data'!$AZ$3:$AZ$7,MATCH(D15,'G-7 WaterC'' Data'!$AY$3:$AY$7,0)),"")</f>
        <v/>
      </c>
      <c r="AS15" s="15" t="str">
        <f>IFERROR(INDEX('G-7 WaterC'' Data'!AZ15:AZ19,MATCH(D15,'G-7 WaterC'' Data'!$AY$10:$AY$14,0)),"")</f>
        <v/>
      </c>
      <c r="AU15" s="15" t="str">
        <f>IF(D15="","",VLOOKUP(D15,'G-7 WaterC'' Data'!B$4:M$8,12,FALSE))</f>
        <v/>
      </c>
      <c r="AV15" s="15" t="str">
        <f t="shared" si="7"/>
        <v/>
      </c>
    </row>
    <row r="16" spans="2:48" ht="14" x14ac:dyDescent="0.3">
      <c r="C16" s="92">
        <v>7</v>
      </c>
      <c r="D16" s="270"/>
      <c r="E16" s="120"/>
      <c r="F16" s="290" t="str">
        <f>IF(D16="","",VLOOKUP(D16,'G-7 WaterC'' Data'!$B$2:$G$8,2,FALSE))</f>
        <v/>
      </c>
      <c r="G16" s="291" t="str">
        <f>IFERROR(VLOOKUP(F16,'G-7 WaterC'' Data'!$C$4:$D$8,2,FALSE),"")</f>
        <v/>
      </c>
      <c r="H16" s="38"/>
      <c r="I16" s="291" t="str">
        <f>IFERROR(INDEX('G-7 WaterC'' Data'!$H$4:$L$8,MATCH(D16,'G-7 WaterC'' Data'!$B$4:$B$8,0),MATCH(H16,'G-7 WaterC'' Data'!$H$3:$L$3,0)),"")</f>
        <v/>
      </c>
      <c r="J16" s="777"/>
      <c r="K16" s="325" t="str">
        <f>IF(J16="","",IF(VLOOKUP(J16,'G-7 WaterC'' Data'!$AK$4:$AM$6,2,FALSE)=0,"Spatial Data Missing ⚠",VLOOKUP(J16,'G-7 WaterC'' Data'!$AK$4:$AM$6,2,FALSE)))</f>
        <v/>
      </c>
      <c r="L16" s="296" t="str">
        <f>IF(J16="","",IF(VLOOKUP(J16,'G-7 WaterC'' Data'!$AK$4:$AM$9,3,FALSE)=0,"Spatial Data Missing ⚠",VLOOKUP(J16,'G-7 WaterC'' Data'!$AK$4:$AM$6,3,FALSE)))</f>
        <v/>
      </c>
      <c r="M16" s="38"/>
      <c r="N16" s="291" t="str">
        <f>IF(M16="","",IF(AND(D16&lt;&gt;"Culvert",M16="N/A - Culvert"),"Not possible ▲",IF(AND(D16="Culvert",M16&lt;&gt;"N/A - Culvert"),"Not possible ▲",IF(VLOOKUP(M16,'G-7 WaterC'' Data'!$AA$4:$AB$7,2,FALSE)=0,"Spatial Data Missing ⚠",VLOOKUP(M16,'G-7 WaterC'' Data'!$AA$4:$AB$7,2,FALSE)))))</f>
        <v/>
      </c>
      <c r="O16" s="44"/>
      <c r="P16" s="291" t="str">
        <f>IF(O16="","",IF(AND(O16="N/A - Culvert", D16&lt;&gt;"Culvert"),"Not possible ▲", IF(AND(D16="Culvert",O16&lt;&gt;"N/A - Culvert"),"Not possible ▲",IF(VLOOKUP(O16,'G-7 WaterC'' Data'!$AD$4:$AE$14,2,FALSE)=0,"Spatial Data Missing ⚠",VLOOKUP(O16,'G-7 WaterC'' Data'!$AD$4:$AE$14,2,FALSE)))))</f>
        <v/>
      </c>
      <c r="Q16" s="297" t="str">
        <f>IF(D16="","",VLOOKUP(D16,'G-7 WaterC'' Data'!$B$2:$G$8,6,FALSE))</f>
        <v/>
      </c>
      <c r="R16" s="304" t="str">
        <f>IFERROR(IF(AND(Q16='G-1 All Habitats'!$X$3, AE16&gt;0, U16&lt;=0, V16&lt;=0, OR(AA16="No", AA16="")),"Any Loss Unacceptable ⚠", (IF(AND(Q16='G-1 All Habitats'!$X$3, AE16&gt;0, U16&lt;=0, V16&lt;=0, AA16="Yes"), 0, (IF(AND(Q16='G-1 All Habitats'!$X$3,(U16+V16)&lt;E16, OR(AA16="No", AA16="")),"Any Loss Unacceptable ⚠", (IF(AND(Q16='G-1 All Habitats'!$X$3,(U16+V16)&gt;E16), E16*G16*I16*L16*N16*P16, (IF(Q16="","",IF(AND(Q16='G-1 All Habitats'!$X$3,V16&gt;0),W16+X16,IF(AND(Q16='G-1 All Habitats'!$X$3,U16&gt;0), W16+X16, IF(AND(S16="Yes", V16&gt;(E16-U16)),(E16-U16)*G16*I16*L16*N16*P16, IF(AND(S16="Yes", V16&lt;=(E16-U16)), X16, E16*G16*I16*L16*N16*P16 ))))))))))))),"Check Data ▲")</f>
        <v/>
      </c>
      <c r="S16" s="671" t="str">
        <f t="shared" si="0"/>
        <v/>
      </c>
      <c r="T16" s="17"/>
      <c r="U16" s="95"/>
      <c r="V16" s="106"/>
      <c r="W16" s="302" t="str">
        <f t="shared" si="1"/>
        <v/>
      </c>
      <c r="X16" s="302" t="str">
        <f t="shared" si="2"/>
        <v/>
      </c>
      <c r="Y16" s="302" t="str">
        <f t="shared" si="3"/>
        <v/>
      </c>
      <c r="Z16" s="471" t="str">
        <f t="shared" si="4"/>
        <v/>
      </c>
      <c r="AA16" s="488"/>
      <c r="AB16" s="486"/>
      <c r="AC16" s="101"/>
      <c r="AD16" s="101"/>
      <c r="AE16" s="41" t="str">
        <f>IF(OR(Q16="",AA16="Yes"),"",IF(Q16='G-1 All Habitats'!$X$3,E16-U16-V16,"None"))</f>
        <v/>
      </c>
      <c r="AF16" s="42" t="str">
        <f>IF(Q16="","", IF(Q16='G-1 All Habitats'!$X$3, AE16*G16*I16*L16*N16*P16,"None"))</f>
        <v/>
      </c>
      <c r="AI16" s="15">
        <f t="shared" si="8"/>
        <v>0</v>
      </c>
      <c r="AJ16" s="105" t="str">
        <f t="shared" si="5"/>
        <v/>
      </c>
      <c r="AK16" s="105" t="str">
        <f t="shared" si="6"/>
        <v/>
      </c>
      <c r="AM16" s="105">
        <v>7</v>
      </c>
      <c r="AO16" s="105" t="str">
        <f t="array" ref="AO16">IFERROR(INDEX($AM$10:$AM$258, MATCH(0, IF(TRUE=$AJ$10:$AJ$258, COUNTIF($AO$9:$AO15, $AM$10:$AM$258), ""), 0)),"")</f>
        <v/>
      </c>
      <c r="AP16" s="105" t="str">
        <f t="array" ref="AP16">IFERROR(INDEX($AM$10:$AM$258, MATCH(0, IF(TRUE=$AK$10:$AK$258, COUNTIF($AP$9:$AP15, $AM$10:$AM$258), ""), 0)),"")</f>
        <v/>
      </c>
      <c r="AR16" s="15" t="str">
        <f>IFERROR(INDEX('G-7 WaterC'' Data'!$AZ$3:$AZ$7,MATCH(D16,'G-7 WaterC'' Data'!$AY$3:$AY$7,0)),"")</f>
        <v/>
      </c>
      <c r="AS16" s="15" t="str">
        <f>IFERROR(INDEX('G-7 WaterC'' Data'!AZ16:AZ20,MATCH(D16,'G-7 WaterC'' Data'!$AY$10:$AY$14,0)),"")</f>
        <v/>
      </c>
      <c r="AU16" s="15" t="str">
        <f>IF(D16="","",VLOOKUP(D16,'G-7 WaterC'' Data'!B$4:M$8,12,FALSE))</f>
        <v/>
      </c>
      <c r="AV16" s="15" t="str">
        <f t="shared" si="7"/>
        <v/>
      </c>
    </row>
    <row r="17" spans="3:48" ht="14" x14ac:dyDescent="0.3">
      <c r="C17" s="92">
        <v>8</v>
      </c>
      <c r="D17" s="270"/>
      <c r="E17" s="120"/>
      <c r="F17" s="290" t="str">
        <f>IF(D17="","",VLOOKUP(D17,'G-7 WaterC'' Data'!$B$2:$G$8,2,FALSE))</f>
        <v/>
      </c>
      <c r="G17" s="291" t="str">
        <f>IFERROR(VLOOKUP(F17,'G-7 WaterC'' Data'!$C$4:$D$8,2,FALSE),"")</f>
        <v/>
      </c>
      <c r="H17" s="38"/>
      <c r="I17" s="291" t="str">
        <f>IFERROR(INDEX('G-7 WaterC'' Data'!$H$4:$L$8,MATCH(D17,'G-7 WaterC'' Data'!$B$4:$B$8,0),MATCH(H17,'G-7 WaterC'' Data'!$H$3:$L$3,0)),"")</f>
        <v/>
      </c>
      <c r="J17" s="777"/>
      <c r="K17" s="325" t="str">
        <f>IF(J17="","",IF(VLOOKUP(J17,'G-7 WaterC'' Data'!$AK$4:$AM$6,2,FALSE)=0,"Spatial Data Missing ⚠",VLOOKUP(J17,'G-7 WaterC'' Data'!$AK$4:$AM$6,2,FALSE)))</f>
        <v/>
      </c>
      <c r="L17" s="296" t="str">
        <f>IF(J17="","",IF(VLOOKUP(J17,'G-7 WaterC'' Data'!$AK$4:$AM$9,3,FALSE)=0,"Spatial Data Missing ⚠",VLOOKUP(J17,'G-7 WaterC'' Data'!$AK$4:$AM$6,3,FALSE)))</f>
        <v/>
      </c>
      <c r="M17" s="38"/>
      <c r="N17" s="291" t="str">
        <f>IF(M17="","",IF(AND(D17&lt;&gt;"Culvert",M17="N/A - Culvert"),"Not possible ▲",IF(AND(D17="Culvert",M17&lt;&gt;"N/A - Culvert"),"Not possible ▲",IF(VLOOKUP(M17,'G-7 WaterC'' Data'!$AA$4:$AB$7,2,FALSE)=0,"Spatial Data Missing ⚠",VLOOKUP(M17,'G-7 WaterC'' Data'!$AA$4:$AB$7,2,FALSE)))))</f>
        <v/>
      </c>
      <c r="O17" s="44"/>
      <c r="P17" s="291" t="str">
        <f>IF(O17="","",IF(AND(O17="N/A - Culvert", D17&lt;&gt;"Culvert"),"Not possible ▲", IF(AND(D17="Culvert",O17&lt;&gt;"N/A - Culvert"),"Not possible ▲",IF(VLOOKUP(O17,'G-7 WaterC'' Data'!$AD$4:$AE$14,2,FALSE)=0,"Spatial Data Missing ⚠",VLOOKUP(O17,'G-7 WaterC'' Data'!$AD$4:$AE$14,2,FALSE)))))</f>
        <v/>
      </c>
      <c r="Q17" s="297" t="str">
        <f>IF(D17="","",VLOOKUP(D17,'G-7 WaterC'' Data'!$B$2:$G$8,6,FALSE))</f>
        <v/>
      </c>
      <c r="R17" s="304" t="str">
        <f>IFERROR(IF(AND(Q17='G-1 All Habitats'!$X$3, AE17&gt;0, U17&lt;=0, V17&lt;=0, OR(AA17="No", AA17="")),"Any Loss Unacceptable ⚠", (IF(AND(Q17='G-1 All Habitats'!$X$3, AE17&gt;0, U17&lt;=0, V17&lt;=0, AA17="Yes"), 0, (IF(AND(Q17='G-1 All Habitats'!$X$3,(U17+V17)&lt;E17, OR(AA17="No", AA17="")),"Any Loss Unacceptable ⚠", (IF(AND(Q17='G-1 All Habitats'!$X$3,(U17+V17)&gt;E17), E17*G17*I17*L17*N17*P17, (IF(Q17="","",IF(AND(Q17='G-1 All Habitats'!$X$3,V17&gt;0),W17+X17,IF(AND(Q17='G-1 All Habitats'!$X$3,U17&gt;0), W17+X17, IF(AND(S17="Yes", V17&gt;(E17-U17)),(E17-U17)*G17*I17*L17*N17*P17, IF(AND(S17="Yes", V17&lt;=(E17-U17)), X17, E17*G17*I17*L17*N17*P17 ))))))))))))),"Check Data ▲")</f>
        <v/>
      </c>
      <c r="S17" s="671" t="str">
        <f t="shared" si="0"/>
        <v/>
      </c>
      <c r="T17" s="17"/>
      <c r="U17" s="95"/>
      <c r="V17" s="106"/>
      <c r="W17" s="302" t="str">
        <f t="shared" si="1"/>
        <v/>
      </c>
      <c r="X17" s="302" t="str">
        <f t="shared" si="2"/>
        <v/>
      </c>
      <c r="Y17" s="302" t="str">
        <f t="shared" si="3"/>
        <v/>
      </c>
      <c r="Z17" s="471" t="str">
        <f t="shared" si="4"/>
        <v/>
      </c>
      <c r="AA17" s="488"/>
      <c r="AB17" s="486"/>
      <c r="AC17" s="101"/>
      <c r="AD17" s="101"/>
      <c r="AE17" s="41" t="str">
        <f>IF(OR(Q17="",AA17="Yes"),"",IF(Q17='G-1 All Habitats'!$X$3,E17-U17-V17,"None"))</f>
        <v/>
      </c>
      <c r="AF17" s="42" t="str">
        <f>IF(Q17="","", IF(Q17='G-1 All Habitats'!$X$3, AE17*G17*I17*L17*N17*P17,"None"))</f>
        <v/>
      </c>
      <c r="AI17" s="15">
        <f t="shared" si="8"/>
        <v>0</v>
      </c>
      <c r="AJ17" s="105" t="str">
        <f t="shared" si="5"/>
        <v/>
      </c>
      <c r="AK17" s="105" t="str">
        <f t="shared" si="6"/>
        <v/>
      </c>
      <c r="AM17" s="105">
        <v>8</v>
      </c>
      <c r="AO17" s="105" t="str">
        <f t="array" ref="AO17">IFERROR(INDEX($AM$10:$AM$258, MATCH(0, IF(TRUE=$AJ$10:$AJ$258, COUNTIF($AO$9:$AO16, $AM$10:$AM$258), ""), 0)),"")</f>
        <v/>
      </c>
      <c r="AP17" s="105" t="str">
        <f t="array" ref="AP17">IFERROR(INDEX($AM$10:$AM$258, MATCH(0, IF(TRUE=$AK$10:$AK$258, COUNTIF($AP$9:$AP16, $AM$10:$AM$258), ""), 0)),"")</f>
        <v/>
      </c>
      <c r="AR17" s="15" t="str">
        <f>IFERROR(INDEX('G-7 WaterC'' Data'!$AZ$3:$AZ$7,MATCH(D17,'G-7 WaterC'' Data'!$AY$3:$AY$7,0)),"")</f>
        <v/>
      </c>
      <c r="AS17" s="15" t="str">
        <f>IFERROR(INDEX('G-7 WaterC'' Data'!AZ17:AZ21,MATCH(D17,'G-7 WaterC'' Data'!$AY$10:$AY$14,0)),"")</f>
        <v/>
      </c>
      <c r="AU17" s="15" t="str">
        <f>IF(D17="","",VLOOKUP(D17,'G-7 WaterC'' Data'!B$4:M$8,12,FALSE))</f>
        <v/>
      </c>
      <c r="AV17" s="15" t="str">
        <f t="shared" si="7"/>
        <v/>
      </c>
    </row>
    <row r="18" spans="3:48" ht="14" x14ac:dyDescent="0.3">
      <c r="C18" s="92">
        <v>9</v>
      </c>
      <c r="D18" s="270"/>
      <c r="E18" s="120"/>
      <c r="F18" s="290" t="str">
        <f>IF(D18="","",VLOOKUP(D18,'G-7 WaterC'' Data'!$B$2:$G$8,2,FALSE))</f>
        <v/>
      </c>
      <c r="G18" s="291" t="str">
        <f>IFERROR(VLOOKUP(F18,'G-7 WaterC'' Data'!$C$4:$D$8,2,FALSE),"")</f>
        <v/>
      </c>
      <c r="H18" s="38"/>
      <c r="I18" s="291" t="str">
        <f>IFERROR(INDEX('G-7 WaterC'' Data'!$H$4:$L$8,MATCH(D18,'G-7 WaterC'' Data'!$B$4:$B$8,0),MATCH(H18,'G-7 WaterC'' Data'!$H$3:$L$3,0)),"")</f>
        <v/>
      </c>
      <c r="J18" s="777"/>
      <c r="K18" s="325" t="str">
        <f>IF(J18="","",IF(VLOOKUP(J18,'G-7 WaterC'' Data'!$AK$4:$AM$6,2,FALSE)=0,"Spatial Data Missing ⚠",VLOOKUP(J18,'G-7 WaterC'' Data'!$AK$4:$AM$6,2,FALSE)))</f>
        <v/>
      </c>
      <c r="L18" s="296" t="str">
        <f>IF(J18="","",IF(VLOOKUP(J18,'G-7 WaterC'' Data'!$AK$4:$AM$9,3,FALSE)=0,"Spatial Data Missing ⚠",VLOOKUP(J18,'G-7 WaterC'' Data'!$AK$4:$AM$6,3,FALSE)))</f>
        <v/>
      </c>
      <c r="M18" s="38"/>
      <c r="N18" s="291" t="str">
        <f>IF(M18="","",IF(AND(D18&lt;&gt;"Culvert",M18="N/A - Culvert"),"Not possible ▲",IF(AND(D18="Culvert",M18&lt;&gt;"N/A - Culvert"),"Not possible ▲",IF(VLOOKUP(M18,'G-7 WaterC'' Data'!$AA$4:$AB$7,2,FALSE)=0,"Spatial Data Missing ⚠",VLOOKUP(M18,'G-7 WaterC'' Data'!$AA$4:$AB$7,2,FALSE)))))</f>
        <v/>
      </c>
      <c r="O18" s="44"/>
      <c r="P18" s="291" t="str">
        <f>IF(O18="","",IF(AND(O18="N/A - Culvert", D18&lt;&gt;"Culvert"),"Not possible ▲", IF(AND(D18="Culvert",O18&lt;&gt;"N/A - Culvert"),"Not possible ▲",IF(VLOOKUP(O18,'G-7 WaterC'' Data'!$AD$4:$AE$14,2,FALSE)=0,"Spatial Data Missing ⚠",VLOOKUP(O18,'G-7 WaterC'' Data'!$AD$4:$AE$14,2,FALSE)))))</f>
        <v/>
      </c>
      <c r="Q18" s="297" t="str">
        <f>IF(D18="","",VLOOKUP(D18,'G-7 WaterC'' Data'!$B$2:$G$8,6,FALSE))</f>
        <v/>
      </c>
      <c r="R18" s="304" t="str">
        <f>IFERROR(IF(AND(Q18='G-1 All Habitats'!$X$3, AE18&gt;0, U18&lt;=0, V18&lt;=0, OR(AA18="No", AA18="")),"Any Loss Unacceptable ⚠", (IF(AND(Q18='G-1 All Habitats'!$X$3, AE18&gt;0, U18&lt;=0, V18&lt;=0, AA18="Yes"), 0, (IF(AND(Q18='G-1 All Habitats'!$X$3,(U18+V18)&lt;E18, OR(AA18="No", AA18="")),"Any Loss Unacceptable ⚠", (IF(AND(Q18='G-1 All Habitats'!$X$3,(U18+V18)&gt;E18), E18*G18*I18*L18*N18*P18, (IF(Q18="","",IF(AND(Q18='G-1 All Habitats'!$X$3,V18&gt;0),W18+X18,IF(AND(Q18='G-1 All Habitats'!$X$3,U18&gt;0), W18+X18, IF(AND(S18="Yes", V18&gt;(E18-U18)),(E18-U18)*G18*I18*L18*N18*P18, IF(AND(S18="Yes", V18&lt;=(E18-U18)), X18, E18*G18*I18*L18*N18*P18 ))))))))))))),"Check Data ▲")</f>
        <v/>
      </c>
      <c r="S18" s="671" t="str">
        <f t="shared" si="0"/>
        <v/>
      </c>
      <c r="T18" s="17"/>
      <c r="U18" s="95"/>
      <c r="V18" s="106"/>
      <c r="W18" s="302" t="str">
        <f t="shared" si="1"/>
        <v/>
      </c>
      <c r="X18" s="302" t="str">
        <f t="shared" si="2"/>
        <v/>
      </c>
      <c r="Y18" s="302" t="str">
        <f t="shared" si="3"/>
        <v/>
      </c>
      <c r="Z18" s="471" t="str">
        <f t="shared" si="4"/>
        <v/>
      </c>
      <c r="AA18" s="488"/>
      <c r="AB18" s="486"/>
      <c r="AC18" s="101"/>
      <c r="AD18" s="101"/>
      <c r="AE18" s="41" t="str">
        <f>IF(OR(Q18="",AA18="Yes"),"",IF(Q18='G-1 All Habitats'!$X$3,E18-U18-V18,"None"))</f>
        <v/>
      </c>
      <c r="AF18" s="42" t="str">
        <f>IF(Q18="","", IF(Q18='G-1 All Habitats'!$X$3, AE18*G18*I18*L18*N18*P18,"None"))</f>
        <v/>
      </c>
      <c r="AI18" s="15">
        <f t="shared" si="8"/>
        <v>0</v>
      </c>
      <c r="AJ18" s="105" t="str">
        <f t="shared" si="5"/>
        <v/>
      </c>
      <c r="AK18" s="105" t="str">
        <f t="shared" si="6"/>
        <v/>
      </c>
      <c r="AM18" s="105">
        <v>9</v>
      </c>
      <c r="AO18" s="105" t="str">
        <f t="array" ref="AO18">IFERROR(INDEX($AM$10:$AM$258, MATCH(0, IF(TRUE=$AJ$10:$AJ$258, COUNTIF($AO$9:$AO17, $AM$10:$AM$258), ""), 0)),"")</f>
        <v/>
      </c>
      <c r="AP18" s="105" t="str">
        <f t="array" ref="AP18">IFERROR(INDEX($AM$10:$AM$258, MATCH(0, IF(TRUE=$AK$10:$AK$258, COUNTIF($AP$9:$AP17, $AM$10:$AM$258), ""), 0)),"")</f>
        <v/>
      </c>
      <c r="AR18" s="15" t="str">
        <f>IFERROR(INDEX('G-7 WaterC'' Data'!$AZ$3:$AZ$7,MATCH(D18,'G-7 WaterC'' Data'!$AY$3:$AY$7,0)),"")</f>
        <v/>
      </c>
      <c r="AS18" s="15" t="str">
        <f>IFERROR(INDEX('G-7 WaterC'' Data'!AZ18:AZ22,MATCH(D18,'G-7 WaterC'' Data'!$AY$10:$AY$14,0)),"")</f>
        <v/>
      </c>
      <c r="AU18" s="15" t="str">
        <f>IF(D18="","",VLOOKUP(D18,'G-7 WaterC'' Data'!B$4:M$8,12,FALSE))</f>
        <v/>
      </c>
      <c r="AV18" s="15" t="str">
        <f t="shared" si="7"/>
        <v/>
      </c>
    </row>
    <row r="19" spans="3:48" ht="14" x14ac:dyDescent="0.3">
      <c r="C19" s="92">
        <v>10</v>
      </c>
      <c r="D19" s="270"/>
      <c r="E19" s="120"/>
      <c r="F19" s="290" t="str">
        <f>IF(D19="","",VLOOKUP(D19,'G-7 WaterC'' Data'!$B$2:$G$8,2,FALSE))</f>
        <v/>
      </c>
      <c r="G19" s="291" t="str">
        <f>IFERROR(VLOOKUP(F19,'G-7 WaterC'' Data'!$C$4:$D$8,2,FALSE),"")</f>
        <v/>
      </c>
      <c r="H19" s="38"/>
      <c r="I19" s="291" t="str">
        <f>IFERROR(INDEX('G-7 WaterC'' Data'!$H$4:$L$8,MATCH(D19,'G-7 WaterC'' Data'!$B$4:$B$8,0),MATCH(H19,'G-7 WaterC'' Data'!$H$3:$L$3,0)),"")</f>
        <v/>
      </c>
      <c r="J19" s="777"/>
      <c r="K19" s="325" t="str">
        <f>IF(J19="","",IF(VLOOKUP(J19,'G-7 WaterC'' Data'!$AK$4:$AM$6,2,FALSE)=0,"Spatial Data Missing ⚠",VLOOKUP(J19,'G-7 WaterC'' Data'!$AK$4:$AM$6,2,FALSE)))</f>
        <v/>
      </c>
      <c r="L19" s="296" t="str">
        <f>IF(J19="","",IF(VLOOKUP(J19,'G-7 WaterC'' Data'!$AK$4:$AM$9,3,FALSE)=0,"Spatial Data Missing ⚠",VLOOKUP(J19,'G-7 WaterC'' Data'!$AK$4:$AM$6,3,FALSE)))</f>
        <v/>
      </c>
      <c r="M19" s="38"/>
      <c r="N19" s="291" t="str">
        <f>IF(M19="","",IF(AND(D19&lt;&gt;"Culvert",M19="N/A - Culvert"),"Not possible ▲",IF(AND(D19="Culvert",M19&lt;&gt;"N/A - Culvert"),"Not possible ▲",IF(VLOOKUP(M19,'G-7 WaterC'' Data'!$AA$4:$AB$7,2,FALSE)=0,"Spatial Data Missing ⚠",VLOOKUP(M19,'G-7 WaterC'' Data'!$AA$4:$AB$7,2,FALSE)))))</f>
        <v/>
      </c>
      <c r="O19" s="44"/>
      <c r="P19" s="291" t="str">
        <f>IF(O19="","",IF(AND(O19="N/A - Culvert", D19&lt;&gt;"Culvert"),"Not possible ▲", IF(AND(D19="Culvert",O19&lt;&gt;"N/A - Culvert"),"Not possible ▲",IF(VLOOKUP(O19,'G-7 WaterC'' Data'!$AD$4:$AE$14,2,FALSE)=0,"Spatial Data Missing ⚠",VLOOKUP(O19,'G-7 WaterC'' Data'!$AD$4:$AE$14,2,FALSE)))))</f>
        <v/>
      </c>
      <c r="Q19" s="297" t="str">
        <f>IF(D19="","",VLOOKUP(D19,'G-7 WaterC'' Data'!$B$2:$G$8,6,FALSE))</f>
        <v/>
      </c>
      <c r="R19" s="304" t="str">
        <f>IFERROR(IF(AND(Q19='G-1 All Habitats'!$X$3, AE19&gt;0, U19&lt;=0, V19&lt;=0, OR(AA19="No", AA19="")),"Any Loss Unacceptable ⚠", (IF(AND(Q19='G-1 All Habitats'!$X$3, AE19&gt;0, U19&lt;=0, V19&lt;=0, AA19="Yes"), 0, (IF(AND(Q19='G-1 All Habitats'!$X$3,(U19+V19)&lt;E19, OR(AA19="No", AA19="")),"Any Loss Unacceptable ⚠", (IF(AND(Q19='G-1 All Habitats'!$X$3,(U19+V19)&gt;E19), E19*G19*I19*L19*N19*P19, (IF(Q19="","",IF(AND(Q19='G-1 All Habitats'!$X$3,V19&gt;0),W19+X19,IF(AND(Q19='G-1 All Habitats'!$X$3,U19&gt;0), W19+X19, IF(AND(S19="Yes", V19&gt;(E19-U19)),(E19-U19)*G19*I19*L19*N19*P19, IF(AND(S19="Yes", V19&lt;=(E19-U19)), X19, E19*G19*I19*L19*N19*P19 ))))))))))))),"Check Data ▲")</f>
        <v/>
      </c>
      <c r="S19" s="671" t="str">
        <f t="shared" si="0"/>
        <v/>
      </c>
      <c r="T19" s="17"/>
      <c r="U19" s="95"/>
      <c r="V19" s="106"/>
      <c r="W19" s="302" t="str">
        <f t="shared" si="1"/>
        <v/>
      </c>
      <c r="X19" s="302" t="str">
        <f t="shared" si="2"/>
        <v/>
      </c>
      <c r="Y19" s="302" t="str">
        <f t="shared" si="3"/>
        <v/>
      </c>
      <c r="Z19" s="471" t="str">
        <f t="shared" si="4"/>
        <v/>
      </c>
      <c r="AA19" s="488"/>
      <c r="AB19" s="486"/>
      <c r="AC19" s="101"/>
      <c r="AD19" s="101"/>
      <c r="AE19" s="41" t="str">
        <f>IF(OR(Q19="",AA19="Yes"),"",IF(Q19='G-1 All Habitats'!$X$3,E19-U19-V19,"None"))</f>
        <v/>
      </c>
      <c r="AF19" s="42" t="str">
        <f>IF(Q19="","", IF(Q19='G-1 All Habitats'!$X$3, AE19*G19*I19*L19*N19*P19,"None"))</f>
        <v/>
      </c>
      <c r="AI19" s="15">
        <f t="shared" si="8"/>
        <v>0</v>
      </c>
      <c r="AJ19" s="105" t="str">
        <f t="shared" si="5"/>
        <v/>
      </c>
      <c r="AK19" s="105" t="str">
        <f t="shared" si="6"/>
        <v/>
      </c>
      <c r="AM19" s="105">
        <v>10</v>
      </c>
      <c r="AO19" s="105" t="str">
        <f t="array" ref="AO19">IFERROR(INDEX($AM$10:$AM$258, MATCH(0, IF(TRUE=$AJ$10:$AJ$258, COUNTIF($AO$9:$AO18, $AM$10:$AM$258), ""), 0)),"")</f>
        <v/>
      </c>
      <c r="AP19" s="105" t="str">
        <f t="array" ref="AP19">IFERROR(INDEX($AM$10:$AM$258, MATCH(0, IF(TRUE=$AK$10:$AK$258, COUNTIF($AP$9:$AP18, $AM$10:$AM$258), ""), 0)),"")</f>
        <v/>
      </c>
      <c r="AR19" s="15" t="str">
        <f>IFERROR(INDEX('G-7 WaterC'' Data'!$AZ$3:$AZ$7,MATCH(D19,'G-7 WaterC'' Data'!$AY$3:$AY$7,0)),"")</f>
        <v/>
      </c>
      <c r="AS19" s="15" t="str">
        <f>IFERROR(INDEX('G-7 WaterC'' Data'!AZ19:AZ23,MATCH(D19,'G-7 WaterC'' Data'!$AY$10:$AY$14,0)),"")</f>
        <v/>
      </c>
      <c r="AU19" s="15" t="str">
        <f>IF(D19="","",VLOOKUP(D19,'G-7 WaterC'' Data'!B$4:M$8,12,FALSE))</f>
        <v/>
      </c>
      <c r="AV19" s="15" t="str">
        <f t="shared" si="7"/>
        <v/>
      </c>
    </row>
    <row r="20" spans="3:48" ht="14" x14ac:dyDescent="0.3">
      <c r="C20" s="92">
        <v>11</v>
      </c>
      <c r="D20" s="270"/>
      <c r="E20" s="120"/>
      <c r="F20" s="290" t="str">
        <f>IF(D20="","",VLOOKUP(D20,'G-7 WaterC'' Data'!$B$2:$G$8,2,FALSE))</f>
        <v/>
      </c>
      <c r="G20" s="291" t="str">
        <f>IFERROR(VLOOKUP(F20,'G-7 WaterC'' Data'!$C$4:$D$8,2,FALSE),"")</f>
        <v/>
      </c>
      <c r="H20" s="38"/>
      <c r="I20" s="291" t="str">
        <f>IFERROR(INDEX('G-7 WaterC'' Data'!$H$4:$L$8,MATCH(D20,'G-7 WaterC'' Data'!$B$4:$B$8,0),MATCH(H20,'G-7 WaterC'' Data'!$H$3:$L$3,0)),"")</f>
        <v/>
      </c>
      <c r="J20" s="777"/>
      <c r="K20" s="325" t="str">
        <f>IF(J20="","",IF(VLOOKUP(J20,'G-7 WaterC'' Data'!$AK$4:$AM$6,2,FALSE)=0,"Spatial Data Missing ⚠",VLOOKUP(J20,'G-7 WaterC'' Data'!$AK$4:$AM$6,2,FALSE)))</f>
        <v/>
      </c>
      <c r="L20" s="296" t="str">
        <f>IF(J20="","",IF(VLOOKUP(J20,'G-7 WaterC'' Data'!$AK$4:$AM$9,3,FALSE)=0,"Spatial Data Missing ⚠",VLOOKUP(J20,'G-7 WaterC'' Data'!$AK$4:$AM$6,3,FALSE)))</f>
        <v/>
      </c>
      <c r="M20" s="38"/>
      <c r="N20" s="291" t="str">
        <f>IF(M20="","",IF(AND(D20&lt;&gt;"Culvert",M20="N/A - Culvert"),"Not possible ▲",IF(AND(D20="Culvert",M20&lt;&gt;"N/A - Culvert"),"Not possible ▲",IF(VLOOKUP(M20,'G-7 WaterC'' Data'!$AA$4:$AB$7,2,FALSE)=0,"Spatial Data Missing ⚠",VLOOKUP(M20,'G-7 WaterC'' Data'!$AA$4:$AB$7,2,FALSE)))))</f>
        <v/>
      </c>
      <c r="O20" s="44"/>
      <c r="P20" s="291" t="str">
        <f>IF(O20="","",IF(AND(O20="N/A - Culvert", D20&lt;&gt;"Culvert"),"Not possible ▲", IF(AND(D20="Culvert",O20&lt;&gt;"N/A - Culvert"),"Not possible ▲",IF(VLOOKUP(O20,'G-7 WaterC'' Data'!$AD$4:$AE$14,2,FALSE)=0,"Spatial Data Missing ⚠",VLOOKUP(O20,'G-7 WaterC'' Data'!$AD$4:$AE$14,2,FALSE)))))</f>
        <v/>
      </c>
      <c r="Q20" s="297" t="str">
        <f>IF(D20="","",VLOOKUP(D20,'G-7 WaterC'' Data'!$B$2:$G$8,6,FALSE))</f>
        <v/>
      </c>
      <c r="R20" s="304" t="str">
        <f>IFERROR(IF(AND(Q20='G-1 All Habitats'!$X$3, AE20&gt;0, U20&lt;=0, V20&lt;=0, OR(AA20="No", AA20="")),"Any Loss Unacceptable ⚠", (IF(AND(Q20='G-1 All Habitats'!$X$3, AE20&gt;0, U20&lt;=0, V20&lt;=0, AA20="Yes"), 0, (IF(AND(Q20='G-1 All Habitats'!$X$3,(U20+V20)&lt;E20, OR(AA20="No", AA20="")),"Any Loss Unacceptable ⚠", (IF(AND(Q20='G-1 All Habitats'!$X$3,(U20+V20)&gt;E20), E20*G20*I20*L20*N20*P20, (IF(Q20="","",IF(AND(Q20='G-1 All Habitats'!$X$3,V20&gt;0),W20+X20,IF(AND(Q20='G-1 All Habitats'!$X$3,U20&gt;0), W20+X20, IF(AND(S20="Yes", V20&gt;(E20-U20)),(E20-U20)*G20*I20*L20*N20*P20, IF(AND(S20="Yes", V20&lt;=(E20-U20)), X20, E20*G20*I20*L20*N20*P20 ))))))))))))),"Check Data ▲")</f>
        <v/>
      </c>
      <c r="S20" s="671" t="str">
        <f t="shared" si="0"/>
        <v/>
      </c>
      <c r="T20" s="17"/>
      <c r="U20" s="95"/>
      <c r="V20" s="106"/>
      <c r="W20" s="302" t="str">
        <f t="shared" si="1"/>
        <v/>
      </c>
      <c r="X20" s="302" t="str">
        <f t="shared" si="2"/>
        <v/>
      </c>
      <c r="Y20" s="302" t="str">
        <f t="shared" si="3"/>
        <v/>
      </c>
      <c r="Z20" s="471" t="str">
        <f t="shared" si="4"/>
        <v/>
      </c>
      <c r="AA20" s="488"/>
      <c r="AB20" s="486"/>
      <c r="AC20" s="101"/>
      <c r="AD20" s="101"/>
      <c r="AE20" s="41" t="str">
        <f>IF(OR(Q20="",AA20="Yes"),"",IF(Q20='G-1 All Habitats'!$X$3,E20-U20-V20,"None"))</f>
        <v/>
      </c>
      <c r="AF20" s="42" t="str">
        <f>IF(Q20="","", IF(Q20='G-1 All Habitats'!$X$3, AE20*G20*I20*L20*N20*P20,"None"))</f>
        <v/>
      </c>
      <c r="AI20" s="15">
        <f t="shared" si="8"/>
        <v>0</v>
      </c>
      <c r="AJ20" s="105" t="str">
        <f t="shared" si="5"/>
        <v/>
      </c>
      <c r="AK20" s="105" t="str">
        <f t="shared" si="6"/>
        <v/>
      </c>
      <c r="AM20" s="105">
        <v>11</v>
      </c>
      <c r="AO20" s="105" t="str">
        <f t="array" ref="AO20">IFERROR(INDEX($AM$10:$AM$258, MATCH(0, IF(TRUE=$AJ$10:$AJ$258, COUNTIF($AO$9:$AO19, $AM$10:$AM$258), ""), 0)),"")</f>
        <v/>
      </c>
      <c r="AP20" s="105" t="str">
        <f t="array" ref="AP20">IFERROR(INDEX($AM$10:$AM$258, MATCH(0, IF(TRUE=$AK$10:$AK$258, COUNTIF($AP$9:$AP19, $AM$10:$AM$258), ""), 0)),"")</f>
        <v/>
      </c>
      <c r="AR20" s="15" t="str">
        <f>IFERROR(INDEX('G-7 WaterC'' Data'!$AZ$3:$AZ$7,MATCH(D20,'G-7 WaterC'' Data'!$AY$3:$AY$7,0)),"")</f>
        <v/>
      </c>
      <c r="AS20" s="15" t="str">
        <f>IFERROR(INDEX('G-7 WaterC'' Data'!AZ20:AZ24,MATCH(D20,'G-7 WaterC'' Data'!$AY$10:$AY$14,0)),"")</f>
        <v/>
      </c>
      <c r="AU20" s="15" t="str">
        <f>IF(D20="","",VLOOKUP(D20,'G-7 WaterC'' Data'!B$4:M$8,12,FALSE))</f>
        <v/>
      </c>
      <c r="AV20" s="15" t="str">
        <f t="shared" si="7"/>
        <v/>
      </c>
    </row>
    <row r="21" spans="3:48" ht="14" x14ac:dyDescent="0.3">
      <c r="C21" s="92">
        <v>12</v>
      </c>
      <c r="D21" s="270"/>
      <c r="E21" s="120"/>
      <c r="F21" s="290" t="str">
        <f>IF(D21="","",VLOOKUP(D21,'G-7 WaterC'' Data'!$B$2:$G$8,2,FALSE))</f>
        <v/>
      </c>
      <c r="G21" s="291" t="str">
        <f>IFERROR(VLOOKUP(F21,'G-7 WaterC'' Data'!$C$4:$D$8,2,FALSE),"")</f>
        <v/>
      </c>
      <c r="H21" s="38"/>
      <c r="I21" s="291" t="str">
        <f>IFERROR(INDEX('G-7 WaterC'' Data'!$H$4:$L$8,MATCH(D21,'G-7 WaterC'' Data'!$B$4:$B$8,0),MATCH(H21,'G-7 WaterC'' Data'!$H$3:$L$3,0)),"")</f>
        <v/>
      </c>
      <c r="J21" s="777"/>
      <c r="K21" s="325" t="str">
        <f>IF(J21="","",IF(VLOOKUP(J21,'G-7 WaterC'' Data'!$AK$4:$AM$6,2,FALSE)=0,"Spatial Data Missing ⚠",VLOOKUP(J21,'G-7 WaterC'' Data'!$AK$4:$AM$6,2,FALSE)))</f>
        <v/>
      </c>
      <c r="L21" s="296" t="str">
        <f>IF(J21="","",IF(VLOOKUP(J21,'G-7 WaterC'' Data'!$AK$4:$AM$9,3,FALSE)=0,"Spatial Data Missing ⚠",VLOOKUP(J21,'G-7 WaterC'' Data'!$AK$4:$AM$6,3,FALSE)))</f>
        <v/>
      </c>
      <c r="M21" s="38"/>
      <c r="N21" s="291" t="str">
        <f>IF(M21="","",IF(AND(D21&lt;&gt;"Culvert",M21="N/A - Culvert"),"Not possible ▲",IF(AND(D21="Culvert",M21&lt;&gt;"N/A - Culvert"),"Not possible ▲",IF(VLOOKUP(M21,'G-7 WaterC'' Data'!$AA$4:$AB$7,2,FALSE)=0,"Spatial Data Missing ⚠",VLOOKUP(M21,'G-7 WaterC'' Data'!$AA$4:$AB$7,2,FALSE)))))</f>
        <v/>
      </c>
      <c r="O21" s="44"/>
      <c r="P21" s="291" t="str">
        <f>IF(O21="","",IF(AND(O21="N/A - Culvert", D21&lt;&gt;"Culvert"),"Not possible ▲", IF(AND(D21="Culvert",O21&lt;&gt;"N/A - Culvert"),"Not possible ▲",IF(VLOOKUP(O21,'G-7 WaterC'' Data'!$AD$4:$AE$14,2,FALSE)=0,"Spatial Data Missing ⚠",VLOOKUP(O21,'G-7 WaterC'' Data'!$AD$4:$AE$14,2,FALSE)))))</f>
        <v/>
      </c>
      <c r="Q21" s="297" t="str">
        <f>IF(D21="","",VLOOKUP(D21,'G-7 WaterC'' Data'!$B$2:$G$8,6,FALSE))</f>
        <v/>
      </c>
      <c r="R21" s="304" t="str">
        <f>IFERROR(IF(AND(Q21='G-1 All Habitats'!$X$3, AE21&gt;0, U21&lt;=0, V21&lt;=0, OR(AA21="No", AA21="")),"Any Loss Unacceptable ⚠", (IF(AND(Q21='G-1 All Habitats'!$X$3, AE21&gt;0, U21&lt;=0, V21&lt;=0, AA21="Yes"), 0, (IF(AND(Q21='G-1 All Habitats'!$X$3,(U21+V21)&lt;E21, OR(AA21="No", AA21="")),"Any Loss Unacceptable ⚠", (IF(AND(Q21='G-1 All Habitats'!$X$3,(U21+V21)&gt;E21), E21*G21*I21*L21*N21*P21, (IF(Q21="","",IF(AND(Q21='G-1 All Habitats'!$X$3,V21&gt;0),W21+X21,IF(AND(Q21='G-1 All Habitats'!$X$3,U21&gt;0), W21+X21, IF(AND(S21="Yes", V21&gt;(E21-U21)),(E21-U21)*G21*I21*L21*N21*P21, IF(AND(S21="Yes", V21&lt;=(E21-U21)), X21, E21*G21*I21*L21*N21*P21 ))))))))))))),"Check Data ▲")</f>
        <v/>
      </c>
      <c r="S21" s="671" t="str">
        <f t="shared" si="0"/>
        <v/>
      </c>
      <c r="T21" s="17"/>
      <c r="U21" s="95"/>
      <c r="V21" s="106"/>
      <c r="W21" s="302" t="str">
        <f t="shared" si="1"/>
        <v/>
      </c>
      <c r="X21" s="302" t="str">
        <f t="shared" si="2"/>
        <v/>
      </c>
      <c r="Y21" s="302" t="str">
        <f t="shared" si="3"/>
        <v/>
      </c>
      <c r="Z21" s="471" t="str">
        <f t="shared" si="4"/>
        <v/>
      </c>
      <c r="AA21" s="488"/>
      <c r="AB21" s="486"/>
      <c r="AC21" s="101"/>
      <c r="AD21" s="101"/>
      <c r="AE21" s="41" t="str">
        <f>IF(OR(Q21="",AA21="Yes"),"",IF(Q21='G-1 All Habitats'!$X$3,E21-U21-V21,"None"))</f>
        <v/>
      </c>
      <c r="AF21" s="42" t="str">
        <f>IF(Q21="","", IF(Q21='G-1 All Habitats'!$X$3, AE21*G21*I21*L21*N21*P21,"None"))</f>
        <v/>
      </c>
      <c r="AI21" s="15">
        <f t="shared" si="8"/>
        <v>0</v>
      </c>
      <c r="AJ21" s="105" t="str">
        <f t="shared" si="5"/>
        <v/>
      </c>
      <c r="AK21" s="105" t="str">
        <f t="shared" si="6"/>
        <v/>
      </c>
      <c r="AM21" s="105">
        <v>12</v>
      </c>
      <c r="AO21" s="105" t="str">
        <f t="array" ref="AO21">IFERROR(INDEX($AM$10:$AM$258, MATCH(0, IF(TRUE=$AJ$10:$AJ$258, COUNTIF($AO$9:$AO20, $AM$10:$AM$258), ""), 0)),"")</f>
        <v/>
      </c>
      <c r="AP21" s="105" t="str">
        <f t="array" ref="AP21">IFERROR(INDEX($AM$10:$AM$258, MATCH(0, IF(TRUE=$AK$10:$AK$258, COUNTIF($AP$9:$AP20, $AM$10:$AM$258), ""), 0)),"")</f>
        <v/>
      </c>
      <c r="AR21" s="15" t="str">
        <f>IFERROR(INDEX('G-7 WaterC'' Data'!$AZ$3:$AZ$7,MATCH(D21,'G-7 WaterC'' Data'!$AY$3:$AY$7,0)),"")</f>
        <v/>
      </c>
      <c r="AS21" s="15" t="str">
        <f>IFERROR(INDEX('G-7 WaterC'' Data'!AZ21:AZ25,MATCH(D21,'G-7 WaterC'' Data'!$AY$10:$AY$14,0)),"")</f>
        <v/>
      </c>
      <c r="AU21" s="15" t="str">
        <f>IF(D21="","",VLOOKUP(D21,'G-7 WaterC'' Data'!B$4:M$8,12,FALSE))</f>
        <v/>
      </c>
      <c r="AV21" s="15" t="str">
        <f t="shared" si="7"/>
        <v/>
      </c>
    </row>
    <row r="22" spans="3:48" ht="14" x14ac:dyDescent="0.3">
      <c r="C22" s="92">
        <v>13</v>
      </c>
      <c r="D22" s="270"/>
      <c r="E22" s="120"/>
      <c r="F22" s="290" t="str">
        <f>IF(D22="","",VLOOKUP(D22,'G-7 WaterC'' Data'!$B$2:$G$8,2,FALSE))</f>
        <v/>
      </c>
      <c r="G22" s="291" t="str">
        <f>IFERROR(VLOOKUP(F22,'G-7 WaterC'' Data'!$C$4:$D$8,2,FALSE),"")</f>
        <v/>
      </c>
      <c r="H22" s="38"/>
      <c r="I22" s="291" t="str">
        <f>IFERROR(INDEX('G-7 WaterC'' Data'!$H$4:$L$8,MATCH(D22,'G-7 WaterC'' Data'!$B$4:$B$8,0),MATCH(H22,'G-7 WaterC'' Data'!$H$3:$L$3,0)),"")</f>
        <v/>
      </c>
      <c r="J22" s="777"/>
      <c r="K22" s="325" t="str">
        <f>IF(J22="","",IF(VLOOKUP(J22,'G-7 WaterC'' Data'!$AK$4:$AM$6,2,FALSE)=0,"Spatial Data Missing ⚠",VLOOKUP(J22,'G-7 WaterC'' Data'!$AK$4:$AM$6,2,FALSE)))</f>
        <v/>
      </c>
      <c r="L22" s="296" t="str">
        <f>IF(J22="","",IF(VLOOKUP(J22,'G-7 WaterC'' Data'!$AK$4:$AM$9,3,FALSE)=0,"Spatial Data Missing ⚠",VLOOKUP(J22,'G-7 WaterC'' Data'!$AK$4:$AM$6,3,FALSE)))</f>
        <v/>
      </c>
      <c r="M22" s="38"/>
      <c r="N22" s="291" t="str">
        <f>IF(M22="","",IF(AND(D22&lt;&gt;"Culvert",M22="N/A - Culvert"),"Not possible ▲",IF(AND(D22="Culvert",M22&lt;&gt;"N/A - Culvert"),"Not possible ▲",IF(VLOOKUP(M22,'G-7 WaterC'' Data'!$AA$4:$AB$7,2,FALSE)=0,"Spatial Data Missing ⚠",VLOOKUP(M22,'G-7 WaterC'' Data'!$AA$4:$AB$7,2,FALSE)))))</f>
        <v/>
      </c>
      <c r="O22" s="44"/>
      <c r="P22" s="291" t="str">
        <f>IF(O22="","",IF(AND(O22="N/A - Culvert", D22&lt;&gt;"Culvert"),"Not possible ▲", IF(AND(D22="Culvert",O22&lt;&gt;"N/A - Culvert"),"Not possible ▲",IF(VLOOKUP(O22,'G-7 WaterC'' Data'!$AD$4:$AE$14,2,FALSE)=0,"Spatial Data Missing ⚠",VLOOKUP(O22,'G-7 WaterC'' Data'!$AD$4:$AE$14,2,FALSE)))))</f>
        <v/>
      </c>
      <c r="Q22" s="297" t="str">
        <f>IF(D22="","",VLOOKUP(D22,'G-7 WaterC'' Data'!$B$2:$G$8,6,FALSE))</f>
        <v/>
      </c>
      <c r="R22" s="304" t="str">
        <f>IFERROR(IF(AND(Q22='G-1 All Habitats'!$X$3, AE22&gt;0, U22&lt;=0, V22&lt;=0, OR(AA22="No", AA22="")),"Any Loss Unacceptable ⚠", (IF(AND(Q22='G-1 All Habitats'!$X$3, AE22&gt;0, U22&lt;=0, V22&lt;=0, AA22="Yes"), 0, (IF(AND(Q22='G-1 All Habitats'!$X$3,(U22+V22)&lt;E22, OR(AA22="No", AA22="")),"Any Loss Unacceptable ⚠", (IF(AND(Q22='G-1 All Habitats'!$X$3,(U22+V22)&gt;E22), E22*G22*I22*L22*N22*P22, (IF(Q22="","",IF(AND(Q22='G-1 All Habitats'!$X$3,V22&gt;0),W22+X22,IF(AND(Q22='G-1 All Habitats'!$X$3,U22&gt;0), W22+X22, IF(AND(S22="Yes", V22&gt;(E22-U22)),(E22-U22)*G22*I22*L22*N22*P22, IF(AND(S22="Yes", V22&lt;=(E22-U22)), X22, E22*G22*I22*L22*N22*P22 ))))))))))))),"Check Data ▲")</f>
        <v/>
      </c>
      <c r="S22" s="671" t="str">
        <f t="shared" si="0"/>
        <v/>
      </c>
      <c r="T22" s="17"/>
      <c r="U22" s="95"/>
      <c r="V22" s="106"/>
      <c r="W22" s="302" t="str">
        <f t="shared" si="1"/>
        <v/>
      </c>
      <c r="X22" s="302" t="str">
        <f t="shared" si="2"/>
        <v/>
      </c>
      <c r="Y22" s="302" t="str">
        <f t="shared" si="3"/>
        <v/>
      </c>
      <c r="Z22" s="471" t="str">
        <f t="shared" si="4"/>
        <v/>
      </c>
      <c r="AA22" s="488"/>
      <c r="AB22" s="486"/>
      <c r="AC22" s="101"/>
      <c r="AD22" s="101"/>
      <c r="AE22" s="41" t="str">
        <f>IF(OR(Q22="",AA22="Yes"),"",IF(Q22='G-1 All Habitats'!$X$3,E22-U22-V22,"None"))</f>
        <v/>
      </c>
      <c r="AF22" s="42" t="str">
        <f>IF(Q22="","", IF(Q22='G-1 All Habitats'!$X$3, AE22*G22*I22*L22*N22*P22,"None"))</f>
        <v/>
      </c>
      <c r="AI22" s="15">
        <f t="shared" si="8"/>
        <v>0</v>
      </c>
      <c r="AJ22" s="105" t="str">
        <f t="shared" si="5"/>
        <v/>
      </c>
      <c r="AK22" s="105" t="str">
        <f t="shared" si="6"/>
        <v/>
      </c>
      <c r="AM22" s="105">
        <v>13</v>
      </c>
      <c r="AO22" s="105" t="str">
        <f t="array" ref="AO22">IFERROR(INDEX($AM$10:$AM$258, MATCH(0, IF(TRUE=$AJ$10:$AJ$258, COUNTIF($AO$9:$AO21, $AM$10:$AM$258), ""), 0)),"")</f>
        <v/>
      </c>
      <c r="AP22" s="105" t="str">
        <f t="array" ref="AP22">IFERROR(INDEX($AM$10:$AM$258, MATCH(0, IF(TRUE=$AK$10:$AK$258, COUNTIF($AP$9:$AP21, $AM$10:$AM$258), ""), 0)),"")</f>
        <v/>
      </c>
      <c r="AR22" s="15" t="str">
        <f>IFERROR(INDEX('G-7 WaterC'' Data'!$AZ$3:$AZ$7,MATCH(D22,'G-7 WaterC'' Data'!$AY$3:$AY$7,0)),"")</f>
        <v/>
      </c>
      <c r="AS22" s="15" t="str">
        <f>IFERROR(INDEX('G-7 WaterC'' Data'!AZ22:AZ26,MATCH(D22,'G-7 WaterC'' Data'!$AY$10:$AY$14,0)),"")</f>
        <v/>
      </c>
      <c r="AU22" s="15" t="str">
        <f>IF(D22="","",VLOOKUP(D22,'G-7 WaterC'' Data'!B$4:M$8,12,FALSE))</f>
        <v/>
      </c>
      <c r="AV22" s="15" t="str">
        <f t="shared" si="7"/>
        <v/>
      </c>
    </row>
    <row r="23" spans="3:48" ht="14" x14ac:dyDescent="0.3">
      <c r="C23" s="92">
        <v>14</v>
      </c>
      <c r="D23" s="270"/>
      <c r="E23" s="120"/>
      <c r="F23" s="290" t="str">
        <f>IF(D23="","",VLOOKUP(D23,'G-7 WaterC'' Data'!$B$2:$G$8,2,FALSE))</f>
        <v/>
      </c>
      <c r="G23" s="291" t="str">
        <f>IFERROR(VLOOKUP(F23,'G-7 WaterC'' Data'!$C$4:$D$8,2,FALSE),"")</f>
        <v/>
      </c>
      <c r="H23" s="38"/>
      <c r="I23" s="291" t="str">
        <f>IFERROR(INDEX('G-7 WaterC'' Data'!$H$4:$L$8,MATCH(D23,'G-7 WaterC'' Data'!$B$4:$B$8,0),MATCH(H23,'G-7 WaterC'' Data'!$H$3:$L$3,0)),"")</f>
        <v/>
      </c>
      <c r="J23" s="777"/>
      <c r="K23" s="325" t="str">
        <f>IF(J23="","",IF(VLOOKUP(J23,'G-7 WaterC'' Data'!$AK$4:$AM$6,2,FALSE)=0,"Spatial Data Missing ⚠",VLOOKUP(J23,'G-7 WaterC'' Data'!$AK$4:$AM$6,2,FALSE)))</f>
        <v/>
      </c>
      <c r="L23" s="296" t="str">
        <f>IF(J23="","",IF(VLOOKUP(J23,'G-7 WaterC'' Data'!$AK$4:$AM$9,3,FALSE)=0,"Spatial Data Missing ⚠",VLOOKUP(J23,'G-7 WaterC'' Data'!$AK$4:$AM$6,3,FALSE)))</f>
        <v/>
      </c>
      <c r="M23" s="38"/>
      <c r="N23" s="291" t="str">
        <f>IF(M23="","",IF(AND(D23&lt;&gt;"Culvert",M23="N/A - Culvert"),"Not possible ▲",IF(AND(D23="Culvert",M23&lt;&gt;"N/A - Culvert"),"Not possible ▲",IF(VLOOKUP(M23,'G-7 WaterC'' Data'!$AA$4:$AB$7,2,FALSE)=0,"Spatial Data Missing ⚠",VLOOKUP(M23,'G-7 WaterC'' Data'!$AA$4:$AB$7,2,FALSE)))))</f>
        <v/>
      </c>
      <c r="O23" s="44"/>
      <c r="P23" s="291" t="str">
        <f>IF(O23="","",IF(AND(O23="N/A - Culvert", D23&lt;&gt;"Culvert"),"Not possible ▲", IF(AND(D23="Culvert",O23&lt;&gt;"N/A - Culvert"),"Not possible ▲",IF(VLOOKUP(O23,'G-7 WaterC'' Data'!$AD$4:$AE$14,2,FALSE)=0,"Spatial Data Missing ⚠",VLOOKUP(O23,'G-7 WaterC'' Data'!$AD$4:$AE$14,2,FALSE)))))</f>
        <v/>
      </c>
      <c r="Q23" s="297" t="str">
        <f>IF(D23="","",VLOOKUP(D23,'G-7 WaterC'' Data'!$B$2:$G$8,6,FALSE))</f>
        <v/>
      </c>
      <c r="R23" s="304" t="str">
        <f>IFERROR(IF(AND(Q23='G-1 All Habitats'!$X$3, AE23&gt;0, U23&lt;=0, V23&lt;=0, OR(AA23="No", AA23="")),"Any Loss Unacceptable ⚠", (IF(AND(Q23='G-1 All Habitats'!$X$3, AE23&gt;0, U23&lt;=0, V23&lt;=0, AA23="Yes"), 0, (IF(AND(Q23='G-1 All Habitats'!$X$3,(U23+V23)&lt;E23, OR(AA23="No", AA23="")),"Any Loss Unacceptable ⚠", (IF(AND(Q23='G-1 All Habitats'!$X$3,(U23+V23)&gt;E23), E23*G23*I23*L23*N23*P23, (IF(Q23="","",IF(AND(Q23='G-1 All Habitats'!$X$3,V23&gt;0),W23+X23,IF(AND(Q23='G-1 All Habitats'!$X$3,U23&gt;0), W23+X23, IF(AND(S23="Yes", V23&gt;(E23-U23)),(E23-U23)*G23*I23*L23*N23*P23, IF(AND(S23="Yes", V23&lt;=(E23-U23)), X23, E23*G23*I23*L23*N23*P23 ))))))))))))),"Check Data ▲")</f>
        <v/>
      </c>
      <c r="S23" s="671" t="str">
        <f t="shared" si="0"/>
        <v/>
      </c>
      <c r="T23" s="17"/>
      <c r="U23" s="95"/>
      <c r="V23" s="106"/>
      <c r="W23" s="302" t="str">
        <f t="shared" si="1"/>
        <v/>
      </c>
      <c r="X23" s="302" t="str">
        <f t="shared" si="2"/>
        <v/>
      </c>
      <c r="Y23" s="302" t="str">
        <f t="shared" si="3"/>
        <v/>
      </c>
      <c r="Z23" s="471" t="str">
        <f t="shared" si="4"/>
        <v/>
      </c>
      <c r="AA23" s="488"/>
      <c r="AB23" s="486"/>
      <c r="AC23" s="101"/>
      <c r="AD23" s="101"/>
      <c r="AE23" s="41" t="str">
        <f>IF(OR(Q23="",AA23="Yes"),"",IF(Q23='G-1 All Habitats'!$X$3,E23-U23-V23,"None"))</f>
        <v/>
      </c>
      <c r="AF23" s="42" t="str">
        <f>IF(Q23="","", IF(Q23='G-1 All Habitats'!$X$3, AE23*G23*I23*L23*N23*P23,"None"))</f>
        <v/>
      </c>
      <c r="AI23" s="15">
        <f t="shared" si="8"/>
        <v>0</v>
      </c>
      <c r="AJ23" s="105" t="str">
        <f t="shared" si="5"/>
        <v/>
      </c>
      <c r="AK23" s="105" t="str">
        <f t="shared" si="6"/>
        <v/>
      </c>
      <c r="AM23" s="105">
        <v>14</v>
      </c>
      <c r="AO23" s="105" t="str">
        <f t="array" ref="AO23">IFERROR(INDEX($AM$10:$AM$258, MATCH(0, IF(TRUE=$AJ$10:$AJ$258, COUNTIF($AO$9:$AO22, $AM$10:$AM$258), ""), 0)),"")</f>
        <v/>
      </c>
      <c r="AP23" s="105" t="str">
        <f t="array" ref="AP23">IFERROR(INDEX($AM$10:$AM$258, MATCH(0, IF(TRUE=$AK$10:$AK$258, COUNTIF($AP$9:$AP22, $AM$10:$AM$258), ""), 0)),"")</f>
        <v/>
      </c>
      <c r="AR23" s="15" t="str">
        <f>IFERROR(INDEX('G-7 WaterC'' Data'!$AZ$3:$AZ$7,MATCH(D23,'G-7 WaterC'' Data'!$AY$3:$AY$7,0)),"")</f>
        <v/>
      </c>
      <c r="AS23" s="15" t="str">
        <f>IFERROR(INDEX('G-7 WaterC'' Data'!AZ23:AZ27,MATCH(D23,'G-7 WaterC'' Data'!$AY$10:$AY$14,0)),"")</f>
        <v/>
      </c>
      <c r="AU23" s="15" t="str">
        <f>IF(D23="","",VLOOKUP(D23,'G-7 WaterC'' Data'!B$4:M$8,12,FALSE))</f>
        <v/>
      </c>
      <c r="AV23" s="15" t="str">
        <f t="shared" si="7"/>
        <v/>
      </c>
    </row>
    <row r="24" spans="3:48" ht="14" x14ac:dyDescent="0.3">
      <c r="C24" s="92">
        <v>15</v>
      </c>
      <c r="D24" s="270"/>
      <c r="E24" s="120"/>
      <c r="F24" s="290" t="str">
        <f>IF(D24="","",VLOOKUP(D24,'G-7 WaterC'' Data'!$B$2:$G$8,2,FALSE))</f>
        <v/>
      </c>
      <c r="G24" s="291" t="str">
        <f>IFERROR(VLOOKUP(F24,'G-7 WaterC'' Data'!$C$4:$D$8,2,FALSE),"")</f>
        <v/>
      </c>
      <c r="H24" s="38"/>
      <c r="I24" s="291" t="str">
        <f>IFERROR(INDEX('G-7 WaterC'' Data'!$H$4:$L$8,MATCH(D24,'G-7 WaterC'' Data'!$B$4:$B$8,0),MATCH(H24,'G-7 WaterC'' Data'!$H$3:$L$3,0)),"")</f>
        <v/>
      </c>
      <c r="J24" s="777"/>
      <c r="K24" s="325" t="str">
        <f>IF(J24="","",IF(VLOOKUP(J24,'G-7 WaterC'' Data'!$AK$4:$AM$6,2,FALSE)=0,"Spatial Data Missing ⚠",VLOOKUP(J24,'G-7 WaterC'' Data'!$AK$4:$AM$6,2,FALSE)))</f>
        <v/>
      </c>
      <c r="L24" s="296" t="str">
        <f>IF(J24="","",IF(VLOOKUP(J24,'G-7 WaterC'' Data'!$AK$4:$AM$9,3,FALSE)=0,"Spatial Data Missing ⚠",VLOOKUP(J24,'G-7 WaterC'' Data'!$AK$4:$AM$6,3,FALSE)))</f>
        <v/>
      </c>
      <c r="M24" s="38"/>
      <c r="N24" s="291" t="str">
        <f>IF(M24="","",IF(AND(D24&lt;&gt;"Culvert",M24="N/A - Culvert"),"Not possible ▲",IF(AND(D24="Culvert",M24&lt;&gt;"N/A - Culvert"),"Not possible ▲",IF(VLOOKUP(M24,'G-7 WaterC'' Data'!$AA$4:$AB$7,2,FALSE)=0,"Spatial Data Missing ⚠",VLOOKUP(M24,'G-7 WaterC'' Data'!$AA$4:$AB$7,2,FALSE)))))</f>
        <v/>
      </c>
      <c r="O24" s="44"/>
      <c r="P24" s="291" t="str">
        <f>IF(O24="","",IF(AND(O24="N/A - Culvert", D24&lt;&gt;"Culvert"),"Not possible ▲", IF(AND(D24="Culvert",O24&lt;&gt;"N/A - Culvert"),"Not possible ▲",IF(VLOOKUP(O24,'G-7 WaterC'' Data'!$AD$4:$AE$14,2,FALSE)=0,"Spatial Data Missing ⚠",VLOOKUP(O24,'G-7 WaterC'' Data'!$AD$4:$AE$14,2,FALSE)))))</f>
        <v/>
      </c>
      <c r="Q24" s="297" t="str">
        <f>IF(D24="","",VLOOKUP(D24,'G-7 WaterC'' Data'!$B$2:$G$8,6,FALSE))</f>
        <v/>
      </c>
      <c r="R24" s="304" t="str">
        <f>IFERROR(IF(AND(Q24='G-1 All Habitats'!$X$3, AE24&gt;0, U24&lt;=0, V24&lt;=0, OR(AA24="No", AA24="")),"Any Loss Unacceptable ⚠", (IF(AND(Q24='G-1 All Habitats'!$X$3, AE24&gt;0, U24&lt;=0, V24&lt;=0, AA24="Yes"), 0, (IF(AND(Q24='G-1 All Habitats'!$X$3,(U24+V24)&lt;E24, OR(AA24="No", AA24="")),"Any Loss Unacceptable ⚠", (IF(AND(Q24='G-1 All Habitats'!$X$3,(U24+V24)&gt;E24), E24*G24*I24*L24*N24*P24, (IF(Q24="","",IF(AND(Q24='G-1 All Habitats'!$X$3,V24&gt;0),W24+X24,IF(AND(Q24='G-1 All Habitats'!$X$3,U24&gt;0), W24+X24, IF(AND(S24="Yes", V24&gt;(E24-U24)),(E24-U24)*G24*I24*L24*N24*P24, IF(AND(S24="Yes", V24&lt;=(E24-U24)), X24, E24*G24*I24*L24*N24*P24 ))))))))))))),"Check Data ▲")</f>
        <v/>
      </c>
      <c r="S24" s="671" t="str">
        <f t="shared" si="0"/>
        <v/>
      </c>
      <c r="T24" s="17"/>
      <c r="U24" s="95"/>
      <c r="V24" s="106"/>
      <c r="W24" s="302" t="str">
        <f t="shared" si="1"/>
        <v/>
      </c>
      <c r="X24" s="302" t="str">
        <f t="shared" si="2"/>
        <v/>
      </c>
      <c r="Y24" s="302" t="str">
        <f t="shared" si="3"/>
        <v/>
      </c>
      <c r="Z24" s="471" t="str">
        <f t="shared" si="4"/>
        <v/>
      </c>
      <c r="AA24" s="488"/>
      <c r="AB24" s="486"/>
      <c r="AC24" s="101"/>
      <c r="AD24" s="101"/>
      <c r="AE24" s="41" t="str">
        <f>IF(OR(Q24="",AA24="Yes"),"",IF(Q24='G-1 All Habitats'!$X$3,E24-U24-V24,"None"))</f>
        <v/>
      </c>
      <c r="AF24" s="42" t="str">
        <f>IF(Q24="","", IF(Q24='G-1 All Habitats'!$X$3, AE24*G24*I24*L24*N24*P24,"None"))</f>
        <v/>
      </c>
      <c r="AI24" s="15">
        <f t="shared" si="8"/>
        <v>0</v>
      </c>
      <c r="AJ24" s="105" t="str">
        <f t="shared" si="5"/>
        <v/>
      </c>
      <c r="AK24" s="105" t="str">
        <f t="shared" si="6"/>
        <v/>
      </c>
      <c r="AM24" s="105">
        <v>15</v>
      </c>
      <c r="AO24" s="105" t="str">
        <f t="array" ref="AO24">IFERROR(INDEX($AM$10:$AM$258, MATCH(0, IF(TRUE=$AJ$10:$AJ$258, COUNTIF($AO$9:$AO23, $AM$10:$AM$258), ""), 0)),"")</f>
        <v/>
      </c>
      <c r="AP24" s="105" t="str">
        <f t="array" ref="AP24">IFERROR(INDEX($AM$10:$AM$258, MATCH(0, IF(TRUE=$AK$10:$AK$258, COUNTIF($AP$9:$AP23, $AM$10:$AM$258), ""), 0)),"")</f>
        <v/>
      </c>
      <c r="AR24" s="15" t="str">
        <f>IFERROR(INDEX('G-7 WaterC'' Data'!$AZ$3:$AZ$7,MATCH(D24,'G-7 WaterC'' Data'!$AY$3:$AY$7,0)),"")</f>
        <v/>
      </c>
      <c r="AS24" s="15" t="str">
        <f>IFERROR(INDEX('G-7 WaterC'' Data'!AZ24:AZ28,MATCH(D24,'G-7 WaterC'' Data'!$AY$10:$AY$14,0)),"")</f>
        <v/>
      </c>
      <c r="AU24" s="15" t="str">
        <f>IF(D24="","",VLOOKUP(D24,'G-7 WaterC'' Data'!B$4:M$8,12,FALSE))</f>
        <v/>
      </c>
      <c r="AV24" s="15" t="str">
        <f t="shared" si="7"/>
        <v/>
      </c>
    </row>
    <row r="25" spans="3:48" ht="14" x14ac:dyDescent="0.3">
      <c r="C25" s="92">
        <v>16</v>
      </c>
      <c r="D25" s="270"/>
      <c r="E25" s="120"/>
      <c r="F25" s="290" t="str">
        <f>IF(D25="","",VLOOKUP(D25,'G-7 WaterC'' Data'!$B$2:$G$8,2,FALSE))</f>
        <v/>
      </c>
      <c r="G25" s="291" t="str">
        <f>IFERROR(VLOOKUP(F25,'G-7 WaterC'' Data'!$C$4:$D$8,2,FALSE),"")</f>
        <v/>
      </c>
      <c r="H25" s="38"/>
      <c r="I25" s="291" t="str">
        <f>IFERROR(INDEX('G-7 WaterC'' Data'!$H$4:$L$8,MATCH(D25,'G-7 WaterC'' Data'!$B$4:$B$8,0),MATCH(H25,'G-7 WaterC'' Data'!$H$3:$L$3,0)),"")</f>
        <v/>
      </c>
      <c r="J25" s="777"/>
      <c r="K25" s="325" t="str">
        <f>IF(J25="","",IF(VLOOKUP(J25,'G-7 WaterC'' Data'!$AK$4:$AM$6,2,FALSE)=0,"Spatial Data Missing ⚠",VLOOKUP(J25,'G-7 WaterC'' Data'!$AK$4:$AM$6,2,FALSE)))</f>
        <v/>
      </c>
      <c r="L25" s="296" t="str">
        <f>IF(J25="","",IF(VLOOKUP(J25,'G-7 WaterC'' Data'!$AK$4:$AM$9,3,FALSE)=0,"Spatial Data Missing ⚠",VLOOKUP(J25,'G-7 WaterC'' Data'!$AK$4:$AM$6,3,FALSE)))</f>
        <v/>
      </c>
      <c r="M25" s="38"/>
      <c r="N25" s="291" t="str">
        <f>IF(M25="","",IF(AND(D25&lt;&gt;"Culvert",M25="N/A - Culvert"),"Not possible ▲",IF(AND(D25="Culvert",M25&lt;&gt;"N/A - Culvert"),"Not possible ▲",IF(VLOOKUP(M25,'G-7 WaterC'' Data'!$AA$4:$AB$7,2,FALSE)=0,"Spatial Data Missing ⚠",VLOOKUP(M25,'G-7 WaterC'' Data'!$AA$4:$AB$7,2,FALSE)))))</f>
        <v/>
      </c>
      <c r="O25" s="44"/>
      <c r="P25" s="291" t="str">
        <f>IF(O25="","",IF(AND(O25="N/A - Culvert", D25&lt;&gt;"Culvert"),"Not possible ▲", IF(AND(D25="Culvert",O25&lt;&gt;"N/A - Culvert"),"Not possible ▲",IF(VLOOKUP(O25,'G-7 WaterC'' Data'!$AD$4:$AE$14,2,FALSE)=0,"Spatial Data Missing ⚠",VLOOKUP(O25,'G-7 WaterC'' Data'!$AD$4:$AE$14,2,FALSE)))))</f>
        <v/>
      </c>
      <c r="Q25" s="297" t="str">
        <f>IF(D25="","",VLOOKUP(D25,'G-7 WaterC'' Data'!$B$2:$G$8,6,FALSE))</f>
        <v/>
      </c>
      <c r="R25" s="304" t="str">
        <f>IFERROR(IF(AND(Q25='G-1 All Habitats'!$X$3, AE25&gt;0, U25&lt;=0, V25&lt;=0, OR(AA25="No", AA25="")),"Any Loss Unacceptable ⚠", (IF(AND(Q25='G-1 All Habitats'!$X$3, AE25&gt;0, U25&lt;=0, V25&lt;=0, AA25="Yes"), 0, (IF(AND(Q25='G-1 All Habitats'!$X$3,(U25+V25)&lt;E25, OR(AA25="No", AA25="")),"Any Loss Unacceptable ⚠", (IF(AND(Q25='G-1 All Habitats'!$X$3,(U25+V25)&gt;E25), E25*G25*I25*L25*N25*P25, (IF(Q25="","",IF(AND(Q25='G-1 All Habitats'!$X$3,V25&gt;0),W25+X25,IF(AND(Q25='G-1 All Habitats'!$X$3,U25&gt;0), W25+X25, IF(AND(S25="Yes", V25&gt;(E25-U25)),(E25-U25)*G25*I25*L25*N25*P25, IF(AND(S25="Yes", V25&lt;=(E25-U25)), X25, E25*G25*I25*L25*N25*P25 ))))))))))))),"Check Data ▲")</f>
        <v/>
      </c>
      <c r="S25" s="671" t="str">
        <f t="shared" si="0"/>
        <v/>
      </c>
      <c r="T25" s="17"/>
      <c r="U25" s="95"/>
      <c r="V25" s="106"/>
      <c r="W25" s="302" t="str">
        <f t="shared" si="1"/>
        <v/>
      </c>
      <c r="X25" s="302" t="str">
        <f t="shared" si="2"/>
        <v/>
      </c>
      <c r="Y25" s="302" t="str">
        <f t="shared" si="3"/>
        <v/>
      </c>
      <c r="Z25" s="471" t="str">
        <f t="shared" si="4"/>
        <v/>
      </c>
      <c r="AA25" s="488"/>
      <c r="AB25" s="486"/>
      <c r="AC25" s="101"/>
      <c r="AD25" s="101"/>
      <c r="AE25" s="41" t="str">
        <f>IF(OR(Q25="",AA25="Yes"),"",IF(Q25='G-1 All Habitats'!$X$3,E25-U25-V25,"None"))</f>
        <v/>
      </c>
      <c r="AF25" s="42" t="str">
        <f>IF(Q25="","", IF(Q25='G-1 All Habitats'!$X$3, AE25*G25*I25*L25*N25*P25,"None"))</f>
        <v/>
      </c>
      <c r="AI25" s="15">
        <f t="shared" si="8"/>
        <v>0</v>
      </c>
      <c r="AJ25" s="105" t="str">
        <f t="shared" si="5"/>
        <v/>
      </c>
      <c r="AK25" s="105" t="str">
        <f t="shared" si="6"/>
        <v/>
      </c>
      <c r="AM25" s="105">
        <v>16</v>
      </c>
      <c r="AO25" s="105" t="str">
        <f t="array" ref="AO25">IFERROR(INDEX($AM$10:$AM$258, MATCH(0, IF(TRUE=$AJ$10:$AJ$258, COUNTIF($AO$9:$AO24, $AM$10:$AM$258), ""), 0)),"")</f>
        <v/>
      </c>
      <c r="AP25" s="105" t="str">
        <f t="array" ref="AP25">IFERROR(INDEX($AM$10:$AM$258, MATCH(0, IF(TRUE=$AK$10:$AK$258, COUNTIF($AP$9:$AP24, $AM$10:$AM$258), ""), 0)),"")</f>
        <v/>
      </c>
      <c r="AR25" s="15" t="str">
        <f>IFERROR(INDEX('G-7 WaterC'' Data'!$AZ$3:$AZ$7,MATCH(D25,'G-7 WaterC'' Data'!$AY$3:$AY$7,0)),"")</f>
        <v/>
      </c>
      <c r="AS25" s="15" t="str">
        <f>IFERROR(INDEX('G-7 WaterC'' Data'!AZ25:AZ29,MATCH(D25,'G-7 WaterC'' Data'!$AY$10:$AY$14,0)),"")</f>
        <v/>
      </c>
      <c r="AU25" s="15" t="str">
        <f>IF(D25="","",VLOOKUP(D25,'G-7 WaterC'' Data'!B$4:M$8,12,FALSE))</f>
        <v/>
      </c>
      <c r="AV25" s="15" t="str">
        <f t="shared" si="7"/>
        <v/>
      </c>
    </row>
    <row r="26" spans="3:48" ht="14" x14ac:dyDescent="0.3">
      <c r="C26" s="92">
        <v>17</v>
      </c>
      <c r="D26" s="270"/>
      <c r="E26" s="120"/>
      <c r="F26" s="290" t="str">
        <f>IF(D26="","",VLOOKUP(D26,'G-7 WaterC'' Data'!$B$2:$G$8,2,FALSE))</f>
        <v/>
      </c>
      <c r="G26" s="291" t="str">
        <f>IFERROR(VLOOKUP(F26,'G-7 WaterC'' Data'!$C$4:$D$8,2,FALSE),"")</f>
        <v/>
      </c>
      <c r="H26" s="38"/>
      <c r="I26" s="291" t="str">
        <f>IFERROR(INDEX('G-7 WaterC'' Data'!$H$4:$L$8,MATCH(D26,'G-7 WaterC'' Data'!$B$4:$B$8,0),MATCH(H26,'G-7 WaterC'' Data'!$H$3:$L$3,0)),"")</f>
        <v/>
      </c>
      <c r="J26" s="777"/>
      <c r="K26" s="325" t="str">
        <f>IF(J26="","",IF(VLOOKUP(J26,'G-7 WaterC'' Data'!$AK$4:$AM$6,2,FALSE)=0,"Spatial Data Missing ⚠",VLOOKUP(J26,'G-7 WaterC'' Data'!$AK$4:$AM$6,2,FALSE)))</f>
        <v/>
      </c>
      <c r="L26" s="296" t="str">
        <f>IF(J26="","",IF(VLOOKUP(J26,'G-7 WaterC'' Data'!$AK$4:$AM$9,3,FALSE)=0,"Spatial Data Missing ⚠",VLOOKUP(J26,'G-7 WaterC'' Data'!$AK$4:$AM$6,3,FALSE)))</f>
        <v/>
      </c>
      <c r="M26" s="38"/>
      <c r="N26" s="291" t="str">
        <f>IF(M26="","",IF(AND(D26&lt;&gt;"Culvert",M26="N/A - Culvert"),"Not possible ▲",IF(AND(D26="Culvert",M26&lt;&gt;"N/A - Culvert"),"Not possible ▲",IF(VLOOKUP(M26,'G-7 WaterC'' Data'!$AA$4:$AB$7,2,FALSE)=0,"Spatial Data Missing ⚠",VLOOKUP(M26,'G-7 WaterC'' Data'!$AA$4:$AB$7,2,FALSE)))))</f>
        <v/>
      </c>
      <c r="O26" s="44"/>
      <c r="P26" s="291" t="str">
        <f>IF(O26="","",IF(AND(O26="N/A - Culvert", D26&lt;&gt;"Culvert"),"Not possible ▲", IF(AND(D26="Culvert",O26&lt;&gt;"N/A - Culvert"),"Not possible ▲",IF(VLOOKUP(O26,'G-7 WaterC'' Data'!$AD$4:$AE$14,2,FALSE)=0,"Spatial Data Missing ⚠",VLOOKUP(O26,'G-7 WaterC'' Data'!$AD$4:$AE$14,2,FALSE)))))</f>
        <v/>
      </c>
      <c r="Q26" s="297" t="str">
        <f>IF(D26="","",VLOOKUP(D26,'G-7 WaterC'' Data'!$B$2:$G$8,6,FALSE))</f>
        <v/>
      </c>
      <c r="R26" s="304" t="str">
        <f>IFERROR(IF(AND(Q26='G-1 All Habitats'!$X$3, AE26&gt;0, U26&lt;=0, V26&lt;=0, OR(AA26="No", AA26="")),"Any Loss Unacceptable ⚠", (IF(AND(Q26='G-1 All Habitats'!$X$3, AE26&gt;0, U26&lt;=0, V26&lt;=0, AA26="Yes"), 0, (IF(AND(Q26='G-1 All Habitats'!$X$3,(U26+V26)&lt;E26, OR(AA26="No", AA26="")),"Any Loss Unacceptable ⚠", (IF(AND(Q26='G-1 All Habitats'!$X$3,(U26+V26)&gt;E26), E26*G26*I26*L26*N26*P26, (IF(Q26="","",IF(AND(Q26='G-1 All Habitats'!$X$3,V26&gt;0),W26+X26,IF(AND(Q26='G-1 All Habitats'!$X$3,U26&gt;0), W26+X26, IF(AND(S26="Yes", V26&gt;(E26-U26)),(E26-U26)*G26*I26*L26*N26*P26, IF(AND(S26="Yes", V26&lt;=(E26-U26)), X26, E26*G26*I26*L26*N26*P26 ))))))))))))),"Check Data ▲")</f>
        <v/>
      </c>
      <c r="S26" s="671" t="str">
        <f t="shared" si="0"/>
        <v/>
      </c>
      <c r="T26" s="17"/>
      <c r="U26" s="95"/>
      <c r="V26" s="106"/>
      <c r="W26" s="302" t="str">
        <f t="shared" si="1"/>
        <v/>
      </c>
      <c r="X26" s="302" t="str">
        <f t="shared" si="2"/>
        <v/>
      </c>
      <c r="Y26" s="302" t="str">
        <f t="shared" si="3"/>
        <v/>
      </c>
      <c r="Z26" s="471" t="str">
        <f t="shared" si="4"/>
        <v/>
      </c>
      <c r="AA26" s="488"/>
      <c r="AB26" s="486"/>
      <c r="AC26" s="101"/>
      <c r="AD26" s="101"/>
      <c r="AE26" s="41" t="str">
        <f>IF(OR(Q26="",AA26="Yes"),"",IF(Q26='G-1 All Habitats'!$X$3,E26-U26-V26,"None"))</f>
        <v/>
      </c>
      <c r="AF26" s="42" t="str">
        <f>IF(Q26="","", IF(Q26='G-1 All Habitats'!$X$3, AE26*G26*I26*L26*N26*P26,"None"))</f>
        <v/>
      </c>
      <c r="AI26" s="15">
        <f t="shared" si="8"/>
        <v>0</v>
      </c>
      <c r="AJ26" s="105" t="str">
        <f t="shared" si="5"/>
        <v/>
      </c>
      <c r="AK26" s="105" t="str">
        <f t="shared" si="6"/>
        <v/>
      </c>
      <c r="AM26" s="105">
        <v>17</v>
      </c>
      <c r="AO26" s="105" t="str">
        <f t="array" ref="AO26">IFERROR(INDEX($AM$10:$AM$258, MATCH(0, IF(TRUE=$AJ$10:$AJ$258, COUNTIF($AO$9:$AO25, $AM$10:$AM$258), ""), 0)),"")</f>
        <v/>
      </c>
      <c r="AP26" s="105" t="str">
        <f t="array" ref="AP26">IFERROR(INDEX($AM$10:$AM$258, MATCH(0, IF(TRUE=$AK$10:$AK$258, COUNTIF($AP$9:$AP25, $AM$10:$AM$258), ""), 0)),"")</f>
        <v/>
      </c>
      <c r="AR26" s="15" t="str">
        <f>IFERROR(INDEX('G-7 WaterC'' Data'!$AZ$3:$AZ$7,MATCH(D26,'G-7 WaterC'' Data'!$AY$3:$AY$7,0)),"")</f>
        <v/>
      </c>
      <c r="AS26" s="15" t="str">
        <f>IFERROR(INDEX('G-7 WaterC'' Data'!AZ26:AZ30,MATCH(D26,'G-7 WaterC'' Data'!$AY$10:$AY$14,0)),"")</f>
        <v/>
      </c>
      <c r="AU26" s="15" t="str">
        <f>IF(D26="","",VLOOKUP(D26,'G-7 WaterC'' Data'!B$4:M$8,12,FALSE))</f>
        <v/>
      </c>
      <c r="AV26" s="15" t="str">
        <f t="shared" si="7"/>
        <v/>
      </c>
    </row>
    <row r="27" spans="3:48" ht="14" x14ac:dyDescent="0.3">
      <c r="C27" s="92">
        <v>18</v>
      </c>
      <c r="D27" s="270"/>
      <c r="E27" s="120"/>
      <c r="F27" s="290" t="str">
        <f>IF(D27="","",VLOOKUP(D27,'G-7 WaterC'' Data'!$B$2:$G$8,2,FALSE))</f>
        <v/>
      </c>
      <c r="G27" s="291" t="str">
        <f>IFERROR(VLOOKUP(F27,'G-7 WaterC'' Data'!$C$4:$D$8,2,FALSE),"")</f>
        <v/>
      </c>
      <c r="H27" s="38"/>
      <c r="I27" s="291" t="str">
        <f>IFERROR(INDEX('G-7 WaterC'' Data'!$H$4:$L$8,MATCH(D27,'G-7 WaterC'' Data'!$B$4:$B$8,0),MATCH(H27,'G-7 WaterC'' Data'!$H$3:$L$3,0)),"")</f>
        <v/>
      </c>
      <c r="J27" s="777"/>
      <c r="K27" s="325" t="str">
        <f>IF(J27="","",IF(VLOOKUP(J27,'G-7 WaterC'' Data'!$AK$4:$AM$6,2,FALSE)=0,"Spatial Data Missing ⚠",VLOOKUP(J27,'G-7 WaterC'' Data'!$AK$4:$AM$6,2,FALSE)))</f>
        <v/>
      </c>
      <c r="L27" s="296" t="str">
        <f>IF(J27="","",IF(VLOOKUP(J27,'G-7 WaterC'' Data'!$AK$4:$AM$9,3,FALSE)=0,"Spatial Data Missing ⚠",VLOOKUP(J27,'G-7 WaterC'' Data'!$AK$4:$AM$6,3,FALSE)))</f>
        <v/>
      </c>
      <c r="M27" s="38"/>
      <c r="N27" s="291" t="str">
        <f>IF(M27="","",IF(AND(D27&lt;&gt;"Culvert",M27="N/A - Culvert"),"Not possible ▲",IF(AND(D27="Culvert",M27&lt;&gt;"N/A - Culvert"),"Not possible ▲",IF(VLOOKUP(M27,'G-7 WaterC'' Data'!$AA$4:$AB$7,2,FALSE)=0,"Spatial Data Missing ⚠",VLOOKUP(M27,'G-7 WaterC'' Data'!$AA$4:$AB$7,2,FALSE)))))</f>
        <v/>
      </c>
      <c r="O27" s="44"/>
      <c r="P27" s="291" t="str">
        <f>IF(O27="","",IF(AND(O27="N/A - Culvert", D27&lt;&gt;"Culvert"),"Not possible ▲", IF(AND(D27="Culvert",O27&lt;&gt;"N/A - Culvert"),"Not possible ▲",IF(VLOOKUP(O27,'G-7 WaterC'' Data'!$AD$4:$AE$14,2,FALSE)=0,"Spatial Data Missing ⚠",VLOOKUP(O27,'G-7 WaterC'' Data'!$AD$4:$AE$14,2,FALSE)))))</f>
        <v/>
      </c>
      <c r="Q27" s="297" t="str">
        <f>IF(D27="","",VLOOKUP(D27,'G-7 WaterC'' Data'!$B$2:$G$8,6,FALSE))</f>
        <v/>
      </c>
      <c r="R27" s="304" t="str">
        <f>IFERROR(IF(AND(Q27='G-1 All Habitats'!$X$3, AE27&gt;0, U27&lt;=0, V27&lt;=0, OR(AA27="No", AA27="")),"Any Loss Unacceptable ⚠", (IF(AND(Q27='G-1 All Habitats'!$X$3, AE27&gt;0, U27&lt;=0, V27&lt;=0, AA27="Yes"), 0, (IF(AND(Q27='G-1 All Habitats'!$X$3,(U27+V27)&lt;E27, OR(AA27="No", AA27="")),"Any Loss Unacceptable ⚠", (IF(AND(Q27='G-1 All Habitats'!$X$3,(U27+V27)&gt;E27), E27*G27*I27*L27*N27*P27, (IF(Q27="","",IF(AND(Q27='G-1 All Habitats'!$X$3,V27&gt;0),W27+X27,IF(AND(Q27='G-1 All Habitats'!$X$3,U27&gt;0), W27+X27, IF(AND(S27="Yes", V27&gt;(E27-U27)),(E27-U27)*G27*I27*L27*N27*P27, IF(AND(S27="Yes", V27&lt;=(E27-U27)), X27, E27*G27*I27*L27*N27*P27 ))))))))))))),"Check Data ▲")</f>
        <v/>
      </c>
      <c r="S27" s="671" t="str">
        <f t="shared" si="0"/>
        <v/>
      </c>
      <c r="T27" s="17"/>
      <c r="U27" s="95"/>
      <c r="V27" s="106"/>
      <c r="W27" s="302" t="str">
        <f t="shared" si="1"/>
        <v/>
      </c>
      <c r="X27" s="302" t="str">
        <f t="shared" si="2"/>
        <v/>
      </c>
      <c r="Y27" s="302" t="str">
        <f t="shared" si="3"/>
        <v/>
      </c>
      <c r="Z27" s="471" t="str">
        <f t="shared" si="4"/>
        <v/>
      </c>
      <c r="AA27" s="488"/>
      <c r="AB27" s="486"/>
      <c r="AC27" s="101"/>
      <c r="AD27" s="101"/>
      <c r="AE27" s="41" t="str">
        <f>IF(OR(Q27="",AA27="Yes"),"",IF(Q27='G-1 All Habitats'!$X$3,E27-U27-V27,"None"))</f>
        <v/>
      </c>
      <c r="AF27" s="42" t="str">
        <f>IF(Q27="","", IF(Q27='G-1 All Habitats'!$X$3, AE27*G27*I27*L27*N27*P27,"None"))</f>
        <v/>
      </c>
      <c r="AI27" s="15">
        <f t="shared" si="8"/>
        <v>0</v>
      </c>
      <c r="AJ27" s="105" t="str">
        <f t="shared" si="5"/>
        <v/>
      </c>
      <c r="AK27" s="105" t="str">
        <f t="shared" si="6"/>
        <v/>
      </c>
      <c r="AM27" s="105">
        <v>18</v>
      </c>
      <c r="AO27" s="105" t="str">
        <f t="array" ref="AO27">IFERROR(INDEX($AM$10:$AM$258, MATCH(0, IF(TRUE=$AJ$10:$AJ$258, COUNTIF($AO$9:$AO26, $AM$10:$AM$258), ""), 0)),"")</f>
        <v/>
      </c>
      <c r="AP27" s="105" t="str">
        <f t="array" ref="AP27">IFERROR(INDEX($AM$10:$AM$258, MATCH(0, IF(TRUE=$AK$10:$AK$258, COUNTIF($AP$9:$AP26, $AM$10:$AM$258), ""), 0)),"")</f>
        <v/>
      </c>
      <c r="AR27" s="15" t="str">
        <f>IFERROR(INDEX('G-7 WaterC'' Data'!$AZ$3:$AZ$7,MATCH(D27,'G-7 WaterC'' Data'!$AY$3:$AY$7,0)),"")</f>
        <v/>
      </c>
      <c r="AS27" s="15" t="str">
        <f>IFERROR(INDEX('G-7 WaterC'' Data'!AZ27:AZ31,MATCH(D27,'G-7 WaterC'' Data'!$AY$10:$AY$14,0)),"")</f>
        <v/>
      </c>
      <c r="AU27" s="15" t="str">
        <f>IF(D27="","",VLOOKUP(D27,'G-7 WaterC'' Data'!B$4:M$8,12,FALSE))</f>
        <v/>
      </c>
      <c r="AV27" s="15" t="str">
        <f t="shared" si="7"/>
        <v/>
      </c>
    </row>
    <row r="28" spans="3:48" ht="14" x14ac:dyDescent="0.3">
      <c r="C28" s="92">
        <v>19</v>
      </c>
      <c r="D28" s="270"/>
      <c r="E28" s="120"/>
      <c r="F28" s="290" t="str">
        <f>IF(D28="","",VLOOKUP(D28,'G-7 WaterC'' Data'!$B$2:$G$8,2,FALSE))</f>
        <v/>
      </c>
      <c r="G28" s="291" t="str">
        <f>IFERROR(VLOOKUP(F28,'G-7 WaterC'' Data'!$C$4:$D$8,2,FALSE),"")</f>
        <v/>
      </c>
      <c r="H28" s="38"/>
      <c r="I28" s="291" t="str">
        <f>IFERROR(INDEX('G-7 WaterC'' Data'!$H$4:$L$8,MATCH(D28,'G-7 WaterC'' Data'!$B$4:$B$8,0),MATCH(H28,'G-7 WaterC'' Data'!$H$3:$L$3,0)),"")</f>
        <v/>
      </c>
      <c r="J28" s="777"/>
      <c r="K28" s="325" t="str">
        <f>IF(J28="","",IF(VLOOKUP(J28,'G-7 WaterC'' Data'!$AK$4:$AM$6,2,FALSE)=0,"Spatial Data Missing ⚠",VLOOKUP(J28,'G-7 WaterC'' Data'!$AK$4:$AM$6,2,FALSE)))</f>
        <v/>
      </c>
      <c r="L28" s="296" t="str">
        <f>IF(J28="","",IF(VLOOKUP(J28,'G-7 WaterC'' Data'!$AK$4:$AM$9,3,FALSE)=0,"Spatial Data Missing ⚠",VLOOKUP(J28,'G-7 WaterC'' Data'!$AK$4:$AM$6,3,FALSE)))</f>
        <v/>
      </c>
      <c r="M28" s="38"/>
      <c r="N28" s="291" t="str">
        <f>IF(M28="","",IF(AND(D28&lt;&gt;"Culvert",M28="N/A - Culvert"),"Not possible ▲",IF(AND(D28="Culvert",M28&lt;&gt;"N/A - Culvert"),"Not possible ▲",IF(VLOOKUP(M28,'G-7 WaterC'' Data'!$AA$4:$AB$7,2,FALSE)=0,"Spatial Data Missing ⚠",VLOOKUP(M28,'G-7 WaterC'' Data'!$AA$4:$AB$7,2,FALSE)))))</f>
        <v/>
      </c>
      <c r="O28" s="44"/>
      <c r="P28" s="291" t="str">
        <f>IF(O28="","",IF(AND(O28="N/A - Culvert", D28&lt;&gt;"Culvert"),"Not possible ▲", IF(AND(D28="Culvert",O28&lt;&gt;"N/A - Culvert"),"Not possible ▲",IF(VLOOKUP(O28,'G-7 WaterC'' Data'!$AD$4:$AE$14,2,FALSE)=0,"Spatial Data Missing ⚠",VLOOKUP(O28,'G-7 WaterC'' Data'!$AD$4:$AE$14,2,FALSE)))))</f>
        <v/>
      </c>
      <c r="Q28" s="297" t="str">
        <f>IF(D28="","",VLOOKUP(D28,'G-7 WaterC'' Data'!$B$2:$G$8,6,FALSE))</f>
        <v/>
      </c>
      <c r="R28" s="304" t="str">
        <f>IFERROR(IF(AND(Q28='G-1 All Habitats'!$X$3, AE28&gt;0, U28&lt;=0, V28&lt;=0, OR(AA28="No", AA28="")),"Any Loss Unacceptable ⚠", (IF(AND(Q28='G-1 All Habitats'!$X$3, AE28&gt;0, U28&lt;=0, V28&lt;=0, AA28="Yes"), 0, (IF(AND(Q28='G-1 All Habitats'!$X$3,(U28+V28)&lt;E28, OR(AA28="No", AA28="")),"Any Loss Unacceptable ⚠", (IF(AND(Q28='G-1 All Habitats'!$X$3,(U28+V28)&gt;E28), E28*G28*I28*L28*N28*P28, (IF(Q28="","",IF(AND(Q28='G-1 All Habitats'!$X$3,V28&gt;0),W28+X28,IF(AND(Q28='G-1 All Habitats'!$X$3,U28&gt;0), W28+X28, IF(AND(S28="Yes", V28&gt;(E28-U28)),(E28-U28)*G28*I28*L28*N28*P28, IF(AND(S28="Yes", V28&lt;=(E28-U28)), X28, E28*G28*I28*L28*N28*P28 ))))))))))))),"Check Data ▲")</f>
        <v/>
      </c>
      <c r="S28" s="671" t="str">
        <f t="shared" si="0"/>
        <v/>
      </c>
      <c r="T28" s="17"/>
      <c r="U28" s="95"/>
      <c r="V28" s="106"/>
      <c r="W28" s="302" t="str">
        <f t="shared" si="1"/>
        <v/>
      </c>
      <c r="X28" s="302" t="str">
        <f t="shared" si="2"/>
        <v/>
      </c>
      <c r="Y28" s="302" t="str">
        <f t="shared" si="3"/>
        <v/>
      </c>
      <c r="Z28" s="471" t="str">
        <f t="shared" si="4"/>
        <v/>
      </c>
      <c r="AA28" s="488"/>
      <c r="AB28" s="486"/>
      <c r="AC28" s="101"/>
      <c r="AD28" s="101"/>
      <c r="AE28" s="41" t="str">
        <f>IF(OR(Q28="",AA28="Yes"),"",IF(Q28='G-1 All Habitats'!$X$3,E28-U28-V28,"None"))</f>
        <v/>
      </c>
      <c r="AF28" s="42" t="str">
        <f>IF(Q28="","", IF(Q28='G-1 All Habitats'!$X$3, AE28*G28*I28*L28*N28*P28,"None"))</f>
        <v/>
      </c>
      <c r="AI28" s="15">
        <f t="shared" si="8"/>
        <v>0</v>
      </c>
      <c r="AJ28" s="105" t="str">
        <f t="shared" si="5"/>
        <v/>
      </c>
      <c r="AK28" s="105" t="str">
        <f t="shared" si="6"/>
        <v/>
      </c>
      <c r="AM28" s="105">
        <v>19</v>
      </c>
      <c r="AO28" s="105" t="str">
        <f t="array" ref="AO28">IFERROR(INDEX($AM$10:$AM$258, MATCH(0, IF(TRUE=$AJ$10:$AJ$258, COUNTIF($AO$9:$AO27, $AM$10:$AM$258), ""), 0)),"")</f>
        <v/>
      </c>
      <c r="AP28" s="105" t="str">
        <f t="array" ref="AP28">IFERROR(INDEX($AM$10:$AM$258, MATCH(0, IF(TRUE=$AK$10:$AK$258, COUNTIF($AP$9:$AP27, $AM$10:$AM$258), ""), 0)),"")</f>
        <v/>
      </c>
      <c r="AR28" s="15" t="str">
        <f>IFERROR(INDEX('G-7 WaterC'' Data'!$AZ$3:$AZ$7,MATCH(D28,'G-7 WaterC'' Data'!$AY$3:$AY$7,0)),"")</f>
        <v/>
      </c>
      <c r="AS28" s="15" t="str">
        <f>IFERROR(INDEX('G-7 WaterC'' Data'!AZ28:AZ32,MATCH(D28,'G-7 WaterC'' Data'!$AY$10:$AY$14,0)),"")</f>
        <v/>
      </c>
      <c r="AU28" s="15" t="str">
        <f>IF(D28="","",VLOOKUP(D28,'G-7 WaterC'' Data'!B$4:M$8,12,FALSE))</f>
        <v/>
      </c>
      <c r="AV28" s="15" t="str">
        <f t="shared" si="7"/>
        <v/>
      </c>
    </row>
    <row r="29" spans="3:48" ht="14" x14ac:dyDescent="0.3">
      <c r="C29" s="92">
        <v>20</v>
      </c>
      <c r="D29" s="270"/>
      <c r="E29" s="120"/>
      <c r="F29" s="290" t="str">
        <f>IF(D29="","",VLOOKUP(D29,'G-7 WaterC'' Data'!$B$2:$G$8,2,FALSE))</f>
        <v/>
      </c>
      <c r="G29" s="291" t="str">
        <f>IFERROR(VLOOKUP(F29,'G-7 WaterC'' Data'!$C$4:$D$8,2,FALSE),"")</f>
        <v/>
      </c>
      <c r="H29" s="38"/>
      <c r="I29" s="291" t="str">
        <f>IFERROR(INDEX('G-7 WaterC'' Data'!$H$4:$L$8,MATCH(D29,'G-7 WaterC'' Data'!$B$4:$B$8,0),MATCH(H29,'G-7 WaterC'' Data'!$H$3:$L$3,0)),"")</f>
        <v/>
      </c>
      <c r="J29" s="777"/>
      <c r="K29" s="325" t="str">
        <f>IF(J29="","",IF(VLOOKUP(J29,'G-7 WaterC'' Data'!$AK$4:$AM$6,2,FALSE)=0,"Spatial Data Missing ⚠",VLOOKUP(J29,'G-7 WaterC'' Data'!$AK$4:$AM$6,2,FALSE)))</f>
        <v/>
      </c>
      <c r="L29" s="296" t="str">
        <f>IF(J29="","",IF(VLOOKUP(J29,'G-7 WaterC'' Data'!$AK$4:$AM$9,3,FALSE)=0,"Spatial Data Missing ⚠",VLOOKUP(J29,'G-7 WaterC'' Data'!$AK$4:$AM$6,3,FALSE)))</f>
        <v/>
      </c>
      <c r="M29" s="38"/>
      <c r="N29" s="291" t="str">
        <f>IF(M29="","",IF(AND(D29&lt;&gt;"Culvert",M29="N/A - Culvert"),"Not possible ▲",IF(AND(D29="Culvert",M29&lt;&gt;"N/A - Culvert"),"Not possible ▲",IF(VLOOKUP(M29,'G-7 WaterC'' Data'!$AA$4:$AB$7,2,FALSE)=0,"Spatial Data Missing ⚠",VLOOKUP(M29,'G-7 WaterC'' Data'!$AA$4:$AB$7,2,FALSE)))))</f>
        <v/>
      </c>
      <c r="O29" s="44"/>
      <c r="P29" s="291" t="str">
        <f>IF(O29="","",IF(AND(O29="N/A - Culvert", D29&lt;&gt;"Culvert"),"Not possible ▲", IF(AND(D29="Culvert",O29&lt;&gt;"N/A - Culvert"),"Not possible ▲",IF(VLOOKUP(O29,'G-7 WaterC'' Data'!$AD$4:$AE$14,2,FALSE)=0,"Spatial Data Missing ⚠",VLOOKUP(O29,'G-7 WaterC'' Data'!$AD$4:$AE$14,2,FALSE)))))</f>
        <v/>
      </c>
      <c r="Q29" s="297" t="str">
        <f>IF(D29="","",VLOOKUP(D29,'G-7 WaterC'' Data'!$B$2:$G$8,6,FALSE))</f>
        <v/>
      </c>
      <c r="R29" s="304" t="str">
        <f>IFERROR(IF(AND(Q29='G-1 All Habitats'!$X$3, AE29&gt;0, U29&lt;=0, V29&lt;=0, OR(AA29="No", AA29="")),"Any Loss Unacceptable ⚠", (IF(AND(Q29='G-1 All Habitats'!$X$3, AE29&gt;0, U29&lt;=0, V29&lt;=0, AA29="Yes"), 0, (IF(AND(Q29='G-1 All Habitats'!$X$3,(U29+V29)&lt;E29, OR(AA29="No", AA29="")),"Any Loss Unacceptable ⚠", (IF(AND(Q29='G-1 All Habitats'!$X$3,(U29+V29)&gt;E29), E29*G29*I29*L29*N29*P29, (IF(Q29="","",IF(AND(Q29='G-1 All Habitats'!$X$3,V29&gt;0),W29+X29,IF(AND(Q29='G-1 All Habitats'!$X$3,U29&gt;0), W29+X29, IF(AND(S29="Yes", V29&gt;(E29-U29)),(E29-U29)*G29*I29*L29*N29*P29, IF(AND(S29="Yes", V29&lt;=(E29-U29)), X29, E29*G29*I29*L29*N29*P29 ))))))))))))),"Check Data ▲")</f>
        <v/>
      </c>
      <c r="S29" s="671" t="str">
        <f t="shared" si="0"/>
        <v/>
      </c>
      <c r="T29" s="17"/>
      <c r="U29" s="95"/>
      <c r="V29" s="106"/>
      <c r="W29" s="302" t="str">
        <f t="shared" si="1"/>
        <v/>
      </c>
      <c r="X29" s="302" t="str">
        <f t="shared" si="2"/>
        <v/>
      </c>
      <c r="Y29" s="302" t="str">
        <f t="shared" si="3"/>
        <v/>
      </c>
      <c r="Z29" s="471" t="str">
        <f t="shared" si="4"/>
        <v/>
      </c>
      <c r="AA29" s="488"/>
      <c r="AB29" s="486"/>
      <c r="AC29" s="101"/>
      <c r="AD29" s="101"/>
      <c r="AE29" s="41" t="str">
        <f>IF(OR(Q29="",AA29="Yes"),"",IF(Q29='G-1 All Habitats'!$X$3,E29-U29-V29,"None"))</f>
        <v/>
      </c>
      <c r="AF29" s="42" t="str">
        <f>IF(Q29="","", IF(Q29='G-1 All Habitats'!$X$3, AE29*G29*I29*L29*N29*P29,"None"))</f>
        <v/>
      </c>
      <c r="AI29" s="15">
        <f t="shared" si="8"/>
        <v>0</v>
      </c>
      <c r="AJ29" s="105" t="str">
        <f t="shared" si="5"/>
        <v/>
      </c>
      <c r="AK29" s="105" t="str">
        <f t="shared" si="6"/>
        <v/>
      </c>
      <c r="AM29" s="105">
        <v>20</v>
      </c>
      <c r="AO29" s="105" t="str">
        <f t="array" ref="AO29">IFERROR(INDEX($AM$10:$AM$258, MATCH(0, IF(TRUE=$AJ$10:$AJ$258, COUNTIF($AO$9:$AO28, $AM$10:$AM$258), ""), 0)),"")</f>
        <v/>
      </c>
      <c r="AP29" s="105" t="str">
        <f t="array" ref="AP29">IFERROR(INDEX($AM$10:$AM$258, MATCH(0, IF(TRUE=$AK$10:$AK$258, COUNTIF($AP$9:$AP28, $AM$10:$AM$258), ""), 0)),"")</f>
        <v/>
      </c>
      <c r="AR29" s="15" t="str">
        <f>IFERROR(INDEX('G-7 WaterC'' Data'!$AZ$3:$AZ$7,MATCH(D29,'G-7 WaterC'' Data'!$AY$3:$AY$7,0)),"")</f>
        <v/>
      </c>
      <c r="AS29" s="15" t="str">
        <f>IFERROR(INDEX('G-7 WaterC'' Data'!AZ29:AZ33,MATCH(D29,'G-7 WaterC'' Data'!$AY$10:$AY$14,0)),"")</f>
        <v/>
      </c>
      <c r="AU29" s="15" t="str">
        <f>IF(D29="","",VLOOKUP(D29,'G-7 WaterC'' Data'!B$4:M$8,12,FALSE))</f>
        <v/>
      </c>
      <c r="AV29" s="15" t="str">
        <f t="shared" si="7"/>
        <v/>
      </c>
    </row>
    <row r="30" spans="3:48" ht="14" x14ac:dyDescent="0.3">
      <c r="C30" s="92">
        <v>21</v>
      </c>
      <c r="D30" s="270"/>
      <c r="E30" s="120"/>
      <c r="F30" s="290" t="str">
        <f>IF(D30="","",VLOOKUP(D30,'G-7 WaterC'' Data'!$B$2:$G$8,2,FALSE))</f>
        <v/>
      </c>
      <c r="G30" s="291" t="str">
        <f>IFERROR(VLOOKUP(F30,'G-7 WaterC'' Data'!$C$4:$D$8,2,FALSE),"")</f>
        <v/>
      </c>
      <c r="H30" s="38"/>
      <c r="I30" s="291" t="str">
        <f>IFERROR(INDEX('G-7 WaterC'' Data'!$H$4:$L$8,MATCH(D30,'G-7 WaterC'' Data'!$B$4:$B$8,0),MATCH(H30,'G-7 WaterC'' Data'!$H$3:$L$3,0)),"")</f>
        <v/>
      </c>
      <c r="J30" s="777"/>
      <c r="K30" s="325" t="str">
        <f>IF(J30="","",IF(VLOOKUP(J30,'G-7 WaterC'' Data'!$AK$4:$AM$6,2,FALSE)=0,"Spatial Data Missing ⚠",VLOOKUP(J30,'G-7 WaterC'' Data'!$AK$4:$AM$6,2,FALSE)))</f>
        <v/>
      </c>
      <c r="L30" s="296" t="str">
        <f>IF(J30="","",IF(VLOOKUP(J30,'G-7 WaterC'' Data'!$AK$4:$AM$9,3,FALSE)=0,"Spatial Data Missing ⚠",VLOOKUP(J30,'G-7 WaterC'' Data'!$AK$4:$AM$6,3,FALSE)))</f>
        <v/>
      </c>
      <c r="M30" s="38"/>
      <c r="N30" s="291" t="str">
        <f>IF(M30="","",IF(AND(D30&lt;&gt;"Culvert",M30="N/A - Culvert"),"Not possible ▲",IF(AND(D30="Culvert",M30&lt;&gt;"N/A - Culvert"),"Not possible ▲",IF(VLOOKUP(M30,'G-7 WaterC'' Data'!$AA$4:$AB$7,2,FALSE)=0,"Spatial Data Missing ⚠",VLOOKUP(M30,'G-7 WaterC'' Data'!$AA$4:$AB$7,2,FALSE)))))</f>
        <v/>
      </c>
      <c r="O30" s="44"/>
      <c r="P30" s="291" t="str">
        <f>IF(O30="","",IF(AND(O30="N/A - Culvert", D30&lt;&gt;"Culvert"),"Not possible ▲", IF(AND(D30="Culvert",O30&lt;&gt;"N/A - Culvert"),"Not possible ▲",IF(VLOOKUP(O30,'G-7 WaterC'' Data'!$AD$4:$AE$14,2,FALSE)=0,"Spatial Data Missing ⚠",VLOOKUP(O30,'G-7 WaterC'' Data'!$AD$4:$AE$14,2,FALSE)))))</f>
        <v/>
      </c>
      <c r="Q30" s="297" t="str">
        <f>IF(D30="","",VLOOKUP(D30,'G-7 WaterC'' Data'!$B$2:$G$8,6,FALSE))</f>
        <v/>
      </c>
      <c r="R30" s="304" t="str">
        <f>IFERROR(IF(AND(Q30='G-1 All Habitats'!$X$3, AE30&gt;0, U30&lt;=0, V30&lt;=0, OR(AA30="No", AA30="")),"Any Loss Unacceptable ⚠", (IF(AND(Q30='G-1 All Habitats'!$X$3, AE30&gt;0, U30&lt;=0, V30&lt;=0, AA30="Yes"), 0, (IF(AND(Q30='G-1 All Habitats'!$X$3,(U30+V30)&lt;E30, OR(AA30="No", AA30="")),"Any Loss Unacceptable ⚠", (IF(AND(Q30='G-1 All Habitats'!$X$3,(U30+V30)&gt;E30), E30*G30*I30*L30*N30*P30, (IF(Q30="","",IF(AND(Q30='G-1 All Habitats'!$X$3,V30&gt;0),W30+X30,IF(AND(Q30='G-1 All Habitats'!$X$3,U30&gt;0), W30+X30, IF(AND(S30="Yes", V30&gt;(E30-U30)),(E30-U30)*G30*I30*L30*N30*P30, IF(AND(S30="Yes", V30&lt;=(E30-U30)), X30, E30*G30*I30*L30*N30*P30 ))))))))))))),"Check Data ▲")</f>
        <v/>
      </c>
      <c r="S30" s="671" t="str">
        <f t="shared" si="0"/>
        <v/>
      </c>
      <c r="T30" s="17"/>
      <c r="U30" s="95"/>
      <c r="V30" s="106"/>
      <c r="W30" s="302" t="str">
        <f t="shared" si="1"/>
        <v/>
      </c>
      <c r="X30" s="302" t="str">
        <f t="shared" si="2"/>
        <v/>
      </c>
      <c r="Y30" s="302" t="str">
        <f t="shared" si="3"/>
        <v/>
      </c>
      <c r="Z30" s="471" t="str">
        <f t="shared" si="4"/>
        <v/>
      </c>
      <c r="AA30" s="488"/>
      <c r="AB30" s="486"/>
      <c r="AC30" s="101"/>
      <c r="AD30" s="101"/>
      <c r="AE30" s="41" t="str">
        <f>IF(OR(Q30="",AA30="Yes"),"",IF(Q30='G-1 All Habitats'!$X$3,E30-U30-V30,"None"))</f>
        <v/>
      </c>
      <c r="AF30" s="42" t="str">
        <f>IF(Q30="","", IF(Q30='G-1 All Habitats'!$X$3, AE30*G30*I30*L30*N30*P30,"None"))</f>
        <v/>
      </c>
      <c r="AI30" s="15">
        <f t="shared" si="8"/>
        <v>0</v>
      </c>
      <c r="AJ30" s="105" t="str">
        <f t="shared" si="5"/>
        <v/>
      </c>
      <c r="AK30" s="105" t="str">
        <f t="shared" si="6"/>
        <v/>
      </c>
      <c r="AM30" s="105">
        <v>21</v>
      </c>
      <c r="AO30" s="105" t="str">
        <f t="array" ref="AO30">IFERROR(INDEX($AM$10:$AM$258, MATCH(0, IF(TRUE=$AJ$10:$AJ$258, COUNTIF($AO$9:$AO29, $AM$10:$AM$258), ""), 0)),"")</f>
        <v/>
      </c>
      <c r="AP30" s="105" t="str">
        <f t="array" ref="AP30">IFERROR(INDEX($AM$10:$AM$258, MATCH(0, IF(TRUE=$AK$10:$AK$258, COUNTIF($AP$9:$AP29, $AM$10:$AM$258), ""), 0)),"")</f>
        <v/>
      </c>
      <c r="AR30" s="15" t="str">
        <f>IFERROR(INDEX('G-7 WaterC'' Data'!$AZ$3:$AZ$7,MATCH(D30,'G-7 WaterC'' Data'!$AY$3:$AY$7,0)),"")</f>
        <v/>
      </c>
      <c r="AS30" s="15" t="str">
        <f>IFERROR(INDEX('G-7 WaterC'' Data'!AZ30:AZ34,MATCH(D30,'G-7 WaterC'' Data'!$AY$10:$AY$14,0)),"")</f>
        <v/>
      </c>
      <c r="AU30" s="15" t="str">
        <f>IF(D30="","",VLOOKUP(D30,'G-7 WaterC'' Data'!B$4:M$8,12,FALSE))</f>
        <v/>
      </c>
      <c r="AV30" s="15" t="str">
        <f t="shared" si="7"/>
        <v/>
      </c>
    </row>
    <row r="31" spans="3:48" ht="14" x14ac:dyDescent="0.3">
      <c r="C31" s="92">
        <v>22</v>
      </c>
      <c r="D31" s="270"/>
      <c r="E31" s="120"/>
      <c r="F31" s="290" t="str">
        <f>IF(D31="","",VLOOKUP(D31,'G-7 WaterC'' Data'!$B$2:$G$8,2,FALSE))</f>
        <v/>
      </c>
      <c r="G31" s="291" t="str">
        <f>IFERROR(VLOOKUP(F31,'G-7 WaterC'' Data'!$C$4:$D$8,2,FALSE),"")</f>
        <v/>
      </c>
      <c r="H31" s="38"/>
      <c r="I31" s="291" t="str">
        <f>IFERROR(INDEX('G-7 WaterC'' Data'!$H$4:$L$8,MATCH(D31,'G-7 WaterC'' Data'!$B$4:$B$8,0),MATCH(H31,'G-7 WaterC'' Data'!$H$3:$L$3,0)),"")</f>
        <v/>
      </c>
      <c r="J31" s="777"/>
      <c r="K31" s="325" t="str">
        <f>IF(J31="","",IF(VLOOKUP(J31,'G-7 WaterC'' Data'!$AK$4:$AM$6,2,FALSE)=0,"Spatial Data Missing ⚠",VLOOKUP(J31,'G-7 WaterC'' Data'!$AK$4:$AM$6,2,FALSE)))</f>
        <v/>
      </c>
      <c r="L31" s="296" t="str">
        <f>IF(J31="","",IF(VLOOKUP(J31,'G-7 WaterC'' Data'!$AK$4:$AM$9,3,FALSE)=0,"Spatial Data Missing ⚠",VLOOKUP(J31,'G-7 WaterC'' Data'!$AK$4:$AM$6,3,FALSE)))</f>
        <v/>
      </c>
      <c r="M31" s="38"/>
      <c r="N31" s="291" t="str">
        <f>IF(M31="","",IF(AND(D31&lt;&gt;"Culvert",M31="N/A - Culvert"),"Not possible ▲",IF(AND(D31="Culvert",M31&lt;&gt;"N/A - Culvert"),"Not possible ▲",IF(VLOOKUP(M31,'G-7 WaterC'' Data'!$AA$4:$AB$7,2,FALSE)=0,"Spatial Data Missing ⚠",VLOOKUP(M31,'G-7 WaterC'' Data'!$AA$4:$AB$7,2,FALSE)))))</f>
        <v/>
      </c>
      <c r="O31" s="44"/>
      <c r="P31" s="291" t="str">
        <f>IF(O31="","",IF(AND(O31="N/A - Culvert", D31&lt;&gt;"Culvert"),"Not possible ▲", IF(AND(D31="Culvert",O31&lt;&gt;"N/A - Culvert"),"Not possible ▲",IF(VLOOKUP(O31,'G-7 WaterC'' Data'!$AD$4:$AE$14,2,FALSE)=0,"Spatial Data Missing ⚠",VLOOKUP(O31,'G-7 WaterC'' Data'!$AD$4:$AE$14,2,FALSE)))))</f>
        <v/>
      </c>
      <c r="Q31" s="297" t="str">
        <f>IF(D31="","",VLOOKUP(D31,'G-7 WaterC'' Data'!$B$2:$G$8,6,FALSE))</f>
        <v/>
      </c>
      <c r="R31" s="304" t="str">
        <f>IFERROR(IF(AND(Q31='G-1 All Habitats'!$X$3, AE31&gt;0, U31&lt;=0, V31&lt;=0, OR(AA31="No", AA31="")),"Any Loss Unacceptable ⚠", (IF(AND(Q31='G-1 All Habitats'!$X$3, AE31&gt;0, U31&lt;=0, V31&lt;=0, AA31="Yes"), 0, (IF(AND(Q31='G-1 All Habitats'!$X$3,(U31+V31)&lt;E31, OR(AA31="No", AA31="")),"Any Loss Unacceptable ⚠", (IF(AND(Q31='G-1 All Habitats'!$X$3,(U31+V31)&gt;E31), E31*G31*I31*L31*N31*P31, (IF(Q31="","",IF(AND(Q31='G-1 All Habitats'!$X$3,V31&gt;0),W31+X31,IF(AND(Q31='G-1 All Habitats'!$X$3,U31&gt;0), W31+X31, IF(AND(S31="Yes", V31&gt;(E31-U31)),(E31-U31)*G31*I31*L31*N31*P31, IF(AND(S31="Yes", V31&lt;=(E31-U31)), X31, E31*G31*I31*L31*N31*P31 ))))))))))))),"Check Data ▲")</f>
        <v/>
      </c>
      <c r="S31" s="671" t="str">
        <f t="shared" si="0"/>
        <v/>
      </c>
      <c r="T31" s="17"/>
      <c r="U31" s="95"/>
      <c r="V31" s="106"/>
      <c r="W31" s="302" t="str">
        <f t="shared" si="1"/>
        <v/>
      </c>
      <c r="X31" s="302" t="str">
        <f t="shared" si="2"/>
        <v/>
      </c>
      <c r="Y31" s="302" t="str">
        <f t="shared" si="3"/>
        <v/>
      </c>
      <c r="Z31" s="471" t="str">
        <f t="shared" si="4"/>
        <v/>
      </c>
      <c r="AA31" s="488"/>
      <c r="AB31" s="486"/>
      <c r="AC31" s="101"/>
      <c r="AD31" s="101"/>
      <c r="AE31" s="41" t="str">
        <f>IF(OR(Q31="",AA31="Yes"),"",IF(Q31='G-1 All Habitats'!$X$3,E31-U31-V31,"None"))</f>
        <v/>
      </c>
      <c r="AF31" s="42" t="str">
        <f>IF(Q31="","", IF(Q31='G-1 All Habitats'!$X$3, AE31*G31*I31*L31*N31*P31,"None"))</f>
        <v/>
      </c>
      <c r="AI31" s="15">
        <f t="shared" si="8"/>
        <v>0</v>
      </c>
      <c r="AJ31" s="105" t="str">
        <f t="shared" si="5"/>
        <v/>
      </c>
      <c r="AK31" s="105" t="str">
        <f t="shared" si="6"/>
        <v/>
      </c>
      <c r="AM31" s="105">
        <v>22</v>
      </c>
      <c r="AO31" s="105" t="str">
        <f t="array" ref="AO31">IFERROR(INDEX($AM$10:$AM$258, MATCH(0, IF(TRUE=$AJ$10:$AJ$258, COUNTIF($AO$9:$AO30, $AM$10:$AM$258), ""), 0)),"")</f>
        <v/>
      </c>
      <c r="AP31" s="105" t="str">
        <f t="array" ref="AP31">IFERROR(INDEX($AM$10:$AM$258, MATCH(0, IF(TRUE=$AK$10:$AK$258, COUNTIF($AP$9:$AP30, $AM$10:$AM$258), ""), 0)),"")</f>
        <v/>
      </c>
      <c r="AR31" s="15" t="str">
        <f>IFERROR(INDEX('G-7 WaterC'' Data'!$AZ$3:$AZ$7,MATCH(D31,'G-7 WaterC'' Data'!$AY$3:$AY$7,0)),"")</f>
        <v/>
      </c>
      <c r="AS31" s="15" t="str">
        <f>IFERROR(INDEX('G-7 WaterC'' Data'!AZ31:AZ35,MATCH(D31,'G-7 WaterC'' Data'!$AY$10:$AY$14,0)),"")</f>
        <v/>
      </c>
      <c r="AU31" s="15" t="str">
        <f>IF(D31="","",VLOOKUP(D31,'G-7 WaterC'' Data'!B$4:M$8,12,FALSE))</f>
        <v/>
      </c>
      <c r="AV31" s="15" t="str">
        <f t="shared" si="7"/>
        <v/>
      </c>
    </row>
    <row r="32" spans="3:48" ht="14" x14ac:dyDescent="0.3">
      <c r="C32" s="92">
        <v>23</v>
      </c>
      <c r="D32" s="270"/>
      <c r="E32" s="120"/>
      <c r="F32" s="290" t="str">
        <f>IF(D32="","",VLOOKUP(D32,'G-7 WaterC'' Data'!$B$2:$G$8,2,FALSE))</f>
        <v/>
      </c>
      <c r="G32" s="291" t="str">
        <f>IFERROR(VLOOKUP(F32,'G-7 WaterC'' Data'!$C$4:$D$8,2,FALSE),"")</f>
        <v/>
      </c>
      <c r="H32" s="38"/>
      <c r="I32" s="291" t="str">
        <f>IFERROR(INDEX('G-7 WaterC'' Data'!$H$4:$L$8,MATCH(D32,'G-7 WaterC'' Data'!$B$4:$B$8,0),MATCH(H32,'G-7 WaterC'' Data'!$H$3:$L$3,0)),"")</f>
        <v/>
      </c>
      <c r="J32" s="777"/>
      <c r="K32" s="325" t="str">
        <f>IF(J32="","",IF(VLOOKUP(J32,'G-7 WaterC'' Data'!$AK$4:$AM$6,2,FALSE)=0,"Spatial Data Missing ⚠",VLOOKUP(J32,'G-7 WaterC'' Data'!$AK$4:$AM$6,2,FALSE)))</f>
        <v/>
      </c>
      <c r="L32" s="296" t="str">
        <f>IF(J32="","",IF(VLOOKUP(J32,'G-7 WaterC'' Data'!$AK$4:$AM$9,3,FALSE)=0,"Spatial Data Missing ⚠",VLOOKUP(J32,'G-7 WaterC'' Data'!$AK$4:$AM$6,3,FALSE)))</f>
        <v/>
      </c>
      <c r="M32" s="38"/>
      <c r="N32" s="291" t="str">
        <f>IF(M32="","",IF(AND(D32&lt;&gt;"Culvert",M32="N/A - Culvert"),"Not possible ▲",IF(AND(D32="Culvert",M32&lt;&gt;"N/A - Culvert"),"Not possible ▲",IF(VLOOKUP(M32,'G-7 WaterC'' Data'!$AA$4:$AB$7,2,FALSE)=0,"Spatial Data Missing ⚠",VLOOKUP(M32,'G-7 WaterC'' Data'!$AA$4:$AB$7,2,FALSE)))))</f>
        <v/>
      </c>
      <c r="O32" s="44"/>
      <c r="P32" s="291" t="str">
        <f>IF(O32="","",IF(AND(O32="N/A - Culvert", D32&lt;&gt;"Culvert"),"Not possible ▲", IF(AND(D32="Culvert",O32&lt;&gt;"N/A - Culvert"),"Not possible ▲",IF(VLOOKUP(O32,'G-7 WaterC'' Data'!$AD$4:$AE$14,2,FALSE)=0,"Spatial Data Missing ⚠",VLOOKUP(O32,'G-7 WaterC'' Data'!$AD$4:$AE$14,2,FALSE)))))</f>
        <v/>
      </c>
      <c r="Q32" s="297" t="str">
        <f>IF(D32="","",VLOOKUP(D32,'G-7 WaterC'' Data'!$B$2:$G$8,6,FALSE))</f>
        <v/>
      </c>
      <c r="R32" s="304" t="str">
        <f>IFERROR(IF(AND(Q32='G-1 All Habitats'!$X$3, AE32&gt;0, U32&lt;=0, V32&lt;=0, OR(AA32="No", AA32="")),"Any Loss Unacceptable ⚠", (IF(AND(Q32='G-1 All Habitats'!$X$3, AE32&gt;0, U32&lt;=0, V32&lt;=0, AA32="Yes"), 0, (IF(AND(Q32='G-1 All Habitats'!$X$3,(U32+V32)&lt;E32, OR(AA32="No", AA32="")),"Any Loss Unacceptable ⚠", (IF(AND(Q32='G-1 All Habitats'!$X$3,(U32+V32)&gt;E32), E32*G32*I32*L32*N32*P32, (IF(Q32="","",IF(AND(Q32='G-1 All Habitats'!$X$3,V32&gt;0),W32+X32,IF(AND(Q32='G-1 All Habitats'!$X$3,U32&gt;0), W32+X32, IF(AND(S32="Yes", V32&gt;(E32-U32)),(E32-U32)*G32*I32*L32*N32*P32, IF(AND(S32="Yes", V32&lt;=(E32-U32)), X32, E32*G32*I32*L32*N32*P32 ))))))))))))),"Check Data ▲")</f>
        <v/>
      </c>
      <c r="S32" s="671" t="str">
        <f t="shared" si="0"/>
        <v/>
      </c>
      <c r="T32" s="17"/>
      <c r="U32" s="95"/>
      <c r="V32" s="106"/>
      <c r="W32" s="302" t="str">
        <f t="shared" si="1"/>
        <v/>
      </c>
      <c r="X32" s="302" t="str">
        <f t="shared" si="2"/>
        <v/>
      </c>
      <c r="Y32" s="302" t="str">
        <f t="shared" si="3"/>
        <v/>
      </c>
      <c r="Z32" s="471" t="str">
        <f t="shared" si="4"/>
        <v/>
      </c>
      <c r="AA32" s="488"/>
      <c r="AB32" s="486"/>
      <c r="AC32" s="101"/>
      <c r="AD32" s="101"/>
      <c r="AE32" s="41" t="str">
        <f>IF(OR(Q32="",AA32="Yes"),"",IF(Q32='G-1 All Habitats'!$X$3,E32-U32-V32,"None"))</f>
        <v/>
      </c>
      <c r="AF32" s="42" t="str">
        <f>IF(Q32="","", IF(Q32='G-1 All Habitats'!$X$3, AE32*G32*I32*L32*N32*P32,"None"))</f>
        <v/>
      </c>
      <c r="AI32" s="15">
        <f t="shared" si="8"/>
        <v>0</v>
      </c>
      <c r="AJ32" s="105" t="str">
        <f t="shared" si="5"/>
        <v/>
      </c>
      <c r="AK32" s="105" t="str">
        <f t="shared" si="6"/>
        <v/>
      </c>
      <c r="AM32" s="105">
        <v>23</v>
      </c>
      <c r="AO32" s="105" t="str">
        <f t="array" ref="AO32">IFERROR(INDEX($AM$10:$AM$258, MATCH(0, IF(TRUE=$AJ$10:$AJ$258, COUNTIF($AO$9:$AO31, $AM$10:$AM$258), ""), 0)),"")</f>
        <v/>
      </c>
      <c r="AP32" s="105" t="str">
        <f t="array" ref="AP32">IFERROR(INDEX($AM$10:$AM$258, MATCH(0, IF(TRUE=$AK$10:$AK$258, COUNTIF($AP$9:$AP31, $AM$10:$AM$258), ""), 0)),"")</f>
        <v/>
      </c>
      <c r="AR32" s="15" t="str">
        <f>IFERROR(INDEX('G-7 WaterC'' Data'!$AZ$3:$AZ$7,MATCH(D32,'G-7 WaterC'' Data'!$AY$3:$AY$7,0)),"")</f>
        <v/>
      </c>
      <c r="AS32" s="15" t="str">
        <f>IFERROR(INDEX('G-7 WaterC'' Data'!AZ32:AZ36,MATCH(D32,'G-7 WaterC'' Data'!$AY$10:$AY$14,0)),"")</f>
        <v/>
      </c>
      <c r="AU32" s="15" t="str">
        <f>IF(D32="","",VLOOKUP(D32,'G-7 WaterC'' Data'!B$4:M$8,12,FALSE))</f>
        <v/>
      </c>
      <c r="AV32" s="15" t="str">
        <f t="shared" si="7"/>
        <v/>
      </c>
    </row>
    <row r="33" spans="3:48" ht="14" x14ac:dyDescent="0.3">
      <c r="C33" s="92">
        <v>24</v>
      </c>
      <c r="D33" s="271"/>
      <c r="E33" s="120"/>
      <c r="F33" s="290" t="str">
        <f>IF(D33="","",VLOOKUP(D33,'G-7 WaterC'' Data'!$B$2:$G$8,2,FALSE))</f>
        <v/>
      </c>
      <c r="G33" s="291" t="str">
        <f>IFERROR(VLOOKUP(F33,'G-7 WaterC'' Data'!$C$4:$D$8,2,FALSE),"")</f>
        <v/>
      </c>
      <c r="H33" s="38"/>
      <c r="I33" s="291" t="str">
        <f>IFERROR(INDEX('G-7 WaterC'' Data'!$H$4:$L$8,MATCH(D33,'G-7 WaterC'' Data'!$B$4:$B$8,0),MATCH(H33,'G-7 WaterC'' Data'!$H$3:$L$3,0)),"")</f>
        <v/>
      </c>
      <c r="J33" s="777"/>
      <c r="K33" s="325" t="str">
        <f>IF(J33="","",IF(VLOOKUP(J33,'G-7 WaterC'' Data'!$AK$4:$AM$6,2,FALSE)=0,"Spatial Data Missing ⚠",VLOOKUP(J33,'G-7 WaterC'' Data'!$AK$4:$AM$6,2,FALSE)))</f>
        <v/>
      </c>
      <c r="L33" s="296" t="str">
        <f>IF(J33="","",IF(VLOOKUP(J33,'G-7 WaterC'' Data'!$AK$4:$AM$9,3,FALSE)=0,"Spatial Data Missing ⚠",VLOOKUP(J33,'G-7 WaterC'' Data'!$AK$4:$AM$6,3,FALSE)))</f>
        <v/>
      </c>
      <c r="M33" s="38"/>
      <c r="N33" s="291" t="str">
        <f>IF(M33="","",IF(AND(D33&lt;&gt;"Culvert",M33="N/A - Culvert"),"Not possible ▲",IF(AND(D33="Culvert",M33&lt;&gt;"N/A - Culvert"),"Not possible ▲",IF(VLOOKUP(M33,'G-7 WaterC'' Data'!$AA$4:$AB$7,2,FALSE)=0,"Spatial Data Missing ⚠",VLOOKUP(M33,'G-7 WaterC'' Data'!$AA$4:$AB$7,2,FALSE)))))</f>
        <v/>
      </c>
      <c r="O33" s="44"/>
      <c r="P33" s="291" t="str">
        <f>IF(O33="","",IF(AND(O33="N/A - Culvert", D33&lt;&gt;"Culvert"),"Not possible ▲", IF(AND(D33="Culvert",O33&lt;&gt;"N/A - Culvert"),"Not possible ▲",IF(VLOOKUP(O33,'G-7 WaterC'' Data'!$AD$4:$AE$14,2,FALSE)=0,"Spatial Data Missing ⚠",VLOOKUP(O33,'G-7 WaterC'' Data'!$AD$4:$AE$14,2,FALSE)))))</f>
        <v/>
      </c>
      <c r="Q33" s="297" t="str">
        <f>IF(D33="","",VLOOKUP(D33,'G-7 WaterC'' Data'!$B$2:$G$8,6,FALSE))</f>
        <v/>
      </c>
      <c r="R33" s="304" t="str">
        <f>IFERROR(IF(AND(Q33='G-1 All Habitats'!$X$3, AE33&gt;0, U33&lt;=0, V33&lt;=0, OR(AA33="No", AA33="")),"Any Loss Unacceptable ⚠", (IF(AND(Q33='G-1 All Habitats'!$X$3, AE33&gt;0, U33&lt;=0, V33&lt;=0, AA33="Yes"), 0, (IF(AND(Q33='G-1 All Habitats'!$X$3,(U33+V33)&lt;E33, OR(AA33="No", AA33="")),"Any Loss Unacceptable ⚠", (IF(AND(Q33='G-1 All Habitats'!$X$3,(U33+V33)&gt;E33), E33*G33*I33*L33*N33*P33, (IF(Q33="","",IF(AND(Q33='G-1 All Habitats'!$X$3,V33&gt;0),W33+X33,IF(AND(Q33='G-1 All Habitats'!$X$3,U33&gt;0), W33+X33, IF(AND(S33="Yes", V33&gt;(E33-U33)),(E33-U33)*G33*I33*L33*N33*P33, IF(AND(S33="Yes", V33&lt;=(E33-U33)), X33, E33*G33*I33*L33*N33*P33 ))))))))))))),"Check Data ▲")</f>
        <v/>
      </c>
      <c r="S33" s="671" t="str">
        <f t="shared" si="0"/>
        <v/>
      </c>
      <c r="T33" s="17"/>
      <c r="U33" s="95"/>
      <c r="V33" s="106"/>
      <c r="W33" s="302" t="str">
        <f t="shared" si="1"/>
        <v/>
      </c>
      <c r="X33" s="302" t="str">
        <f t="shared" si="2"/>
        <v/>
      </c>
      <c r="Y33" s="302" t="str">
        <f t="shared" si="3"/>
        <v/>
      </c>
      <c r="Z33" s="471" t="str">
        <f t="shared" si="4"/>
        <v/>
      </c>
      <c r="AA33" s="488"/>
      <c r="AB33" s="486"/>
      <c r="AC33" s="101"/>
      <c r="AD33" s="101"/>
      <c r="AE33" s="41" t="str">
        <f>IF(OR(Q33="",AA33="Yes"),"",IF(Q33='G-1 All Habitats'!$X$3,E33-U33-V33,"None"))</f>
        <v/>
      </c>
      <c r="AF33" s="42" t="str">
        <f>IF(Q33="","", IF(Q33='G-1 All Habitats'!$X$3, AE33*G33*I33*L33*N33*P33,"None"))</f>
        <v/>
      </c>
      <c r="AI33" s="15">
        <f t="shared" si="8"/>
        <v>0</v>
      </c>
      <c r="AJ33" s="105" t="str">
        <f t="shared" si="5"/>
        <v/>
      </c>
      <c r="AK33" s="105" t="str">
        <f t="shared" si="6"/>
        <v/>
      </c>
      <c r="AM33" s="105">
        <v>24</v>
      </c>
      <c r="AO33" s="105" t="str">
        <f t="array" ref="AO33">IFERROR(INDEX($AM$10:$AM$258, MATCH(0, IF(TRUE=$AJ$10:$AJ$258, COUNTIF($AO$9:$AO32, $AM$10:$AM$258), ""), 0)),"")</f>
        <v/>
      </c>
      <c r="AP33" s="105" t="str">
        <f t="array" ref="AP33">IFERROR(INDEX($AM$10:$AM$258, MATCH(0, IF(TRUE=$AK$10:$AK$258, COUNTIF($AP$9:$AP32, $AM$10:$AM$258), ""), 0)),"")</f>
        <v/>
      </c>
      <c r="AR33" s="15" t="str">
        <f>IFERROR(INDEX('G-7 WaterC'' Data'!$AZ$3:$AZ$7,MATCH(D33,'G-7 WaterC'' Data'!$AY$3:$AY$7,0)),"")</f>
        <v/>
      </c>
      <c r="AS33" s="15" t="str">
        <f>IFERROR(INDEX('G-7 WaterC'' Data'!AZ33:AZ37,MATCH(D33,'G-7 WaterC'' Data'!$AY$10:$AY$14,0)),"")</f>
        <v/>
      </c>
      <c r="AU33" s="15" t="str">
        <f>IF(D33="","",VLOOKUP(D33,'G-7 WaterC'' Data'!B$4:M$8,12,FALSE))</f>
        <v/>
      </c>
      <c r="AV33" s="15" t="str">
        <f t="shared" si="7"/>
        <v/>
      </c>
    </row>
    <row r="34" spans="3:48" ht="14" x14ac:dyDescent="0.3">
      <c r="C34" s="92">
        <v>25</v>
      </c>
      <c r="D34" s="271"/>
      <c r="E34" s="120"/>
      <c r="F34" s="290" t="str">
        <f>IF(D34="","",VLOOKUP(D34,'G-7 WaterC'' Data'!$B$2:$G$8,2,FALSE))</f>
        <v/>
      </c>
      <c r="G34" s="291" t="str">
        <f>IFERROR(VLOOKUP(F34,'G-7 WaterC'' Data'!$C$4:$D$8,2,FALSE),"")</f>
        <v/>
      </c>
      <c r="H34" s="38"/>
      <c r="I34" s="291" t="str">
        <f>IFERROR(INDEX('G-7 WaterC'' Data'!$H$4:$L$8,MATCH(D34,'G-7 WaterC'' Data'!$B$4:$B$8,0),MATCH(H34,'G-7 WaterC'' Data'!$H$3:$L$3,0)),"")</f>
        <v/>
      </c>
      <c r="J34" s="777"/>
      <c r="K34" s="325" t="str">
        <f>IF(J34="","",IF(VLOOKUP(J34,'G-7 WaterC'' Data'!$AK$4:$AM$6,2,FALSE)=0,"Spatial Data Missing ⚠",VLOOKUP(J34,'G-7 WaterC'' Data'!$AK$4:$AM$6,2,FALSE)))</f>
        <v/>
      </c>
      <c r="L34" s="296" t="str">
        <f>IF(J34="","",IF(VLOOKUP(J34,'G-7 WaterC'' Data'!$AK$4:$AM$9,3,FALSE)=0,"Spatial Data Missing ⚠",VLOOKUP(J34,'G-7 WaterC'' Data'!$AK$4:$AM$6,3,FALSE)))</f>
        <v/>
      </c>
      <c r="M34" s="38"/>
      <c r="N34" s="291" t="str">
        <f>IF(M34="","",IF(AND(D34&lt;&gt;"Culvert",M34="N/A - Culvert"),"Not possible ▲",IF(AND(D34="Culvert",M34&lt;&gt;"N/A - Culvert"),"Not possible ▲",IF(VLOOKUP(M34,'G-7 WaterC'' Data'!$AA$4:$AB$7,2,FALSE)=0,"Spatial Data Missing ⚠",VLOOKUP(M34,'G-7 WaterC'' Data'!$AA$4:$AB$7,2,FALSE)))))</f>
        <v/>
      </c>
      <c r="O34" s="44"/>
      <c r="P34" s="291" t="str">
        <f>IF(O34="","",IF(AND(O34="N/A - Culvert", D34&lt;&gt;"Culvert"),"Not possible ▲", IF(AND(D34="Culvert",O34&lt;&gt;"N/A - Culvert"),"Not possible ▲",IF(VLOOKUP(O34,'G-7 WaterC'' Data'!$AD$4:$AE$14,2,FALSE)=0,"Spatial Data Missing ⚠",VLOOKUP(O34,'G-7 WaterC'' Data'!$AD$4:$AE$14,2,FALSE)))))</f>
        <v/>
      </c>
      <c r="Q34" s="297" t="str">
        <f>IF(D34="","",VLOOKUP(D34,'G-7 WaterC'' Data'!$B$2:$G$8,6,FALSE))</f>
        <v/>
      </c>
      <c r="R34" s="304" t="str">
        <f>IFERROR(IF(AND(Q34='G-1 All Habitats'!$X$3, AE34&gt;0, U34&lt;=0, V34&lt;=0, OR(AA34="No", AA34="")),"Any Loss Unacceptable ⚠", (IF(AND(Q34='G-1 All Habitats'!$X$3, AE34&gt;0, U34&lt;=0, V34&lt;=0, AA34="Yes"), 0, (IF(AND(Q34='G-1 All Habitats'!$X$3,(U34+V34)&lt;E34, OR(AA34="No", AA34="")),"Any Loss Unacceptable ⚠", (IF(AND(Q34='G-1 All Habitats'!$X$3,(U34+V34)&gt;E34), E34*G34*I34*L34*N34*P34, (IF(Q34="","",IF(AND(Q34='G-1 All Habitats'!$X$3,V34&gt;0),W34+X34,IF(AND(Q34='G-1 All Habitats'!$X$3,U34&gt;0), W34+X34, IF(AND(S34="Yes", V34&gt;(E34-U34)),(E34-U34)*G34*I34*L34*N34*P34, IF(AND(S34="Yes", V34&lt;=(E34-U34)), X34, E34*G34*I34*L34*N34*P34 ))))))))))))),"Check Data ▲")</f>
        <v/>
      </c>
      <c r="S34" s="671" t="str">
        <f t="shared" si="0"/>
        <v/>
      </c>
      <c r="T34" s="17"/>
      <c r="U34" s="95"/>
      <c r="V34" s="106"/>
      <c r="W34" s="302" t="str">
        <f t="shared" si="1"/>
        <v/>
      </c>
      <c r="X34" s="302" t="str">
        <f t="shared" si="2"/>
        <v/>
      </c>
      <c r="Y34" s="302" t="str">
        <f t="shared" si="3"/>
        <v/>
      </c>
      <c r="Z34" s="471" t="str">
        <f t="shared" si="4"/>
        <v/>
      </c>
      <c r="AA34" s="488"/>
      <c r="AB34" s="486"/>
      <c r="AC34" s="101"/>
      <c r="AD34" s="101"/>
      <c r="AE34" s="41" t="str">
        <f>IF(OR(Q34="",AA34="Yes"),"",IF(Q34='G-1 All Habitats'!$X$3,E34-U34-V34,"None"))</f>
        <v/>
      </c>
      <c r="AF34" s="42" t="str">
        <f>IF(Q34="","", IF(Q34='G-1 All Habitats'!$X$3, AE34*G34*I34*L34*N34*P34,"None"))</f>
        <v/>
      </c>
      <c r="AI34" s="15">
        <f t="shared" si="8"/>
        <v>0</v>
      </c>
      <c r="AJ34" s="105" t="str">
        <f t="shared" si="5"/>
        <v/>
      </c>
      <c r="AK34" s="105" t="str">
        <f t="shared" si="6"/>
        <v/>
      </c>
      <c r="AM34" s="105">
        <v>25</v>
      </c>
      <c r="AO34" s="105" t="str">
        <f t="array" ref="AO34">IFERROR(INDEX($AM$10:$AM$258, MATCH(0, IF(TRUE=$AJ$10:$AJ$258, COUNTIF($AO$9:$AO33, $AM$10:$AM$258), ""), 0)),"")</f>
        <v/>
      </c>
      <c r="AP34" s="105" t="str">
        <f t="array" ref="AP34">IFERROR(INDEX($AM$10:$AM$258, MATCH(0, IF(TRUE=$AK$10:$AK$258, COUNTIF($AP$9:$AP33, $AM$10:$AM$258), ""), 0)),"")</f>
        <v/>
      </c>
      <c r="AR34" s="15" t="str">
        <f>IFERROR(INDEX('G-7 WaterC'' Data'!$AZ$3:$AZ$7,MATCH(D34,'G-7 WaterC'' Data'!$AY$3:$AY$7,0)),"")</f>
        <v/>
      </c>
      <c r="AS34" s="15" t="str">
        <f>IFERROR(INDEX('G-7 WaterC'' Data'!AZ34:AZ38,MATCH(D34,'G-7 WaterC'' Data'!$AY$10:$AY$14,0)),"")</f>
        <v/>
      </c>
      <c r="AU34" s="15" t="str">
        <f>IF(D34="","",VLOOKUP(D34,'G-7 WaterC'' Data'!B$4:M$8,12,FALSE))</f>
        <v/>
      </c>
      <c r="AV34" s="15" t="str">
        <f t="shared" si="7"/>
        <v/>
      </c>
    </row>
    <row r="35" spans="3:48" ht="14" x14ac:dyDescent="0.3">
      <c r="C35" s="92">
        <v>26</v>
      </c>
      <c r="D35" s="271"/>
      <c r="E35" s="120"/>
      <c r="F35" s="290" t="str">
        <f>IF(D35="","",VLOOKUP(D35,'G-7 WaterC'' Data'!$B$2:$G$8,2,FALSE))</f>
        <v/>
      </c>
      <c r="G35" s="291" t="str">
        <f>IFERROR(VLOOKUP(F35,'G-7 WaterC'' Data'!$C$4:$D$8,2,FALSE),"")</f>
        <v/>
      </c>
      <c r="H35" s="38"/>
      <c r="I35" s="291" t="str">
        <f>IFERROR(INDEX('G-7 WaterC'' Data'!$H$4:$L$8,MATCH(D35,'G-7 WaterC'' Data'!$B$4:$B$8,0),MATCH(H35,'G-7 WaterC'' Data'!$H$3:$L$3,0)),"")</f>
        <v/>
      </c>
      <c r="J35" s="777"/>
      <c r="K35" s="325" t="str">
        <f>IF(J35="","",IF(VLOOKUP(J35,'G-7 WaterC'' Data'!$AK$4:$AM$6,2,FALSE)=0,"Spatial Data Missing ⚠",VLOOKUP(J35,'G-7 WaterC'' Data'!$AK$4:$AM$6,2,FALSE)))</f>
        <v/>
      </c>
      <c r="L35" s="296" t="str">
        <f>IF(J35="","",IF(VLOOKUP(J35,'G-7 WaterC'' Data'!$AK$4:$AM$9,3,FALSE)=0,"Spatial Data Missing ⚠",VLOOKUP(J35,'G-7 WaterC'' Data'!$AK$4:$AM$6,3,FALSE)))</f>
        <v/>
      </c>
      <c r="M35" s="38"/>
      <c r="N35" s="291" t="str">
        <f>IF(M35="","",IF(AND(D35&lt;&gt;"Culvert",M35="N/A - Culvert"),"Not possible ▲",IF(AND(D35="Culvert",M35&lt;&gt;"N/A - Culvert"),"Not possible ▲",IF(VLOOKUP(M35,'G-7 WaterC'' Data'!$AA$4:$AB$7,2,FALSE)=0,"Spatial Data Missing ⚠",VLOOKUP(M35,'G-7 WaterC'' Data'!$AA$4:$AB$7,2,FALSE)))))</f>
        <v/>
      </c>
      <c r="O35" s="44"/>
      <c r="P35" s="291" t="str">
        <f>IF(O35="","",IF(AND(O35="N/A - Culvert", D35&lt;&gt;"Culvert"),"Not possible ▲", IF(AND(D35="Culvert",O35&lt;&gt;"N/A - Culvert"),"Not possible ▲",IF(VLOOKUP(O35,'G-7 WaterC'' Data'!$AD$4:$AE$14,2,FALSE)=0,"Spatial Data Missing ⚠",VLOOKUP(O35,'G-7 WaterC'' Data'!$AD$4:$AE$14,2,FALSE)))))</f>
        <v/>
      </c>
      <c r="Q35" s="297" t="str">
        <f>IF(D35="","",VLOOKUP(D35,'G-7 WaterC'' Data'!$B$2:$G$8,6,FALSE))</f>
        <v/>
      </c>
      <c r="R35" s="304" t="str">
        <f>IFERROR(IF(AND(Q35='G-1 All Habitats'!$X$3, AE35&gt;0, U35&lt;=0, V35&lt;=0, OR(AA35="No", AA35="")),"Any Loss Unacceptable ⚠", (IF(AND(Q35='G-1 All Habitats'!$X$3, AE35&gt;0, U35&lt;=0, V35&lt;=0, AA35="Yes"), 0, (IF(AND(Q35='G-1 All Habitats'!$X$3,(U35+V35)&lt;E35, OR(AA35="No", AA35="")),"Any Loss Unacceptable ⚠", (IF(AND(Q35='G-1 All Habitats'!$X$3,(U35+V35)&gt;E35), E35*G35*I35*L35*N35*P35, (IF(Q35="","",IF(AND(Q35='G-1 All Habitats'!$X$3,V35&gt;0),W35+X35,IF(AND(Q35='G-1 All Habitats'!$X$3,U35&gt;0), W35+X35, IF(AND(S35="Yes", V35&gt;(E35-U35)),(E35-U35)*G35*I35*L35*N35*P35, IF(AND(S35="Yes", V35&lt;=(E35-U35)), X35, E35*G35*I35*L35*N35*P35 ))))))))))))),"Check Data ▲")</f>
        <v/>
      </c>
      <c r="S35" s="671" t="str">
        <f t="shared" si="0"/>
        <v/>
      </c>
      <c r="T35" s="17"/>
      <c r="U35" s="95"/>
      <c r="V35" s="106"/>
      <c r="W35" s="302" t="str">
        <f t="shared" si="1"/>
        <v/>
      </c>
      <c r="X35" s="302" t="str">
        <f t="shared" si="2"/>
        <v/>
      </c>
      <c r="Y35" s="302" t="str">
        <f t="shared" si="3"/>
        <v/>
      </c>
      <c r="Z35" s="471" t="str">
        <f t="shared" si="4"/>
        <v/>
      </c>
      <c r="AA35" s="488"/>
      <c r="AB35" s="486"/>
      <c r="AC35" s="101"/>
      <c r="AD35" s="101"/>
      <c r="AE35" s="41" t="str">
        <f>IF(OR(Q35="",AA35="Yes"),"",IF(Q35='G-1 All Habitats'!$X$3,E35-U35-V35,"None"))</f>
        <v/>
      </c>
      <c r="AF35" s="42" t="str">
        <f>IF(Q35="","", IF(Q35='G-1 All Habitats'!$X$3, AE35*G35*I35*L35*N35*P35,"None"))</f>
        <v/>
      </c>
      <c r="AI35" s="15">
        <f t="shared" si="8"/>
        <v>0</v>
      </c>
      <c r="AJ35" s="105" t="str">
        <f t="shared" si="5"/>
        <v/>
      </c>
      <c r="AK35" s="105" t="str">
        <f t="shared" si="6"/>
        <v/>
      </c>
      <c r="AM35" s="105">
        <v>26</v>
      </c>
      <c r="AO35" s="105" t="str">
        <f t="array" ref="AO35">IFERROR(INDEX($AM$10:$AM$258, MATCH(0, IF(TRUE=$AJ$10:$AJ$258, COUNTIF($AO$9:$AO34, $AM$10:$AM$258), ""), 0)),"")</f>
        <v/>
      </c>
      <c r="AP35" s="105" t="str">
        <f t="array" ref="AP35">IFERROR(INDEX($AM$10:$AM$258, MATCH(0, IF(TRUE=$AK$10:$AK$258, COUNTIF($AP$9:$AP34, $AM$10:$AM$258), ""), 0)),"")</f>
        <v/>
      </c>
      <c r="AR35" s="15" t="str">
        <f>IFERROR(INDEX('G-7 WaterC'' Data'!$AZ$3:$AZ$7,MATCH(D35,'G-7 WaterC'' Data'!$AY$3:$AY$7,0)),"")</f>
        <v/>
      </c>
      <c r="AS35" s="15" t="str">
        <f>IFERROR(INDEX('G-7 WaterC'' Data'!AZ35:AZ39,MATCH(D35,'G-7 WaterC'' Data'!$AY$10:$AY$14,0)),"")</f>
        <v/>
      </c>
      <c r="AU35" s="15" t="str">
        <f>IF(D35="","",VLOOKUP(D35,'G-7 WaterC'' Data'!B$4:M$8,12,FALSE))</f>
        <v/>
      </c>
      <c r="AV35" s="15" t="str">
        <f t="shared" si="7"/>
        <v/>
      </c>
    </row>
    <row r="36" spans="3:48" ht="14" x14ac:dyDescent="0.3">
      <c r="C36" s="92">
        <v>27</v>
      </c>
      <c r="D36" s="271"/>
      <c r="E36" s="120"/>
      <c r="F36" s="290" t="str">
        <f>IF(D36="","",VLOOKUP(D36,'G-7 WaterC'' Data'!$B$2:$G$8,2,FALSE))</f>
        <v/>
      </c>
      <c r="G36" s="291" t="str">
        <f>IFERROR(VLOOKUP(F36,'G-7 WaterC'' Data'!$C$4:$D$8,2,FALSE),"")</f>
        <v/>
      </c>
      <c r="H36" s="38"/>
      <c r="I36" s="291" t="str">
        <f>IFERROR(INDEX('G-7 WaterC'' Data'!$H$4:$L$8,MATCH(D36,'G-7 WaterC'' Data'!$B$4:$B$8,0),MATCH(H36,'G-7 WaterC'' Data'!$H$3:$L$3,0)),"")</f>
        <v/>
      </c>
      <c r="J36" s="777"/>
      <c r="K36" s="325" t="str">
        <f>IF(J36="","",IF(VLOOKUP(J36,'G-7 WaterC'' Data'!$AK$4:$AM$6,2,FALSE)=0,"Spatial Data Missing ⚠",VLOOKUP(J36,'G-7 WaterC'' Data'!$AK$4:$AM$6,2,FALSE)))</f>
        <v/>
      </c>
      <c r="L36" s="296" t="str">
        <f>IF(J36="","",IF(VLOOKUP(J36,'G-7 WaterC'' Data'!$AK$4:$AM$9,3,FALSE)=0,"Spatial Data Missing ⚠",VLOOKUP(J36,'G-7 WaterC'' Data'!$AK$4:$AM$6,3,FALSE)))</f>
        <v/>
      </c>
      <c r="M36" s="38"/>
      <c r="N36" s="291" t="str">
        <f>IF(M36="","",IF(AND(D36&lt;&gt;"Culvert",M36="N/A - Culvert"),"Not possible ▲",IF(AND(D36="Culvert",M36&lt;&gt;"N/A - Culvert"),"Not possible ▲",IF(VLOOKUP(M36,'G-7 WaterC'' Data'!$AA$4:$AB$7,2,FALSE)=0,"Spatial Data Missing ⚠",VLOOKUP(M36,'G-7 WaterC'' Data'!$AA$4:$AB$7,2,FALSE)))))</f>
        <v/>
      </c>
      <c r="O36" s="44"/>
      <c r="P36" s="291" t="str">
        <f>IF(O36="","",IF(AND(O36="N/A - Culvert", D36&lt;&gt;"Culvert"),"Not possible ▲", IF(AND(D36="Culvert",O36&lt;&gt;"N/A - Culvert"),"Not possible ▲",IF(VLOOKUP(O36,'G-7 WaterC'' Data'!$AD$4:$AE$14,2,FALSE)=0,"Spatial Data Missing ⚠",VLOOKUP(O36,'G-7 WaterC'' Data'!$AD$4:$AE$14,2,FALSE)))))</f>
        <v/>
      </c>
      <c r="Q36" s="297" t="str">
        <f>IF(D36="","",VLOOKUP(D36,'G-7 WaterC'' Data'!$B$2:$G$8,6,FALSE))</f>
        <v/>
      </c>
      <c r="R36" s="304" t="str">
        <f>IFERROR(IF(AND(Q36='G-1 All Habitats'!$X$3, AE36&gt;0, U36&lt;=0, V36&lt;=0, OR(AA36="No", AA36="")),"Any Loss Unacceptable ⚠", (IF(AND(Q36='G-1 All Habitats'!$X$3, AE36&gt;0, U36&lt;=0, V36&lt;=0, AA36="Yes"), 0, (IF(AND(Q36='G-1 All Habitats'!$X$3,(U36+V36)&lt;E36, OR(AA36="No", AA36="")),"Any Loss Unacceptable ⚠", (IF(AND(Q36='G-1 All Habitats'!$X$3,(U36+V36)&gt;E36), E36*G36*I36*L36*N36*P36, (IF(Q36="","",IF(AND(Q36='G-1 All Habitats'!$X$3,V36&gt;0),W36+X36,IF(AND(Q36='G-1 All Habitats'!$X$3,U36&gt;0), W36+X36, IF(AND(S36="Yes", V36&gt;(E36-U36)),(E36-U36)*G36*I36*L36*N36*P36, IF(AND(S36="Yes", V36&lt;=(E36-U36)), X36, E36*G36*I36*L36*N36*P36 ))))))))))))),"Check Data ▲")</f>
        <v/>
      </c>
      <c r="S36" s="671" t="str">
        <f t="shared" si="0"/>
        <v/>
      </c>
      <c r="T36" s="17"/>
      <c r="U36" s="95"/>
      <c r="V36" s="106"/>
      <c r="W36" s="302" t="str">
        <f t="shared" si="1"/>
        <v/>
      </c>
      <c r="X36" s="302" t="str">
        <f t="shared" si="2"/>
        <v/>
      </c>
      <c r="Y36" s="302" t="str">
        <f t="shared" si="3"/>
        <v/>
      </c>
      <c r="Z36" s="471" t="str">
        <f t="shared" si="4"/>
        <v/>
      </c>
      <c r="AA36" s="488"/>
      <c r="AB36" s="486"/>
      <c r="AC36" s="101"/>
      <c r="AD36" s="101"/>
      <c r="AE36" s="41" t="str">
        <f>IF(OR(Q36="",AA36="Yes"),"",IF(Q36='G-1 All Habitats'!$X$3,E36-U36-V36,"None"))</f>
        <v/>
      </c>
      <c r="AF36" s="42" t="str">
        <f>IF(Q36="","", IF(Q36='G-1 All Habitats'!$X$3, AE36*G36*I36*L36*N36*P36,"None"))</f>
        <v/>
      </c>
      <c r="AI36" s="15">
        <f t="shared" si="8"/>
        <v>0</v>
      </c>
      <c r="AJ36" s="105" t="str">
        <f t="shared" si="5"/>
        <v/>
      </c>
      <c r="AK36" s="105" t="str">
        <f t="shared" si="6"/>
        <v/>
      </c>
      <c r="AM36" s="105">
        <v>27</v>
      </c>
      <c r="AO36" s="105" t="str">
        <f t="array" ref="AO36">IFERROR(INDEX($AM$10:$AM$258, MATCH(0, IF(TRUE=$AJ$10:$AJ$258, COUNTIF($AO$9:$AO35, $AM$10:$AM$258), ""), 0)),"")</f>
        <v/>
      </c>
      <c r="AP36" s="105" t="str">
        <f t="array" ref="AP36">IFERROR(INDEX($AM$10:$AM$258, MATCH(0, IF(TRUE=$AK$10:$AK$258, COUNTIF($AP$9:$AP35, $AM$10:$AM$258), ""), 0)),"")</f>
        <v/>
      </c>
      <c r="AR36" s="15" t="str">
        <f>IFERROR(INDEX('G-7 WaterC'' Data'!$AZ$3:$AZ$7,MATCH(D36,'G-7 WaterC'' Data'!$AY$3:$AY$7,0)),"")</f>
        <v/>
      </c>
      <c r="AS36" s="15" t="str">
        <f>IFERROR(INDEX('G-7 WaterC'' Data'!AZ36:AZ40,MATCH(D36,'G-7 WaterC'' Data'!$AY$10:$AY$14,0)),"")</f>
        <v/>
      </c>
      <c r="AU36" s="15" t="str">
        <f>IF(D36="","",VLOOKUP(D36,'G-7 WaterC'' Data'!B$4:M$8,12,FALSE))</f>
        <v/>
      </c>
      <c r="AV36" s="15" t="str">
        <f t="shared" si="7"/>
        <v/>
      </c>
    </row>
    <row r="37" spans="3:48" ht="14" x14ac:dyDescent="0.3">
      <c r="C37" s="92">
        <v>28</v>
      </c>
      <c r="D37" s="271"/>
      <c r="E37" s="120"/>
      <c r="F37" s="290" t="str">
        <f>IF(D37="","",VLOOKUP(D37,'G-7 WaterC'' Data'!$B$2:$G$8,2,FALSE))</f>
        <v/>
      </c>
      <c r="G37" s="291" t="str">
        <f>IFERROR(VLOOKUP(F37,'G-7 WaterC'' Data'!$C$4:$D$8,2,FALSE),"")</f>
        <v/>
      </c>
      <c r="H37" s="38"/>
      <c r="I37" s="291" t="str">
        <f>IFERROR(INDEX('G-7 WaterC'' Data'!$H$4:$L$8,MATCH(D37,'G-7 WaterC'' Data'!$B$4:$B$8,0),MATCH(H37,'G-7 WaterC'' Data'!$H$3:$L$3,0)),"")</f>
        <v/>
      </c>
      <c r="J37" s="777"/>
      <c r="K37" s="325" t="str">
        <f>IF(J37="","",IF(VLOOKUP(J37,'G-7 WaterC'' Data'!$AK$4:$AM$6,2,FALSE)=0,"Spatial Data Missing ⚠",VLOOKUP(J37,'G-7 WaterC'' Data'!$AK$4:$AM$6,2,FALSE)))</f>
        <v/>
      </c>
      <c r="L37" s="296" t="str">
        <f>IF(J37="","",IF(VLOOKUP(J37,'G-7 WaterC'' Data'!$AK$4:$AM$9,3,FALSE)=0,"Spatial Data Missing ⚠",VLOOKUP(J37,'G-7 WaterC'' Data'!$AK$4:$AM$6,3,FALSE)))</f>
        <v/>
      </c>
      <c r="M37" s="38"/>
      <c r="N37" s="291" t="str">
        <f>IF(M37="","",IF(AND(D37&lt;&gt;"Culvert",M37="N/A - Culvert"),"Not possible ▲",IF(AND(D37="Culvert",M37&lt;&gt;"N/A - Culvert"),"Not possible ▲",IF(VLOOKUP(M37,'G-7 WaterC'' Data'!$AA$4:$AB$7,2,FALSE)=0,"Spatial Data Missing ⚠",VLOOKUP(M37,'G-7 WaterC'' Data'!$AA$4:$AB$7,2,FALSE)))))</f>
        <v/>
      </c>
      <c r="O37" s="44"/>
      <c r="P37" s="291" t="str">
        <f>IF(O37="","",IF(AND(O37="N/A - Culvert", D37&lt;&gt;"Culvert"),"Not possible ▲", IF(AND(D37="Culvert",O37&lt;&gt;"N/A - Culvert"),"Not possible ▲",IF(VLOOKUP(O37,'G-7 WaterC'' Data'!$AD$4:$AE$14,2,FALSE)=0,"Spatial Data Missing ⚠",VLOOKUP(O37,'G-7 WaterC'' Data'!$AD$4:$AE$14,2,FALSE)))))</f>
        <v/>
      </c>
      <c r="Q37" s="297" t="str">
        <f>IF(D37="","",VLOOKUP(D37,'G-7 WaterC'' Data'!$B$2:$G$8,6,FALSE))</f>
        <v/>
      </c>
      <c r="R37" s="304" t="str">
        <f>IFERROR(IF(AND(Q37='G-1 All Habitats'!$X$3, AE37&gt;0, U37&lt;=0, V37&lt;=0, OR(AA37="No", AA37="")),"Any Loss Unacceptable ⚠", (IF(AND(Q37='G-1 All Habitats'!$X$3, AE37&gt;0, U37&lt;=0, V37&lt;=0, AA37="Yes"), 0, (IF(AND(Q37='G-1 All Habitats'!$X$3,(U37+V37)&lt;E37, OR(AA37="No", AA37="")),"Any Loss Unacceptable ⚠", (IF(AND(Q37='G-1 All Habitats'!$X$3,(U37+V37)&gt;E37), E37*G37*I37*L37*N37*P37, (IF(Q37="","",IF(AND(Q37='G-1 All Habitats'!$X$3,V37&gt;0),W37+X37,IF(AND(Q37='G-1 All Habitats'!$X$3,U37&gt;0), W37+X37, IF(AND(S37="Yes", V37&gt;(E37-U37)),(E37-U37)*G37*I37*L37*N37*P37, IF(AND(S37="Yes", V37&lt;=(E37-U37)), X37, E37*G37*I37*L37*N37*P37 ))))))))))))),"Check Data ▲")</f>
        <v/>
      </c>
      <c r="S37" s="671" t="str">
        <f t="shared" si="0"/>
        <v/>
      </c>
      <c r="T37" s="17"/>
      <c r="U37" s="95"/>
      <c r="V37" s="106"/>
      <c r="W37" s="302" t="str">
        <f t="shared" si="1"/>
        <v/>
      </c>
      <c r="X37" s="302" t="str">
        <f t="shared" si="2"/>
        <v/>
      </c>
      <c r="Y37" s="302" t="str">
        <f t="shared" si="3"/>
        <v/>
      </c>
      <c r="Z37" s="471" t="str">
        <f t="shared" si="4"/>
        <v/>
      </c>
      <c r="AA37" s="488"/>
      <c r="AB37" s="486"/>
      <c r="AC37" s="101"/>
      <c r="AD37" s="101"/>
      <c r="AE37" s="41" t="str">
        <f>IF(OR(Q37="",AA37="Yes"),"",IF(Q37='G-1 All Habitats'!$X$3,E37-U37-V37,"None"))</f>
        <v/>
      </c>
      <c r="AF37" s="42" t="str">
        <f>IF(Q37="","", IF(Q37='G-1 All Habitats'!$X$3, AE37*G37*I37*L37*N37*P37,"None"))</f>
        <v/>
      </c>
      <c r="AI37" s="15">
        <f t="shared" si="8"/>
        <v>0</v>
      </c>
      <c r="AJ37" s="105" t="str">
        <f t="shared" si="5"/>
        <v/>
      </c>
      <c r="AK37" s="105" t="str">
        <f t="shared" si="6"/>
        <v/>
      </c>
      <c r="AM37" s="105">
        <v>28</v>
      </c>
      <c r="AO37" s="105" t="str">
        <f t="array" ref="AO37">IFERROR(INDEX($AM$10:$AM$258, MATCH(0, IF(TRUE=$AJ$10:$AJ$258, COUNTIF($AO$9:$AO36, $AM$10:$AM$258), ""), 0)),"")</f>
        <v/>
      </c>
      <c r="AP37" s="105" t="str">
        <f t="array" ref="AP37">IFERROR(INDEX($AM$10:$AM$258, MATCH(0, IF(TRUE=$AK$10:$AK$258, COUNTIF($AP$9:$AP36, $AM$10:$AM$258), ""), 0)),"")</f>
        <v/>
      </c>
      <c r="AR37" s="15" t="str">
        <f>IFERROR(INDEX('G-7 WaterC'' Data'!$AZ$3:$AZ$7,MATCH(D37,'G-7 WaterC'' Data'!$AY$3:$AY$7,0)),"")</f>
        <v/>
      </c>
      <c r="AS37" s="15" t="str">
        <f>IFERROR(INDEX('G-7 WaterC'' Data'!AZ37:AZ41,MATCH(D37,'G-7 WaterC'' Data'!$AY$10:$AY$14,0)),"")</f>
        <v/>
      </c>
      <c r="AU37" s="15" t="str">
        <f>IF(D37="","",VLOOKUP(D37,'G-7 WaterC'' Data'!B$4:M$8,12,FALSE))</f>
        <v/>
      </c>
      <c r="AV37" s="15" t="str">
        <f t="shared" si="7"/>
        <v/>
      </c>
    </row>
    <row r="38" spans="3:48" ht="14" x14ac:dyDescent="0.3">
      <c r="C38" s="92">
        <v>29</v>
      </c>
      <c r="D38" s="271"/>
      <c r="E38" s="120"/>
      <c r="F38" s="290" t="str">
        <f>IF(D38="","",VLOOKUP(D38,'G-7 WaterC'' Data'!$B$2:$G$8,2,FALSE))</f>
        <v/>
      </c>
      <c r="G38" s="291" t="str">
        <f>IFERROR(VLOOKUP(F38,'G-7 WaterC'' Data'!$C$4:$D$8,2,FALSE),"")</f>
        <v/>
      </c>
      <c r="H38" s="38"/>
      <c r="I38" s="291" t="str">
        <f>IFERROR(INDEX('G-7 WaterC'' Data'!$H$4:$L$8,MATCH(D38,'G-7 WaterC'' Data'!$B$4:$B$8,0),MATCH(H38,'G-7 WaterC'' Data'!$H$3:$L$3,0)),"")</f>
        <v/>
      </c>
      <c r="J38" s="777"/>
      <c r="K38" s="325" t="str">
        <f>IF(J38="","",IF(VLOOKUP(J38,'G-7 WaterC'' Data'!$AK$4:$AM$6,2,FALSE)=0,"Spatial Data Missing ⚠",VLOOKUP(J38,'G-7 WaterC'' Data'!$AK$4:$AM$6,2,FALSE)))</f>
        <v/>
      </c>
      <c r="L38" s="296" t="str">
        <f>IF(J38="","",IF(VLOOKUP(J38,'G-7 WaterC'' Data'!$AK$4:$AM$9,3,FALSE)=0,"Spatial Data Missing ⚠",VLOOKUP(J38,'G-7 WaterC'' Data'!$AK$4:$AM$6,3,FALSE)))</f>
        <v/>
      </c>
      <c r="M38" s="38"/>
      <c r="N38" s="291" t="str">
        <f>IF(M38="","",IF(AND(D38&lt;&gt;"Culvert",M38="N/A - Culvert"),"Not possible ▲",IF(AND(D38="Culvert",M38&lt;&gt;"N/A - Culvert"),"Not possible ▲",IF(VLOOKUP(M38,'G-7 WaterC'' Data'!$AA$4:$AB$7,2,FALSE)=0,"Spatial Data Missing ⚠",VLOOKUP(M38,'G-7 WaterC'' Data'!$AA$4:$AB$7,2,FALSE)))))</f>
        <v/>
      </c>
      <c r="O38" s="44"/>
      <c r="P38" s="291" t="str">
        <f>IF(O38="","",IF(AND(O38="N/A - Culvert", D38&lt;&gt;"Culvert"),"Not possible ▲", IF(AND(D38="Culvert",O38&lt;&gt;"N/A - Culvert"),"Not possible ▲",IF(VLOOKUP(O38,'G-7 WaterC'' Data'!$AD$4:$AE$14,2,FALSE)=0,"Spatial Data Missing ⚠",VLOOKUP(O38,'G-7 WaterC'' Data'!$AD$4:$AE$14,2,FALSE)))))</f>
        <v/>
      </c>
      <c r="Q38" s="297" t="str">
        <f>IF(D38="","",VLOOKUP(D38,'G-7 WaterC'' Data'!$B$2:$G$8,6,FALSE))</f>
        <v/>
      </c>
      <c r="R38" s="304" t="str">
        <f>IFERROR(IF(AND(Q38='G-1 All Habitats'!$X$3, AE38&gt;0, U38&lt;=0, V38&lt;=0, OR(AA38="No", AA38="")),"Any Loss Unacceptable ⚠", (IF(AND(Q38='G-1 All Habitats'!$X$3, AE38&gt;0, U38&lt;=0, V38&lt;=0, AA38="Yes"), 0, (IF(AND(Q38='G-1 All Habitats'!$X$3,(U38+V38)&lt;E38, OR(AA38="No", AA38="")),"Any Loss Unacceptable ⚠", (IF(AND(Q38='G-1 All Habitats'!$X$3,(U38+V38)&gt;E38), E38*G38*I38*L38*N38*P38, (IF(Q38="","",IF(AND(Q38='G-1 All Habitats'!$X$3,V38&gt;0),W38+X38,IF(AND(Q38='G-1 All Habitats'!$X$3,U38&gt;0), W38+X38, IF(AND(S38="Yes", V38&gt;(E38-U38)),(E38-U38)*G38*I38*L38*N38*P38, IF(AND(S38="Yes", V38&lt;=(E38-U38)), X38, E38*G38*I38*L38*N38*P38 ))))))))))))),"Check Data ▲")</f>
        <v/>
      </c>
      <c r="S38" s="671" t="str">
        <f t="shared" si="0"/>
        <v/>
      </c>
      <c r="T38" s="17"/>
      <c r="U38" s="95"/>
      <c r="V38" s="106"/>
      <c r="W38" s="302" t="str">
        <f t="shared" si="1"/>
        <v/>
      </c>
      <c r="X38" s="302" t="str">
        <f t="shared" si="2"/>
        <v/>
      </c>
      <c r="Y38" s="302" t="str">
        <f t="shared" si="3"/>
        <v/>
      </c>
      <c r="Z38" s="471" t="str">
        <f t="shared" si="4"/>
        <v/>
      </c>
      <c r="AA38" s="488"/>
      <c r="AB38" s="486"/>
      <c r="AC38" s="101"/>
      <c r="AD38" s="101"/>
      <c r="AE38" s="41" t="str">
        <f>IF(OR(Q38="",AA38="Yes"),"",IF(Q38='G-1 All Habitats'!$X$3,E38-U38-V38,"None"))</f>
        <v/>
      </c>
      <c r="AF38" s="42" t="str">
        <f>IF(Q38="","", IF(Q38='G-1 All Habitats'!$X$3, AE38*G38*I38*L38*N38*P38,"None"))</f>
        <v/>
      </c>
      <c r="AI38" s="15">
        <f t="shared" si="8"/>
        <v>0</v>
      </c>
      <c r="AJ38" s="105" t="str">
        <f t="shared" si="5"/>
        <v/>
      </c>
      <c r="AK38" s="105" t="str">
        <f t="shared" si="6"/>
        <v/>
      </c>
      <c r="AM38" s="105">
        <v>29</v>
      </c>
      <c r="AO38" s="105" t="str">
        <f t="array" ref="AO38">IFERROR(INDEX($AM$10:$AM$258, MATCH(0, IF(TRUE=$AJ$10:$AJ$258, COUNTIF($AO$9:$AO37, $AM$10:$AM$258), ""), 0)),"")</f>
        <v/>
      </c>
      <c r="AP38" s="105" t="str">
        <f t="array" ref="AP38">IFERROR(INDEX($AM$10:$AM$258, MATCH(0, IF(TRUE=$AK$10:$AK$258, COUNTIF($AP$9:$AP37, $AM$10:$AM$258), ""), 0)),"")</f>
        <v/>
      </c>
      <c r="AR38" s="15" t="str">
        <f>IFERROR(INDEX('G-7 WaterC'' Data'!$AZ$3:$AZ$7,MATCH(D38,'G-7 WaterC'' Data'!$AY$3:$AY$7,0)),"")</f>
        <v/>
      </c>
      <c r="AS38" s="15" t="str">
        <f>IFERROR(INDEX('G-7 WaterC'' Data'!AZ38:AZ42,MATCH(D38,'G-7 WaterC'' Data'!$AY$10:$AY$14,0)),"")</f>
        <v/>
      </c>
      <c r="AU38" s="15" t="str">
        <f>IF(D38="","",VLOOKUP(D38,'G-7 WaterC'' Data'!B$4:M$8,12,FALSE))</f>
        <v/>
      </c>
      <c r="AV38" s="15" t="str">
        <f t="shared" si="7"/>
        <v/>
      </c>
    </row>
    <row r="39" spans="3:48" ht="14" x14ac:dyDescent="0.3">
      <c r="C39" s="92">
        <v>30</v>
      </c>
      <c r="D39" s="271"/>
      <c r="E39" s="120"/>
      <c r="F39" s="290" t="str">
        <f>IF(D39="","",VLOOKUP(D39,'G-7 WaterC'' Data'!$B$2:$G$8,2,FALSE))</f>
        <v/>
      </c>
      <c r="G39" s="291" t="str">
        <f>IFERROR(VLOOKUP(F39,'G-7 WaterC'' Data'!$C$4:$D$8,2,FALSE),"")</f>
        <v/>
      </c>
      <c r="H39" s="38"/>
      <c r="I39" s="291" t="str">
        <f>IFERROR(INDEX('G-7 WaterC'' Data'!$H$4:$L$8,MATCH(D39,'G-7 WaterC'' Data'!$B$4:$B$8,0),MATCH(H39,'G-7 WaterC'' Data'!$H$3:$L$3,0)),"")</f>
        <v/>
      </c>
      <c r="J39" s="777"/>
      <c r="K39" s="325" t="str">
        <f>IF(J39="","",IF(VLOOKUP(J39,'G-7 WaterC'' Data'!$AK$4:$AM$6,2,FALSE)=0,"Spatial Data Missing ⚠",VLOOKUP(J39,'G-7 WaterC'' Data'!$AK$4:$AM$6,2,FALSE)))</f>
        <v/>
      </c>
      <c r="L39" s="296" t="str">
        <f>IF(J39="","",IF(VLOOKUP(J39,'G-7 WaterC'' Data'!$AK$4:$AM$9,3,FALSE)=0,"Spatial Data Missing ⚠",VLOOKUP(J39,'G-7 WaterC'' Data'!$AK$4:$AM$6,3,FALSE)))</f>
        <v/>
      </c>
      <c r="M39" s="38"/>
      <c r="N39" s="291" t="str">
        <f>IF(M39="","",IF(AND(D39&lt;&gt;"Culvert",M39="N/A - Culvert"),"Not possible ▲",IF(AND(D39="Culvert",M39&lt;&gt;"N/A - Culvert"),"Not possible ▲",IF(VLOOKUP(M39,'G-7 WaterC'' Data'!$AA$4:$AB$7,2,FALSE)=0,"Spatial Data Missing ⚠",VLOOKUP(M39,'G-7 WaterC'' Data'!$AA$4:$AB$7,2,FALSE)))))</f>
        <v/>
      </c>
      <c r="O39" s="44"/>
      <c r="P39" s="291" t="str">
        <f>IF(O39="","",IF(AND(O39="N/A - Culvert", D39&lt;&gt;"Culvert"),"Not possible ▲", IF(AND(D39="Culvert",O39&lt;&gt;"N/A - Culvert"),"Not possible ▲",IF(VLOOKUP(O39,'G-7 WaterC'' Data'!$AD$4:$AE$14,2,FALSE)=0,"Spatial Data Missing ⚠",VLOOKUP(O39,'G-7 WaterC'' Data'!$AD$4:$AE$14,2,FALSE)))))</f>
        <v/>
      </c>
      <c r="Q39" s="297" t="str">
        <f>IF(D39="","",VLOOKUP(D39,'G-7 WaterC'' Data'!$B$2:$G$8,6,FALSE))</f>
        <v/>
      </c>
      <c r="R39" s="304" t="str">
        <f>IFERROR(IF(AND(Q39='G-1 All Habitats'!$X$3, AE39&gt;0, U39&lt;=0, V39&lt;=0, OR(AA39="No", AA39="")),"Any Loss Unacceptable ⚠", (IF(AND(Q39='G-1 All Habitats'!$X$3, AE39&gt;0, U39&lt;=0, V39&lt;=0, AA39="Yes"), 0, (IF(AND(Q39='G-1 All Habitats'!$X$3,(U39+V39)&lt;E39, OR(AA39="No", AA39="")),"Any Loss Unacceptable ⚠", (IF(AND(Q39='G-1 All Habitats'!$X$3,(U39+V39)&gt;E39), E39*G39*I39*L39*N39*P39, (IF(Q39="","",IF(AND(Q39='G-1 All Habitats'!$X$3,V39&gt;0),W39+X39,IF(AND(Q39='G-1 All Habitats'!$X$3,U39&gt;0), W39+X39, IF(AND(S39="Yes", V39&gt;(E39-U39)),(E39-U39)*G39*I39*L39*N39*P39, IF(AND(S39="Yes", V39&lt;=(E39-U39)), X39, E39*G39*I39*L39*N39*P39 ))))))))))))),"Check Data ▲")</f>
        <v/>
      </c>
      <c r="S39" s="671" t="str">
        <f t="shared" si="0"/>
        <v/>
      </c>
      <c r="T39" s="17"/>
      <c r="U39" s="95"/>
      <c r="V39" s="106"/>
      <c r="W39" s="302" t="str">
        <f t="shared" si="1"/>
        <v/>
      </c>
      <c r="X39" s="302" t="str">
        <f t="shared" si="2"/>
        <v/>
      </c>
      <c r="Y39" s="302" t="str">
        <f t="shared" si="3"/>
        <v/>
      </c>
      <c r="Z39" s="471" t="str">
        <f t="shared" si="4"/>
        <v/>
      </c>
      <c r="AA39" s="488"/>
      <c r="AB39" s="486"/>
      <c r="AC39" s="101"/>
      <c r="AD39" s="101"/>
      <c r="AE39" s="41" t="str">
        <f>IF(OR(Q39="",AA39="Yes"),"",IF(Q39='G-1 All Habitats'!$X$3,E39-U39-V39,"None"))</f>
        <v/>
      </c>
      <c r="AF39" s="42" t="str">
        <f>IF(Q39="","", IF(Q39='G-1 All Habitats'!$X$3, AE39*G39*I39*L39*N39*P39,"None"))</f>
        <v/>
      </c>
      <c r="AI39" s="15">
        <f t="shared" si="8"/>
        <v>0</v>
      </c>
      <c r="AJ39" s="105" t="str">
        <f t="shared" si="5"/>
        <v/>
      </c>
      <c r="AK39" s="105" t="str">
        <f t="shared" si="6"/>
        <v/>
      </c>
      <c r="AM39" s="105">
        <v>30</v>
      </c>
      <c r="AO39" s="105" t="str">
        <f t="array" ref="AO39">IFERROR(INDEX($AM$10:$AM$258, MATCH(0, IF(TRUE=$AJ$10:$AJ$258, COUNTIF($AO$9:$AO38, $AM$10:$AM$258), ""), 0)),"")</f>
        <v/>
      </c>
      <c r="AP39" s="105" t="str">
        <f t="array" ref="AP39">IFERROR(INDEX($AM$10:$AM$258, MATCH(0, IF(TRUE=$AK$10:$AK$258, COUNTIF($AP$9:$AP38, $AM$10:$AM$258), ""), 0)),"")</f>
        <v/>
      </c>
      <c r="AR39" s="15" t="str">
        <f>IFERROR(INDEX('G-7 WaterC'' Data'!$AZ$3:$AZ$7,MATCH(D39,'G-7 WaterC'' Data'!$AY$3:$AY$7,0)),"")</f>
        <v/>
      </c>
      <c r="AS39" s="15" t="str">
        <f>IFERROR(INDEX('G-7 WaterC'' Data'!AZ39:AZ43,MATCH(D39,'G-7 WaterC'' Data'!$AY$10:$AY$14,0)),"")</f>
        <v/>
      </c>
      <c r="AU39" s="15" t="str">
        <f>IF(D39="","",VLOOKUP(D39,'G-7 WaterC'' Data'!B$4:M$8,12,FALSE))</f>
        <v/>
      </c>
      <c r="AV39" s="15" t="str">
        <f t="shared" si="7"/>
        <v/>
      </c>
    </row>
    <row r="40" spans="3:48" ht="14" x14ac:dyDescent="0.3">
      <c r="C40" s="92">
        <v>31</v>
      </c>
      <c r="D40" s="271"/>
      <c r="E40" s="120"/>
      <c r="F40" s="290" t="str">
        <f>IF(D40="","",VLOOKUP(D40,'G-7 WaterC'' Data'!$B$2:$G$8,2,FALSE))</f>
        <v/>
      </c>
      <c r="G40" s="291" t="str">
        <f>IFERROR(VLOOKUP(F40,'G-7 WaterC'' Data'!$C$4:$D$8,2,FALSE),"")</f>
        <v/>
      </c>
      <c r="H40" s="38"/>
      <c r="I40" s="291" t="str">
        <f>IFERROR(INDEX('G-7 WaterC'' Data'!$H$4:$L$8,MATCH(D40,'G-7 WaterC'' Data'!$B$4:$B$8,0),MATCH(H40,'G-7 WaterC'' Data'!$H$3:$L$3,0)),"")</f>
        <v/>
      </c>
      <c r="J40" s="777"/>
      <c r="K40" s="325" t="str">
        <f>IF(J40="","",IF(VLOOKUP(J40,'G-7 WaterC'' Data'!$AK$4:$AM$6,2,FALSE)=0,"Spatial Data Missing ⚠",VLOOKUP(J40,'G-7 WaterC'' Data'!$AK$4:$AM$6,2,FALSE)))</f>
        <v/>
      </c>
      <c r="L40" s="296" t="str">
        <f>IF(J40="","",IF(VLOOKUP(J40,'G-7 WaterC'' Data'!$AK$4:$AM$9,3,FALSE)=0,"Spatial Data Missing ⚠",VLOOKUP(J40,'G-7 WaterC'' Data'!$AK$4:$AM$6,3,FALSE)))</f>
        <v/>
      </c>
      <c r="M40" s="38"/>
      <c r="N40" s="291" t="str">
        <f>IF(M40="","",IF(AND(D40&lt;&gt;"Culvert",M40="N/A - Culvert"),"Not possible ▲",IF(AND(D40="Culvert",M40&lt;&gt;"N/A - Culvert"),"Not possible ▲",IF(VLOOKUP(M40,'G-7 WaterC'' Data'!$AA$4:$AB$7,2,FALSE)=0,"Spatial Data Missing ⚠",VLOOKUP(M40,'G-7 WaterC'' Data'!$AA$4:$AB$7,2,FALSE)))))</f>
        <v/>
      </c>
      <c r="O40" s="44"/>
      <c r="P40" s="291" t="str">
        <f>IF(O40="","",IF(AND(O40="N/A - Culvert", D40&lt;&gt;"Culvert"),"Not possible ▲", IF(AND(D40="Culvert",O40&lt;&gt;"N/A - Culvert"),"Not possible ▲",IF(VLOOKUP(O40,'G-7 WaterC'' Data'!$AD$4:$AE$14,2,FALSE)=0,"Spatial Data Missing ⚠",VLOOKUP(O40,'G-7 WaterC'' Data'!$AD$4:$AE$14,2,FALSE)))))</f>
        <v/>
      </c>
      <c r="Q40" s="297" t="str">
        <f>IF(D40="","",VLOOKUP(D40,'G-7 WaterC'' Data'!$B$2:$G$8,6,FALSE))</f>
        <v/>
      </c>
      <c r="R40" s="304" t="str">
        <f>IFERROR(IF(AND(Q40='G-1 All Habitats'!$X$3, AE40&gt;0, U40&lt;=0, V40&lt;=0, OR(AA40="No", AA40="")),"Any Loss Unacceptable ⚠", (IF(AND(Q40='G-1 All Habitats'!$X$3, AE40&gt;0, U40&lt;=0, V40&lt;=0, AA40="Yes"), 0, (IF(AND(Q40='G-1 All Habitats'!$X$3,(U40+V40)&lt;E40, OR(AA40="No", AA40="")),"Any Loss Unacceptable ⚠", (IF(AND(Q40='G-1 All Habitats'!$X$3,(U40+V40)&gt;E40), E40*G40*I40*L40*N40*P40, (IF(Q40="","",IF(AND(Q40='G-1 All Habitats'!$X$3,V40&gt;0),W40+X40,IF(AND(Q40='G-1 All Habitats'!$X$3,U40&gt;0), W40+X40, IF(AND(S40="Yes", V40&gt;(E40-U40)),(E40-U40)*G40*I40*L40*N40*P40, IF(AND(S40="Yes", V40&lt;=(E40-U40)), X40, E40*G40*I40*L40*N40*P40 ))))))))))))),"Check Data ▲")</f>
        <v/>
      </c>
      <c r="S40" s="671" t="str">
        <f t="shared" si="0"/>
        <v/>
      </c>
      <c r="T40" s="17"/>
      <c r="U40" s="95"/>
      <c r="V40" s="106"/>
      <c r="W40" s="302" t="str">
        <f t="shared" si="1"/>
        <v/>
      </c>
      <c r="X40" s="302" t="str">
        <f t="shared" si="2"/>
        <v/>
      </c>
      <c r="Y40" s="302" t="str">
        <f t="shared" si="3"/>
        <v/>
      </c>
      <c r="Z40" s="471" t="str">
        <f t="shared" si="4"/>
        <v/>
      </c>
      <c r="AA40" s="488"/>
      <c r="AB40" s="486"/>
      <c r="AC40" s="101"/>
      <c r="AD40" s="101"/>
      <c r="AE40" s="41" t="str">
        <f>IF(OR(Q40="",AA40="Yes"),"",IF(Q40='G-1 All Habitats'!$X$3,E40-U40-V40,"None"))</f>
        <v/>
      </c>
      <c r="AF40" s="42" t="str">
        <f>IF(Q40="","", IF(Q40='G-1 All Habitats'!$X$3, AE40*G40*I40*L40*N40*P40,"None"))</f>
        <v/>
      </c>
      <c r="AI40" s="15">
        <f t="shared" si="8"/>
        <v>0</v>
      </c>
      <c r="AJ40" s="105" t="str">
        <f t="shared" si="5"/>
        <v/>
      </c>
      <c r="AK40" s="105" t="str">
        <f t="shared" si="6"/>
        <v/>
      </c>
      <c r="AM40" s="105">
        <v>31</v>
      </c>
      <c r="AO40" s="105" t="str">
        <f t="array" ref="AO40">IFERROR(INDEX($AM$10:$AM$258, MATCH(0, IF(TRUE=$AJ$10:$AJ$258, COUNTIF($AO$9:$AO39, $AM$10:$AM$258), ""), 0)),"")</f>
        <v/>
      </c>
      <c r="AP40" s="105" t="str">
        <f t="array" ref="AP40">IFERROR(INDEX($AM$10:$AM$258, MATCH(0, IF(TRUE=$AK$10:$AK$258, COUNTIF($AP$9:$AP39, $AM$10:$AM$258), ""), 0)),"")</f>
        <v/>
      </c>
      <c r="AR40" s="15" t="str">
        <f>IFERROR(INDEX('G-7 WaterC'' Data'!$AZ$3:$AZ$7,MATCH(D40,'G-7 WaterC'' Data'!$AY$3:$AY$7,0)),"")</f>
        <v/>
      </c>
      <c r="AS40" s="15" t="str">
        <f>IFERROR(INDEX('G-7 WaterC'' Data'!AZ40:AZ44,MATCH(D40,'G-7 WaterC'' Data'!$AY$10:$AY$14,0)),"")</f>
        <v/>
      </c>
      <c r="AU40" s="15" t="str">
        <f>IF(D40="","",VLOOKUP(D40,'G-7 WaterC'' Data'!B$4:M$8,12,FALSE))</f>
        <v/>
      </c>
      <c r="AV40" s="15" t="str">
        <f t="shared" si="7"/>
        <v/>
      </c>
    </row>
    <row r="41" spans="3:48" ht="14" x14ac:dyDescent="0.3">
      <c r="C41" s="92">
        <v>32</v>
      </c>
      <c r="D41" s="271"/>
      <c r="E41" s="120"/>
      <c r="F41" s="290" t="str">
        <f>IF(D41="","",VLOOKUP(D41,'G-7 WaterC'' Data'!$B$2:$G$8,2,FALSE))</f>
        <v/>
      </c>
      <c r="G41" s="291" t="str">
        <f>IFERROR(VLOOKUP(F41,'G-7 WaterC'' Data'!$C$4:$D$8,2,FALSE),"")</f>
        <v/>
      </c>
      <c r="H41" s="38"/>
      <c r="I41" s="291" t="str">
        <f>IFERROR(INDEX('G-7 WaterC'' Data'!$H$4:$L$8,MATCH(D41,'G-7 WaterC'' Data'!$B$4:$B$8,0),MATCH(H41,'G-7 WaterC'' Data'!$H$3:$L$3,0)),"")</f>
        <v/>
      </c>
      <c r="J41" s="777"/>
      <c r="K41" s="325" t="str">
        <f>IF(J41="","",IF(VLOOKUP(J41,'G-7 WaterC'' Data'!$AK$4:$AM$6,2,FALSE)=0,"Spatial Data Missing ⚠",VLOOKUP(J41,'G-7 WaterC'' Data'!$AK$4:$AM$6,2,FALSE)))</f>
        <v/>
      </c>
      <c r="L41" s="296" t="str">
        <f>IF(J41="","",IF(VLOOKUP(J41,'G-7 WaterC'' Data'!$AK$4:$AM$9,3,FALSE)=0,"Spatial Data Missing ⚠",VLOOKUP(J41,'G-7 WaterC'' Data'!$AK$4:$AM$6,3,FALSE)))</f>
        <v/>
      </c>
      <c r="M41" s="38"/>
      <c r="N41" s="291" t="str">
        <f>IF(M41="","",IF(AND(D41&lt;&gt;"Culvert",M41="N/A - Culvert"),"Not possible ▲",IF(AND(D41="Culvert",M41&lt;&gt;"N/A - Culvert"),"Not possible ▲",IF(VLOOKUP(M41,'G-7 WaterC'' Data'!$AA$4:$AB$7,2,FALSE)=0,"Spatial Data Missing ⚠",VLOOKUP(M41,'G-7 WaterC'' Data'!$AA$4:$AB$7,2,FALSE)))))</f>
        <v/>
      </c>
      <c r="O41" s="44"/>
      <c r="P41" s="291" t="str">
        <f>IF(O41="","",IF(AND(O41="N/A - Culvert", D41&lt;&gt;"Culvert"),"Not possible ▲", IF(AND(D41="Culvert",O41&lt;&gt;"N/A - Culvert"),"Not possible ▲",IF(VLOOKUP(O41,'G-7 WaterC'' Data'!$AD$4:$AE$14,2,FALSE)=0,"Spatial Data Missing ⚠",VLOOKUP(O41,'G-7 WaterC'' Data'!$AD$4:$AE$14,2,FALSE)))))</f>
        <v/>
      </c>
      <c r="Q41" s="297" t="str">
        <f>IF(D41="","",VLOOKUP(D41,'G-7 WaterC'' Data'!$B$2:$G$8,6,FALSE))</f>
        <v/>
      </c>
      <c r="R41" s="304" t="str">
        <f>IFERROR(IF(AND(Q41='G-1 All Habitats'!$X$3, AE41&gt;0, U41&lt;=0, V41&lt;=0, OR(AA41="No", AA41="")),"Any Loss Unacceptable ⚠", (IF(AND(Q41='G-1 All Habitats'!$X$3, AE41&gt;0, U41&lt;=0, V41&lt;=0, AA41="Yes"), 0, (IF(AND(Q41='G-1 All Habitats'!$X$3,(U41+V41)&lt;E41, OR(AA41="No", AA41="")),"Any Loss Unacceptable ⚠", (IF(AND(Q41='G-1 All Habitats'!$X$3,(U41+V41)&gt;E41), E41*G41*I41*L41*N41*P41, (IF(Q41="","",IF(AND(Q41='G-1 All Habitats'!$X$3,V41&gt;0),W41+X41,IF(AND(Q41='G-1 All Habitats'!$X$3,U41&gt;0), W41+X41, IF(AND(S41="Yes", V41&gt;(E41-U41)),(E41-U41)*G41*I41*L41*N41*P41, IF(AND(S41="Yes", V41&lt;=(E41-U41)), X41, E41*G41*I41*L41*N41*P41 ))))))))))))),"Check Data ▲")</f>
        <v/>
      </c>
      <c r="S41" s="671" t="str">
        <f t="shared" si="0"/>
        <v/>
      </c>
      <c r="T41" s="17"/>
      <c r="U41" s="95"/>
      <c r="V41" s="106"/>
      <c r="W41" s="302" t="str">
        <f t="shared" si="1"/>
        <v/>
      </c>
      <c r="X41" s="302" t="str">
        <f t="shared" si="2"/>
        <v/>
      </c>
      <c r="Y41" s="302" t="str">
        <f t="shared" si="3"/>
        <v/>
      </c>
      <c r="Z41" s="471" t="str">
        <f t="shared" si="4"/>
        <v/>
      </c>
      <c r="AA41" s="488"/>
      <c r="AB41" s="486"/>
      <c r="AC41" s="101"/>
      <c r="AD41" s="101"/>
      <c r="AE41" s="41" t="str">
        <f>IF(OR(Q41="",AA41="Yes"),"",IF(Q41='G-1 All Habitats'!$X$3,E41-U41-V41,"None"))</f>
        <v/>
      </c>
      <c r="AF41" s="42" t="str">
        <f>IF(Q41="","", IF(Q41='G-1 All Habitats'!$X$3, AE41*G41*I41*L41*N41*P41,"None"))</f>
        <v/>
      </c>
      <c r="AI41" s="15">
        <f t="shared" si="8"/>
        <v>0</v>
      </c>
      <c r="AJ41" s="105" t="str">
        <f t="shared" si="5"/>
        <v/>
      </c>
      <c r="AK41" s="105" t="str">
        <f t="shared" si="6"/>
        <v/>
      </c>
      <c r="AM41" s="105">
        <v>32</v>
      </c>
      <c r="AO41" s="105" t="str">
        <f t="array" ref="AO41">IFERROR(INDEX($AM$10:$AM$258, MATCH(0, IF(TRUE=$AJ$10:$AJ$258, COUNTIF($AO$9:$AO40, $AM$10:$AM$258), ""), 0)),"")</f>
        <v/>
      </c>
      <c r="AP41" s="105" t="str">
        <f t="array" ref="AP41">IFERROR(INDEX($AM$10:$AM$258, MATCH(0, IF(TRUE=$AK$10:$AK$258, COUNTIF($AP$9:$AP40, $AM$10:$AM$258), ""), 0)),"")</f>
        <v/>
      </c>
      <c r="AR41" s="15" t="str">
        <f>IFERROR(INDEX('G-7 WaterC'' Data'!$AZ$3:$AZ$7,MATCH(D41,'G-7 WaterC'' Data'!$AY$3:$AY$7,0)),"")</f>
        <v/>
      </c>
      <c r="AS41" s="15" t="str">
        <f>IFERROR(INDEX('G-7 WaterC'' Data'!AZ41:AZ45,MATCH(D41,'G-7 WaterC'' Data'!$AY$10:$AY$14,0)),"")</f>
        <v/>
      </c>
      <c r="AU41" s="15" t="str">
        <f>IF(D41="","",VLOOKUP(D41,'G-7 WaterC'' Data'!B$4:M$8,12,FALSE))</f>
        <v/>
      </c>
      <c r="AV41" s="15" t="str">
        <f t="shared" si="7"/>
        <v/>
      </c>
    </row>
    <row r="42" spans="3:48" ht="14" x14ac:dyDescent="0.3">
      <c r="C42" s="92">
        <v>33</v>
      </c>
      <c r="D42" s="271"/>
      <c r="E42" s="120"/>
      <c r="F42" s="290" t="str">
        <f>IF(D42="","",VLOOKUP(D42,'G-7 WaterC'' Data'!$B$2:$G$8,2,FALSE))</f>
        <v/>
      </c>
      <c r="G42" s="291" t="str">
        <f>IFERROR(VLOOKUP(F42,'G-7 WaterC'' Data'!$C$4:$D$8,2,FALSE),"")</f>
        <v/>
      </c>
      <c r="H42" s="38"/>
      <c r="I42" s="291" t="str">
        <f>IFERROR(INDEX('G-7 WaterC'' Data'!$H$4:$L$8,MATCH(D42,'G-7 WaterC'' Data'!$B$4:$B$8,0),MATCH(H42,'G-7 WaterC'' Data'!$H$3:$L$3,0)),"")</f>
        <v/>
      </c>
      <c r="J42" s="777"/>
      <c r="K42" s="325" t="str">
        <f>IF(J42="","",IF(VLOOKUP(J42,'G-7 WaterC'' Data'!$AK$4:$AM$6,2,FALSE)=0,"Spatial Data Missing ⚠",VLOOKUP(J42,'G-7 WaterC'' Data'!$AK$4:$AM$6,2,FALSE)))</f>
        <v/>
      </c>
      <c r="L42" s="296" t="str">
        <f>IF(J42="","",IF(VLOOKUP(J42,'G-7 WaterC'' Data'!$AK$4:$AM$9,3,FALSE)=0,"Spatial Data Missing ⚠",VLOOKUP(J42,'G-7 WaterC'' Data'!$AK$4:$AM$6,3,FALSE)))</f>
        <v/>
      </c>
      <c r="M42" s="38"/>
      <c r="N42" s="291" t="str">
        <f>IF(M42="","",IF(AND(D42&lt;&gt;"Culvert",M42="N/A - Culvert"),"Not possible ▲",IF(AND(D42="Culvert",M42&lt;&gt;"N/A - Culvert"),"Not possible ▲",IF(VLOOKUP(M42,'G-7 WaterC'' Data'!$AA$4:$AB$7,2,FALSE)=0,"Spatial Data Missing ⚠",VLOOKUP(M42,'G-7 WaterC'' Data'!$AA$4:$AB$7,2,FALSE)))))</f>
        <v/>
      </c>
      <c r="O42" s="44"/>
      <c r="P42" s="291" t="str">
        <f>IF(O42="","",IF(AND(O42="N/A - Culvert", D42&lt;&gt;"Culvert"),"Not possible ▲", IF(AND(D42="Culvert",O42&lt;&gt;"N/A - Culvert"),"Not possible ▲",IF(VLOOKUP(O42,'G-7 WaterC'' Data'!$AD$4:$AE$14,2,FALSE)=0,"Spatial Data Missing ⚠",VLOOKUP(O42,'G-7 WaterC'' Data'!$AD$4:$AE$14,2,FALSE)))))</f>
        <v/>
      </c>
      <c r="Q42" s="297" t="str">
        <f>IF(D42="","",VLOOKUP(D42,'G-7 WaterC'' Data'!$B$2:$G$8,6,FALSE))</f>
        <v/>
      </c>
      <c r="R42" s="304" t="str">
        <f>IFERROR(IF(AND(Q42='G-1 All Habitats'!$X$3, AE42&gt;0, U42&lt;=0, V42&lt;=0, OR(AA42="No", AA42="")),"Any Loss Unacceptable ⚠", (IF(AND(Q42='G-1 All Habitats'!$X$3, AE42&gt;0, U42&lt;=0, V42&lt;=0, AA42="Yes"), 0, (IF(AND(Q42='G-1 All Habitats'!$X$3,(U42+V42)&lt;E42, OR(AA42="No", AA42="")),"Any Loss Unacceptable ⚠", (IF(AND(Q42='G-1 All Habitats'!$X$3,(U42+V42)&gt;E42), E42*G42*I42*L42*N42*P42, (IF(Q42="","",IF(AND(Q42='G-1 All Habitats'!$X$3,V42&gt;0),W42+X42,IF(AND(Q42='G-1 All Habitats'!$X$3,U42&gt;0), W42+X42, IF(AND(S42="Yes", V42&gt;(E42-U42)),(E42-U42)*G42*I42*L42*N42*P42, IF(AND(S42="Yes", V42&lt;=(E42-U42)), X42, E42*G42*I42*L42*N42*P42 ))))))))))))),"Check Data ▲")</f>
        <v/>
      </c>
      <c r="S42" s="671" t="str">
        <f t="shared" si="0"/>
        <v/>
      </c>
      <c r="T42" s="17"/>
      <c r="U42" s="95"/>
      <c r="V42" s="106"/>
      <c r="W42" s="302" t="str">
        <f t="shared" si="1"/>
        <v/>
      </c>
      <c r="X42" s="302" t="str">
        <f t="shared" si="2"/>
        <v/>
      </c>
      <c r="Y42" s="302" t="str">
        <f t="shared" si="3"/>
        <v/>
      </c>
      <c r="Z42" s="471" t="str">
        <f t="shared" si="4"/>
        <v/>
      </c>
      <c r="AA42" s="488"/>
      <c r="AB42" s="486"/>
      <c r="AC42" s="101"/>
      <c r="AD42" s="101"/>
      <c r="AE42" s="41" t="str">
        <f>IF(OR(Q42="",AA42="Yes"),"",IF(Q42='G-1 All Habitats'!$X$3,E42-U42-V42,"None"))</f>
        <v/>
      </c>
      <c r="AF42" s="42" t="str">
        <f>IF(Q42="","", IF(Q42='G-1 All Habitats'!$X$3, AE42*G42*I42*L42*N42*P42,"None"))</f>
        <v/>
      </c>
      <c r="AI42" s="15">
        <f t="shared" si="8"/>
        <v>0</v>
      </c>
      <c r="AJ42" s="105" t="str">
        <f t="shared" si="5"/>
        <v/>
      </c>
      <c r="AK42" s="105" t="str">
        <f t="shared" si="6"/>
        <v/>
      </c>
      <c r="AM42" s="105">
        <v>33</v>
      </c>
      <c r="AO42" s="105" t="str">
        <f t="array" ref="AO42">IFERROR(INDEX($AM$10:$AM$258, MATCH(0, IF(TRUE=$AJ$10:$AJ$258, COUNTIF($AO$9:$AO41, $AM$10:$AM$258), ""), 0)),"")</f>
        <v/>
      </c>
      <c r="AP42" s="105" t="str">
        <f t="array" ref="AP42">IFERROR(INDEX($AM$10:$AM$258, MATCH(0, IF(TRUE=$AK$10:$AK$258, COUNTIF($AP$9:$AP41, $AM$10:$AM$258), ""), 0)),"")</f>
        <v/>
      </c>
      <c r="AR42" s="15" t="str">
        <f>IFERROR(INDEX('G-7 WaterC'' Data'!$AZ$3:$AZ$7,MATCH(D42,'G-7 WaterC'' Data'!$AY$3:$AY$7,0)),"")</f>
        <v/>
      </c>
      <c r="AS42" s="15" t="str">
        <f>IFERROR(INDEX('G-7 WaterC'' Data'!AZ42:AZ46,MATCH(D42,'G-7 WaterC'' Data'!$AY$10:$AY$14,0)),"")</f>
        <v/>
      </c>
      <c r="AU42" s="15" t="str">
        <f>IF(D42="","",VLOOKUP(D42,'G-7 WaterC'' Data'!B$4:M$8,12,FALSE))</f>
        <v/>
      </c>
      <c r="AV42" s="15" t="str">
        <f t="shared" si="7"/>
        <v/>
      </c>
    </row>
    <row r="43" spans="3:48" ht="14" x14ac:dyDescent="0.3">
      <c r="C43" s="92">
        <v>34</v>
      </c>
      <c r="D43" s="271"/>
      <c r="E43" s="120"/>
      <c r="F43" s="290" t="str">
        <f>IF(D43="","",VLOOKUP(D43,'G-7 WaterC'' Data'!$B$2:$G$8,2,FALSE))</f>
        <v/>
      </c>
      <c r="G43" s="291" t="str">
        <f>IFERROR(VLOOKUP(F43,'G-7 WaterC'' Data'!$C$4:$D$8,2,FALSE),"")</f>
        <v/>
      </c>
      <c r="H43" s="38"/>
      <c r="I43" s="291" t="str">
        <f>IFERROR(INDEX('G-7 WaterC'' Data'!$H$4:$L$8,MATCH(D43,'G-7 WaterC'' Data'!$B$4:$B$8,0),MATCH(H43,'G-7 WaterC'' Data'!$H$3:$L$3,0)),"")</f>
        <v/>
      </c>
      <c r="J43" s="777"/>
      <c r="K43" s="325" t="str">
        <f>IF(J43="","",IF(VLOOKUP(J43,'G-7 WaterC'' Data'!$AK$4:$AM$6,2,FALSE)=0,"Spatial Data Missing ⚠",VLOOKUP(J43,'G-7 WaterC'' Data'!$AK$4:$AM$6,2,FALSE)))</f>
        <v/>
      </c>
      <c r="L43" s="296" t="str">
        <f>IF(J43="","",IF(VLOOKUP(J43,'G-7 WaterC'' Data'!$AK$4:$AM$9,3,FALSE)=0,"Spatial Data Missing ⚠",VLOOKUP(J43,'G-7 WaterC'' Data'!$AK$4:$AM$6,3,FALSE)))</f>
        <v/>
      </c>
      <c r="M43" s="38"/>
      <c r="N43" s="291" t="str">
        <f>IF(M43="","",IF(AND(D43&lt;&gt;"Culvert",M43="N/A - Culvert"),"Not possible ▲",IF(AND(D43="Culvert",M43&lt;&gt;"N/A - Culvert"),"Not possible ▲",IF(VLOOKUP(M43,'G-7 WaterC'' Data'!$AA$4:$AB$7,2,FALSE)=0,"Spatial Data Missing ⚠",VLOOKUP(M43,'G-7 WaterC'' Data'!$AA$4:$AB$7,2,FALSE)))))</f>
        <v/>
      </c>
      <c r="O43" s="44"/>
      <c r="P43" s="291" t="str">
        <f>IF(O43="","",IF(AND(O43="N/A - Culvert", D43&lt;&gt;"Culvert"),"Not possible ▲", IF(AND(D43="Culvert",O43&lt;&gt;"N/A - Culvert"),"Not possible ▲",IF(VLOOKUP(O43,'G-7 WaterC'' Data'!$AD$4:$AE$14,2,FALSE)=0,"Spatial Data Missing ⚠",VLOOKUP(O43,'G-7 WaterC'' Data'!$AD$4:$AE$14,2,FALSE)))))</f>
        <v/>
      </c>
      <c r="Q43" s="297" t="str">
        <f>IF(D43="","",VLOOKUP(D43,'G-7 WaterC'' Data'!$B$2:$G$8,6,FALSE))</f>
        <v/>
      </c>
      <c r="R43" s="304" t="str">
        <f>IFERROR(IF(AND(Q43='G-1 All Habitats'!$X$3, AE43&gt;0, U43&lt;=0, V43&lt;=0, OR(AA43="No", AA43="")),"Any Loss Unacceptable ⚠", (IF(AND(Q43='G-1 All Habitats'!$X$3, AE43&gt;0, U43&lt;=0, V43&lt;=0, AA43="Yes"), 0, (IF(AND(Q43='G-1 All Habitats'!$X$3,(U43+V43)&lt;E43, OR(AA43="No", AA43="")),"Any Loss Unacceptable ⚠", (IF(AND(Q43='G-1 All Habitats'!$X$3,(U43+V43)&gt;E43), E43*G43*I43*L43*N43*P43, (IF(Q43="","",IF(AND(Q43='G-1 All Habitats'!$X$3,V43&gt;0),W43+X43,IF(AND(Q43='G-1 All Habitats'!$X$3,U43&gt;0), W43+X43, IF(AND(S43="Yes", V43&gt;(E43-U43)),(E43-U43)*G43*I43*L43*N43*P43, IF(AND(S43="Yes", V43&lt;=(E43-U43)), X43, E43*G43*I43*L43*N43*P43 ))))))))))))),"Check Data ▲")</f>
        <v/>
      </c>
      <c r="S43" s="671" t="str">
        <f t="shared" si="0"/>
        <v/>
      </c>
      <c r="T43" s="17"/>
      <c r="U43" s="95"/>
      <c r="V43" s="106"/>
      <c r="W43" s="302" t="str">
        <f t="shared" si="1"/>
        <v/>
      </c>
      <c r="X43" s="302" t="str">
        <f t="shared" si="2"/>
        <v/>
      </c>
      <c r="Y43" s="302" t="str">
        <f t="shared" si="3"/>
        <v/>
      </c>
      <c r="Z43" s="471" t="str">
        <f t="shared" si="4"/>
        <v/>
      </c>
      <c r="AA43" s="488"/>
      <c r="AB43" s="486"/>
      <c r="AC43" s="101"/>
      <c r="AD43" s="101"/>
      <c r="AE43" s="41" t="str">
        <f>IF(OR(Q43="",AA43="Yes"),"",IF(Q43='G-1 All Habitats'!$X$3,E43-U43-V43,"None"))</f>
        <v/>
      </c>
      <c r="AF43" s="42" t="str">
        <f>IF(Q43="","", IF(Q43='G-1 All Habitats'!$X$3, AE43*G43*I43*L43*N43*P43,"None"))</f>
        <v/>
      </c>
      <c r="AI43" s="15">
        <f t="shared" si="8"/>
        <v>0</v>
      </c>
      <c r="AJ43" s="105" t="str">
        <f t="shared" si="5"/>
        <v/>
      </c>
      <c r="AK43" s="105" t="str">
        <f t="shared" si="6"/>
        <v/>
      </c>
      <c r="AM43" s="105">
        <v>34</v>
      </c>
      <c r="AO43" s="105" t="str">
        <f t="array" ref="AO43">IFERROR(INDEX($AM$10:$AM$258, MATCH(0, IF(TRUE=$AJ$10:$AJ$258, COUNTIF($AO$9:$AO42, $AM$10:$AM$258), ""), 0)),"")</f>
        <v/>
      </c>
      <c r="AP43" s="105" t="str">
        <f t="array" ref="AP43">IFERROR(INDEX($AM$10:$AM$258, MATCH(0, IF(TRUE=$AK$10:$AK$258, COUNTIF($AP$9:$AP42, $AM$10:$AM$258), ""), 0)),"")</f>
        <v/>
      </c>
      <c r="AR43" s="15" t="str">
        <f>IFERROR(INDEX('G-7 WaterC'' Data'!$AZ$3:$AZ$7,MATCH(D43,'G-7 WaterC'' Data'!$AY$3:$AY$7,0)),"")</f>
        <v/>
      </c>
      <c r="AS43" s="15" t="str">
        <f>IFERROR(INDEX('G-7 WaterC'' Data'!AZ43:AZ47,MATCH(D43,'G-7 WaterC'' Data'!$AY$10:$AY$14,0)),"")</f>
        <v/>
      </c>
      <c r="AU43" s="15" t="str">
        <f>IF(D43="","",VLOOKUP(D43,'G-7 WaterC'' Data'!B$4:M$8,12,FALSE))</f>
        <v/>
      </c>
      <c r="AV43" s="15" t="str">
        <f t="shared" si="7"/>
        <v/>
      </c>
    </row>
    <row r="44" spans="3:48" ht="14" x14ac:dyDescent="0.3">
      <c r="C44" s="92">
        <v>35</v>
      </c>
      <c r="D44" s="271"/>
      <c r="E44" s="120"/>
      <c r="F44" s="290" t="str">
        <f>IF(D44="","",VLOOKUP(D44,'G-7 WaterC'' Data'!$B$2:$G$8,2,FALSE))</f>
        <v/>
      </c>
      <c r="G44" s="291" t="str">
        <f>IFERROR(VLOOKUP(F44,'G-7 WaterC'' Data'!$C$4:$D$8,2,FALSE),"")</f>
        <v/>
      </c>
      <c r="H44" s="38"/>
      <c r="I44" s="291" t="str">
        <f>IFERROR(INDEX('G-7 WaterC'' Data'!$H$4:$L$8,MATCH(D44,'G-7 WaterC'' Data'!$B$4:$B$8,0),MATCH(H44,'G-7 WaterC'' Data'!$H$3:$L$3,0)),"")</f>
        <v/>
      </c>
      <c r="J44" s="777"/>
      <c r="K44" s="325" t="str">
        <f>IF(J44="","",IF(VLOOKUP(J44,'G-7 WaterC'' Data'!$AK$4:$AM$6,2,FALSE)=0,"Spatial Data Missing ⚠",VLOOKUP(J44,'G-7 WaterC'' Data'!$AK$4:$AM$6,2,FALSE)))</f>
        <v/>
      </c>
      <c r="L44" s="296" t="str">
        <f>IF(J44="","",IF(VLOOKUP(J44,'G-7 WaterC'' Data'!$AK$4:$AM$9,3,FALSE)=0,"Spatial Data Missing ⚠",VLOOKUP(J44,'G-7 WaterC'' Data'!$AK$4:$AM$6,3,FALSE)))</f>
        <v/>
      </c>
      <c r="M44" s="38"/>
      <c r="N44" s="291" t="str">
        <f>IF(M44="","",IF(AND(D44&lt;&gt;"Culvert",M44="N/A - Culvert"),"Not possible ▲",IF(AND(D44="Culvert",M44&lt;&gt;"N/A - Culvert"),"Not possible ▲",IF(VLOOKUP(M44,'G-7 WaterC'' Data'!$AA$4:$AB$7,2,FALSE)=0,"Spatial Data Missing ⚠",VLOOKUP(M44,'G-7 WaterC'' Data'!$AA$4:$AB$7,2,FALSE)))))</f>
        <v/>
      </c>
      <c r="O44" s="44"/>
      <c r="P44" s="291" t="str">
        <f>IF(O44="","",IF(AND(O44="N/A - Culvert", D44&lt;&gt;"Culvert"),"Not possible ▲", IF(AND(D44="Culvert",O44&lt;&gt;"N/A - Culvert"),"Not possible ▲",IF(VLOOKUP(O44,'G-7 WaterC'' Data'!$AD$4:$AE$14,2,FALSE)=0,"Spatial Data Missing ⚠",VLOOKUP(O44,'G-7 WaterC'' Data'!$AD$4:$AE$14,2,FALSE)))))</f>
        <v/>
      </c>
      <c r="Q44" s="297" t="str">
        <f>IF(D44="","",VLOOKUP(D44,'G-7 WaterC'' Data'!$B$2:$G$8,6,FALSE))</f>
        <v/>
      </c>
      <c r="R44" s="304" t="str">
        <f>IFERROR(IF(AND(Q44='G-1 All Habitats'!$X$3, AE44&gt;0, U44&lt;=0, V44&lt;=0, OR(AA44="No", AA44="")),"Any Loss Unacceptable ⚠", (IF(AND(Q44='G-1 All Habitats'!$X$3, AE44&gt;0, U44&lt;=0, V44&lt;=0, AA44="Yes"), 0, (IF(AND(Q44='G-1 All Habitats'!$X$3,(U44+V44)&lt;E44, OR(AA44="No", AA44="")),"Any Loss Unacceptable ⚠", (IF(AND(Q44='G-1 All Habitats'!$X$3,(U44+V44)&gt;E44), E44*G44*I44*L44*N44*P44, (IF(Q44="","",IF(AND(Q44='G-1 All Habitats'!$X$3,V44&gt;0),W44+X44,IF(AND(Q44='G-1 All Habitats'!$X$3,U44&gt;0), W44+X44, IF(AND(S44="Yes", V44&gt;(E44-U44)),(E44-U44)*G44*I44*L44*N44*P44, IF(AND(S44="Yes", V44&lt;=(E44-U44)), X44, E44*G44*I44*L44*N44*P44 ))))))))))))),"Check Data ▲")</f>
        <v/>
      </c>
      <c r="S44" s="671" t="str">
        <f t="shared" si="0"/>
        <v/>
      </c>
      <c r="T44" s="17"/>
      <c r="U44" s="95"/>
      <c r="V44" s="106"/>
      <c r="W44" s="302" t="str">
        <f t="shared" si="1"/>
        <v/>
      </c>
      <c r="X44" s="302" t="str">
        <f t="shared" si="2"/>
        <v/>
      </c>
      <c r="Y44" s="302" t="str">
        <f t="shared" si="3"/>
        <v/>
      </c>
      <c r="Z44" s="471" t="str">
        <f t="shared" si="4"/>
        <v/>
      </c>
      <c r="AA44" s="488"/>
      <c r="AB44" s="486"/>
      <c r="AC44" s="101"/>
      <c r="AD44" s="101"/>
      <c r="AE44" s="41" t="str">
        <f>IF(OR(Q44="",AA44="Yes"),"",IF(Q44='G-1 All Habitats'!$X$3,E44-U44-V44,"None"))</f>
        <v/>
      </c>
      <c r="AF44" s="42" t="str">
        <f>IF(Q44="","", IF(Q44='G-1 All Habitats'!$X$3, AE44*G44*I44*L44*N44*P44,"None"))</f>
        <v/>
      </c>
      <c r="AI44" s="15">
        <f t="shared" si="8"/>
        <v>0</v>
      </c>
      <c r="AJ44" s="105" t="str">
        <f t="shared" si="5"/>
        <v/>
      </c>
      <c r="AK44" s="105" t="str">
        <f t="shared" si="6"/>
        <v/>
      </c>
      <c r="AM44" s="105">
        <v>35</v>
      </c>
      <c r="AO44" s="105" t="str">
        <f t="array" ref="AO44">IFERROR(INDEX($AM$10:$AM$258, MATCH(0, IF(TRUE=$AJ$10:$AJ$258, COUNTIF($AO$9:$AO43, $AM$10:$AM$258), ""), 0)),"")</f>
        <v/>
      </c>
      <c r="AP44" s="105" t="str">
        <f t="array" ref="AP44">IFERROR(INDEX($AM$10:$AM$258, MATCH(0, IF(TRUE=$AK$10:$AK$258, COUNTIF($AP$9:$AP43, $AM$10:$AM$258), ""), 0)),"")</f>
        <v/>
      </c>
      <c r="AR44" s="15" t="str">
        <f>IFERROR(INDEX('G-7 WaterC'' Data'!$AZ$3:$AZ$7,MATCH(D44,'G-7 WaterC'' Data'!$AY$3:$AY$7,0)),"")</f>
        <v/>
      </c>
      <c r="AS44" s="15" t="str">
        <f>IFERROR(INDEX('G-7 WaterC'' Data'!AZ44:AZ48,MATCH(D44,'G-7 WaterC'' Data'!$AY$10:$AY$14,0)),"")</f>
        <v/>
      </c>
      <c r="AU44" s="15" t="str">
        <f>IF(D44="","",VLOOKUP(D44,'G-7 WaterC'' Data'!B$4:M$8,12,FALSE))</f>
        <v/>
      </c>
      <c r="AV44" s="15" t="str">
        <f t="shared" si="7"/>
        <v/>
      </c>
    </row>
    <row r="45" spans="3:48" ht="14" x14ac:dyDescent="0.3">
      <c r="C45" s="92">
        <v>36</v>
      </c>
      <c r="D45" s="271"/>
      <c r="E45" s="120"/>
      <c r="F45" s="290" t="str">
        <f>IF(D45="","",VLOOKUP(D45,'G-7 WaterC'' Data'!$B$2:$G$8,2,FALSE))</f>
        <v/>
      </c>
      <c r="G45" s="291" t="str">
        <f>IFERROR(VLOOKUP(F45,'G-7 WaterC'' Data'!$C$4:$D$8,2,FALSE),"")</f>
        <v/>
      </c>
      <c r="H45" s="38"/>
      <c r="I45" s="291" t="str">
        <f>IFERROR(INDEX('G-7 WaterC'' Data'!$H$4:$L$8,MATCH(D45,'G-7 WaterC'' Data'!$B$4:$B$8,0),MATCH(H45,'G-7 WaterC'' Data'!$H$3:$L$3,0)),"")</f>
        <v/>
      </c>
      <c r="J45" s="777"/>
      <c r="K45" s="325" t="str">
        <f>IF(J45="","",IF(VLOOKUP(J45,'G-7 WaterC'' Data'!$AK$4:$AM$6,2,FALSE)=0,"Spatial Data Missing ⚠",VLOOKUP(J45,'G-7 WaterC'' Data'!$AK$4:$AM$6,2,FALSE)))</f>
        <v/>
      </c>
      <c r="L45" s="296" t="str">
        <f>IF(J45="","",IF(VLOOKUP(J45,'G-7 WaterC'' Data'!$AK$4:$AM$9,3,FALSE)=0,"Spatial Data Missing ⚠",VLOOKUP(J45,'G-7 WaterC'' Data'!$AK$4:$AM$6,3,FALSE)))</f>
        <v/>
      </c>
      <c r="M45" s="38"/>
      <c r="N45" s="291" t="str">
        <f>IF(M45="","",IF(AND(D45&lt;&gt;"Culvert",M45="N/A - Culvert"),"Not possible ▲",IF(AND(D45="Culvert",M45&lt;&gt;"N/A - Culvert"),"Not possible ▲",IF(VLOOKUP(M45,'G-7 WaterC'' Data'!$AA$4:$AB$7,2,FALSE)=0,"Spatial Data Missing ⚠",VLOOKUP(M45,'G-7 WaterC'' Data'!$AA$4:$AB$7,2,FALSE)))))</f>
        <v/>
      </c>
      <c r="O45" s="44"/>
      <c r="P45" s="291" t="str">
        <f>IF(O45="","",IF(AND(O45="N/A - Culvert", D45&lt;&gt;"Culvert"),"Not possible ▲", IF(AND(D45="Culvert",O45&lt;&gt;"N/A - Culvert"),"Not possible ▲",IF(VLOOKUP(O45,'G-7 WaterC'' Data'!$AD$4:$AE$14,2,FALSE)=0,"Spatial Data Missing ⚠",VLOOKUP(O45,'G-7 WaterC'' Data'!$AD$4:$AE$14,2,FALSE)))))</f>
        <v/>
      </c>
      <c r="Q45" s="297" t="str">
        <f>IF(D45="","",VLOOKUP(D45,'G-7 WaterC'' Data'!$B$2:$G$8,6,FALSE))</f>
        <v/>
      </c>
      <c r="R45" s="304" t="str">
        <f>IFERROR(IF(AND(Q45='G-1 All Habitats'!$X$3, AE45&gt;0, U45&lt;=0, V45&lt;=0, OR(AA45="No", AA45="")),"Any Loss Unacceptable ⚠", (IF(AND(Q45='G-1 All Habitats'!$X$3, AE45&gt;0, U45&lt;=0, V45&lt;=0, AA45="Yes"), 0, (IF(AND(Q45='G-1 All Habitats'!$X$3,(U45+V45)&lt;E45, OR(AA45="No", AA45="")),"Any Loss Unacceptable ⚠", (IF(AND(Q45='G-1 All Habitats'!$X$3,(U45+V45)&gt;E45), E45*G45*I45*L45*N45*P45, (IF(Q45="","",IF(AND(Q45='G-1 All Habitats'!$X$3,V45&gt;0),W45+X45,IF(AND(Q45='G-1 All Habitats'!$X$3,U45&gt;0), W45+X45, IF(AND(S45="Yes", V45&gt;(E45-U45)),(E45-U45)*G45*I45*L45*N45*P45, IF(AND(S45="Yes", V45&lt;=(E45-U45)), X45, E45*G45*I45*L45*N45*P45 ))))))))))))),"Check Data ▲")</f>
        <v/>
      </c>
      <c r="S45" s="671" t="str">
        <f t="shared" si="0"/>
        <v/>
      </c>
      <c r="T45" s="17"/>
      <c r="U45" s="95"/>
      <c r="V45" s="106"/>
      <c r="W45" s="302" t="str">
        <f t="shared" si="1"/>
        <v/>
      </c>
      <c r="X45" s="302" t="str">
        <f t="shared" si="2"/>
        <v/>
      </c>
      <c r="Y45" s="302" t="str">
        <f t="shared" si="3"/>
        <v/>
      </c>
      <c r="Z45" s="471" t="str">
        <f t="shared" si="4"/>
        <v/>
      </c>
      <c r="AA45" s="488"/>
      <c r="AB45" s="486"/>
      <c r="AC45" s="101"/>
      <c r="AD45" s="101"/>
      <c r="AE45" s="41" t="str">
        <f>IF(OR(Q45="",AA45="Yes"),"",IF(Q45='G-1 All Habitats'!$X$3,E45-U45-V45,"None"))</f>
        <v/>
      </c>
      <c r="AF45" s="42" t="str">
        <f>IF(Q45="","", IF(Q45='G-1 All Habitats'!$X$3, AE45*G45*I45*L45*N45*P45,"None"))</f>
        <v/>
      </c>
      <c r="AI45" s="15">
        <f t="shared" si="8"/>
        <v>0</v>
      </c>
      <c r="AJ45" s="105" t="str">
        <f t="shared" si="5"/>
        <v/>
      </c>
      <c r="AK45" s="105" t="str">
        <f t="shared" si="6"/>
        <v/>
      </c>
      <c r="AM45" s="105">
        <v>36</v>
      </c>
      <c r="AO45" s="105" t="str">
        <f t="array" ref="AO45">IFERROR(INDEX($AM$10:$AM$258, MATCH(0, IF(TRUE=$AJ$10:$AJ$258, COUNTIF($AO$9:$AO44, $AM$10:$AM$258), ""), 0)),"")</f>
        <v/>
      </c>
      <c r="AP45" s="105" t="str">
        <f t="array" ref="AP45">IFERROR(INDEX($AM$10:$AM$258, MATCH(0, IF(TRUE=$AK$10:$AK$258, COUNTIF($AP$9:$AP44, $AM$10:$AM$258), ""), 0)),"")</f>
        <v/>
      </c>
      <c r="AR45" s="15" t="str">
        <f>IFERROR(INDEX('G-7 WaterC'' Data'!$AZ$3:$AZ$7,MATCH(D45,'G-7 WaterC'' Data'!$AY$3:$AY$7,0)),"")</f>
        <v/>
      </c>
      <c r="AS45" s="15" t="str">
        <f>IFERROR(INDEX('G-7 WaterC'' Data'!AZ45:AZ49,MATCH(D45,'G-7 WaterC'' Data'!$AY$10:$AY$14,0)),"")</f>
        <v/>
      </c>
      <c r="AU45" s="15" t="str">
        <f>IF(D45="","",VLOOKUP(D45,'G-7 WaterC'' Data'!B$4:M$8,12,FALSE))</f>
        <v/>
      </c>
      <c r="AV45" s="15" t="str">
        <f t="shared" si="7"/>
        <v/>
      </c>
    </row>
    <row r="46" spans="3:48" ht="14" x14ac:dyDescent="0.3">
      <c r="C46" s="92">
        <v>37</v>
      </c>
      <c r="D46" s="271"/>
      <c r="E46" s="120"/>
      <c r="F46" s="290" t="str">
        <f>IF(D46="","",VLOOKUP(D46,'G-7 WaterC'' Data'!$B$2:$G$8,2,FALSE))</f>
        <v/>
      </c>
      <c r="G46" s="291" t="str">
        <f>IFERROR(VLOOKUP(F46,'G-7 WaterC'' Data'!$C$4:$D$8,2,FALSE),"")</f>
        <v/>
      </c>
      <c r="H46" s="38"/>
      <c r="I46" s="291" t="str">
        <f>IFERROR(INDEX('G-7 WaterC'' Data'!$H$4:$L$8,MATCH(D46,'G-7 WaterC'' Data'!$B$4:$B$8,0),MATCH(H46,'G-7 WaterC'' Data'!$H$3:$L$3,0)),"")</f>
        <v/>
      </c>
      <c r="J46" s="777"/>
      <c r="K46" s="325" t="str">
        <f>IF(J46="","",IF(VLOOKUP(J46,'G-7 WaterC'' Data'!$AK$4:$AM$6,2,FALSE)=0,"Spatial Data Missing ⚠",VLOOKUP(J46,'G-7 WaterC'' Data'!$AK$4:$AM$6,2,FALSE)))</f>
        <v/>
      </c>
      <c r="L46" s="296" t="str">
        <f>IF(J46="","",IF(VLOOKUP(J46,'G-7 WaterC'' Data'!$AK$4:$AM$9,3,FALSE)=0,"Spatial Data Missing ⚠",VLOOKUP(J46,'G-7 WaterC'' Data'!$AK$4:$AM$6,3,FALSE)))</f>
        <v/>
      </c>
      <c r="M46" s="38"/>
      <c r="N46" s="291" t="str">
        <f>IF(M46="","",IF(AND(D46&lt;&gt;"Culvert",M46="N/A - Culvert"),"Not possible ▲",IF(AND(D46="Culvert",M46&lt;&gt;"N/A - Culvert"),"Not possible ▲",IF(VLOOKUP(M46,'G-7 WaterC'' Data'!$AA$4:$AB$7,2,FALSE)=0,"Spatial Data Missing ⚠",VLOOKUP(M46,'G-7 WaterC'' Data'!$AA$4:$AB$7,2,FALSE)))))</f>
        <v/>
      </c>
      <c r="O46" s="44"/>
      <c r="P46" s="291" t="str">
        <f>IF(O46="","",IF(AND(O46="N/A - Culvert", D46&lt;&gt;"Culvert"),"Not possible ▲", IF(AND(D46="Culvert",O46&lt;&gt;"N/A - Culvert"),"Not possible ▲",IF(VLOOKUP(O46,'G-7 WaterC'' Data'!$AD$4:$AE$14,2,FALSE)=0,"Spatial Data Missing ⚠",VLOOKUP(O46,'G-7 WaterC'' Data'!$AD$4:$AE$14,2,FALSE)))))</f>
        <v/>
      </c>
      <c r="Q46" s="297" t="str">
        <f>IF(D46="","",VLOOKUP(D46,'G-7 WaterC'' Data'!$B$2:$G$8,6,FALSE))</f>
        <v/>
      </c>
      <c r="R46" s="304" t="str">
        <f>IFERROR(IF(AND(Q46='G-1 All Habitats'!$X$3, AE46&gt;0, U46&lt;=0, V46&lt;=0, OR(AA46="No", AA46="")),"Any Loss Unacceptable ⚠", (IF(AND(Q46='G-1 All Habitats'!$X$3, AE46&gt;0, U46&lt;=0, V46&lt;=0, AA46="Yes"), 0, (IF(AND(Q46='G-1 All Habitats'!$X$3,(U46+V46)&lt;E46, OR(AA46="No", AA46="")),"Any Loss Unacceptable ⚠", (IF(AND(Q46='G-1 All Habitats'!$X$3,(U46+V46)&gt;E46), E46*G46*I46*L46*N46*P46, (IF(Q46="","",IF(AND(Q46='G-1 All Habitats'!$X$3,V46&gt;0),W46+X46,IF(AND(Q46='G-1 All Habitats'!$X$3,U46&gt;0), W46+X46, IF(AND(S46="Yes", V46&gt;(E46-U46)),(E46-U46)*G46*I46*L46*N46*P46, IF(AND(S46="Yes", V46&lt;=(E46-U46)), X46, E46*G46*I46*L46*N46*P46 ))))))))))))),"Check Data ▲")</f>
        <v/>
      </c>
      <c r="S46" s="671" t="str">
        <f t="shared" si="0"/>
        <v/>
      </c>
      <c r="T46" s="17"/>
      <c r="U46" s="95"/>
      <c r="V46" s="106"/>
      <c r="W46" s="302" t="str">
        <f t="shared" si="1"/>
        <v/>
      </c>
      <c r="X46" s="302" t="str">
        <f t="shared" si="2"/>
        <v/>
      </c>
      <c r="Y46" s="302" t="str">
        <f t="shared" si="3"/>
        <v/>
      </c>
      <c r="Z46" s="471" t="str">
        <f t="shared" si="4"/>
        <v/>
      </c>
      <c r="AA46" s="488"/>
      <c r="AB46" s="486"/>
      <c r="AC46" s="101"/>
      <c r="AD46" s="101"/>
      <c r="AE46" s="41" t="str">
        <f>IF(OR(Q46="",AA46="Yes"),"",IF(Q46='G-1 All Habitats'!$X$3,E46-U46-V46,"None"))</f>
        <v/>
      </c>
      <c r="AF46" s="42" t="str">
        <f>IF(Q46="","", IF(Q46='G-1 All Habitats'!$X$3, AE46*G46*I46*L46*N46*P46,"None"))</f>
        <v/>
      </c>
      <c r="AI46" s="15">
        <f t="shared" si="8"/>
        <v>0</v>
      </c>
      <c r="AJ46" s="105" t="str">
        <f t="shared" si="5"/>
        <v/>
      </c>
      <c r="AK46" s="105" t="str">
        <f t="shared" si="6"/>
        <v/>
      </c>
      <c r="AM46" s="105">
        <v>37</v>
      </c>
      <c r="AO46" s="105" t="str">
        <f t="array" ref="AO46">IFERROR(INDEX($AM$10:$AM$258, MATCH(0, IF(TRUE=$AJ$10:$AJ$258, COUNTIF($AO$9:$AO45, $AM$10:$AM$258), ""), 0)),"")</f>
        <v/>
      </c>
      <c r="AP46" s="105" t="str">
        <f t="array" ref="AP46">IFERROR(INDEX($AM$10:$AM$258, MATCH(0, IF(TRUE=$AK$10:$AK$258, COUNTIF($AP$9:$AP45, $AM$10:$AM$258), ""), 0)),"")</f>
        <v/>
      </c>
      <c r="AR46" s="15" t="str">
        <f>IFERROR(INDEX('G-7 WaterC'' Data'!$AZ$3:$AZ$7,MATCH(D46,'G-7 WaterC'' Data'!$AY$3:$AY$7,0)),"")</f>
        <v/>
      </c>
      <c r="AS46" s="15" t="str">
        <f>IFERROR(INDEX('G-7 WaterC'' Data'!AZ46:AZ50,MATCH(D46,'G-7 WaterC'' Data'!$AY$10:$AY$14,0)),"")</f>
        <v/>
      </c>
      <c r="AU46" s="15" t="str">
        <f>IF(D46="","",VLOOKUP(D46,'G-7 WaterC'' Data'!B$4:M$8,12,FALSE))</f>
        <v/>
      </c>
      <c r="AV46" s="15" t="str">
        <f t="shared" si="7"/>
        <v/>
      </c>
    </row>
    <row r="47" spans="3:48" ht="14" x14ac:dyDescent="0.3">
      <c r="C47" s="92">
        <v>38</v>
      </c>
      <c r="D47" s="271"/>
      <c r="E47" s="120"/>
      <c r="F47" s="290" t="str">
        <f>IF(D47="","",VLOOKUP(D47,'G-7 WaterC'' Data'!$B$2:$G$8,2,FALSE))</f>
        <v/>
      </c>
      <c r="G47" s="291" t="str">
        <f>IFERROR(VLOOKUP(F47,'G-7 WaterC'' Data'!$C$4:$D$8,2,FALSE),"")</f>
        <v/>
      </c>
      <c r="H47" s="38"/>
      <c r="I47" s="291" t="str">
        <f>IFERROR(INDEX('G-7 WaterC'' Data'!$H$4:$L$8,MATCH(D47,'G-7 WaterC'' Data'!$B$4:$B$8,0),MATCH(H47,'G-7 WaterC'' Data'!$H$3:$L$3,0)),"")</f>
        <v/>
      </c>
      <c r="J47" s="777"/>
      <c r="K47" s="325" t="str">
        <f>IF(J47="","",IF(VLOOKUP(J47,'G-7 WaterC'' Data'!$AK$4:$AM$6,2,FALSE)=0,"Spatial Data Missing ⚠",VLOOKUP(J47,'G-7 WaterC'' Data'!$AK$4:$AM$6,2,FALSE)))</f>
        <v/>
      </c>
      <c r="L47" s="296" t="str">
        <f>IF(J47="","",IF(VLOOKUP(J47,'G-7 WaterC'' Data'!$AK$4:$AM$9,3,FALSE)=0,"Spatial Data Missing ⚠",VLOOKUP(J47,'G-7 WaterC'' Data'!$AK$4:$AM$6,3,FALSE)))</f>
        <v/>
      </c>
      <c r="M47" s="38"/>
      <c r="N47" s="291" t="str">
        <f>IF(M47="","",IF(AND(D47&lt;&gt;"Culvert",M47="N/A - Culvert"),"Not possible ▲",IF(AND(D47="Culvert",M47&lt;&gt;"N/A - Culvert"),"Not possible ▲",IF(VLOOKUP(M47,'G-7 WaterC'' Data'!$AA$4:$AB$7,2,FALSE)=0,"Spatial Data Missing ⚠",VLOOKUP(M47,'G-7 WaterC'' Data'!$AA$4:$AB$7,2,FALSE)))))</f>
        <v/>
      </c>
      <c r="O47" s="44"/>
      <c r="P47" s="291" t="str">
        <f>IF(O47="","",IF(AND(O47="N/A - Culvert", D47&lt;&gt;"Culvert"),"Not possible ▲", IF(AND(D47="Culvert",O47&lt;&gt;"N/A - Culvert"),"Not possible ▲",IF(VLOOKUP(O47,'G-7 WaterC'' Data'!$AD$4:$AE$14,2,FALSE)=0,"Spatial Data Missing ⚠",VLOOKUP(O47,'G-7 WaterC'' Data'!$AD$4:$AE$14,2,FALSE)))))</f>
        <v/>
      </c>
      <c r="Q47" s="297" t="str">
        <f>IF(D47="","",VLOOKUP(D47,'G-7 WaterC'' Data'!$B$2:$G$8,6,FALSE))</f>
        <v/>
      </c>
      <c r="R47" s="304" t="str">
        <f>IFERROR(IF(AND(Q47='G-1 All Habitats'!$X$3, AE47&gt;0, U47&lt;=0, V47&lt;=0, OR(AA47="No", AA47="")),"Any Loss Unacceptable ⚠", (IF(AND(Q47='G-1 All Habitats'!$X$3, AE47&gt;0, U47&lt;=0, V47&lt;=0, AA47="Yes"), 0, (IF(AND(Q47='G-1 All Habitats'!$X$3,(U47+V47)&lt;E47, OR(AA47="No", AA47="")),"Any Loss Unacceptable ⚠", (IF(AND(Q47='G-1 All Habitats'!$X$3,(U47+V47)&gt;E47), E47*G47*I47*L47*N47*P47, (IF(Q47="","",IF(AND(Q47='G-1 All Habitats'!$X$3,V47&gt;0),W47+X47,IF(AND(Q47='G-1 All Habitats'!$X$3,U47&gt;0), W47+X47, IF(AND(S47="Yes", V47&gt;(E47-U47)),(E47-U47)*G47*I47*L47*N47*P47, IF(AND(S47="Yes", V47&lt;=(E47-U47)), X47, E47*G47*I47*L47*N47*P47 ))))))))))))),"Check Data ▲")</f>
        <v/>
      </c>
      <c r="S47" s="671" t="str">
        <f t="shared" si="0"/>
        <v/>
      </c>
      <c r="T47" s="17"/>
      <c r="U47" s="95"/>
      <c r="V47" s="106"/>
      <c r="W47" s="302" t="str">
        <f t="shared" si="1"/>
        <v/>
      </c>
      <c r="X47" s="302" t="str">
        <f t="shared" si="2"/>
        <v/>
      </c>
      <c r="Y47" s="302" t="str">
        <f t="shared" si="3"/>
        <v/>
      </c>
      <c r="Z47" s="471" t="str">
        <f t="shared" si="4"/>
        <v/>
      </c>
      <c r="AA47" s="488"/>
      <c r="AB47" s="486"/>
      <c r="AC47" s="101"/>
      <c r="AD47" s="101"/>
      <c r="AE47" s="41" t="str">
        <f>IF(OR(Q47="",AA47="Yes"),"",IF(Q47='G-1 All Habitats'!$X$3,E47-U47-V47,"None"))</f>
        <v/>
      </c>
      <c r="AF47" s="42" t="str">
        <f>IF(Q47="","", IF(Q47='G-1 All Habitats'!$X$3, AE47*G47*I47*L47*N47*P47,"None"))</f>
        <v/>
      </c>
      <c r="AI47" s="15">
        <f t="shared" si="8"/>
        <v>0</v>
      </c>
      <c r="AJ47" s="105" t="str">
        <f t="shared" si="5"/>
        <v/>
      </c>
      <c r="AK47" s="105" t="str">
        <f t="shared" si="6"/>
        <v/>
      </c>
      <c r="AM47" s="105">
        <v>38</v>
      </c>
      <c r="AO47" s="105" t="str">
        <f t="array" ref="AO47">IFERROR(INDEX($AM$10:$AM$258, MATCH(0, IF(TRUE=$AJ$10:$AJ$258, COUNTIF($AO$9:$AO46, $AM$10:$AM$258), ""), 0)),"")</f>
        <v/>
      </c>
      <c r="AP47" s="105" t="str">
        <f t="array" ref="AP47">IFERROR(INDEX($AM$10:$AM$258, MATCH(0, IF(TRUE=$AK$10:$AK$258, COUNTIF($AP$9:$AP46, $AM$10:$AM$258), ""), 0)),"")</f>
        <v/>
      </c>
      <c r="AR47" s="15" t="str">
        <f>IFERROR(INDEX('G-7 WaterC'' Data'!$AZ$3:$AZ$7,MATCH(D47,'G-7 WaterC'' Data'!$AY$3:$AY$7,0)),"")</f>
        <v/>
      </c>
      <c r="AS47" s="15" t="str">
        <f>IFERROR(INDEX('G-7 WaterC'' Data'!AZ47:AZ51,MATCH(D47,'G-7 WaterC'' Data'!$AY$10:$AY$14,0)),"")</f>
        <v/>
      </c>
      <c r="AU47" s="15" t="str">
        <f>IF(D47="","",VLOOKUP(D47,'G-7 WaterC'' Data'!B$4:M$8,12,FALSE))</f>
        <v/>
      </c>
      <c r="AV47" s="15" t="str">
        <f t="shared" si="7"/>
        <v/>
      </c>
    </row>
    <row r="48" spans="3:48" ht="14" x14ac:dyDescent="0.3">
      <c r="C48" s="92">
        <v>39</v>
      </c>
      <c r="D48" s="271"/>
      <c r="E48" s="120"/>
      <c r="F48" s="290" t="str">
        <f>IF(D48="","",VLOOKUP(D48,'G-7 WaterC'' Data'!$B$2:$G$8,2,FALSE))</f>
        <v/>
      </c>
      <c r="G48" s="291" t="str">
        <f>IFERROR(VLOOKUP(F48,'G-7 WaterC'' Data'!$C$4:$D$8,2,FALSE),"")</f>
        <v/>
      </c>
      <c r="H48" s="38"/>
      <c r="I48" s="291" t="str">
        <f>IFERROR(INDEX('G-7 WaterC'' Data'!$H$4:$L$8,MATCH(D48,'G-7 WaterC'' Data'!$B$4:$B$8,0),MATCH(H48,'G-7 WaterC'' Data'!$H$3:$L$3,0)),"")</f>
        <v/>
      </c>
      <c r="J48" s="777"/>
      <c r="K48" s="325" t="str">
        <f>IF(J48="","",IF(VLOOKUP(J48,'G-7 WaterC'' Data'!$AK$4:$AM$6,2,FALSE)=0,"Spatial Data Missing ⚠",VLOOKUP(J48,'G-7 WaterC'' Data'!$AK$4:$AM$6,2,FALSE)))</f>
        <v/>
      </c>
      <c r="L48" s="296" t="str">
        <f>IF(J48="","",IF(VLOOKUP(J48,'G-7 WaterC'' Data'!$AK$4:$AM$9,3,FALSE)=0,"Spatial Data Missing ⚠",VLOOKUP(J48,'G-7 WaterC'' Data'!$AK$4:$AM$6,3,FALSE)))</f>
        <v/>
      </c>
      <c r="M48" s="38"/>
      <c r="N48" s="291" t="str">
        <f>IF(M48="","",IF(AND(D48&lt;&gt;"Culvert",M48="N/A - Culvert"),"Not possible ▲",IF(AND(D48="Culvert",M48&lt;&gt;"N/A - Culvert"),"Not possible ▲",IF(VLOOKUP(M48,'G-7 WaterC'' Data'!$AA$4:$AB$7,2,FALSE)=0,"Spatial Data Missing ⚠",VLOOKUP(M48,'G-7 WaterC'' Data'!$AA$4:$AB$7,2,FALSE)))))</f>
        <v/>
      </c>
      <c r="O48" s="44"/>
      <c r="P48" s="291" t="str">
        <f>IF(O48="","",IF(AND(O48="N/A - Culvert", D48&lt;&gt;"Culvert"),"Not possible ▲", IF(AND(D48="Culvert",O48&lt;&gt;"N/A - Culvert"),"Not possible ▲",IF(VLOOKUP(O48,'G-7 WaterC'' Data'!$AD$4:$AE$14,2,FALSE)=0,"Spatial Data Missing ⚠",VLOOKUP(O48,'G-7 WaterC'' Data'!$AD$4:$AE$14,2,FALSE)))))</f>
        <v/>
      </c>
      <c r="Q48" s="297" t="str">
        <f>IF(D48="","",VLOOKUP(D48,'G-7 WaterC'' Data'!$B$2:$G$8,6,FALSE))</f>
        <v/>
      </c>
      <c r="R48" s="304" t="str">
        <f>IFERROR(IF(AND(Q48='G-1 All Habitats'!$X$3, AE48&gt;0, U48&lt;=0, V48&lt;=0, OR(AA48="No", AA48="")),"Any Loss Unacceptable ⚠", (IF(AND(Q48='G-1 All Habitats'!$X$3, AE48&gt;0, U48&lt;=0, V48&lt;=0, AA48="Yes"), 0, (IF(AND(Q48='G-1 All Habitats'!$X$3,(U48+V48)&lt;E48, OR(AA48="No", AA48="")),"Any Loss Unacceptable ⚠", (IF(AND(Q48='G-1 All Habitats'!$X$3,(U48+V48)&gt;E48), E48*G48*I48*L48*N48*P48, (IF(Q48="","",IF(AND(Q48='G-1 All Habitats'!$X$3,V48&gt;0),W48+X48,IF(AND(Q48='G-1 All Habitats'!$X$3,U48&gt;0), W48+X48, IF(AND(S48="Yes", V48&gt;(E48-U48)),(E48-U48)*G48*I48*L48*N48*P48, IF(AND(S48="Yes", V48&lt;=(E48-U48)), X48, E48*G48*I48*L48*N48*P48 ))))))))))))),"Check Data ▲")</f>
        <v/>
      </c>
      <c r="S48" s="671" t="str">
        <f t="shared" si="0"/>
        <v/>
      </c>
      <c r="T48" s="17"/>
      <c r="U48" s="95"/>
      <c r="V48" s="106"/>
      <c r="W48" s="302" t="str">
        <f t="shared" si="1"/>
        <v/>
      </c>
      <c r="X48" s="302" t="str">
        <f t="shared" si="2"/>
        <v/>
      </c>
      <c r="Y48" s="302" t="str">
        <f t="shared" si="3"/>
        <v/>
      </c>
      <c r="Z48" s="471" t="str">
        <f t="shared" si="4"/>
        <v/>
      </c>
      <c r="AA48" s="488"/>
      <c r="AB48" s="486"/>
      <c r="AC48" s="101"/>
      <c r="AD48" s="101"/>
      <c r="AE48" s="41" t="str">
        <f>IF(OR(Q48="",AA48="Yes"),"",IF(Q48='G-1 All Habitats'!$X$3,E48-U48-V48,"None"))</f>
        <v/>
      </c>
      <c r="AF48" s="42" t="str">
        <f>IF(Q48="","", IF(Q48='G-1 All Habitats'!$X$3, AE48*G48*I48*L48*N48*P48,"None"))</f>
        <v/>
      </c>
      <c r="AI48" s="15">
        <f t="shared" si="8"/>
        <v>0</v>
      </c>
      <c r="AJ48" s="105" t="str">
        <f t="shared" si="5"/>
        <v/>
      </c>
      <c r="AK48" s="105" t="str">
        <f t="shared" si="6"/>
        <v/>
      </c>
      <c r="AM48" s="105">
        <v>39</v>
      </c>
      <c r="AO48" s="105" t="str">
        <f t="array" ref="AO48">IFERROR(INDEX($AM$10:$AM$258, MATCH(0, IF(TRUE=$AJ$10:$AJ$258, COUNTIF($AO$9:$AO47, $AM$10:$AM$258), ""), 0)),"")</f>
        <v/>
      </c>
      <c r="AP48" s="105" t="str">
        <f t="array" ref="AP48">IFERROR(INDEX($AM$10:$AM$258, MATCH(0, IF(TRUE=$AK$10:$AK$258, COUNTIF($AP$9:$AP47, $AM$10:$AM$258), ""), 0)),"")</f>
        <v/>
      </c>
      <c r="AR48" s="15" t="str">
        <f>IFERROR(INDEX('G-7 WaterC'' Data'!$AZ$3:$AZ$7,MATCH(D48,'G-7 WaterC'' Data'!$AY$3:$AY$7,0)),"")</f>
        <v/>
      </c>
      <c r="AS48" s="15" t="str">
        <f>IFERROR(INDEX('G-7 WaterC'' Data'!AZ48:AZ52,MATCH(D48,'G-7 WaterC'' Data'!$AY$10:$AY$14,0)),"")</f>
        <v/>
      </c>
      <c r="AU48" s="15" t="str">
        <f>IF(D48="","",VLOOKUP(D48,'G-7 WaterC'' Data'!B$4:M$8,12,FALSE))</f>
        <v/>
      </c>
      <c r="AV48" s="15" t="str">
        <f t="shared" si="7"/>
        <v/>
      </c>
    </row>
    <row r="49" spans="3:48" ht="14" x14ac:dyDescent="0.3">
      <c r="C49" s="92">
        <v>40</v>
      </c>
      <c r="D49" s="271"/>
      <c r="E49" s="120"/>
      <c r="F49" s="290" t="str">
        <f>IF(D49="","",VLOOKUP(D49,'G-7 WaterC'' Data'!$B$2:$G$8,2,FALSE))</f>
        <v/>
      </c>
      <c r="G49" s="291" t="str">
        <f>IFERROR(VLOOKUP(F49,'G-7 WaterC'' Data'!$C$4:$D$8,2,FALSE),"")</f>
        <v/>
      </c>
      <c r="H49" s="38"/>
      <c r="I49" s="291" t="str">
        <f>IFERROR(INDEX('G-7 WaterC'' Data'!$H$4:$L$8,MATCH(D49,'G-7 WaterC'' Data'!$B$4:$B$8,0),MATCH(H49,'G-7 WaterC'' Data'!$H$3:$L$3,0)),"")</f>
        <v/>
      </c>
      <c r="J49" s="777"/>
      <c r="K49" s="325" t="str">
        <f>IF(J49="","",IF(VLOOKUP(J49,'G-7 WaterC'' Data'!$AK$4:$AM$6,2,FALSE)=0,"Spatial Data Missing ⚠",VLOOKUP(J49,'G-7 WaterC'' Data'!$AK$4:$AM$6,2,FALSE)))</f>
        <v/>
      </c>
      <c r="L49" s="296" t="str">
        <f>IF(J49="","",IF(VLOOKUP(J49,'G-7 WaterC'' Data'!$AK$4:$AM$9,3,FALSE)=0,"Spatial Data Missing ⚠",VLOOKUP(J49,'G-7 WaterC'' Data'!$AK$4:$AM$6,3,FALSE)))</f>
        <v/>
      </c>
      <c r="M49" s="38"/>
      <c r="N49" s="291" t="str">
        <f>IF(M49="","",IF(AND(D49&lt;&gt;"Culvert",M49="N/A - Culvert"),"Not possible ▲",IF(AND(D49="Culvert",M49&lt;&gt;"N/A - Culvert"),"Not possible ▲",IF(VLOOKUP(M49,'G-7 WaterC'' Data'!$AA$4:$AB$7,2,FALSE)=0,"Spatial Data Missing ⚠",VLOOKUP(M49,'G-7 WaterC'' Data'!$AA$4:$AB$7,2,FALSE)))))</f>
        <v/>
      </c>
      <c r="O49" s="44"/>
      <c r="P49" s="291" t="str">
        <f>IF(O49="","",IF(AND(O49="N/A - Culvert", D49&lt;&gt;"Culvert"),"Not possible ▲", IF(AND(D49="Culvert",O49&lt;&gt;"N/A - Culvert"),"Not possible ▲",IF(VLOOKUP(O49,'G-7 WaterC'' Data'!$AD$4:$AE$14,2,FALSE)=0,"Spatial Data Missing ⚠",VLOOKUP(O49,'G-7 WaterC'' Data'!$AD$4:$AE$14,2,FALSE)))))</f>
        <v/>
      </c>
      <c r="Q49" s="297" t="str">
        <f>IF(D49="","",VLOOKUP(D49,'G-7 WaterC'' Data'!$B$2:$G$8,6,FALSE))</f>
        <v/>
      </c>
      <c r="R49" s="304" t="str">
        <f>IFERROR(IF(AND(Q49='G-1 All Habitats'!$X$3, AE49&gt;0, U49&lt;=0, V49&lt;=0, OR(AA49="No", AA49="")),"Any Loss Unacceptable ⚠", (IF(AND(Q49='G-1 All Habitats'!$X$3, AE49&gt;0, U49&lt;=0, V49&lt;=0, AA49="Yes"), 0, (IF(AND(Q49='G-1 All Habitats'!$X$3,(U49+V49)&lt;E49, OR(AA49="No", AA49="")),"Any Loss Unacceptable ⚠", (IF(AND(Q49='G-1 All Habitats'!$X$3,(U49+V49)&gt;E49), E49*G49*I49*L49*N49*P49, (IF(Q49="","",IF(AND(Q49='G-1 All Habitats'!$X$3,V49&gt;0),W49+X49,IF(AND(Q49='G-1 All Habitats'!$X$3,U49&gt;0), W49+X49, IF(AND(S49="Yes", V49&gt;(E49-U49)),(E49-U49)*G49*I49*L49*N49*P49, IF(AND(S49="Yes", V49&lt;=(E49-U49)), X49, E49*G49*I49*L49*N49*P49 ))))))))))))),"Check Data ▲")</f>
        <v/>
      </c>
      <c r="S49" s="671" t="str">
        <f t="shared" si="0"/>
        <v/>
      </c>
      <c r="T49" s="17"/>
      <c r="U49" s="95"/>
      <c r="V49" s="106"/>
      <c r="W49" s="302" t="str">
        <f t="shared" si="1"/>
        <v/>
      </c>
      <c r="X49" s="302" t="str">
        <f t="shared" si="2"/>
        <v/>
      </c>
      <c r="Y49" s="302" t="str">
        <f t="shared" si="3"/>
        <v/>
      </c>
      <c r="Z49" s="471" t="str">
        <f t="shared" si="4"/>
        <v/>
      </c>
      <c r="AA49" s="488"/>
      <c r="AB49" s="486"/>
      <c r="AC49" s="101"/>
      <c r="AD49" s="101"/>
      <c r="AE49" s="41" t="str">
        <f>IF(OR(Q49="",AA49="Yes"),"",IF(Q49='G-1 All Habitats'!$X$3,E49-U49-V49,"None"))</f>
        <v/>
      </c>
      <c r="AF49" s="42" t="str">
        <f>IF(Q49="","", IF(Q49='G-1 All Habitats'!$X$3, AE49*G49*I49*L49*N49*P49,"None"))</f>
        <v/>
      </c>
      <c r="AI49" s="15">
        <f t="shared" si="8"/>
        <v>0</v>
      </c>
      <c r="AJ49" s="105" t="str">
        <f t="shared" si="5"/>
        <v/>
      </c>
      <c r="AK49" s="105" t="str">
        <f t="shared" si="6"/>
        <v/>
      </c>
      <c r="AM49" s="105">
        <v>40</v>
      </c>
      <c r="AO49" s="105" t="str">
        <f t="array" ref="AO49">IFERROR(INDEX($AM$10:$AM$258, MATCH(0, IF(TRUE=$AJ$10:$AJ$258, COUNTIF($AO$9:$AO48, $AM$10:$AM$258), ""), 0)),"")</f>
        <v/>
      </c>
      <c r="AP49" s="105" t="str">
        <f t="array" ref="AP49">IFERROR(INDEX($AM$10:$AM$258, MATCH(0, IF(TRUE=$AK$10:$AK$258, COUNTIF($AP$9:$AP48, $AM$10:$AM$258), ""), 0)),"")</f>
        <v/>
      </c>
      <c r="AR49" s="15" t="str">
        <f>IFERROR(INDEX('G-7 WaterC'' Data'!$AZ$3:$AZ$7,MATCH(D49,'G-7 WaterC'' Data'!$AY$3:$AY$7,0)),"")</f>
        <v/>
      </c>
      <c r="AS49" s="15" t="str">
        <f>IFERROR(INDEX('G-7 WaterC'' Data'!AZ49:AZ53,MATCH(D49,'G-7 WaterC'' Data'!$AY$10:$AY$14,0)),"")</f>
        <v/>
      </c>
      <c r="AU49" s="15" t="str">
        <f>IF(D49="","",VLOOKUP(D49,'G-7 WaterC'' Data'!B$4:M$8,12,FALSE))</f>
        <v/>
      </c>
      <c r="AV49" s="15" t="str">
        <f t="shared" si="7"/>
        <v/>
      </c>
    </row>
    <row r="50" spans="3:48" ht="14" x14ac:dyDescent="0.3">
      <c r="C50" s="92">
        <v>41</v>
      </c>
      <c r="D50" s="271"/>
      <c r="E50" s="120"/>
      <c r="F50" s="290" t="str">
        <f>IF(D50="","",VLOOKUP(D50,'G-7 WaterC'' Data'!$B$2:$G$8,2,FALSE))</f>
        <v/>
      </c>
      <c r="G50" s="291" t="str">
        <f>IFERROR(VLOOKUP(F50,'G-7 WaterC'' Data'!$C$4:$D$8,2,FALSE),"")</f>
        <v/>
      </c>
      <c r="H50" s="38"/>
      <c r="I50" s="291" t="str">
        <f>IFERROR(INDEX('G-7 WaterC'' Data'!$H$4:$L$8,MATCH(D50,'G-7 WaterC'' Data'!$B$4:$B$8,0),MATCH(H50,'G-7 WaterC'' Data'!$H$3:$L$3,0)),"")</f>
        <v/>
      </c>
      <c r="J50" s="777"/>
      <c r="K50" s="325" t="str">
        <f>IF(J50="","",IF(VLOOKUP(J50,'G-7 WaterC'' Data'!$AK$4:$AM$6,2,FALSE)=0,"Spatial Data Missing ⚠",VLOOKUP(J50,'G-7 WaterC'' Data'!$AK$4:$AM$6,2,FALSE)))</f>
        <v/>
      </c>
      <c r="L50" s="296" t="str">
        <f>IF(J50="","",IF(VLOOKUP(J50,'G-7 WaterC'' Data'!$AK$4:$AM$9,3,FALSE)=0,"Spatial Data Missing ⚠",VLOOKUP(J50,'G-7 WaterC'' Data'!$AK$4:$AM$6,3,FALSE)))</f>
        <v/>
      </c>
      <c r="M50" s="38"/>
      <c r="N50" s="291" t="str">
        <f>IF(M50="","",IF(AND(D50&lt;&gt;"Culvert",M50="N/A - Culvert"),"Not possible ▲",IF(AND(D50="Culvert",M50&lt;&gt;"N/A - Culvert"),"Not possible ▲",IF(VLOOKUP(M50,'G-7 WaterC'' Data'!$AA$4:$AB$7,2,FALSE)=0,"Spatial Data Missing ⚠",VLOOKUP(M50,'G-7 WaterC'' Data'!$AA$4:$AB$7,2,FALSE)))))</f>
        <v/>
      </c>
      <c r="O50" s="44"/>
      <c r="P50" s="291" t="str">
        <f>IF(O50="","",IF(AND(O50="N/A - Culvert", D50&lt;&gt;"Culvert"),"Not possible ▲", IF(AND(D50="Culvert",O50&lt;&gt;"N/A - Culvert"),"Not possible ▲",IF(VLOOKUP(O50,'G-7 WaterC'' Data'!$AD$4:$AE$14,2,FALSE)=0,"Spatial Data Missing ⚠",VLOOKUP(O50,'G-7 WaterC'' Data'!$AD$4:$AE$14,2,FALSE)))))</f>
        <v/>
      </c>
      <c r="Q50" s="297" t="str">
        <f>IF(D50="","",VLOOKUP(D50,'G-7 WaterC'' Data'!$B$2:$G$8,6,FALSE))</f>
        <v/>
      </c>
      <c r="R50" s="304" t="str">
        <f>IFERROR(IF(AND(Q50='G-1 All Habitats'!$X$3, AE50&gt;0, U50&lt;=0, V50&lt;=0, OR(AA50="No", AA50="")),"Any Loss Unacceptable ⚠", (IF(AND(Q50='G-1 All Habitats'!$X$3, AE50&gt;0, U50&lt;=0, V50&lt;=0, AA50="Yes"), 0, (IF(AND(Q50='G-1 All Habitats'!$X$3,(U50+V50)&lt;E50, OR(AA50="No", AA50="")),"Any Loss Unacceptable ⚠", (IF(AND(Q50='G-1 All Habitats'!$X$3,(U50+V50)&gt;E50), E50*G50*I50*L50*N50*P50, (IF(Q50="","",IF(AND(Q50='G-1 All Habitats'!$X$3,V50&gt;0),W50+X50,IF(AND(Q50='G-1 All Habitats'!$X$3,U50&gt;0), W50+X50, IF(AND(S50="Yes", V50&gt;(E50-U50)),(E50-U50)*G50*I50*L50*N50*P50, IF(AND(S50="Yes", V50&lt;=(E50-U50)), X50, E50*G50*I50*L50*N50*P50 ))))))))))))),"Check Data ▲")</f>
        <v/>
      </c>
      <c r="S50" s="671" t="str">
        <f t="shared" si="0"/>
        <v/>
      </c>
      <c r="T50" s="17"/>
      <c r="U50" s="95"/>
      <c r="V50" s="106"/>
      <c r="W50" s="302" t="str">
        <f t="shared" si="1"/>
        <v/>
      </c>
      <c r="X50" s="302" t="str">
        <f t="shared" si="2"/>
        <v/>
      </c>
      <c r="Y50" s="302" t="str">
        <f t="shared" si="3"/>
        <v/>
      </c>
      <c r="Z50" s="471" t="str">
        <f t="shared" si="4"/>
        <v/>
      </c>
      <c r="AA50" s="488"/>
      <c r="AB50" s="486"/>
      <c r="AC50" s="101"/>
      <c r="AD50" s="101"/>
      <c r="AE50" s="41" t="str">
        <f>IF(OR(Q50="",AA50="Yes"),"",IF(Q50='G-1 All Habitats'!$X$3,E50-U50-V50,"None"))</f>
        <v/>
      </c>
      <c r="AF50" s="42" t="str">
        <f>IF(Q50="","", IF(Q50='G-1 All Habitats'!$X$3, AE50*G50*I50*L50*N50*P50,"None"))</f>
        <v/>
      </c>
      <c r="AI50" s="15">
        <f t="shared" si="8"/>
        <v>0</v>
      </c>
      <c r="AJ50" s="105" t="str">
        <f t="shared" si="5"/>
        <v/>
      </c>
      <c r="AK50" s="105" t="str">
        <f t="shared" si="6"/>
        <v/>
      </c>
      <c r="AM50" s="105">
        <v>41</v>
      </c>
      <c r="AO50" s="105" t="str">
        <f t="array" ref="AO50">IFERROR(INDEX($AM$10:$AM$258, MATCH(0, IF(TRUE=$AJ$10:$AJ$258, COUNTIF($AO$9:$AO49, $AM$10:$AM$258), ""), 0)),"")</f>
        <v/>
      </c>
      <c r="AP50" s="105" t="str">
        <f t="array" ref="AP50">IFERROR(INDEX($AM$10:$AM$258, MATCH(0, IF(TRUE=$AK$10:$AK$258, COUNTIF($AP$9:$AP49, $AM$10:$AM$258), ""), 0)),"")</f>
        <v/>
      </c>
      <c r="AR50" s="15" t="str">
        <f>IFERROR(INDEX('G-7 WaterC'' Data'!$AZ$3:$AZ$7,MATCH(D50,'G-7 WaterC'' Data'!$AY$3:$AY$7,0)),"")</f>
        <v/>
      </c>
      <c r="AS50" s="15" t="str">
        <f>IFERROR(INDEX('G-7 WaterC'' Data'!AZ50:AZ54,MATCH(D50,'G-7 WaterC'' Data'!$AY$10:$AY$14,0)),"")</f>
        <v/>
      </c>
      <c r="AU50" s="15" t="str">
        <f>IF(D50="","",VLOOKUP(D50,'G-7 WaterC'' Data'!B$4:M$8,12,FALSE))</f>
        <v/>
      </c>
      <c r="AV50" s="15" t="str">
        <f t="shared" si="7"/>
        <v/>
      </c>
    </row>
    <row r="51" spans="3:48" ht="14" x14ac:dyDescent="0.3">
      <c r="C51" s="92">
        <v>42</v>
      </c>
      <c r="D51" s="271"/>
      <c r="E51" s="120"/>
      <c r="F51" s="290" t="str">
        <f>IF(D51="","",VLOOKUP(D51,'G-7 WaterC'' Data'!$B$2:$G$8,2,FALSE))</f>
        <v/>
      </c>
      <c r="G51" s="291" t="str">
        <f>IFERROR(VLOOKUP(F51,'G-7 WaterC'' Data'!$C$4:$D$8,2,FALSE),"")</f>
        <v/>
      </c>
      <c r="H51" s="38"/>
      <c r="I51" s="291" t="str">
        <f>IFERROR(INDEX('G-7 WaterC'' Data'!$H$4:$L$8,MATCH(D51,'G-7 WaterC'' Data'!$B$4:$B$8,0),MATCH(H51,'G-7 WaterC'' Data'!$H$3:$L$3,0)),"")</f>
        <v/>
      </c>
      <c r="J51" s="777"/>
      <c r="K51" s="325" t="str">
        <f>IF(J51="","",IF(VLOOKUP(J51,'G-7 WaterC'' Data'!$AK$4:$AM$6,2,FALSE)=0,"Spatial Data Missing ⚠",VLOOKUP(J51,'G-7 WaterC'' Data'!$AK$4:$AM$6,2,FALSE)))</f>
        <v/>
      </c>
      <c r="L51" s="296" t="str">
        <f>IF(J51="","",IF(VLOOKUP(J51,'G-7 WaterC'' Data'!$AK$4:$AM$9,3,FALSE)=0,"Spatial Data Missing ⚠",VLOOKUP(J51,'G-7 WaterC'' Data'!$AK$4:$AM$6,3,FALSE)))</f>
        <v/>
      </c>
      <c r="M51" s="38"/>
      <c r="N51" s="291" t="str">
        <f>IF(M51="","",IF(AND(D51&lt;&gt;"Culvert",M51="N/A - Culvert"),"Not possible ▲",IF(AND(D51="Culvert",M51&lt;&gt;"N/A - Culvert"),"Not possible ▲",IF(VLOOKUP(M51,'G-7 WaterC'' Data'!$AA$4:$AB$7,2,FALSE)=0,"Spatial Data Missing ⚠",VLOOKUP(M51,'G-7 WaterC'' Data'!$AA$4:$AB$7,2,FALSE)))))</f>
        <v/>
      </c>
      <c r="O51" s="44"/>
      <c r="P51" s="291" t="str">
        <f>IF(O51="","",IF(AND(O51="N/A - Culvert", D51&lt;&gt;"Culvert"),"Not possible ▲", IF(AND(D51="Culvert",O51&lt;&gt;"N/A - Culvert"),"Not possible ▲",IF(VLOOKUP(O51,'G-7 WaterC'' Data'!$AD$4:$AE$14,2,FALSE)=0,"Spatial Data Missing ⚠",VLOOKUP(O51,'G-7 WaterC'' Data'!$AD$4:$AE$14,2,FALSE)))))</f>
        <v/>
      </c>
      <c r="Q51" s="297" t="str">
        <f>IF(D51="","",VLOOKUP(D51,'G-7 WaterC'' Data'!$B$2:$G$8,6,FALSE))</f>
        <v/>
      </c>
      <c r="R51" s="304" t="str">
        <f>IFERROR(IF(AND(Q51='G-1 All Habitats'!$X$3, AE51&gt;0, U51&lt;=0, V51&lt;=0, OR(AA51="No", AA51="")),"Any Loss Unacceptable ⚠", (IF(AND(Q51='G-1 All Habitats'!$X$3, AE51&gt;0, U51&lt;=0, V51&lt;=0, AA51="Yes"), 0, (IF(AND(Q51='G-1 All Habitats'!$X$3,(U51+V51)&lt;E51, OR(AA51="No", AA51="")),"Any Loss Unacceptable ⚠", (IF(AND(Q51='G-1 All Habitats'!$X$3,(U51+V51)&gt;E51), E51*G51*I51*L51*N51*P51, (IF(Q51="","",IF(AND(Q51='G-1 All Habitats'!$X$3,V51&gt;0),W51+X51,IF(AND(Q51='G-1 All Habitats'!$X$3,U51&gt;0), W51+X51, IF(AND(S51="Yes", V51&gt;(E51-U51)),(E51-U51)*G51*I51*L51*N51*P51, IF(AND(S51="Yes", V51&lt;=(E51-U51)), X51, E51*G51*I51*L51*N51*P51 ))))))))))))),"Check Data ▲")</f>
        <v/>
      </c>
      <c r="S51" s="671" t="str">
        <f t="shared" si="0"/>
        <v/>
      </c>
      <c r="T51" s="17"/>
      <c r="U51" s="95"/>
      <c r="V51" s="106"/>
      <c r="W51" s="302" t="str">
        <f t="shared" si="1"/>
        <v/>
      </c>
      <c r="X51" s="302" t="str">
        <f t="shared" si="2"/>
        <v/>
      </c>
      <c r="Y51" s="302" t="str">
        <f t="shared" si="3"/>
        <v/>
      </c>
      <c r="Z51" s="471" t="str">
        <f t="shared" si="4"/>
        <v/>
      </c>
      <c r="AA51" s="488"/>
      <c r="AB51" s="486"/>
      <c r="AC51" s="101"/>
      <c r="AD51" s="101"/>
      <c r="AE51" s="41" t="str">
        <f>IF(OR(Q51="",AA51="Yes"),"",IF(Q51='G-1 All Habitats'!$X$3,E51-U51-V51,"None"))</f>
        <v/>
      </c>
      <c r="AF51" s="42" t="str">
        <f>IF(Q51="","", IF(Q51='G-1 All Habitats'!$X$3, AE51*G51*I51*L51*N51*P51,"None"))</f>
        <v/>
      </c>
      <c r="AI51" s="15">
        <f t="shared" si="8"/>
        <v>0</v>
      </c>
      <c r="AJ51" s="105" t="str">
        <f t="shared" si="5"/>
        <v/>
      </c>
      <c r="AK51" s="105" t="str">
        <f t="shared" si="6"/>
        <v/>
      </c>
      <c r="AM51" s="105">
        <v>42</v>
      </c>
      <c r="AO51" s="105" t="str">
        <f t="array" ref="AO51">IFERROR(INDEX($AM$10:$AM$258, MATCH(0, IF(TRUE=$AJ$10:$AJ$258, COUNTIF($AO$9:$AO50, $AM$10:$AM$258), ""), 0)),"")</f>
        <v/>
      </c>
      <c r="AP51" s="105" t="str">
        <f t="array" ref="AP51">IFERROR(INDEX($AM$10:$AM$258, MATCH(0, IF(TRUE=$AK$10:$AK$258, COUNTIF($AP$9:$AP50, $AM$10:$AM$258), ""), 0)),"")</f>
        <v/>
      </c>
      <c r="AR51" s="15" t="str">
        <f>IFERROR(INDEX('G-7 WaterC'' Data'!$AZ$3:$AZ$7,MATCH(D51,'G-7 WaterC'' Data'!$AY$3:$AY$7,0)),"")</f>
        <v/>
      </c>
      <c r="AS51" s="15" t="str">
        <f>IFERROR(INDEX('G-7 WaterC'' Data'!AZ51:AZ55,MATCH(D51,'G-7 WaterC'' Data'!$AY$10:$AY$14,0)),"")</f>
        <v/>
      </c>
      <c r="AU51" s="15" t="str">
        <f>IF(D51="","",VLOOKUP(D51,'G-7 WaterC'' Data'!B$4:M$8,12,FALSE))</f>
        <v/>
      </c>
      <c r="AV51" s="15" t="str">
        <f t="shared" si="7"/>
        <v/>
      </c>
    </row>
    <row r="52" spans="3:48" ht="14" x14ac:dyDescent="0.3">
      <c r="C52" s="92">
        <v>43</v>
      </c>
      <c r="D52" s="271"/>
      <c r="E52" s="120"/>
      <c r="F52" s="290" t="str">
        <f>IF(D52="","",VLOOKUP(D52,'G-7 WaterC'' Data'!$B$2:$G$8,2,FALSE))</f>
        <v/>
      </c>
      <c r="G52" s="291" t="str">
        <f>IFERROR(VLOOKUP(F52,'G-7 WaterC'' Data'!$C$4:$D$8,2,FALSE),"")</f>
        <v/>
      </c>
      <c r="H52" s="38"/>
      <c r="I52" s="291" t="str">
        <f>IFERROR(INDEX('G-7 WaterC'' Data'!$H$4:$L$8,MATCH(D52,'G-7 WaterC'' Data'!$B$4:$B$8,0),MATCH(H52,'G-7 WaterC'' Data'!$H$3:$L$3,0)),"")</f>
        <v/>
      </c>
      <c r="J52" s="777"/>
      <c r="K52" s="325" t="str">
        <f>IF(J52="","",IF(VLOOKUP(J52,'G-7 WaterC'' Data'!$AK$4:$AM$6,2,FALSE)=0,"Spatial Data Missing ⚠",VLOOKUP(J52,'G-7 WaterC'' Data'!$AK$4:$AM$6,2,FALSE)))</f>
        <v/>
      </c>
      <c r="L52" s="296" t="str">
        <f>IF(J52="","",IF(VLOOKUP(J52,'G-7 WaterC'' Data'!$AK$4:$AM$9,3,FALSE)=0,"Spatial Data Missing ⚠",VLOOKUP(J52,'G-7 WaterC'' Data'!$AK$4:$AM$6,3,FALSE)))</f>
        <v/>
      </c>
      <c r="M52" s="38"/>
      <c r="N52" s="291" t="str">
        <f>IF(M52="","",IF(AND(D52&lt;&gt;"Culvert",M52="N/A - Culvert"),"Not possible ▲",IF(AND(D52="Culvert",M52&lt;&gt;"N/A - Culvert"),"Not possible ▲",IF(VLOOKUP(M52,'G-7 WaterC'' Data'!$AA$4:$AB$7,2,FALSE)=0,"Spatial Data Missing ⚠",VLOOKUP(M52,'G-7 WaterC'' Data'!$AA$4:$AB$7,2,FALSE)))))</f>
        <v/>
      </c>
      <c r="O52" s="44"/>
      <c r="P52" s="291" t="str">
        <f>IF(O52="","",IF(AND(O52="N/A - Culvert", D52&lt;&gt;"Culvert"),"Not possible ▲", IF(AND(D52="Culvert",O52&lt;&gt;"N/A - Culvert"),"Not possible ▲",IF(VLOOKUP(O52,'G-7 WaterC'' Data'!$AD$4:$AE$14,2,FALSE)=0,"Spatial Data Missing ⚠",VLOOKUP(O52,'G-7 WaterC'' Data'!$AD$4:$AE$14,2,FALSE)))))</f>
        <v/>
      </c>
      <c r="Q52" s="297" t="str">
        <f>IF(D52="","",VLOOKUP(D52,'G-7 WaterC'' Data'!$B$2:$G$8,6,FALSE))</f>
        <v/>
      </c>
      <c r="R52" s="304" t="str">
        <f>IFERROR(IF(AND(Q52='G-1 All Habitats'!$X$3, AE52&gt;0, U52&lt;=0, V52&lt;=0, OR(AA52="No", AA52="")),"Any Loss Unacceptable ⚠", (IF(AND(Q52='G-1 All Habitats'!$X$3, AE52&gt;0, U52&lt;=0, V52&lt;=0, AA52="Yes"), 0, (IF(AND(Q52='G-1 All Habitats'!$X$3,(U52+V52)&lt;E52, OR(AA52="No", AA52="")),"Any Loss Unacceptable ⚠", (IF(AND(Q52='G-1 All Habitats'!$X$3,(U52+V52)&gt;E52), E52*G52*I52*L52*N52*P52, (IF(Q52="","",IF(AND(Q52='G-1 All Habitats'!$X$3,V52&gt;0),W52+X52,IF(AND(Q52='G-1 All Habitats'!$X$3,U52&gt;0), W52+X52, IF(AND(S52="Yes", V52&gt;(E52-U52)),(E52-U52)*G52*I52*L52*N52*P52, IF(AND(S52="Yes", V52&lt;=(E52-U52)), X52, E52*G52*I52*L52*N52*P52 ))))))))))))),"Check Data ▲")</f>
        <v/>
      </c>
      <c r="S52" s="671" t="str">
        <f t="shared" si="0"/>
        <v/>
      </c>
      <c r="T52" s="17"/>
      <c r="U52" s="95"/>
      <c r="V52" s="106"/>
      <c r="W52" s="302" t="str">
        <f t="shared" si="1"/>
        <v/>
      </c>
      <c r="X52" s="302" t="str">
        <f t="shared" si="2"/>
        <v/>
      </c>
      <c r="Y52" s="302" t="str">
        <f t="shared" si="3"/>
        <v/>
      </c>
      <c r="Z52" s="471" t="str">
        <f t="shared" si="4"/>
        <v/>
      </c>
      <c r="AA52" s="488"/>
      <c r="AB52" s="486"/>
      <c r="AC52" s="101"/>
      <c r="AD52" s="101"/>
      <c r="AE52" s="41" t="str">
        <f>IF(OR(Q52="",AA52="Yes"),"",IF(Q52='G-1 All Habitats'!$X$3,E52-U52-V52,"None"))</f>
        <v/>
      </c>
      <c r="AF52" s="42" t="str">
        <f>IF(Q52="","", IF(Q52='G-1 All Habitats'!$X$3, AE52*G52*I52*L52*N52*P52,"None"))</f>
        <v/>
      </c>
      <c r="AI52" s="15">
        <f t="shared" si="8"/>
        <v>0</v>
      </c>
      <c r="AJ52" s="105" t="str">
        <f t="shared" si="5"/>
        <v/>
      </c>
      <c r="AK52" s="105" t="str">
        <f t="shared" si="6"/>
        <v/>
      </c>
      <c r="AM52" s="105">
        <v>43</v>
      </c>
      <c r="AO52" s="105" t="str">
        <f t="array" ref="AO52">IFERROR(INDEX($AM$10:$AM$258, MATCH(0, IF(TRUE=$AJ$10:$AJ$258, COUNTIF($AO$9:$AO51, $AM$10:$AM$258), ""), 0)),"")</f>
        <v/>
      </c>
      <c r="AP52" s="105" t="str">
        <f t="array" ref="AP52">IFERROR(INDEX($AM$10:$AM$258, MATCH(0, IF(TRUE=$AK$10:$AK$258, COUNTIF($AP$9:$AP51, $AM$10:$AM$258), ""), 0)),"")</f>
        <v/>
      </c>
      <c r="AR52" s="15" t="str">
        <f>IFERROR(INDEX('G-7 WaterC'' Data'!$AZ$3:$AZ$7,MATCH(D52,'G-7 WaterC'' Data'!$AY$3:$AY$7,0)),"")</f>
        <v/>
      </c>
      <c r="AS52" s="15" t="str">
        <f>IFERROR(INDEX('G-7 WaterC'' Data'!AZ52:AZ56,MATCH(D52,'G-7 WaterC'' Data'!$AY$10:$AY$14,0)),"")</f>
        <v/>
      </c>
      <c r="AU52" s="15" t="str">
        <f>IF(D52="","",VLOOKUP(D52,'G-7 WaterC'' Data'!B$4:M$8,12,FALSE))</f>
        <v/>
      </c>
      <c r="AV52" s="15" t="str">
        <f t="shared" si="7"/>
        <v/>
      </c>
    </row>
    <row r="53" spans="3:48" ht="14" x14ac:dyDescent="0.3">
      <c r="C53" s="92">
        <v>44</v>
      </c>
      <c r="D53" s="271"/>
      <c r="E53" s="120"/>
      <c r="F53" s="290" t="str">
        <f>IF(D53="","",VLOOKUP(D53,'G-7 WaterC'' Data'!$B$2:$G$8,2,FALSE))</f>
        <v/>
      </c>
      <c r="G53" s="291" t="str">
        <f>IFERROR(VLOOKUP(F53,'G-7 WaterC'' Data'!$C$4:$D$8,2,FALSE),"")</f>
        <v/>
      </c>
      <c r="H53" s="38"/>
      <c r="I53" s="291" t="str">
        <f>IFERROR(INDEX('G-7 WaterC'' Data'!$H$4:$L$8,MATCH(D53,'G-7 WaterC'' Data'!$B$4:$B$8,0),MATCH(H53,'G-7 WaterC'' Data'!$H$3:$L$3,0)),"")</f>
        <v/>
      </c>
      <c r="J53" s="777"/>
      <c r="K53" s="325" t="str">
        <f>IF(J53="","",IF(VLOOKUP(J53,'G-7 WaterC'' Data'!$AK$4:$AM$6,2,FALSE)=0,"Spatial Data Missing ⚠",VLOOKUP(J53,'G-7 WaterC'' Data'!$AK$4:$AM$6,2,FALSE)))</f>
        <v/>
      </c>
      <c r="L53" s="296" t="str">
        <f>IF(J53="","",IF(VLOOKUP(J53,'G-7 WaterC'' Data'!$AK$4:$AM$9,3,FALSE)=0,"Spatial Data Missing ⚠",VLOOKUP(J53,'G-7 WaterC'' Data'!$AK$4:$AM$6,3,FALSE)))</f>
        <v/>
      </c>
      <c r="M53" s="38"/>
      <c r="N53" s="291" t="str">
        <f>IF(M53="","",IF(AND(D53&lt;&gt;"Culvert",M53="N/A - Culvert"),"Not possible ▲",IF(AND(D53="Culvert",M53&lt;&gt;"N/A - Culvert"),"Not possible ▲",IF(VLOOKUP(M53,'G-7 WaterC'' Data'!$AA$4:$AB$7,2,FALSE)=0,"Spatial Data Missing ⚠",VLOOKUP(M53,'G-7 WaterC'' Data'!$AA$4:$AB$7,2,FALSE)))))</f>
        <v/>
      </c>
      <c r="O53" s="44"/>
      <c r="P53" s="291" t="str">
        <f>IF(O53="","",IF(AND(O53="N/A - Culvert", D53&lt;&gt;"Culvert"),"Not possible ▲", IF(AND(D53="Culvert",O53&lt;&gt;"N/A - Culvert"),"Not possible ▲",IF(VLOOKUP(O53,'G-7 WaterC'' Data'!$AD$4:$AE$14,2,FALSE)=0,"Spatial Data Missing ⚠",VLOOKUP(O53,'G-7 WaterC'' Data'!$AD$4:$AE$14,2,FALSE)))))</f>
        <v/>
      </c>
      <c r="Q53" s="297" t="str">
        <f>IF(D53="","",VLOOKUP(D53,'G-7 WaterC'' Data'!$B$2:$G$8,6,FALSE))</f>
        <v/>
      </c>
      <c r="R53" s="304" t="str">
        <f>IFERROR(IF(AND(Q53='G-1 All Habitats'!$X$3, AE53&gt;0, U53&lt;=0, V53&lt;=0, OR(AA53="No", AA53="")),"Any Loss Unacceptable ⚠", (IF(AND(Q53='G-1 All Habitats'!$X$3, AE53&gt;0, U53&lt;=0, V53&lt;=0, AA53="Yes"), 0, (IF(AND(Q53='G-1 All Habitats'!$X$3,(U53+V53)&lt;E53, OR(AA53="No", AA53="")),"Any Loss Unacceptable ⚠", (IF(AND(Q53='G-1 All Habitats'!$X$3,(U53+V53)&gt;E53), E53*G53*I53*L53*N53*P53, (IF(Q53="","",IF(AND(Q53='G-1 All Habitats'!$X$3,V53&gt;0),W53+X53,IF(AND(Q53='G-1 All Habitats'!$X$3,U53&gt;0), W53+X53, IF(AND(S53="Yes", V53&gt;(E53-U53)),(E53-U53)*G53*I53*L53*N53*P53, IF(AND(S53="Yes", V53&lt;=(E53-U53)), X53, E53*G53*I53*L53*N53*P53 ))))))))))))),"Check Data ▲")</f>
        <v/>
      </c>
      <c r="S53" s="671" t="str">
        <f t="shared" si="0"/>
        <v/>
      </c>
      <c r="T53" s="17"/>
      <c r="U53" s="95"/>
      <c r="V53" s="106"/>
      <c r="W53" s="302" t="str">
        <f t="shared" si="1"/>
        <v/>
      </c>
      <c r="X53" s="302" t="str">
        <f t="shared" si="2"/>
        <v/>
      </c>
      <c r="Y53" s="302" t="str">
        <f t="shared" si="3"/>
        <v/>
      </c>
      <c r="Z53" s="471" t="str">
        <f t="shared" si="4"/>
        <v/>
      </c>
      <c r="AA53" s="488"/>
      <c r="AB53" s="486"/>
      <c r="AC53" s="101"/>
      <c r="AD53" s="101"/>
      <c r="AE53" s="41" t="str">
        <f>IF(OR(Q53="",AA53="Yes"),"",IF(Q53='G-1 All Habitats'!$X$3,E53-U53-V53,"None"))</f>
        <v/>
      </c>
      <c r="AF53" s="42" t="str">
        <f>IF(Q53="","", IF(Q53='G-1 All Habitats'!$X$3, AE53*G53*I53*L53*N53*P53,"None"))</f>
        <v/>
      </c>
      <c r="AI53" s="15">
        <f t="shared" si="8"/>
        <v>0</v>
      </c>
      <c r="AJ53" s="105" t="str">
        <f t="shared" si="5"/>
        <v/>
      </c>
      <c r="AK53" s="105" t="str">
        <f t="shared" si="6"/>
        <v/>
      </c>
      <c r="AM53" s="105">
        <v>44</v>
      </c>
      <c r="AO53" s="105" t="str">
        <f t="array" ref="AO53">IFERROR(INDEX($AM$10:$AM$258, MATCH(0, IF(TRUE=$AJ$10:$AJ$258, COUNTIF($AO$9:$AO52, $AM$10:$AM$258), ""), 0)),"")</f>
        <v/>
      </c>
      <c r="AP53" s="105" t="str">
        <f t="array" ref="AP53">IFERROR(INDEX($AM$10:$AM$258, MATCH(0, IF(TRUE=$AK$10:$AK$258, COUNTIF($AP$9:$AP52, $AM$10:$AM$258), ""), 0)),"")</f>
        <v/>
      </c>
      <c r="AR53" s="15" t="str">
        <f>IFERROR(INDEX('G-7 WaterC'' Data'!$AZ$3:$AZ$7,MATCH(D53,'G-7 WaterC'' Data'!$AY$3:$AY$7,0)),"")</f>
        <v/>
      </c>
      <c r="AS53" s="15" t="str">
        <f>IFERROR(INDEX('G-7 WaterC'' Data'!AZ53:AZ57,MATCH(D53,'G-7 WaterC'' Data'!$AY$10:$AY$14,0)),"")</f>
        <v/>
      </c>
      <c r="AU53" s="15" t="str">
        <f>IF(D53="","",VLOOKUP(D53,'G-7 WaterC'' Data'!B$4:M$8,12,FALSE))</f>
        <v/>
      </c>
      <c r="AV53" s="15" t="str">
        <f t="shared" si="7"/>
        <v/>
      </c>
    </row>
    <row r="54" spans="3:48" ht="14" x14ac:dyDescent="0.3">
      <c r="C54" s="92">
        <v>45</v>
      </c>
      <c r="D54" s="271"/>
      <c r="E54" s="120"/>
      <c r="F54" s="290" t="str">
        <f>IF(D54="","",VLOOKUP(D54,'G-7 WaterC'' Data'!$B$2:$G$8,2,FALSE))</f>
        <v/>
      </c>
      <c r="G54" s="291" t="str">
        <f>IFERROR(VLOOKUP(F54,'G-7 WaterC'' Data'!$C$4:$D$8,2,FALSE),"")</f>
        <v/>
      </c>
      <c r="H54" s="38"/>
      <c r="I54" s="291" t="str">
        <f>IFERROR(INDEX('G-7 WaterC'' Data'!$H$4:$L$8,MATCH(D54,'G-7 WaterC'' Data'!$B$4:$B$8,0),MATCH(H54,'G-7 WaterC'' Data'!$H$3:$L$3,0)),"")</f>
        <v/>
      </c>
      <c r="J54" s="777"/>
      <c r="K54" s="325" t="str">
        <f>IF(J54="","",IF(VLOOKUP(J54,'G-7 WaterC'' Data'!$AK$4:$AM$6,2,FALSE)=0,"Spatial Data Missing ⚠",VLOOKUP(J54,'G-7 WaterC'' Data'!$AK$4:$AM$6,2,FALSE)))</f>
        <v/>
      </c>
      <c r="L54" s="296" t="str">
        <f>IF(J54="","",IF(VLOOKUP(J54,'G-7 WaterC'' Data'!$AK$4:$AM$9,3,FALSE)=0,"Spatial Data Missing ⚠",VLOOKUP(J54,'G-7 WaterC'' Data'!$AK$4:$AM$6,3,FALSE)))</f>
        <v/>
      </c>
      <c r="M54" s="38"/>
      <c r="N54" s="291" t="str">
        <f>IF(M54="","",IF(AND(D54&lt;&gt;"Culvert",M54="N/A - Culvert"),"Not possible ▲",IF(AND(D54="Culvert",M54&lt;&gt;"N/A - Culvert"),"Not possible ▲",IF(VLOOKUP(M54,'G-7 WaterC'' Data'!$AA$4:$AB$7,2,FALSE)=0,"Spatial Data Missing ⚠",VLOOKUP(M54,'G-7 WaterC'' Data'!$AA$4:$AB$7,2,FALSE)))))</f>
        <v/>
      </c>
      <c r="O54" s="44"/>
      <c r="P54" s="291" t="str">
        <f>IF(O54="","",IF(AND(O54="N/A - Culvert", D54&lt;&gt;"Culvert"),"Not possible ▲", IF(AND(D54="Culvert",O54&lt;&gt;"N/A - Culvert"),"Not possible ▲",IF(VLOOKUP(O54,'G-7 WaterC'' Data'!$AD$4:$AE$14,2,FALSE)=0,"Spatial Data Missing ⚠",VLOOKUP(O54,'G-7 WaterC'' Data'!$AD$4:$AE$14,2,FALSE)))))</f>
        <v/>
      </c>
      <c r="Q54" s="297" t="str">
        <f>IF(D54="","",VLOOKUP(D54,'G-7 WaterC'' Data'!$B$2:$G$8,6,FALSE))</f>
        <v/>
      </c>
      <c r="R54" s="304" t="str">
        <f>IFERROR(IF(AND(Q54='G-1 All Habitats'!$X$3, AE54&gt;0, U54&lt;=0, V54&lt;=0, OR(AA54="No", AA54="")),"Any Loss Unacceptable ⚠", (IF(AND(Q54='G-1 All Habitats'!$X$3, AE54&gt;0, U54&lt;=0, V54&lt;=0, AA54="Yes"), 0, (IF(AND(Q54='G-1 All Habitats'!$X$3,(U54+V54)&lt;E54, OR(AA54="No", AA54="")),"Any Loss Unacceptable ⚠", (IF(AND(Q54='G-1 All Habitats'!$X$3,(U54+V54)&gt;E54), E54*G54*I54*L54*N54*P54, (IF(Q54="","",IF(AND(Q54='G-1 All Habitats'!$X$3,V54&gt;0),W54+X54,IF(AND(Q54='G-1 All Habitats'!$X$3,U54&gt;0), W54+X54, IF(AND(S54="Yes", V54&gt;(E54-U54)),(E54-U54)*G54*I54*L54*N54*P54, IF(AND(S54="Yes", V54&lt;=(E54-U54)), X54, E54*G54*I54*L54*N54*P54 ))))))))))))),"Check Data ▲")</f>
        <v/>
      </c>
      <c r="S54" s="671" t="str">
        <f t="shared" si="0"/>
        <v/>
      </c>
      <c r="T54" s="17"/>
      <c r="U54" s="95"/>
      <c r="V54" s="106"/>
      <c r="W54" s="302" t="str">
        <f t="shared" si="1"/>
        <v/>
      </c>
      <c r="X54" s="302" t="str">
        <f t="shared" si="2"/>
        <v/>
      </c>
      <c r="Y54" s="302" t="str">
        <f t="shared" si="3"/>
        <v/>
      </c>
      <c r="Z54" s="471" t="str">
        <f t="shared" si="4"/>
        <v/>
      </c>
      <c r="AA54" s="488"/>
      <c r="AB54" s="486"/>
      <c r="AC54" s="101"/>
      <c r="AD54" s="101"/>
      <c r="AE54" s="41" t="str">
        <f>IF(OR(Q54="",AA54="Yes"),"",IF(Q54='G-1 All Habitats'!$X$3,E54-U54-V54,"None"))</f>
        <v/>
      </c>
      <c r="AF54" s="42" t="str">
        <f>IF(Q54="","", IF(Q54='G-1 All Habitats'!$X$3, AE54*G54*I54*L54*N54*P54,"None"))</f>
        <v/>
      </c>
      <c r="AI54" s="15">
        <f t="shared" si="8"/>
        <v>0</v>
      </c>
      <c r="AJ54" s="105" t="str">
        <f t="shared" si="5"/>
        <v/>
      </c>
      <c r="AK54" s="105" t="str">
        <f t="shared" si="6"/>
        <v/>
      </c>
      <c r="AM54" s="105">
        <v>45</v>
      </c>
      <c r="AO54" s="105" t="str">
        <f t="array" ref="AO54">IFERROR(INDEX($AM$10:$AM$258, MATCH(0, IF(TRUE=$AJ$10:$AJ$258, COUNTIF($AO$9:$AO53, $AM$10:$AM$258), ""), 0)),"")</f>
        <v/>
      </c>
      <c r="AP54" s="105" t="str">
        <f t="array" ref="AP54">IFERROR(INDEX($AM$10:$AM$258, MATCH(0, IF(TRUE=$AK$10:$AK$258, COUNTIF($AP$9:$AP53, $AM$10:$AM$258), ""), 0)),"")</f>
        <v/>
      </c>
      <c r="AR54" s="15" t="str">
        <f>IFERROR(INDEX('G-7 WaterC'' Data'!$AZ$3:$AZ$7,MATCH(D54,'G-7 WaterC'' Data'!$AY$3:$AY$7,0)),"")</f>
        <v/>
      </c>
      <c r="AS54" s="15" t="str">
        <f>IFERROR(INDEX('G-7 WaterC'' Data'!AZ54:AZ58,MATCH(D54,'G-7 WaterC'' Data'!$AY$10:$AY$14,0)),"")</f>
        <v/>
      </c>
      <c r="AU54" s="15" t="str">
        <f>IF(D54="","",VLOOKUP(D54,'G-7 WaterC'' Data'!B$4:M$8,12,FALSE))</f>
        <v/>
      </c>
      <c r="AV54" s="15" t="str">
        <f t="shared" si="7"/>
        <v/>
      </c>
    </row>
    <row r="55" spans="3:48" ht="14" x14ac:dyDescent="0.3">
      <c r="C55" s="92">
        <v>46</v>
      </c>
      <c r="D55" s="271"/>
      <c r="E55" s="120"/>
      <c r="F55" s="290" t="str">
        <f>IF(D55="","",VLOOKUP(D55,'G-7 WaterC'' Data'!$B$2:$G$8,2,FALSE))</f>
        <v/>
      </c>
      <c r="G55" s="291" t="str">
        <f>IFERROR(VLOOKUP(F55,'G-7 WaterC'' Data'!$C$4:$D$8,2,FALSE),"")</f>
        <v/>
      </c>
      <c r="H55" s="38"/>
      <c r="I55" s="291" t="str">
        <f>IFERROR(INDEX('G-7 WaterC'' Data'!$H$4:$L$8,MATCH(D55,'G-7 WaterC'' Data'!$B$4:$B$8,0),MATCH(H55,'G-7 WaterC'' Data'!$H$3:$L$3,0)),"")</f>
        <v/>
      </c>
      <c r="J55" s="777"/>
      <c r="K55" s="325" t="str">
        <f>IF(J55="","",IF(VLOOKUP(J55,'G-7 WaterC'' Data'!$AK$4:$AM$6,2,FALSE)=0,"Spatial Data Missing ⚠",VLOOKUP(J55,'G-7 WaterC'' Data'!$AK$4:$AM$6,2,FALSE)))</f>
        <v/>
      </c>
      <c r="L55" s="296" t="str">
        <f>IF(J55="","",IF(VLOOKUP(J55,'G-7 WaterC'' Data'!$AK$4:$AM$9,3,FALSE)=0,"Spatial Data Missing ⚠",VLOOKUP(J55,'G-7 WaterC'' Data'!$AK$4:$AM$6,3,FALSE)))</f>
        <v/>
      </c>
      <c r="M55" s="38"/>
      <c r="N55" s="291" t="str">
        <f>IF(M55="","",IF(AND(D55&lt;&gt;"Culvert",M55="N/A - Culvert"),"Not possible ▲",IF(AND(D55="Culvert",M55&lt;&gt;"N/A - Culvert"),"Not possible ▲",IF(VLOOKUP(M55,'G-7 WaterC'' Data'!$AA$4:$AB$7,2,FALSE)=0,"Spatial Data Missing ⚠",VLOOKUP(M55,'G-7 WaterC'' Data'!$AA$4:$AB$7,2,FALSE)))))</f>
        <v/>
      </c>
      <c r="O55" s="44"/>
      <c r="P55" s="291" t="str">
        <f>IF(O55="","",IF(AND(O55="N/A - Culvert", D55&lt;&gt;"Culvert"),"Not possible ▲", IF(AND(D55="Culvert",O55&lt;&gt;"N/A - Culvert"),"Not possible ▲",IF(VLOOKUP(O55,'G-7 WaterC'' Data'!$AD$4:$AE$14,2,FALSE)=0,"Spatial Data Missing ⚠",VLOOKUP(O55,'G-7 WaterC'' Data'!$AD$4:$AE$14,2,FALSE)))))</f>
        <v/>
      </c>
      <c r="Q55" s="297" t="str">
        <f>IF(D55="","",VLOOKUP(D55,'G-7 WaterC'' Data'!$B$2:$G$8,6,FALSE))</f>
        <v/>
      </c>
      <c r="R55" s="304" t="str">
        <f>IFERROR(IF(AND(Q55='G-1 All Habitats'!$X$3, AE55&gt;0, U55&lt;=0, V55&lt;=0, OR(AA55="No", AA55="")),"Any Loss Unacceptable ⚠", (IF(AND(Q55='G-1 All Habitats'!$X$3, AE55&gt;0, U55&lt;=0, V55&lt;=0, AA55="Yes"), 0, (IF(AND(Q55='G-1 All Habitats'!$X$3,(U55+V55)&lt;E55, OR(AA55="No", AA55="")),"Any Loss Unacceptable ⚠", (IF(AND(Q55='G-1 All Habitats'!$X$3,(U55+V55)&gt;E55), E55*G55*I55*L55*N55*P55, (IF(Q55="","",IF(AND(Q55='G-1 All Habitats'!$X$3,V55&gt;0),W55+X55,IF(AND(Q55='G-1 All Habitats'!$X$3,U55&gt;0), W55+X55, IF(AND(S55="Yes", V55&gt;(E55-U55)),(E55-U55)*G55*I55*L55*N55*P55, IF(AND(S55="Yes", V55&lt;=(E55-U55)), X55, E55*G55*I55*L55*N55*P55 ))))))))))))),"Check Data ▲")</f>
        <v/>
      </c>
      <c r="S55" s="671" t="str">
        <f t="shared" si="0"/>
        <v/>
      </c>
      <c r="T55" s="17"/>
      <c r="U55" s="95"/>
      <c r="V55" s="106"/>
      <c r="W55" s="302" t="str">
        <f t="shared" si="1"/>
        <v/>
      </c>
      <c r="X55" s="302" t="str">
        <f t="shared" si="2"/>
        <v/>
      </c>
      <c r="Y55" s="302" t="str">
        <f t="shared" si="3"/>
        <v/>
      </c>
      <c r="Z55" s="471" t="str">
        <f t="shared" si="4"/>
        <v/>
      </c>
      <c r="AA55" s="488"/>
      <c r="AB55" s="486"/>
      <c r="AC55" s="101"/>
      <c r="AD55" s="101"/>
      <c r="AE55" s="41" t="str">
        <f>IF(OR(Q55="",AA55="Yes"),"",IF(Q55='G-1 All Habitats'!$X$3,E55-U55-V55,"None"))</f>
        <v/>
      </c>
      <c r="AF55" s="42" t="str">
        <f>IF(Q55="","", IF(Q55='G-1 All Habitats'!$X$3, AE55*G55*I55*L55*N55*P55,"None"))</f>
        <v/>
      </c>
      <c r="AI55" s="15">
        <f t="shared" si="8"/>
        <v>0</v>
      </c>
      <c r="AJ55" s="105" t="str">
        <f t="shared" si="5"/>
        <v/>
      </c>
      <c r="AK55" s="105" t="str">
        <f t="shared" si="6"/>
        <v/>
      </c>
      <c r="AM55" s="105">
        <v>46</v>
      </c>
      <c r="AO55" s="105" t="str">
        <f t="array" ref="AO55">IFERROR(INDEX($AM$10:$AM$258, MATCH(0, IF(TRUE=$AJ$10:$AJ$258, COUNTIF($AO$9:$AO54, $AM$10:$AM$258), ""), 0)),"")</f>
        <v/>
      </c>
      <c r="AP55" s="105" t="str">
        <f t="array" ref="AP55">IFERROR(INDEX($AM$10:$AM$258, MATCH(0, IF(TRUE=$AK$10:$AK$258, COUNTIF($AP$9:$AP54, $AM$10:$AM$258), ""), 0)),"")</f>
        <v/>
      </c>
      <c r="AR55" s="15" t="str">
        <f>IFERROR(INDEX('G-7 WaterC'' Data'!$AZ$3:$AZ$7,MATCH(D55,'G-7 WaterC'' Data'!$AY$3:$AY$7,0)),"")</f>
        <v/>
      </c>
      <c r="AS55" s="15" t="str">
        <f>IFERROR(INDEX('G-7 WaterC'' Data'!AZ55:AZ59,MATCH(D55,'G-7 WaterC'' Data'!$AY$10:$AY$14,0)),"")</f>
        <v/>
      </c>
      <c r="AU55" s="15" t="str">
        <f>IF(D55="","",VLOOKUP(D55,'G-7 WaterC'' Data'!B$4:M$8,12,FALSE))</f>
        <v/>
      </c>
      <c r="AV55" s="15" t="str">
        <f t="shared" si="7"/>
        <v/>
      </c>
    </row>
    <row r="56" spans="3:48" ht="14" x14ac:dyDescent="0.3">
      <c r="C56" s="92">
        <v>47</v>
      </c>
      <c r="D56" s="271"/>
      <c r="E56" s="120"/>
      <c r="F56" s="290" t="str">
        <f>IF(D56="","",VLOOKUP(D56,'G-7 WaterC'' Data'!$B$2:$G$8,2,FALSE))</f>
        <v/>
      </c>
      <c r="G56" s="291" t="str">
        <f>IFERROR(VLOOKUP(F56,'G-7 WaterC'' Data'!$C$4:$D$8,2,FALSE),"")</f>
        <v/>
      </c>
      <c r="H56" s="38"/>
      <c r="I56" s="291" t="str">
        <f>IFERROR(INDEX('G-7 WaterC'' Data'!$H$4:$L$8,MATCH(D56,'G-7 WaterC'' Data'!$B$4:$B$8,0),MATCH(H56,'G-7 WaterC'' Data'!$H$3:$L$3,0)),"")</f>
        <v/>
      </c>
      <c r="J56" s="777"/>
      <c r="K56" s="325" t="str">
        <f>IF(J56="","",IF(VLOOKUP(J56,'G-7 WaterC'' Data'!$AK$4:$AM$6,2,FALSE)=0,"Spatial Data Missing ⚠",VLOOKUP(J56,'G-7 WaterC'' Data'!$AK$4:$AM$6,2,FALSE)))</f>
        <v/>
      </c>
      <c r="L56" s="296" t="str">
        <f>IF(J56="","",IF(VLOOKUP(J56,'G-7 WaterC'' Data'!$AK$4:$AM$9,3,FALSE)=0,"Spatial Data Missing ⚠",VLOOKUP(J56,'G-7 WaterC'' Data'!$AK$4:$AM$6,3,FALSE)))</f>
        <v/>
      </c>
      <c r="M56" s="38"/>
      <c r="N56" s="291" t="str">
        <f>IF(M56="","",IF(AND(D56&lt;&gt;"Culvert",M56="N/A - Culvert"),"Not possible ▲",IF(AND(D56="Culvert",M56&lt;&gt;"N/A - Culvert"),"Not possible ▲",IF(VLOOKUP(M56,'G-7 WaterC'' Data'!$AA$4:$AB$7,2,FALSE)=0,"Spatial Data Missing ⚠",VLOOKUP(M56,'G-7 WaterC'' Data'!$AA$4:$AB$7,2,FALSE)))))</f>
        <v/>
      </c>
      <c r="O56" s="44"/>
      <c r="P56" s="291" t="str">
        <f>IF(O56="","",IF(AND(O56="N/A - Culvert", D56&lt;&gt;"Culvert"),"Not possible ▲", IF(AND(D56="Culvert",O56&lt;&gt;"N/A - Culvert"),"Not possible ▲",IF(VLOOKUP(O56,'G-7 WaterC'' Data'!$AD$4:$AE$14,2,FALSE)=0,"Spatial Data Missing ⚠",VLOOKUP(O56,'G-7 WaterC'' Data'!$AD$4:$AE$14,2,FALSE)))))</f>
        <v/>
      </c>
      <c r="Q56" s="297" t="str">
        <f>IF(D56="","",VLOOKUP(D56,'G-7 WaterC'' Data'!$B$2:$G$8,6,FALSE))</f>
        <v/>
      </c>
      <c r="R56" s="304" t="str">
        <f>IFERROR(IF(AND(Q56='G-1 All Habitats'!$X$3, AE56&gt;0, U56&lt;=0, V56&lt;=0, OR(AA56="No", AA56="")),"Any Loss Unacceptable ⚠", (IF(AND(Q56='G-1 All Habitats'!$X$3, AE56&gt;0, U56&lt;=0, V56&lt;=0, AA56="Yes"), 0, (IF(AND(Q56='G-1 All Habitats'!$X$3,(U56+V56)&lt;E56, OR(AA56="No", AA56="")),"Any Loss Unacceptable ⚠", (IF(AND(Q56='G-1 All Habitats'!$X$3,(U56+V56)&gt;E56), E56*G56*I56*L56*N56*P56, (IF(Q56="","",IF(AND(Q56='G-1 All Habitats'!$X$3,V56&gt;0),W56+X56,IF(AND(Q56='G-1 All Habitats'!$X$3,U56&gt;0), W56+X56, IF(AND(S56="Yes", V56&gt;(E56-U56)),(E56-U56)*G56*I56*L56*N56*P56, IF(AND(S56="Yes", V56&lt;=(E56-U56)), X56, E56*G56*I56*L56*N56*P56 ))))))))))))),"Check Data ▲")</f>
        <v/>
      </c>
      <c r="S56" s="671" t="str">
        <f t="shared" si="0"/>
        <v/>
      </c>
      <c r="T56" s="17"/>
      <c r="U56" s="95"/>
      <c r="V56" s="106"/>
      <c r="W56" s="302" t="str">
        <f t="shared" si="1"/>
        <v/>
      </c>
      <c r="X56" s="302" t="str">
        <f t="shared" si="2"/>
        <v/>
      </c>
      <c r="Y56" s="302" t="str">
        <f t="shared" si="3"/>
        <v/>
      </c>
      <c r="Z56" s="471" t="str">
        <f t="shared" si="4"/>
        <v/>
      </c>
      <c r="AA56" s="488"/>
      <c r="AB56" s="486"/>
      <c r="AC56" s="101"/>
      <c r="AD56" s="101"/>
      <c r="AE56" s="41" t="str">
        <f>IF(OR(Q56="",AA56="Yes"),"",IF(Q56='G-1 All Habitats'!$X$3,E56-U56-V56,"None"))</f>
        <v/>
      </c>
      <c r="AF56" s="42" t="str">
        <f>IF(Q56="","", IF(Q56='G-1 All Habitats'!$X$3, AE56*G56*I56*L56*N56*P56,"None"))</f>
        <v/>
      </c>
      <c r="AI56" s="15">
        <f t="shared" si="8"/>
        <v>0</v>
      </c>
      <c r="AJ56" s="105" t="str">
        <f t="shared" si="5"/>
        <v/>
      </c>
      <c r="AK56" s="105" t="str">
        <f t="shared" si="6"/>
        <v/>
      </c>
      <c r="AM56" s="105">
        <v>47</v>
      </c>
      <c r="AO56" s="105" t="str">
        <f t="array" ref="AO56">IFERROR(INDEX($AM$10:$AM$258, MATCH(0, IF(TRUE=$AJ$10:$AJ$258, COUNTIF($AO$9:$AO55, $AM$10:$AM$258), ""), 0)),"")</f>
        <v/>
      </c>
      <c r="AP56" s="105" t="str">
        <f t="array" ref="AP56">IFERROR(INDEX($AM$10:$AM$258, MATCH(0, IF(TRUE=$AK$10:$AK$258, COUNTIF($AP$9:$AP55, $AM$10:$AM$258), ""), 0)),"")</f>
        <v/>
      </c>
      <c r="AR56" s="15" t="str">
        <f>IFERROR(INDEX('G-7 WaterC'' Data'!$AZ$3:$AZ$7,MATCH(D56,'G-7 WaterC'' Data'!$AY$3:$AY$7,0)),"")</f>
        <v/>
      </c>
      <c r="AS56" s="15" t="str">
        <f>IFERROR(INDEX('G-7 WaterC'' Data'!AZ56:AZ60,MATCH(D56,'G-7 WaterC'' Data'!$AY$10:$AY$14,0)),"")</f>
        <v/>
      </c>
      <c r="AU56" s="15" t="str">
        <f>IF(D56="","",VLOOKUP(D56,'G-7 WaterC'' Data'!B$4:M$8,12,FALSE))</f>
        <v/>
      </c>
      <c r="AV56" s="15" t="str">
        <f t="shared" si="7"/>
        <v/>
      </c>
    </row>
    <row r="57" spans="3:48" ht="14" x14ac:dyDescent="0.3">
      <c r="C57" s="92">
        <v>48</v>
      </c>
      <c r="D57" s="271"/>
      <c r="E57" s="120"/>
      <c r="F57" s="290" t="str">
        <f>IF(D57="","",VLOOKUP(D57,'G-7 WaterC'' Data'!$B$2:$G$8,2,FALSE))</f>
        <v/>
      </c>
      <c r="G57" s="291" t="str">
        <f>IFERROR(VLOOKUP(F57,'G-7 WaterC'' Data'!$C$4:$D$8,2,FALSE),"")</f>
        <v/>
      </c>
      <c r="H57" s="38"/>
      <c r="I57" s="291" t="str">
        <f>IFERROR(INDEX('G-7 WaterC'' Data'!$H$4:$L$8,MATCH(D57,'G-7 WaterC'' Data'!$B$4:$B$8,0),MATCH(H57,'G-7 WaterC'' Data'!$H$3:$L$3,0)),"")</f>
        <v/>
      </c>
      <c r="J57" s="777"/>
      <c r="K57" s="325" t="str">
        <f>IF(J57="","",IF(VLOOKUP(J57,'G-7 WaterC'' Data'!$AK$4:$AM$6,2,FALSE)=0,"Spatial Data Missing ⚠",VLOOKUP(J57,'G-7 WaterC'' Data'!$AK$4:$AM$6,2,FALSE)))</f>
        <v/>
      </c>
      <c r="L57" s="296" t="str">
        <f>IF(J57="","",IF(VLOOKUP(J57,'G-7 WaterC'' Data'!$AK$4:$AM$9,3,FALSE)=0,"Spatial Data Missing ⚠",VLOOKUP(J57,'G-7 WaterC'' Data'!$AK$4:$AM$6,3,FALSE)))</f>
        <v/>
      </c>
      <c r="M57" s="38"/>
      <c r="N57" s="291" t="str">
        <f>IF(M57="","",IF(AND(D57&lt;&gt;"Culvert",M57="N/A - Culvert"),"Not possible ▲",IF(AND(D57="Culvert",M57&lt;&gt;"N/A - Culvert"),"Not possible ▲",IF(VLOOKUP(M57,'G-7 WaterC'' Data'!$AA$4:$AB$7,2,FALSE)=0,"Spatial Data Missing ⚠",VLOOKUP(M57,'G-7 WaterC'' Data'!$AA$4:$AB$7,2,FALSE)))))</f>
        <v/>
      </c>
      <c r="O57" s="44"/>
      <c r="P57" s="291" t="str">
        <f>IF(O57="","",IF(AND(O57="N/A - Culvert", D57&lt;&gt;"Culvert"),"Not possible ▲", IF(AND(D57="Culvert",O57&lt;&gt;"N/A - Culvert"),"Not possible ▲",IF(VLOOKUP(O57,'G-7 WaterC'' Data'!$AD$4:$AE$14,2,FALSE)=0,"Spatial Data Missing ⚠",VLOOKUP(O57,'G-7 WaterC'' Data'!$AD$4:$AE$14,2,FALSE)))))</f>
        <v/>
      </c>
      <c r="Q57" s="297" t="str">
        <f>IF(D57="","",VLOOKUP(D57,'G-7 WaterC'' Data'!$B$2:$G$8,6,FALSE))</f>
        <v/>
      </c>
      <c r="R57" s="304" t="str">
        <f>IFERROR(IF(AND(Q57='G-1 All Habitats'!$X$3, AE57&gt;0, U57&lt;=0, V57&lt;=0, OR(AA57="No", AA57="")),"Any Loss Unacceptable ⚠", (IF(AND(Q57='G-1 All Habitats'!$X$3, AE57&gt;0, U57&lt;=0, V57&lt;=0, AA57="Yes"), 0, (IF(AND(Q57='G-1 All Habitats'!$X$3,(U57+V57)&lt;E57, OR(AA57="No", AA57="")),"Any Loss Unacceptable ⚠", (IF(AND(Q57='G-1 All Habitats'!$X$3,(U57+V57)&gt;E57), E57*G57*I57*L57*N57*P57, (IF(Q57="","",IF(AND(Q57='G-1 All Habitats'!$X$3,V57&gt;0),W57+X57,IF(AND(Q57='G-1 All Habitats'!$X$3,U57&gt;0), W57+X57, IF(AND(S57="Yes", V57&gt;(E57-U57)),(E57-U57)*G57*I57*L57*N57*P57, IF(AND(S57="Yes", V57&lt;=(E57-U57)), X57, E57*G57*I57*L57*N57*P57 ))))))))))))),"Check Data ▲")</f>
        <v/>
      </c>
      <c r="S57" s="671" t="str">
        <f t="shared" si="0"/>
        <v/>
      </c>
      <c r="T57" s="17"/>
      <c r="U57" s="95"/>
      <c r="V57" s="106"/>
      <c r="W57" s="302" t="str">
        <f t="shared" si="1"/>
        <v/>
      </c>
      <c r="X57" s="302" t="str">
        <f t="shared" si="2"/>
        <v/>
      </c>
      <c r="Y57" s="302" t="str">
        <f t="shared" si="3"/>
        <v/>
      </c>
      <c r="Z57" s="471" t="str">
        <f t="shared" si="4"/>
        <v/>
      </c>
      <c r="AA57" s="488"/>
      <c r="AB57" s="486"/>
      <c r="AC57" s="101"/>
      <c r="AD57" s="101"/>
      <c r="AE57" s="41" t="str">
        <f>IF(OR(Q57="",AA57="Yes"),"",IF(Q57='G-1 All Habitats'!$X$3,E57-U57-V57,"None"))</f>
        <v/>
      </c>
      <c r="AF57" s="42" t="str">
        <f>IF(Q57="","", IF(Q57='G-1 All Habitats'!$X$3, AE57*G57*I57*L57*N57*P57,"None"))</f>
        <v/>
      </c>
      <c r="AI57" s="15">
        <f t="shared" si="8"/>
        <v>0</v>
      </c>
      <c r="AJ57" s="105" t="str">
        <f t="shared" si="5"/>
        <v/>
      </c>
      <c r="AK57" s="105" t="str">
        <f t="shared" si="6"/>
        <v/>
      </c>
      <c r="AM57" s="105">
        <v>48</v>
      </c>
      <c r="AO57" s="105" t="str">
        <f t="array" ref="AO57">IFERROR(INDEX($AM$10:$AM$258, MATCH(0, IF(TRUE=$AJ$10:$AJ$258, COUNTIF($AO$9:$AO56, $AM$10:$AM$258), ""), 0)),"")</f>
        <v/>
      </c>
      <c r="AP57" s="105" t="str">
        <f t="array" ref="AP57">IFERROR(INDEX($AM$10:$AM$258, MATCH(0, IF(TRUE=$AK$10:$AK$258, COUNTIF($AP$9:$AP56, $AM$10:$AM$258), ""), 0)),"")</f>
        <v/>
      </c>
      <c r="AR57" s="15" t="str">
        <f>IFERROR(INDEX('G-7 WaterC'' Data'!$AZ$3:$AZ$7,MATCH(D57,'G-7 WaterC'' Data'!$AY$3:$AY$7,0)),"")</f>
        <v/>
      </c>
      <c r="AS57" s="15" t="str">
        <f>IFERROR(INDEX('G-7 WaterC'' Data'!AZ57:AZ61,MATCH(D57,'G-7 WaterC'' Data'!$AY$10:$AY$14,0)),"")</f>
        <v/>
      </c>
      <c r="AU57" s="15" t="str">
        <f>IF(D57="","",VLOOKUP(D57,'G-7 WaterC'' Data'!B$4:M$8,12,FALSE))</f>
        <v/>
      </c>
      <c r="AV57" s="15" t="str">
        <f t="shared" si="7"/>
        <v/>
      </c>
    </row>
    <row r="58" spans="3:48" ht="14" x14ac:dyDescent="0.3">
      <c r="C58" s="92">
        <v>49</v>
      </c>
      <c r="D58" s="271"/>
      <c r="E58" s="120"/>
      <c r="F58" s="290" t="str">
        <f>IF(D58="","",VLOOKUP(D58,'G-7 WaterC'' Data'!$B$2:$G$8,2,FALSE))</f>
        <v/>
      </c>
      <c r="G58" s="291" t="str">
        <f>IFERROR(VLOOKUP(F58,'G-7 WaterC'' Data'!$C$4:$D$8,2,FALSE),"")</f>
        <v/>
      </c>
      <c r="H58" s="38"/>
      <c r="I58" s="291" t="str">
        <f>IFERROR(INDEX('G-7 WaterC'' Data'!$H$4:$L$8,MATCH(D58,'G-7 WaterC'' Data'!$B$4:$B$8,0),MATCH(H58,'G-7 WaterC'' Data'!$H$3:$L$3,0)),"")</f>
        <v/>
      </c>
      <c r="J58" s="777"/>
      <c r="K58" s="325" t="str">
        <f>IF(J58="","",IF(VLOOKUP(J58,'G-7 WaterC'' Data'!$AK$4:$AM$6,2,FALSE)=0,"Spatial Data Missing ⚠",VLOOKUP(J58,'G-7 WaterC'' Data'!$AK$4:$AM$6,2,FALSE)))</f>
        <v/>
      </c>
      <c r="L58" s="296" t="str">
        <f>IF(J58="","",IF(VLOOKUP(J58,'G-7 WaterC'' Data'!$AK$4:$AM$9,3,FALSE)=0,"Spatial Data Missing ⚠",VLOOKUP(J58,'G-7 WaterC'' Data'!$AK$4:$AM$6,3,FALSE)))</f>
        <v/>
      </c>
      <c r="M58" s="38"/>
      <c r="N58" s="291" t="str">
        <f>IF(M58="","",IF(AND(D58&lt;&gt;"Culvert",M58="N/A - Culvert"),"Not possible ▲",IF(AND(D58="Culvert",M58&lt;&gt;"N/A - Culvert"),"Not possible ▲",IF(VLOOKUP(M58,'G-7 WaterC'' Data'!$AA$4:$AB$7,2,FALSE)=0,"Spatial Data Missing ⚠",VLOOKUP(M58,'G-7 WaterC'' Data'!$AA$4:$AB$7,2,FALSE)))))</f>
        <v/>
      </c>
      <c r="O58" s="44"/>
      <c r="P58" s="291" t="str">
        <f>IF(O58="","",IF(AND(O58="N/A - Culvert", D58&lt;&gt;"Culvert"),"Not possible ▲", IF(AND(D58="Culvert",O58&lt;&gt;"N/A - Culvert"),"Not possible ▲",IF(VLOOKUP(O58,'G-7 WaterC'' Data'!$AD$4:$AE$14,2,FALSE)=0,"Spatial Data Missing ⚠",VLOOKUP(O58,'G-7 WaterC'' Data'!$AD$4:$AE$14,2,FALSE)))))</f>
        <v/>
      </c>
      <c r="Q58" s="297" t="str">
        <f>IF(D58="","",VLOOKUP(D58,'G-7 WaterC'' Data'!$B$2:$G$8,6,FALSE))</f>
        <v/>
      </c>
      <c r="R58" s="304" t="str">
        <f>IFERROR(IF(AND(Q58='G-1 All Habitats'!$X$3, AE58&gt;0, U58&lt;=0, V58&lt;=0, OR(AA58="No", AA58="")),"Any Loss Unacceptable ⚠", (IF(AND(Q58='G-1 All Habitats'!$X$3, AE58&gt;0, U58&lt;=0, V58&lt;=0, AA58="Yes"), 0, (IF(AND(Q58='G-1 All Habitats'!$X$3,(U58+V58)&lt;E58, OR(AA58="No", AA58="")),"Any Loss Unacceptable ⚠", (IF(AND(Q58='G-1 All Habitats'!$X$3,(U58+V58)&gt;E58), E58*G58*I58*L58*N58*P58, (IF(Q58="","",IF(AND(Q58='G-1 All Habitats'!$X$3,V58&gt;0),W58+X58,IF(AND(Q58='G-1 All Habitats'!$X$3,U58&gt;0), W58+X58, IF(AND(S58="Yes", V58&gt;(E58-U58)),(E58-U58)*G58*I58*L58*N58*P58, IF(AND(S58="Yes", V58&lt;=(E58-U58)), X58, E58*G58*I58*L58*N58*P58 ))))))))))))),"Check Data ▲")</f>
        <v/>
      </c>
      <c r="S58" s="671" t="str">
        <f t="shared" si="0"/>
        <v/>
      </c>
      <c r="T58" s="17"/>
      <c r="U58" s="95"/>
      <c r="V58" s="106"/>
      <c r="W58" s="302" t="str">
        <f t="shared" si="1"/>
        <v/>
      </c>
      <c r="X58" s="302" t="str">
        <f t="shared" si="2"/>
        <v/>
      </c>
      <c r="Y58" s="302" t="str">
        <f t="shared" si="3"/>
        <v/>
      </c>
      <c r="Z58" s="471" t="str">
        <f t="shared" si="4"/>
        <v/>
      </c>
      <c r="AA58" s="488"/>
      <c r="AB58" s="486"/>
      <c r="AC58" s="101"/>
      <c r="AD58" s="101"/>
      <c r="AE58" s="41" t="str">
        <f>IF(OR(Q58="",AA58="Yes"),"",IF(Q58='G-1 All Habitats'!$X$3,E58-U58-V58,"None"))</f>
        <v/>
      </c>
      <c r="AF58" s="42" t="str">
        <f>IF(Q58="","", IF(Q58='G-1 All Habitats'!$X$3, AE58*G58*I58*L58*N58*P58,"None"))</f>
        <v/>
      </c>
      <c r="AI58" s="15">
        <f t="shared" si="8"/>
        <v>0</v>
      </c>
      <c r="AJ58" s="105" t="str">
        <f t="shared" si="5"/>
        <v/>
      </c>
      <c r="AK58" s="105" t="str">
        <f t="shared" si="6"/>
        <v/>
      </c>
      <c r="AM58" s="105">
        <v>49</v>
      </c>
      <c r="AO58" s="105" t="str">
        <f t="array" ref="AO58">IFERROR(INDEX($AM$10:$AM$258, MATCH(0, IF(TRUE=$AJ$10:$AJ$258, COUNTIF($AO$9:$AO57, $AM$10:$AM$258), ""), 0)),"")</f>
        <v/>
      </c>
      <c r="AP58" s="105" t="str">
        <f t="array" ref="AP58">IFERROR(INDEX($AM$10:$AM$258, MATCH(0, IF(TRUE=$AK$10:$AK$258, COUNTIF($AP$9:$AP57, $AM$10:$AM$258), ""), 0)),"")</f>
        <v/>
      </c>
      <c r="AR58" s="15" t="str">
        <f>IFERROR(INDEX('G-7 WaterC'' Data'!$AZ$3:$AZ$7,MATCH(D58,'G-7 WaterC'' Data'!$AY$3:$AY$7,0)),"")</f>
        <v/>
      </c>
      <c r="AS58" s="15" t="str">
        <f>IFERROR(INDEX('G-7 WaterC'' Data'!AZ58:AZ62,MATCH(D58,'G-7 WaterC'' Data'!$AY$10:$AY$14,0)),"")</f>
        <v/>
      </c>
      <c r="AU58" s="15" t="str">
        <f>IF(D58="","",VLOOKUP(D58,'G-7 WaterC'' Data'!B$4:M$8,12,FALSE))</f>
        <v/>
      </c>
      <c r="AV58" s="15" t="str">
        <f t="shared" si="7"/>
        <v/>
      </c>
    </row>
    <row r="59" spans="3:48" ht="14" x14ac:dyDescent="0.3">
      <c r="C59" s="92">
        <v>50</v>
      </c>
      <c r="D59" s="271"/>
      <c r="E59" s="120"/>
      <c r="F59" s="290" t="str">
        <f>IF(D59="","",VLOOKUP(D59,'G-7 WaterC'' Data'!$B$2:$G$8,2,FALSE))</f>
        <v/>
      </c>
      <c r="G59" s="291" t="str">
        <f>IFERROR(VLOOKUP(F59,'G-7 WaterC'' Data'!$C$4:$D$8,2,FALSE),"")</f>
        <v/>
      </c>
      <c r="H59" s="38"/>
      <c r="I59" s="291" t="str">
        <f>IFERROR(INDEX('G-7 WaterC'' Data'!$H$4:$L$8,MATCH(D59,'G-7 WaterC'' Data'!$B$4:$B$8,0),MATCH(H59,'G-7 WaterC'' Data'!$H$3:$L$3,0)),"")</f>
        <v/>
      </c>
      <c r="J59" s="777"/>
      <c r="K59" s="325" t="str">
        <f>IF(J59="","",IF(VLOOKUP(J59,'G-7 WaterC'' Data'!$AK$4:$AM$6,2,FALSE)=0,"Spatial Data Missing ⚠",VLOOKUP(J59,'G-7 WaterC'' Data'!$AK$4:$AM$6,2,FALSE)))</f>
        <v/>
      </c>
      <c r="L59" s="296" t="str">
        <f>IF(J59="","",IF(VLOOKUP(J59,'G-7 WaterC'' Data'!$AK$4:$AM$9,3,FALSE)=0,"Spatial Data Missing ⚠",VLOOKUP(J59,'G-7 WaterC'' Data'!$AK$4:$AM$6,3,FALSE)))</f>
        <v/>
      </c>
      <c r="M59" s="38"/>
      <c r="N59" s="291" t="str">
        <f>IF(M59="","",IF(AND(D59&lt;&gt;"Culvert",M59="N/A - Culvert"),"Not possible ▲",IF(AND(D59="Culvert",M59&lt;&gt;"N/A - Culvert"),"Not possible ▲",IF(VLOOKUP(M59,'G-7 WaterC'' Data'!$AA$4:$AB$7,2,FALSE)=0,"Spatial Data Missing ⚠",VLOOKUP(M59,'G-7 WaterC'' Data'!$AA$4:$AB$7,2,FALSE)))))</f>
        <v/>
      </c>
      <c r="O59" s="44"/>
      <c r="P59" s="291" t="str">
        <f>IF(O59="","",IF(AND(O59="N/A - Culvert", D59&lt;&gt;"Culvert"),"Not possible ▲", IF(AND(D59="Culvert",O59&lt;&gt;"N/A - Culvert"),"Not possible ▲",IF(VLOOKUP(O59,'G-7 WaterC'' Data'!$AD$4:$AE$14,2,FALSE)=0,"Spatial Data Missing ⚠",VLOOKUP(O59,'G-7 WaterC'' Data'!$AD$4:$AE$14,2,FALSE)))))</f>
        <v/>
      </c>
      <c r="Q59" s="297" t="str">
        <f>IF(D59="","",VLOOKUP(D59,'G-7 WaterC'' Data'!$B$2:$G$8,6,FALSE))</f>
        <v/>
      </c>
      <c r="R59" s="304" t="str">
        <f>IFERROR(IF(AND(Q59='G-1 All Habitats'!$X$3, AE59&gt;0, U59&lt;=0, V59&lt;=0, OR(AA59="No", AA59="")),"Any Loss Unacceptable ⚠", (IF(AND(Q59='G-1 All Habitats'!$X$3, AE59&gt;0, U59&lt;=0, V59&lt;=0, AA59="Yes"), 0, (IF(AND(Q59='G-1 All Habitats'!$X$3,(U59+V59)&lt;E59, OR(AA59="No", AA59="")),"Any Loss Unacceptable ⚠", (IF(AND(Q59='G-1 All Habitats'!$X$3,(U59+V59)&gt;E59), E59*G59*I59*L59*N59*P59, (IF(Q59="","",IF(AND(Q59='G-1 All Habitats'!$X$3,V59&gt;0),W59+X59,IF(AND(Q59='G-1 All Habitats'!$X$3,U59&gt;0), W59+X59, IF(AND(S59="Yes", V59&gt;(E59-U59)),(E59-U59)*G59*I59*L59*N59*P59, IF(AND(S59="Yes", V59&lt;=(E59-U59)), X59, E59*G59*I59*L59*N59*P59 ))))))))))))),"Check Data ▲")</f>
        <v/>
      </c>
      <c r="S59" s="671" t="str">
        <f t="shared" si="0"/>
        <v/>
      </c>
      <c r="T59" s="17"/>
      <c r="U59" s="95"/>
      <c r="V59" s="106"/>
      <c r="W59" s="302" t="str">
        <f t="shared" si="1"/>
        <v/>
      </c>
      <c r="X59" s="302" t="str">
        <f t="shared" si="2"/>
        <v/>
      </c>
      <c r="Y59" s="302" t="str">
        <f t="shared" si="3"/>
        <v/>
      </c>
      <c r="Z59" s="471" t="str">
        <f t="shared" si="4"/>
        <v/>
      </c>
      <c r="AA59" s="488"/>
      <c r="AB59" s="486"/>
      <c r="AC59" s="101"/>
      <c r="AD59" s="101"/>
      <c r="AE59" s="41" t="str">
        <f>IF(OR(Q59="",AA59="Yes"),"",IF(Q59='G-1 All Habitats'!$X$3,E59-U59-V59,"None"))</f>
        <v/>
      </c>
      <c r="AF59" s="42" t="str">
        <f>IF(Q59="","", IF(Q59='G-1 All Habitats'!$X$3, AE59*G59*I59*L59*N59*P59,"None"))</f>
        <v/>
      </c>
      <c r="AI59" s="15">
        <f t="shared" si="8"/>
        <v>0</v>
      </c>
      <c r="AJ59" s="105" t="str">
        <f t="shared" si="5"/>
        <v/>
      </c>
      <c r="AK59" s="105" t="str">
        <f t="shared" si="6"/>
        <v/>
      </c>
      <c r="AM59" s="105">
        <v>50</v>
      </c>
      <c r="AO59" s="105" t="str">
        <f t="array" ref="AO59">IFERROR(INDEX($AM$10:$AM$258, MATCH(0, IF(TRUE=$AJ$10:$AJ$258, COUNTIF($AO$9:$AO58, $AM$10:$AM$258), ""), 0)),"")</f>
        <v/>
      </c>
      <c r="AP59" s="105" t="str">
        <f t="array" ref="AP59">IFERROR(INDEX($AM$10:$AM$258, MATCH(0, IF(TRUE=$AK$10:$AK$258, COUNTIF($AP$9:$AP58, $AM$10:$AM$258), ""), 0)),"")</f>
        <v/>
      </c>
      <c r="AR59" s="15" t="str">
        <f>IFERROR(INDEX('G-7 WaterC'' Data'!$AZ$3:$AZ$7,MATCH(D59,'G-7 WaterC'' Data'!$AY$3:$AY$7,0)),"")</f>
        <v/>
      </c>
      <c r="AS59" s="15" t="str">
        <f>IFERROR(INDEX('G-7 WaterC'' Data'!AZ59:AZ63,MATCH(D59,'G-7 WaterC'' Data'!$AY$10:$AY$14,0)),"")</f>
        <v/>
      </c>
      <c r="AU59" s="15" t="str">
        <f>IF(D59="","",VLOOKUP(D59,'G-7 WaterC'' Data'!B$4:M$8,12,FALSE))</f>
        <v/>
      </c>
      <c r="AV59" s="15" t="str">
        <f t="shared" si="7"/>
        <v/>
      </c>
    </row>
    <row r="60" spans="3:48" ht="14" x14ac:dyDescent="0.3">
      <c r="C60" s="92">
        <v>51</v>
      </c>
      <c r="D60" s="271"/>
      <c r="E60" s="120"/>
      <c r="F60" s="290" t="str">
        <f>IF(D60="","",VLOOKUP(D60,'G-7 WaterC'' Data'!$B$2:$G$8,2,FALSE))</f>
        <v/>
      </c>
      <c r="G60" s="291" t="str">
        <f>IFERROR(VLOOKUP(F60,'G-7 WaterC'' Data'!$C$4:$D$8,2,FALSE),"")</f>
        <v/>
      </c>
      <c r="H60" s="38"/>
      <c r="I60" s="291" t="str">
        <f>IFERROR(INDEX('G-7 WaterC'' Data'!$H$4:$L$8,MATCH(D60,'G-7 WaterC'' Data'!$B$4:$B$8,0),MATCH(H60,'G-7 WaterC'' Data'!$H$3:$L$3,0)),"")</f>
        <v/>
      </c>
      <c r="J60" s="777"/>
      <c r="K60" s="325" t="str">
        <f>IF(J60="","",IF(VLOOKUP(J60,'G-7 WaterC'' Data'!$AK$4:$AM$6,2,FALSE)=0,"Spatial Data Missing ⚠",VLOOKUP(J60,'G-7 WaterC'' Data'!$AK$4:$AM$6,2,FALSE)))</f>
        <v/>
      </c>
      <c r="L60" s="296" t="str">
        <f>IF(J60="","",IF(VLOOKUP(J60,'G-7 WaterC'' Data'!$AK$4:$AM$9,3,FALSE)=0,"Spatial Data Missing ⚠",VLOOKUP(J60,'G-7 WaterC'' Data'!$AK$4:$AM$6,3,FALSE)))</f>
        <v/>
      </c>
      <c r="M60" s="38"/>
      <c r="N60" s="291" t="str">
        <f>IF(M60="","",IF(AND(D60&lt;&gt;"Culvert",M60="N/A - Culvert"),"Not possible ▲",IF(AND(D60="Culvert",M60&lt;&gt;"N/A - Culvert"),"Not possible ▲",IF(VLOOKUP(M60,'G-7 WaterC'' Data'!$AA$4:$AB$7,2,FALSE)=0,"Spatial Data Missing ⚠",VLOOKUP(M60,'G-7 WaterC'' Data'!$AA$4:$AB$7,2,FALSE)))))</f>
        <v/>
      </c>
      <c r="O60" s="44"/>
      <c r="P60" s="291" t="str">
        <f>IF(O60="","",IF(AND(O60="N/A - Culvert", D60&lt;&gt;"Culvert"),"Not possible ▲", IF(AND(D60="Culvert",O60&lt;&gt;"N/A - Culvert"),"Not possible ▲",IF(VLOOKUP(O60,'G-7 WaterC'' Data'!$AD$4:$AE$14,2,FALSE)=0,"Spatial Data Missing ⚠",VLOOKUP(O60,'G-7 WaterC'' Data'!$AD$4:$AE$14,2,FALSE)))))</f>
        <v/>
      </c>
      <c r="Q60" s="297" t="str">
        <f>IF(D60="","",VLOOKUP(D60,'G-7 WaterC'' Data'!$B$2:$G$8,6,FALSE))</f>
        <v/>
      </c>
      <c r="R60" s="304" t="str">
        <f>IFERROR(IF(AND(Q60='G-1 All Habitats'!$X$3, AE60&gt;0, U60&lt;=0, V60&lt;=0, OR(AA60="No", AA60="")),"Any Loss Unacceptable ⚠", (IF(AND(Q60='G-1 All Habitats'!$X$3, AE60&gt;0, U60&lt;=0, V60&lt;=0, AA60="Yes"), 0, (IF(AND(Q60='G-1 All Habitats'!$X$3,(U60+V60)&lt;E60, OR(AA60="No", AA60="")),"Any Loss Unacceptable ⚠", (IF(AND(Q60='G-1 All Habitats'!$X$3,(U60+V60)&gt;E60), E60*G60*I60*L60*N60*P60, (IF(Q60="","",IF(AND(Q60='G-1 All Habitats'!$X$3,V60&gt;0),W60+X60,IF(AND(Q60='G-1 All Habitats'!$X$3,U60&gt;0), W60+X60, IF(AND(S60="Yes", V60&gt;(E60-U60)),(E60-U60)*G60*I60*L60*N60*P60, IF(AND(S60="Yes", V60&lt;=(E60-U60)), X60, E60*G60*I60*L60*N60*P60 ))))))))))))),"Check Data ▲")</f>
        <v/>
      </c>
      <c r="S60" s="671" t="str">
        <f t="shared" si="0"/>
        <v/>
      </c>
      <c r="T60" s="17"/>
      <c r="U60" s="95"/>
      <c r="V60" s="106"/>
      <c r="W60" s="302" t="str">
        <f t="shared" si="1"/>
        <v/>
      </c>
      <c r="X60" s="302" t="str">
        <f t="shared" si="2"/>
        <v/>
      </c>
      <c r="Y60" s="302" t="str">
        <f t="shared" si="3"/>
        <v/>
      </c>
      <c r="Z60" s="471" t="str">
        <f t="shared" si="4"/>
        <v/>
      </c>
      <c r="AA60" s="488"/>
      <c r="AB60" s="486"/>
      <c r="AC60" s="101"/>
      <c r="AD60" s="101"/>
      <c r="AE60" s="41" t="str">
        <f>IF(OR(Q60="",AA60="Yes"),"",IF(Q60='G-1 All Habitats'!$X$3,E60-U60-V60,"None"))</f>
        <v/>
      </c>
      <c r="AF60" s="42" t="str">
        <f>IF(Q60="","", IF(Q60='G-1 All Habitats'!$X$3, AE60*G60*I60*L60*N60*P60,"None"))</f>
        <v/>
      </c>
      <c r="AI60" s="15">
        <f t="shared" si="8"/>
        <v>0</v>
      </c>
      <c r="AJ60" s="105" t="str">
        <f t="shared" si="5"/>
        <v/>
      </c>
      <c r="AK60" s="105" t="str">
        <f t="shared" si="6"/>
        <v/>
      </c>
      <c r="AM60" s="105">
        <v>51</v>
      </c>
      <c r="AO60" s="105" t="str">
        <f t="array" ref="AO60">IFERROR(INDEX($AM$10:$AM$258, MATCH(0, IF(TRUE=$AJ$10:$AJ$258, COUNTIF($AO$9:$AO59, $AM$10:$AM$258), ""), 0)),"")</f>
        <v/>
      </c>
      <c r="AP60" s="105" t="str">
        <f t="array" ref="AP60">IFERROR(INDEX($AM$10:$AM$258, MATCH(0, IF(TRUE=$AK$10:$AK$258, COUNTIF($AP$9:$AP59, $AM$10:$AM$258), ""), 0)),"")</f>
        <v/>
      </c>
      <c r="AR60" s="15" t="str">
        <f>IFERROR(INDEX('G-7 WaterC'' Data'!$AZ$3:$AZ$7,MATCH(D60,'G-7 WaterC'' Data'!$AY$3:$AY$7,0)),"")</f>
        <v/>
      </c>
      <c r="AS60" s="15" t="str">
        <f>IFERROR(INDEX('G-7 WaterC'' Data'!AZ60:AZ64,MATCH(D60,'G-7 WaterC'' Data'!$AY$10:$AY$14,0)),"")</f>
        <v/>
      </c>
      <c r="AU60" s="15" t="str">
        <f>IF(D60="","",VLOOKUP(D60,'G-7 WaterC'' Data'!B$4:M$8,12,FALSE))</f>
        <v/>
      </c>
      <c r="AV60" s="15" t="str">
        <f t="shared" si="7"/>
        <v/>
      </c>
    </row>
    <row r="61" spans="3:48" ht="14" x14ac:dyDescent="0.3">
      <c r="C61" s="92">
        <v>52</v>
      </c>
      <c r="D61" s="271"/>
      <c r="E61" s="120"/>
      <c r="F61" s="290" t="str">
        <f>IF(D61="","",VLOOKUP(D61,'G-7 WaterC'' Data'!$B$2:$G$8,2,FALSE))</f>
        <v/>
      </c>
      <c r="G61" s="291" t="str">
        <f>IFERROR(VLOOKUP(F61,'G-7 WaterC'' Data'!$C$4:$D$8,2,FALSE),"")</f>
        <v/>
      </c>
      <c r="H61" s="38"/>
      <c r="I61" s="291" t="str">
        <f>IFERROR(INDEX('G-7 WaterC'' Data'!$H$4:$L$8,MATCH(D61,'G-7 WaterC'' Data'!$B$4:$B$8,0),MATCH(H61,'G-7 WaterC'' Data'!$H$3:$L$3,0)),"")</f>
        <v/>
      </c>
      <c r="J61" s="777"/>
      <c r="K61" s="325" t="str">
        <f>IF(J61="","",IF(VLOOKUP(J61,'G-7 WaterC'' Data'!$AK$4:$AM$6,2,FALSE)=0,"Spatial Data Missing ⚠",VLOOKUP(J61,'G-7 WaterC'' Data'!$AK$4:$AM$6,2,FALSE)))</f>
        <v/>
      </c>
      <c r="L61" s="296" t="str">
        <f>IF(J61="","",IF(VLOOKUP(J61,'G-7 WaterC'' Data'!$AK$4:$AM$9,3,FALSE)=0,"Spatial Data Missing ⚠",VLOOKUP(J61,'G-7 WaterC'' Data'!$AK$4:$AM$6,3,FALSE)))</f>
        <v/>
      </c>
      <c r="M61" s="38"/>
      <c r="N61" s="291" t="str">
        <f>IF(M61="","",IF(AND(D61&lt;&gt;"Culvert",M61="N/A - Culvert"),"Not possible ▲",IF(AND(D61="Culvert",M61&lt;&gt;"N/A - Culvert"),"Not possible ▲",IF(VLOOKUP(M61,'G-7 WaterC'' Data'!$AA$4:$AB$7,2,FALSE)=0,"Spatial Data Missing ⚠",VLOOKUP(M61,'G-7 WaterC'' Data'!$AA$4:$AB$7,2,FALSE)))))</f>
        <v/>
      </c>
      <c r="O61" s="44"/>
      <c r="P61" s="291" t="str">
        <f>IF(O61="","",IF(AND(O61="N/A - Culvert", D61&lt;&gt;"Culvert"),"Not possible ▲", IF(AND(D61="Culvert",O61&lt;&gt;"N/A - Culvert"),"Not possible ▲",IF(VLOOKUP(O61,'G-7 WaterC'' Data'!$AD$4:$AE$14,2,FALSE)=0,"Spatial Data Missing ⚠",VLOOKUP(O61,'G-7 WaterC'' Data'!$AD$4:$AE$14,2,FALSE)))))</f>
        <v/>
      </c>
      <c r="Q61" s="297" t="str">
        <f>IF(D61="","",VLOOKUP(D61,'G-7 WaterC'' Data'!$B$2:$G$8,6,FALSE))</f>
        <v/>
      </c>
      <c r="R61" s="304" t="str">
        <f>IFERROR(IF(AND(Q61='G-1 All Habitats'!$X$3, AE61&gt;0, U61&lt;=0, V61&lt;=0, OR(AA61="No", AA61="")),"Any Loss Unacceptable ⚠", (IF(AND(Q61='G-1 All Habitats'!$X$3, AE61&gt;0, U61&lt;=0, V61&lt;=0, AA61="Yes"), 0, (IF(AND(Q61='G-1 All Habitats'!$X$3,(U61+V61)&lt;E61, OR(AA61="No", AA61="")),"Any Loss Unacceptable ⚠", (IF(AND(Q61='G-1 All Habitats'!$X$3,(U61+V61)&gt;E61), E61*G61*I61*L61*N61*P61, (IF(Q61="","",IF(AND(Q61='G-1 All Habitats'!$X$3,V61&gt;0),W61+X61,IF(AND(Q61='G-1 All Habitats'!$X$3,U61&gt;0), W61+X61, IF(AND(S61="Yes", V61&gt;(E61-U61)),(E61-U61)*G61*I61*L61*N61*P61, IF(AND(S61="Yes", V61&lt;=(E61-U61)), X61, E61*G61*I61*L61*N61*P61 ))))))))))))),"Check Data ▲")</f>
        <v/>
      </c>
      <c r="S61" s="671" t="str">
        <f t="shared" si="0"/>
        <v/>
      </c>
      <c r="T61" s="17"/>
      <c r="U61" s="95"/>
      <c r="V61" s="106"/>
      <c r="W61" s="302" t="str">
        <f t="shared" si="1"/>
        <v/>
      </c>
      <c r="X61" s="302" t="str">
        <f t="shared" si="2"/>
        <v/>
      </c>
      <c r="Y61" s="302" t="str">
        <f t="shared" si="3"/>
        <v/>
      </c>
      <c r="Z61" s="471" t="str">
        <f t="shared" si="4"/>
        <v/>
      </c>
      <c r="AA61" s="488"/>
      <c r="AB61" s="486"/>
      <c r="AC61" s="101"/>
      <c r="AD61" s="101"/>
      <c r="AE61" s="41" t="str">
        <f>IF(OR(Q61="",AA61="Yes"),"",IF(Q61='G-1 All Habitats'!$X$3,E61-U61-V61,"None"))</f>
        <v/>
      </c>
      <c r="AF61" s="42" t="str">
        <f>IF(Q61="","", IF(Q61='G-1 All Habitats'!$X$3, AE61*G61*I61*L61*N61*P61,"None"))</f>
        <v/>
      </c>
      <c r="AI61" s="15">
        <f t="shared" si="8"/>
        <v>0</v>
      </c>
      <c r="AJ61" s="105" t="str">
        <f t="shared" si="5"/>
        <v/>
      </c>
      <c r="AK61" s="105" t="str">
        <f t="shared" si="6"/>
        <v/>
      </c>
      <c r="AM61" s="105">
        <v>52</v>
      </c>
      <c r="AO61" s="105" t="str">
        <f t="array" ref="AO61">IFERROR(INDEX($AM$10:$AM$258, MATCH(0, IF(TRUE=$AJ$10:$AJ$258, COUNTIF($AO$9:$AO60, $AM$10:$AM$258), ""), 0)),"")</f>
        <v/>
      </c>
      <c r="AP61" s="105" t="str">
        <f t="array" ref="AP61">IFERROR(INDEX($AM$10:$AM$258, MATCH(0, IF(TRUE=$AK$10:$AK$258, COUNTIF($AP$9:$AP60, $AM$10:$AM$258), ""), 0)),"")</f>
        <v/>
      </c>
      <c r="AR61" s="15" t="str">
        <f>IFERROR(INDEX('G-7 WaterC'' Data'!$AZ$3:$AZ$7,MATCH(D61,'G-7 WaterC'' Data'!$AY$3:$AY$7,0)),"")</f>
        <v/>
      </c>
      <c r="AS61" s="15" t="str">
        <f>IFERROR(INDEX('G-7 WaterC'' Data'!AZ61:AZ65,MATCH(D61,'G-7 WaterC'' Data'!$AY$10:$AY$14,0)),"")</f>
        <v/>
      </c>
      <c r="AU61" s="15" t="str">
        <f>IF(D61="","",VLOOKUP(D61,'G-7 WaterC'' Data'!B$4:M$8,12,FALSE))</f>
        <v/>
      </c>
      <c r="AV61" s="15" t="str">
        <f t="shared" si="7"/>
        <v/>
      </c>
    </row>
    <row r="62" spans="3:48" ht="14" x14ac:dyDescent="0.3">
      <c r="C62" s="92">
        <v>53</v>
      </c>
      <c r="D62" s="271"/>
      <c r="E62" s="120"/>
      <c r="F62" s="290" t="str">
        <f>IF(D62="","",VLOOKUP(D62,'G-7 WaterC'' Data'!$B$2:$G$8,2,FALSE))</f>
        <v/>
      </c>
      <c r="G62" s="291" t="str">
        <f>IFERROR(VLOOKUP(F62,'G-7 WaterC'' Data'!$C$4:$D$8,2,FALSE),"")</f>
        <v/>
      </c>
      <c r="H62" s="38"/>
      <c r="I62" s="291" t="str">
        <f>IFERROR(INDEX('G-7 WaterC'' Data'!$H$4:$L$8,MATCH(D62,'G-7 WaterC'' Data'!$B$4:$B$8,0),MATCH(H62,'G-7 WaterC'' Data'!$H$3:$L$3,0)),"")</f>
        <v/>
      </c>
      <c r="J62" s="777"/>
      <c r="K62" s="325" t="str">
        <f>IF(J62="","",IF(VLOOKUP(J62,'G-7 WaterC'' Data'!$AK$4:$AM$6,2,FALSE)=0,"Spatial Data Missing ⚠",VLOOKUP(J62,'G-7 WaterC'' Data'!$AK$4:$AM$6,2,FALSE)))</f>
        <v/>
      </c>
      <c r="L62" s="296" t="str">
        <f>IF(J62="","",IF(VLOOKUP(J62,'G-7 WaterC'' Data'!$AK$4:$AM$9,3,FALSE)=0,"Spatial Data Missing ⚠",VLOOKUP(J62,'G-7 WaterC'' Data'!$AK$4:$AM$6,3,FALSE)))</f>
        <v/>
      </c>
      <c r="M62" s="38"/>
      <c r="N62" s="291" t="str">
        <f>IF(M62="","",IF(AND(D62&lt;&gt;"Culvert",M62="N/A - Culvert"),"Not possible ▲",IF(AND(D62="Culvert",M62&lt;&gt;"N/A - Culvert"),"Not possible ▲",IF(VLOOKUP(M62,'G-7 WaterC'' Data'!$AA$4:$AB$7,2,FALSE)=0,"Spatial Data Missing ⚠",VLOOKUP(M62,'G-7 WaterC'' Data'!$AA$4:$AB$7,2,FALSE)))))</f>
        <v/>
      </c>
      <c r="O62" s="44"/>
      <c r="P62" s="291" t="str">
        <f>IF(O62="","",IF(AND(O62="N/A - Culvert", D62&lt;&gt;"Culvert"),"Not possible ▲", IF(AND(D62="Culvert",O62&lt;&gt;"N/A - Culvert"),"Not possible ▲",IF(VLOOKUP(O62,'G-7 WaterC'' Data'!$AD$4:$AE$14,2,FALSE)=0,"Spatial Data Missing ⚠",VLOOKUP(O62,'G-7 WaterC'' Data'!$AD$4:$AE$14,2,FALSE)))))</f>
        <v/>
      </c>
      <c r="Q62" s="297" t="str">
        <f>IF(D62="","",VLOOKUP(D62,'G-7 WaterC'' Data'!$B$2:$G$8,6,FALSE))</f>
        <v/>
      </c>
      <c r="R62" s="304" t="str">
        <f>IFERROR(IF(AND(Q62='G-1 All Habitats'!$X$3, AE62&gt;0, U62&lt;=0, V62&lt;=0, OR(AA62="No", AA62="")),"Any Loss Unacceptable ⚠", (IF(AND(Q62='G-1 All Habitats'!$X$3, AE62&gt;0, U62&lt;=0, V62&lt;=0, AA62="Yes"), 0, (IF(AND(Q62='G-1 All Habitats'!$X$3,(U62+V62)&lt;E62, OR(AA62="No", AA62="")),"Any Loss Unacceptable ⚠", (IF(AND(Q62='G-1 All Habitats'!$X$3,(U62+V62)&gt;E62), E62*G62*I62*L62*N62*P62, (IF(Q62="","",IF(AND(Q62='G-1 All Habitats'!$X$3,V62&gt;0),W62+X62,IF(AND(Q62='G-1 All Habitats'!$X$3,U62&gt;0), W62+X62, IF(AND(S62="Yes", V62&gt;(E62-U62)),(E62-U62)*G62*I62*L62*N62*P62, IF(AND(S62="Yes", V62&lt;=(E62-U62)), X62, E62*G62*I62*L62*N62*P62 ))))))))))))),"Check Data ▲")</f>
        <v/>
      </c>
      <c r="S62" s="671" t="str">
        <f t="shared" si="0"/>
        <v/>
      </c>
      <c r="T62" s="17"/>
      <c r="U62" s="95"/>
      <c r="V62" s="106"/>
      <c r="W62" s="302" t="str">
        <f t="shared" si="1"/>
        <v/>
      </c>
      <c r="X62" s="302" t="str">
        <f t="shared" si="2"/>
        <v/>
      </c>
      <c r="Y62" s="302" t="str">
        <f t="shared" si="3"/>
        <v/>
      </c>
      <c r="Z62" s="471" t="str">
        <f t="shared" si="4"/>
        <v/>
      </c>
      <c r="AA62" s="488"/>
      <c r="AB62" s="486"/>
      <c r="AC62" s="101"/>
      <c r="AD62" s="101"/>
      <c r="AE62" s="41" t="str">
        <f>IF(OR(Q62="",AA62="Yes"),"",IF(Q62='G-1 All Habitats'!$X$3,E62-U62-V62,"None"))</f>
        <v/>
      </c>
      <c r="AF62" s="42" t="str">
        <f>IF(Q62="","", IF(Q62='G-1 All Habitats'!$X$3, AE62*G62*I62*L62*N62*P62,"None"))</f>
        <v/>
      </c>
      <c r="AI62" s="15">
        <f t="shared" si="8"/>
        <v>0</v>
      </c>
      <c r="AJ62" s="105" t="str">
        <f t="shared" si="5"/>
        <v/>
      </c>
      <c r="AK62" s="105" t="str">
        <f t="shared" si="6"/>
        <v/>
      </c>
      <c r="AM62" s="105">
        <v>53</v>
      </c>
      <c r="AO62" s="105" t="str">
        <f t="array" ref="AO62">IFERROR(INDEX($AM$10:$AM$258, MATCH(0, IF(TRUE=$AJ$10:$AJ$258, COUNTIF($AO$9:$AO61, $AM$10:$AM$258), ""), 0)),"")</f>
        <v/>
      </c>
      <c r="AP62" s="105" t="str">
        <f t="array" ref="AP62">IFERROR(INDEX($AM$10:$AM$258, MATCH(0, IF(TRUE=$AK$10:$AK$258, COUNTIF($AP$9:$AP61, $AM$10:$AM$258), ""), 0)),"")</f>
        <v/>
      </c>
      <c r="AR62" s="15" t="str">
        <f>IFERROR(INDEX('G-7 WaterC'' Data'!$AZ$3:$AZ$7,MATCH(D62,'G-7 WaterC'' Data'!$AY$3:$AY$7,0)),"")</f>
        <v/>
      </c>
      <c r="AS62" s="15" t="str">
        <f>IFERROR(INDEX('G-7 WaterC'' Data'!AZ62:AZ66,MATCH(D62,'G-7 WaterC'' Data'!$AY$10:$AY$14,0)),"")</f>
        <v/>
      </c>
      <c r="AU62" s="15" t="str">
        <f>IF(D62="","",VLOOKUP(D62,'G-7 WaterC'' Data'!B$4:M$8,12,FALSE))</f>
        <v/>
      </c>
      <c r="AV62" s="15" t="str">
        <f t="shared" si="7"/>
        <v/>
      </c>
    </row>
    <row r="63" spans="3:48" ht="14" x14ac:dyDescent="0.3">
      <c r="C63" s="92">
        <v>54</v>
      </c>
      <c r="D63" s="271"/>
      <c r="E63" s="120"/>
      <c r="F63" s="290" t="str">
        <f>IF(D63="","",VLOOKUP(D63,'G-7 WaterC'' Data'!$B$2:$G$8,2,FALSE))</f>
        <v/>
      </c>
      <c r="G63" s="291" t="str">
        <f>IFERROR(VLOOKUP(F63,'G-7 WaterC'' Data'!$C$4:$D$8,2,FALSE),"")</f>
        <v/>
      </c>
      <c r="H63" s="38"/>
      <c r="I63" s="291" t="str">
        <f>IFERROR(INDEX('G-7 WaterC'' Data'!$H$4:$L$8,MATCH(D63,'G-7 WaterC'' Data'!$B$4:$B$8,0),MATCH(H63,'G-7 WaterC'' Data'!$H$3:$L$3,0)),"")</f>
        <v/>
      </c>
      <c r="J63" s="777"/>
      <c r="K63" s="325" t="str">
        <f>IF(J63="","",IF(VLOOKUP(J63,'G-7 WaterC'' Data'!$AK$4:$AM$6,2,FALSE)=0,"Spatial Data Missing ⚠",VLOOKUP(J63,'G-7 WaterC'' Data'!$AK$4:$AM$6,2,FALSE)))</f>
        <v/>
      </c>
      <c r="L63" s="296" t="str">
        <f>IF(J63="","",IF(VLOOKUP(J63,'G-7 WaterC'' Data'!$AK$4:$AM$9,3,FALSE)=0,"Spatial Data Missing ⚠",VLOOKUP(J63,'G-7 WaterC'' Data'!$AK$4:$AM$6,3,FALSE)))</f>
        <v/>
      </c>
      <c r="M63" s="38"/>
      <c r="N63" s="291" t="str">
        <f>IF(M63="","",IF(AND(D63&lt;&gt;"Culvert",M63="N/A - Culvert"),"Not possible ▲",IF(AND(D63="Culvert",M63&lt;&gt;"N/A - Culvert"),"Not possible ▲",IF(VLOOKUP(M63,'G-7 WaterC'' Data'!$AA$4:$AB$7,2,FALSE)=0,"Spatial Data Missing ⚠",VLOOKUP(M63,'G-7 WaterC'' Data'!$AA$4:$AB$7,2,FALSE)))))</f>
        <v/>
      </c>
      <c r="O63" s="44"/>
      <c r="P63" s="291" t="str">
        <f>IF(O63="","",IF(AND(O63="N/A - Culvert", D63&lt;&gt;"Culvert"),"Not possible ▲", IF(AND(D63="Culvert",O63&lt;&gt;"N/A - Culvert"),"Not possible ▲",IF(VLOOKUP(O63,'G-7 WaterC'' Data'!$AD$4:$AE$14,2,FALSE)=0,"Spatial Data Missing ⚠",VLOOKUP(O63,'G-7 WaterC'' Data'!$AD$4:$AE$14,2,FALSE)))))</f>
        <v/>
      </c>
      <c r="Q63" s="297" t="str">
        <f>IF(D63="","",VLOOKUP(D63,'G-7 WaterC'' Data'!$B$2:$G$8,6,FALSE))</f>
        <v/>
      </c>
      <c r="R63" s="304" t="str">
        <f>IFERROR(IF(AND(Q63='G-1 All Habitats'!$X$3, AE63&gt;0, U63&lt;=0, V63&lt;=0, OR(AA63="No", AA63="")),"Any Loss Unacceptable ⚠", (IF(AND(Q63='G-1 All Habitats'!$X$3, AE63&gt;0, U63&lt;=0, V63&lt;=0, AA63="Yes"), 0, (IF(AND(Q63='G-1 All Habitats'!$X$3,(U63+V63)&lt;E63, OR(AA63="No", AA63="")),"Any Loss Unacceptable ⚠", (IF(AND(Q63='G-1 All Habitats'!$X$3,(U63+V63)&gt;E63), E63*G63*I63*L63*N63*P63, (IF(Q63="","",IF(AND(Q63='G-1 All Habitats'!$X$3,V63&gt;0),W63+X63,IF(AND(Q63='G-1 All Habitats'!$X$3,U63&gt;0), W63+X63, IF(AND(S63="Yes", V63&gt;(E63-U63)),(E63-U63)*G63*I63*L63*N63*P63, IF(AND(S63="Yes", V63&lt;=(E63-U63)), X63, E63*G63*I63*L63*N63*P63 ))))))))))))),"Check Data ▲")</f>
        <v/>
      </c>
      <c r="S63" s="671" t="str">
        <f t="shared" si="0"/>
        <v/>
      </c>
      <c r="T63" s="17"/>
      <c r="U63" s="95"/>
      <c r="V63" s="106"/>
      <c r="W63" s="302" t="str">
        <f t="shared" si="1"/>
        <v/>
      </c>
      <c r="X63" s="302" t="str">
        <f t="shared" si="2"/>
        <v/>
      </c>
      <c r="Y63" s="302" t="str">
        <f t="shared" si="3"/>
        <v/>
      </c>
      <c r="Z63" s="471" t="str">
        <f t="shared" si="4"/>
        <v/>
      </c>
      <c r="AA63" s="488"/>
      <c r="AB63" s="486"/>
      <c r="AC63" s="101"/>
      <c r="AD63" s="101"/>
      <c r="AE63" s="41" t="str">
        <f>IF(OR(Q63="",AA63="Yes"),"",IF(Q63='G-1 All Habitats'!$X$3,E63-U63-V63,"None"))</f>
        <v/>
      </c>
      <c r="AF63" s="42" t="str">
        <f>IF(Q63="","", IF(Q63='G-1 All Habitats'!$X$3, AE63*G63*I63*L63*N63*P63,"None"))</f>
        <v/>
      </c>
      <c r="AI63" s="15">
        <f t="shared" si="8"/>
        <v>0</v>
      </c>
      <c r="AJ63" s="105" t="str">
        <f t="shared" si="5"/>
        <v/>
      </c>
      <c r="AK63" s="105" t="str">
        <f t="shared" si="6"/>
        <v/>
      </c>
      <c r="AM63" s="105">
        <v>54</v>
      </c>
      <c r="AO63" s="105" t="str">
        <f t="array" ref="AO63">IFERROR(INDEX($AM$10:$AM$258, MATCH(0, IF(TRUE=$AJ$10:$AJ$258, COUNTIF($AO$9:$AO62, $AM$10:$AM$258), ""), 0)),"")</f>
        <v/>
      </c>
      <c r="AP63" s="105" t="str">
        <f t="array" ref="AP63">IFERROR(INDEX($AM$10:$AM$258, MATCH(0, IF(TRUE=$AK$10:$AK$258, COUNTIF($AP$9:$AP62, $AM$10:$AM$258), ""), 0)),"")</f>
        <v/>
      </c>
      <c r="AR63" s="15" t="str">
        <f>IFERROR(INDEX('G-7 WaterC'' Data'!$AZ$3:$AZ$7,MATCH(D63,'G-7 WaterC'' Data'!$AY$3:$AY$7,0)),"")</f>
        <v/>
      </c>
      <c r="AS63" s="15" t="str">
        <f>IFERROR(INDEX('G-7 WaterC'' Data'!AZ63:AZ67,MATCH(D63,'G-7 WaterC'' Data'!$AY$10:$AY$14,0)),"")</f>
        <v/>
      </c>
      <c r="AU63" s="15" t="str">
        <f>IF(D63="","",VLOOKUP(D63,'G-7 WaterC'' Data'!B$4:M$8,12,FALSE))</f>
        <v/>
      </c>
      <c r="AV63" s="15" t="str">
        <f t="shared" si="7"/>
        <v/>
      </c>
    </row>
    <row r="64" spans="3:48" ht="14" x14ac:dyDescent="0.3">
      <c r="C64" s="92">
        <v>55</v>
      </c>
      <c r="D64" s="271"/>
      <c r="E64" s="120"/>
      <c r="F64" s="290" t="str">
        <f>IF(D64="","",VLOOKUP(D64,'G-7 WaterC'' Data'!$B$2:$G$8,2,FALSE))</f>
        <v/>
      </c>
      <c r="G64" s="291" t="str">
        <f>IFERROR(VLOOKUP(F64,'G-7 WaterC'' Data'!$C$4:$D$8,2,FALSE),"")</f>
        <v/>
      </c>
      <c r="H64" s="38"/>
      <c r="I64" s="291" t="str">
        <f>IFERROR(INDEX('G-7 WaterC'' Data'!$H$4:$L$8,MATCH(D64,'G-7 WaterC'' Data'!$B$4:$B$8,0),MATCH(H64,'G-7 WaterC'' Data'!$H$3:$L$3,0)),"")</f>
        <v/>
      </c>
      <c r="J64" s="777"/>
      <c r="K64" s="325" t="str">
        <f>IF(J64="","",IF(VLOOKUP(J64,'G-7 WaterC'' Data'!$AK$4:$AM$6,2,FALSE)=0,"Spatial Data Missing ⚠",VLOOKUP(J64,'G-7 WaterC'' Data'!$AK$4:$AM$6,2,FALSE)))</f>
        <v/>
      </c>
      <c r="L64" s="296" t="str">
        <f>IF(J64="","",IF(VLOOKUP(J64,'G-7 WaterC'' Data'!$AK$4:$AM$9,3,FALSE)=0,"Spatial Data Missing ⚠",VLOOKUP(J64,'G-7 WaterC'' Data'!$AK$4:$AM$6,3,FALSE)))</f>
        <v/>
      </c>
      <c r="M64" s="38"/>
      <c r="N64" s="291" t="str">
        <f>IF(M64="","",IF(AND(D64&lt;&gt;"Culvert",M64="N/A - Culvert"),"Not possible ▲",IF(AND(D64="Culvert",M64&lt;&gt;"N/A - Culvert"),"Not possible ▲",IF(VLOOKUP(M64,'G-7 WaterC'' Data'!$AA$4:$AB$7,2,FALSE)=0,"Spatial Data Missing ⚠",VLOOKUP(M64,'G-7 WaterC'' Data'!$AA$4:$AB$7,2,FALSE)))))</f>
        <v/>
      </c>
      <c r="O64" s="44"/>
      <c r="P64" s="291" t="str">
        <f>IF(O64="","",IF(AND(O64="N/A - Culvert", D64&lt;&gt;"Culvert"),"Not possible ▲", IF(AND(D64="Culvert",O64&lt;&gt;"N/A - Culvert"),"Not possible ▲",IF(VLOOKUP(O64,'G-7 WaterC'' Data'!$AD$4:$AE$14,2,FALSE)=0,"Spatial Data Missing ⚠",VLOOKUP(O64,'G-7 WaterC'' Data'!$AD$4:$AE$14,2,FALSE)))))</f>
        <v/>
      </c>
      <c r="Q64" s="297" t="str">
        <f>IF(D64="","",VLOOKUP(D64,'G-7 WaterC'' Data'!$B$2:$G$8,6,FALSE))</f>
        <v/>
      </c>
      <c r="R64" s="304" t="str">
        <f>IFERROR(IF(AND(Q64='G-1 All Habitats'!$X$3, AE64&gt;0, U64&lt;=0, V64&lt;=0, OR(AA64="No", AA64="")),"Any Loss Unacceptable ⚠", (IF(AND(Q64='G-1 All Habitats'!$X$3, AE64&gt;0, U64&lt;=0, V64&lt;=0, AA64="Yes"), 0, (IF(AND(Q64='G-1 All Habitats'!$X$3,(U64+V64)&lt;E64, OR(AA64="No", AA64="")),"Any Loss Unacceptable ⚠", (IF(AND(Q64='G-1 All Habitats'!$X$3,(U64+V64)&gt;E64), E64*G64*I64*L64*N64*P64, (IF(Q64="","",IF(AND(Q64='G-1 All Habitats'!$X$3,V64&gt;0),W64+X64,IF(AND(Q64='G-1 All Habitats'!$X$3,U64&gt;0), W64+X64, IF(AND(S64="Yes", V64&gt;(E64-U64)),(E64-U64)*G64*I64*L64*N64*P64, IF(AND(S64="Yes", V64&lt;=(E64-U64)), X64, E64*G64*I64*L64*N64*P64 ))))))))))))),"Check Data ▲")</f>
        <v/>
      </c>
      <c r="S64" s="671" t="str">
        <f t="shared" si="0"/>
        <v/>
      </c>
      <c r="T64" s="17"/>
      <c r="U64" s="95"/>
      <c r="V64" s="106"/>
      <c r="W64" s="302" t="str">
        <f t="shared" si="1"/>
        <v/>
      </c>
      <c r="X64" s="302" t="str">
        <f t="shared" si="2"/>
        <v/>
      </c>
      <c r="Y64" s="302" t="str">
        <f t="shared" si="3"/>
        <v/>
      </c>
      <c r="Z64" s="471" t="str">
        <f t="shared" si="4"/>
        <v/>
      </c>
      <c r="AA64" s="488"/>
      <c r="AB64" s="486"/>
      <c r="AC64" s="101"/>
      <c r="AD64" s="101"/>
      <c r="AE64" s="41" t="str">
        <f>IF(OR(Q64="",AA64="Yes"),"",IF(Q64='G-1 All Habitats'!$X$3,E64-U64-V64,"None"))</f>
        <v/>
      </c>
      <c r="AF64" s="42" t="str">
        <f>IF(Q64="","", IF(Q64='G-1 All Habitats'!$X$3, AE64*G64*I64*L64*N64*P64,"None"))</f>
        <v/>
      </c>
      <c r="AI64" s="15">
        <f t="shared" si="8"/>
        <v>0</v>
      </c>
      <c r="AJ64" s="105" t="str">
        <f t="shared" si="5"/>
        <v/>
      </c>
      <c r="AK64" s="105" t="str">
        <f t="shared" si="6"/>
        <v/>
      </c>
      <c r="AM64" s="105">
        <v>55</v>
      </c>
      <c r="AO64" s="105" t="str">
        <f t="array" ref="AO64">IFERROR(INDEX($AM$10:$AM$258, MATCH(0, IF(TRUE=$AJ$10:$AJ$258, COUNTIF($AO$9:$AO63, $AM$10:$AM$258), ""), 0)),"")</f>
        <v/>
      </c>
      <c r="AP64" s="105" t="str">
        <f t="array" ref="AP64">IFERROR(INDEX($AM$10:$AM$258, MATCH(0, IF(TRUE=$AK$10:$AK$258, COUNTIF($AP$9:$AP63, $AM$10:$AM$258), ""), 0)),"")</f>
        <v/>
      </c>
      <c r="AR64" s="15" t="str">
        <f>IFERROR(INDEX('G-7 WaterC'' Data'!$AZ$3:$AZ$7,MATCH(D64,'G-7 WaterC'' Data'!$AY$3:$AY$7,0)),"")</f>
        <v/>
      </c>
      <c r="AS64" s="15" t="str">
        <f>IFERROR(INDEX('G-7 WaterC'' Data'!AZ64:AZ68,MATCH(D64,'G-7 WaterC'' Data'!$AY$10:$AY$14,0)),"")</f>
        <v/>
      </c>
      <c r="AU64" s="15" t="str">
        <f>IF(D64="","",VLOOKUP(D64,'G-7 WaterC'' Data'!B$4:M$8,12,FALSE))</f>
        <v/>
      </c>
      <c r="AV64" s="15" t="str">
        <f t="shared" si="7"/>
        <v/>
      </c>
    </row>
    <row r="65" spans="3:48" ht="14" x14ac:dyDescent="0.3">
      <c r="C65" s="92">
        <v>56</v>
      </c>
      <c r="D65" s="271"/>
      <c r="E65" s="120"/>
      <c r="F65" s="290" t="str">
        <f>IF(D65="","",VLOOKUP(D65,'G-7 WaterC'' Data'!$B$2:$G$8,2,FALSE))</f>
        <v/>
      </c>
      <c r="G65" s="291" t="str">
        <f>IFERROR(VLOOKUP(F65,'G-7 WaterC'' Data'!$C$4:$D$8,2,FALSE),"")</f>
        <v/>
      </c>
      <c r="H65" s="38"/>
      <c r="I65" s="291" t="str">
        <f>IFERROR(INDEX('G-7 WaterC'' Data'!$H$4:$L$8,MATCH(D65,'G-7 WaterC'' Data'!$B$4:$B$8,0),MATCH(H65,'G-7 WaterC'' Data'!$H$3:$L$3,0)),"")</f>
        <v/>
      </c>
      <c r="J65" s="777"/>
      <c r="K65" s="325" t="str">
        <f>IF(J65="","",IF(VLOOKUP(J65,'G-7 WaterC'' Data'!$AK$4:$AM$6,2,FALSE)=0,"Spatial Data Missing ⚠",VLOOKUP(J65,'G-7 WaterC'' Data'!$AK$4:$AM$6,2,FALSE)))</f>
        <v/>
      </c>
      <c r="L65" s="296" t="str">
        <f>IF(J65="","",IF(VLOOKUP(J65,'G-7 WaterC'' Data'!$AK$4:$AM$9,3,FALSE)=0,"Spatial Data Missing ⚠",VLOOKUP(J65,'G-7 WaterC'' Data'!$AK$4:$AM$6,3,FALSE)))</f>
        <v/>
      </c>
      <c r="M65" s="38"/>
      <c r="N65" s="291" t="str">
        <f>IF(M65="","",IF(AND(D65&lt;&gt;"Culvert",M65="N/A - Culvert"),"Not possible ▲",IF(AND(D65="Culvert",M65&lt;&gt;"N/A - Culvert"),"Not possible ▲",IF(VLOOKUP(M65,'G-7 WaterC'' Data'!$AA$4:$AB$7,2,FALSE)=0,"Spatial Data Missing ⚠",VLOOKUP(M65,'G-7 WaterC'' Data'!$AA$4:$AB$7,2,FALSE)))))</f>
        <v/>
      </c>
      <c r="O65" s="44"/>
      <c r="P65" s="291" t="str">
        <f>IF(O65="","",IF(AND(O65="N/A - Culvert", D65&lt;&gt;"Culvert"),"Not possible ▲", IF(AND(D65="Culvert",O65&lt;&gt;"N/A - Culvert"),"Not possible ▲",IF(VLOOKUP(O65,'G-7 WaterC'' Data'!$AD$4:$AE$14,2,FALSE)=0,"Spatial Data Missing ⚠",VLOOKUP(O65,'G-7 WaterC'' Data'!$AD$4:$AE$14,2,FALSE)))))</f>
        <v/>
      </c>
      <c r="Q65" s="297" t="str">
        <f>IF(D65="","",VLOOKUP(D65,'G-7 WaterC'' Data'!$B$2:$G$8,6,FALSE))</f>
        <v/>
      </c>
      <c r="R65" s="304" t="str">
        <f>IFERROR(IF(AND(Q65='G-1 All Habitats'!$X$3, AE65&gt;0, U65&lt;=0, V65&lt;=0, OR(AA65="No", AA65="")),"Any Loss Unacceptable ⚠", (IF(AND(Q65='G-1 All Habitats'!$X$3, AE65&gt;0, U65&lt;=0, V65&lt;=0, AA65="Yes"), 0, (IF(AND(Q65='G-1 All Habitats'!$X$3,(U65+V65)&lt;E65, OR(AA65="No", AA65="")),"Any Loss Unacceptable ⚠", (IF(AND(Q65='G-1 All Habitats'!$X$3,(U65+V65)&gt;E65), E65*G65*I65*L65*N65*P65, (IF(Q65="","",IF(AND(Q65='G-1 All Habitats'!$X$3,V65&gt;0),W65+X65,IF(AND(Q65='G-1 All Habitats'!$X$3,U65&gt;0), W65+X65, IF(AND(S65="Yes", V65&gt;(E65-U65)),(E65-U65)*G65*I65*L65*N65*P65, IF(AND(S65="Yes", V65&lt;=(E65-U65)), X65, E65*G65*I65*L65*N65*P65 ))))))))))))),"Check Data ▲")</f>
        <v/>
      </c>
      <c r="S65" s="671" t="str">
        <f t="shared" si="0"/>
        <v/>
      </c>
      <c r="T65" s="17"/>
      <c r="U65" s="95"/>
      <c r="V65" s="106"/>
      <c r="W65" s="302" t="str">
        <f t="shared" si="1"/>
        <v/>
      </c>
      <c r="X65" s="302" t="str">
        <f t="shared" si="2"/>
        <v/>
      </c>
      <c r="Y65" s="302" t="str">
        <f t="shared" si="3"/>
        <v/>
      </c>
      <c r="Z65" s="471" t="str">
        <f t="shared" si="4"/>
        <v/>
      </c>
      <c r="AA65" s="488"/>
      <c r="AB65" s="486"/>
      <c r="AC65" s="101"/>
      <c r="AD65" s="101"/>
      <c r="AE65" s="41" t="str">
        <f>IF(OR(Q65="",AA65="Yes"),"",IF(Q65='G-1 All Habitats'!$X$3,E65-U65-V65,"None"))</f>
        <v/>
      </c>
      <c r="AF65" s="42" t="str">
        <f>IF(Q65="","", IF(Q65='G-1 All Habitats'!$X$3, AE65*G65*I65*L65*N65*P65,"None"))</f>
        <v/>
      </c>
      <c r="AI65" s="15">
        <f t="shared" si="8"/>
        <v>0</v>
      </c>
      <c r="AJ65" s="105" t="str">
        <f t="shared" si="5"/>
        <v/>
      </c>
      <c r="AK65" s="105" t="str">
        <f t="shared" si="6"/>
        <v/>
      </c>
      <c r="AM65" s="105">
        <v>56</v>
      </c>
      <c r="AO65" s="105" t="str">
        <f t="array" ref="AO65">IFERROR(INDEX($AM$10:$AM$258, MATCH(0, IF(TRUE=$AJ$10:$AJ$258, COUNTIF($AO$9:$AO64, $AM$10:$AM$258), ""), 0)),"")</f>
        <v/>
      </c>
      <c r="AP65" s="105" t="str">
        <f t="array" ref="AP65">IFERROR(INDEX($AM$10:$AM$258, MATCH(0, IF(TRUE=$AK$10:$AK$258, COUNTIF($AP$9:$AP64, $AM$10:$AM$258), ""), 0)),"")</f>
        <v/>
      </c>
      <c r="AR65" s="15" t="str">
        <f>IFERROR(INDEX('G-7 WaterC'' Data'!$AZ$3:$AZ$7,MATCH(D65,'G-7 WaterC'' Data'!$AY$3:$AY$7,0)),"")</f>
        <v/>
      </c>
      <c r="AS65" s="15" t="str">
        <f>IFERROR(INDEX('G-7 WaterC'' Data'!AZ65:AZ69,MATCH(D65,'G-7 WaterC'' Data'!$AY$10:$AY$14,0)),"")</f>
        <v/>
      </c>
      <c r="AU65" s="15" t="str">
        <f>IF(D65="","",VLOOKUP(D65,'G-7 WaterC'' Data'!B$4:M$8,12,FALSE))</f>
        <v/>
      </c>
      <c r="AV65" s="15" t="str">
        <f t="shared" si="7"/>
        <v/>
      </c>
    </row>
    <row r="66" spans="3:48" ht="14" x14ac:dyDescent="0.3">
      <c r="C66" s="92">
        <v>57</v>
      </c>
      <c r="D66" s="271"/>
      <c r="E66" s="120"/>
      <c r="F66" s="290" t="str">
        <f>IF(D66="","",VLOOKUP(D66,'G-7 WaterC'' Data'!$B$2:$G$8,2,FALSE))</f>
        <v/>
      </c>
      <c r="G66" s="291" t="str">
        <f>IFERROR(VLOOKUP(F66,'G-7 WaterC'' Data'!$C$4:$D$8,2,FALSE),"")</f>
        <v/>
      </c>
      <c r="H66" s="38"/>
      <c r="I66" s="291" t="str">
        <f>IFERROR(INDEX('G-7 WaterC'' Data'!$H$4:$L$8,MATCH(D66,'G-7 WaterC'' Data'!$B$4:$B$8,0),MATCH(H66,'G-7 WaterC'' Data'!$H$3:$L$3,0)),"")</f>
        <v/>
      </c>
      <c r="J66" s="777"/>
      <c r="K66" s="325" t="str">
        <f>IF(J66="","",IF(VLOOKUP(J66,'G-7 WaterC'' Data'!$AK$4:$AM$6,2,FALSE)=0,"Spatial Data Missing ⚠",VLOOKUP(J66,'G-7 WaterC'' Data'!$AK$4:$AM$6,2,FALSE)))</f>
        <v/>
      </c>
      <c r="L66" s="296" t="str">
        <f>IF(J66="","",IF(VLOOKUP(J66,'G-7 WaterC'' Data'!$AK$4:$AM$9,3,FALSE)=0,"Spatial Data Missing ⚠",VLOOKUP(J66,'G-7 WaterC'' Data'!$AK$4:$AM$6,3,FALSE)))</f>
        <v/>
      </c>
      <c r="M66" s="38"/>
      <c r="N66" s="291" t="str">
        <f>IF(M66="","",IF(AND(D66&lt;&gt;"Culvert",M66="N/A - Culvert"),"Not possible ▲",IF(AND(D66="Culvert",M66&lt;&gt;"N/A - Culvert"),"Not possible ▲",IF(VLOOKUP(M66,'G-7 WaterC'' Data'!$AA$4:$AB$7,2,FALSE)=0,"Spatial Data Missing ⚠",VLOOKUP(M66,'G-7 WaterC'' Data'!$AA$4:$AB$7,2,FALSE)))))</f>
        <v/>
      </c>
      <c r="O66" s="44"/>
      <c r="P66" s="291" t="str">
        <f>IF(O66="","",IF(AND(O66="N/A - Culvert", D66&lt;&gt;"Culvert"),"Not possible ▲", IF(AND(D66="Culvert",O66&lt;&gt;"N/A - Culvert"),"Not possible ▲",IF(VLOOKUP(O66,'G-7 WaterC'' Data'!$AD$4:$AE$14,2,FALSE)=0,"Spatial Data Missing ⚠",VLOOKUP(O66,'G-7 WaterC'' Data'!$AD$4:$AE$14,2,FALSE)))))</f>
        <v/>
      </c>
      <c r="Q66" s="297" t="str">
        <f>IF(D66="","",VLOOKUP(D66,'G-7 WaterC'' Data'!$B$2:$G$8,6,FALSE))</f>
        <v/>
      </c>
      <c r="R66" s="304" t="str">
        <f>IFERROR(IF(AND(Q66='G-1 All Habitats'!$X$3, AE66&gt;0, U66&lt;=0, V66&lt;=0, OR(AA66="No", AA66="")),"Any Loss Unacceptable ⚠", (IF(AND(Q66='G-1 All Habitats'!$X$3, AE66&gt;0, U66&lt;=0, V66&lt;=0, AA66="Yes"), 0, (IF(AND(Q66='G-1 All Habitats'!$X$3,(U66+V66)&lt;E66, OR(AA66="No", AA66="")),"Any Loss Unacceptable ⚠", (IF(AND(Q66='G-1 All Habitats'!$X$3,(U66+V66)&gt;E66), E66*G66*I66*L66*N66*P66, (IF(Q66="","",IF(AND(Q66='G-1 All Habitats'!$X$3,V66&gt;0),W66+X66,IF(AND(Q66='G-1 All Habitats'!$X$3,U66&gt;0), W66+X66, IF(AND(S66="Yes", V66&gt;(E66-U66)),(E66-U66)*G66*I66*L66*N66*P66, IF(AND(S66="Yes", V66&lt;=(E66-U66)), X66, E66*G66*I66*L66*N66*P66 ))))))))))))),"Check Data ▲")</f>
        <v/>
      </c>
      <c r="S66" s="671" t="str">
        <f t="shared" si="0"/>
        <v/>
      </c>
      <c r="T66" s="17"/>
      <c r="U66" s="95"/>
      <c r="V66" s="106"/>
      <c r="W66" s="302" t="str">
        <f t="shared" si="1"/>
        <v/>
      </c>
      <c r="X66" s="302" t="str">
        <f t="shared" si="2"/>
        <v/>
      </c>
      <c r="Y66" s="302" t="str">
        <f t="shared" si="3"/>
        <v/>
      </c>
      <c r="Z66" s="471" t="str">
        <f t="shared" si="4"/>
        <v/>
      </c>
      <c r="AA66" s="488"/>
      <c r="AB66" s="486"/>
      <c r="AC66" s="101"/>
      <c r="AD66" s="101"/>
      <c r="AE66" s="41" t="str">
        <f>IF(OR(Q66="",AA66="Yes"),"",IF(Q66='G-1 All Habitats'!$X$3,E66-U66-V66,"None"))</f>
        <v/>
      </c>
      <c r="AF66" s="42" t="str">
        <f>IF(Q66="","", IF(Q66='G-1 All Habitats'!$X$3, AE66*G66*I66*L66*N66*P66,"None"))</f>
        <v/>
      </c>
      <c r="AI66" s="15">
        <f t="shared" si="8"/>
        <v>0</v>
      </c>
      <c r="AJ66" s="105" t="str">
        <f t="shared" si="5"/>
        <v/>
      </c>
      <c r="AK66" s="105" t="str">
        <f t="shared" si="6"/>
        <v/>
      </c>
      <c r="AM66" s="105">
        <v>57</v>
      </c>
      <c r="AO66" s="105" t="str">
        <f t="array" ref="AO66">IFERROR(INDEX($AM$10:$AM$258, MATCH(0, IF(TRUE=$AJ$10:$AJ$258, COUNTIF($AO$9:$AO65, $AM$10:$AM$258), ""), 0)),"")</f>
        <v/>
      </c>
      <c r="AP66" s="105" t="str">
        <f t="array" ref="AP66">IFERROR(INDEX($AM$10:$AM$258, MATCH(0, IF(TRUE=$AK$10:$AK$258, COUNTIF($AP$9:$AP65, $AM$10:$AM$258), ""), 0)),"")</f>
        <v/>
      </c>
      <c r="AR66" s="15" t="str">
        <f>IFERROR(INDEX('G-7 WaterC'' Data'!$AZ$3:$AZ$7,MATCH(D66,'G-7 WaterC'' Data'!$AY$3:$AY$7,0)),"")</f>
        <v/>
      </c>
      <c r="AS66" s="15" t="str">
        <f>IFERROR(INDEX('G-7 WaterC'' Data'!AZ66:AZ70,MATCH(D66,'G-7 WaterC'' Data'!$AY$10:$AY$14,0)),"")</f>
        <v/>
      </c>
      <c r="AU66" s="15" t="str">
        <f>IF(D66="","",VLOOKUP(D66,'G-7 WaterC'' Data'!B$4:M$8,12,FALSE))</f>
        <v/>
      </c>
      <c r="AV66" s="15" t="str">
        <f t="shared" si="7"/>
        <v/>
      </c>
    </row>
    <row r="67" spans="3:48" ht="14" x14ac:dyDescent="0.3">
      <c r="C67" s="92">
        <v>58</v>
      </c>
      <c r="D67" s="271"/>
      <c r="E67" s="120"/>
      <c r="F67" s="290" t="str">
        <f>IF(D67="","",VLOOKUP(D67,'G-7 WaterC'' Data'!$B$2:$G$8,2,FALSE))</f>
        <v/>
      </c>
      <c r="G67" s="291" t="str">
        <f>IFERROR(VLOOKUP(F67,'G-7 WaterC'' Data'!$C$4:$D$8,2,FALSE),"")</f>
        <v/>
      </c>
      <c r="H67" s="38"/>
      <c r="I67" s="291" t="str">
        <f>IFERROR(INDEX('G-7 WaterC'' Data'!$H$4:$L$8,MATCH(D67,'G-7 WaterC'' Data'!$B$4:$B$8,0),MATCH(H67,'G-7 WaterC'' Data'!$H$3:$L$3,0)),"")</f>
        <v/>
      </c>
      <c r="J67" s="777"/>
      <c r="K67" s="325" t="str">
        <f>IF(J67="","",IF(VLOOKUP(J67,'G-7 WaterC'' Data'!$AK$4:$AM$6,2,FALSE)=0,"Spatial Data Missing ⚠",VLOOKUP(J67,'G-7 WaterC'' Data'!$AK$4:$AM$6,2,FALSE)))</f>
        <v/>
      </c>
      <c r="L67" s="296" t="str">
        <f>IF(J67="","",IF(VLOOKUP(J67,'G-7 WaterC'' Data'!$AK$4:$AM$9,3,FALSE)=0,"Spatial Data Missing ⚠",VLOOKUP(J67,'G-7 WaterC'' Data'!$AK$4:$AM$6,3,FALSE)))</f>
        <v/>
      </c>
      <c r="M67" s="38"/>
      <c r="N67" s="291" t="str">
        <f>IF(M67="","",IF(AND(D67&lt;&gt;"Culvert",M67="N/A - Culvert"),"Not possible ▲",IF(AND(D67="Culvert",M67&lt;&gt;"N/A - Culvert"),"Not possible ▲",IF(VLOOKUP(M67,'G-7 WaterC'' Data'!$AA$4:$AB$7,2,FALSE)=0,"Spatial Data Missing ⚠",VLOOKUP(M67,'G-7 WaterC'' Data'!$AA$4:$AB$7,2,FALSE)))))</f>
        <v/>
      </c>
      <c r="O67" s="44"/>
      <c r="P67" s="291" t="str">
        <f>IF(O67="","",IF(AND(O67="N/A - Culvert", D67&lt;&gt;"Culvert"),"Not possible ▲", IF(AND(D67="Culvert",O67&lt;&gt;"N/A - Culvert"),"Not possible ▲",IF(VLOOKUP(O67,'G-7 WaterC'' Data'!$AD$4:$AE$14,2,FALSE)=0,"Spatial Data Missing ⚠",VLOOKUP(O67,'G-7 WaterC'' Data'!$AD$4:$AE$14,2,FALSE)))))</f>
        <v/>
      </c>
      <c r="Q67" s="297" t="str">
        <f>IF(D67="","",VLOOKUP(D67,'G-7 WaterC'' Data'!$B$2:$G$8,6,FALSE))</f>
        <v/>
      </c>
      <c r="R67" s="304" t="str">
        <f>IFERROR(IF(AND(Q67='G-1 All Habitats'!$X$3, AE67&gt;0, U67&lt;=0, V67&lt;=0, OR(AA67="No", AA67="")),"Any Loss Unacceptable ⚠", (IF(AND(Q67='G-1 All Habitats'!$X$3, AE67&gt;0, U67&lt;=0, V67&lt;=0, AA67="Yes"), 0, (IF(AND(Q67='G-1 All Habitats'!$X$3,(U67+V67)&lt;E67, OR(AA67="No", AA67="")),"Any Loss Unacceptable ⚠", (IF(AND(Q67='G-1 All Habitats'!$X$3,(U67+V67)&gt;E67), E67*G67*I67*L67*N67*P67, (IF(Q67="","",IF(AND(Q67='G-1 All Habitats'!$X$3,V67&gt;0),W67+X67,IF(AND(Q67='G-1 All Habitats'!$X$3,U67&gt;0), W67+X67, IF(AND(S67="Yes", V67&gt;(E67-U67)),(E67-U67)*G67*I67*L67*N67*P67, IF(AND(S67="Yes", V67&lt;=(E67-U67)), X67, E67*G67*I67*L67*N67*P67 ))))))))))))),"Check Data ▲")</f>
        <v/>
      </c>
      <c r="S67" s="671" t="str">
        <f t="shared" si="0"/>
        <v/>
      </c>
      <c r="T67" s="17"/>
      <c r="U67" s="95"/>
      <c r="V67" s="106"/>
      <c r="W67" s="302" t="str">
        <f t="shared" si="1"/>
        <v/>
      </c>
      <c r="X67" s="302" t="str">
        <f t="shared" si="2"/>
        <v/>
      </c>
      <c r="Y67" s="302" t="str">
        <f t="shared" si="3"/>
        <v/>
      </c>
      <c r="Z67" s="471" t="str">
        <f t="shared" si="4"/>
        <v/>
      </c>
      <c r="AA67" s="488"/>
      <c r="AB67" s="486"/>
      <c r="AC67" s="101"/>
      <c r="AD67" s="101"/>
      <c r="AE67" s="41" t="str">
        <f>IF(OR(Q67="",AA67="Yes"),"",IF(Q67='G-1 All Habitats'!$X$3,E67-U67-V67,"None"))</f>
        <v/>
      </c>
      <c r="AF67" s="42" t="str">
        <f>IF(Q67="","", IF(Q67='G-1 All Habitats'!$X$3, AE67*G67*I67*L67*N67*P67,"None"))</f>
        <v/>
      </c>
      <c r="AI67" s="15">
        <f t="shared" si="8"/>
        <v>0</v>
      </c>
      <c r="AJ67" s="105" t="str">
        <f t="shared" si="5"/>
        <v/>
      </c>
      <c r="AK67" s="105" t="str">
        <f t="shared" si="6"/>
        <v/>
      </c>
      <c r="AM67" s="105">
        <v>58</v>
      </c>
      <c r="AO67" s="105" t="str">
        <f t="array" ref="AO67">IFERROR(INDEX($AM$10:$AM$258, MATCH(0, IF(TRUE=$AJ$10:$AJ$258, COUNTIF($AO$9:$AO66, $AM$10:$AM$258), ""), 0)),"")</f>
        <v/>
      </c>
      <c r="AP67" s="105" t="str">
        <f t="array" ref="AP67">IFERROR(INDEX($AM$10:$AM$258, MATCH(0, IF(TRUE=$AK$10:$AK$258, COUNTIF($AP$9:$AP66, $AM$10:$AM$258), ""), 0)),"")</f>
        <v/>
      </c>
      <c r="AR67" s="15" t="str">
        <f>IFERROR(INDEX('G-7 WaterC'' Data'!$AZ$3:$AZ$7,MATCH(D67,'G-7 WaterC'' Data'!$AY$3:$AY$7,0)),"")</f>
        <v/>
      </c>
      <c r="AS67" s="15" t="str">
        <f>IFERROR(INDEX('G-7 WaterC'' Data'!AZ67:AZ71,MATCH(D67,'G-7 WaterC'' Data'!$AY$10:$AY$14,0)),"")</f>
        <v/>
      </c>
      <c r="AU67" s="15" t="str">
        <f>IF(D67="","",VLOOKUP(D67,'G-7 WaterC'' Data'!B$4:M$8,12,FALSE))</f>
        <v/>
      </c>
      <c r="AV67" s="15" t="str">
        <f t="shared" si="7"/>
        <v/>
      </c>
    </row>
    <row r="68" spans="3:48" ht="14" x14ac:dyDescent="0.3">
      <c r="C68" s="92">
        <v>59</v>
      </c>
      <c r="D68" s="271"/>
      <c r="E68" s="120"/>
      <c r="F68" s="290" t="str">
        <f>IF(D68="","",VLOOKUP(D68,'G-7 WaterC'' Data'!$B$2:$G$8,2,FALSE))</f>
        <v/>
      </c>
      <c r="G68" s="291" t="str">
        <f>IFERROR(VLOOKUP(F68,'G-7 WaterC'' Data'!$C$4:$D$8,2,FALSE),"")</f>
        <v/>
      </c>
      <c r="H68" s="38"/>
      <c r="I68" s="291" t="str">
        <f>IFERROR(INDEX('G-7 WaterC'' Data'!$H$4:$L$8,MATCH(D68,'G-7 WaterC'' Data'!$B$4:$B$8,0),MATCH(H68,'G-7 WaterC'' Data'!$H$3:$L$3,0)),"")</f>
        <v/>
      </c>
      <c r="J68" s="777"/>
      <c r="K68" s="325" t="str">
        <f>IF(J68="","",IF(VLOOKUP(J68,'G-7 WaterC'' Data'!$AK$4:$AM$6,2,FALSE)=0,"Spatial Data Missing ⚠",VLOOKUP(J68,'G-7 WaterC'' Data'!$AK$4:$AM$6,2,FALSE)))</f>
        <v/>
      </c>
      <c r="L68" s="296" t="str">
        <f>IF(J68="","",IF(VLOOKUP(J68,'G-7 WaterC'' Data'!$AK$4:$AM$9,3,FALSE)=0,"Spatial Data Missing ⚠",VLOOKUP(J68,'G-7 WaterC'' Data'!$AK$4:$AM$6,3,FALSE)))</f>
        <v/>
      </c>
      <c r="M68" s="38"/>
      <c r="N68" s="291" t="str">
        <f>IF(M68="","",IF(AND(D68&lt;&gt;"Culvert",M68="N/A - Culvert"),"Not possible ▲",IF(AND(D68="Culvert",M68&lt;&gt;"N/A - Culvert"),"Not possible ▲",IF(VLOOKUP(M68,'G-7 WaterC'' Data'!$AA$4:$AB$7,2,FALSE)=0,"Spatial Data Missing ⚠",VLOOKUP(M68,'G-7 WaterC'' Data'!$AA$4:$AB$7,2,FALSE)))))</f>
        <v/>
      </c>
      <c r="O68" s="44"/>
      <c r="P68" s="291" t="str">
        <f>IF(O68="","",IF(AND(O68="N/A - Culvert", D68&lt;&gt;"Culvert"),"Not possible ▲", IF(AND(D68="Culvert",O68&lt;&gt;"N/A - Culvert"),"Not possible ▲",IF(VLOOKUP(O68,'G-7 WaterC'' Data'!$AD$4:$AE$14,2,FALSE)=0,"Spatial Data Missing ⚠",VLOOKUP(O68,'G-7 WaterC'' Data'!$AD$4:$AE$14,2,FALSE)))))</f>
        <v/>
      </c>
      <c r="Q68" s="297" t="str">
        <f>IF(D68="","",VLOOKUP(D68,'G-7 WaterC'' Data'!$B$2:$G$8,6,FALSE))</f>
        <v/>
      </c>
      <c r="R68" s="304" t="str">
        <f>IFERROR(IF(AND(Q68='G-1 All Habitats'!$X$3, AE68&gt;0, U68&lt;=0, V68&lt;=0, OR(AA68="No", AA68="")),"Any Loss Unacceptable ⚠", (IF(AND(Q68='G-1 All Habitats'!$X$3, AE68&gt;0, U68&lt;=0, V68&lt;=0, AA68="Yes"), 0, (IF(AND(Q68='G-1 All Habitats'!$X$3,(U68+V68)&lt;E68, OR(AA68="No", AA68="")),"Any Loss Unacceptable ⚠", (IF(AND(Q68='G-1 All Habitats'!$X$3,(U68+V68)&gt;E68), E68*G68*I68*L68*N68*P68, (IF(Q68="","",IF(AND(Q68='G-1 All Habitats'!$X$3,V68&gt;0),W68+X68,IF(AND(Q68='G-1 All Habitats'!$X$3,U68&gt;0), W68+X68, IF(AND(S68="Yes", V68&gt;(E68-U68)),(E68-U68)*G68*I68*L68*N68*P68, IF(AND(S68="Yes", V68&lt;=(E68-U68)), X68, E68*G68*I68*L68*N68*P68 ))))))))))))),"Check Data ▲")</f>
        <v/>
      </c>
      <c r="S68" s="671" t="str">
        <f t="shared" si="0"/>
        <v/>
      </c>
      <c r="T68" s="17"/>
      <c r="U68" s="95"/>
      <c r="V68" s="106"/>
      <c r="W68" s="302" t="str">
        <f t="shared" si="1"/>
        <v/>
      </c>
      <c r="X68" s="302" t="str">
        <f t="shared" si="2"/>
        <v/>
      </c>
      <c r="Y68" s="302" t="str">
        <f t="shared" si="3"/>
        <v/>
      </c>
      <c r="Z68" s="471" t="str">
        <f t="shared" si="4"/>
        <v/>
      </c>
      <c r="AA68" s="488"/>
      <c r="AB68" s="486"/>
      <c r="AC68" s="101"/>
      <c r="AD68" s="101"/>
      <c r="AE68" s="41" t="str">
        <f>IF(OR(Q68="",AA68="Yes"),"",IF(Q68='G-1 All Habitats'!$X$3,E68-U68-V68,"None"))</f>
        <v/>
      </c>
      <c r="AF68" s="42" t="str">
        <f>IF(Q68="","", IF(Q68='G-1 All Habitats'!$X$3, AE68*G68*I68*L68*N68*P68,"None"))</f>
        <v/>
      </c>
      <c r="AI68" s="15">
        <f t="shared" si="8"/>
        <v>0</v>
      </c>
      <c r="AJ68" s="105" t="str">
        <f t="shared" si="5"/>
        <v/>
      </c>
      <c r="AK68" s="105" t="str">
        <f t="shared" si="6"/>
        <v/>
      </c>
      <c r="AM68" s="105">
        <v>59</v>
      </c>
      <c r="AO68" s="105" t="str">
        <f t="array" ref="AO68">IFERROR(INDEX($AM$10:$AM$258, MATCH(0, IF(TRUE=$AJ$10:$AJ$258, COUNTIF($AO$9:$AO67, $AM$10:$AM$258), ""), 0)),"")</f>
        <v/>
      </c>
      <c r="AP68" s="105" t="str">
        <f t="array" ref="AP68">IFERROR(INDEX($AM$10:$AM$258, MATCH(0, IF(TRUE=$AK$10:$AK$258, COUNTIF($AP$9:$AP67, $AM$10:$AM$258), ""), 0)),"")</f>
        <v/>
      </c>
      <c r="AR68" s="15" t="str">
        <f>IFERROR(INDEX('G-7 WaterC'' Data'!$AZ$3:$AZ$7,MATCH(D68,'G-7 WaterC'' Data'!$AY$3:$AY$7,0)),"")</f>
        <v/>
      </c>
      <c r="AS68" s="15" t="str">
        <f>IFERROR(INDEX('G-7 WaterC'' Data'!AZ68:AZ72,MATCH(D68,'G-7 WaterC'' Data'!$AY$10:$AY$14,0)),"")</f>
        <v/>
      </c>
      <c r="AU68" s="15" t="str">
        <f>IF(D68="","",VLOOKUP(D68,'G-7 WaterC'' Data'!B$4:M$8,12,FALSE))</f>
        <v/>
      </c>
      <c r="AV68" s="15" t="str">
        <f t="shared" si="7"/>
        <v/>
      </c>
    </row>
    <row r="69" spans="3:48" ht="14" x14ac:dyDescent="0.3">
      <c r="C69" s="92">
        <v>60</v>
      </c>
      <c r="D69" s="271"/>
      <c r="E69" s="120"/>
      <c r="F69" s="290" t="str">
        <f>IF(D69="","",VLOOKUP(D69,'G-7 WaterC'' Data'!$B$2:$G$8,2,FALSE))</f>
        <v/>
      </c>
      <c r="G69" s="291" t="str">
        <f>IFERROR(VLOOKUP(F69,'G-7 WaterC'' Data'!$C$4:$D$8,2,FALSE),"")</f>
        <v/>
      </c>
      <c r="H69" s="38"/>
      <c r="I69" s="291" t="str">
        <f>IFERROR(INDEX('G-7 WaterC'' Data'!$H$4:$L$8,MATCH(D69,'G-7 WaterC'' Data'!$B$4:$B$8,0),MATCH(H69,'G-7 WaterC'' Data'!$H$3:$L$3,0)),"")</f>
        <v/>
      </c>
      <c r="J69" s="777"/>
      <c r="K69" s="325" t="str">
        <f>IF(J69="","",IF(VLOOKUP(J69,'G-7 WaterC'' Data'!$AK$4:$AM$6,2,FALSE)=0,"Spatial Data Missing ⚠",VLOOKUP(J69,'G-7 WaterC'' Data'!$AK$4:$AM$6,2,FALSE)))</f>
        <v/>
      </c>
      <c r="L69" s="296" t="str">
        <f>IF(J69="","",IF(VLOOKUP(J69,'G-7 WaterC'' Data'!$AK$4:$AM$9,3,FALSE)=0,"Spatial Data Missing ⚠",VLOOKUP(J69,'G-7 WaterC'' Data'!$AK$4:$AM$6,3,FALSE)))</f>
        <v/>
      </c>
      <c r="M69" s="38"/>
      <c r="N69" s="291" t="str">
        <f>IF(M69="","",IF(AND(D69&lt;&gt;"Culvert",M69="N/A - Culvert"),"Not possible ▲",IF(AND(D69="Culvert",M69&lt;&gt;"N/A - Culvert"),"Not possible ▲",IF(VLOOKUP(M69,'G-7 WaterC'' Data'!$AA$4:$AB$7,2,FALSE)=0,"Spatial Data Missing ⚠",VLOOKUP(M69,'G-7 WaterC'' Data'!$AA$4:$AB$7,2,FALSE)))))</f>
        <v/>
      </c>
      <c r="O69" s="44"/>
      <c r="P69" s="291" t="str">
        <f>IF(O69="","",IF(AND(O69="N/A - Culvert", D69&lt;&gt;"Culvert"),"Not possible ▲", IF(AND(D69="Culvert",O69&lt;&gt;"N/A - Culvert"),"Not possible ▲",IF(VLOOKUP(O69,'G-7 WaterC'' Data'!$AD$4:$AE$14,2,FALSE)=0,"Spatial Data Missing ⚠",VLOOKUP(O69,'G-7 WaterC'' Data'!$AD$4:$AE$14,2,FALSE)))))</f>
        <v/>
      </c>
      <c r="Q69" s="297" t="str">
        <f>IF(D69="","",VLOOKUP(D69,'G-7 WaterC'' Data'!$B$2:$G$8,6,FALSE))</f>
        <v/>
      </c>
      <c r="R69" s="304" t="str">
        <f>IFERROR(IF(AND(Q69='G-1 All Habitats'!$X$3, AE69&gt;0, U69&lt;=0, V69&lt;=0, OR(AA69="No", AA69="")),"Any Loss Unacceptable ⚠", (IF(AND(Q69='G-1 All Habitats'!$X$3, AE69&gt;0, U69&lt;=0, V69&lt;=0, AA69="Yes"), 0, (IF(AND(Q69='G-1 All Habitats'!$X$3,(U69+V69)&lt;E69, OR(AA69="No", AA69="")),"Any Loss Unacceptable ⚠", (IF(AND(Q69='G-1 All Habitats'!$X$3,(U69+V69)&gt;E69), E69*G69*I69*L69*N69*P69, (IF(Q69="","",IF(AND(Q69='G-1 All Habitats'!$X$3,V69&gt;0),W69+X69,IF(AND(Q69='G-1 All Habitats'!$X$3,U69&gt;0), W69+X69, IF(AND(S69="Yes", V69&gt;(E69-U69)),(E69-U69)*G69*I69*L69*N69*P69, IF(AND(S69="Yes", V69&lt;=(E69-U69)), X69, E69*G69*I69*L69*N69*P69 ))))))))))))),"Check Data ▲")</f>
        <v/>
      </c>
      <c r="S69" s="671" t="str">
        <f t="shared" si="0"/>
        <v/>
      </c>
      <c r="T69" s="17"/>
      <c r="U69" s="95"/>
      <c r="V69" s="106"/>
      <c r="W69" s="302" t="str">
        <f t="shared" si="1"/>
        <v/>
      </c>
      <c r="X69" s="302" t="str">
        <f t="shared" si="2"/>
        <v/>
      </c>
      <c r="Y69" s="302" t="str">
        <f t="shared" si="3"/>
        <v/>
      </c>
      <c r="Z69" s="471" t="str">
        <f t="shared" si="4"/>
        <v/>
      </c>
      <c r="AA69" s="488"/>
      <c r="AB69" s="486"/>
      <c r="AC69" s="101"/>
      <c r="AD69" s="101"/>
      <c r="AE69" s="41" t="str">
        <f>IF(OR(Q69="",AA69="Yes"),"",IF(Q69='G-1 All Habitats'!$X$3,E69-U69-V69,"None"))</f>
        <v/>
      </c>
      <c r="AF69" s="42" t="str">
        <f>IF(Q69="","", IF(Q69='G-1 All Habitats'!$X$3, AE69*G69*I69*L69*N69*P69,"None"))</f>
        <v/>
      </c>
      <c r="AI69" s="15">
        <f t="shared" si="8"/>
        <v>0</v>
      </c>
      <c r="AJ69" s="105" t="str">
        <f t="shared" si="5"/>
        <v/>
      </c>
      <c r="AK69" s="105" t="str">
        <f t="shared" si="6"/>
        <v/>
      </c>
      <c r="AM69" s="105">
        <v>60</v>
      </c>
      <c r="AO69" s="105" t="str">
        <f t="array" ref="AO69">IFERROR(INDEX($AM$10:$AM$258, MATCH(0, IF(TRUE=$AJ$10:$AJ$258, COUNTIF($AO$9:$AO68, $AM$10:$AM$258), ""), 0)),"")</f>
        <v/>
      </c>
      <c r="AP69" s="105" t="str">
        <f t="array" ref="AP69">IFERROR(INDEX($AM$10:$AM$258, MATCH(0, IF(TRUE=$AK$10:$AK$258, COUNTIF($AP$9:$AP68, $AM$10:$AM$258), ""), 0)),"")</f>
        <v/>
      </c>
      <c r="AR69" s="15" t="str">
        <f>IFERROR(INDEX('G-7 WaterC'' Data'!$AZ$3:$AZ$7,MATCH(D69,'G-7 WaterC'' Data'!$AY$3:$AY$7,0)),"")</f>
        <v/>
      </c>
      <c r="AS69" s="15" t="str">
        <f>IFERROR(INDEX('G-7 WaterC'' Data'!AZ69:AZ73,MATCH(D69,'G-7 WaterC'' Data'!$AY$10:$AY$14,0)),"")</f>
        <v/>
      </c>
      <c r="AU69" s="15" t="str">
        <f>IF(D69="","",VLOOKUP(D69,'G-7 WaterC'' Data'!B$4:M$8,12,FALSE))</f>
        <v/>
      </c>
      <c r="AV69" s="15" t="str">
        <f t="shared" si="7"/>
        <v/>
      </c>
    </row>
    <row r="70" spans="3:48" ht="14" x14ac:dyDescent="0.3">
      <c r="C70" s="92">
        <v>61</v>
      </c>
      <c r="D70" s="271"/>
      <c r="E70" s="120"/>
      <c r="F70" s="290" t="str">
        <f>IF(D70="","",VLOOKUP(D70,'G-7 WaterC'' Data'!$B$2:$G$8,2,FALSE))</f>
        <v/>
      </c>
      <c r="G70" s="291" t="str">
        <f>IFERROR(VLOOKUP(F70,'G-7 WaterC'' Data'!$C$4:$D$8,2,FALSE),"")</f>
        <v/>
      </c>
      <c r="H70" s="38"/>
      <c r="I70" s="291" t="str">
        <f>IFERROR(INDEX('G-7 WaterC'' Data'!$H$4:$L$8,MATCH(D70,'G-7 WaterC'' Data'!$B$4:$B$8,0),MATCH(H70,'G-7 WaterC'' Data'!$H$3:$L$3,0)),"")</f>
        <v/>
      </c>
      <c r="J70" s="777"/>
      <c r="K70" s="325" t="str">
        <f>IF(J70="","",IF(VLOOKUP(J70,'G-7 WaterC'' Data'!$AK$4:$AM$6,2,FALSE)=0,"Spatial Data Missing ⚠",VLOOKUP(J70,'G-7 WaterC'' Data'!$AK$4:$AM$6,2,FALSE)))</f>
        <v/>
      </c>
      <c r="L70" s="296" t="str">
        <f>IF(J70="","",IF(VLOOKUP(J70,'G-7 WaterC'' Data'!$AK$4:$AM$9,3,FALSE)=0,"Spatial Data Missing ⚠",VLOOKUP(J70,'G-7 WaterC'' Data'!$AK$4:$AM$6,3,FALSE)))</f>
        <v/>
      </c>
      <c r="M70" s="38"/>
      <c r="N70" s="291" t="str">
        <f>IF(M70="","",IF(AND(D70&lt;&gt;"Culvert",M70="N/A - Culvert"),"Not possible ▲",IF(AND(D70="Culvert",M70&lt;&gt;"N/A - Culvert"),"Not possible ▲",IF(VLOOKUP(M70,'G-7 WaterC'' Data'!$AA$4:$AB$7,2,FALSE)=0,"Spatial Data Missing ⚠",VLOOKUP(M70,'G-7 WaterC'' Data'!$AA$4:$AB$7,2,FALSE)))))</f>
        <v/>
      </c>
      <c r="O70" s="44"/>
      <c r="P70" s="291" t="str">
        <f>IF(O70="","",IF(AND(O70="N/A - Culvert", D70&lt;&gt;"Culvert"),"Not possible ▲", IF(AND(D70="Culvert",O70&lt;&gt;"N/A - Culvert"),"Not possible ▲",IF(VLOOKUP(O70,'G-7 WaterC'' Data'!$AD$4:$AE$14,2,FALSE)=0,"Spatial Data Missing ⚠",VLOOKUP(O70,'G-7 WaterC'' Data'!$AD$4:$AE$14,2,FALSE)))))</f>
        <v/>
      </c>
      <c r="Q70" s="297" t="str">
        <f>IF(D70="","",VLOOKUP(D70,'G-7 WaterC'' Data'!$B$2:$G$8,6,FALSE))</f>
        <v/>
      </c>
      <c r="R70" s="304" t="str">
        <f>IFERROR(IF(AND(Q70='G-1 All Habitats'!$X$3, AE70&gt;0, U70&lt;=0, V70&lt;=0, OR(AA70="No", AA70="")),"Any Loss Unacceptable ⚠", (IF(AND(Q70='G-1 All Habitats'!$X$3, AE70&gt;0, U70&lt;=0, V70&lt;=0, AA70="Yes"), 0, (IF(AND(Q70='G-1 All Habitats'!$X$3,(U70+V70)&lt;E70, OR(AA70="No", AA70="")),"Any Loss Unacceptable ⚠", (IF(AND(Q70='G-1 All Habitats'!$X$3,(U70+V70)&gt;E70), E70*G70*I70*L70*N70*P70, (IF(Q70="","",IF(AND(Q70='G-1 All Habitats'!$X$3,V70&gt;0),W70+X70,IF(AND(Q70='G-1 All Habitats'!$X$3,U70&gt;0), W70+X70, IF(AND(S70="Yes", V70&gt;(E70-U70)),(E70-U70)*G70*I70*L70*N70*P70, IF(AND(S70="Yes", V70&lt;=(E70-U70)), X70, E70*G70*I70*L70*N70*P70 ))))))))))))),"Check Data ▲")</f>
        <v/>
      </c>
      <c r="S70" s="671" t="str">
        <f t="shared" si="0"/>
        <v/>
      </c>
      <c r="T70" s="17"/>
      <c r="U70" s="95"/>
      <c r="V70" s="106"/>
      <c r="W70" s="302" t="str">
        <f t="shared" si="1"/>
        <v/>
      </c>
      <c r="X70" s="302" t="str">
        <f t="shared" si="2"/>
        <v/>
      </c>
      <c r="Y70" s="302" t="str">
        <f t="shared" si="3"/>
        <v/>
      </c>
      <c r="Z70" s="471" t="str">
        <f t="shared" si="4"/>
        <v/>
      </c>
      <c r="AA70" s="488"/>
      <c r="AB70" s="486"/>
      <c r="AC70" s="101"/>
      <c r="AD70" s="101"/>
      <c r="AE70" s="41" t="str">
        <f>IF(OR(Q70="",AA70="Yes"),"",IF(Q70='G-1 All Habitats'!$X$3,E70-U70-V70,"None"))</f>
        <v/>
      </c>
      <c r="AF70" s="42" t="str">
        <f>IF(Q70="","", IF(Q70='G-1 All Habitats'!$X$3, AE70*G70*I70*L70*N70*P70,"None"))</f>
        <v/>
      </c>
      <c r="AI70" s="15">
        <f t="shared" si="8"/>
        <v>0</v>
      </c>
      <c r="AJ70" s="105" t="str">
        <f t="shared" si="5"/>
        <v/>
      </c>
      <c r="AK70" s="105" t="str">
        <f t="shared" si="6"/>
        <v/>
      </c>
      <c r="AM70" s="105">
        <v>61</v>
      </c>
      <c r="AO70" s="105" t="str">
        <f t="array" ref="AO70">IFERROR(INDEX($AM$10:$AM$258, MATCH(0, IF(TRUE=$AJ$10:$AJ$258, COUNTIF($AO$9:$AO69, $AM$10:$AM$258), ""), 0)),"")</f>
        <v/>
      </c>
      <c r="AP70" s="105" t="str">
        <f t="array" ref="AP70">IFERROR(INDEX($AM$10:$AM$258, MATCH(0, IF(TRUE=$AK$10:$AK$258, COUNTIF($AP$9:$AP69, $AM$10:$AM$258), ""), 0)),"")</f>
        <v/>
      </c>
      <c r="AR70" s="15" t="str">
        <f>IFERROR(INDEX('G-7 WaterC'' Data'!$AZ$3:$AZ$7,MATCH(D70,'G-7 WaterC'' Data'!$AY$3:$AY$7,0)),"")</f>
        <v/>
      </c>
      <c r="AS70" s="15" t="str">
        <f>IFERROR(INDEX('G-7 WaterC'' Data'!AZ70:AZ74,MATCH(D70,'G-7 WaterC'' Data'!$AY$10:$AY$14,0)),"")</f>
        <v/>
      </c>
      <c r="AU70" s="15" t="str">
        <f>IF(D70="","",VLOOKUP(D70,'G-7 WaterC'' Data'!B$4:M$8,12,FALSE))</f>
        <v/>
      </c>
      <c r="AV70" s="15" t="str">
        <f t="shared" si="7"/>
        <v/>
      </c>
    </row>
    <row r="71" spans="3:48" ht="14" x14ac:dyDescent="0.3">
      <c r="C71" s="92">
        <v>62</v>
      </c>
      <c r="D71" s="271"/>
      <c r="E71" s="120"/>
      <c r="F71" s="290" t="str">
        <f>IF(D71="","",VLOOKUP(D71,'G-7 WaterC'' Data'!$B$2:$G$8,2,FALSE))</f>
        <v/>
      </c>
      <c r="G71" s="291" t="str">
        <f>IFERROR(VLOOKUP(F71,'G-7 WaterC'' Data'!$C$4:$D$8,2,FALSE),"")</f>
        <v/>
      </c>
      <c r="H71" s="38"/>
      <c r="I71" s="291" t="str">
        <f>IFERROR(INDEX('G-7 WaterC'' Data'!$H$4:$L$8,MATCH(D71,'G-7 WaterC'' Data'!$B$4:$B$8,0),MATCH(H71,'G-7 WaterC'' Data'!$H$3:$L$3,0)),"")</f>
        <v/>
      </c>
      <c r="J71" s="777"/>
      <c r="K71" s="325" t="str">
        <f>IF(J71="","",IF(VLOOKUP(J71,'G-7 WaterC'' Data'!$AK$4:$AM$6,2,FALSE)=0,"Spatial Data Missing ⚠",VLOOKUP(J71,'G-7 WaterC'' Data'!$AK$4:$AM$6,2,FALSE)))</f>
        <v/>
      </c>
      <c r="L71" s="296" t="str">
        <f>IF(J71="","",IF(VLOOKUP(J71,'G-7 WaterC'' Data'!$AK$4:$AM$9,3,FALSE)=0,"Spatial Data Missing ⚠",VLOOKUP(J71,'G-7 WaterC'' Data'!$AK$4:$AM$6,3,FALSE)))</f>
        <v/>
      </c>
      <c r="M71" s="38"/>
      <c r="N71" s="291" t="str">
        <f>IF(M71="","",IF(AND(D71&lt;&gt;"Culvert",M71="N/A - Culvert"),"Not possible ▲",IF(AND(D71="Culvert",M71&lt;&gt;"N/A - Culvert"),"Not possible ▲",IF(VLOOKUP(M71,'G-7 WaterC'' Data'!$AA$4:$AB$7,2,FALSE)=0,"Spatial Data Missing ⚠",VLOOKUP(M71,'G-7 WaterC'' Data'!$AA$4:$AB$7,2,FALSE)))))</f>
        <v/>
      </c>
      <c r="O71" s="44"/>
      <c r="P71" s="291" t="str">
        <f>IF(O71="","",IF(AND(O71="N/A - Culvert", D71&lt;&gt;"Culvert"),"Not possible ▲", IF(AND(D71="Culvert",O71&lt;&gt;"N/A - Culvert"),"Not possible ▲",IF(VLOOKUP(O71,'G-7 WaterC'' Data'!$AD$4:$AE$14,2,FALSE)=0,"Spatial Data Missing ⚠",VLOOKUP(O71,'G-7 WaterC'' Data'!$AD$4:$AE$14,2,FALSE)))))</f>
        <v/>
      </c>
      <c r="Q71" s="297" t="str">
        <f>IF(D71="","",VLOOKUP(D71,'G-7 WaterC'' Data'!$B$2:$G$8,6,FALSE))</f>
        <v/>
      </c>
      <c r="R71" s="304" t="str">
        <f>IFERROR(IF(AND(Q71='G-1 All Habitats'!$X$3, AE71&gt;0, U71&lt;=0, V71&lt;=0, OR(AA71="No", AA71="")),"Any Loss Unacceptable ⚠", (IF(AND(Q71='G-1 All Habitats'!$X$3, AE71&gt;0, U71&lt;=0, V71&lt;=0, AA71="Yes"), 0, (IF(AND(Q71='G-1 All Habitats'!$X$3,(U71+V71)&lt;E71, OR(AA71="No", AA71="")),"Any Loss Unacceptable ⚠", (IF(AND(Q71='G-1 All Habitats'!$X$3,(U71+V71)&gt;E71), E71*G71*I71*L71*N71*P71, (IF(Q71="","",IF(AND(Q71='G-1 All Habitats'!$X$3,V71&gt;0),W71+X71,IF(AND(Q71='G-1 All Habitats'!$X$3,U71&gt;0), W71+X71, IF(AND(S71="Yes", V71&gt;(E71-U71)),(E71-U71)*G71*I71*L71*N71*P71, IF(AND(S71="Yes", V71&lt;=(E71-U71)), X71, E71*G71*I71*L71*N71*P71 ))))))))))))),"Check Data ▲")</f>
        <v/>
      </c>
      <c r="S71" s="671" t="str">
        <f t="shared" si="0"/>
        <v/>
      </c>
      <c r="T71" s="17"/>
      <c r="U71" s="95"/>
      <c r="V71" s="106"/>
      <c r="W71" s="302" t="str">
        <f t="shared" si="1"/>
        <v/>
      </c>
      <c r="X71" s="302" t="str">
        <f t="shared" si="2"/>
        <v/>
      </c>
      <c r="Y71" s="302" t="str">
        <f t="shared" si="3"/>
        <v/>
      </c>
      <c r="Z71" s="471" t="str">
        <f t="shared" si="4"/>
        <v/>
      </c>
      <c r="AA71" s="488"/>
      <c r="AB71" s="486"/>
      <c r="AC71" s="101"/>
      <c r="AD71" s="101"/>
      <c r="AE71" s="41" t="str">
        <f>IF(OR(Q71="",AA71="Yes"),"",IF(Q71='G-1 All Habitats'!$X$3,E71-U71-V71,"None"))</f>
        <v/>
      </c>
      <c r="AF71" s="42" t="str">
        <f>IF(Q71="","", IF(Q71='G-1 All Habitats'!$X$3, AE71*G71*I71*L71*N71*P71,"None"))</f>
        <v/>
      </c>
      <c r="AI71" s="15">
        <f t="shared" si="8"/>
        <v>0</v>
      </c>
      <c r="AJ71" s="105" t="str">
        <f t="shared" si="5"/>
        <v/>
      </c>
      <c r="AK71" s="105" t="str">
        <f t="shared" si="6"/>
        <v/>
      </c>
      <c r="AM71" s="105">
        <v>62</v>
      </c>
      <c r="AO71" s="105" t="str">
        <f t="array" ref="AO71">IFERROR(INDEX($AM$10:$AM$258, MATCH(0, IF(TRUE=$AJ$10:$AJ$258, COUNTIF($AO$9:$AO70, $AM$10:$AM$258), ""), 0)),"")</f>
        <v/>
      </c>
      <c r="AP71" s="105" t="str">
        <f t="array" ref="AP71">IFERROR(INDEX($AM$10:$AM$258, MATCH(0, IF(TRUE=$AK$10:$AK$258, COUNTIF($AP$9:$AP70, $AM$10:$AM$258), ""), 0)),"")</f>
        <v/>
      </c>
      <c r="AR71" s="15" t="str">
        <f>IFERROR(INDEX('G-7 WaterC'' Data'!$AZ$3:$AZ$7,MATCH(D71,'G-7 WaterC'' Data'!$AY$3:$AY$7,0)),"")</f>
        <v/>
      </c>
      <c r="AS71" s="15" t="str">
        <f>IFERROR(INDEX('G-7 WaterC'' Data'!AZ71:AZ75,MATCH(D71,'G-7 WaterC'' Data'!$AY$10:$AY$14,0)),"")</f>
        <v/>
      </c>
      <c r="AU71" s="15" t="str">
        <f>IF(D71="","",VLOOKUP(D71,'G-7 WaterC'' Data'!B$4:M$8,12,FALSE))</f>
        <v/>
      </c>
      <c r="AV71" s="15" t="str">
        <f t="shared" si="7"/>
        <v/>
      </c>
    </row>
    <row r="72" spans="3:48" ht="14" x14ac:dyDescent="0.3">
      <c r="C72" s="92">
        <v>63</v>
      </c>
      <c r="D72" s="271"/>
      <c r="E72" s="120"/>
      <c r="F72" s="290" t="str">
        <f>IF(D72="","",VLOOKUP(D72,'G-7 WaterC'' Data'!$B$2:$G$8,2,FALSE))</f>
        <v/>
      </c>
      <c r="G72" s="291" t="str">
        <f>IFERROR(VLOOKUP(F72,'G-7 WaterC'' Data'!$C$4:$D$8,2,FALSE),"")</f>
        <v/>
      </c>
      <c r="H72" s="38"/>
      <c r="I72" s="291" t="str">
        <f>IFERROR(INDEX('G-7 WaterC'' Data'!$H$4:$L$8,MATCH(D72,'G-7 WaterC'' Data'!$B$4:$B$8,0),MATCH(H72,'G-7 WaterC'' Data'!$H$3:$L$3,0)),"")</f>
        <v/>
      </c>
      <c r="J72" s="777"/>
      <c r="K72" s="325" t="str">
        <f>IF(J72="","",IF(VLOOKUP(J72,'G-7 WaterC'' Data'!$AK$4:$AM$6,2,FALSE)=0,"Spatial Data Missing ⚠",VLOOKUP(J72,'G-7 WaterC'' Data'!$AK$4:$AM$6,2,FALSE)))</f>
        <v/>
      </c>
      <c r="L72" s="296" t="str">
        <f>IF(J72="","",IF(VLOOKUP(J72,'G-7 WaterC'' Data'!$AK$4:$AM$9,3,FALSE)=0,"Spatial Data Missing ⚠",VLOOKUP(J72,'G-7 WaterC'' Data'!$AK$4:$AM$6,3,FALSE)))</f>
        <v/>
      </c>
      <c r="M72" s="38"/>
      <c r="N72" s="291" t="str">
        <f>IF(M72="","",IF(AND(D72&lt;&gt;"Culvert",M72="N/A - Culvert"),"Not possible ▲",IF(AND(D72="Culvert",M72&lt;&gt;"N/A - Culvert"),"Not possible ▲",IF(VLOOKUP(M72,'G-7 WaterC'' Data'!$AA$4:$AB$7,2,FALSE)=0,"Spatial Data Missing ⚠",VLOOKUP(M72,'G-7 WaterC'' Data'!$AA$4:$AB$7,2,FALSE)))))</f>
        <v/>
      </c>
      <c r="O72" s="44"/>
      <c r="P72" s="291" t="str">
        <f>IF(O72="","",IF(AND(O72="N/A - Culvert", D72&lt;&gt;"Culvert"),"Not possible ▲", IF(AND(D72="Culvert",O72&lt;&gt;"N/A - Culvert"),"Not possible ▲",IF(VLOOKUP(O72,'G-7 WaterC'' Data'!$AD$4:$AE$14,2,FALSE)=0,"Spatial Data Missing ⚠",VLOOKUP(O72,'G-7 WaterC'' Data'!$AD$4:$AE$14,2,FALSE)))))</f>
        <v/>
      </c>
      <c r="Q72" s="297" t="str">
        <f>IF(D72="","",VLOOKUP(D72,'G-7 WaterC'' Data'!$B$2:$G$8,6,FALSE))</f>
        <v/>
      </c>
      <c r="R72" s="304" t="str">
        <f>IFERROR(IF(AND(Q72='G-1 All Habitats'!$X$3, AE72&gt;0, U72&lt;=0, V72&lt;=0, OR(AA72="No", AA72="")),"Any Loss Unacceptable ⚠", (IF(AND(Q72='G-1 All Habitats'!$X$3, AE72&gt;0, U72&lt;=0, V72&lt;=0, AA72="Yes"), 0, (IF(AND(Q72='G-1 All Habitats'!$X$3,(U72+V72)&lt;E72, OR(AA72="No", AA72="")),"Any Loss Unacceptable ⚠", (IF(AND(Q72='G-1 All Habitats'!$X$3,(U72+V72)&gt;E72), E72*G72*I72*L72*N72*P72, (IF(Q72="","",IF(AND(Q72='G-1 All Habitats'!$X$3,V72&gt;0),W72+X72,IF(AND(Q72='G-1 All Habitats'!$X$3,U72&gt;0), W72+X72, IF(AND(S72="Yes", V72&gt;(E72-U72)),(E72-U72)*G72*I72*L72*N72*P72, IF(AND(S72="Yes", V72&lt;=(E72-U72)), X72, E72*G72*I72*L72*N72*P72 ))))))))))))),"Check Data ▲")</f>
        <v/>
      </c>
      <c r="S72" s="671" t="str">
        <f t="shared" si="0"/>
        <v/>
      </c>
      <c r="T72" s="17"/>
      <c r="U72" s="95"/>
      <c r="V72" s="106"/>
      <c r="W72" s="302" t="str">
        <f t="shared" si="1"/>
        <v/>
      </c>
      <c r="X72" s="302" t="str">
        <f t="shared" si="2"/>
        <v/>
      </c>
      <c r="Y72" s="302" t="str">
        <f t="shared" si="3"/>
        <v/>
      </c>
      <c r="Z72" s="471" t="str">
        <f t="shared" si="4"/>
        <v/>
      </c>
      <c r="AA72" s="488"/>
      <c r="AB72" s="486"/>
      <c r="AC72" s="101"/>
      <c r="AD72" s="101"/>
      <c r="AE72" s="41" t="str">
        <f>IF(OR(Q72="",AA72="Yes"),"",IF(Q72='G-1 All Habitats'!$X$3,E72-U72-V72,"None"))</f>
        <v/>
      </c>
      <c r="AF72" s="42" t="str">
        <f>IF(Q72="","", IF(Q72='G-1 All Habitats'!$X$3, AE72*G72*I72*L72*N72*P72,"None"))</f>
        <v/>
      </c>
      <c r="AI72" s="15">
        <f t="shared" si="8"/>
        <v>0</v>
      </c>
      <c r="AJ72" s="105" t="str">
        <f t="shared" si="5"/>
        <v/>
      </c>
      <c r="AK72" s="105" t="str">
        <f t="shared" si="6"/>
        <v/>
      </c>
      <c r="AM72" s="105">
        <v>63</v>
      </c>
      <c r="AO72" s="105" t="str">
        <f t="array" ref="AO72">IFERROR(INDEX($AM$10:$AM$258, MATCH(0, IF(TRUE=$AJ$10:$AJ$258, COUNTIF($AO$9:$AO71, $AM$10:$AM$258), ""), 0)),"")</f>
        <v/>
      </c>
      <c r="AP72" s="105" t="str">
        <f t="array" ref="AP72">IFERROR(INDEX($AM$10:$AM$258, MATCH(0, IF(TRUE=$AK$10:$AK$258, COUNTIF($AP$9:$AP71, $AM$10:$AM$258), ""), 0)),"")</f>
        <v/>
      </c>
      <c r="AR72" s="15" t="str">
        <f>IFERROR(INDEX('G-7 WaterC'' Data'!$AZ$3:$AZ$7,MATCH(D72,'G-7 WaterC'' Data'!$AY$3:$AY$7,0)),"")</f>
        <v/>
      </c>
      <c r="AS72" s="15" t="str">
        <f>IFERROR(INDEX('G-7 WaterC'' Data'!AZ72:AZ76,MATCH(D72,'G-7 WaterC'' Data'!$AY$10:$AY$14,0)),"")</f>
        <v/>
      </c>
      <c r="AU72" s="15" t="str">
        <f>IF(D72="","",VLOOKUP(D72,'G-7 WaterC'' Data'!B$4:M$8,12,FALSE))</f>
        <v/>
      </c>
      <c r="AV72" s="15" t="str">
        <f t="shared" si="7"/>
        <v/>
      </c>
    </row>
    <row r="73" spans="3:48" ht="14" x14ac:dyDescent="0.3">
      <c r="C73" s="92">
        <v>64</v>
      </c>
      <c r="D73" s="271"/>
      <c r="E73" s="120"/>
      <c r="F73" s="290" t="str">
        <f>IF(D73="","",VLOOKUP(D73,'G-7 WaterC'' Data'!$B$2:$G$8,2,FALSE))</f>
        <v/>
      </c>
      <c r="G73" s="291" t="str">
        <f>IFERROR(VLOOKUP(F73,'G-7 WaterC'' Data'!$C$4:$D$8,2,FALSE),"")</f>
        <v/>
      </c>
      <c r="H73" s="38"/>
      <c r="I73" s="291" t="str">
        <f>IFERROR(INDEX('G-7 WaterC'' Data'!$H$4:$L$8,MATCH(D73,'G-7 WaterC'' Data'!$B$4:$B$8,0),MATCH(H73,'G-7 WaterC'' Data'!$H$3:$L$3,0)),"")</f>
        <v/>
      </c>
      <c r="J73" s="777"/>
      <c r="K73" s="325" t="str">
        <f>IF(J73="","",IF(VLOOKUP(J73,'G-7 WaterC'' Data'!$AK$4:$AM$6,2,FALSE)=0,"Spatial Data Missing ⚠",VLOOKUP(J73,'G-7 WaterC'' Data'!$AK$4:$AM$6,2,FALSE)))</f>
        <v/>
      </c>
      <c r="L73" s="296" t="str">
        <f>IF(J73="","",IF(VLOOKUP(J73,'G-7 WaterC'' Data'!$AK$4:$AM$9,3,FALSE)=0,"Spatial Data Missing ⚠",VLOOKUP(J73,'G-7 WaterC'' Data'!$AK$4:$AM$6,3,FALSE)))</f>
        <v/>
      </c>
      <c r="M73" s="38"/>
      <c r="N73" s="291" t="str">
        <f>IF(M73="","",IF(AND(D73&lt;&gt;"Culvert",M73="N/A - Culvert"),"Not possible ▲",IF(AND(D73="Culvert",M73&lt;&gt;"N/A - Culvert"),"Not possible ▲",IF(VLOOKUP(M73,'G-7 WaterC'' Data'!$AA$4:$AB$7,2,FALSE)=0,"Spatial Data Missing ⚠",VLOOKUP(M73,'G-7 WaterC'' Data'!$AA$4:$AB$7,2,FALSE)))))</f>
        <v/>
      </c>
      <c r="O73" s="44"/>
      <c r="P73" s="291" t="str">
        <f>IF(O73="","",IF(AND(O73="N/A - Culvert", D73&lt;&gt;"Culvert"),"Not possible ▲", IF(AND(D73="Culvert",O73&lt;&gt;"N/A - Culvert"),"Not possible ▲",IF(VLOOKUP(O73,'G-7 WaterC'' Data'!$AD$4:$AE$14,2,FALSE)=0,"Spatial Data Missing ⚠",VLOOKUP(O73,'G-7 WaterC'' Data'!$AD$4:$AE$14,2,FALSE)))))</f>
        <v/>
      </c>
      <c r="Q73" s="297" t="str">
        <f>IF(D73="","",VLOOKUP(D73,'G-7 WaterC'' Data'!$B$2:$G$8,6,FALSE))</f>
        <v/>
      </c>
      <c r="R73" s="304" t="str">
        <f>IFERROR(IF(AND(Q73='G-1 All Habitats'!$X$3, AE73&gt;0, U73&lt;=0, V73&lt;=0, OR(AA73="No", AA73="")),"Any Loss Unacceptable ⚠", (IF(AND(Q73='G-1 All Habitats'!$X$3, AE73&gt;0, U73&lt;=0, V73&lt;=0, AA73="Yes"), 0, (IF(AND(Q73='G-1 All Habitats'!$X$3,(U73+V73)&lt;E73, OR(AA73="No", AA73="")),"Any Loss Unacceptable ⚠", (IF(AND(Q73='G-1 All Habitats'!$X$3,(U73+V73)&gt;E73), E73*G73*I73*L73*N73*P73, (IF(Q73="","",IF(AND(Q73='G-1 All Habitats'!$X$3,V73&gt;0),W73+X73,IF(AND(Q73='G-1 All Habitats'!$X$3,U73&gt;0), W73+X73, IF(AND(S73="Yes", V73&gt;(E73-U73)),(E73-U73)*G73*I73*L73*N73*P73, IF(AND(S73="Yes", V73&lt;=(E73-U73)), X73, E73*G73*I73*L73*N73*P73 ))))))))))))),"Check Data ▲")</f>
        <v/>
      </c>
      <c r="S73" s="671" t="str">
        <f t="shared" si="0"/>
        <v/>
      </c>
      <c r="T73" s="17"/>
      <c r="U73" s="95"/>
      <c r="V73" s="106"/>
      <c r="W73" s="302" t="str">
        <f t="shared" si="1"/>
        <v/>
      </c>
      <c r="X73" s="302" t="str">
        <f t="shared" si="2"/>
        <v/>
      </c>
      <c r="Y73" s="302" t="str">
        <f t="shared" si="3"/>
        <v/>
      </c>
      <c r="Z73" s="471" t="str">
        <f t="shared" si="4"/>
        <v/>
      </c>
      <c r="AA73" s="488"/>
      <c r="AB73" s="486"/>
      <c r="AC73" s="101"/>
      <c r="AD73" s="101"/>
      <c r="AE73" s="41" t="str">
        <f>IF(OR(Q73="",AA73="Yes"),"",IF(Q73='G-1 All Habitats'!$X$3,E73-U73-V73,"None"))</f>
        <v/>
      </c>
      <c r="AF73" s="42" t="str">
        <f>IF(Q73="","", IF(Q73='G-1 All Habitats'!$X$3, AE73*G73*I73*L73*N73*P73,"None"))</f>
        <v/>
      </c>
      <c r="AI73" s="15">
        <f t="shared" si="8"/>
        <v>0</v>
      </c>
      <c r="AJ73" s="105" t="str">
        <f t="shared" si="5"/>
        <v/>
      </c>
      <c r="AK73" s="105" t="str">
        <f t="shared" si="6"/>
        <v/>
      </c>
      <c r="AM73" s="105">
        <v>64</v>
      </c>
      <c r="AO73" s="105" t="str">
        <f t="array" ref="AO73">IFERROR(INDEX($AM$10:$AM$258, MATCH(0, IF(TRUE=$AJ$10:$AJ$258, COUNTIF($AO$9:$AO72, $AM$10:$AM$258), ""), 0)),"")</f>
        <v/>
      </c>
      <c r="AP73" s="105" t="str">
        <f t="array" ref="AP73">IFERROR(INDEX($AM$10:$AM$258, MATCH(0, IF(TRUE=$AK$10:$AK$258, COUNTIF($AP$9:$AP72, $AM$10:$AM$258), ""), 0)),"")</f>
        <v/>
      </c>
      <c r="AR73" s="15" t="str">
        <f>IFERROR(INDEX('G-7 WaterC'' Data'!$AZ$3:$AZ$7,MATCH(D73,'G-7 WaterC'' Data'!$AY$3:$AY$7,0)),"")</f>
        <v/>
      </c>
      <c r="AS73" s="15" t="str">
        <f>IFERROR(INDEX('G-7 WaterC'' Data'!AZ73:AZ77,MATCH(D73,'G-7 WaterC'' Data'!$AY$10:$AY$14,0)),"")</f>
        <v/>
      </c>
      <c r="AU73" s="15" t="str">
        <f>IF(D73="","",VLOOKUP(D73,'G-7 WaterC'' Data'!B$4:M$8,12,FALSE))</f>
        <v/>
      </c>
      <c r="AV73" s="15" t="str">
        <f t="shared" si="7"/>
        <v/>
      </c>
    </row>
    <row r="74" spans="3:48" ht="14" x14ac:dyDescent="0.3">
      <c r="C74" s="92">
        <v>65</v>
      </c>
      <c r="D74" s="271"/>
      <c r="E74" s="120"/>
      <c r="F74" s="290" t="str">
        <f>IF(D74="","",VLOOKUP(D74,'G-7 WaterC'' Data'!$B$2:$G$8,2,FALSE))</f>
        <v/>
      </c>
      <c r="G74" s="291" t="str">
        <f>IFERROR(VLOOKUP(F74,'G-7 WaterC'' Data'!$C$4:$D$8,2,FALSE),"")</f>
        <v/>
      </c>
      <c r="H74" s="38"/>
      <c r="I74" s="291" t="str">
        <f>IFERROR(INDEX('G-7 WaterC'' Data'!$H$4:$L$8,MATCH(D74,'G-7 WaterC'' Data'!$B$4:$B$8,0),MATCH(H74,'G-7 WaterC'' Data'!$H$3:$L$3,0)),"")</f>
        <v/>
      </c>
      <c r="J74" s="777"/>
      <c r="K74" s="325" t="str">
        <f>IF(J74="","",IF(VLOOKUP(J74,'G-7 WaterC'' Data'!$AK$4:$AM$6,2,FALSE)=0,"Spatial Data Missing ⚠",VLOOKUP(J74,'G-7 WaterC'' Data'!$AK$4:$AM$6,2,FALSE)))</f>
        <v/>
      </c>
      <c r="L74" s="296" t="str">
        <f>IF(J74="","",IF(VLOOKUP(J74,'G-7 WaterC'' Data'!$AK$4:$AM$9,3,FALSE)=0,"Spatial Data Missing ⚠",VLOOKUP(J74,'G-7 WaterC'' Data'!$AK$4:$AM$6,3,FALSE)))</f>
        <v/>
      </c>
      <c r="M74" s="38"/>
      <c r="N74" s="291" t="str">
        <f>IF(M74="","",IF(AND(D74&lt;&gt;"Culvert",M74="N/A - Culvert"),"Not possible ▲",IF(AND(D74="Culvert",M74&lt;&gt;"N/A - Culvert"),"Not possible ▲",IF(VLOOKUP(M74,'G-7 WaterC'' Data'!$AA$4:$AB$7,2,FALSE)=0,"Spatial Data Missing ⚠",VLOOKUP(M74,'G-7 WaterC'' Data'!$AA$4:$AB$7,2,FALSE)))))</f>
        <v/>
      </c>
      <c r="O74" s="44"/>
      <c r="P74" s="291" t="str">
        <f>IF(O74="","",IF(AND(O74="N/A - Culvert", D74&lt;&gt;"Culvert"),"Not possible ▲", IF(AND(D74="Culvert",O74&lt;&gt;"N/A - Culvert"),"Not possible ▲",IF(VLOOKUP(O74,'G-7 WaterC'' Data'!$AD$4:$AE$14,2,FALSE)=0,"Spatial Data Missing ⚠",VLOOKUP(O74,'G-7 WaterC'' Data'!$AD$4:$AE$14,2,FALSE)))))</f>
        <v/>
      </c>
      <c r="Q74" s="297" t="str">
        <f>IF(D74="","",VLOOKUP(D74,'G-7 WaterC'' Data'!$B$2:$G$8,6,FALSE))</f>
        <v/>
      </c>
      <c r="R74" s="304" t="str">
        <f>IFERROR(IF(AND(Q74='G-1 All Habitats'!$X$3, AE74&gt;0, U74&lt;=0, V74&lt;=0, OR(AA74="No", AA74="")),"Any Loss Unacceptable ⚠", (IF(AND(Q74='G-1 All Habitats'!$X$3, AE74&gt;0, U74&lt;=0, V74&lt;=0, AA74="Yes"), 0, (IF(AND(Q74='G-1 All Habitats'!$X$3,(U74+V74)&lt;E74, OR(AA74="No", AA74="")),"Any Loss Unacceptable ⚠", (IF(AND(Q74='G-1 All Habitats'!$X$3,(U74+V74)&gt;E74), E74*G74*I74*L74*N74*P74, (IF(Q74="","",IF(AND(Q74='G-1 All Habitats'!$X$3,V74&gt;0),W74+X74,IF(AND(Q74='G-1 All Habitats'!$X$3,U74&gt;0), W74+X74, IF(AND(S74="Yes", V74&gt;(E74-U74)),(E74-U74)*G74*I74*L74*N74*P74, IF(AND(S74="Yes", V74&lt;=(E74-U74)), X74, E74*G74*I74*L74*N74*P74 ))))))))))))),"Check Data ▲")</f>
        <v/>
      </c>
      <c r="S74" s="671" t="str">
        <f t="shared" si="0"/>
        <v/>
      </c>
      <c r="T74" s="17"/>
      <c r="U74" s="95"/>
      <c r="V74" s="106"/>
      <c r="W74" s="302" t="str">
        <f t="shared" si="1"/>
        <v/>
      </c>
      <c r="X74" s="302" t="str">
        <f t="shared" si="2"/>
        <v/>
      </c>
      <c r="Y74" s="302" t="str">
        <f t="shared" si="3"/>
        <v/>
      </c>
      <c r="Z74" s="471" t="str">
        <f t="shared" si="4"/>
        <v/>
      </c>
      <c r="AA74" s="488"/>
      <c r="AB74" s="486"/>
      <c r="AC74" s="101"/>
      <c r="AD74" s="101"/>
      <c r="AE74" s="41" t="str">
        <f>IF(OR(Q74="",AA74="Yes"),"",IF(Q74='G-1 All Habitats'!$X$3,E74-U74-V74,"None"))</f>
        <v/>
      </c>
      <c r="AF74" s="42" t="str">
        <f>IF(Q74="","", IF(Q74='G-1 All Habitats'!$X$3, AE74*G74*I74*L74*N74*P74,"None"))</f>
        <v/>
      </c>
      <c r="AI74" s="15">
        <f t="shared" si="8"/>
        <v>0</v>
      </c>
      <c r="AJ74" s="105" t="str">
        <f t="shared" si="5"/>
        <v/>
      </c>
      <c r="AK74" s="105" t="str">
        <f t="shared" si="6"/>
        <v/>
      </c>
      <c r="AM74" s="105">
        <v>65</v>
      </c>
      <c r="AO74" s="105" t="str">
        <f t="array" ref="AO74">IFERROR(INDEX($AM$10:$AM$258, MATCH(0, IF(TRUE=$AJ$10:$AJ$258, COUNTIF($AO$9:$AO73, $AM$10:$AM$258), ""), 0)),"")</f>
        <v/>
      </c>
      <c r="AP74" s="105" t="str">
        <f t="array" ref="AP74">IFERROR(INDEX($AM$10:$AM$258, MATCH(0, IF(TRUE=$AK$10:$AK$258, COUNTIF($AP$9:$AP73, $AM$10:$AM$258), ""), 0)),"")</f>
        <v/>
      </c>
      <c r="AR74" s="15" t="str">
        <f>IFERROR(INDEX('G-7 WaterC'' Data'!$AZ$3:$AZ$7,MATCH(D74,'G-7 WaterC'' Data'!$AY$3:$AY$7,0)),"")</f>
        <v/>
      </c>
      <c r="AS74" s="15" t="str">
        <f>IFERROR(INDEX('G-7 WaterC'' Data'!AZ74:AZ78,MATCH(D74,'G-7 WaterC'' Data'!$AY$10:$AY$14,0)),"")</f>
        <v/>
      </c>
      <c r="AU74" s="15" t="str">
        <f>IF(D74="","",VLOOKUP(D74,'G-7 WaterC'' Data'!B$4:M$8,12,FALSE))</f>
        <v/>
      </c>
      <c r="AV74" s="15" t="str">
        <f t="shared" si="7"/>
        <v/>
      </c>
    </row>
    <row r="75" spans="3:48" ht="14" x14ac:dyDescent="0.3">
      <c r="C75" s="92">
        <v>66</v>
      </c>
      <c r="D75" s="271"/>
      <c r="E75" s="120"/>
      <c r="F75" s="290" t="str">
        <f>IF(D75="","",VLOOKUP(D75,'G-7 WaterC'' Data'!$B$2:$G$8,2,FALSE))</f>
        <v/>
      </c>
      <c r="G75" s="291" t="str">
        <f>IFERROR(VLOOKUP(F75,'G-7 WaterC'' Data'!$C$4:$D$8,2,FALSE),"")</f>
        <v/>
      </c>
      <c r="H75" s="38"/>
      <c r="I75" s="291" t="str">
        <f>IFERROR(INDEX('G-7 WaterC'' Data'!$H$4:$L$8,MATCH(D75,'G-7 WaterC'' Data'!$B$4:$B$8,0),MATCH(H75,'G-7 WaterC'' Data'!$H$3:$L$3,0)),"")</f>
        <v/>
      </c>
      <c r="J75" s="777"/>
      <c r="K75" s="325" t="str">
        <f>IF(J75="","",IF(VLOOKUP(J75,'G-7 WaterC'' Data'!$AK$4:$AM$6,2,FALSE)=0,"Spatial Data Missing ⚠",VLOOKUP(J75,'G-7 WaterC'' Data'!$AK$4:$AM$6,2,FALSE)))</f>
        <v/>
      </c>
      <c r="L75" s="296" t="str">
        <f>IF(J75="","",IF(VLOOKUP(J75,'G-7 WaterC'' Data'!$AK$4:$AM$9,3,FALSE)=0,"Spatial Data Missing ⚠",VLOOKUP(J75,'G-7 WaterC'' Data'!$AK$4:$AM$6,3,FALSE)))</f>
        <v/>
      </c>
      <c r="M75" s="38"/>
      <c r="N75" s="291" t="str">
        <f>IF(M75="","",IF(AND(D75&lt;&gt;"Culvert",M75="N/A - Culvert"),"Not possible ▲",IF(AND(D75="Culvert",M75&lt;&gt;"N/A - Culvert"),"Not possible ▲",IF(VLOOKUP(M75,'G-7 WaterC'' Data'!$AA$4:$AB$7,2,FALSE)=0,"Spatial Data Missing ⚠",VLOOKUP(M75,'G-7 WaterC'' Data'!$AA$4:$AB$7,2,FALSE)))))</f>
        <v/>
      </c>
      <c r="O75" s="44"/>
      <c r="P75" s="291" t="str">
        <f>IF(O75="","",IF(AND(O75="N/A - Culvert", D75&lt;&gt;"Culvert"),"Not possible ▲", IF(AND(D75="Culvert",O75&lt;&gt;"N/A - Culvert"),"Not possible ▲",IF(VLOOKUP(O75,'G-7 WaterC'' Data'!$AD$4:$AE$14,2,FALSE)=0,"Spatial Data Missing ⚠",VLOOKUP(O75,'G-7 WaterC'' Data'!$AD$4:$AE$14,2,FALSE)))))</f>
        <v/>
      </c>
      <c r="Q75" s="297" t="str">
        <f>IF(D75="","",VLOOKUP(D75,'G-7 WaterC'' Data'!$B$2:$G$8,6,FALSE))</f>
        <v/>
      </c>
      <c r="R75" s="304" t="str">
        <f>IFERROR(IF(AND(Q75='G-1 All Habitats'!$X$3, AE75&gt;0, U75&lt;=0, V75&lt;=0, OR(AA75="No", AA75="")),"Any Loss Unacceptable ⚠", (IF(AND(Q75='G-1 All Habitats'!$X$3, AE75&gt;0, U75&lt;=0, V75&lt;=0, AA75="Yes"), 0, (IF(AND(Q75='G-1 All Habitats'!$X$3,(U75+V75)&lt;E75, OR(AA75="No", AA75="")),"Any Loss Unacceptable ⚠", (IF(AND(Q75='G-1 All Habitats'!$X$3,(U75+V75)&gt;E75), E75*G75*I75*L75*N75*P75, (IF(Q75="","",IF(AND(Q75='G-1 All Habitats'!$X$3,V75&gt;0),W75+X75,IF(AND(Q75='G-1 All Habitats'!$X$3,U75&gt;0), W75+X75, IF(AND(S75="Yes", V75&gt;(E75-U75)),(E75-U75)*G75*I75*L75*N75*P75, IF(AND(S75="Yes", V75&lt;=(E75-U75)), X75, E75*G75*I75*L75*N75*P75 ))))))))))))),"Check Data ▲")</f>
        <v/>
      </c>
      <c r="S75" s="671" t="str">
        <f t="shared" ref="S75:S138" si="9">AU75</f>
        <v/>
      </c>
      <c r="T75" s="17"/>
      <c r="U75" s="95"/>
      <c r="V75" s="106"/>
      <c r="W75" s="302" t="str">
        <f t="shared" ref="W75:W138" si="10">IFERROR(IF(U75&gt;E75,"Error in Lengths ▲",U75*G75*I75*L75*N75*P75),"")</f>
        <v/>
      </c>
      <c r="X75" s="302" t="str">
        <f t="shared" ref="X75:X138" si="11">IFERROR(IF(D75="","",V75*G75*I75*L75*N75*P75),"")</f>
        <v/>
      </c>
      <c r="Y75" s="302" t="str">
        <f t="shared" ref="Y75:Y138" si="12">IFERROR(IF(D75="","", IF(E75&gt;(U75+V75),E75-U75-V75,0)),"")</f>
        <v/>
      </c>
      <c r="Z75" s="471" t="str">
        <f t="shared" ref="Z75:Z138" si="13">IFERROR(IF(AND(AA75="Yes", D75="Priority habitat"), "Alternative compensation agreed ✓", IF(E75="","", IF(AND(D75="Priority habitat", V75+U75&lt;E75),"Any loss unacceptable ▲", IF(OR(V75+U75=E75,V75+U75&gt;E75),"0.00", IF((W75+X75)&gt;R75,0, R75-W75-X75))))),"Check Data ⚠")</f>
        <v/>
      </c>
      <c r="AA75" s="488"/>
      <c r="AB75" s="486"/>
      <c r="AC75" s="101"/>
      <c r="AD75" s="101"/>
      <c r="AE75" s="41" t="str">
        <f>IF(OR(Q75="",AA75="Yes"),"",IF(Q75='G-1 All Habitats'!$X$3,E75-U75-V75,"None"))</f>
        <v/>
      </c>
      <c r="AF75" s="42" t="str">
        <f>IF(Q75="","", IF(Q75='G-1 All Habitats'!$X$3, AE75*G75*I75*L75*N75*P75,"None"))</f>
        <v/>
      </c>
      <c r="AI75" s="15">
        <f t="shared" ref="AI75:AI138" si="14">IFERROR(IF(U75+V75&gt;E75,1,0),"")</f>
        <v>0</v>
      </c>
      <c r="AJ75" s="105" t="str">
        <f t="shared" ref="AJ75:AJ138" si="15">IF(D75="","",IF(U75&gt;0,TRUE,FALSE))</f>
        <v/>
      </c>
      <c r="AK75" s="105" t="str">
        <f t="shared" ref="AK75:AK138" si="16">IF(D75="","",IF(V75&gt;0,TRUE,FALSE))</f>
        <v/>
      </c>
      <c r="AM75" s="105">
        <v>66</v>
      </c>
      <c r="AO75" s="105" t="str">
        <f t="array" ref="AO75">IFERROR(INDEX($AM$10:$AM$258, MATCH(0, IF(TRUE=$AJ$10:$AJ$258, COUNTIF($AO$9:$AO74, $AM$10:$AM$258), ""), 0)),"")</f>
        <v/>
      </c>
      <c r="AP75" s="105" t="str">
        <f t="array" ref="AP75">IFERROR(INDEX($AM$10:$AM$258, MATCH(0, IF(TRUE=$AK$10:$AK$258, COUNTIF($AP$9:$AP74, $AM$10:$AM$258), ""), 0)),"")</f>
        <v/>
      </c>
      <c r="AR75" s="15" t="str">
        <f>IFERROR(INDEX('G-7 WaterC'' Data'!$AZ$3:$AZ$7,MATCH(D75,'G-7 WaterC'' Data'!$AY$3:$AY$7,0)),"")</f>
        <v/>
      </c>
      <c r="AS75" s="15" t="str">
        <f>IFERROR(INDEX('G-7 WaterC'' Data'!AZ75:AZ79,MATCH(D75,'G-7 WaterC'' Data'!$AY$10:$AY$14,0)),"")</f>
        <v/>
      </c>
      <c r="AU75" s="15" t="str">
        <f>IF(D75="","",VLOOKUP(D75,'G-7 WaterC'' Data'!B$4:M$8,12,FALSE))</f>
        <v/>
      </c>
      <c r="AV75" s="15" t="str">
        <f t="shared" ref="AV75:AV138" si="17">IF(AA75="","", IF(AA75="Yes", "Yes ✓", "No ▲"))</f>
        <v/>
      </c>
    </row>
    <row r="76" spans="3:48" ht="14" x14ac:dyDescent="0.3">
      <c r="C76" s="92">
        <v>67</v>
      </c>
      <c r="D76" s="271"/>
      <c r="E76" s="120"/>
      <c r="F76" s="290" t="str">
        <f>IF(D76="","",VLOOKUP(D76,'G-7 WaterC'' Data'!$B$2:$G$8,2,FALSE))</f>
        <v/>
      </c>
      <c r="G76" s="291" t="str">
        <f>IFERROR(VLOOKUP(F76,'G-7 WaterC'' Data'!$C$4:$D$8,2,FALSE),"")</f>
        <v/>
      </c>
      <c r="H76" s="38"/>
      <c r="I76" s="291" t="str">
        <f>IFERROR(INDEX('G-7 WaterC'' Data'!$H$4:$L$8,MATCH(D76,'G-7 WaterC'' Data'!$B$4:$B$8,0),MATCH(H76,'G-7 WaterC'' Data'!$H$3:$L$3,0)),"")</f>
        <v/>
      </c>
      <c r="J76" s="777"/>
      <c r="K76" s="325" t="str">
        <f>IF(J76="","",IF(VLOOKUP(J76,'G-7 WaterC'' Data'!$AK$4:$AM$6,2,FALSE)=0,"Spatial Data Missing ⚠",VLOOKUP(J76,'G-7 WaterC'' Data'!$AK$4:$AM$6,2,FALSE)))</f>
        <v/>
      </c>
      <c r="L76" s="296" t="str">
        <f>IF(J76="","",IF(VLOOKUP(J76,'G-7 WaterC'' Data'!$AK$4:$AM$9,3,FALSE)=0,"Spatial Data Missing ⚠",VLOOKUP(J76,'G-7 WaterC'' Data'!$AK$4:$AM$6,3,FALSE)))</f>
        <v/>
      </c>
      <c r="M76" s="38"/>
      <c r="N76" s="291" t="str">
        <f>IF(M76="","",IF(AND(D76&lt;&gt;"Culvert",M76="N/A - Culvert"),"Not possible ▲",IF(AND(D76="Culvert",M76&lt;&gt;"N/A - Culvert"),"Not possible ▲",IF(VLOOKUP(M76,'G-7 WaterC'' Data'!$AA$4:$AB$7,2,FALSE)=0,"Spatial Data Missing ⚠",VLOOKUP(M76,'G-7 WaterC'' Data'!$AA$4:$AB$7,2,FALSE)))))</f>
        <v/>
      </c>
      <c r="O76" s="44"/>
      <c r="P76" s="291" t="str">
        <f>IF(O76="","",IF(AND(O76="N/A - Culvert", D76&lt;&gt;"Culvert"),"Not possible ▲", IF(AND(D76="Culvert",O76&lt;&gt;"N/A - Culvert"),"Not possible ▲",IF(VLOOKUP(O76,'G-7 WaterC'' Data'!$AD$4:$AE$14,2,FALSE)=0,"Spatial Data Missing ⚠",VLOOKUP(O76,'G-7 WaterC'' Data'!$AD$4:$AE$14,2,FALSE)))))</f>
        <v/>
      </c>
      <c r="Q76" s="297" t="str">
        <f>IF(D76="","",VLOOKUP(D76,'G-7 WaterC'' Data'!$B$2:$G$8,6,FALSE))</f>
        <v/>
      </c>
      <c r="R76" s="304" t="str">
        <f>IFERROR(IF(AND(Q76='G-1 All Habitats'!$X$3, AE76&gt;0, U76&lt;=0, V76&lt;=0, OR(AA76="No", AA76="")),"Any Loss Unacceptable ⚠", (IF(AND(Q76='G-1 All Habitats'!$X$3, AE76&gt;0, U76&lt;=0, V76&lt;=0, AA76="Yes"), 0, (IF(AND(Q76='G-1 All Habitats'!$X$3,(U76+V76)&lt;E76, OR(AA76="No", AA76="")),"Any Loss Unacceptable ⚠", (IF(AND(Q76='G-1 All Habitats'!$X$3,(U76+V76)&gt;E76), E76*G76*I76*L76*N76*P76, (IF(Q76="","",IF(AND(Q76='G-1 All Habitats'!$X$3,V76&gt;0),W76+X76,IF(AND(Q76='G-1 All Habitats'!$X$3,U76&gt;0), W76+X76, IF(AND(S76="Yes", V76&gt;(E76-U76)),(E76-U76)*G76*I76*L76*N76*P76, IF(AND(S76="Yes", V76&lt;=(E76-U76)), X76, E76*G76*I76*L76*N76*P76 ))))))))))))),"Check Data ▲")</f>
        <v/>
      </c>
      <c r="S76" s="671" t="str">
        <f t="shared" si="9"/>
        <v/>
      </c>
      <c r="T76" s="17"/>
      <c r="U76" s="95"/>
      <c r="V76" s="106"/>
      <c r="W76" s="302" t="str">
        <f t="shared" si="10"/>
        <v/>
      </c>
      <c r="X76" s="302" t="str">
        <f t="shared" si="11"/>
        <v/>
      </c>
      <c r="Y76" s="302" t="str">
        <f t="shared" si="12"/>
        <v/>
      </c>
      <c r="Z76" s="471" t="str">
        <f t="shared" si="13"/>
        <v/>
      </c>
      <c r="AA76" s="488"/>
      <c r="AB76" s="486"/>
      <c r="AC76" s="101"/>
      <c r="AD76" s="101"/>
      <c r="AE76" s="41" t="str">
        <f>IF(OR(Q76="",AA76="Yes"),"",IF(Q76='G-1 All Habitats'!$X$3,E76-U76-V76,"None"))</f>
        <v/>
      </c>
      <c r="AF76" s="42" t="str">
        <f>IF(Q76="","", IF(Q76='G-1 All Habitats'!$X$3, AE76*G76*I76*L76*N76*P76,"None"))</f>
        <v/>
      </c>
      <c r="AI76" s="15">
        <f t="shared" si="14"/>
        <v>0</v>
      </c>
      <c r="AJ76" s="105" t="str">
        <f t="shared" si="15"/>
        <v/>
      </c>
      <c r="AK76" s="105" t="str">
        <f t="shared" si="16"/>
        <v/>
      </c>
      <c r="AM76" s="105">
        <v>67</v>
      </c>
      <c r="AO76" s="105" t="str">
        <f t="array" ref="AO76">IFERROR(INDEX($AM$10:$AM$258, MATCH(0, IF(TRUE=$AJ$10:$AJ$258, COUNTIF($AO$9:$AO75, $AM$10:$AM$258), ""), 0)),"")</f>
        <v/>
      </c>
      <c r="AP76" s="105" t="str">
        <f t="array" ref="AP76">IFERROR(INDEX($AM$10:$AM$258, MATCH(0, IF(TRUE=$AK$10:$AK$258, COUNTIF($AP$9:$AP75, $AM$10:$AM$258), ""), 0)),"")</f>
        <v/>
      </c>
      <c r="AR76" s="15" t="str">
        <f>IFERROR(INDEX('G-7 WaterC'' Data'!$AZ$3:$AZ$7,MATCH(D76,'G-7 WaterC'' Data'!$AY$3:$AY$7,0)),"")</f>
        <v/>
      </c>
      <c r="AS76" s="15" t="str">
        <f>IFERROR(INDEX('G-7 WaterC'' Data'!AZ76:AZ80,MATCH(D76,'G-7 WaterC'' Data'!$AY$10:$AY$14,0)),"")</f>
        <v/>
      </c>
      <c r="AU76" s="15" t="str">
        <f>IF(D76="","",VLOOKUP(D76,'G-7 WaterC'' Data'!B$4:M$8,12,FALSE))</f>
        <v/>
      </c>
      <c r="AV76" s="15" t="str">
        <f t="shared" si="17"/>
        <v/>
      </c>
    </row>
    <row r="77" spans="3:48" ht="14" x14ac:dyDescent="0.3">
      <c r="C77" s="92">
        <v>68</v>
      </c>
      <c r="D77" s="271"/>
      <c r="E77" s="120"/>
      <c r="F77" s="290" t="str">
        <f>IF(D77="","",VLOOKUP(D77,'G-7 WaterC'' Data'!$B$2:$G$8,2,FALSE))</f>
        <v/>
      </c>
      <c r="G77" s="291" t="str">
        <f>IFERROR(VLOOKUP(F77,'G-7 WaterC'' Data'!$C$4:$D$8,2,FALSE),"")</f>
        <v/>
      </c>
      <c r="H77" s="38"/>
      <c r="I77" s="291" t="str">
        <f>IFERROR(INDEX('G-7 WaterC'' Data'!$H$4:$L$8,MATCH(D77,'G-7 WaterC'' Data'!$B$4:$B$8,0),MATCH(H77,'G-7 WaterC'' Data'!$H$3:$L$3,0)),"")</f>
        <v/>
      </c>
      <c r="J77" s="777"/>
      <c r="K77" s="325" t="str">
        <f>IF(J77="","",IF(VLOOKUP(J77,'G-7 WaterC'' Data'!$AK$4:$AM$6,2,FALSE)=0,"Spatial Data Missing ⚠",VLOOKUP(J77,'G-7 WaterC'' Data'!$AK$4:$AM$6,2,FALSE)))</f>
        <v/>
      </c>
      <c r="L77" s="296" t="str">
        <f>IF(J77="","",IF(VLOOKUP(J77,'G-7 WaterC'' Data'!$AK$4:$AM$9,3,FALSE)=0,"Spatial Data Missing ⚠",VLOOKUP(J77,'G-7 WaterC'' Data'!$AK$4:$AM$6,3,FALSE)))</f>
        <v/>
      </c>
      <c r="M77" s="38"/>
      <c r="N77" s="291" t="str">
        <f>IF(M77="","",IF(AND(D77&lt;&gt;"Culvert",M77="N/A - Culvert"),"Not possible ▲",IF(AND(D77="Culvert",M77&lt;&gt;"N/A - Culvert"),"Not possible ▲",IF(VLOOKUP(M77,'G-7 WaterC'' Data'!$AA$4:$AB$7,2,FALSE)=0,"Spatial Data Missing ⚠",VLOOKUP(M77,'G-7 WaterC'' Data'!$AA$4:$AB$7,2,FALSE)))))</f>
        <v/>
      </c>
      <c r="O77" s="44"/>
      <c r="P77" s="291" t="str">
        <f>IF(O77="","",IF(AND(O77="N/A - Culvert", D77&lt;&gt;"Culvert"),"Not possible ▲", IF(AND(D77="Culvert",O77&lt;&gt;"N/A - Culvert"),"Not possible ▲",IF(VLOOKUP(O77,'G-7 WaterC'' Data'!$AD$4:$AE$14,2,FALSE)=0,"Spatial Data Missing ⚠",VLOOKUP(O77,'G-7 WaterC'' Data'!$AD$4:$AE$14,2,FALSE)))))</f>
        <v/>
      </c>
      <c r="Q77" s="297" t="str">
        <f>IF(D77="","",VLOOKUP(D77,'G-7 WaterC'' Data'!$B$2:$G$8,6,FALSE))</f>
        <v/>
      </c>
      <c r="R77" s="304" t="str">
        <f>IFERROR(IF(AND(Q77='G-1 All Habitats'!$X$3, AE77&gt;0, U77&lt;=0, V77&lt;=0, OR(AA77="No", AA77="")),"Any Loss Unacceptable ⚠", (IF(AND(Q77='G-1 All Habitats'!$X$3, AE77&gt;0, U77&lt;=0, V77&lt;=0, AA77="Yes"), 0, (IF(AND(Q77='G-1 All Habitats'!$X$3,(U77+V77)&lt;E77, OR(AA77="No", AA77="")),"Any Loss Unacceptable ⚠", (IF(AND(Q77='G-1 All Habitats'!$X$3,(U77+V77)&gt;E77), E77*G77*I77*L77*N77*P77, (IF(Q77="","",IF(AND(Q77='G-1 All Habitats'!$X$3,V77&gt;0),W77+X77,IF(AND(Q77='G-1 All Habitats'!$X$3,U77&gt;0), W77+X77, IF(AND(S77="Yes", V77&gt;(E77-U77)),(E77-U77)*G77*I77*L77*N77*P77, IF(AND(S77="Yes", V77&lt;=(E77-U77)), X77, E77*G77*I77*L77*N77*P77 ))))))))))))),"Check Data ▲")</f>
        <v/>
      </c>
      <c r="S77" s="671" t="str">
        <f t="shared" si="9"/>
        <v/>
      </c>
      <c r="T77" s="17"/>
      <c r="U77" s="95"/>
      <c r="V77" s="106"/>
      <c r="W77" s="302" t="str">
        <f t="shared" si="10"/>
        <v/>
      </c>
      <c r="X77" s="302" t="str">
        <f t="shared" si="11"/>
        <v/>
      </c>
      <c r="Y77" s="302" t="str">
        <f t="shared" si="12"/>
        <v/>
      </c>
      <c r="Z77" s="471" t="str">
        <f t="shared" si="13"/>
        <v/>
      </c>
      <c r="AA77" s="488"/>
      <c r="AB77" s="486"/>
      <c r="AC77" s="101"/>
      <c r="AD77" s="101"/>
      <c r="AE77" s="41" t="str">
        <f>IF(OR(Q77="",AA77="Yes"),"",IF(Q77='G-1 All Habitats'!$X$3,E77-U77-V77,"None"))</f>
        <v/>
      </c>
      <c r="AF77" s="42" t="str">
        <f>IF(Q77="","", IF(Q77='G-1 All Habitats'!$X$3, AE77*G77*I77*L77*N77*P77,"None"))</f>
        <v/>
      </c>
      <c r="AI77" s="15">
        <f t="shared" si="14"/>
        <v>0</v>
      </c>
      <c r="AJ77" s="105" t="str">
        <f t="shared" si="15"/>
        <v/>
      </c>
      <c r="AK77" s="105" t="str">
        <f t="shared" si="16"/>
        <v/>
      </c>
      <c r="AM77" s="105">
        <v>68</v>
      </c>
      <c r="AO77" s="105" t="str">
        <f t="array" ref="AO77">IFERROR(INDEX($AM$10:$AM$258, MATCH(0, IF(TRUE=$AJ$10:$AJ$258, COUNTIF($AO$9:$AO76, $AM$10:$AM$258), ""), 0)),"")</f>
        <v/>
      </c>
      <c r="AP77" s="105" t="str">
        <f t="array" ref="AP77">IFERROR(INDEX($AM$10:$AM$258, MATCH(0, IF(TRUE=$AK$10:$AK$258, COUNTIF($AP$9:$AP76, $AM$10:$AM$258), ""), 0)),"")</f>
        <v/>
      </c>
      <c r="AR77" s="15" t="str">
        <f>IFERROR(INDEX('G-7 WaterC'' Data'!$AZ$3:$AZ$7,MATCH(D77,'G-7 WaterC'' Data'!$AY$3:$AY$7,0)),"")</f>
        <v/>
      </c>
      <c r="AS77" s="15" t="str">
        <f>IFERROR(INDEX('G-7 WaterC'' Data'!AZ77:AZ81,MATCH(D77,'G-7 WaterC'' Data'!$AY$10:$AY$14,0)),"")</f>
        <v/>
      </c>
      <c r="AU77" s="15" t="str">
        <f>IF(D77="","",VLOOKUP(D77,'G-7 WaterC'' Data'!B$4:M$8,12,FALSE))</f>
        <v/>
      </c>
      <c r="AV77" s="15" t="str">
        <f t="shared" si="17"/>
        <v/>
      </c>
    </row>
    <row r="78" spans="3:48" ht="14" x14ac:dyDescent="0.3">
      <c r="C78" s="92">
        <v>69</v>
      </c>
      <c r="D78" s="271"/>
      <c r="E78" s="120"/>
      <c r="F78" s="290" t="str">
        <f>IF(D78="","",VLOOKUP(D78,'G-7 WaterC'' Data'!$B$2:$G$8,2,FALSE))</f>
        <v/>
      </c>
      <c r="G78" s="291" t="str">
        <f>IFERROR(VLOOKUP(F78,'G-7 WaterC'' Data'!$C$4:$D$8,2,FALSE),"")</f>
        <v/>
      </c>
      <c r="H78" s="38"/>
      <c r="I78" s="291" t="str">
        <f>IFERROR(INDEX('G-7 WaterC'' Data'!$H$4:$L$8,MATCH(D78,'G-7 WaterC'' Data'!$B$4:$B$8,0),MATCH(H78,'G-7 WaterC'' Data'!$H$3:$L$3,0)),"")</f>
        <v/>
      </c>
      <c r="J78" s="777"/>
      <c r="K78" s="325" t="str">
        <f>IF(J78="","",IF(VLOOKUP(J78,'G-7 WaterC'' Data'!$AK$4:$AM$6,2,FALSE)=0,"Spatial Data Missing ⚠",VLOOKUP(J78,'G-7 WaterC'' Data'!$AK$4:$AM$6,2,FALSE)))</f>
        <v/>
      </c>
      <c r="L78" s="296" t="str">
        <f>IF(J78="","",IF(VLOOKUP(J78,'G-7 WaterC'' Data'!$AK$4:$AM$9,3,FALSE)=0,"Spatial Data Missing ⚠",VLOOKUP(J78,'G-7 WaterC'' Data'!$AK$4:$AM$6,3,FALSE)))</f>
        <v/>
      </c>
      <c r="M78" s="38"/>
      <c r="N78" s="291" t="str">
        <f>IF(M78="","",IF(AND(D78&lt;&gt;"Culvert",M78="N/A - Culvert"),"Not possible ▲",IF(AND(D78="Culvert",M78&lt;&gt;"N/A - Culvert"),"Not possible ▲",IF(VLOOKUP(M78,'G-7 WaterC'' Data'!$AA$4:$AB$7,2,FALSE)=0,"Spatial Data Missing ⚠",VLOOKUP(M78,'G-7 WaterC'' Data'!$AA$4:$AB$7,2,FALSE)))))</f>
        <v/>
      </c>
      <c r="O78" s="44"/>
      <c r="P78" s="291" t="str">
        <f>IF(O78="","",IF(AND(O78="N/A - Culvert", D78&lt;&gt;"Culvert"),"Not possible ▲", IF(AND(D78="Culvert",O78&lt;&gt;"N/A - Culvert"),"Not possible ▲",IF(VLOOKUP(O78,'G-7 WaterC'' Data'!$AD$4:$AE$14,2,FALSE)=0,"Spatial Data Missing ⚠",VLOOKUP(O78,'G-7 WaterC'' Data'!$AD$4:$AE$14,2,FALSE)))))</f>
        <v/>
      </c>
      <c r="Q78" s="297" t="str">
        <f>IF(D78="","",VLOOKUP(D78,'G-7 WaterC'' Data'!$B$2:$G$8,6,FALSE))</f>
        <v/>
      </c>
      <c r="R78" s="304" t="str">
        <f>IFERROR(IF(AND(Q78='G-1 All Habitats'!$X$3, AE78&gt;0, U78&lt;=0, V78&lt;=0, OR(AA78="No", AA78="")),"Any Loss Unacceptable ⚠", (IF(AND(Q78='G-1 All Habitats'!$X$3, AE78&gt;0, U78&lt;=0, V78&lt;=0, AA78="Yes"), 0, (IF(AND(Q78='G-1 All Habitats'!$X$3,(U78+V78)&lt;E78, OR(AA78="No", AA78="")),"Any Loss Unacceptable ⚠", (IF(AND(Q78='G-1 All Habitats'!$X$3,(U78+V78)&gt;E78), E78*G78*I78*L78*N78*P78, (IF(Q78="","",IF(AND(Q78='G-1 All Habitats'!$X$3,V78&gt;0),W78+X78,IF(AND(Q78='G-1 All Habitats'!$X$3,U78&gt;0), W78+X78, IF(AND(S78="Yes", V78&gt;(E78-U78)),(E78-U78)*G78*I78*L78*N78*P78, IF(AND(S78="Yes", V78&lt;=(E78-U78)), X78, E78*G78*I78*L78*N78*P78 ))))))))))))),"Check Data ▲")</f>
        <v/>
      </c>
      <c r="S78" s="671" t="str">
        <f t="shared" si="9"/>
        <v/>
      </c>
      <c r="T78" s="17"/>
      <c r="U78" s="95"/>
      <c r="V78" s="106"/>
      <c r="W78" s="302" t="str">
        <f t="shared" si="10"/>
        <v/>
      </c>
      <c r="X78" s="302" t="str">
        <f t="shared" si="11"/>
        <v/>
      </c>
      <c r="Y78" s="302" t="str">
        <f t="shared" si="12"/>
        <v/>
      </c>
      <c r="Z78" s="471" t="str">
        <f t="shared" si="13"/>
        <v/>
      </c>
      <c r="AA78" s="488"/>
      <c r="AB78" s="486"/>
      <c r="AC78" s="101"/>
      <c r="AD78" s="101"/>
      <c r="AE78" s="41" t="str">
        <f>IF(OR(Q78="",AA78="Yes"),"",IF(Q78='G-1 All Habitats'!$X$3,E78-U78-V78,"None"))</f>
        <v/>
      </c>
      <c r="AF78" s="42" t="str">
        <f>IF(Q78="","", IF(Q78='G-1 All Habitats'!$X$3, AE78*G78*I78*L78*N78*P78,"None"))</f>
        <v/>
      </c>
      <c r="AI78" s="15">
        <f t="shared" si="14"/>
        <v>0</v>
      </c>
      <c r="AJ78" s="105" t="str">
        <f t="shared" si="15"/>
        <v/>
      </c>
      <c r="AK78" s="105" t="str">
        <f t="shared" si="16"/>
        <v/>
      </c>
      <c r="AM78" s="105">
        <v>69</v>
      </c>
      <c r="AO78" s="105" t="str">
        <f t="array" ref="AO78">IFERROR(INDEX($AM$10:$AM$258, MATCH(0, IF(TRUE=$AJ$10:$AJ$258, COUNTIF($AO$9:$AO77, $AM$10:$AM$258), ""), 0)),"")</f>
        <v/>
      </c>
      <c r="AP78" s="105" t="str">
        <f t="array" ref="AP78">IFERROR(INDEX($AM$10:$AM$258, MATCH(0, IF(TRUE=$AK$10:$AK$258, COUNTIF($AP$9:$AP77, $AM$10:$AM$258), ""), 0)),"")</f>
        <v/>
      </c>
      <c r="AR78" s="15" t="str">
        <f>IFERROR(INDEX('G-7 WaterC'' Data'!$AZ$3:$AZ$7,MATCH(D78,'G-7 WaterC'' Data'!$AY$3:$AY$7,0)),"")</f>
        <v/>
      </c>
      <c r="AS78" s="15" t="str">
        <f>IFERROR(INDEX('G-7 WaterC'' Data'!AZ78:AZ82,MATCH(D78,'G-7 WaterC'' Data'!$AY$10:$AY$14,0)),"")</f>
        <v/>
      </c>
      <c r="AU78" s="15" t="str">
        <f>IF(D78="","",VLOOKUP(D78,'G-7 WaterC'' Data'!B$4:M$8,12,FALSE))</f>
        <v/>
      </c>
      <c r="AV78" s="15" t="str">
        <f t="shared" si="17"/>
        <v/>
      </c>
    </row>
    <row r="79" spans="3:48" ht="14" x14ac:dyDescent="0.3">
      <c r="C79" s="92">
        <v>70</v>
      </c>
      <c r="D79" s="271"/>
      <c r="E79" s="120"/>
      <c r="F79" s="290" t="str">
        <f>IF(D79="","",VLOOKUP(D79,'G-7 WaterC'' Data'!$B$2:$G$8,2,FALSE))</f>
        <v/>
      </c>
      <c r="G79" s="291" t="str">
        <f>IFERROR(VLOOKUP(F79,'G-7 WaterC'' Data'!$C$4:$D$8,2,FALSE),"")</f>
        <v/>
      </c>
      <c r="H79" s="38"/>
      <c r="I79" s="291" t="str">
        <f>IFERROR(INDEX('G-7 WaterC'' Data'!$H$4:$L$8,MATCH(D79,'G-7 WaterC'' Data'!$B$4:$B$8,0),MATCH(H79,'G-7 WaterC'' Data'!$H$3:$L$3,0)),"")</f>
        <v/>
      </c>
      <c r="J79" s="777"/>
      <c r="K79" s="325" t="str">
        <f>IF(J79="","",IF(VLOOKUP(J79,'G-7 WaterC'' Data'!$AK$4:$AM$6,2,FALSE)=0,"Spatial Data Missing ⚠",VLOOKUP(J79,'G-7 WaterC'' Data'!$AK$4:$AM$6,2,FALSE)))</f>
        <v/>
      </c>
      <c r="L79" s="296" t="str">
        <f>IF(J79="","",IF(VLOOKUP(J79,'G-7 WaterC'' Data'!$AK$4:$AM$9,3,FALSE)=0,"Spatial Data Missing ⚠",VLOOKUP(J79,'G-7 WaterC'' Data'!$AK$4:$AM$6,3,FALSE)))</f>
        <v/>
      </c>
      <c r="M79" s="38"/>
      <c r="N79" s="291" t="str">
        <f>IF(M79="","",IF(AND(D79&lt;&gt;"Culvert",M79="N/A - Culvert"),"Not possible ▲",IF(AND(D79="Culvert",M79&lt;&gt;"N/A - Culvert"),"Not possible ▲",IF(VLOOKUP(M79,'G-7 WaterC'' Data'!$AA$4:$AB$7,2,FALSE)=0,"Spatial Data Missing ⚠",VLOOKUP(M79,'G-7 WaterC'' Data'!$AA$4:$AB$7,2,FALSE)))))</f>
        <v/>
      </c>
      <c r="O79" s="44"/>
      <c r="P79" s="291" t="str">
        <f>IF(O79="","",IF(AND(O79="N/A - Culvert", D79&lt;&gt;"Culvert"),"Not possible ▲", IF(AND(D79="Culvert",O79&lt;&gt;"N/A - Culvert"),"Not possible ▲",IF(VLOOKUP(O79,'G-7 WaterC'' Data'!$AD$4:$AE$14,2,FALSE)=0,"Spatial Data Missing ⚠",VLOOKUP(O79,'G-7 WaterC'' Data'!$AD$4:$AE$14,2,FALSE)))))</f>
        <v/>
      </c>
      <c r="Q79" s="297" t="str">
        <f>IF(D79="","",VLOOKUP(D79,'G-7 WaterC'' Data'!$B$2:$G$8,6,FALSE))</f>
        <v/>
      </c>
      <c r="R79" s="304" t="str">
        <f>IFERROR(IF(AND(Q79='G-1 All Habitats'!$X$3, AE79&gt;0, U79&lt;=0, V79&lt;=0, OR(AA79="No", AA79="")),"Any Loss Unacceptable ⚠", (IF(AND(Q79='G-1 All Habitats'!$X$3, AE79&gt;0, U79&lt;=0, V79&lt;=0, AA79="Yes"), 0, (IF(AND(Q79='G-1 All Habitats'!$X$3,(U79+V79)&lt;E79, OR(AA79="No", AA79="")),"Any Loss Unacceptable ⚠", (IF(AND(Q79='G-1 All Habitats'!$X$3,(U79+V79)&gt;E79), E79*G79*I79*L79*N79*P79, (IF(Q79="","",IF(AND(Q79='G-1 All Habitats'!$X$3,V79&gt;0),W79+X79,IF(AND(Q79='G-1 All Habitats'!$X$3,U79&gt;0), W79+X79, IF(AND(S79="Yes", V79&gt;(E79-U79)),(E79-U79)*G79*I79*L79*N79*P79, IF(AND(S79="Yes", V79&lt;=(E79-U79)), X79, E79*G79*I79*L79*N79*P79 ))))))))))))),"Check Data ▲")</f>
        <v/>
      </c>
      <c r="S79" s="671" t="str">
        <f t="shared" si="9"/>
        <v/>
      </c>
      <c r="T79" s="17"/>
      <c r="U79" s="95"/>
      <c r="V79" s="106"/>
      <c r="W79" s="302" t="str">
        <f t="shared" si="10"/>
        <v/>
      </c>
      <c r="X79" s="302" t="str">
        <f t="shared" si="11"/>
        <v/>
      </c>
      <c r="Y79" s="302" t="str">
        <f t="shared" si="12"/>
        <v/>
      </c>
      <c r="Z79" s="471" t="str">
        <f t="shared" si="13"/>
        <v/>
      </c>
      <c r="AA79" s="488"/>
      <c r="AB79" s="486"/>
      <c r="AC79" s="101"/>
      <c r="AD79" s="101"/>
      <c r="AE79" s="41" t="str">
        <f>IF(OR(Q79="",AA79="Yes"),"",IF(Q79='G-1 All Habitats'!$X$3,E79-U79-V79,"None"))</f>
        <v/>
      </c>
      <c r="AF79" s="42" t="str">
        <f>IF(Q79="","", IF(Q79='G-1 All Habitats'!$X$3, AE79*G79*I79*L79*N79*P79,"None"))</f>
        <v/>
      </c>
      <c r="AI79" s="15">
        <f t="shared" si="14"/>
        <v>0</v>
      </c>
      <c r="AJ79" s="105" t="str">
        <f t="shared" si="15"/>
        <v/>
      </c>
      <c r="AK79" s="105" t="str">
        <f t="shared" si="16"/>
        <v/>
      </c>
      <c r="AM79" s="105">
        <v>70</v>
      </c>
      <c r="AO79" s="105" t="str">
        <f t="array" ref="AO79">IFERROR(INDEX($AM$10:$AM$258, MATCH(0, IF(TRUE=$AJ$10:$AJ$258, COUNTIF($AO$9:$AO78, $AM$10:$AM$258), ""), 0)),"")</f>
        <v/>
      </c>
      <c r="AP79" s="105" t="str">
        <f t="array" ref="AP79">IFERROR(INDEX($AM$10:$AM$258, MATCH(0, IF(TRUE=$AK$10:$AK$258, COUNTIF($AP$9:$AP78, $AM$10:$AM$258), ""), 0)),"")</f>
        <v/>
      </c>
      <c r="AR79" s="15" t="str">
        <f>IFERROR(INDEX('G-7 WaterC'' Data'!$AZ$3:$AZ$7,MATCH(D79,'G-7 WaterC'' Data'!$AY$3:$AY$7,0)),"")</f>
        <v/>
      </c>
      <c r="AS79" s="15" t="str">
        <f>IFERROR(INDEX('G-7 WaterC'' Data'!AZ79:AZ83,MATCH(D79,'G-7 WaterC'' Data'!$AY$10:$AY$14,0)),"")</f>
        <v/>
      </c>
      <c r="AU79" s="15" t="str">
        <f>IF(D79="","",VLOOKUP(D79,'G-7 WaterC'' Data'!B$4:M$8,12,FALSE))</f>
        <v/>
      </c>
      <c r="AV79" s="15" t="str">
        <f t="shared" si="17"/>
        <v/>
      </c>
    </row>
    <row r="80" spans="3:48" ht="14" x14ac:dyDescent="0.3">
      <c r="C80" s="92">
        <v>71</v>
      </c>
      <c r="D80" s="271"/>
      <c r="E80" s="120"/>
      <c r="F80" s="290" t="str">
        <f>IF(D80="","",VLOOKUP(D80,'G-7 WaterC'' Data'!$B$2:$G$8,2,FALSE))</f>
        <v/>
      </c>
      <c r="G80" s="291" t="str">
        <f>IFERROR(VLOOKUP(F80,'G-7 WaterC'' Data'!$C$4:$D$8,2,FALSE),"")</f>
        <v/>
      </c>
      <c r="H80" s="38"/>
      <c r="I80" s="291" t="str">
        <f>IFERROR(INDEX('G-7 WaterC'' Data'!$H$4:$L$8,MATCH(D80,'G-7 WaterC'' Data'!$B$4:$B$8,0),MATCH(H80,'G-7 WaterC'' Data'!$H$3:$L$3,0)),"")</f>
        <v/>
      </c>
      <c r="J80" s="777"/>
      <c r="K80" s="325" t="str">
        <f>IF(J80="","",IF(VLOOKUP(J80,'G-7 WaterC'' Data'!$AK$4:$AM$6,2,FALSE)=0,"Spatial Data Missing ⚠",VLOOKUP(J80,'G-7 WaterC'' Data'!$AK$4:$AM$6,2,FALSE)))</f>
        <v/>
      </c>
      <c r="L80" s="296" t="str">
        <f>IF(J80="","",IF(VLOOKUP(J80,'G-7 WaterC'' Data'!$AK$4:$AM$9,3,FALSE)=0,"Spatial Data Missing ⚠",VLOOKUP(J80,'G-7 WaterC'' Data'!$AK$4:$AM$6,3,FALSE)))</f>
        <v/>
      </c>
      <c r="M80" s="38"/>
      <c r="N80" s="291" t="str">
        <f>IF(M80="","",IF(AND(D80&lt;&gt;"Culvert",M80="N/A - Culvert"),"Not possible ▲",IF(AND(D80="Culvert",M80&lt;&gt;"N/A - Culvert"),"Not possible ▲",IF(VLOOKUP(M80,'G-7 WaterC'' Data'!$AA$4:$AB$7,2,FALSE)=0,"Spatial Data Missing ⚠",VLOOKUP(M80,'G-7 WaterC'' Data'!$AA$4:$AB$7,2,FALSE)))))</f>
        <v/>
      </c>
      <c r="O80" s="44"/>
      <c r="P80" s="291" t="str">
        <f>IF(O80="","",IF(AND(O80="N/A - Culvert", D80&lt;&gt;"Culvert"),"Not possible ▲", IF(AND(D80="Culvert",O80&lt;&gt;"N/A - Culvert"),"Not possible ▲",IF(VLOOKUP(O80,'G-7 WaterC'' Data'!$AD$4:$AE$14,2,FALSE)=0,"Spatial Data Missing ⚠",VLOOKUP(O80,'G-7 WaterC'' Data'!$AD$4:$AE$14,2,FALSE)))))</f>
        <v/>
      </c>
      <c r="Q80" s="297" t="str">
        <f>IF(D80="","",VLOOKUP(D80,'G-7 WaterC'' Data'!$B$2:$G$8,6,FALSE))</f>
        <v/>
      </c>
      <c r="R80" s="304" t="str">
        <f>IFERROR(IF(AND(Q80='G-1 All Habitats'!$X$3, AE80&gt;0, U80&lt;=0, V80&lt;=0, OR(AA80="No", AA80="")),"Any Loss Unacceptable ⚠", (IF(AND(Q80='G-1 All Habitats'!$X$3, AE80&gt;0, U80&lt;=0, V80&lt;=0, AA80="Yes"), 0, (IF(AND(Q80='G-1 All Habitats'!$X$3,(U80+V80)&lt;E80, OR(AA80="No", AA80="")),"Any Loss Unacceptable ⚠", (IF(AND(Q80='G-1 All Habitats'!$X$3,(U80+V80)&gt;E80), E80*G80*I80*L80*N80*P80, (IF(Q80="","",IF(AND(Q80='G-1 All Habitats'!$X$3,V80&gt;0),W80+X80,IF(AND(Q80='G-1 All Habitats'!$X$3,U80&gt;0), W80+X80, IF(AND(S80="Yes", V80&gt;(E80-U80)),(E80-U80)*G80*I80*L80*N80*P80, IF(AND(S80="Yes", V80&lt;=(E80-U80)), X80, E80*G80*I80*L80*N80*P80 ))))))))))))),"Check Data ▲")</f>
        <v/>
      </c>
      <c r="S80" s="671" t="str">
        <f t="shared" si="9"/>
        <v/>
      </c>
      <c r="T80" s="17"/>
      <c r="U80" s="95"/>
      <c r="V80" s="106"/>
      <c r="W80" s="302" t="str">
        <f t="shared" si="10"/>
        <v/>
      </c>
      <c r="X80" s="302" t="str">
        <f t="shared" si="11"/>
        <v/>
      </c>
      <c r="Y80" s="302" t="str">
        <f t="shared" si="12"/>
        <v/>
      </c>
      <c r="Z80" s="471" t="str">
        <f t="shared" si="13"/>
        <v/>
      </c>
      <c r="AA80" s="488"/>
      <c r="AB80" s="486"/>
      <c r="AC80" s="101"/>
      <c r="AD80" s="101"/>
      <c r="AE80" s="41" t="str">
        <f>IF(OR(Q80="",AA80="Yes"),"",IF(Q80='G-1 All Habitats'!$X$3,E80-U80-V80,"None"))</f>
        <v/>
      </c>
      <c r="AF80" s="42" t="str">
        <f>IF(Q80="","", IF(Q80='G-1 All Habitats'!$X$3, AE80*G80*I80*L80*N80*P80,"None"))</f>
        <v/>
      </c>
      <c r="AI80" s="15">
        <f t="shared" si="14"/>
        <v>0</v>
      </c>
      <c r="AJ80" s="105" t="str">
        <f t="shared" si="15"/>
        <v/>
      </c>
      <c r="AK80" s="105" t="str">
        <f t="shared" si="16"/>
        <v/>
      </c>
      <c r="AM80" s="105">
        <v>71</v>
      </c>
      <c r="AO80" s="105" t="str">
        <f t="array" ref="AO80">IFERROR(INDEX($AM$10:$AM$258, MATCH(0, IF(TRUE=$AJ$10:$AJ$258, COUNTIF($AO$9:$AO79, $AM$10:$AM$258), ""), 0)),"")</f>
        <v/>
      </c>
      <c r="AP80" s="105" t="str">
        <f t="array" ref="AP80">IFERROR(INDEX($AM$10:$AM$258, MATCH(0, IF(TRUE=$AK$10:$AK$258, COUNTIF($AP$9:$AP79, $AM$10:$AM$258), ""), 0)),"")</f>
        <v/>
      </c>
      <c r="AR80" s="15" t="str">
        <f>IFERROR(INDEX('G-7 WaterC'' Data'!$AZ$3:$AZ$7,MATCH(D80,'G-7 WaterC'' Data'!$AY$3:$AY$7,0)),"")</f>
        <v/>
      </c>
      <c r="AS80" s="15" t="str">
        <f>IFERROR(INDEX('G-7 WaterC'' Data'!AZ80:AZ84,MATCH(D80,'G-7 WaterC'' Data'!$AY$10:$AY$14,0)),"")</f>
        <v/>
      </c>
      <c r="AU80" s="15" t="str">
        <f>IF(D80="","",VLOOKUP(D80,'G-7 WaterC'' Data'!B$4:M$8,12,FALSE))</f>
        <v/>
      </c>
      <c r="AV80" s="15" t="str">
        <f t="shared" si="17"/>
        <v/>
      </c>
    </row>
    <row r="81" spans="3:48" ht="14" x14ac:dyDescent="0.3">
      <c r="C81" s="92">
        <v>72</v>
      </c>
      <c r="D81" s="271"/>
      <c r="E81" s="120"/>
      <c r="F81" s="290" t="str">
        <f>IF(D81="","",VLOOKUP(D81,'G-7 WaterC'' Data'!$B$2:$G$8,2,FALSE))</f>
        <v/>
      </c>
      <c r="G81" s="291" t="str">
        <f>IFERROR(VLOOKUP(F81,'G-7 WaterC'' Data'!$C$4:$D$8,2,FALSE),"")</f>
        <v/>
      </c>
      <c r="H81" s="38"/>
      <c r="I81" s="291" t="str">
        <f>IFERROR(INDEX('G-7 WaterC'' Data'!$H$4:$L$8,MATCH(D81,'G-7 WaterC'' Data'!$B$4:$B$8,0),MATCH(H81,'G-7 WaterC'' Data'!$H$3:$L$3,0)),"")</f>
        <v/>
      </c>
      <c r="J81" s="777"/>
      <c r="K81" s="325" t="str">
        <f>IF(J81="","",IF(VLOOKUP(J81,'G-7 WaterC'' Data'!$AK$4:$AM$6,2,FALSE)=0,"Spatial Data Missing ⚠",VLOOKUP(J81,'G-7 WaterC'' Data'!$AK$4:$AM$6,2,FALSE)))</f>
        <v/>
      </c>
      <c r="L81" s="296" t="str">
        <f>IF(J81="","",IF(VLOOKUP(J81,'G-7 WaterC'' Data'!$AK$4:$AM$9,3,FALSE)=0,"Spatial Data Missing ⚠",VLOOKUP(J81,'G-7 WaterC'' Data'!$AK$4:$AM$6,3,FALSE)))</f>
        <v/>
      </c>
      <c r="M81" s="38"/>
      <c r="N81" s="291" t="str">
        <f>IF(M81="","",IF(AND(D81&lt;&gt;"Culvert",M81="N/A - Culvert"),"Not possible ▲",IF(AND(D81="Culvert",M81&lt;&gt;"N/A - Culvert"),"Not possible ▲",IF(VLOOKUP(M81,'G-7 WaterC'' Data'!$AA$4:$AB$7,2,FALSE)=0,"Spatial Data Missing ⚠",VLOOKUP(M81,'G-7 WaterC'' Data'!$AA$4:$AB$7,2,FALSE)))))</f>
        <v/>
      </c>
      <c r="O81" s="44"/>
      <c r="P81" s="291" t="str">
        <f>IF(O81="","",IF(AND(O81="N/A - Culvert", D81&lt;&gt;"Culvert"),"Not possible ▲", IF(AND(D81="Culvert",O81&lt;&gt;"N/A - Culvert"),"Not possible ▲",IF(VLOOKUP(O81,'G-7 WaterC'' Data'!$AD$4:$AE$14,2,FALSE)=0,"Spatial Data Missing ⚠",VLOOKUP(O81,'G-7 WaterC'' Data'!$AD$4:$AE$14,2,FALSE)))))</f>
        <v/>
      </c>
      <c r="Q81" s="297" t="str">
        <f>IF(D81="","",VLOOKUP(D81,'G-7 WaterC'' Data'!$B$2:$G$8,6,FALSE))</f>
        <v/>
      </c>
      <c r="R81" s="304" t="str">
        <f>IFERROR(IF(AND(Q81='G-1 All Habitats'!$X$3, AE81&gt;0, U81&lt;=0, V81&lt;=0, OR(AA81="No", AA81="")),"Any Loss Unacceptable ⚠", (IF(AND(Q81='G-1 All Habitats'!$X$3, AE81&gt;0, U81&lt;=0, V81&lt;=0, AA81="Yes"), 0, (IF(AND(Q81='G-1 All Habitats'!$X$3,(U81+V81)&lt;E81, OR(AA81="No", AA81="")),"Any Loss Unacceptable ⚠", (IF(AND(Q81='G-1 All Habitats'!$X$3,(U81+V81)&gt;E81), E81*G81*I81*L81*N81*P81, (IF(Q81="","",IF(AND(Q81='G-1 All Habitats'!$X$3,V81&gt;0),W81+X81,IF(AND(Q81='G-1 All Habitats'!$X$3,U81&gt;0), W81+X81, IF(AND(S81="Yes", V81&gt;(E81-U81)),(E81-U81)*G81*I81*L81*N81*P81, IF(AND(S81="Yes", V81&lt;=(E81-U81)), X81, E81*G81*I81*L81*N81*P81 ))))))))))))),"Check Data ▲")</f>
        <v/>
      </c>
      <c r="S81" s="671" t="str">
        <f t="shared" si="9"/>
        <v/>
      </c>
      <c r="T81" s="17"/>
      <c r="U81" s="95"/>
      <c r="V81" s="106"/>
      <c r="W81" s="302" t="str">
        <f t="shared" si="10"/>
        <v/>
      </c>
      <c r="X81" s="302" t="str">
        <f t="shared" si="11"/>
        <v/>
      </c>
      <c r="Y81" s="302" t="str">
        <f t="shared" si="12"/>
        <v/>
      </c>
      <c r="Z81" s="471" t="str">
        <f t="shared" si="13"/>
        <v/>
      </c>
      <c r="AA81" s="488"/>
      <c r="AB81" s="486"/>
      <c r="AC81" s="101"/>
      <c r="AD81" s="101"/>
      <c r="AE81" s="41" t="str">
        <f>IF(OR(Q81="",AA81="Yes"),"",IF(Q81='G-1 All Habitats'!$X$3,E81-U81-V81,"None"))</f>
        <v/>
      </c>
      <c r="AF81" s="42" t="str">
        <f>IF(Q81="","", IF(Q81='G-1 All Habitats'!$X$3, AE81*G81*I81*L81*N81*P81,"None"))</f>
        <v/>
      </c>
      <c r="AI81" s="15">
        <f t="shared" si="14"/>
        <v>0</v>
      </c>
      <c r="AJ81" s="105" t="str">
        <f t="shared" si="15"/>
        <v/>
      </c>
      <c r="AK81" s="105" t="str">
        <f t="shared" si="16"/>
        <v/>
      </c>
      <c r="AM81" s="105">
        <v>72</v>
      </c>
      <c r="AO81" s="105" t="str">
        <f t="array" ref="AO81">IFERROR(INDEX($AM$10:$AM$258, MATCH(0, IF(TRUE=$AJ$10:$AJ$258, COUNTIF($AO$9:$AO80, $AM$10:$AM$258), ""), 0)),"")</f>
        <v/>
      </c>
      <c r="AP81" s="105" t="str">
        <f t="array" ref="AP81">IFERROR(INDEX($AM$10:$AM$258, MATCH(0, IF(TRUE=$AK$10:$AK$258, COUNTIF($AP$9:$AP80, $AM$10:$AM$258), ""), 0)),"")</f>
        <v/>
      </c>
      <c r="AR81" s="15" t="str">
        <f>IFERROR(INDEX('G-7 WaterC'' Data'!$AZ$3:$AZ$7,MATCH(D81,'G-7 WaterC'' Data'!$AY$3:$AY$7,0)),"")</f>
        <v/>
      </c>
      <c r="AS81" s="15" t="str">
        <f>IFERROR(INDEX('G-7 WaterC'' Data'!AZ81:AZ85,MATCH(D81,'G-7 WaterC'' Data'!$AY$10:$AY$14,0)),"")</f>
        <v/>
      </c>
      <c r="AU81" s="15" t="str">
        <f>IF(D81="","",VLOOKUP(D81,'G-7 WaterC'' Data'!B$4:M$8,12,FALSE))</f>
        <v/>
      </c>
      <c r="AV81" s="15" t="str">
        <f t="shared" si="17"/>
        <v/>
      </c>
    </row>
    <row r="82" spans="3:48" ht="14" x14ac:dyDescent="0.3">
      <c r="C82" s="92">
        <v>73</v>
      </c>
      <c r="D82" s="271"/>
      <c r="E82" s="120"/>
      <c r="F82" s="290" t="str">
        <f>IF(D82="","",VLOOKUP(D82,'G-7 WaterC'' Data'!$B$2:$G$8,2,FALSE))</f>
        <v/>
      </c>
      <c r="G82" s="291" t="str">
        <f>IFERROR(VLOOKUP(F82,'G-7 WaterC'' Data'!$C$4:$D$8,2,FALSE),"")</f>
        <v/>
      </c>
      <c r="H82" s="38"/>
      <c r="I82" s="291" t="str">
        <f>IFERROR(INDEX('G-7 WaterC'' Data'!$H$4:$L$8,MATCH(D82,'G-7 WaterC'' Data'!$B$4:$B$8,0),MATCH(H82,'G-7 WaterC'' Data'!$H$3:$L$3,0)),"")</f>
        <v/>
      </c>
      <c r="J82" s="777"/>
      <c r="K82" s="325" t="str">
        <f>IF(J82="","",IF(VLOOKUP(J82,'G-7 WaterC'' Data'!$AK$4:$AM$6,2,FALSE)=0,"Spatial Data Missing ⚠",VLOOKUP(J82,'G-7 WaterC'' Data'!$AK$4:$AM$6,2,FALSE)))</f>
        <v/>
      </c>
      <c r="L82" s="296" t="str">
        <f>IF(J82="","",IF(VLOOKUP(J82,'G-7 WaterC'' Data'!$AK$4:$AM$9,3,FALSE)=0,"Spatial Data Missing ⚠",VLOOKUP(J82,'G-7 WaterC'' Data'!$AK$4:$AM$6,3,FALSE)))</f>
        <v/>
      </c>
      <c r="M82" s="38"/>
      <c r="N82" s="291" t="str">
        <f>IF(M82="","",IF(AND(D82&lt;&gt;"Culvert",M82="N/A - Culvert"),"Not possible ▲",IF(AND(D82="Culvert",M82&lt;&gt;"N/A - Culvert"),"Not possible ▲",IF(VLOOKUP(M82,'G-7 WaterC'' Data'!$AA$4:$AB$7,2,FALSE)=0,"Spatial Data Missing ⚠",VLOOKUP(M82,'G-7 WaterC'' Data'!$AA$4:$AB$7,2,FALSE)))))</f>
        <v/>
      </c>
      <c r="O82" s="44"/>
      <c r="P82" s="291" t="str">
        <f>IF(O82="","",IF(AND(O82="N/A - Culvert", D82&lt;&gt;"Culvert"),"Not possible ▲", IF(AND(D82="Culvert",O82&lt;&gt;"N/A - Culvert"),"Not possible ▲",IF(VLOOKUP(O82,'G-7 WaterC'' Data'!$AD$4:$AE$14,2,FALSE)=0,"Spatial Data Missing ⚠",VLOOKUP(O82,'G-7 WaterC'' Data'!$AD$4:$AE$14,2,FALSE)))))</f>
        <v/>
      </c>
      <c r="Q82" s="297" t="str">
        <f>IF(D82="","",VLOOKUP(D82,'G-7 WaterC'' Data'!$B$2:$G$8,6,FALSE))</f>
        <v/>
      </c>
      <c r="R82" s="304" t="str">
        <f>IFERROR(IF(AND(Q82='G-1 All Habitats'!$X$3, AE82&gt;0, U82&lt;=0, V82&lt;=0, OR(AA82="No", AA82="")),"Any Loss Unacceptable ⚠", (IF(AND(Q82='G-1 All Habitats'!$X$3, AE82&gt;0, U82&lt;=0, V82&lt;=0, AA82="Yes"), 0, (IF(AND(Q82='G-1 All Habitats'!$X$3,(U82+V82)&lt;E82, OR(AA82="No", AA82="")),"Any Loss Unacceptable ⚠", (IF(AND(Q82='G-1 All Habitats'!$X$3,(U82+V82)&gt;E82), E82*G82*I82*L82*N82*P82, (IF(Q82="","",IF(AND(Q82='G-1 All Habitats'!$X$3,V82&gt;0),W82+X82,IF(AND(Q82='G-1 All Habitats'!$X$3,U82&gt;0), W82+X82, IF(AND(S82="Yes", V82&gt;(E82-U82)),(E82-U82)*G82*I82*L82*N82*P82, IF(AND(S82="Yes", V82&lt;=(E82-U82)), X82, E82*G82*I82*L82*N82*P82 ))))))))))))),"Check Data ▲")</f>
        <v/>
      </c>
      <c r="S82" s="671" t="str">
        <f t="shared" si="9"/>
        <v/>
      </c>
      <c r="T82" s="17"/>
      <c r="U82" s="95"/>
      <c r="V82" s="106"/>
      <c r="W82" s="302" t="str">
        <f t="shared" si="10"/>
        <v/>
      </c>
      <c r="X82" s="302" t="str">
        <f t="shared" si="11"/>
        <v/>
      </c>
      <c r="Y82" s="302" t="str">
        <f t="shared" si="12"/>
        <v/>
      </c>
      <c r="Z82" s="471" t="str">
        <f t="shared" si="13"/>
        <v/>
      </c>
      <c r="AA82" s="488"/>
      <c r="AB82" s="486"/>
      <c r="AC82" s="101"/>
      <c r="AD82" s="101"/>
      <c r="AE82" s="41" t="str">
        <f>IF(OR(Q82="",AA82="Yes"),"",IF(Q82='G-1 All Habitats'!$X$3,E82-U82-V82,"None"))</f>
        <v/>
      </c>
      <c r="AF82" s="42" t="str">
        <f>IF(Q82="","", IF(Q82='G-1 All Habitats'!$X$3, AE82*G82*I82*L82*N82*P82,"None"))</f>
        <v/>
      </c>
      <c r="AI82" s="15">
        <f t="shared" si="14"/>
        <v>0</v>
      </c>
      <c r="AJ82" s="105" t="str">
        <f t="shared" si="15"/>
        <v/>
      </c>
      <c r="AK82" s="105" t="str">
        <f t="shared" si="16"/>
        <v/>
      </c>
      <c r="AM82" s="105">
        <v>73</v>
      </c>
      <c r="AO82" s="105" t="str">
        <f t="array" ref="AO82">IFERROR(INDEX($AM$10:$AM$258, MATCH(0, IF(TRUE=$AJ$10:$AJ$258, COUNTIF($AO$9:$AO81, $AM$10:$AM$258), ""), 0)),"")</f>
        <v/>
      </c>
      <c r="AP82" s="105" t="str">
        <f t="array" ref="AP82">IFERROR(INDEX($AM$10:$AM$258, MATCH(0, IF(TRUE=$AK$10:$AK$258, COUNTIF($AP$9:$AP81, $AM$10:$AM$258), ""), 0)),"")</f>
        <v/>
      </c>
      <c r="AR82" s="15" t="str">
        <f>IFERROR(INDEX('G-7 WaterC'' Data'!$AZ$3:$AZ$7,MATCH(D82,'G-7 WaterC'' Data'!$AY$3:$AY$7,0)),"")</f>
        <v/>
      </c>
      <c r="AS82" s="15" t="str">
        <f>IFERROR(INDEX('G-7 WaterC'' Data'!AZ82:AZ86,MATCH(D82,'G-7 WaterC'' Data'!$AY$10:$AY$14,0)),"")</f>
        <v/>
      </c>
      <c r="AU82" s="15" t="str">
        <f>IF(D82="","",VLOOKUP(D82,'G-7 WaterC'' Data'!B$4:M$8,12,FALSE))</f>
        <v/>
      </c>
      <c r="AV82" s="15" t="str">
        <f t="shared" si="17"/>
        <v/>
      </c>
    </row>
    <row r="83" spans="3:48" ht="14" x14ac:dyDescent="0.3">
      <c r="C83" s="92">
        <v>74</v>
      </c>
      <c r="D83" s="271"/>
      <c r="E83" s="120"/>
      <c r="F83" s="290" t="str">
        <f>IF(D83="","",VLOOKUP(D83,'G-7 WaterC'' Data'!$B$2:$G$8,2,FALSE))</f>
        <v/>
      </c>
      <c r="G83" s="291" t="str">
        <f>IFERROR(VLOOKUP(F83,'G-7 WaterC'' Data'!$C$4:$D$8,2,FALSE),"")</f>
        <v/>
      </c>
      <c r="H83" s="38"/>
      <c r="I83" s="291" t="str">
        <f>IFERROR(INDEX('G-7 WaterC'' Data'!$H$4:$L$8,MATCH(D83,'G-7 WaterC'' Data'!$B$4:$B$8,0),MATCH(H83,'G-7 WaterC'' Data'!$H$3:$L$3,0)),"")</f>
        <v/>
      </c>
      <c r="J83" s="777"/>
      <c r="K83" s="325" t="str">
        <f>IF(J83="","",IF(VLOOKUP(J83,'G-7 WaterC'' Data'!$AK$4:$AM$6,2,FALSE)=0,"Spatial Data Missing ⚠",VLOOKUP(J83,'G-7 WaterC'' Data'!$AK$4:$AM$6,2,FALSE)))</f>
        <v/>
      </c>
      <c r="L83" s="296" t="str">
        <f>IF(J83="","",IF(VLOOKUP(J83,'G-7 WaterC'' Data'!$AK$4:$AM$9,3,FALSE)=0,"Spatial Data Missing ⚠",VLOOKUP(J83,'G-7 WaterC'' Data'!$AK$4:$AM$6,3,FALSE)))</f>
        <v/>
      </c>
      <c r="M83" s="38"/>
      <c r="N83" s="291" t="str">
        <f>IF(M83="","",IF(AND(D83&lt;&gt;"Culvert",M83="N/A - Culvert"),"Not possible ▲",IF(AND(D83="Culvert",M83&lt;&gt;"N/A - Culvert"),"Not possible ▲",IF(VLOOKUP(M83,'G-7 WaterC'' Data'!$AA$4:$AB$7,2,FALSE)=0,"Spatial Data Missing ⚠",VLOOKUP(M83,'G-7 WaterC'' Data'!$AA$4:$AB$7,2,FALSE)))))</f>
        <v/>
      </c>
      <c r="O83" s="44"/>
      <c r="P83" s="291" t="str">
        <f>IF(O83="","",IF(AND(O83="N/A - Culvert", D83&lt;&gt;"Culvert"),"Not possible ▲", IF(AND(D83="Culvert",O83&lt;&gt;"N/A - Culvert"),"Not possible ▲",IF(VLOOKUP(O83,'G-7 WaterC'' Data'!$AD$4:$AE$14,2,FALSE)=0,"Spatial Data Missing ⚠",VLOOKUP(O83,'G-7 WaterC'' Data'!$AD$4:$AE$14,2,FALSE)))))</f>
        <v/>
      </c>
      <c r="Q83" s="297" t="str">
        <f>IF(D83="","",VLOOKUP(D83,'G-7 WaterC'' Data'!$B$2:$G$8,6,FALSE))</f>
        <v/>
      </c>
      <c r="R83" s="304" t="str">
        <f>IFERROR(IF(AND(Q83='G-1 All Habitats'!$X$3, AE83&gt;0, U83&lt;=0, V83&lt;=0, OR(AA83="No", AA83="")),"Any Loss Unacceptable ⚠", (IF(AND(Q83='G-1 All Habitats'!$X$3, AE83&gt;0, U83&lt;=0, V83&lt;=0, AA83="Yes"), 0, (IF(AND(Q83='G-1 All Habitats'!$X$3,(U83+V83)&lt;E83, OR(AA83="No", AA83="")),"Any Loss Unacceptable ⚠", (IF(AND(Q83='G-1 All Habitats'!$X$3,(U83+V83)&gt;E83), E83*G83*I83*L83*N83*P83, (IF(Q83="","",IF(AND(Q83='G-1 All Habitats'!$X$3,V83&gt;0),W83+X83,IF(AND(Q83='G-1 All Habitats'!$X$3,U83&gt;0), W83+X83, IF(AND(S83="Yes", V83&gt;(E83-U83)),(E83-U83)*G83*I83*L83*N83*P83, IF(AND(S83="Yes", V83&lt;=(E83-U83)), X83, E83*G83*I83*L83*N83*P83 ))))))))))))),"Check Data ▲")</f>
        <v/>
      </c>
      <c r="S83" s="671" t="str">
        <f t="shared" si="9"/>
        <v/>
      </c>
      <c r="T83" s="17"/>
      <c r="U83" s="95"/>
      <c r="V83" s="106"/>
      <c r="W83" s="302" t="str">
        <f t="shared" si="10"/>
        <v/>
      </c>
      <c r="X83" s="302" t="str">
        <f t="shared" si="11"/>
        <v/>
      </c>
      <c r="Y83" s="302" t="str">
        <f t="shared" si="12"/>
        <v/>
      </c>
      <c r="Z83" s="471" t="str">
        <f t="shared" si="13"/>
        <v/>
      </c>
      <c r="AA83" s="488"/>
      <c r="AB83" s="486"/>
      <c r="AC83" s="101"/>
      <c r="AD83" s="101"/>
      <c r="AE83" s="41" t="str">
        <f>IF(OR(Q83="",AA83="Yes"),"",IF(Q83='G-1 All Habitats'!$X$3,E83-U83-V83,"None"))</f>
        <v/>
      </c>
      <c r="AF83" s="42" t="str">
        <f>IF(Q83="","", IF(Q83='G-1 All Habitats'!$X$3, AE83*G83*I83*L83*N83*P83,"None"))</f>
        <v/>
      </c>
      <c r="AI83" s="15">
        <f t="shared" si="14"/>
        <v>0</v>
      </c>
      <c r="AJ83" s="105" t="str">
        <f t="shared" si="15"/>
        <v/>
      </c>
      <c r="AK83" s="105" t="str">
        <f t="shared" si="16"/>
        <v/>
      </c>
      <c r="AM83" s="105">
        <v>74</v>
      </c>
      <c r="AO83" s="105" t="str">
        <f t="array" ref="AO83">IFERROR(INDEX($AM$10:$AM$258, MATCH(0, IF(TRUE=$AJ$10:$AJ$258, COUNTIF($AO$9:$AO82, $AM$10:$AM$258), ""), 0)),"")</f>
        <v/>
      </c>
      <c r="AP83" s="105" t="str">
        <f t="array" ref="AP83">IFERROR(INDEX($AM$10:$AM$258, MATCH(0, IF(TRUE=$AK$10:$AK$258, COUNTIF($AP$9:$AP82, $AM$10:$AM$258), ""), 0)),"")</f>
        <v/>
      </c>
      <c r="AR83" s="15" t="str">
        <f>IFERROR(INDEX('G-7 WaterC'' Data'!$AZ$3:$AZ$7,MATCH(D83,'G-7 WaterC'' Data'!$AY$3:$AY$7,0)),"")</f>
        <v/>
      </c>
      <c r="AS83" s="15" t="str">
        <f>IFERROR(INDEX('G-7 WaterC'' Data'!AZ83:AZ87,MATCH(D83,'G-7 WaterC'' Data'!$AY$10:$AY$14,0)),"")</f>
        <v/>
      </c>
      <c r="AU83" s="15" t="str">
        <f>IF(D83="","",VLOOKUP(D83,'G-7 WaterC'' Data'!B$4:M$8,12,FALSE))</f>
        <v/>
      </c>
      <c r="AV83" s="15" t="str">
        <f t="shared" si="17"/>
        <v/>
      </c>
    </row>
    <row r="84" spans="3:48" ht="14" x14ac:dyDescent="0.3">
      <c r="C84" s="92">
        <v>75</v>
      </c>
      <c r="D84" s="271"/>
      <c r="E84" s="120"/>
      <c r="F84" s="290" t="str">
        <f>IF(D84="","",VLOOKUP(D84,'G-7 WaterC'' Data'!$B$2:$G$8,2,FALSE))</f>
        <v/>
      </c>
      <c r="G84" s="291" t="str">
        <f>IFERROR(VLOOKUP(F84,'G-7 WaterC'' Data'!$C$4:$D$8,2,FALSE),"")</f>
        <v/>
      </c>
      <c r="H84" s="38"/>
      <c r="I84" s="291" t="str">
        <f>IFERROR(INDEX('G-7 WaterC'' Data'!$H$4:$L$8,MATCH(D84,'G-7 WaterC'' Data'!$B$4:$B$8,0),MATCH(H84,'G-7 WaterC'' Data'!$H$3:$L$3,0)),"")</f>
        <v/>
      </c>
      <c r="J84" s="777"/>
      <c r="K84" s="325" t="str">
        <f>IF(J84="","",IF(VLOOKUP(J84,'G-7 WaterC'' Data'!$AK$4:$AM$6,2,FALSE)=0,"Spatial Data Missing ⚠",VLOOKUP(J84,'G-7 WaterC'' Data'!$AK$4:$AM$6,2,FALSE)))</f>
        <v/>
      </c>
      <c r="L84" s="296" t="str">
        <f>IF(J84="","",IF(VLOOKUP(J84,'G-7 WaterC'' Data'!$AK$4:$AM$9,3,FALSE)=0,"Spatial Data Missing ⚠",VLOOKUP(J84,'G-7 WaterC'' Data'!$AK$4:$AM$6,3,FALSE)))</f>
        <v/>
      </c>
      <c r="M84" s="38"/>
      <c r="N84" s="291" t="str">
        <f>IF(M84="","",IF(AND(D84&lt;&gt;"Culvert",M84="N/A - Culvert"),"Not possible ▲",IF(AND(D84="Culvert",M84&lt;&gt;"N/A - Culvert"),"Not possible ▲",IF(VLOOKUP(M84,'G-7 WaterC'' Data'!$AA$4:$AB$7,2,FALSE)=0,"Spatial Data Missing ⚠",VLOOKUP(M84,'G-7 WaterC'' Data'!$AA$4:$AB$7,2,FALSE)))))</f>
        <v/>
      </c>
      <c r="O84" s="44"/>
      <c r="P84" s="291" t="str">
        <f>IF(O84="","",IF(AND(O84="N/A - Culvert", D84&lt;&gt;"Culvert"),"Not possible ▲", IF(AND(D84="Culvert",O84&lt;&gt;"N/A - Culvert"),"Not possible ▲",IF(VLOOKUP(O84,'G-7 WaterC'' Data'!$AD$4:$AE$14,2,FALSE)=0,"Spatial Data Missing ⚠",VLOOKUP(O84,'G-7 WaterC'' Data'!$AD$4:$AE$14,2,FALSE)))))</f>
        <v/>
      </c>
      <c r="Q84" s="297" t="str">
        <f>IF(D84="","",VLOOKUP(D84,'G-7 WaterC'' Data'!$B$2:$G$8,6,FALSE))</f>
        <v/>
      </c>
      <c r="R84" s="304" t="str">
        <f>IFERROR(IF(AND(Q84='G-1 All Habitats'!$X$3, AE84&gt;0, U84&lt;=0, V84&lt;=0, OR(AA84="No", AA84="")),"Any Loss Unacceptable ⚠", (IF(AND(Q84='G-1 All Habitats'!$X$3, AE84&gt;0, U84&lt;=0, V84&lt;=0, AA84="Yes"), 0, (IF(AND(Q84='G-1 All Habitats'!$X$3,(U84+V84)&lt;E84, OR(AA84="No", AA84="")),"Any Loss Unacceptable ⚠", (IF(AND(Q84='G-1 All Habitats'!$X$3,(U84+V84)&gt;E84), E84*G84*I84*L84*N84*P84, (IF(Q84="","",IF(AND(Q84='G-1 All Habitats'!$X$3,V84&gt;0),W84+X84,IF(AND(Q84='G-1 All Habitats'!$X$3,U84&gt;0), W84+X84, IF(AND(S84="Yes", V84&gt;(E84-U84)),(E84-U84)*G84*I84*L84*N84*P84, IF(AND(S84="Yes", V84&lt;=(E84-U84)), X84, E84*G84*I84*L84*N84*P84 ))))))))))))),"Check Data ▲")</f>
        <v/>
      </c>
      <c r="S84" s="671" t="str">
        <f t="shared" si="9"/>
        <v/>
      </c>
      <c r="T84" s="17"/>
      <c r="U84" s="95"/>
      <c r="V84" s="106"/>
      <c r="W84" s="302" t="str">
        <f t="shared" si="10"/>
        <v/>
      </c>
      <c r="X84" s="302" t="str">
        <f t="shared" si="11"/>
        <v/>
      </c>
      <c r="Y84" s="302" t="str">
        <f t="shared" si="12"/>
        <v/>
      </c>
      <c r="Z84" s="471" t="str">
        <f t="shared" si="13"/>
        <v/>
      </c>
      <c r="AA84" s="488"/>
      <c r="AB84" s="486"/>
      <c r="AC84" s="101"/>
      <c r="AD84" s="101"/>
      <c r="AE84" s="41" t="str">
        <f>IF(OR(Q84="",AA84="Yes"),"",IF(Q84='G-1 All Habitats'!$X$3,E84-U84-V84,"None"))</f>
        <v/>
      </c>
      <c r="AF84" s="42" t="str">
        <f>IF(Q84="","", IF(Q84='G-1 All Habitats'!$X$3, AE84*G84*I84*L84*N84*P84,"None"))</f>
        <v/>
      </c>
      <c r="AI84" s="15">
        <f t="shared" si="14"/>
        <v>0</v>
      </c>
      <c r="AJ84" s="105" t="str">
        <f t="shared" si="15"/>
        <v/>
      </c>
      <c r="AK84" s="105" t="str">
        <f t="shared" si="16"/>
        <v/>
      </c>
      <c r="AM84" s="105">
        <v>75</v>
      </c>
      <c r="AO84" s="105" t="str">
        <f t="array" ref="AO84">IFERROR(INDEX($AM$10:$AM$258, MATCH(0, IF(TRUE=$AJ$10:$AJ$258, COUNTIF($AO$9:$AO83, $AM$10:$AM$258), ""), 0)),"")</f>
        <v/>
      </c>
      <c r="AP84" s="105" t="str">
        <f t="array" ref="AP84">IFERROR(INDEX($AM$10:$AM$258, MATCH(0, IF(TRUE=$AK$10:$AK$258, COUNTIF($AP$9:$AP83, $AM$10:$AM$258), ""), 0)),"")</f>
        <v/>
      </c>
      <c r="AR84" s="15" t="str">
        <f>IFERROR(INDEX('G-7 WaterC'' Data'!$AZ$3:$AZ$7,MATCH(D84,'G-7 WaterC'' Data'!$AY$3:$AY$7,0)),"")</f>
        <v/>
      </c>
      <c r="AS84" s="15" t="str">
        <f>IFERROR(INDEX('G-7 WaterC'' Data'!AZ84:AZ88,MATCH(D84,'G-7 WaterC'' Data'!$AY$10:$AY$14,0)),"")</f>
        <v/>
      </c>
      <c r="AU84" s="15" t="str">
        <f>IF(D84="","",VLOOKUP(D84,'G-7 WaterC'' Data'!B$4:M$8,12,FALSE))</f>
        <v/>
      </c>
      <c r="AV84" s="15" t="str">
        <f t="shared" si="17"/>
        <v/>
      </c>
    </row>
    <row r="85" spans="3:48" ht="14" x14ac:dyDescent="0.3">
      <c r="C85" s="92">
        <v>76</v>
      </c>
      <c r="D85" s="271"/>
      <c r="E85" s="120"/>
      <c r="F85" s="290" t="str">
        <f>IF(D85="","",VLOOKUP(D85,'G-7 WaterC'' Data'!$B$2:$G$8,2,FALSE))</f>
        <v/>
      </c>
      <c r="G85" s="291" t="str">
        <f>IFERROR(VLOOKUP(F85,'G-7 WaterC'' Data'!$C$4:$D$8,2,FALSE),"")</f>
        <v/>
      </c>
      <c r="H85" s="38"/>
      <c r="I85" s="291" t="str">
        <f>IFERROR(INDEX('G-7 WaterC'' Data'!$H$4:$L$8,MATCH(D85,'G-7 WaterC'' Data'!$B$4:$B$8,0),MATCH(H85,'G-7 WaterC'' Data'!$H$3:$L$3,0)),"")</f>
        <v/>
      </c>
      <c r="J85" s="777"/>
      <c r="K85" s="325" t="str">
        <f>IF(J85="","",IF(VLOOKUP(J85,'G-7 WaterC'' Data'!$AK$4:$AM$6,2,FALSE)=0,"Spatial Data Missing ⚠",VLOOKUP(J85,'G-7 WaterC'' Data'!$AK$4:$AM$6,2,FALSE)))</f>
        <v/>
      </c>
      <c r="L85" s="296" t="str">
        <f>IF(J85="","",IF(VLOOKUP(J85,'G-7 WaterC'' Data'!$AK$4:$AM$9,3,FALSE)=0,"Spatial Data Missing ⚠",VLOOKUP(J85,'G-7 WaterC'' Data'!$AK$4:$AM$6,3,FALSE)))</f>
        <v/>
      </c>
      <c r="M85" s="38"/>
      <c r="N85" s="291" t="str">
        <f>IF(M85="","",IF(AND(D85&lt;&gt;"Culvert",M85="N/A - Culvert"),"Not possible ▲",IF(AND(D85="Culvert",M85&lt;&gt;"N/A - Culvert"),"Not possible ▲",IF(VLOOKUP(M85,'G-7 WaterC'' Data'!$AA$4:$AB$7,2,FALSE)=0,"Spatial Data Missing ⚠",VLOOKUP(M85,'G-7 WaterC'' Data'!$AA$4:$AB$7,2,FALSE)))))</f>
        <v/>
      </c>
      <c r="O85" s="44"/>
      <c r="P85" s="291" t="str">
        <f>IF(O85="","",IF(AND(O85="N/A - Culvert", D85&lt;&gt;"Culvert"),"Not possible ▲", IF(AND(D85="Culvert",O85&lt;&gt;"N/A - Culvert"),"Not possible ▲",IF(VLOOKUP(O85,'G-7 WaterC'' Data'!$AD$4:$AE$14,2,FALSE)=0,"Spatial Data Missing ⚠",VLOOKUP(O85,'G-7 WaterC'' Data'!$AD$4:$AE$14,2,FALSE)))))</f>
        <v/>
      </c>
      <c r="Q85" s="297" t="str">
        <f>IF(D85="","",VLOOKUP(D85,'G-7 WaterC'' Data'!$B$2:$G$8,6,FALSE))</f>
        <v/>
      </c>
      <c r="R85" s="304" t="str">
        <f>IFERROR(IF(AND(Q85='G-1 All Habitats'!$X$3, AE85&gt;0, U85&lt;=0, V85&lt;=0, OR(AA85="No", AA85="")),"Any Loss Unacceptable ⚠", (IF(AND(Q85='G-1 All Habitats'!$X$3, AE85&gt;0, U85&lt;=0, V85&lt;=0, AA85="Yes"), 0, (IF(AND(Q85='G-1 All Habitats'!$X$3,(U85+V85)&lt;E85, OR(AA85="No", AA85="")),"Any Loss Unacceptable ⚠", (IF(AND(Q85='G-1 All Habitats'!$X$3,(U85+V85)&gt;E85), E85*G85*I85*L85*N85*P85, (IF(Q85="","",IF(AND(Q85='G-1 All Habitats'!$X$3,V85&gt;0),W85+X85,IF(AND(Q85='G-1 All Habitats'!$X$3,U85&gt;0), W85+X85, IF(AND(S85="Yes", V85&gt;(E85-U85)),(E85-U85)*G85*I85*L85*N85*P85, IF(AND(S85="Yes", V85&lt;=(E85-U85)), X85, E85*G85*I85*L85*N85*P85 ))))))))))))),"Check Data ▲")</f>
        <v/>
      </c>
      <c r="S85" s="671" t="str">
        <f t="shared" si="9"/>
        <v/>
      </c>
      <c r="T85" s="17"/>
      <c r="U85" s="95"/>
      <c r="V85" s="106"/>
      <c r="W85" s="302" t="str">
        <f t="shared" si="10"/>
        <v/>
      </c>
      <c r="X85" s="302" t="str">
        <f t="shared" si="11"/>
        <v/>
      </c>
      <c r="Y85" s="302" t="str">
        <f t="shared" si="12"/>
        <v/>
      </c>
      <c r="Z85" s="471" t="str">
        <f t="shared" si="13"/>
        <v/>
      </c>
      <c r="AA85" s="488"/>
      <c r="AB85" s="486"/>
      <c r="AC85" s="101"/>
      <c r="AD85" s="101"/>
      <c r="AE85" s="41" t="str">
        <f>IF(OR(Q85="",AA85="Yes"),"",IF(Q85='G-1 All Habitats'!$X$3,E85-U85-V85,"None"))</f>
        <v/>
      </c>
      <c r="AF85" s="42" t="str">
        <f>IF(Q85="","", IF(Q85='G-1 All Habitats'!$X$3, AE85*G85*I85*L85*N85*P85,"None"))</f>
        <v/>
      </c>
      <c r="AI85" s="15">
        <f t="shared" si="14"/>
        <v>0</v>
      </c>
      <c r="AJ85" s="105" t="str">
        <f t="shared" si="15"/>
        <v/>
      </c>
      <c r="AK85" s="105" t="str">
        <f t="shared" si="16"/>
        <v/>
      </c>
      <c r="AM85" s="105">
        <v>76</v>
      </c>
      <c r="AO85" s="105" t="str">
        <f t="array" ref="AO85">IFERROR(INDEX($AM$10:$AM$258, MATCH(0, IF(TRUE=$AJ$10:$AJ$258, COUNTIF($AO$9:$AO84, $AM$10:$AM$258), ""), 0)),"")</f>
        <v/>
      </c>
      <c r="AP85" s="105" t="str">
        <f t="array" ref="AP85">IFERROR(INDEX($AM$10:$AM$258, MATCH(0, IF(TRUE=$AK$10:$AK$258, COUNTIF($AP$9:$AP84, $AM$10:$AM$258), ""), 0)),"")</f>
        <v/>
      </c>
      <c r="AR85" s="15" t="str">
        <f>IFERROR(INDEX('G-7 WaterC'' Data'!$AZ$3:$AZ$7,MATCH(D85,'G-7 WaterC'' Data'!$AY$3:$AY$7,0)),"")</f>
        <v/>
      </c>
      <c r="AS85" s="15" t="str">
        <f>IFERROR(INDEX('G-7 WaterC'' Data'!AZ85:AZ89,MATCH(D85,'G-7 WaterC'' Data'!$AY$10:$AY$14,0)),"")</f>
        <v/>
      </c>
      <c r="AU85" s="15" t="str">
        <f>IF(D85="","",VLOOKUP(D85,'G-7 WaterC'' Data'!B$4:M$8,12,FALSE))</f>
        <v/>
      </c>
      <c r="AV85" s="15" t="str">
        <f t="shared" si="17"/>
        <v/>
      </c>
    </row>
    <row r="86" spans="3:48" ht="14" x14ac:dyDescent="0.3">
      <c r="C86" s="92">
        <v>77</v>
      </c>
      <c r="D86" s="271"/>
      <c r="E86" s="120"/>
      <c r="F86" s="290" t="str">
        <f>IF(D86="","",VLOOKUP(D86,'G-7 WaterC'' Data'!$B$2:$G$8,2,FALSE))</f>
        <v/>
      </c>
      <c r="G86" s="291" t="str">
        <f>IFERROR(VLOOKUP(F86,'G-7 WaterC'' Data'!$C$4:$D$8,2,FALSE),"")</f>
        <v/>
      </c>
      <c r="H86" s="38"/>
      <c r="I86" s="291" t="str">
        <f>IFERROR(INDEX('G-7 WaterC'' Data'!$H$4:$L$8,MATCH(D86,'G-7 WaterC'' Data'!$B$4:$B$8,0),MATCH(H86,'G-7 WaterC'' Data'!$H$3:$L$3,0)),"")</f>
        <v/>
      </c>
      <c r="J86" s="777"/>
      <c r="K86" s="325" t="str">
        <f>IF(J86="","",IF(VLOOKUP(J86,'G-7 WaterC'' Data'!$AK$4:$AM$6,2,FALSE)=0,"Spatial Data Missing ⚠",VLOOKUP(J86,'G-7 WaterC'' Data'!$AK$4:$AM$6,2,FALSE)))</f>
        <v/>
      </c>
      <c r="L86" s="296" t="str">
        <f>IF(J86="","",IF(VLOOKUP(J86,'G-7 WaterC'' Data'!$AK$4:$AM$9,3,FALSE)=0,"Spatial Data Missing ⚠",VLOOKUP(J86,'G-7 WaterC'' Data'!$AK$4:$AM$6,3,FALSE)))</f>
        <v/>
      </c>
      <c r="M86" s="38"/>
      <c r="N86" s="291" t="str">
        <f>IF(M86="","",IF(AND(D86&lt;&gt;"Culvert",M86="N/A - Culvert"),"Not possible ▲",IF(AND(D86="Culvert",M86&lt;&gt;"N/A - Culvert"),"Not possible ▲",IF(VLOOKUP(M86,'G-7 WaterC'' Data'!$AA$4:$AB$7,2,FALSE)=0,"Spatial Data Missing ⚠",VLOOKUP(M86,'G-7 WaterC'' Data'!$AA$4:$AB$7,2,FALSE)))))</f>
        <v/>
      </c>
      <c r="O86" s="44"/>
      <c r="P86" s="291" t="str">
        <f>IF(O86="","",IF(AND(O86="N/A - Culvert", D86&lt;&gt;"Culvert"),"Not possible ▲", IF(AND(D86="Culvert",O86&lt;&gt;"N/A - Culvert"),"Not possible ▲",IF(VLOOKUP(O86,'G-7 WaterC'' Data'!$AD$4:$AE$14,2,FALSE)=0,"Spatial Data Missing ⚠",VLOOKUP(O86,'G-7 WaterC'' Data'!$AD$4:$AE$14,2,FALSE)))))</f>
        <v/>
      </c>
      <c r="Q86" s="297" t="str">
        <f>IF(D86="","",VLOOKUP(D86,'G-7 WaterC'' Data'!$B$2:$G$8,6,FALSE))</f>
        <v/>
      </c>
      <c r="R86" s="304" t="str">
        <f>IFERROR(IF(AND(Q86='G-1 All Habitats'!$X$3, AE86&gt;0, U86&lt;=0, V86&lt;=0, OR(AA86="No", AA86="")),"Any Loss Unacceptable ⚠", (IF(AND(Q86='G-1 All Habitats'!$X$3, AE86&gt;0, U86&lt;=0, V86&lt;=0, AA86="Yes"), 0, (IF(AND(Q86='G-1 All Habitats'!$X$3,(U86+V86)&lt;E86, OR(AA86="No", AA86="")),"Any Loss Unacceptable ⚠", (IF(AND(Q86='G-1 All Habitats'!$X$3,(U86+V86)&gt;E86), E86*G86*I86*L86*N86*P86, (IF(Q86="","",IF(AND(Q86='G-1 All Habitats'!$X$3,V86&gt;0),W86+X86,IF(AND(Q86='G-1 All Habitats'!$X$3,U86&gt;0), W86+X86, IF(AND(S86="Yes", V86&gt;(E86-U86)),(E86-U86)*G86*I86*L86*N86*P86, IF(AND(S86="Yes", V86&lt;=(E86-U86)), X86, E86*G86*I86*L86*N86*P86 ))))))))))))),"Check Data ▲")</f>
        <v/>
      </c>
      <c r="S86" s="671" t="str">
        <f t="shared" si="9"/>
        <v/>
      </c>
      <c r="T86" s="17"/>
      <c r="U86" s="95"/>
      <c r="V86" s="106"/>
      <c r="W86" s="302" t="str">
        <f t="shared" si="10"/>
        <v/>
      </c>
      <c r="X86" s="302" t="str">
        <f t="shared" si="11"/>
        <v/>
      </c>
      <c r="Y86" s="302" t="str">
        <f t="shared" si="12"/>
        <v/>
      </c>
      <c r="Z86" s="471" t="str">
        <f t="shared" si="13"/>
        <v/>
      </c>
      <c r="AA86" s="488"/>
      <c r="AB86" s="486"/>
      <c r="AC86" s="101"/>
      <c r="AD86" s="101"/>
      <c r="AE86" s="41" t="str">
        <f>IF(OR(Q86="",AA86="Yes"),"",IF(Q86='G-1 All Habitats'!$X$3,E86-U86-V86,"None"))</f>
        <v/>
      </c>
      <c r="AF86" s="42" t="str">
        <f>IF(Q86="","", IF(Q86='G-1 All Habitats'!$X$3, AE86*G86*I86*L86*N86*P86,"None"))</f>
        <v/>
      </c>
      <c r="AI86" s="15">
        <f t="shared" si="14"/>
        <v>0</v>
      </c>
      <c r="AJ86" s="105" t="str">
        <f t="shared" si="15"/>
        <v/>
      </c>
      <c r="AK86" s="105" t="str">
        <f t="shared" si="16"/>
        <v/>
      </c>
      <c r="AM86" s="105">
        <v>77</v>
      </c>
      <c r="AO86" s="105" t="str">
        <f t="array" ref="AO86">IFERROR(INDEX($AM$10:$AM$258, MATCH(0, IF(TRUE=$AJ$10:$AJ$258, COUNTIF($AO$9:$AO85, $AM$10:$AM$258), ""), 0)),"")</f>
        <v/>
      </c>
      <c r="AP86" s="105" t="str">
        <f t="array" ref="AP86">IFERROR(INDEX($AM$10:$AM$258, MATCH(0, IF(TRUE=$AK$10:$AK$258, COUNTIF($AP$9:$AP85, $AM$10:$AM$258), ""), 0)),"")</f>
        <v/>
      </c>
      <c r="AR86" s="15" t="str">
        <f>IFERROR(INDEX('G-7 WaterC'' Data'!$AZ$3:$AZ$7,MATCH(D86,'G-7 WaterC'' Data'!$AY$3:$AY$7,0)),"")</f>
        <v/>
      </c>
      <c r="AS86" s="15" t="str">
        <f>IFERROR(INDEX('G-7 WaterC'' Data'!AZ86:AZ90,MATCH(D86,'G-7 WaterC'' Data'!$AY$10:$AY$14,0)),"")</f>
        <v/>
      </c>
      <c r="AU86" s="15" t="str">
        <f>IF(D86="","",VLOOKUP(D86,'G-7 WaterC'' Data'!B$4:M$8,12,FALSE))</f>
        <v/>
      </c>
      <c r="AV86" s="15" t="str">
        <f t="shared" si="17"/>
        <v/>
      </c>
    </row>
    <row r="87" spans="3:48" ht="14" x14ac:dyDescent="0.3">
      <c r="C87" s="92">
        <v>78</v>
      </c>
      <c r="D87" s="271"/>
      <c r="E87" s="120"/>
      <c r="F87" s="290" t="str">
        <f>IF(D87="","",VLOOKUP(D87,'G-7 WaterC'' Data'!$B$2:$G$8,2,FALSE))</f>
        <v/>
      </c>
      <c r="G87" s="291" t="str">
        <f>IFERROR(VLOOKUP(F87,'G-7 WaterC'' Data'!$C$4:$D$8,2,FALSE),"")</f>
        <v/>
      </c>
      <c r="H87" s="38"/>
      <c r="I87" s="291" t="str">
        <f>IFERROR(INDEX('G-7 WaterC'' Data'!$H$4:$L$8,MATCH(D87,'G-7 WaterC'' Data'!$B$4:$B$8,0),MATCH(H87,'G-7 WaterC'' Data'!$H$3:$L$3,0)),"")</f>
        <v/>
      </c>
      <c r="J87" s="777"/>
      <c r="K87" s="325" t="str">
        <f>IF(J87="","",IF(VLOOKUP(J87,'G-7 WaterC'' Data'!$AK$4:$AM$6,2,FALSE)=0,"Spatial Data Missing ⚠",VLOOKUP(J87,'G-7 WaterC'' Data'!$AK$4:$AM$6,2,FALSE)))</f>
        <v/>
      </c>
      <c r="L87" s="296" t="str">
        <f>IF(J87="","",IF(VLOOKUP(J87,'G-7 WaterC'' Data'!$AK$4:$AM$9,3,FALSE)=0,"Spatial Data Missing ⚠",VLOOKUP(J87,'G-7 WaterC'' Data'!$AK$4:$AM$6,3,FALSE)))</f>
        <v/>
      </c>
      <c r="M87" s="38"/>
      <c r="N87" s="291" t="str">
        <f>IF(M87="","",IF(AND(D87&lt;&gt;"Culvert",M87="N/A - Culvert"),"Not possible ▲",IF(AND(D87="Culvert",M87&lt;&gt;"N/A - Culvert"),"Not possible ▲",IF(VLOOKUP(M87,'G-7 WaterC'' Data'!$AA$4:$AB$7,2,FALSE)=0,"Spatial Data Missing ⚠",VLOOKUP(M87,'G-7 WaterC'' Data'!$AA$4:$AB$7,2,FALSE)))))</f>
        <v/>
      </c>
      <c r="O87" s="44"/>
      <c r="P87" s="291" t="str">
        <f>IF(O87="","",IF(AND(O87="N/A - Culvert", D87&lt;&gt;"Culvert"),"Not possible ▲", IF(AND(D87="Culvert",O87&lt;&gt;"N/A - Culvert"),"Not possible ▲",IF(VLOOKUP(O87,'G-7 WaterC'' Data'!$AD$4:$AE$14,2,FALSE)=0,"Spatial Data Missing ⚠",VLOOKUP(O87,'G-7 WaterC'' Data'!$AD$4:$AE$14,2,FALSE)))))</f>
        <v/>
      </c>
      <c r="Q87" s="297" t="str">
        <f>IF(D87="","",VLOOKUP(D87,'G-7 WaterC'' Data'!$B$2:$G$8,6,FALSE))</f>
        <v/>
      </c>
      <c r="R87" s="304" t="str">
        <f>IFERROR(IF(AND(Q87='G-1 All Habitats'!$X$3, AE87&gt;0, U87&lt;=0, V87&lt;=0, OR(AA87="No", AA87="")),"Any Loss Unacceptable ⚠", (IF(AND(Q87='G-1 All Habitats'!$X$3, AE87&gt;0, U87&lt;=0, V87&lt;=0, AA87="Yes"), 0, (IF(AND(Q87='G-1 All Habitats'!$X$3,(U87+V87)&lt;E87, OR(AA87="No", AA87="")),"Any Loss Unacceptable ⚠", (IF(AND(Q87='G-1 All Habitats'!$X$3,(U87+V87)&gt;E87), E87*G87*I87*L87*N87*P87, (IF(Q87="","",IF(AND(Q87='G-1 All Habitats'!$X$3,V87&gt;0),W87+X87,IF(AND(Q87='G-1 All Habitats'!$X$3,U87&gt;0), W87+X87, IF(AND(S87="Yes", V87&gt;(E87-U87)),(E87-U87)*G87*I87*L87*N87*P87, IF(AND(S87="Yes", V87&lt;=(E87-U87)), X87, E87*G87*I87*L87*N87*P87 ))))))))))))),"Check Data ▲")</f>
        <v/>
      </c>
      <c r="S87" s="671" t="str">
        <f t="shared" si="9"/>
        <v/>
      </c>
      <c r="T87" s="17"/>
      <c r="U87" s="95"/>
      <c r="V87" s="106"/>
      <c r="W87" s="302" t="str">
        <f t="shared" si="10"/>
        <v/>
      </c>
      <c r="X87" s="302" t="str">
        <f t="shared" si="11"/>
        <v/>
      </c>
      <c r="Y87" s="302" t="str">
        <f t="shared" si="12"/>
        <v/>
      </c>
      <c r="Z87" s="471" t="str">
        <f t="shared" si="13"/>
        <v/>
      </c>
      <c r="AA87" s="488"/>
      <c r="AB87" s="486"/>
      <c r="AC87" s="101"/>
      <c r="AD87" s="101"/>
      <c r="AE87" s="41" t="str">
        <f>IF(OR(Q87="",AA87="Yes"),"",IF(Q87='G-1 All Habitats'!$X$3,E87-U87-V87,"None"))</f>
        <v/>
      </c>
      <c r="AF87" s="42" t="str">
        <f>IF(Q87="","", IF(Q87='G-1 All Habitats'!$X$3, AE87*G87*I87*L87*N87*P87,"None"))</f>
        <v/>
      </c>
      <c r="AI87" s="15">
        <f t="shared" si="14"/>
        <v>0</v>
      </c>
      <c r="AJ87" s="105" t="str">
        <f t="shared" si="15"/>
        <v/>
      </c>
      <c r="AK87" s="105" t="str">
        <f t="shared" si="16"/>
        <v/>
      </c>
      <c r="AM87" s="105">
        <v>78</v>
      </c>
      <c r="AO87" s="105" t="str">
        <f t="array" ref="AO87">IFERROR(INDEX($AM$10:$AM$258, MATCH(0, IF(TRUE=$AJ$10:$AJ$258, COUNTIF($AO$9:$AO86, $AM$10:$AM$258), ""), 0)),"")</f>
        <v/>
      </c>
      <c r="AP87" s="105" t="str">
        <f t="array" ref="AP87">IFERROR(INDEX($AM$10:$AM$258, MATCH(0, IF(TRUE=$AK$10:$AK$258, COUNTIF($AP$9:$AP86, $AM$10:$AM$258), ""), 0)),"")</f>
        <v/>
      </c>
      <c r="AR87" s="15" t="str">
        <f>IFERROR(INDEX('G-7 WaterC'' Data'!$AZ$3:$AZ$7,MATCH(D87,'G-7 WaterC'' Data'!$AY$3:$AY$7,0)),"")</f>
        <v/>
      </c>
      <c r="AS87" s="15" t="str">
        <f>IFERROR(INDEX('G-7 WaterC'' Data'!AZ87:AZ91,MATCH(D87,'G-7 WaterC'' Data'!$AY$10:$AY$14,0)),"")</f>
        <v/>
      </c>
      <c r="AU87" s="15" t="str">
        <f>IF(D87="","",VLOOKUP(D87,'G-7 WaterC'' Data'!B$4:M$8,12,FALSE))</f>
        <v/>
      </c>
      <c r="AV87" s="15" t="str">
        <f t="shared" si="17"/>
        <v/>
      </c>
    </row>
    <row r="88" spans="3:48" ht="14" x14ac:dyDescent="0.3">
      <c r="C88" s="92">
        <v>79</v>
      </c>
      <c r="D88" s="271"/>
      <c r="E88" s="120"/>
      <c r="F88" s="290" t="str">
        <f>IF(D88="","",VLOOKUP(D88,'G-7 WaterC'' Data'!$B$2:$G$8,2,FALSE))</f>
        <v/>
      </c>
      <c r="G88" s="291" t="str">
        <f>IFERROR(VLOOKUP(F88,'G-7 WaterC'' Data'!$C$4:$D$8,2,FALSE),"")</f>
        <v/>
      </c>
      <c r="H88" s="38"/>
      <c r="I88" s="291" t="str">
        <f>IFERROR(INDEX('G-7 WaterC'' Data'!$H$4:$L$8,MATCH(D88,'G-7 WaterC'' Data'!$B$4:$B$8,0),MATCH(H88,'G-7 WaterC'' Data'!$H$3:$L$3,0)),"")</f>
        <v/>
      </c>
      <c r="J88" s="777"/>
      <c r="K88" s="325" t="str">
        <f>IF(J88="","",IF(VLOOKUP(J88,'G-7 WaterC'' Data'!$AK$4:$AM$6,2,FALSE)=0,"Spatial Data Missing ⚠",VLOOKUP(J88,'G-7 WaterC'' Data'!$AK$4:$AM$6,2,FALSE)))</f>
        <v/>
      </c>
      <c r="L88" s="296" t="str">
        <f>IF(J88="","",IF(VLOOKUP(J88,'G-7 WaterC'' Data'!$AK$4:$AM$9,3,FALSE)=0,"Spatial Data Missing ⚠",VLOOKUP(J88,'G-7 WaterC'' Data'!$AK$4:$AM$6,3,FALSE)))</f>
        <v/>
      </c>
      <c r="M88" s="38"/>
      <c r="N88" s="291" t="str">
        <f>IF(M88="","",IF(AND(D88&lt;&gt;"Culvert",M88="N/A - Culvert"),"Not possible ▲",IF(AND(D88="Culvert",M88&lt;&gt;"N/A - Culvert"),"Not possible ▲",IF(VLOOKUP(M88,'G-7 WaterC'' Data'!$AA$4:$AB$7,2,FALSE)=0,"Spatial Data Missing ⚠",VLOOKUP(M88,'G-7 WaterC'' Data'!$AA$4:$AB$7,2,FALSE)))))</f>
        <v/>
      </c>
      <c r="O88" s="44"/>
      <c r="P88" s="291" t="str">
        <f>IF(O88="","",IF(AND(O88="N/A - Culvert", D88&lt;&gt;"Culvert"),"Not possible ▲", IF(AND(D88="Culvert",O88&lt;&gt;"N/A - Culvert"),"Not possible ▲",IF(VLOOKUP(O88,'G-7 WaterC'' Data'!$AD$4:$AE$14,2,FALSE)=0,"Spatial Data Missing ⚠",VLOOKUP(O88,'G-7 WaterC'' Data'!$AD$4:$AE$14,2,FALSE)))))</f>
        <v/>
      </c>
      <c r="Q88" s="297" t="str">
        <f>IF(D88="","",VLOOKUP(D88,'G-7 WaterC'' Data'!$B$2:$G$8,6,FALSE))</f>
        <v/>
      </c>
      <c r="R88" s="304" t="str">
        <f>IFERROR(IF(AND(Q88='G-1 All Habitats'!$X$3, AE88&gt;0, U88&lt;=0, V88&lt;=0, OR(AA88="No", AA88="")),"Any Loss Unacceptable ⚠", (IF(AND(Q88='G-1 All Habitats'!$X$3, AE88&gt;0, U88&lt;=0, V88&lt;=0, AA88="Yes"), 0, (IF(AND(Q88='G-1 All Habitats'!$X$3,(U88+V88)&lt;E88, OR(AA88="No", AA88="")),"Any Loss Unacceptable ⚠", (IF(AND(Q88='G-1 All Habitats'!$X$3,(U88+V88)&gt;E88), E88*G88*I88*L88*N88*P88, (IF(Q88="","",IF(AND(Q88='G-1 All Habitats'!$X$3,V88&gt;0),W88+X88,IF(AND(Q88='G-1 All Habitats'!$X$3,U88&gt;0), W88+X88, IF(AND(S88="Yes", V88&gt;(E88-U88)),(E88-U88)*G88*I88*L88*N88*P88, IF(AND(S88="Yes", V88&lt;=(E88-U88)), X88, E88*G88*I88*L88*N88*P88 ))))))))))))),"Check Data ▲")</f>
        <v/>
      </c>
      <c r="S88" s="671" t="str">
        <f t="shared" si="9"/>
        <v/>
      </c>
      <c r="T88" s="17"/>
      <c r="U88" s="95"/>
      <c r="V88" s="106"/>
      <c r="W88" s="302" t="str">
        <f t="shared" si="10"/>
        <v/>
      </c>
      <c r="X88" s="302" t="str">
        <f t="shared" si="11"/>
        <v/>
      </c>
      <c r="Y88" s="302" t="str">
        <f t="shared" si="12"/>
        <v/>
      </c>
      <c r="Z88" s="471" t="str">
        <f t="shared" si="13"/>
        <v/>
      </c>
      <c r="AA88" s="488"/>
      <c r="AB88" s="486"/>
      <c r="AC88" s="101"/>
      <c r="AD88" s="101"/>
      <c r="AE88" s="41" t="str">
        <f>IF(OR(Q88="",AA88="Yes"),"",IF(Q88='G-1 All Habitats'!$X$3,E88-U88-V88,"None"))</f>
        <v/>
      </c>
      <c r="AF88" s="42" t="str">
        <f>IF(Q88="","", IF(Q88='G-1 All Habitats'!$X$3, AE88*G88*I88*L88*N88*P88,"None"))</f>
        <v/>
      </c>
      <c r="AI88" s="15">
        <f t="shared" si="14"/>
        <v>0</v>
      </c>
      <c r="AJ88" s="105" t="str">
        <f t="shared" si="15"/>
        <v/>
      </c>
      <c r="AK88" s="105" t="str">
        <f t="shared" si="16"/>
        <v/>
      </c>
      <c r="AM88" s="105">
        <v>79</v>
      </c>
      <c r="AO88" s="105" t="str">
        <f t="array" ref="AO88">IFERROR(INDEX($AM$10:$AM$258, MATCH(0, IF(TRUE=$AJ$10:$AJ$258, COUNTIF($AO$9:$AO87, $AM$10:$AM$258), ""), 0)),"")</f>
        <v/>
      </c>
      <c r="AP88" s="105" t="str">
        <f t="array" ref="AP88">IFERROR(INDEX($AM$10:$AM$258, MATCH(0, IF(TRUE=$AK$10:$AK$258, COUNTIF($AP$9:$AP87, $AM$10:$AM$258), ""), 0)),"")</f>
        <v/>
      </c>
      <c r="AR88" s="15" t="str">
        <f>IFERROR(INDEX('G-7 WaterC'' Data'!$AZ$3:$AZ$7,MATCH(D88,'G-7 WaterC'' Data'!$AY$3:$AY$7,0)),"")</f>
        <v/>
      </c>
      <c r="AS88" s="15" t="str">
        <f>IFERROR(INDEX('G-7 WaterC'' Data'!AZ88:AZ92,MATCH(D88,'G-7 WaterC'' Data'!$AY$10:$AY$14,0)),"")</f>
        <v/>
      </c>
      <c r="AU88" s="15" t="str">
        <f>IF(D88="","",VLOOKUP(D88,'G-7 WaterC'' Data'!B$4:M$8,12,FALSE))</f>
        <v/>
      </c>
      <c r="AV88" s="15" t="str">
        <f t="shared" si="17"/>
        <v/>
      </c>
    </row>
    <row r="89" spans="3:48" ht="14" x14ac:dyDescent="0.3">
      <c r="C89" s="92">
        <v>80</v>
      </c>
      <c r="D89" s="271"/>
      <c r="E89" s="120"/>
      <c r="F89" s="290" t="str">
        <f>IF(D89="","",VLOOKUP(D89,'G-7 WaterC'' Data'!$B$2:$G$8,2,FALSE))</f>
        <v/>
      </c>
      <c r="G89" s="291" t="str">
        <f>IFERROR(VLOOKUP(F89,'G-7 WaterC'' Data'!$C$4:$D$8,2,FALSE),"")</f>
        <v/>
      </c>
      <c r="H89" s="38"/>
      <c r="I89" s="291" t="str">
        <f>IFERROR(INDEX('G-7 WaterC'' Data'!$H$4:$L$8,MATCH(D89,'G-7 WaterC'' Data'!$B$4:$B$8,0),MATCH(H89,'G-7 WaterC'' Data'!$H$3:$L$3,0)),"")</f>
        <v/>
      </c>
      <c r="J89" s="777"/>
      <c r="K89" s="325" t="str">
        <f>IF(J89="","",IF(VLOOKUP(J89,'G-7 WaterC'' Data'!$AK$4:$AM$6,2,FALSE)=0,"Spatial Data Missing ⚠",VLOOKUP(J89,'G-7 WaterC'' Data'!$AK$4:$AM$6,2,FALSE)))</f>
        <v/>
      </c>
      <c r="L89" s="296" t="str">
        <f>IF(J89="","",IF(VLOOKUP(J89,'G-7 WaterC'' Data'!$AK$4:$AM$9,3,FALSE)=0,"Spatial Data Missing ⚠",VLOOKUP(J89,'G-7 WaterC'' Data'!$AK$4:$AM$6,3,FALSE)))</f>
        <v/>
      </c>
      <c r="M89" s="38"/>
      <c r="N89" s="291" t="str">
        <f>IF(M89="","",IF(AND(D89&lt;&gt;"Culvert",M89="N/A - Culvert"),"Not possible ▲",IF(AND(D89="Culvert",M89&lt;&gt;"N/A - Culvert"),"Not possible ▲",IF(VLOOKUP(M89,'G-7 WaterC'' Data'!$AA$4:$AB$7,2,FALSE)=0,"Spatial Data Missing ⚠",VLOOKUP(M89,'G-7 WaterC'' Data'!$AA$4:$AB$7,2,FALSE)))))</f>
        <v/>
      </c>
      <c r="O89" s="44"/>
      <c r="P89" s="291" t="str">
        <f>IF(O89="","",IF(AND(O89="N/A - Culvert", D89&lt;&gt;"Culvert"),"Not possible ▲", IF(AND(D89="Culvert",O89&lt;&gt;"N/A - Culvert"),"Not possible ▲",IF(VLOOKUP(O89,'G-7 WaterC'' Data'!$AD$4:$AE$14,2,FALSE)=0,"Spatial Data Missing ⚠",VLOOKUP(O89,'G-7 WaterC'' Data'!$AD$4:$AE$14,2,FALSE)))))</f>
        <v/>
      </c>
      <c r="Q89" s="297" t="str">
        <f>IF(D89="","",VLOOKUP(D89,'G-7 WaterC'' Data'!$B$2:$G$8,6,FALSE))</f>
        <v/>
      </c>
      <c r="R89" s="304" t="str">
        <f>IFERROR(IF(AND(Q89='G-1 All Habitats'!$X$3, AE89&gt;0, U89&lt;=0, V89&lt;=0, OR(AA89="No", AA89="")),"Any Loss Unacceptable ⚠", (IF(AND(Q89='G-1 All Habitats'!$X$3, AE89&gt;0, U89&lt;=0, V89&lt;=0, AA89="Yes"), 0, (IF(AND(Q89='G-1 All Habitats'!$X$3,(U89+V89)&lt;E89, OR(AA89="No", AA89="")),"Any Loss Unacceptable ⚠", (IF(AND(Q89='G-1 All Habitats'!$X$3,(U89+V89)&gt;E89), E89*G89*I89*L89*N89*P89, (IF(Q89="","",IF(AND(Q89='G-1 All Habitats'!$X$3,V89&gt;0),W89+X89,IF(AND(Q89='G-1 All Habitats'!$X$3,U89&gt;0), W89+X89, IF(AND(S89="Yes", V89&gt;(E89-U89)),(E89-U89)*G89*I89*L89*N89*P89, IF(AND(S89="Yes", V89&lt;=(E89-U89)), X89, E89*G89*I89*L89*N89*P89 ))))))))))))),"Check Data ▲")</f>
        <v/>
      </c>
      <c r="S89" s="671" t="str">
        <f t="shared" si="9"/>
        <v/>
      </c>
      <c r="T89" s="17"/>
      <c r="U89" s="95"/>
      <c r="V89" s="106"/>
      <c r="W89" s="302" t="str">
        <f t="shared" si="10"/>
        <v/>
      </c>
      <c r="X89" s="302" t="str">
        <f t="shared" si="11"/>
        <v/>
      </c>
      <c r="Y89" s="302" t="str">
        <f t="shared" si="12"/>
        <v/>
      </c>
      <c r="Z89" s="471" t="str">
        <f t="shared" si="13"/>
        <v/>
      </c>
      <c r="AA89" s="488"/>
      <c r="AB89" s="486"/>
      <c r="AC89" s="101"/>
      <c r="AD89" s="101"/>
      <c r="AE89" s="41" t="str">
        <f>IF(OR(Q89="",AA89="Yes"),"",IF(Q89='G-1 All Habitats'!$X$3,E89-U89-V89,"None"))</f>
        <v/>
      </c>
      <c r="AF89" s="42" t="str">
        <f>IF(Q89="","", IF(Q89='G-1 All Habitats'!$X$3, AE89*G89*I89*L89*N89*P89,"None"))</f>
        <v/>
      </c>
      <c r="AI89" s="15">
        <f t="shared" si="14"/>
        <v>0</v>
      </c>
      <c r="AJ89" s="105" t="str">
        <f t="shared" si="15"/>
        <v/>
      </c>
      <c r="AK89" s="105" t="str">
        <f t="shared" si="16"/>
        <v/>
      </c>
      <c r="AM89" s="105">
        <v>80</v>
      </c>
      <c r="AO89" s="105" t="str">
        <f t="array" ref="AO89">IFERROR(INDEX($AM$10:$AM$258, MATCH(0, IF(TRUE=$AJ$10:$AJ$258, COUNTIF($AO$9:$AO88, $AM$10:$AM$258), ""), 0)),"")</f>
        <v/>
      </c>
      <c r="AP89" s="105" t="str">
        <f t="array" ref="AP89">IFERROR(INDEX($AM$10:$AM$258, MATCH(0, IF(TRUE=$AK$10:$AK$258, COUNTIF($AP$9:$AP88, $AM$10:$AM$258), ""), 0)),"")</f>
        <v/>
      </c>
      <c r="AR89" s="15" t="str">
        <f>IFERROR(INDEX('G-7 WaterC'' Data'!$AZ$3:$AZ$7,MATCH(D89,'G-7 WaterC'' Data'!$AY$3:$AY$7,0)),"")</f>
        <v/>
      </c>
      <c r="AS89" s="15" t="str">
        <f>IFERROR(INDEX('G-7 WaterC'' Data'!AZ89:AZ93,MATCH(D89,'G-7 WaterC'' Data'!$AY$10:$AY$14,0)),"")</f>
        <v/>
      </c>
      <c r="AU89" s="15" t="str">
        <f>IF(D89="","",VLOOKUP(D89,'G-7 WaterC'' Data'!B$4:M$8,12,FALSE))</f>
        <v/>
      </c>
      <c r="AV89" s="15" t="str">
        <f t="shared" si="17"/>
        <v/>
      </c>
    </row>
    <row r="90" spans="3:48" ht="14" x14ac:dyDescent="0.3">
      <c r="C90" s="92">
        <v>81</v>
      </c>
      <c r="D90" s="271"/>
      <c r="E90" s="120"/>
      <c r="F90" s="290" t="str">
        <f>IF(D90="","",VLOOKUP(D90,'G-7 WaterC'' Data'!$B$2:$G$8,2,FALSE))</f>
        <v/>
      </c>
      <c r="G90" s="291" t="str">
        <f>IFERROR(VLOOKUP(F90,'G-7 WaterC'' Data'!$C$4:$D$8,2,FALSE),"")</f>
        <v/>
      </c>
      <c r="H90" s="38"/>
      <c r="I90" s="291" t="str">
        <f>IFERROR(INDEX('G-7 WaterC'' Data'!$H$4:$L$8,MATCH(D90,'G-7 WaterC'' Data'!$B$4:$B$8,0),MATCH(H90,'G-7 WaterC'' Data'!$H$3:$L$3,0)),"")</f>
        <v/>
      </c>
      <c r="J90" s="777"/>
      <c r="K90" s="325" t="str">
        <f>IF(J90="","",IF(VLOOKUP(J90,'G-7 WaterC'' Data'!$AK$4:$AM$6,2,FALSE)=0,"Spatial Data Missing ⚠",VLOOKUP(J90,'G-7 WaterC'' Data'!$AK$4:$AM$6,2,FALSE)))</f>
        <v/>
      </c>
      <c r="L90" s="296" t="str">
        <f>IF(J90="","",IF(VLOOKUP(J90,'G-7 WaterC'' Data'!$AK$4:$AM$9,3,FALSE)=0,"Spatial Data Missing ⚠",VLOOKUP(J90,'G-7 WaterC'' Data'!$AK$4:$AM$6,3,FALSE)))</f>
        <v/>
      </c>
      <c r="M90" s="38"/>
      <c r="N90" s="291" t="str">
        <f>IF(M90="","",IF(AND(D90&lt;&gt;"Culvert",M90="N/A - Culvert"),"Not possible ▲",IF(AND(D90="Culvert",M90&lt;&gt;"N/A - Culvert"),"Not possible ▲",IF(VLOOKUP(M90,'G-7 WaterC'' Data'!$AA$4:$AB$7,2,FALSE)=0,"Spatial Data Missing ⚠",VLOOKUP(M90,'G-7 WaterC'' Data'!$AA$4:$AB$7,2,FALSE)))))</f>
        <v/>
      </c>
      <c r="O90" s="44"/>
      <c r="P90" s="291" t="str">
        <f>IF(O90="","",IF(AND(O90="N/A - Culvert", D90&lt;&gt;"Culvert"),"Not possible ▲", IF(AND(D90="Culvert",O90&lt;&gt;"N/A - Culvert"),"Not possible ▲",IF(VLOOKUP(O90,'G-7 WaterC'' Data'!$AD$4:$AE$14,2,FALSE)=0,"Spatial Data Missing ⚠",VLOOKUP(O90,'G-7 WaterC'' Data'!$AD$4:$AE$14,2,FALSE)))))</f>
        <v/>
      </c>
      <c r="Q90" s="297" t="str">
        <f>IF(D90="","",VLOOKUP(D90,'G-7 WaterC'' Data'!$B$2:$G$8,6,FALSE))</f>
        <v/>
      </c>
      <c r="R90" s="304" t="str">
        <f>IFERROR(IF(AND(Q90='G-1 All Habitats'!$X$3, AE90&gt;0, U90&lt;=0, V90&lt;=0, OR(AA90="No", AA90="")),"Any Loss Unacceptable ⚠", (IF(AND(Q90='G-1 All Habitats'!$X$3, AE90&gt;0, U90&lt;=0, V90&lt;=0, AA90="Yes"), 0, (IF(AND(Q90='G-1 All Habitats'!$X$3,(U90+V90)&lt;E90, OR(AA90="No", AA90="")),"Any Loss Unacceptable ⚠", (IF(AND(Q90='G-1 All Habitats'!$X$3,(U90+V90)&gt;E90), E90*G90*I90*L90*N90*P90, (IF(Q90="","",IF(AND(Q90='G-1 All Habitats'!$X$3,V90&gt;0),W90+X90,IF(AND(Q90='G-1 All Habitats'!$X$3,U90&gt;0), W90+X90, IF(AND(S90="Yes", V90&gt;(E90-U90)),(E90-U90)*G90*I90*L90*N90*P90, IF(AND(S90="Yes", V90&lt;=(E90-U90)), X90, E90*G90*I90*L90*N90*P90 ))))))))))))),"Check Data ▲")</f>
        <v/>
      </c>
      <c r="S90" s="671" t="str">
        <f t="shared" si="9"/>
        <v/>
      </c>
      <c r="T90" s="17"/>
      <c r="U90" s="95"/>
      <c r="V90" s="106"/>
      <c r="W90" s="302" t="str">
        <f t="shared" si="10"/>
        <v/>
      </c>
      <c r="X90" s="302" t="str">
        <f t="shared" si="11"/>
        <v/>
      </c>
      <c r="Y90" s="302" t="str">
        <f t="shared" si="12"/>
        <v/>
      </c>
      <c r="Z90" s="471" t="str">
        <f t="shared" si="13"/>
        <v/>
      </c>
      <c r="AA90" s="488"/>
      <c r="AB90" s="486"/>
      <c r="AC90" s="101"/>
      <c r="AD90" s="101"/>
      <c r="AE90" s="41" t="str">
        <f>IF(OR(Q90="",AA90="Yes"),"",IF(Q90='G-1 All Habitats'!$X$3,E90-U90-V90,"None"))</f>
        <v/>
      </c>
      <c r="AF90" s="42" t="str">
        <f>IF(Q90="","", IF(Q90='G-1 All Habitats'!$X$3, AE90*G90*I90*L90*N90*P90,"None"))</f>
        <v/>
      </c>
      <c r="AI90" s="15">
        <f t="shared" si="14"/>
        <v>0</v>
      </c>
      <c r="AJ90" s="105" t="str">
        <f t="shared" si="15"/>
        <v/>
      </c>
      <c r="AK90" s="105" t="str">
        <f t="shared" si="16"/>
        <v/>
      </c>
      <c r="AM90" s="105">
        <v>81</v>
      </c>
      <c r="AO90" s="105" t="str">
        <f t="array" ref="AO90">IFERROR(INDEX($AM$10:$AM$258, MATCH(0, IF(TRUE=$AJ$10:$AJ$258, COUNTIF($AO$9:$AO89, $AM$10:$AM$258), ""), 0)),"")</f>
        <v/>
      </c>
      <c r="AP90" s="105" t="str">
        <f t="array" ref="AP90">IFERROR(INDEX($AM$10:$AM$258, MATCH(0, IF(TRUE=$AK$10:$AK$258, COUNTIF($AP$9:$AP89, $AM$10:$AM$258), ""), 0)),"")</f>
        <v/>
      </c>
      <c r="AR90" s="15" t="str">
        <f>IFERROR(INDEX('G-7 WaterC'' Data'!$AZ$3:$AZ$7,MATCH(D90,'G-7 WaterC'' Data'!$AY$3:$AY$7,0)),"")</f>
        <v/>
      </c>
      <c r="AS90" s="15" t="str">
        <f>IFERROR(INDEX('G-7 WaterC'' Data'!AZ90:AZ94,MATCH(D90,'G-7 WaterC'' Data'!$AY$10:$AY$14,0)),"")</f>
        <v/>
      </c>
      <c r="AU90" s="15" t="str">
        <f>IF(D90="","",VLOOKUP(D90,'G-7 WaterC'' Data'!B$4:M$8,12,FALSE))</f>
        <v/>
      </c>
      <c r="AV90" s="15" t="str">
        <f t="shared" si="17"/>
        <v/>
      </c>
    </row>
    <row r="91" spans="3:48" ht="14" x14ac:dyDescent="0.3">
      <c r="C91" s="92">
        <v>82</v>
      </c>
      <c r="D91" s="271"/>
      <c r="E91" s="120"/>
      <c r="F91" s="290" t="str">
        <f>IF(D91="","",VLOOKUP(D91,'G-7 WaterC'' Data'!$B$2:$G$8,2,FALSE))</f>
        <v/>
      </c>
      <c r="G91" s="291" t="str">
        <f>IFERROR(VLOOKUP(F91,'G-7 WaterC'' Data'!$C$4:$D$8,2,FALSE),"")</f>
        <v/>
      </c>
      <c r="H91" s="38"/>
      <c r="I91" s="291" t="str">
        <f>IFERROR(INDEX('G-7 WaterC'' Data'!$H$4:$L$8,MATCH(D91,'G-7 WaterC'' Data'!$B$4:$B$8,0),MATCH(H91,'G-7 WaterC'' Data'!$H$3:$L$3,0)),"")</f>
        <v/>
      </c>
      <c r="J91" s="777"/>
      <c r="K91" s="325" t="str">
        <f>IF(J91="","",IF(VLOOKUP(J91,'G-7 WaterC'' Data'!$AK$4:$AM$6,2,FALSE)=0,"Spatial Data Missing ⚠",VLOOKUP(J91,'G-7 WaterC'' Data'!$AK$4:$AM$6,2,FALSE)))</f>
        <v/>
      </c>
      <c r="L91" s="296" t="str">
        <f>IF(J91="","",IF(VLOOKUP(J91,'G-7 WaterC'' Data'!$AK$4:$AM$9,3,FALSE)=0,"Spatial Data Missing ⚠",VLOOKUP(J91,'G-7 WaterC'' Data'!$AK$4:$AM$6,3,FALSE)))</f>
        <v/>
      </c>
      <c r="M91" s="38"/>
      <c r="N91" s="291" t="str">
        <f>IF(M91="","",IF(AND(D91&lt;&gt;"Culvert",M91="N/A - Culvert"),"Not possible ▲",IF(AND(D91="Culvert",M91&lt;&gt;"N/A - Culvert"),"Not possible ▲",IF(VLOOKUP(M91,'G-7 WaterC'' Data'!$AA$4:$AB$7,2,FALSE)=0,"Spatial Data Missing ⚠",VLOOKUP(M91,'G-7 WaterC'' Data'!$AA$4:$AB$7,2,FALSE)))))</f>
        <v/>
      </c>
      <c r="O91" s="44"/>
      <c r="P91" s="291" t="str">
        <f>IF(O91="","",IF(AND(O91="N/A - Culvert", D91&lt;&gt;"Culvert"),"Not possible ▲", IF(AND(D91="Culvert",O91&lt;&gt;"N/A - Culvert"),"Not possible ▲",IF(VLOOKUP(O91,'G-7 WaterC'' Data'!$AD$4:$AE$14,2,FALSE)=0,"Spatial Data Missing ⚠",VLOOKUP(O91,'G-7 WaterC'' Data'!$AD$4:$AE$14,2,FALSE)))))</f>
        <v/>
      </c>
      <c r="Q91" s="297" t="str">
        <f>IF(D91="","",VLOOKUP(D91,'G-7 WaterC'' Data'!$B$2:$G$8,6,FALSE))</f>
        <v/>
      </c>
      <c r="R91" s="304" t="str">
        <f>IFERROR(IF(AND(Q91='G-1 All Habitats'!$X$3, AE91&gt;0, U91&lt;=0, V91&lt;=0, OR(AA91="No", AA91="")),"Any Loss Unacceptable ⚠", (IF(AND(Q91='G-1 All Habitats'!$X$3, AE91&gt;0, U91&lt;=0, V91&lt;=0, AA91="Yes"), 0, (IF(AND(Q91='G-1 All Habitats'!$X$3,(U91+V91)&lt;E91, OR(AA91="No", AA91="")),"Any Loss Unacceptable ⚠", (IF(AND(Q91='G-1 All Habitats'!$X$3,(U91+V91)&gt;E91), E91*G91*I91*L91*N91*P91, (IF(Q91="","",IF(AND(Q91='G-1 All Habitats'!$X$3,V91&gt;0),W91+X91,IF(AND(Q91='G-1 All Habitats'!$X$3,U91&gt;0), W91+X91, IF(AND(S91="Yes", V91&gt;(E91-U91)),(E91-U91)*G91*I91*L91*N91*P91, IF(AND(S91="Yes", V91&lt;=(E91-U91)), X91, E91*G91*I91*L91*N91*P91 ))))))))))))),"Check Data ▲")</f>
        <v/>
      </c>
      <c r="S91" s="671" t="str">
        <f t="shared" si="9"/>
        <v/>
      </c>
      <c r="T91" s="17"/>
      <c r="U91" s="95"/>
      <c r="V91" s="106"/>
      <c r="W91" s="302" t="str">
        <f t="shared" si="10"/>
        <v/>
      </c>
      <c r="X91" s="302" t="str">
        <f t="shared" si="11"/>
        <v/>
      </c>
      <c r="Y91" s="302" t="str">
        <f t="shared" si="12"/>
        <v/>
      </c>
      <c r="Z91" s="471" t="str">
        <f t="shared" si="13"/>
        <v/>
      </c>
      <c r="AA91" s="488"/>
      <c r="AB91" s="486"/>
      <c r="AC91" s="101"/>
      <c r="AD91" s="101"/>
      <c r="AE91" s="41" t="str">
        <f>IF(OR(Q91="",AA91="Yes"),"",IF(Q91='G-1 All Habitats'!$X$3,E91-U91-V91,"None"))</f>
        <v/>
      </c>
      <c r="AF91" s="42" t="str">
        <f>IF(Q91="","", IF(Q91='G-1 All Habitats'!$X$3, AE91*G91*I91*L91*N91*P91,"None"))</f>
        <v/>
      </c>
      <c r="AI91" s="15">
        <f t="shared" si="14"/>
        <v>0</v>
      </c>
      <c r="AJ91" s="105" t="str">
        <f t="shared" si="15"/>
        <v/>
      </c>
      <c r="AK91" s="105" t="str">
        <f t="shared" si="16"/>
        <v/>
      </c>
      <c r="AM91" s="105">
        <v>82</v>
      </c>
      <c r="AO91" s="105" t="str">
        <f t="array" ref="AO91">IFERROR(INDEX($AM$10:$AM$258, MATCH(0, IF(TRUE=$AJ$10:$AJ$258, COUNTIF($AO$9:$AO90, $AM$10:$AM$258), ""), 0)),"")</f>
        <v/>
      </c>
      <c r="AP91" s="105" t="str">
        <f t="array" ref="AP91">IFERROR(INDEX($AM$10:$AM$258, MATCH(0, IF(TRUE=$AK$10:$AK$258, COUNTIF($AP$9:$AP90, $AM$10:$AM$258), ""), 0)),"")</f>
        <v/>
      </c>
      <c r="AR91" s="15" t="str">
        <f>IFERROR(INDEX('G-7 WaterC'' Data'!$AZ$3:$AZ$7,MATCH(D91,'G-7 WaterC'' Data'!$AY$3:$AY$7,0)),"")</f>
        <v/>
      </c>
      <c r="AS91" s="15" t="str">
        <f>IFERROR(INDEX('G-7 WaterC'' Data'!AZ91:AZ95,MATCH(D91,'G-7 WaterC'' Data'!$AY$10:$AY$14,0)),"")</f>
        <v/>
      </c>
      <c r="AU91" s="15" t="str">
        <f>IF(D91="","",VLOOKUP(D91,'G-7 WaterC'' Data'!B$4:M$8,12,FALSE))</f>
        <v/>
      </c>
      <c r="AV91" s="15" t="str">
        <f t="shared" si="17"/>
        <v/>
      </c>
    </row>
    <row r="92" spans="3:48" ht="14" x14ac:dyDescent="0.3">
      <c r="C92" s="92">
        <v>83</v>
      </c>
      <c r="D92" s="271"/>
      <c r="E92" s="120"/>
      <c r="F92" s="290" t="str">
        <f>IF(D92="","",VLOOKUP(D92,'G-7 WaterC'' Data'!$B$2:$G$8,2,FALSE))</f>
        <v/>
      </c>
      <c r="G92" s="291" t="str">
        <f>IFERROR(VLOOKUP(F92,'G-7 WaterC'' Data'!$C$4:$D$8,2,FALSE),"")</f>
        <v/>
      </c>
      <c r="H92" s="38"/>
      <c r="I92" s="291" t="str">
        <f>IFERROR(INDEX('G-7 WaterC'' Data'!$H$4:$L$8,MATCH(D92,'G-7 WaterC'' Data'!$B$4:$B$8,0),MATCH(H92,'G-7 WaterC'' Data'!$H$3:$L$3,0)),"")</f>
        <v/>
      </c>
      <c r="J92" s="777"/>
      <c r="K92" s="325" t="str">
        <f>IF(J92="","",IF(VLOOKUP(J92,'G-7 WaterC'' Data'!$AK$4:$AM$6,2,FALSE)=0,"Spatial Data Missing ⚠",VLOOKUP(J92,'G-7 WaterC'' Data'!$AK$4:$AM$6,2,FALSE)))</f>
        <v/>
      </c>
      <c r="L92" s="296" t="str">
        <f>IF(J92="","",IF(VLOOKUP(J92,'G-7 WaterC'' Data'!$AK$4:$AM$9,3,FALSE)=0,"Spatial Data Missing ⚠",VLOOKUP(J92,'G-7 WaterC'' Data'!$AK$4:$AM$6,3,FALSE)))</f>
        <v/>
      </c>
      <c r="M92" s="38"/>
      <c r="N92" s="291" t="str">
        <f>IF(M92="","",IF(AND(D92&lt;&gt;"Culvert",M92="N/A - Culvert"),"Not possible ▲",IF(AND(D92="Culvert",M92&lt;&gt;"N/A - Culvert"),"Not possible ▲",IF(VLOOKUP(M92,'G-7 WaterC'' Data'!$AA$4:$AB$7,2,FALSE)=0,"Spatial Data Missing ⚠",VLOOKUP(M92,'G-7 WaterC'' Data'!$AA$4:$AB$7,2,FALSE)))))</f>
        <v/>
      </c>
      <c r="O92" s="44"/>
      <c r="P92" s="291" t="str">
        <f>IF(O92="","",IF(AND(O92="N/A - Culvert", D92&lt;&gt;"Culvert"),"Not possible ▲", IF(AND(D92="Culvert",O92&lt;&gt;"N/A - Culvert"),"Not possible ▲",IF(VLOOKUP(O92,'G-7 WaterC'' Data'!$AD$4:$AE$14,2,FALSE)=0,"Spatial Data Missing ⚠",VLOOKUP(O92,'G-7 WaterC'' Data'!$AD$4:$AE$14,2,FALSE)))))</f>
        <v/>
      </c>
      <c r="Q92" s="297" t="str">
        <f>IF(D92="","",VLOOKUP(D92,'G-7 WaterC'' Data'!$B$2:$G$8,6,FALSE))</f>
        <v/>
      </c>
      <c r="R92" s="304" t="str">
        <f>IFERROR(IF(AND(Q92='G-1 All Habitats'!$X$3, AE92&gt;0, U92&lt;=0, V92&lt;=0, OR(AA92="No", AA92="")),"Any Loss Unacceptable ⚠", (IF(AND(Q92='G-1 All Habitats'!$X$3, AE92&gt;0, U92&lt;=0, V92&lt;=0, AA92="Yes"), 0, (IF(AND(Q92='G-1 All Habitats'!$X$3,(U92+V92)&lt;E92, OR(AA92="No", AA92="")),"Any Loss Unacceptable ⚠", (IF(AND(Q92='G-1 All Habitats'!$X$3,(U92+V92)&gt;E92), E92*G92*I92*L92*N92*P92, (IF(Q92="","",IF(AND(Q92='G-1 All Habitats'!$X$3,V92&gt;0),W92+X92,IF(AND(Q92='G-1 All Habitats'!$X$3,U92&gt;0), W92+X92, IF(AND(S92="Yes", V92&gt;(E92-U92)),(E92-U92)*G92*I92*L92*N92*P92, IF(AND(S92="Yes", V92&lt;=(E92-U92)), X92, E92*G92*I92*L92*N92*P92 ))))))))))))),"Check Data ▲")</f>
        <v/>
      </c>
      <c r="S92" s="671" t="str">
        <f t="shared" si="9"/>
        <v/>
      </c>
      <c r="T92" s="17"/>
      <c r="U92" s="95"/>
      <c r="V92" s="106"/>
      <c r="W92" s="302" t="str">
        <f t="shared" si="10"/>
        <v/>
      </c>
      <c r="X92" s="302" t="str">
        <f t="shared" si="11"/>
        <v/>
      </c>
      <c r="Y92" s="302" t="str">
        <f t="shared" si="12"/>
        <v/>
      </c>
      <c r="Z92" s="471" t="str">
        <f t="shared" si="13"/>
        <v/>
      </c>
      <c r="AA92" s="488"/>
      <c r="AB92" s="486"/>
      <c r="AC92" s="101"/>
      <c r="AD92" s="101"/>
      <c r="AE92" s="41" t="str">
        <f>IF(OR(Q92="",AA92="Yes"),"",IF(Q92='G-1 All Habitats'!$X$3,E92-U92-V92,"None"))</f>
        <v/>
      </c>
      <c r="AF92" s="42" t="str">
        <f>IF(Q92="","", IF(Q92='G-1 All Habitats'!$X$3, AE92*G92*I92*L92*N92*P92,"None"))</f>
        <v/>
      </c>
      <c r="AI92" s="15">
        <f t="shared" si="14"/>
        <v>0</v>
      </c>
      <c r="AJ92" s="105" t="str">
        <f t="shared" si="15"/>
        <v/>
      </c>
      <c r="AK92" s="105" t="str">
        <f t="shared" si="16"/>
        <v/>
      </c>
      <c r="AM92" s="105">
        <v>83</v>
      </c>
      <c r="AO92" s="105" t="str">
        <f t="array" ref="AO92">IFERROR(INDEX($AM$10:$AM$258, MATCH(0, IF(TRUE=$AJ$10:$AJ$258, COUNTIF($AO$9:$AO91, $AM$10:$AM$258), ""), 0)),"")</f>
        <v/>
      </c>
      <c r="AP92" s="105" t="str">
        <f t="array" ref="AP92">IFERROR(INDEX($AM$10:$AM$258, MATCH(0, IF(TRUE=$AK$10:$AK$258, COUNTIF($AP$9:$AP91, $AM$10:$AM$258), ""), 0)),"")</f>
        <v/>
      </c>
      <c r="AR92" s="15" t="str">
        <f>IFERROR(INDEX('G-7 WaterC'' Data'!$AZ$3:$AZ$7,MATCH(D92,'G-7 WaterC'' Data'!$AY$3:$AY$7,0)),"")</f>
        <v/>
      </c>
      <c r="AS92" s="15" t="str">
        <f>IFERROR(INDEX('G-7 WaterC'' Data'!AZ92:AZ96,MATCH(D92,'G-7 WaterC'' Data'!$AY$10:$AY$14,0)),"")</f>
        <v/>
      </c>
      <c r="AU92" s="15" t="str">
        <f>IF(D92="","",VLOOKUP(D92,'G-7 WaterC'' Data'!B$4:M$8,12,FALSE))</f>
        <v/>
      </c>
      <c r="AV92" s="15" t="str">
        <f t="shared" si="17"/>
        <v/>
      </c>
    </row>
    <row r="93" spans="3:48" ht="14" x14ac:dyDescent="0.3">
      <c r="C93" s="92">
        <v>84</v>
      </c>
      <c r="D93" s="271"/>
      <c r="E93" s="120"/>
      <c r="F93" s="290" t="str">
        <f>IF(D93="","",VLOOKUP(D93,'G-7 WaterC'' Data'!$B$2:$G$8,2,FALSE))</f>
        <v/>
      </c>
      <c r="G93" s="291" t="str">
        <f>IFERROR(VLOOKUP(F93,'G-7 WaterC'' Data'!$C$4:$D$8,2,FALSE),"")</f>
        <v/>
      </c>
      <c r="H93" s="38"/>
      <c r="I93" s="291" t="str">
        <f>IFERROR(INDEX('G-7 WaterC'' Data'!$H$4:$L$8,MATCH(D93,'G-7 WaterC'' Data'!$B$4:$B$8,0),MATCH(H93,'G-7 WaterC'' Data'!$H$3:$L$3,0)),"")</f>
        <v/>
      </c>
      <c r="J93" s="777"/>
      <c r="K93" s="325" t="str">
        <f>IF(J93="","",IF(VLOOKUP(J93,'G-7 WaterC'' Data'!$AK$4:$AM$6,2,FALSE)=0,"Spatial Data Missing ⚠",VLOOKUP(J93,'G-7 WaterC'' Data'!$AK$4:$AM$6,2,FALSE)))</f>
        <v/>
      </c>
      <c r="L93" s="296" t="str">
        <f>IF(J93="","",IF(VLOOKUP(J93,'G-7 WaterC'' Data'!$AK$4:$AM$9,3,FALSE)=0,"Spatial Data Missing ⚠",VLOOKUP(J93,'G-7 WaterC'' Data'!$AK$4:$AM$6,3,FALSE)))</f>
        <v/>
      </c>
      <c r="M93" s="38"/>
      <c r="N93" s="291" t="str">
        <f>IF(M93="","",IF(AND(D93&lt;&gt;"Culvert",M93="N/A - Culvert"),"Not possible ▲",IF(AND(D93="Culvert",M93&lt;&gt;"N/A - Culvert"),"Not possible ▲",IF(VLOOKUP(M93,'G-7 WaterC'' Data'!$AA$4:$AB$7,2,FALSE)=0,"Spatial Data Missing ⚠",VLOOKUP(M93,'G-7 WaterC'' Data'!$AA$4:$AB$7,2,FALSE)))))</f>
        <v/>
      </c>
      <c r="O93" s="44"/>
      <c r="P93" s="291" t="str">
        <f>IF(O93="","",IF(AND(O93="N/A - Culvert", D93&lt;&gt;"Culvert"),"Not possible ▲", IF(AND(D93="Culvert",O93&lt;&gt;"N/A - Culvert"),"Not possible ▲",IF(VLOOKUP(O93,'G-7 WaterC'' Data'!$AD$4:$AE$14,2,FALSE)=0,"Spatial Data Missing ⚠",VLOOKUP(O93,'G-7 WaterC'' Data'!$AD$4:$AE$14,2,FALSE)))))</f>
        <v/>
      </c>
      <c r="Q93" s="297" t="str">
        <f>IF(D93="","",VLOOKUP(D93,'G-7 WaterC'' Data'!$B$2:$G$8,6,FALSE))</f>
        <v/>
      </c>
      <c r="R93" s="304" t="str">
        <f>IFERROR(IF(AND(Q93='G-1 All Habitats'!$X$3, AE93&gt;0, U93&lt;=0, V93&lt;=0, OR(AA93="No", AA93="")),"Any Loss Unacceptable ⚠", (IF(AND(Q93='G-1 All Habitats'!$X$3, AE93&gt;0, U93&lt;=0, V93&lt;=0, AA93="Yes"), 0, (IF(AND(Q93='G-1 All Habitats'!$X$3,(U93+V93)&lt;E93, OR(AA93="No", AA93="")),"Any Loss Unacceptable ⚠", (IF(AND(Q93='G-1 All Habitats'!$X$3,(U93+V93)&gt;E93), E93*G93*I93*L93*N93*P93, (IF(Q93="","",IF(AND(Q93='G-1 All Habitats'!$X$3,V93&gt;0),W93+X93,IF(AND(Q93='G-1 All Habitats'!$X$3,U93&gt;0), W93+X93, IF(AND(S93="Yes", V93&gt;(E93-U93)),(E93-U93)*G93*I93*L93*N93*P93, IF(AND(S93="Yes", V93&lt;=(E93-U93)), X93, E93*G93*I93*L93*N93*P93 ))))))))))))),"Check Data ▲")</f>
        <v/>
      </c>
      <c r="S93" s="671" t="str">
        <f t="shared" si="9"/>
        <v/>
      </c>
      <c r="T93" s="17"/>
      <c r="U93" s="95"/>
      <c r="V93" s="106"/>
      <c r="W93" s="302" t="str">
        <f t="shared" si="10"/>
        <v/>
      </c>
      <c r="X93" s="302" t="str">
        <f t="shared" si="11"/>
        <v/>
      </c>
      <c r="Y93" s="302" t="str">
        <f t="shared" si="12"/>
        <v/>
      </c>
      <c r="Z93" s="471" t="str">
        <f t="shared" si="13"/>
        <v/>
      </c>
      <c r="AA93" s="488"/>
      <c r="AB93" s="486"/>
      <c r="AC93" s="101"/>
      <c r="AD93" s="101"/>
      <c r="AE93" s="41" t="str">
        <f>IF(OR(Q93="",AA93="Yes"),"",IF(Q93='G-1 All Habitats'!$X$3,E93-U93-V93,"None"))</f>
        <v/>
      </c>
      <c r="AF93" s="42" t="str">
        <f>IF(Q93="","", IF(Q93='G-1 All Habitats'!$X$3, AE93*G93*I93*L93*N93*P93,"None"))</f>
        <v/>
      </c>
      <c r="AI93" s="15">
        <f t="shared" si="14"/>
        <v>0</v>
      </c>
      <c r="AJ93" s="105" t="str">
        <f t="shared" si="15"/>
        <v/>
      </c>
      <c r="AK93" s="105" t="str">
        <f t="shared" si="16"/>
        <v/>
      </c>
      <c r="AM93" s="105">
        <v>84</v>
      </c>
      <c r="AO93" s="105" t="str">
        <f t="array" ref="AO93">IFERROR(INDEX($AM$10:$AM$258, MATCH(0, IF(TRUE=$AJ$10:$AJ$258, COUNTIF($AO$9:$AO92, $AM$10:$AM$258), ""), 0)),"")</f>
        <v/>
      </c>
      <c r="AP93" s="105" t="str">
        <f t="array" ref="AP93">IFERROR(INDEX($AM$10:$AM$258, MATCH(0, IF(TRUE=$AK$10:$AK$258, COUNTIF($AP$9:$AP92, $AM$10:$AM$258), ""), 0)),"")</f>
        <v/>
      </c>
      <c r="AR93" s="15" t="str">
        <f>IFERROR(INDEX('G-7 WaterC'' Data'!$AZ$3:$AZ$7,MATCH(D93,'G-7 WaterC'' Data'!$AY$3:$AY$7,0)),"")</f>
        <v/>
      </c>
      <c r="AS93" s="15" t="str">
        <f>IFERROR(INDEX('G-7 WaterC'' Data'!AZ93:AZ97,MATCH(D93,'G-7 WaterC'' Data'!$AY$10:$AY$14,0)),"")</f>
        <v/>
      </c>
      <c r="AU93" s="15" t="str">
        <f>IF(D93="","",VLOOKUP(D93,'G-7 WaterC'' Data'!B$4:M$8,12,FALSE))</f>
        <v/>
      </c>
      <c r="AV93" s="15" t="str">
        <f t="shared" si="17"/>
        <v/>
      </c>
    </row>
    <row r="94" spans="3:48" ht="14" x14ac:dyDescent="0.3">
      <c r="C94" s="92">
        <v>85</v>
      </c>
      <c r="D94" s="271"/>
      <c r="E94" s="120"/>
      <c r="F94" s="290" t="str">
        <f>IF(D94="","",VLOOKUP(D94,'G-7 WaterC'' Data'!$B$2:$G$8,2,FALSE))</f>
        <v/>
      </c>
      <c r="G94" s="291" t="str">
        <f>IFERROR(VLOOKUP(F94,'G-7 WaterC'' Data'!$C$4:$D$8,2,FALSE),"")</f>
        <v/>
      </c>
      <c r="H94" s="38"/>
      <c r="I94" s="291" t="str">
        <f>IFERROR(INDEX('G-7 WaterC'' Data'!$H$4:$L$8,MATCH(D94,'G-7 WaterC'' Data'!$B$4:$B$8,0),MATCH(H94,'G-7 WaterC'' Data'!$H$3:$L$3,0)),"")</f>
        <v/>
      </c>
      <c r="J94" s="777"/>
      <c r="K94" s="325" t="str">
        <f>IF(J94="","",IF(VLOOKUP(J94,'G-7 WaterC'' Data'!$AK$4:$AM$6,2,FALSE)=0,"Spatial Data Missing ⚠",VLOOKUP(J94,'G-7 WaterC'' Data'!$AK$4:$AM$6,2,FALSE)))</f>
        <v/>
      </c>
      <c r="L94" s="296" t="str">
        <f>IF(J94="","",IF(VLOOKUP(J94,'G-7 WaterC'' Data'!$AK$4:$AM$9,3,FALSE)=0,"Spatial Data Missing ⚠",VLOOKUP(J94,'G-7 WaterC'' Data'!$AK$4:$AM$6,3,FALSE)))</f>
        <v/>
      </c>
      <c r="M94" s="38"/>
      <c r="N94" s="291" t="str">
        <f>IF(M94="","",IF(AND(D94&lt;&gt;"Culvert",M94="N/A - Culvert"),"Not possible ▲",IF(AND(D94="Culvert",M94&lt;&gt;"N/A - Culvert"),"Not possible ▲",IF(VLOOKUP(M94,'G-7 WaterC'' Data'!$AA$4:$AB$7,2,FALSE)=0,"Spatial Data Missing ⚠",VLOOKUP(M94,'G-7 WaterC'' Data'!$AA$4:$AB$7,2,FALSE)))))</f>
        <v/>
      </c>
      <c r="O94" s="44"/>
      <c r="P94" s="291" t="str">
        <f>IF(O94="","",IF(AND(O94="N/A - Culvert", D94&lt;&gt;"Culvert"),"Not possible ▲", IF(AND(D94="Culvert",O94&lt;&gt;"N/A - Culvert"),"Not possible ▲",IF(VLOOKUP(O94,'G-7 WaterC'' Data'!$AD$4:$AE$14,2,FALSE)=0,"Spatial Data Missing ⚠",VLOOKUP(O94,'G-7 WaterC'' Data'!$AD$4:$AE$14,2,FALSE)))))</f>
        <v/>
      </c>
      <c r="Q94" s="297" t="str">
        <f>IF(D94="","",VLOOKUP(D94,'G-7 WaterC'' Data'!$B$2:$G$8,6,FALSE))</f>
        <v/>
      </c>
      <c r="R94" s="304" t="str">
        <f>IFERROR(IF(AND(Q94='G-1 All Habitats'!$X$3, AE94&gt;0, U94&lt;=0, V94&lt;=0, OR(AA94="No", AA94="")),"Any Loss Unacceptable ⚠", (IF(AND(Q94='G-1 All Habitats'!$X$3, AE94&gt;0, U94&lt;=0, V94&lt;=0, AA94="Yes"), 0, (IF(AND(Q94='G-1 All Habitats'!$X$3,(U94+V94)&lt;E94, OR(AA94="No", AA94="")),"Any Loss Unacceptable ⚠", (IF(AND(Q94='G-1 All Habitats'!$X$3,(U94+V94)&gt;E94), E94*G94*I94*L94*N94*P94, (IF(Q94="","",IF(AND(Q94='G-1 All Habitats'!$X$3,V94&gt;0),W94+X94,IF(AND(Q94='G-1 All Habitats'!$X$3,U94&gt;0), W94+X94, IF(AND(S94="Yes", V94&gt;(E94-U94)),(E94-U94)*G94*I94*L94*N94*P94, IF(AND(S94="Yes", V94&lt;=(E94-U94)), X94, E94*G94*I94*L94*N94*P94 ))))))))))))),"Check Data ▲")</f>
        <v/>
      </c>
      <c r="S94" s="671" t="str">
        <f t="shared" si="9"/>
        <v/>
      </c>
      <c r="T94" s="17"/>
      <c r="U94" s="95"/>
      <c r="V94" s="106"/>
      <c r="W94" s="302" t="str">
        <f t="shared" si="10"/>
        <v/>
      </c>
      <c r="X94" s="302" t="str">
        <f t="shared" si="11"/>
        <v/>
      </c>
      <c r="Y94" s="302" t="str">
        <f t="shared" si="12"/>
        <v/>
      </c>
      <c r="Z94" s="471" t="str">
        <f t="shared" si="13"/>
        <v/>
      </c>
      <c r="AA94" s="488"/>
      <c r="AB94" s="486"/>
      <c r="AC94" s="101"/>
      <c r="AD94" s="101"/>
      <c r="AE94" s="41" t="str">
        <f>IF(OR(Q94="",AA94="Yes"),"",IF(Q94='G-1 All Habitats'!$X$3,E94-U94-V94,"None"))</f>
        <v/>
      </c>
      <c r="AF94" s="42" t="str">
        <f>IF(Q94="","", IF(Q94='G-1 All Habitats'!$X$3, AE94*G94*I94*L94*N94*P94,"None"))</f>
        <v/>
      </c>
      <c r="AI94" s="15">
        <f t="shared" si="14"/>
        <v>0</v>
      </c>
      <c r="AJ94" s="105" t="str">
        <f t="shared" si="15"/>
        <v/>
      </c>
      <c r="AK94" s="105" t="str">
        <f t="shared" si="16"/>
        <v/>
      </c>
      <c r="AM94" s="105">
        <v>85</v>
      </c>
      <c r="AO94" s="105" t="str">
        <f t="array" ref="AO94">IFERROR(INDEX($AM$10:$AM$258, MATCH(0, IF(TRUE=$AJ$10:$AJ$258, COUNTIF($AO$9:$AO93, $AM$10:$AM$258), ""), 0)),"")</f>
        <v/>
      </c>
      <c r="AP94" s="105" t="str">
        <f t="array" ref="AP94">IFERROR(INDEX($AM$10:$AM$258, MATCH(0, IF(TRUE=$AK$10:$AK$258, COUNTIF($AP$9:$AP93, $AM$10:$AM$258), ""), 0)),"")</f>
        <v/>
      </c>
      <c r="AR94" s="15" t="str">
        <f>IFERROR(INDEX('G-7 WaterC'' Data'!$AZ$3:$AZ$7,MATCH(D94,'G-7 WaterC'' Data'!$AY$3:$AY$7,0)),"")</f>
        <v/>
      </c>
      <c r="AS94" s="15" t="str">
        <f>IFERROR(INDEX('G-7 WaterC'' Data'!AZ94:AZ98,MATCH(D94,'G-7 WaterC'' Data'!$AY$10:$AY$14,0)),"")</f>
        <v/>
      </c>
      <c r="AU94" s="15" t="str">
        <f>IF(D94="","",VLOOKUP(D94,'G-7 WaterC'' Data'!B$4:M$8,12,FALSE))</f>
        <v/>
      </c>
      <c r="AV94" s="15" t="str">
        <f t="shared" si="17"/>
        <v/>
      </c>
    </row>
    <row r="95" spans="3:48" ht="14" x14ac:dyDescent="0.3">
      <c r="C95" s="92">
        <v>86</v>
      </c>
      <c r="D95" s="271"/>
      <c r="E95" s="120"/>
      <c r="F95" s="290" t="str">
        <f>IF(D95="","",VLOOKUP(D95,'G-7 WaterC'' Data'!$B$2:$G$8,2,FALSE))</f>
        <v/>
      </c>
      <c r="G95" s="291" t="str">
        <f>IFERROR(VLOOKUP(F95,'G-7 WaterC'' Data'!$C$4:$D$8,2,FALSE),"")</f>
        <v/>
      </c>
      <c r="H95" s="38"/>
      <c r="I95" s="291" t="str">
        <f>IFERROR(INDEX('G-7 WaterC'' Data'!$H$4:$L$8,MATCH(D95,'G-7 WaterC'' Data'!$B$4:$B$8,0),MATCH(H95,'G-7 WaterC'' Data'!$H$3:$L$3,0)),"")</f>
        <v/>
      </c>
      <c r="J95" s="777"/>
      <c r="K95" s="325" t="str">
        <f>IF(J95="","",IF(VLOOKUP(J95,'G-7 WaterC'' Data'!$AK$4:$AM$6,2,FALSE)=0,"Spatial Data Missing ⚠",VLOOKUP(J95,'G-7 WaterC'' Data'!$AK$4:$AM$6,2,FALSE)))</f>
        <v/>
      </c>
      <c r="L95" s="296" t="str">
        <f>IF(J95="","",IF(VLOOKUP(J95,'G-7 WaterC'' Data'!$AK$4:$AM$9,3,FALSE)=0,"Spatial Data Missing ⚠",VLOOKUP(J95,'G-7 WaterC'' Data'!$AK$4:$AM$6,3,FALSE)))</f>
        <v/>
      </c>
      <c r="M95" s="38"/>
      <c r="N95" s="291" t="str">
        <f>IF(M95="","",IF(AND(D95&lt;&gt;"Culvert",M95="N/A - Culvert"),"Not possible ▲",IF(AND(D95="Culvert",M95&lt;&gt;"N/A - Culvert"),"Not possible ▲",IF(VLOOKUP(M95,'G-7 WaterC'' Data'!$AA$4:$AB$7,2,FALSE)=0,"Spatial Data Missing ⚠",VLOOKUP(M95,'G-7 WaterC'' Data'!$AA$4:$AB$7,2,FALSE)))))</f>
        <v/>
      </c>
      <c r="O95" s="44"/>
      <c r="P95" s="291" t="str">
        <f>IF(O95="","",IF(AND(O95="N/A - Culvert", D95&lt;&gt;"Culvert"),"Not possible ▲", IF(AND(D95="Culvert",O95&lt;&gt;"N/A - Culvert"),"Not possible ▲",IF(VLOOKUP(O95,'G-7 WaterC'' Data'!$AD$4:$AE$14,2,FALSE)=0,"Spatial Data Missing ⚠",VLOOKUP(O95,'G-7 WaterC'' Data'!$AD$4:$AE$14,2,FALSE)))))</f>
        <v/>
      </c>
      <c r="Q95" s="297" t="str">
        <f>IF(D95="","",VLOOKUP(D95,'G-7 WaterC'' Data'!$B$2:$G$8,6,FALSE))</f>
        <v/>
      </c>
      <c r="R95" s="304" t="str">
        <f>IFERROR(IF(AND(Q95='G-1 All Habitats'!$X$3, AE95&gt;0, U95&lt;=0, V95&lt;=0, OR(AA95="No", AA95="")),"Any Loss Unacceptable ⚠", (IF(AND(Q95='G-1 All Habitats'!$X$3, AE95&gt;0, U95&lt;=0, V95&lt;=0, AA95="Yes"), 0, (IF(AND(Q95='G-1 All Habitats'!$X$3,(U95+V95)&lt;E95, OR(AA95="No", AA95="")),"Any Loss Unacceptable ⚠", (IF(AND(Q95='G-1 All Habitats'!$X$3,(U95+V95)&gt;E95), E95*G95*I95*L95*N95*P95, (IF(Q95="","",IF(AND(Q95='G-1 All Habitats'!$X$3,V95&gt;0),W95+X95,IF(AND(Q95='G-1 All Habitats'!$X$3,U95&gt;0), W95+X95, IF(AND(S95="Yes", V95&gt;(E95-U95)),(E95-U95)*G95*I95*L95*N95*P95, IF(AND(S95="Yes", V95&lt;=(E95-U95)), X95, E95*G95*I95*L95*N95*P95 ))))))))))))),"Check Data ▲")</f>
        <v/>
      </c>
      <c r="S95" s="671" t="str">
        <f t="shared" si="9"/>
        <v/>
      </c>
      <c r="T95" s="17"/>
      <c r="U95" s="95"/>
      <c r="V95" s="106"/>
      <c r="W95" s="302" t="str">
        <f t="shared" si="10"/>
        <v/>
      </c>
      <c r="X95" s="302" t="str">
        <f t="shared" si="11"/>
        <v/>
      </c>
      <c r="Y95" s="302" t="str">
        <f t="shared" si="12"/>
        <v/>
      </c>
      <c r="Z95" s="471" t="str">
        <f t="shared" si="13"/>
        <v/>
      </c>
      <c r="AA95" s="488"/>
      <c r="AB95" s="486"/>
      <c r="AC95" s="101"/>
      <c r="AD95" s="101"/>
      <c r="AE95" s="41" t="str">
        <f>IF(OR(Q95="",AA95="Yes"),"",IF(Q95='G-1 All Habitats'!$X$3,E95-U95-V95,"None"))</f>
        <v/>
      </c>
      <c r="AF95" s="42" t="str">
        <f>IF(Q95="","", IF(Q95='G-1 All Habitats'!$X$3, AE95*G95*I95*L95*N95*P95,"None"))</f>
        <v/>
      </c>
      <c r="AI95" s="15">
        <f t="shared" si="14"/>
        <v>0</v>
      </c>
      <c r="AJ95" s="105" t="str">
        <f t="shared" si="15"/>
        <v/>
      </c>
      <c r="AK95" s="105" t="str">
        <f t="shared" si="16"/>
        <v/>
      </c>
      <c r="AM95" s="105">
        <v>86</v>
      </c>
      <c r="AO95" s="105" t="str">
        <f t="array" ref="AO95">IFERROR(INDEX($AM$10:$AM$258, MATCH(0, IF(TRUE=$AJ$10:$AJ$258, COUNTIF($AO$9:$AO94, $AM$10:$AM$258), ""), 0)),"")</f>
        <v/>
      </c>
      <c r="AP95" s="105" t="str">
        <f t="array" ref="AP95">IFERROR(INDEX($AM$10:$AM$258, MATCH(0, IF(TRUE=$AK$10:$AK$258, COUNTIF($AP$9:$AP94, $AM$10:$AM$258), ""), 0)),"")</f>
        <v/>
      </c>
      <c r="AR95" s="15" t="str">
        <f>IFERROR(INDEX('G-7 WaterC'' Data'!$AZ$3:$AZ$7,MATCH(D95,'G-7 WaterC'' Data'!$AY$3:$AY$7,0)),"")</f>
        <v/>
      </c>
      <c r="AS95" s="15" t="str">
        <f>IFERROR(INDEX('G-7 WaterC'' Data'!AZ95:AZ99,MATCH(D95,'G-7 WaterC'' Data'!$AY$10:$AY$14,0)),"")</f>
        <v/>
      </c>
      <c r="AU95" s="15" t="str">
        <f>IF(D95="","",VLOOKUP(D95,'G-7 WaterC'' Data'!B$4:M$8,12,FALSE))</f>
        <v/>
      </c>
      <c r="AV95" s="15" t="str">
        <f t="shared" si="17"/>
        <v/>
      </c>
    </row>
    <row r="96" spans="3:48" ht="14" x14ac:dyDescent="0.3">
      <c r="C96" s="92">
        <v>87</v>
      </c>
      <c r="D96" s="271"/>
      <c r="E96" s="120"/>
      <c r="F96" s="290" t="str">
        <f>IF(D96="","",VLOOKUP(D96,'G-7 WaterC'' Data'!$B$2:$G$8,2,FALSE))</f>
        <v/>
      </c>
      <c r="G96" s="291" t="str">
        <f>IFERROR(VLOOKUP(F96,'G-7 WaterC'' Data'!$C$4:$D$8,2,FALSE),"")</f>
        <v/>
      </c>
      <c r="H96" s="38"/>
      <c r="I96" s="291" t="str">
        <f>IFERROR(INDEX('G-7 WaterC'' Data'!$H$4:$L$8,MATCH(D96,'G-7 WaterC'' Data'!$B$4:$B$8,0),MATCH(H96,'G-7 WaterC'' Data'!$H$3:$L$3,0)),"")</f>
        <v/>
      </c>
      <c r="J96" s="777"/>
      <c r="K96" s="325" t="str">
        <f>IF(J96="","",IF(VLOOKUP(J96,'G-7 WaterC'' Data'!$AK$4:$AM$6,2,FALSE)=0,"Spatial Data Missing ⚠",VLOOKUP(J96,'G-7 WaterC'' Data'!$AK$4:$AM$6,2,FALSE)))</f>
        <v/>
      </c>
      <c r="L96" s="296" t="str">
        <f>IF(J96="","",IF(VLOOKUP(J96,'G-7 WaterC'' Data'!$AK$4:$AM$9,3,FALSE)=0,"Spatial Data Missing ⚠",VLOOKUP(J96,'G-7 WaterC'' Data'!$AK$4:$AM$6,3,FALSE)))</f>
        <v/>
      </c>
      <c r="M96" s="38"/>
      <c r="N96" s="291" t="str">
        <f>IF(M96="","",IF(AND(D96&lt;&gt;"Culvert",M96="N/A - Culvert"),"Not possible ▲",IF(AND(D96="Culvert",M96&lt;&gt;"N/A - Culvert"),"Not possible ▲",IF(VLOOKUP(M96,'G-7 WaterC'' Data'!$AA$4:$AB$7,2,FALSE)=0,"Spatial Data Missing ⚠",VLOOKUP(M96,'G-7 WaterC'' Data'!$AA$4:$AB$7,2,FALSE)))))</f>
        <v/>
      </c>
      <c r="O96" s="44"/>
      <c r="P96" s="291" t="str">
        <f>IF(O96="","",IF(AND(O96="N/A - Culvert", D96&lt;&gt;"Culvert"),"Not possible ▲", IF(AND(D96="Culvert",O96&lt;&gt;"N/A - Culvert"),"Not possible ▲",IF(VLOOKUP(O96,'G-7 WaterC'' Data'!$AD$4:$AE$14,2,FALSE)=0,"Spatial Data Missing ⚠",VLOOKUP(O96,'G-7 WaterC'' Data'!$AD$4:$AE$14,2,FALSE)))))</f>
        <v/>
      </c>
      <c r="Q96" s="297" t="str">
        <f>IF(D96="","",VLOOKUP(D96,'G-7 WaterC'' Data'!$B$2:$G$8,6,FALSE))</f>
        <v/>
      </c>
      <c r="R96" s="304" t="str">
        <f>IFERROR(IF(AND(Q96='G-1 All Habitats'!$X$3, AE96&gt;0, U96&lt;=0, V96&lt;=0, OR(AA96="No", AA96="")),"Any Loss Unacceptable ⚠", (IF(AND(Q96='G-1 All Habitats'!$X$3, AE96&gt;0, U96&lt;=0, V96&lt;=0, AA96="Yes"), 0, (IF(AND(Q96='G-1 All Habitats'!$X$3,(U96+V96)&lt;E96, OR(AA96="No", AA96="")),"Any Loss Unacceptable ⚠", (IF(AND(Q96='G-1 All Habitats'!$X$3,(U96+V96)&gt;E96), E96*G96*I96*L96*N96*P96, (IF(Q96="","",IF(AND(Q96='G-1 All Habitats'!$X$3,V96&gt;0),W96+X96,IF(AND(Q96='G-1 All Habitats'!$X$3,U96&gt;0), W96+X96, IF(AND(S96="Yes", V96&gt;(E96-U96)),(E96-U96)*G96*I96*L96*N96*P96, IF(AND(S96="Yes", V96&lt;=(E96-U96)), X96, E96*G96*I96*L96*N96*P96 ))))))))))))),"Check Data ▲")</f>
        <v/>
      </c>
      <c r="S96" s="671" t="str">
        <f t="shared" si="9"/>
        <v/>
      </c>
      <c r="T96" s="17"/>
      <c r="U96" s="95"/>
      <c r="V96" s="106"/>
      <c r="W96" s="302" t="str">
        <f t="shared" si="10"/>
        <v/>
      </c>
      <c r="X96" s="302" t="str">
        <f t="shared" si="11"/>
        <v/>
      </c>
      <c r="Y96" s="302" t="str">
        <f t="shared" si="12"/>
        <v/>
      </c>
      <c r="Z96" s="471" t="str">
        <f t="shared" si="13"/>
        <v/>
      </c>
      <c r="AA96" s="488"/>
      <c r="AB96" s="486"/>
      <c r="AC96" s="101"/>
      <c r="AD96" s="101"/>
      <c r="AE96" s="41" t="str">
        <f>IF(OR(Q96="",AA96="Yes"),"",IF(Q96='G-1 All Habitats'!$X$3,E96-U96-V96,"None"))</f>
        <v/>
      </c>
      <c r="AF96" s="42" t="str">
        <f>IF(Q96="","", IF(Q96='G-1 All Habitats'!$X$3, AE96*G96*I96*L96*N96*P96,"None"))</f>
        <v/>
      </c>
      <c r="AI96" s="15">
        <f t="shared" si="14"/>
        <v>0</v>
      </c>
      <c r="AJ96" s="105" t="str">
        <f t="shared" si="15"/>
        <v/>
      </c>
      <c r="AK96" s="105" t="str">
        <f t="shared" si="16"/>
        <v/>
      </c>
      <c r="AM96" s="105">
        <v>87</v>
      </c>
      <c r="AO96" s="105" t="str">
        <f t="array" ref="AO96">IFERROR(INDEX($AM$10:$AM$258, MATCH(0, IF(TRUE=$AJ$10:$AJ$258, COUNTIF($AO$9:$AO95, $AM$10:$AM$258), ""), 0)),"")</f>
        <v/>
      </c>
      <c r="AP96" s="105" t="str">
        <f t="array" ref="AP96">IFERROR(INDEX($AM$10:$AM$258, MATCH(0, IF(TRUE=$AK$10:$AK$258, COUNTIF($AP$9:$AP95, $AM$10:$AM$258), ""), 0)),"")</f>
        <v/>
      </c>
      <c r="AR96" s="15" t="str">
        <f>IFERROR(INDEX('G-7 WaterC'' Data'!$AZ$3:$AZ$7,MATCH(D96,'G-7 WaterC'' Data'!$AY$3:$AY$7,0)),"")</f>
        <v/>
      </c>
      <c r="AS96" s="15" t="str">
        <f>IFERROR(INDEX('G-7 WaterC'' Data'!AZ96:AZ100,MATCH(D96,'G-7 WaterC'' Data'!$AY$10:$AY$14,0)),"")</f>
        <v/>
      </c>
      <c r="AU96" s="15" t="str">
        <f>IF(D96="","",VLOOKUP(D96,'G-7 WaterC'' Data'!B$4:M$8,12,FALSE))</f>
        <v/>
      </c>
      <c r="AV96" s="15" t="str">
        <f t="shared" si="17"/>
        <v/>
      </c>
    </row>
    <row r="97" spans="3:48" ht="14" x14ac:dyDescent="0.3">
      <c r="C97" s="92">
        <v>88</v>
      </c>
      <c r="D97" s="271"/>
      <c r="E97" s="120"/>
      <c r="F97" s="290" t="str">
        <f>IF(D97="","",VLOOKUP(D97,'G-7 WaterC'' Data'!$B$2:$G$8,2,FALSE))</f>
        <v/>
      </c>
      <c r="G97" s="291" t="str">
        <f>IFERROR(VLOOKUP(F97,'G-7 WaterC'' Data'!$C$4:$D$8,2,FALSE),"")</f>
        <v/>
      </c>
      <c r="H97" s="38"/>
      <c r="I97" s="291" t="str">
        <f>IFERROR(INDEX('G-7 WaterC'' Data'!$H$4:$L$8,MATCH(D97,'G-7 WaterC'' Data'!$B$4:$B$8,0),MATCH(H97,'G-7 WaterC'' Data'!$H$3:$L$3,0)),"")</f>
        <v/>
      </c>
      <c r="J97" s="777"/>
      <c r="K97" s="325" t="str">
        <f>IF(J97="","",IF(VLOOKUP(J97,'G-7 WaterC'' Data'!$AK$4:$AM$6,2,FALSE)=0,"Spatial Data Missing ⚠",VLOOKUP(J97,'G-7 WaterC'' Data'!$AK$4:$AM$6,2,FALSE)))</f>
        <v/>
      </c>
      <c r="L97" s="296" t="str">
        <f>IF(J97="","",IF(VLOOKUP(J97,'G-7 WaterC'' Data'!$AK$4:$AM$9,3,FALSE)=0,"Spatial Data Missing ⚠",VLOOKUP(J97,'G-7 WaterC'' Data'!$AK$4:$AM$6,3,FALSE)))</f>
        <v/>
      </c>
      <c r="M97" s="38"/>
      <c r="N97" s="291" t="str">
        <f>IF(M97="","",IF(AND(D97&lt;&gt;"Culvert",M97="N/A - Culvert"),"Not possible ▲",IF(AND(D97="Culvert",M97&lt;&gt;"N/A - Culvert"),"Not possible ▲",IF(VLOOKUP(M97,'G-7 WaterC'' Data'!$AA$4:$AB$7,2,FALSE)=0,"Spatial Data Missing ⚠",VLOOKUP(M97,'G-7 WaterC'' Data'!$AA$4:$AB$7,2,FALSE)))))</f>
        <v/>
      </c>
      <c r="O97" s="44"/>
      <c r="P97" s="291" t="str">
        <f>IF(O97="","",IF(AND(O97="N/A - Culvert", D97&lt;&gt;"Culvert"),"Not possible ▲", IF(AND(D97="Culvert",O97&lt;&gt;"N/A - Culvert"),"Not possible ▲",IF(VLOOKUP(O97,'G-7 WaterC'' Data'!$AD$4:$AE$14,2,FALSE)=0,"Spatial Data Missing ⚠",VLOOKUP(O97,'G-7 WaterC'' Data'!$AD$4:$AE$14,2,FALSE)))))</f>
        <v/>
      </c>
      <c r="Q97" s="297" t="str">
        <f>IF(D97="","",VLOOKUP(D97,'G-7 WaterC'' Data'!$B$2:$G$8,6,FALSE))</f>
        <v/>
      </c>
      <c r="R97" s="304" t="str">
        <f>IFERROR(IF(AND(Q97='G-1 All Habitats'!$X$3, AE97&gt;0, U97&lt;=0, V97&lt;=0, OR(AA97="No", AA97="")),"Any Loss Unacceptable ⚠", (IF(AND(Q97='G-1 All Habitats'!$X$3, AE97&gt;0, U97&lt;=0, V97&lt;=0, AA97="Yes"), 0, (IF(AND(Q97='G-1 All Habitats'!$X$3,(U97+V97)&lt;E97, OR(AA97="No", AA97="")),"Any Loss Unacceptable ⚠", (IF(AND(Q97='G-1 All Habitats'!$X$3,(U97+V97)&gt;E97), E97*G97*I97*L97*N97*P97, (IF(Q97="","",IF(AND(Q97='G-1 All Habitats'!$X$3,V97&gt;0),W97+X97,IF(AND(Q97='G-1 All Habitats'!$X$3,U97&gt;0), W97+X97, IF(AND(S97="Yes", V97&gt;(E97-U97)),(E97-U97)*G97*I97*L97*N97*P97, IF(AND(S97="Yes", V97&lt;=(E97-U97)), X97, E97*G97*I97*L97*N97*P97 ))))))))))))),"Check Data ▲")</f>
        <v/>
      </c>
      <c r="S97" s="671" t="str">
        <f t="shared" si="9"/>
        <v/>
      </c>
      <c r="T97" s="17"/>
      <c r="U97" s="95"/>
      <c r="V97" s="106"/>
      <c r="W97" s="302" t="str">
        <f t="shared" si="10"/>
        <v/>
      </c>
      <c r="X97" s="302" t="str">
        <f t="shared" si="11"/>
        <v/>
      </c>
      <c r="Y97" s="302" t="str">
        <f t="shared" si="12"/>
        <v/>
      </c>
      <c r="Z97" s="471" t="str">
        <f t="shared" si="13"/>
        <v/>
      </c>
      <c r="AA97" s="488"/>
      <c r="AB97" s="486"/>
      <c r="AC97" s="101"/>
      <c r="AD97" s="101"/>
      <c r="AE97" s="41" t="str">
        <f>IF(OR(Q97="",AA97="Yes"),"",IF(Q97='G-1 All Habitats'!$X$3,E97-U97-V97,"None"))</f>
        <v/>
      </c>
      <c r="AF97" s="42" t="str">
        <f>IF(Q97="","", IF(Q97='G-1 All Habitats'!$X$3, AE97*G97*I97*L97*N97*P97,"None"))</f>
        <v/>
      </c>
      <c r="AI97" s="15">
        <f t="shared" si="14"/>
        <v>0</v>
      </c>
      <c r="AJ97" s="105" t="str">
        <f t="shared" si="15"/>
        <v/>
      </c>
      <c r="AK97" s="105" t="str">
        <f t="shared" si="16"/>
        <v/>
      </c>
      <c r="AM97" s="105">
        <v>88</v>
      </c>
      <c r="AO97" s="105" t="str">
        <f t="array" ref="AO97">IFERROR(INDEX($AM$10:$AM$258, MATCH(0, IF(TRUE=$AJ$10:$AJ$258, COUNTIF($AO$9:$AO96, $AM$10:$AM$258), ""), 0)),"")</f>
        <v/>
      </c>
      <c r="AP97" s="105" t="str">
        <f t="array" ref="AP97">IFERROR(INDEX($AM$10:$AM$258, MATCH(0, IF(TRUE=$AK$10:$AK$258, COUNTIF($AP$9:$AP96, $AM$10:$AM$258), ""), 0)),"")</f>
        <v/>
      </c>
      <c r="AR97" s="15" t="str">
        <f>IFERROR(INDEX('G-7 WaterC'' Data'!$AZ$3:$AZ$7,MATCH(D97,'G-7 WaterC'' Data'!$AY$3:$AY$7,0)),"")</f>
        <v/>
      </c>
      <c r="AS97" s="15" t="str">
        <f>IFERROR(INDEX('G-7 WaterC'' Data'!AZ97:AZ101,MATCH(D97,'G-7 WaterC'' Data'!$AY$10:$AY$14,0)),"")</f>
        <v/>
      </c>
      <c r="AU97" s="15" t="str">
        <f>IF(D97="","",VLOOKUP(D97,'G-7 WaterC'' Data'!B$4:M$8,12,FALSE))</f>
        <v/>
      </c>
      <c r="AV97" s="15" t="str">
        <f t="shared" si="17"/>
        <v/>
      </c>
    </row>
    <row r="98" spans="3:48" ht="14" x14ac:dyDescent="0.3">
      <c r="C98" s="92">
        <v>89</v>
      </c>
      <c r="D98" s="271"/>
      <c r="E98" s="120"/>
      <c r="F98" s="290" t="str">
        <f>IF(D98="","",VLOOKUP(D98,'G-7 WaterC'' Data'!$B$2:$G$8,2,FALSE))</f>
        <v/>
      </c>
      <c r="G98" s="291" t="str">
        <f>IFERROR(VLOOKUP(F98,'G-7 WaterC'' Data'!$C$4:$D$8,2,FALSE),"")</f>
        <v/>
      </c>
      <c r="H98" s="38"/>
      <c r="I98" s="291" t="str">
        <f>IFERROR(INDEX('G-7 WaterC'' Data'!$H$4:$L$8,MATCH(D98,'G-7 WaterC'' Data'!$B$4:$B$8,0),MATCH(H98,'G-7 WaterC'' Data'!$H$3:$L$3,0)),"")</f>
        <v/>
      </c>
      <c r="J98" s="777"/>
      <c r="K98" s="325" t="str">
        <f>IF(J98="","",IF(VLOOKUP(J98,'G-7 WaterC'' Data'!$AK$4:$AM$6,2,FALSE)=0,"Spatial Data Missing ⚠",VLOOKUP(J98,'G-7 WaterC'' Data'!$AK$4:$AM$6,2,FALSE)))</f>
        <v/>
      </c>
      <c r="L98" s="296" t="str">
        <f>IF(J98="","",IF(VLOOKUP(J98,'G-7 WaterC'' Data'!$AK$4:$AM$9,3,FALSE)=0,"Spatial Data Missing ⚠",VLOOKUP(J98,'G-7 WaterC'' Data'!$AK$4:$AM$6,3,FALSE)))</f>
        <v/>
      </c>
      <c r="M98" s="38"/>
      <c r="N98" s="291" t="str">
        <f>IF(M98="","",IF(AND(D98&lt;&gt;"Culvert",M98="N/A - Culvert"),"Not possible ▲",IF(AND(D98="Culvert",M98&lt;&gt;"N/A - Culvert"),"Not possible ▲",IF(VLOOKUP(M98,'G-7 WaterC'' Data'!$AA$4:$AB$7,2,FALSE)=0,"Spatial Data Missing ⚠",VLOOKUP(M98,'G-7 WaterC'' Data'!$AA$4:$AB$7,2,FALSE)))))</f>
        <v/>
      </c>
      <c r="O98" s="44"/>
      <c r="P98" s="291" t="str">
        <f>IF(O98="","",IF(AND(O98="N/A - Culvert", D98&lt;&gt;"Culvert"),"Not possible ▲", IF(AND(D98="Culvert",O98&lt;&gt;"N/A - Culvert"),"Not possible ▲",IF(VLOOKUP(O98,'G-7 WaterC'' Data'!$AD$4:$AE$14,2,FALSE)=0,"Spatial Data Missing ⚠",VLOOKUP(O98,'G-7 WaterC'' Data'!$AD$4:$AE$14,2,FALSE)))))</f>
        <v/>
      </c>
      <c r="Q98" s="297" t="str">
        <f>IF(D98="","",VLOOKUP(D98,'G-7 WaterC'' Data'!$B$2:$G$8,6,FALSE))</f>
        <v/>
      </c>
      <c r="R98" s="304" t="str">
        <f>IFERROR(IF(AND(Q98='G-1 All Habitats'!$X$3, AE98&gt;0, U98&lt;=0, V98&lt;=0, OR(AA98="No", AA98="")),"Any Loss Unacceptable ⚠", (IF(AND(Q98='G-1 All Habitats'!$X$3, AE98&gt;0, U98&lt;=0, V98&lt;=0, AA98="Yes"), 0, (IF(AND(Q98='G-1 All Habitats'!$X$3,(U98+V98)&lt;E98, OR(AA98="No", AA98="")),"Any Loss Unacceptable ⚠", (IF(AND(Q98='G-1 All Habitats'!$X$3,(U98+V98)&gt;E98), E98*G98*I98*L98*N98*P98, (IF(Q98="","",IF(AND(Q98='G-1 All Habitats'!$X$3,V98&gt;0),W98+X98,IF(AND(Q98='G-1 All Habitats'!$X$3,U98&gt;0), W98+X98, IF(AND(S98="Yes", V98&gt;(E98-U98)),(E98-U98)*G98*I98*L98*N98*P98, IF(AND(S98="Yes", V98&lt;=(E98-U98)), X98, E98*G98*I98*L98*N98*P98 ))))))))))))),"Check Data ▲")</f>
        <v/>
      </c>
      <c r="S98" s="671" t="str">
        <f t="shared" si="9"/>
        <v/>
      </c>
      <c r="T98" s="17"/>
      <c r="U98" s="95"/>
      <c r="V98" s="106"/>
      <c r="W98" s="302" t="str">
        <f t="shared" si="10"/>
        <v/>
      </c>
      <c r="X98" s="302" t="str">
        <f t="shared" si="11"/>
        <v/>
      </c>
      <c r="Y98" s="302" t="str">
        <f t="shared" si="12"/>
        <v/>
      </c>
      <c r="Z98" s="471" t="str">
        <f t="shared" si="13"/>
        <v/>
      </c>
      <c r="AA98" s="488"/>
      <c r="AB98" s="486"/>
      <c r="AC98" s="101"/>
      <c r="AD98" s="101"/>
      <c r="AE98" s="41" t="str">
        <f>IF(OR(Q98="",AA98="Yes"),"",IF(Q98='G-1 All Habitats'!$X$3,E98-U98-V98,"None"))</f>
        <v/>
      </c>
      <c r="AF98" s="42" t="str">
        <f>IF(Q98="","", IF(Q98='G-1 All Habitats'!$X$3, AE98*G98*I98*L98*N98*P98,"None"))</f>
        <v/>
      </c>
      <c r="AI98" s="15">
        <f t="shared" si="14"/>
        <v>0</v>
      </c>
      <c r="AJ98" s="105" t="str">
        <f t="shared" si="15"/>
        <v/>
      </c>
      <c r="AK98" s="105" t="str">
        <f t="shared" si="16"/>
        <v/>
      </c>
      <c r="AM98" s="105">
        <v>89</v>
      </c>
      <c r="AO98" s="105" t="str">
        <f t="array" ref="AO98">IFERROR(INDEX($AM$10:$AM$258, MATCH(0, IF(TRUE=$AJ$10:$AJ$258, COUNTIF($AO$9:$AO97, $AM$10:$AM$258), ""), 0)),"")</f>
        <v/>
      </c>
      <c r="AP98" s="105" t="str">
        <f t="array" ref="AP98">IFERROR(INDEX($AM$10:$AM$258, MATCH(0, IF(TRUE=$AK$10:$AK$258, COUNTIF($AP$9:$AP97, $AM$10:$AM$258), ""), 0)),"")</f>
        <v/>
      </c>
      <c r="AR98" s="15" t="str">
        <f>IFERROR(INDEX('G-7 WaterC'' Data'!$AZ$3:$AZ$7,MATCH(D98,'G-7 WaterC'' Data'!$AY$3:$AY$7,0)),"")</f>
        <v/>
      </c>
      <c r="AS98" s="15" t="str">
        <f>IFERROR(INDEX('G-7 WaterC'' Data'!AZ98:AZ102,MATCH(D98,'G-7 WaterC'' Data'!$AY$10:$AY$14,0)),"")</f>
        <v/>
      </c>
      <c r="AU98" s="15" t="str">
        <f>IF(D98="","",VLOOKUP(D98,'G-7 WaterC'' Data'!B$4:M$8,12,FALSE))</f>
        <v/>
      </c>
      <c r="AV98" s="15" t="str">
        <f t="shared" si="17"/>
        <v/>
      </c>
    </row>
    <row r="99" spans="3:48" ht="14" x14ac:dyDescent="0.3">
      <c r="C99" s="92">
        <v>90</v>
      </c>
      <c r="D99" s="271"/>
      <c r="E99" s="120"/>
      <c r="F99" s="290" t="str">
        <f>IF(D99="","",VLOOKUP(D99,'G-7 WaterC'' Data'!$B$2:$G$8,2,FALSE))</f>
        <v/>
      </c>
      <c r="G99" s="291" t="str">
        <f>IFERROR(VLOOKUP(F99,'G-7 WaterC'' Data'!$C$4:$D$8,2,FALSE),"")</f>
        <v/>
      </c>
      <c r="H99" s="38"/>
      <c r="I99" s="291" t="str">
        <f>IFERROR(INDEX('G-7 WaterC'' Data'!$H$4:$L$8,MATCH(D99,'G-7 WaterC'' Data'!$B$4:$B$8,0),MATCH(H99,'G-7 WaterC'' Data'!$H$3:$L$3,0)),"")</f>
        <v/>
      </c>
      <c r="J99" s="777"/>
      <c r="K99" s="325" t="str">
        <f>IF(J99="","",IF(VLOOKUP(J99,'G-7 WaterC'' Data'!$AK$4:$AM$6,2,FALSE)=0,"Spatial Data Missing ⚠",VLOOKUP(J99,'G-7 WaterC'' Data'!$AK$4:$AM$6,2,FALSE)))</f>
        <v/>
      </c>
      <c r="L99" s="296" t="str">
        <f>IF(J99="","",IF(VLOOKUP(J99,'G-7 WaterC'' Data'!$AK$4:$AM$9,3,FALSE)=0,"Spatial Data Missing ⚠",VLOOKUP(J99,'G-7 WaterC'' Data'!$AK$4:$AM$6,3,FALSE)))</f>
        <v/>
      </c>
      <c r="M99" s="38"/>
      <c r="N99" s="291" t="str">
        <f>IF(M99="","",IF(AND(D99&lt;&gt;"Culvert",M99="N/A - Culvert"),"Not possible ▲",IF(AND(D99="Culvert",M99&lt;&gt;"N/A - Culvert"),"Not possible ▲",IF(VLOOKUP(M99,'G-7 WaterC'' Data'!$AA$4:$AB$7,2,FALSE)=0,"Spatial Data Missing ⚠",VLOOKUP(M99,'G-7 WaterC'' Data'!$AA$4:$AB$7,2,FALSE)))))</f>
        <v/>
      </c>
      <c r="O99" s="44"/>
      <c r="P99" s="291" t="str">
        <f>IF(O99="","",IF(AND(O99="N/A - Culvert", D99&lt;&gt;"Culvert"),"Not possible ▲", IF(AND(D99="Culvert",O99&lt;&gt;"N/A - Culvert"),"Not possible ▲",IF(VLOOKUP(O99,'G-7 WaterC'' Data'!$AD$4:$AE$14,2,FALSE)=0,"Spatial Data Missing ⚠",VLOOKUP(O99,'G-7 WaterC'' Data'!$AD$4:$AE$14,2,FALSE)))))</f>
        <v/>
      </c>
      <c r="Q99" s="297" t="str">
        <f>IF(D99="","",VLOOKUP(D99,'G-7 WaterC'' Data'!$B$2:$G$8,6,FALSE))</f>
        <v/>
      </c>
      <c r="R99" s="304" t="str">
        <f>IFERROR(IF(AND(Q99='G-1 All Habitats'!$X$3, AE99&gt;0, U99&lt;=0, V99&lt;=0, OR(AA99="No", AA99="")),"Any Loss Unacceptable ⚠", (IF(AND(Q99='G-1 All Habitats'!$X$3, AE99&gt;0, U99&lt;=0, V99&lt;=0, AA99="Yes"), 0, (IF(AND(Q99='G-1 All Habitats'!$X$3,(U99+V99)&lt;E99, OR(AA99="No", AA99="")),"Any Loss Unacceptable ⚠", (IF(AND(Q99='G-1 All Habitats'!$X$3,(U99+V99)&gt;E99), E99*G99*I99*L99*N99*P99, (IF(Q99="","",IF(AND(Q99='G-1 All Habitats'!$X$3,V99&gt;0),W99+X99,IF(AND(Q99='G-1 All Habitats'!$X$3,U99&gt;0), W99+X99, IF(AND(S99="Yes", V99&gt;(E99-U99)),(E99-U99)*G99*I99*L99*N99*P99, IF(AND(S99="Yes", V99&lt;=(E99-U99)), X99, E99*G99*I99*L99*N99*P99 ))))))))))))),"Check Data ▲")</f>
        <v/>
      </c>
      <c r="S99" s="671" t="str">
        <f t="shared" si="9"/>
        <v/>
      </c>
      <c r="T99" s="17"/>
      <c r="U99" s="95"/>
      <c r="V99" s="106"/>
      <c r="W99" s="302" t="str">
        <f t="shared" si="10"/>
        <v/>
      </c>
      <c r="X99" s="302" t="str">
        <f t="shared" si="11"/>
        <v/>
      </c>
      <c r="Y99" s="302" t="str">
        <f t="shared" si="12"/>
        <v/>
      </c>
      <c r="Z99" s="471" t="str">
        <f t="shared" si="13"/>
        <v/>
      </c>
      <c r="AA99" s="488"/>
      <c r="AB99" s="486"/>
      <c r="AC99" s="101"/>
      <c r="AD99" s="101"/>
      <c r="AE99" s="41" t="str">
        <f>IF(OR(Q99="",AA99="Yes"),"",IF(Q99='G-1 All Habitats'!$X$3,E99-U99-V99,"None"))</f>
        <v/>
      </c>
      <c r="AF99" s="42" t="str">
        <f>IF(Q99="","", IF(Q99='G-1 All Habitats'!$X$3, AE99*G99*I99*L99*N99*P99,"None"))</f>
        <v/>
      </c>
      <c r="AI99" s="15">
        <f t="shared" si="14"/>
        <v>0</v>
      </c>
      <c r="AJ99" s="105" t="str">
        <f t="shared" si="15"/>
        <v/>
      </c>
      <c r="AK99" s="105" t="str">
        <f t="shared" si="16"/>
        <v/>
      </c>
      <c r="AM99" s="105">
        <v>90</v>
      </c>
      <c r="AO99" s="105" t="str">
        <f t="array" ref="AO99">IFERROR(INDEX($AM$10:$AM$258, MATCH(0, IF(TRUE=$AJ$10:$AJ$258, COUNTIF($AO$9:$AO98, $AM$10:$AM$258), ""), 0)),"")</f>
        <v/>
      </c>
      <c r="AP99" s="105" t="str">
        <f t="array" ref="AP99">IFERROR(INDEX($AM$10:$AM$258, MATCH(0, IF(TRUE=$AK$10:$AK$258, COUNTIF($AP$9:$AP98, $AM$10:$AM$258), ""), 0)),"")</f>
        <v/>
      </c>
      <c r="AR99" s="15" t="str">
        <f>IFERROR(INDEX('G-7 WaterC'' Data'!$AZ$3:$AZ$7,MATCH(D99,'G-7 WaterC'' Data'!$AY$3:$AY$7,0)),"")</f>
        <v/>
      </c>
      <c r="AS99" s="15" t="str">
        <f>IFERROR(INDEX('G-7 WaterC'' Data'!AZ99:AZ103,MATCH(D99,'G-7 WaterC'' Data'!$AY$10:$AY$14,0)),"")</f>
        <v/>
      </c>
      <c r="AU99" s="15" t="str">
        <f>IF(D99="","",VLOOKUP(D99,'G-7 WaterC'' Data'!B$4:M$8,12,FALSE))</f>
        <v/>
      </c>
      <c r="AV99" s="15" t="str">
        <f t="shared" si="17"/>
        <v/>
      </c>
    </row>
    <row r="100" spans="3:48" ht="14" x14ac:dyDescent="0.3">
      <c r="C100" s="92">
        <v>91</v>
      </c>
      <c r="D100" s="271"/>
      <c r="E100" s="120"/>
      <c r="F100" s="290" t="str">
        <f>IF(D100="","",VLOOKUP(D100,'G-7 WaterC'' Data'!$B$2:$G$8,2,FALSE))</f>
        <v/>
      </c>
      <c r="G100" s="291" t="str">
        <f>IFERROR(VLOOKUP(F100,'G-7 WaterC'' Data'!$C$4:$D$8,2,FALSE),"")</f>
        <v/>
      </c>
      <c r="H100" s="38"/>
      <c r="I100" s="291" t="str">
        <f>IFERROR(INDEX('G-7 WaterC'' Data'!$H$4:$L$8,MATCH(D100,'G-7 WaterC'' Data'!$B$4:$B$8,0),MATCH(H100,'G-7 WaterC'' Data'!$H$3:$L$3,0)),"")</f>
        <v/>
      </c>
      <c r="J100" s="777"/>
      <c r="K100" s="325" t="str">
        <f>IF(J100="","",IF(VLOOKUP(J100,'G-7 WaterC'' Data'!$AK$4:$AM$6,2,FALSE)=0,"Spatial Data Missing ⚠",VLOOKUP(J100,'G-7 WaterC'' Data'!$AK$4:$AM$6,2,FALSE)))</f>
        <v/>
      </c>
      <c r="L100" s="296" t="str">
        <f>IF(J100="","",IF(VLOOKUP(J100,'G-7 WaterC'' Data'!$AK$4:$AM$9,3,FALSE)=0,"Spatial Data Missing ⚠",VLOOKUP(J100,'G-7 WaterC'' Data'!$AK$4:$AM$6,3,FALSE)))</f>
        <v/>
      </c>
      <c r="M100" s="38"/>
      <c r="N100" s="291" t="str">
        <f>IF(M100="","",IF(AND(D100&lt;&gt;"Culvert",M100="N/A - Culvert"),"Not possible ▲",IF(AND(D100="Culvert",M100&lt;&gt;"N/A - Culvert"),"Not possible ▲",IF(VLOOKUP(M100,'G-7 WaterC'' Data'!$AA$4:$AB$7,2,FALSE)=0,"Spatial Data Missing ⚠",VLOOKUP(M100,'G-7 WaterC'' Data'!$AA$4:$AB$7,2,FALSE)))))</f>
        <v/>
      </c>
      <c r="O100" s="44"/>
      <c r="P100" s="291" t="str">
        <f>IF(O100="","",IF(AND(O100="N/A - Culvert", D100&lt;&gt;"Culvert"),"Not possible ▲", IF(AND(D100="Culvert",O100&lt;&gt;"N/A - Culvert"),"Not possible ▲",IF(VLOOKUP(O100,'G-7 WaterC'' Data'!$AD$4:$AE$14,2,FALSE)=0,"Spatial Data Missing ⚠",VLOOKUP(O100,'G-7 WaterC'' Data'!$AD$4:$AE$14,2,FALSE)))))</f>
        <v/>
      </c>
      <c r="Q100" s="297" t="str">
        <f>IF(D100="","",VLOOKUP(D100,'G-7 WaterC'' Data'!$B$2:$G$8,6,FALSE))</f>
        <v/>
      </c>
      <c r="R100" s="304" t="str">
        <f>IFERROR(IF(AND(Q100='G-1 All Habitats'!$X$3, AE100&gt;0, U100&lt;=0, V100&lt;=0, OR(AA100="No", AA100="")),"Any Loss Unacceptable ⚠", (IF(AND(Q100='G-1 All Habitats'!$X$3, AE100&gt;0, U100&lt;=0, V100&lt;=0, AA100="Yes"), 0, (IF(AND(Q100='G-1 All Habitats'!$X$3,(U100+V100)&lt;E100, OR(AA100="No", AA100="")),"Any Loss Unacceptable ⚠", (IF(AND(Q100='G-1 All Habitats'!$X$3,(U100+V100)&gt;E100), E100*G100*I100*L100*N100*P100, (IF(Q100="","",IF(AND(Q100='G-1 All Habitats'!$X$3,V100&gt;0),W100+X100,IF(AND(Q100='G-1 All Habitats'!$X$3,U100&gt;0), W100+X100, IF(AND(S100="Yes", V100&gt;(E100-U100)),(E100-U100)*G100*I100*L100*N100*P100, IF(AND(S100="Yes", V100&lt;=(E100-U100)), X100, E100*G100*I100*L100*N100*P100 ))))))))))))),"Check Data ▲")</f>
        <v/>
      </c>
      <c r="S100" s="671" t="str">
        <f t="shared" si="9"/>
        <v/>
      </c>
      <c r="T100" s="17"/>
      <c r="U100" s="95"/>
      <c r="V100" s="106"/>
      <c r="W100" s="302" t="str">
        <f t="shared" si="10"/>
        <v/>
      </c>
      <c r="X100" s="302" t="str">
        <f t="shared" si="11"/>
        <v/>
      </c>
      <c r="Y100" s="302" t="str">
        <f t="shared" si="12"/>
        <v/>
      </c>
      <c r="Z100" s="471" t="str">
        <f t="shared" si="13"/>
        <v/>
      </c>
      <c r="AA100" s="488"/>
      <c r="AB100" s="486"/>
      <c r="AC100" s="101"/>
      <c r="AD100" s="101"/>
      <c r="AE100" s="41" t="str">
        <f>IF(OR(Q100="",AA100="Yes"),"",IF(Q100='G-1 All Habitats'!$X$3,E100-U100-V100,"None"))</f>
        <v/>
      </c>
      <c r="AF100" s="42" t="str">
        <f>IF(Q100="","", IF(Q100='G-1 All Habitats'!$X$3, AE100*G100*I100*L100*N100*P100,"None"))</f>
        <v/>
      </c>
      <c r="AI100" s="15">
        <f t="shared" si="14"/>
        <v>0</v>
      </c>
      <c r="AJ100" s="105" t="str">
        <f t="shared" si="15"/>
        <v/>
      </c>
      <c r="AK100" s="105" t="str">
        <f t="shared" si="16"/>
        <v/>
      </c>
      <c r="AM100" s="105">
        <v>91</v>
      </c>
      <c r="AO100" s="105" t="str">
        <f t="array" ref="AO100">IFERROR(INDEX($AM$10:$AM$258, MATCH(0, IF(TRUE=$AJ$10:$AJ$258, COUNTIF($AO$9:$AO99, $AM$10:$AM$258), ""), 0)),"")</f>
        <v/>
      </c>
      <c r="AP100" s="105" t="str">
        <f t="array" ref="AP100">IFERROR(INDEX($AM$10:$AM$258, MATCH(0, IF(TRUE=$AK$10:$AK$258, COUNTIF($AP$9:$AP99, $AM$10:$AM$258), ""), 0)),"")</f>
        <v/>
      </c>
      <c r="AR100" s="15" t="str">
        <f>IFERROR(INDEX('G-7 WaterC'' Data'!$AZ$3:$AZ$7,MATCH(D100,'G-7 WaterC'' Data'!$AY$3:$AY$7,0)),"")</f>
        <v/>
      </c>
      <c r="AS100" s="15" t="str">
        <f>IFERROR(INDEX('G-7 WaterC'' Data'!AZ100:AZ104,MATCH(D100,'G-7 WaterC'' Data'!$AY$10:$AY$14,0)),"")</f>
        <v/>
      </c>
      <c r="AU100" s="15" t="str">
        <f>IF(D100="","",VLOOKUP(D100,'G-7 WaterC'' Data'!B$4:M$8,12,FALSE))</f>
        <v/>
      </c>
      <c r="AV100" s="15" t="str">
        <f t="shared" si="17"/>
        <v/>
      </c>
    </row>
    <row r="101" spans="3:48" ht="14" x14ac:dyDescent="0.3">
      <c r="C101" s="92">
        <v>92</v>
      </c>
      <c r="D101" s="271"/>
      <c r="E101" s="120"/>
      <c r="F101" s="290" t="str">
        <f>IF(D101="","",VLOOKUP(D101,'G-7 WaterC'' Data'!$B$2:$G$8,2,FALSE))</f>
        <v/>
      </c>
      <c r="G101" s="291" t="str">
        <f>IFERROR(VLOOKUP(F101,'G-7 WaterC'' Data'!$C$4:$D$8,2,FALSE),"")</f>
        <v/>
      </c>
      <c r="H101" s="38"/>
      <c r="I101" s="291" t="str">
        <f>IFERROR(INDEX('G-7 WaterC'' Data'!$H$4:$L$8,MATCH(D101,'G-7 WaterC'' Data'!$B$4:$B$8,0),MATCH(H101,'G-7 WaterC'' Data'!$H$3:$L$3,0)),"")</f>
        <v/>
      </c>
      <c r="J101" s="777"/>
      <c r="K101" s="325" t="str">
        <f>IF(J101="","",IF(VLOOKUP(J101,'G-7 WaterC'' Data'!$AK$4:$AM$6,2,FALSE)=0,"Spatial Data Missing ⚠",VLOOKUP(J101,'G-7 WaterC'' Data'!$AK$4:$AM$6,2,FALSE)))</f>
        <v/>
      </c>
      <c r="L101" s="296" t="str">
        <f>IF(J101="","",IF(VLOOKUP(J101,'G-7 WaterC'' Data'!$AK$4:$AM$9,3,FALSE)=0,"Spatial Data Missing ⚠",VLOOKUP(J101,'G-7 WaterC'' Data'!$AK$4:$AM$6,3,FALSE)))</f>
        <v/>
      </c>
      <c r="M101" s="38"/>
      <c r="N101" s="291" t="str">
        <f>IF(M101="","",IF(AND(D101&lt;&gt;"Culvert",M101="N/A - Culvert"),"Not possible ▲",IF(AND(D101="Culvert",M101&lt;&gt;"N/A - Culvert"),"Not possible ▲",IF(VLOOKUP(M101,'G-7 WaterC'' Data'!$AA$4:$AB$7,2,FALSE)=0,"Spatial Data Missing ⚠",VLOOKUP(M101,'G-7 WaterC'' Data'!$AA$4:$AB$7,2,FALSE)))))</f>
        <v/>
      </c>
      <c r="O101" s="44"/>
      <c r="P101" s="291" t="str">
        <f>IF(O101="","",IF(AND(O101="N/A - Culvert", D101&lt;&gt;"Culvert"),"Not possible ▲", IF(AND(D101="Culvert",O101&lt;&gt;"N/A - Culvert"),"Not possible ▲",IF(VLOOKUP(O101,'G-7 WaterC'' Data'!$AD$4:$AE$14,2,FALSE)=0,"Spatial Data Missing ⚠",VLOOKUP(O101,'G-7 WaterC'' Data'!$AD$4:$AE$14,2,FALSE)))))</f>
        <v/>
      </c>
      <c r="Q101" s="297" t="str">
        <f>IF(D101="","",VLOOKUP(D101,'G-7 WaterC'' Data'!$B$2:$G$8,6,FALSE))</f>
        <v/>
      </c>
      <c r="R101" s="304" t="str">
        <f>IFERROR(IF(AND(Q101='G-1 All Habitats'!$X$3, AE101&gt;0, U101&lt;=0, V101&lt;=0, OR(AA101="No", AA101="")),"Any Loss Unacceptable ⚠", (IF(AND(Q101='G-1 All Habitats'!$X$3, AE101&gt;0, U101&lt;=0, V101&lt;=0, AA101="Yes"), 0, (IF(AND(Q101='G-1 All Habitats'!$X$3,(U101+V101)&lt;E101, OR(AA101="No", AA101="")),"Any Loss Unacceptable ⚠", (IF(AND(Q101='G-1 All Habitats'!$X$3,(U101+V101)&gt;E101), E101*G101*I101*L101*N101*P101, (IF(Q101="","",IF(AND(Q101='G-1 All Habitats'!$X$3,V101&gt;0),W101+X101,IF(AND(Q101='G-1 All Habitats'!$X$3,U101&gt;0), W101+X101, IF(AND(S101="Yes", V101&gt;(E101-U101)),(E101-U101)*G101*I101*L101*N101*P101, IF(AND(S101="Yes", V101&lt;=(E101-U101)), X101, E101*G101*I101*L101*N101*P101 ))))))))))))),"Check Data ▲")</f>
        <v/>
      </c>
      <c r="S101" s="671" t="str">
        <f t="shared" si="9"/>
        <v/>
      </c>
      <c r="T101" s="17"/>
      <c r="U101" s="95"/>
      <c r="V101" s="106"/>
      <c r="W101" s="302" t="str">
        <f t="shared" si="10"/>
        <v/>
      </c>
      <c r="X101" s="302" t="str">
        <f t="shared" si="11"/>
        <v/>
      </c>
      <c r="Y101" s="302" t="str">
        <f t="shared" si="12"/>
        <v/>
      </c>
      <c r="Z101" s="471" t="str">
        <f t="shared" si="13"/>
        <v/>
      </c>
      <c r="AA101" s="488"/>
      <c r="AB101" s="486"/>
      <c r="AC101" s="101"/>
      <c r="AD101" s="101"/>
      <c r="AE101" s="41" t="str">
        <f>IF(OR(Q101="",AA101="Yes"),"",IF(Q101='G-1 All Habitats'!$X$3,E101-U101-V101,"None"))</f>
        <v/>
      </c>
      <c r="AF101" s="42" t="str">
        <f>IF(Q101="","", IF(Q101='G-1 All Habitats'!$X$3, AE101*G101*I101*L101*N101*P101,"None"))</f>
        <v/>
      </c>
      <c r="AI101" s="15">
        <f t="shared" si="14"/>
        <v>0</v>
      </c>
      <c r="AJ101" s="105" t="str">
        <f t="shared" si="15"/>
        <v/>
      </c>
      <c r="AK101" s="105" t="str">
        <f t="shared" si="16"/>
        <v/>
      </c>
      <c r="AM101" s="105">
        <v>92</v>
      </c>
      <c r="AO101" s="105" t="str">
        <f t="array" ref="AO101">IFERROR(INDEX($AM$10:$AM$258, MATCH(0, IF(TRUE=$AJ$10:$AJ$258, COUNTIF($AO$9:$AO100, $AM$10:$AM$258), ""), 0)),"")</f>
        <v/>
      </c>
      <c r="AP101" s="105" t="str">
        <f t="array" ref="AP101">IFERROR(INDEX($AM$10:$AM$258, MATCH(0, IF(TRUE=$AK$10:$AK$258, COUNTIF($AP$9:$AP100, $AM$10:$AM$258), ""), 0)),"")</f>
        <v/>
      </c>
      <c r="AR101" s="15" t="str">
        <f>IFERROR(INDEX('G-7 WaterC'' Data'!$AZ$3:$AZ$7,MATCH(D101,'G-7 WaterC'' Data'!$AY$3:$AY$7,0)),"")</f>
        <v/>
      </c>
      <c r="AS101" s="15" t="str">
        <f>IFERROR(INDEX('G-7 WaterC'' Data'!AZ101:AZ105,MATCH(D101,'G-7 WaterC'' Data'!$AY$10:$AY$14,0)),"")</f>
        <v/>
      </c>
      <c r="AU101" s="15" t="str">
        <f>IF(D101="","",VLOOKUP(D101,'G-7 WaterC'' Data'!B$4:M$8,12,FALSE))</f>
        <v/>
      </c>
      <c r="AV101" s="15" t="str">
        <f t="shared" si="17"/>
        <v/>
      </c>
    </row>
    <row r="102" spans="3:48" ht="14" x14ac:dyDescent="0.3">
      <c r="C102" s="92">
        <v>93</v>
      </c>
      <c r="D102" s="271"/>
      <c r="E102" s="120"/>
      <c r="F102" s="290" t="str">
        <f>IF(D102="","",VLOOKUP(D102,'G-7 WaterC'' Data'!$B$2:$G$8,2,FALSE))</f>
        <v/>
      </c>
      <c r="G102" s="291" t="str">
        <f>IFERROR(VLOOKUP(F102,'G-7 WaterC'' Data'!$C$4:$D$8,2,FALSE),"")</f>
        <v/>
      </c>
      <c r="H102" s="38"/>
      <c r="I102" s="291" t="str">
        <f>IFERROR(INDEX('G-7 WaterC'' Data'!$H$4:$L$8,MATCH(D102,'G-7 WaterC'' Data'!$B$4:$B$8,0),MATCH(H102,'G-7 WaterC'' Data'!$H$3:$L$3,0)),"")</f>
        <v/>
      </c>
      <c r="J102" s="777"/>
      <c r="K102" s="325" t="str">
        <f>IF(J102="","",IF(VLOOKUP(J102,'G-7 WaterC'' Data'!$AK$4:$AM$6,2,FALSE)=0,"Spatial Data Missing ⚠",VLOOKUP(J102,'G-7 WaterC'' Data'!$AK$4:$AM$6,2,FALSE)))</f>
        <v/>
      </c>
      <c r="L102" s="296" t="str">
        <f>IF(J102="","",IF(VLOOKUP(J102,'G-7 WaterC'' Data'!$AK$4:$AM$9,3,FALSE)=0,"Spatial Data Missing ⚠",VLOOKUP(J102,'G-7 WaterC'' Data'!$AK$4:$AM$6,3,FALSE)))</f>
        <v/>
      </c>
      <c r="M102" s="38"/>
      <c r="N102" s="291" t="str">
        <f>IF(M102="","",IF(AND(D102&lt;&gt;"Culvert",M102="N/A - Culvert"),"Not possible ▲",IF(AND(D102="Culvert",M102&lt;&gt;"N/A - Culvert"),"Not possible ▲",IF(VLOOKUP(M102,'G-7 WaterC'' Data'!$AA$4:$AB$7,2,FALSE)=0,"Spatial Data Missing ⚠",VLOOKUP(M102,'G-7 WaterC'' Data'!$AA$4:$AB$7,2,FALSE)))))</f>
        <v/>
      </c>
      <c r="O102" s="44"/>
      <c r="P102" s="291" t="str">
        <f>IF(O102="","",IF(AND(O102="N/A - Culvert", D102&lt;&gt;"Culvert"),"Not possible ▲", IF(AND(D102="Culvert",O102&lt;&gt;"N/A - Culvert"),"Not possible ▲",IF(VLOOKUP(O102,'G-7 WaterC'' Data'!$AD$4:$AE$14,2,FALSE)=0,"Spatial Data Missing ⚠",VLOOKUP(O102,'G-7 WaterC'' Data'!$AD$4:$AE$14,2,FALSE)))))</f>
        <v/>
      </c>
      <c r="Q102" s="297" t="str">
        <f>IF(D102="","",VLOOKUP(D102,'G-7 WaterC'' Data'!$B$2:$G$8,6,FALSE))</f>
        <v/>
      </c>
      <c r="R102" s="304" t="str">
        <f>IFERROR(IF(AND(Q102='G-1 All Habitats'!$X$3, AE102&gt;0, U102&lt;=0, V102&lt;=0, OR(AA102="No", AA102="")),"Any Loss Unacceptable ⚠", (IF(AND(Q102='G-1 All Habitats'!$X$3, AE102&gt;0, U102&lt;=0, V102&lt;=0, AA102="Yes"), 0, (IF(AND(Q102='G-1 All Habitats'!$X$3,(U102+V102)&lt;E102, OR(AA102="No", AA102="")),"Any Loss Unacceptable ⚠", (IF(AND(Q102='G-1 All Habitats'!$X$3,(U102+V102)&gt;E102), E102*G102*I102*L102*N102*P102, (IF(Q102="","",IF(AND(Q102='G-1 All Habitats'!$X$3,V102&gt;0),W102+X102,IF(AND(Q102='G-1 All Habitats'!$X$3,U102&gt;0), W102+X102, IF(AND(S102="Yes", V102&gt;(E102-U102)),(E102-U102)*G102*I102*L102*N102*P102, IF(AND(S102="Yes", V102&lt;=(E102-U102)), X102, E102*G102*I102*L102*N102*P102 ))))))))))))),"Check Data ▲")</f>
        <v/>
      </c>
      <c r="S102" s="671" t="str">
        <f t="shared" si="9"/>
        <v/>
      </c>
      <c r="T102" s="17"/>
      <c r="U102" s="95"/>
      <c r="V102" s="106"/>
      <c r="W102" s="302" t="str">
        <f t="shared" si="10"/>
        <v/>
      </c>
      <c r="X102" s="302" t="str">
        <f t="shared" si="11"/>
        <v/>
      </c>
      <c r="Y102" s="302" t="str">
        <f t="shared" si="12"/>
        <v/>
      </c>
      <c r="Z102" s="471" t="str">
        <f t="shared" si="13"/>
        <v/>
      </c>
      <c r="AA102" s="488"/>
      <c r="AB102" s="486"/>
      <c r="AC102" s="101"/>
      <c r="AD102" s="101"/>
      <c r="AE102" s="41" t="str">
        <f>IF(OR(Q102="",AA102="Yes"),"",IF(Q102='G-1 All Habitats'!$X$3,E102-U102-V102,"None"))</f>
        <v/>
      </c>
      <c r="AF102" s="42" t="str">
        <f>IF(Q102="","", IF(Q102='G-1 All Habitats'!$X$3, AE102*G102*I102*L102*N102*P102,"None"))</f>
        <v/>
      </c>
      <c r="AI102" s="15">
        <f t="shared" si="14"/>
        <v>0</v>
      </c>
      <c r="AJ102" s="105" t="str">
        <f t="shared" si="15"/>
        <v/>
      </c>
      <c r="AK102" s="105" t="str">
        <f t="shared" si="16"/>
        <v/>
      </c>
      <c r="AM102" s="105">
        <v>93</v>
      </c>
      <c r="AO102" s="105" t="str">
        <f t="array" ref="AO102">IFERROR(INDEX($AM$10:$AM$258, MATCH(0, IF(TRUE=$AJ$10:$AJ$258, COUNTIF($AO$9:$AO101, $AM$10:$AM$258), ""), 0)),"")</f>
        <v/>
      </c>
      <c r="AP102" s="105" t="str">
        <f t="array" ref="AP102">IFERROR(INDEX($AM$10:$AM$258, MATCH(0, IF(TRUE=$AK$10:$AK$258, COUNTIF($AP$9:$AP101, $AM$10:$AM$258), ""), 0)),"")</f>
        <v/>
      </c>
      <c r="AR102" s="15" t="str">
        <f>IFERROR(INDEX('G-7 WaterC'' Data'!$AZ$3:$AZ$7,MATCH(D102,'G-7 WaterC'' Data'!$AY$3:$AY$7,0)),"")</f>
        <v/>
      </c>
      <c r="AS102" s="15" t="str">
        <f>IFERROR(INDEX('G-7 WaterC'' Data'!AZ102:AZ106,MATCH(D102,'G-7 WaterC'' Data'!$AY$10:$AY$14,0)),"")</f>
        <v/>
      </c>
      <c r="AU102" s="15" t="str">
        <f>IF(D102="","",VLOOKUP(D102,'G-7 WaterC'' Data'!B$4:M$8,12,FALSE))</f>
        <v/>
      </c>
      <c r="AV102" s="15" t="str">
        <f t="shared" si="17"/>
        <v/>
      </c>
    </row>
    <row r="103" spans="3:48" ht="14" x14ac:dyDescent="0.3">
      <c r="C103" s="92">
        <v>94</v>
      </c>
      <c r="D103" s="271"/>
      <c r="E103" s="120"/>
      <c r="F103" s="290" t="str">
        <f>IF(D103="","",VLOOKUP(D103,'G-7 WaterC'' Data'!$B$2:$G$8,2,FALSE))</f>
        <v/>
      </c>
      <c r="G103" s="291" t="str">
        <f>IFERROR(VLOOKUP(F103,'G-7 WaterC'' Data'!$C$4:$D$8,2,FALSE),"")</f>
        <v/>
      </c>
      <c r="H103" s="38"/>
      <c r="I103" s="291" t="str">
        <f>IFERROR(INDEX('G-7 WaterC'' Data'!$H$4:$L$8,MATCH(D103,'G-7 WaterC'' Data'!$B$4:$B$8,0),MATCH(H103,'G-7 WaterC'' Data'!$H$3:$L$3,0)),"")</f>
        <v/>
      </c>
      <c r="J103" s="777"/>
      <c r="K103" s="325" t="str">
        <f>IF(J103="","",IF(VLOOKUP(J103,'G-7 WaterC'' Data'!$AK$4:$AM$6,2,FALSE)=0,"Spatial Data Missing ⚠",VLOOKUP(J103,'G-7 WaterC'' Data'!$AK$4:$AM$6,2,FALSE)))</f>
        <v/>
      </c>
      <c r="L103" s="296" t="str">
        <f>IF(J103="","",IF(VLOOKUP(J103,'G-7 WaterC'' Data'!$AK$4:$AM$9,3,FALSE)=0,"Spatial Data Missing ⚠",VLOOKUP(J103,'G-7 WaterC'' Data'!$AK$4:$AM$6,3,FALSE)))</f>
        <v/>
      </c>
      <c r="M103" s="38"/>
      <c r="N103" s="291" t="str">
        <f>IF(M103="","",IF(AND(D103&lt;&gt;"Culvert",M103="N/A - Culvert"),"Not possible ▲",IF(AND(D103="Culvert",M103&lt;&gt;"N/A - Culvert"),"Not possible ▲",IF(VLOOKUP(M103,'G-7 WaterC'' Data'!$AA$4:$AB$7,2,FALSE)=0,"Spatial Data Missing ⚠",VLOOKUP(M103,'G-7 WaterC'' Data'!$AA$4:$AB$7,2,FALSE)))))</f>
        <v/>
      </c>
      <c r="O103" s="44"/>
      <c r="P103" s="291" t="str">
        <f>IF(O103="","",IF(AND(O103="N/A - Culvert", D103&lt;&gt;"Culvert"),"Not possible ▲", IF(AND(D103="Culvert",O103&lt;&gt;"N/A - Culvert"),"Not possible ▲",IF(VLOOKUP(O103,'G-7 WaterC'' Data'!$AD$4:$AE$14,2,FALSE)=0,"Spatial Data Missing ⚠",VLOOKUP(O103,'G-7 WaterC'' Data'!$AD$4:$AE$14,2,FALSE)))))</f>
        <v/>
      </c>
      <c r="Q103" s="297" t="str">
        <f>IF(D103="","",VLOOKUP(D103,'G-7 WaterC'' Data'!$B$2:$G$8,6,FALSE))</f>
        <v/>
      </c>
      <c r="R103" s="304" t="str">
        <f>IFERROR(IF(AND(Q103='G-1 All Habitats'!$X$3, AE103&gt;0, U103&lt;=0, V103&lt;=0, OR(AA103="No", AA103="")),"Any Loss Unacceptable ⚠", (IF(AND(Q103='G-1 All Habitats'!$X$3, AE103&gt;0, U103&lt;=0, V103&lt;=0, AA103="Yes"), 0, (IF(AND(Q103='G-1 All Habitats'!$X$3,(U103+V103)&lt;E103, OR(AA103="No", AA103="")),"Any Loss Unacceptable ⚠", (IF(AND(Q103='G-1 All Habitats'!$X$3,(U103+V103)&gt;E103), E103*G103*I103*L103*N103*P103, (IF(Q103="","",IF(AND(Q103='G-1 All Habitats'!$X$3,V103&gt;0),W103+X103,IF(AND(Q103='G-1 All Habitats'!$X$3,U103&gt;0), W103+X103, IF(AND(S103="Yes", V103&gt;(E103-U103)),(E103-U103)*G103*I103*L103*N103*P103, IF(AND(S103="Yes", V103&lt;=(E103-U103)), X103, E103*G103*I103*L103*N103*P103 ))))))))))))),"Check Data ▲")</f>
        <v/>
      </c>
      <c r="S103" s="671" t="str">
        <f t="shared" si="9"/>
        <v/>
      </c>
      <c r="T103" s="17"/>
      <c r="U103" s="95"/>
      <c r="V103" s="106"/>
      <c r="W103" s="302" t="str">
        <f t="shared" si="10"/>
        <v/>
      </c>
      <c r="X103" s="302" t="str">
        <f t="shared" si="11"/>
        <v/>
      </c>
      <c r="Y103" s="302" t="str">
        <f t="shared" si="12"/>
        <v/>
      </c>
      <c r="Z103" s="471" t="str">
        <f t="shared" si="13"/>
        <v/>
      </c>
      <c r="AA103" s="488"/>
      <c r="AB103" s="486"/>
      <c r="AC103" s="101"/>
      <c r="AD103" s="101"/>
      <c r="AE103" s="41" t="str">
        <f>IF(OR(Q103="",AA103="Yes"),"",IF(Q103='G-1 All Habitats'!$X$3,E103-U103-V103,"None"))</f>
        <v/>
      </c>
      <c r="AF103" s="42" t="str">
        <f>IF(Q103="","", IF(Q103='G-1 All Habitats'!$X$3, AE103*G103*I103*L103*N103*P103,"None"))</f>
        <v/>
      </c>
      <c r="AI103" s="15">
        <f t="shared" si="14"/>
        <v>0</v>
      </c>
      <c r="AJ103" s="105" t="str">
        <f t="shared" si="15"/>
        <v/>
      </c>
      <c r="AK103" s="105" t="str">
        <f t="shared" si="16"/>
        <v/>
      </c>
      <c r="AM103" s="105">
        <v>94</v>
      </c>
      <c r="AO103" s="105" t="str">
        <f t="array" ref="AO103">IFERROR(INDEX($AM$10:$AM$258, MATCH(0, IF(TRUE=$AJ$10:$AJ$258, COUNTIF($AO$9:$AO102, $AM$10:$AM$258), ""), 0)),"")</f>
        <v/>
      </c>
      <c r="AP103" s="105" t="str">
        <f t="array" ref="AP103">IFERROR(INDEX($AM$10:$AM$258, MATCH(0, IF(TRUE=$AK$10:$AK$258, COUNTIF($AP$9:$AP102, $AM$10:$AM$258), ""), 0)),"")</f>
        <v/>
      </c>
      <c r="AR103" s="15" t="str">
        <f>IFERROR(INDEX('G-7 WaterC'' Data'!$AZ$3:$AZ$7,MATCH(D103,'G-7 WaterC'' Data'!$AY$3:$AY$7,0)),"")</f>
        <v/>
      </c>
      <c r="AS103" s="15" t="str">
        <f>IFERROR(INDEX('G-7 WaterC'' Data'!AZ103:AZ107,MATCH(D103,'G-7 WaterC'' Data'!$AY$10:$AY$14,0)),"")</f>
        <v/>
      </c>
      <c r="AU103" s="15" t="str">
        <f>IF(D103="","",VLOOKUP(D103,'G-7 WaterC'' Data'!B$4:M$8,12,FALSE))</f>
        <v/>
      </c>
      <c r="AV103" s="15" t="str">
        <f t="shared" si="17"/>
        <v/>
      </c>
    </row>
    <row r="104" spans="3:48" ht="14" x14ac:dyDescent="0.3">
      <c r="C104" s="92">
        <v>95</v>
      </c>
      <c r="D104" s="271"/>
      <c r="E104" s="120"/>
      <c r="F104" s="290" t="str">
        <f>IF(D104="","",VLOOKUP(D104,'G-7 WaterC'' Data'!$B$2:$G$8,2,FALSE))</f>
        <v/>
      </c>
      <c r="G104" s="291" t="str">
        <f>IFERROR(VLOOKUP(F104,'G-7 WaterC'' Data'!$C$4:$D$8,2,FALSE),"")</f>
        <v/>
      </c>
      <c r="H104" s="38"/>
      <c r="I104" s="291" t="str">
        <f>IFERROR(INDEX('G-7 WaterC'' Data'!$H$4:$L$8,MATCH(D104,'G-7 WaterC'' Data'!$B$4:$B$8,0),MATCH(H104,'G-7 WaterC'' Data'!$H$3:$L$3,0)),"")</f>
        <v/>
      </c>
      <c r="J104" s="777"/>
      <c r="K104" s="325" t="str">
        <f>IF(J104="","",IF(VLOOKUP(J104,'G-7 WaterC'' Data'!$AK$4:$AM$6,2,FALSE)=0,"Spatial Data Missing ⚠",VLOOKUP(J104,'G-7 WaterC'' Data'!$AK$4:$AM$6,2,FALSE)))</f>
        <v/>
      </c>
      <c r="L104" s="296" t="str">
        <f>IF(J104="","",IF(VLOOKUP(J104,'G-7 WaterC'' Data'!$AK$4:$AM$9,3,FALSE)=0,"Spatial Data Missing ⚠",VLOOKUP(J104,'G-7 WaterC'' Data'!$AK$4:$AM$6,3,FALSE)))</f>
        <v/>
      </c>
      <c r="M104" s="38"/>
      <c r="N104" s="291" t="str">
        <f>IF(M104="","",IF(AND(D104&lt;&gt;"Culvert",M104="N/A - Culvert"),"Not possible ▲",IF(AND(D104="Culvert",M104&lt;&gt;"N/A - Culvert"),"Not possible ▲",IF(VLOOKUP(M104,'G-7 WaterC'' Data'!$AA$4:$AB$7,2,FALSE)=0,"Spatial Data Missing ⚠",VLOOKUP(M104,'G-7 WaterC'' Data'!$AA$4:$AB$7,2,FALSE)))))</f>
        <v/>
      </c>
      <c r="O104" s="44"/>
      <c r="P104" s="291" t="str">
        <f>IF(O104="","",IF(AND(O104="N/A - Culvert", D104&lt;&gt;"Culvert"),"Not possible ▲", IF(AND(D104="Culvert",O104&lt;&gt;"N/A - Culvert"),"Not possible ▲",IF(VLOOKUP(O104,'G-7 WaterC'' Data'!$AD$4:$AE$14,2,FALSE)=0,"Spatial Data Missing ⚠",VLOOKUP(O104,'G-7 WaterC'' Data'!$AD$4:$AE$14,2,FALSE)))))</f>
        <v/>
      </c>
      <c r="Q104" s="297" t="str">
        <f>IF(D104="","",VLOOKUP(D104,'G-7 WaterC'' Data'!$B$2:$G$8,6,FALSE))</f>
        <v/>
      </c>
      <c r="R104" s="304" t="str">
        <f>IFERROR(IF(AND(Q104='G-1 All Habitats'!$X$3, AE104&gt;0, U104&lt;=0, V104&lt;=0, OR(AA104="No", AA104="")),"Any Loss Unacceptable ⚠", (IF(AND(Q104='G-1 All Habitats'!$X$3, AE104&gt;0, U104&lt;=0, V104&lt;=0, AA104="Yes"), 0, (IF(AND(Q104='G-1 All Habitats'!$X$3,(U104+V104)&lt;E104, OR(AA104="No", AA104="")),"Any Loss Unacceptable ⚠", (IF(AND(Q104='G-1 All Habitats'!$X$3,(U104+V104)&gt;E104), E104*G104*I104*L104*N104*P104, (IF(Q104="","",IF(AND(Q104='G-1 All Habitats'!$X$3,V104&gt;0),W104+X104,IF(AND(Q104='G-1 All Habitats'!$X$3,U104&gt;0), W104+X104, IF(AND(S104="Yes", V104&gt;(E104-U104)),(E104-U104)*G104*I104*L104*N104*P104, IF(AND(S104="Yes", V104&lt;=(E104-U104)), X104, E104*G104*I104*L104*N104*P104 ))))))))))))),"Check Data ▲")</f>
        <v/>
      </c>
      <c r="S104" s="671" t="str">
        <f t="shared" si="9"/>
        <v/>
      </c>
      <c r="T104" s="17"/>
      <c r="U104" s="95"/>
      <c r="V104" s="106"/>
      <c r="W104" s="302" t="str">
        <f t="shared" si="10"/>
        <v/>
      </c>
      <c r="X104" s="302" t="str">
        <f t="shared" si="11"/>
        <v/>
      </c>
      <c r="Y104" s="302" t="str">
        <f t="shared" si="12"/>
        <v/>
      </c>
      <c r="Z104" s="471" t="str">
        <f t="shared" si="13"/>
        <v/>
      </c>
      <c r="AA104" s="488"/>
      <c r="AB104" s="486"/>
      <c r="AC104" s="101"/>
      <c r="AD104" s="101"/>
      <c r="AE104" s="41" t="str">
        <f>IF(OR(Q104="",AA104="Yes"),"",IF(Q104='G-1 All Habitats'!$X$3,E104-U104-V104,"None"))</f>
        <v/>
      </c>
      <c r="AF104" s="42" t="str">
        <f>IF(Q104="","", IF(Q104='G-1 All Habitats'!$X$3, AE104*G104*I104*L104*N104*P104,"None"))</f>
        <v/>
      </c>
      <c r="AI104" s="15">
        <f t="shared" si="14"/>
        <v>0</v>
      </c>
      <c r="AJ104" s="105" t="str">
        <f t="shared" si="15"/>
        <v/>
      </c>
      <c r="AK104" s="105" t="str">
        <f t="shared" si="16"/>
        <v/>
      </c>
      <c r="AM104" s="105">
        <v>95</v>
      </c>
      <c r="AO104" s="105" t="str">
        <f t="array" ref="AO104">IFERROR(INDEX($AM$10:$AM$258, MATCH(0, IF(TRUE=$AJ$10:$AJ$258, COUNTIF($AO$9:$AO103, $AM$10:$AM$258), ""), 0)),"")</f>
        <v/>
      </c>
      <c r="AP104" s="105" t="str">
        <f t="array" ref="AP104">IFERROR(INDEX($AM$10:$AM$258, MATCH(0, IF(TRUE=$AK$10:$AK$258, COUNTIF($AP$9:$AP103, $AM$10:$AM$258), ""), 0)),"")</f>
        <v/>
      </c>
      <c r="AR104" s="15" t="str">
        <f>IFERROR(INDEX('G-7 WaterC'' Data'!$AZ$3:$AZ$7,MATCH(D104,'G-7 WaterC'' Data'!$AY$3:$AY$7,0)),"")</f>
        <v/>
      </c>
      <c r="AS104" s="15" t="str">
        <f>IFERROR(INDEX('G-7 WaterC'' Data'!AZ104:AZ108,MATCH(D104,'G-7 WaterC'' Data'!$AY$10:$AY$14,0)),"")</f>
        <v/>
      </c>
      <c r="AU104" s="15" t="str">
        <f>IF(D104="","",VLOOKUP(D104,'G-7 WaterC'' Data'!B$4:M$8,12,FALSE))</f>
        <v/>
      </c>
      <c r="AV104" s="15" t="str">
        <f t="shared" si="17"/>
        <v/>
      </c>
    </row>
    <row r="105" spans="3:48" ht="14" x14ac:dyDescent="0.3">
      <c r="C105" s="92">
        <v>96</v>
      </c>
      <c r="D105" s="271"/>
      <c r="E105" s="120"/>
      <c r="F105" s="290" t="str">
        <f>IF(D105="","",VLOOKUP(D105,'G-7 WaterC'' Data'!$B$2:$G$8,2,FALSE))</f>
        <v/>
      </c>
      <c r="G105" s="291" t="str">
        <f>IFERROR(VLOOKUP(F105,'G-7 WaterC'' Data'!$C$4:$D$8,2,FALSE),"")</f>
        <v/>
      </c>
      <c r="H105" s="38"/>
      <c r="I105" s="291" t="str">
        <f>IFERROR(INDEX('G-7 WaterC'' Data'!$H$4:$L$8,MATCH(D105,'G-7 WaterC'' Data'!$B$4:$B$8,0),MATCH(H105,'G-7 WaterC'' Data'!$H$3:$L$3,0)),"")</f>
        <v/>
      </c>
      <c r="J105" s="777"/>
      <c r="K105" s="325" t="str">
        <f>IF(J105="","",IF(VLOOKUP(J105,'G-7 WaterC'' Data'!$AK$4:$AM$6,2,FALSE)=0,"Spatial Data Missing ⚠",VLOOKUP(J105,'G-7 WaterC'' Data'!$AK$4:$AM$6,2,FALSE)))</f>
        <v/>
      </c>
      <c r="L105" s="296" t="str">
        <f>IF(J105="","",IF(VLOOKUP(J105,'G-7 WaterC'' Data'!$AK$4:$AM$9,3,FALSE)=0,"Spatial Data Missing ⚠",VLOOKUP(J105,'G-7 WaterC'' Data'!$AK$4:$AM$6,3,FALSE)))</f>
        <v/>
      </c>
      <c r="M105" s="38"/>
      <c r="N105" s="291" t="str">
        <f>IF(M105="","",IF(AND(D105&lt;&gt;"Culvert",M105="N/A - Culvert"),"Not possible ▲",IF(AND(D105="Culvert",M105&lt;&gt;"N/A - Culvert"),"Not possible ▲",IF(VLOOKUP(M105,'G-7 WaterC'' Data'!$AA$4:$AB$7,2,FALSE)=0,"Spatial Data Missing ⚠",VLOOKUP(M105,'G-7 WaterC'' Data'!$AA$4:$AB$7,2,FALSE)))))</f>
        <v/>
      </c>
      <c r="O105" s="44"/>
      <c r="P105" s="291" t="str">
        <f>IF(O105="","",IF(AND(O105="N/A - Culvert", D105&lt;&gt;"Culvert"),"Not possible ▲", IF(AND(D105="Culvert",O105&lt;&gt;"N/A - Culvert"),"Not possible ▲",IF(VLOOKUP(O105,'G-7 WaterC'' Data'!$AD$4:$AE$14,2,FALSE)=0,"Spatial Data Missing ⚠",VLOOKUP(O105,'G-7 WaterC'' Data'!$AD$4:$AE$14,2,FALSE)))))</f>
        <v/>
      </c>
      <c r="Q105" s="297" t="str">
        <f>IF(D105="","",VLOOKUP(D105,'G-7 WaterC'' Data'!$B$2:$G$8,6,FALSE))</f>
        <v/>
      </c>
      <c r="R105" s="304" t="str">
        <f>IFERROR(IF(AND(Q105='G-1 All Habitats'!$X$3, AE105&gt;0, U105&lt;=0, V105&lt;=0, OR(AA105="No", AA105="")),"Any Loss Unacceptable ⚠", (IF(AND(Q105='G-1 All Habitats'!$X$3, AE105&gt;0, U105&lt;=0, V105&lt;=0, AA105="Yes"), 0, (IF(AND(Q105='G-1 All Habitats'!$X$3,(U105+V105)&lt;E105, OR(AA105="No", AA105="")),"Any Loss Unacceptable ⚠", (IF(AND(Q105='G-1 All Habitats'!$X$3,(U105+V105)&gt;E105), E105*G105*I105*L105*N105*P105, (IF(Q105="","",IF(AND(Q105='G-1 All Habitats'!$X$3,V105&gt;0),W105+X105,IF(AND(Q105='G-1 All Habitats'!$X$3,U105&gt;0), W105+X105, IF(AND(S105="Yes", V105&gt;(E105-U105)),(E105-U105)*G105*I105*L105*N105*P105, IF(AND(S105="Yes", V105&lt;=(E105-U105)), X105, E105*G105*I105*L105*N105*P105 ))))))))))))),"Check Data ▲")</f>
        <v/>
      </c>
      <c r="S105" s="671" t="str">
        <f t="shared" si="9"/>
        <v/>
      </c>
      <c r="T105" s="17"/>
      <c r="U105" s="95"/>
      <c r="V105" s="106"/>
      <c r="W105" s="302" t="str">
        <f t="shared" si="10"/>
        <v/>
      </c>
      <c r="X105" s="302" t="str">
        <f t="shared" si="11"/>
        <v/>
      </c>
      <c r="Y105" s="302" t="str">
        <f t="shared" si="12"/>
        <v/>
      </c>
      <c r="Z105" s="471" t="str">
        <f t="shared" si="13"/>
        <v/>
      </c>
      <c r="AA105" s="488"/>
      <c r="AB105" s="486"/>
      <c r="AC105" s="101"/>
      <c r="AD105" s="101"/>
      <c r="AE105" s="41" t="str">
        <f>IF(OR(Q105="",AA105="Yes"),"",IF(Q105='G-1 All Habitats'!$X$3,E105-U105-V105,"None"))</f>
        <v/>
      </c>
      <c r="AF105" s="42" t="str">
        <f>IF(Q105="","", IF(Q105='G-1 All Habitats'!$X$3, AE105*G105*I105*L105*N105*P105,"None"))</f>
        <v/>
      </c>
      <c r="AI105" s="15">
        <f t="shared" si="14"/>
        <v>0</v>
      </c>
      <c r="AJ105" s="105" t="str">
        <f t="shared" si="15"/>
        <v/>
      </c>
      <c r="AK105" s="105" t="str">
        <f t="shared" si="16"/>
        <v/>
      </c>
      <c r="AM105" s="105">
        <v>96</v>
      </c>
      <c r="AO105" s="105" t="str">
        <f t="array" ref="AO105">IFERROR(INDEX($AM$10:$AM$258, MATCH(0, IF(TRUE=$AJ$10:$AJ$258, COUNTIF($AO$9:$AO104, $AM$10:$AM$258), ""), 0)),"")</f>
        <v/>
      </c>
      <c r="AP105" s="105" t="str">
        <f t="array" ref="AP105">IFERROR(INDEX($AM$10:$AM$258, MATCH(0, IF(TRUE=$AK$10:$AK$258, COUNTIF($AP$9:$AP104, $AM$10:$AM$258), ""), 0)),"")</f>
        <v/>
      </c>
      <c r="AR105" s="15" t="str">
        <f>IFERROR(INDEX('G-7 WaterC'' Data'!$AZ$3:$AZ$7,MATCH(D105,'G-7 WaterC'' Data'!$AY$3:$AY$7,0)),"")</f>
        <v/>
      </c>
      <c r="AS105" s="15" t="str">
        <f>IFERROR(INDEX('G-7 WaterC'' Data'!AZ105:AZ109,MATCH(D105,'G-7 WaterC'' Data'!$AY$10:$AY$14,0)),"")</f>
        <v/>
      </c>
      <c r="AU105" s="15" t="str">
        <f>IF(D105="","",VLOOKUP(D105,'G-7 WaterC'' Data'!B$4:M$8,12,FALSE))</f>
        <v/>
      </c>
      <c r="AV105" s="15" t="str">
        <f t="shared" si="17"/>
        <v/>
      </c>
    </row>
    <row r="106" spans="3:48" ht="14" x14ac:dyDescent="0.3">
      <c r="C106" s="92">
        <v>97</v>
      </c>
      <c r="D106" s="271"/>
      <c r="E106" s="120"/>
      <c r="F106" s="290" t="str">
        <f>IF(D106="","",VLOOKUP(D106,'G-7 WaterC'' Data'!$B$2:$G$8,2,FALSE))</f>
        <v/>
      </c>
      <c r="G106" s="291" t="str">
        <f>IFERROR(VLOOKUP(F106,'G-7 WaterC'' Data'!$C$4:$D$8,2,FALSE),"")</f>
        <v/>
      </c>
      <c r="H106" s="38"/>
      <c r="I106" s="291" t="str">
        <f>IFERROR(INDEX('G-7 WaterC'' Data'!$H$4:$L$8,MATCH(D106,'G-7 WaterC'' Data'!$B$4:$B$8,0),MATCH(H106,'G-7 WaterC'' Data'!$H$3:$L$3,0)),"")</f>
        <v/>
      </c>
      <c r="J106" s="777"/>
      <c r="K106" s="325" t="str">
        <f>IF(J106="","",IF(VLOOKUP(J106,'G-7 WaterC'' Data'!$AK$4:$AM$6,2,FALSE)=0,"Spatial Data Missing ⚠",VLOOKUP(J106,'G-7 WaterC'' Data'!$AK$4:$AM$6,2,FALSE)))</f>
        <v/>
      </c>
      <c r="L106" s="296" t="str">
        <f>IF(J106="","",IF(VLOOKUP(J106,'G-7 WaterC'' Data'!$AK$4:$AM$9,3,FALSE)=0,"Spatial Data Missing ⚠",VLOOKUP(J106,'G-7 WaterC'' Data'!$AK$4:$AM$6,3,FALSE)))</f>
        <v/>
      </c>
      <c r="M106" s="38"/>
      <c r="N106" s="291" t="str">
        <f>IF(M106="","",IF(AND(D106&lt;&gt;"Culvert",M106="N/A - Culvert"),"Not possible ▲",IF(AND(D106="Culvert",M106&lt;&gt;"N/A - Culvert"),"Not possible ▲",IF(VLOOKUP(M106,'G-7 WaterC'' Data'!$AA$4:$AB$7,2,FALSE)=0,"Spatial Data Missing ⚠",VLOOKUP(M106,'G-7 WaterC'' Data'!$AA$4:$AB$7,2,FALSE)))))</f>
        <v/>
      </c>
      <c r="O106" s="44"/>
      <c r="P106" s="291" t="str">
        <f>IF(O106="","",IF(AND(O106="N/A - Culvert", D106&lt;&gt;"Culvert"),"Not possible ▲", IF(AND(D106="Culvert",O106&lt;&gt;"N/A - Culvert"),"Not possible ▲",IF(VLOOKUP(O106,'G-7 WaterC'' Data'!$AD$4:$AE$14,2,FALSE)=0,"Spatial Data Missing ⚠",VLOOKUP(O106,'G-7 WaterC'' Data'!$AD$4:$AE$14,2,FALSE)))))</f>
        <v/>
      </c>
      <c r="Q106" s="297" t="str">
        <f>IF(D106="","",VLOOKUP(D106,'G-7 WaterC'' Data'!$B$2:$G$8,6,FALSE))</f>
        <v/>
      </c>
      <c r="R106" s="304" t="str">
        <f>IFERROR(IF(AND(Q106='G-1 All Habitats'!$X$3, AE106&gt;0, U106&lt;=0, V106&lt;=0, OR(AA106="No", AA106="")),"Any Loss Unacceptable ⚠", (IF(AND(Q106='G-1 All Habitats'!$X$3, AE106&gt;0, U106&lt;=0, V106&lt;=0, AA106="Yes"), 0, (IF(AND(Q106='G-1 All Habitats'!$X$3,(U106+V106)&lt;E106, OR(AA106="No", AA106="")),"Any Loss Unacceptable ⚠", (IF(AND(Q106='G-1 All Habitats'!$X$3,(U106+V106)&gt;E106), E106*G106*I106*L106*N106*P106, (IF(Q106="","",IF(AND(Q106='G-1 All Habitats'!$X$3,V106&gt;0),W106+X106,IF(AND(Q106='G-1 All Habitats'!$X$3,U106&gt;0), W106+X106, IF(AND(S106="Yes", V106&gt;(E106-U106)),(E106-U106)*G106*I106*L106*N106*P106, IF(AND(S106="Yes", V106&lt;=(E106-U106)), X106, E106*G106*I106*L106*N106*P106 ))))))))))))),"Check Data ▲")</f>
        <v/>
      </c>
      <c r="S106" s="671" t="str">
        <f t="shared" si="9"/>
        <v/>
      </c>
      <c r="T106" s="17"/>
      <c r="U106" s="95"/>
      <c r="V106" s="106"/>
      <c r="W106" s="302" t="str">
        <f t="shared" si="10"/>
        <v/>
      </c>
      <c r="X106" s="302" t="str">
        <f t="shared" si="11"/>
        <v/>
      </c>
      <c r="Y106" s="302" t="str">
        <f t="shared" si="12"/>
        <v/>
      </c>
      <c r="Z106" s="471" t="str">
        <f t="shared" si="13"/>
        <v/>
      </c>
      <c r="AA106" s="488"/>
      <c r="AB106" s="486"/>
      <c r="AC106" s="101"/>
      <c r="AD106" s="101"/>
      <c r="AE106" s="41" t="str">
        <f>IF(OR(Q106="",AA106="Yes"),"",IF(Q106='G-1 All Habitats'!$X$3,E106-U106-V106,"None"))</f>
        <v/>
      </c>
      <c r="AF106" s="42" t="str">
        <f>IF(Q106="","", IF(Q106='G-1 All Habitats'!$X$3, AE106*G106*I106*L106*N106*P106,"None"))</f>
        <v/>
      </c>
      <c r="AI106" s="15">
        <f t="shared" si="14"/>
        <v>0</v>
      </c>
      <c r="AJ106" s="105" t="str">
        <f t="shared" si="15"/>
        <v/>
      </c>
      <c r="AK106" s="105" t="str">
        <f t="shared" si="16"/>
        <v/>
      </c>
      <c r="AM106" s="105">
        <v>97</v>
      </c>
      <c r="AO106" s="105" t="str">
        <f t="array" ref="AO106">IFERROR(INDEX($AM$10:$AM$258, MATCH(0, IF(TRUE=$AJ$10:$AJ$258, COUNTIF($AO$9:$AO105, $AM$10:$AM$258), ""), 0)),"")</f>
        <v/>
      </c>
      <c r="AP106" s="105" t="str">
        <f t="array" ref="AP106">IFERROR(INDEX($AM$10:$AM$258, MATCH(0, IF(TRUE=$AK$10:$AK$258, COUNTIF($AP$9:$AP105, $AM$10:$AM$258), ""), 0)),"")</f>
        <v/>
      </c>
      <c r="AR106" s="15" t="str">
        <f>IFERROR(INDEX('G-7 WaterC'' Data'!$AZ$3:$AZ$7,MATCH(D106,'G-7 WaterC'' Data'!$AY$3:$AY$7,0)),"")</f>
        <v/>
      </c>
      <c r="AS106" s="15" t="str">
        <f>IFERROR(INDEX('G-7 WaterC'' Data'!AZ106:AZ110,MATCH(D106,'G-7 WaterC'' Data'!$AY$10:$AY$14,0)),"")</f>
        <v/>
      </c>
      <c r="AU106" s="15" t="str">
        <f>IF(D106="","",VLOOKUP(D106,'G-7 WaterC'' Data'!B$4:M$8,12,FALSE))</f>
        <v/>
      </c>
      <c r="AV106" s="15" t="str">
        <f t="shared" si="17"/>
        <v/>
      </c>
    </row>
    <row r="107" spans="3:48" ht="14" x14ac:dyDescent="0.3">
      <c r="C107" s="92">
        <v>98</v>
      </c>
      <c r="D107" s="271"/>
      <c r="E107" s="120"/>
      <c r="F107" s="290" t="str">
        <f>IF(D107="","",VLOOKUP(D107,'G-7 WaterC'' Data'!$B$2:$G$8,2,FALSE))</f>
        <v/>
      </c>
      <c r="G107" s="291" t="str">
        <f>IFERROR(VLOOKUP(F107,'G-7 WaterC'' Data'!$C$4:$D$8,2,FALSE),"")</f>
        <v/>
      </c>
      <c r="H107" s="38"/>
      <c r="I107" s="291" t="str">
        <f>IFERROR(INDEX('G-7 WaterC'' Data'!$H$4:$L$8,MATCH(D107,'G-7 WaterC'' Data'!$B$4:$B$8,0),MATCH(H107,'G-7 WaterC'' Data'!$H$3:$L$3,0)),"")</f>
        <v/>
      </c>
      <c r="J107" s="777"/>
      <c r="K107" s="325" t="str">
        <f>IF(J107="","",IF(VLOOKUP(J107,'G-7 WaterC'' Data'!$AK$4:$AM$6,2,FALSE)=0,"Spatial Data Missing ⚠",VLOOKUP(J107,'G-7 WaterC'' Data'!$AK$4:$AM$6,2,FALSE)))</f>
        <v/>
      </c>
      <c r="L107" s="296" t="str">
        <f>IF(J107="","",IF(VLOOKUP(J107,'G-7 WaterC'' Data'!$AK$4:$AM$9,3,FALSE)=0,"Spatial Data Missing ⚠",VLOOKUP(J107,'G-7 WaterC'' Data'!$AK$4:$AM$6,3,FALSE)))</f>
        <v/>
      </c>
      <c r="M107" s="38"/>
      <c r="N107" s="291" t="str">
        <f>IF(M107="","",IF(AND(D107&lt;&gt;"Culvert",M107="N/A - Culvert"),"Not possible ▲",IF(AND(D107="Culvert",M107&lt;&gt;"N/A - Culvert"),"Not possible ▲",IF(VLOOKUP(M107,'G-7 WaterC'' Data'!$AA$4:$AB$7,2,FALSE)=0,"Spatial Data Missing ⚠",VLOOKUP(M107,'G-7 WaterC'' Data'!$AA$4:$AB$7,2,FALSE)))))</f>
        <v/>
      </c>
      <c r="O107" s="44"/>
      <c r="P107" s="291" t="str">
        <f>IF(O107="","",IF(AND(O107="N/A - Culvert", D107&lt;&gt;"Culvert"),"Not possible ▲", IF(AND(D107="Culvert",O107&lt;&gt;"N/A - Culvert"),"Not possible ▲",IF(VLOOKUP(O107,'G-7 WaterC'' Data'!$AD$4:$AE$14,2,FALSE)=0,"Spatial Data Missing ⚠",VLOOKUP(O107,'G-7 WaterC'' Data'!$AD$4:$AE$14,2,FALSE)))))</f>
        <v/>
      </c>
      <c r="Q107" s="297" t="str">
        <f>IF(D107="","",VLOOKUP(D107,'G-7 WaterC'' Data'!$B$2:$G$8,6,FALSE))</f>
        <v/>
      </c>
      <c r="R107" s="304" t="str">
        <f>IFERROR(IF(AND(Q107='G-1 All Habitats'!$X$3, AE107&gt;0, U107&lt;=0, V107&lt;=0, OR(AA107="No", AA107="")),"Any Loss Unacceptable ⚠", (IF(AND(Q107='G-1 All Habitats'!$X$3, AE107&gt;0, U107&lt;=0, V107&lt;=0, AA107="Yes"), 0, (IF(AND(Q107='G-1 All Habitats'!$X$3,(U107+V107)&lt;E107, OR(AA107="No", AA107="")),"Any Loss Unacceptable ⚠", (IF(AND(Q107='G-1 All Habitats'!$X$3,(U107+V107)&gt;E107), E107*G107*I107*L107*N107*P107, (IF(Q107="","",IF(AND(Q107='G-1 All Habitats'!$X$3,V107&gt;0),W107+X107,IF(AND(Q107='G-1 All Habitats'!$X$3,U107&gt;0), W107+X107, IF(AND(S107="Yes", V107&gt;(E107-U107)),(E107-U107)*G107*I107*L107*N107*P107, IF(AND(S107="Yes", V107&lt;=(E107-U107)), X107, E107*G107*I107*L107*N107*P107 ))))))))))))),"Check Data ▲")</f>
        <v/>
      </c>
      <c r="S107" s="671" t="str">
        <f t="shared" si="9"/>
        <v/>
      </c>
      <c r="T107" s="17"/>
      <c r="U107" s="95"/>
      <c r="V107" s="106"/>
      <c r="W107" s="302" t="str">
        <f t="shared" si="10"/>
        <v/>
      </c>
      <c r="X107" s="302" t="str">
        <f t="shared" si="11"/>
        <v/>
      </c>
      <c r="Y107" s="302" t="str">
        <f t="shared" si="12"/>
        <v/>
      </c>
      <c r="Z107" s="471" t="str">
        <f t="shared" si="13"/>
        <v/>
      </c>
      <c r="AA107" s="488"/>
      <c r="AB107" s="486"/>
      <c r="AC107" s="101"/>
      <c r="AD107" s="101"/>
      <c r="AE107" s="41" t="str">
        <f>IF(OR(Q107="",AA107="Yes"),"",IF(Q107='G-1 All Habitats'!$X$3,E107-U107-V107,"None"))</f>
        <v/>
      </c>
      <c r="AF107" s="42" t="str">
        <f>IF(Q107="","", IF(Q107='G-1 All Habitats'!$X$3, AE107*G107*I107*L107*N107*P107,"None"))</f>
        <v/>
      </c>
      <c r="AI107" s="15">
        <f t="shared" si="14"/>
        <v>0</v>
      </c>
      <c r="AJ107" s="105" t="str">
        <f t="shared" si="15"/>
        <v/>
      </c>
      <c r="AK107" s="105" t="str">
        <f t="shared" si="16"/>
        <v/>
      </c>
      <c r="AM107" s="105">
        <v>98</v>
      </c>
      <c r="AO107" s="105" t="str">
        <f t="array" ref="AO107">IFERROR(INDEX($AM$10:$AM$258, MATCH(0, IF(TRUE=$AJ$10:$AJ$258, COUNTIF($AO$9:$AO106, $AM$10:$AM$258), ""), 0)),"")</f>
        <v/>
      </c>
      <c r="AP107" s="105" t="str">
        <f t="array" ref="AP107">IFERROR(INDEX($AM$10:$AM$258, MATCH(0, IF(TRUE=$AK$10:$AK$258, COUNTIF($AP$9:$AP106, $AM$10:$AM$258), ""), 0)),"")</f>
        <v/>
      </c>
      <c r="AR107" s="15" t="str">
        <f>IFERROR(INDEX('G-7 WaterC'' Data'!$AZ$3:$AZ$7,MATCH(D107,'G-7 WaterC'' Data'!$AY$3:$AY$7,0)),"")</f>
        <v/>
      </c>
      <c r="AS107" s="15" t="str">
        <f>IFERROR(INDEX('G-7 WaterC'' Data'!AZ107:AZ111,MATCH(D107,'G-7 WaterC'' Data'!$AY$10:$AY$14,0)),"")</f>
        <v/>
      </c>
      <c r="AU107" s="15" t="str">
        <f>IF(D107="","",VLOOKUP(D107,'G-7 WaterC'' Data'!B$4:M$8,12,FALSE))</f>
        <v/>
      </c>
      <c r="AV107" s="15" t="str">
        <f t="shared" si="17"/>
        <v/>
      </c>
    </row>
    <row r="108" spans="3:48" ht="14" x14ac:dyDescent="0.3">
      <c r="C108" s="92">
        <v>99</v>
      </c>
      <c r="D108" s="271"/>
      <c r="E108" s="120"/>
      <c r="F108" s="290" t="str">
        <f>IF(D108="","",VLOOKUP(D108,'G-7 WaterC'' Data'!$B$2:$G$8,2,FALSE))</f>
        <v/>
      </c>
      <c r="G108" s="291" t="str">
        <f>IFERROR(VLOOKUP(F108,'G-7 WaterC'' Data'!$C$4:$D$8,2,FALSE),"")</f>
        <v/>
      </c>
      <c r="H108" s="38"/>
      <c r="I108" s="291" t="str">
        <f>IFERROR(INDEX('G-7 WaterC'' Data'!$H$4:$L$8,MATCH(D108,'G-7 WaterC'' Data'!$B$4:$B$8,0),MATCH(H108,'G-7 WaterC'' Data'!$H$3:$L$3,0)),"")</f>
        <v/>
      </c>
      <c r="J108" s="777"/>
      <c r="K108" s="325" t="str">
        <f>IF(J108="","",IF(VLOOKUP(J108,'G-7 WaterC'' Data'!$AK$4:$AM$6,2,FALSE)=0,"Spatial Data Missing ⚠",VLOOKUP(J108,'G-7 WaterC'' Data'!$AK$4:$AM$6,2,FALSE)))</f>
        <v/>
      </c>
      <c r="L108" s="296" t="str">
        <f>IF(J108="","",IF(VLOOKUP(J108,'G-7 WaterC'' Data'!$AK$4:$AM$9,3,FALSE)=0,"Spatial Data Missing ⚠",VLOOKUP(J108,'G-7 WaterC'' Data'!$AK$4:$AM$6,3,FALSE)))</f>
        <v/>
      </c>
      <c r="M108" s="38"/>
      <c r="N108" s="291" t="str">
        <f>IF(M108="","",IF(AND(D108&lt;&gt;"Culvert",M108="N/A - Culvert"),"Not possible ▲",IF(AND(D108="Culvert",M108&lt;&gt;"N/A - Culvert"),"Not possible ▲",IF(VLOOKUP(M108,'G-7 WaterC'' Data'!$AA$4:$AB$7,2,FALSE)=0,"Spatial Data Missing ⚠",VLOOKUP(M108,'G-7 WaterC'' Data'!$AA$4:$AB$7,2,FALSE)))))</f>
        <v/>
      </c>
      <c r="O108" s="44"/>
      <c r="P108" s="291" t="str">
        <f>IF(O108="","",IF(AND(O108="N/A - Culvert", D108&lt;&gt;"Culvert"),"Not possible ▲", IF(AND(D108="Culvert",O108&lt;&gt;"N/A - Culvert"),"Not possible ▲",IF(VLOOKUP(O108,'G-7 WaterC'' Data'!$AD$4:$AE$14,2,FALSE)=0,"Spatial Data Missing ⚠",VLOOKUP(O108,'G-7 WaterC'' Data'!$AD$4:$AE$14,2,FALSE)))))</f>
        <v/>
      </c>
      <c r="Q108" s="297" t="str">
        <f>IF(D108="","",VLOOKUP(D108,'G-7 WaterC'' Data'!$B$2:$G$8,6,FALSE))</f>
        <v/>
      </c>
      <c r="R108" s="304" t="str">
        <f>IFERROR(IF(AND(Q108='G-1 All Habitats'!$X$3, AE108&gt;0, U108&lt;=0, V108&lt;=0, OR(AA108="No", AA108="")),"Any Loss Unacceptable ⚠", (IF(AND(Q108='G-1 All Habitats'!$X$3, AE108&gt;0, U108&lt;=0, V108&lt;=0, AA108="Yes"), 0, (IF(AND(Q108='G-1 All Habitats'!$X$3,(U108+V108)&lt;E108, OR(AA108="No", AA108="")),"Any Loss Unacceptable ⚠", (IF(AND(Q108='G-1 All Habitats'!$X$3,(U108+V108)&gt;E108), E108*G108*I108*L108*N108*P108, (IF(Q108="","",IF(AND(Q108='G-1 All Habitats'!$X$3,V108&gt;0),W108+X108,IF(AND(Q108='G-1 All Habitats'!$X$3,U108&gt;0), W108+X108, IF(AND(S108="Yes", V108&gt;(E108-U108)),(E108-U108)*G108*I108*L108*N108*P108, IF(AND(S108="Yes", V108&lt;=(E108-U108)), X108, E108*G108*I108*L108*N108*P108 ))))))))))))),"Check Data ▲")</f>
        <v/>
      </c>
      <c r="S108" s="671" t="str">
        <f t="shared" si="9"/>
        <v/>
      </c>
      <c r="T108" s="17"/>
      <c r="U108" s="95"/>
      <c r="V108" s="106"/>
      <c r="W108" s="302" t="str">
        <f t="shared" si="10"/>
        <v/>
      </c>
      <c r="X108" s="302" t="str">
        <f t="shared" si="11"/>
        <v/>
      </c>
      <c r="Y108" s="302" t="str">
        <f t="shared" si="12"/>
        <v/>
      </c>
      <c r="Z108" s="471" t="str">
        <f t="shared" si="13"/>
        <v/>
      </c>
      <c r="AA108" s="488"/>
      <c r="AB108" s="486"/>
      <c r="AC108" s="101"/>
      <c r="AD108" s="101"/>
      <c r="AE108" s="41" t="str">
        <f>IF(OR(Q108="",AA108="Yes"),"",IF(Q108='G-1 All Habitats'!$X$3,E108-U108-V108,"None"))</f>
        <v/>
      </c>
      <c r="AF108" s="42" t="str">
        <f>IF(Q108="","", IF(Q108='G-1 All Habitats'!$X$3, AE108*G108*I108*L108*N108*P108,"None"))</f>
        <v/>
      </c>
      <c r="AI108" s="15">
        <f t="shared" si="14"/>
        <v>0</v>
      </c>
      <c r="AJ108" s="105" t="str">
        <f t="shared" si="15"/>
        <v/>
      </c>
      <c r="AK108" s="105" t="str">
        <f t="shared" si="16"/>
        <v/>
      </c>
      <c r="AM108" s="105">
        <v>99</v>
      </c>
      <c r="AO108" s="105" t="str">
        <f t="array" ref="AO108">IFERROR(INDEX($AM$10:$AM$258, MATCH(0, IF(TRUE=$AJ$10:$AJ$258, COUNTIF($AO$9:$AO107, $AM$10:$AM$258), ""), 0)),"")</f>
        <v/>
      </c>
      <c r="AP108" s="105" t="str">
        <f t="array" ref="AP108">IFERROR(INDEX($AM$10:$AM$258, MATCH(0, IF(TRUE=$AK$10:$AK$258, COUNTIF($AP$9:$AP107, $AM$10:$AM$258), ""), 0)),"")</f>
        <v/>
      </c>
      <c r="AR108" s="15" t="str">
        <f>IFERROR(INDEX('G-7 WaterC'' Data'!$AZ$3:$AZ$7,MATCH(D108,'G-7 WaterC'' Data'!$AY$3:$AY$7,0)),"")</f>
        <v/>
      </c>
      <c r="AS108" s="15" t="str">
        <f>IFERROR(INDEX('G-7 WaterC'' Data'!AZ108:AZ112,MATCH(D108,'G-7 WaterC'' Data'!$AY$10:$AY$14,0)),"")</f>
        <v/>
      </c>
      <c r="AU108" s="15" t="str">
        <f>IF(D108="","",VLOOKUP(D108,'G-7 WaterC'' Data'!B$4:M$8,12,FALSE))</f>
        <v/>
      </c>
      <c r="AV108" s="15" t="str">
        <f t="shared" si="17"/>
        <v/>
      </c>
    </row>
    <row r="109" spans="3:48" ht="14" x14ac:dyDescent="0.3">
      <c r="C109" s="92">
        <v>100</v>
      </c>
      <c r="D109" s="271"/>
      <c r="E109" s="120"/>
      <c r="F109" s="290" t="str">
        <f>IF(D109="","",VLOOKUP(D109,'G-7 WaterC'' Data'!$B$2:$G$8,2,FALSE))</f>
        <v/>
      </c>
      <c r="G109" s="291" t="str">
        <f>IFERROR(VLOOKUP(F109,'G-7 WaterC'' Data'!$C$4:$D$8,2,FALSE),"")</f>
        <v/>
      </c>
      <c r="H109" s="38"/>
      <c r="I109" s="291" t="str">
        <f>IFERROR(INDEX('G-7 WaterC'' Data'!$H$4:$L$8,MATCH(D109,'G-7 WaterC'' Data'!$B$4:$B$8,0),MATCH(H109,'G-7 WaterC'' Data'!$H$3:$L$3,0)),"")</f>
        <v/>
      </c>
      <c r="J109" s="777"/>
      <c r="K109" s="325" t="str">
        <f>IF(J109="","",IF(VLOOKUP(J109,'G-7 WaterC'' Data'!$AK$4:$AM$6,2,FALSE)=0,"Spatial Data Missing ⚠",VLOOKUP(J109,'G-7 WaterC'' Data'!$AK$4:$AM$6,2,FALSE)))</f>
        <v/>
      </c>
      <c r="L109" s="296" t="str">
        <f>IF(J109="","",IF(VLOOKUP(J109,'G-7 WaterC'' Data'!$AK$4:$AM$9,3,FALSE)=0,"Spatial Data Missing ⚠",VLOOKUP(J109,'G-7 WaterC'' Data'!$AK$4:$AM$6,3,FALSE)))</f>
        <v/>
      </c>
      <c r="M109" s="38"/>
      <c r="N109" s="291" t="str">
        <f>IF(M109="","",IF(AND(D109&lt;&gt;"Culvert",M109="N/A - Culvert"),"Not possible ▲",IF(AND(D109="Culvert",M109&lt;&gt;"N/A - Culvert"),"Not possible ▲",IF(VLOOKUP(M109,'G-7 WaterC'' Data'!$AA$4:$AB$7,2,FALSE)=0,"Spatial Data Missing ⚠",VLOOKUP(M109,'G-7 WaterC'' Data'!$AA$4:$AB$7,2,FALSE)))))</f>
        <v/>
      </c>
      <c r="O109" s="44"/>
      <c r="P109" s="291" t="str">
        <f>IF(O109="","",IF(AND(O109="N/A - Culvert", D109&lt;&gt;"Culvert"),"Not possible ▲", IF(AND(D109="Culvert",O109&lt;&gt;"N/A - Culvert"),"Not possible ▲",IF(VLOOKUP(O109,'G-7 WaterC'' Data'!$AD$4:$AE$14,2,FALSE)=0,"Spatial Data Missing ⚠",VLOOKUP(O109,'G-7 WaterC'' Data'!$AD$4:$AE$14,2,FALSE)))))</f>
        <v/>
      </c>
      <c r="Q109" s="297" t="str">
        <f>IF(D109="","",VLOOKUP(D109,'G-7 WaterC'' Data'!$B$2:$G$8,6,FALSE))</f>
        <v/>
      </c>
      <c r="R109" s="304" t="str">
        <f>IFERROR(IF(AND(Q109='G-1 All Habitats'!$X$3, AE109&gt;0, U109&lt;=0, V109&lt;=0, OR(AA109="No", AA109="")),"Any Loss Unacceptable ⚠", (IF(AND(Q109='G-1 All Habitats'!$X$3, AE109&gt;0, U109&lt;=0, V109&lt;=0, AA109="Yes"), 0, (IF(AND(Q109='G-1 All Habitats'!$X$3,(U109+V109)&lt;E109, OR(AA109="No", AA109="")),"Any Loss Unacceptable ⚠", (IF(AND(Q109='G-1 All Habitats'!$X$3,(U109+V109)&gt;E109), E109*G109*I109*L109*N109*P109, (IF(Q109="","",IF(AND(Q109='G-1 All Habitats'!$X$3,V109&gt;0),W109+X109,IF(AND(Q109='G-1 All Habitats'!$X$3,U109&gt;0), W109+X109, IF(AND(S109="Yes", V109&gt;(E109-U109)),(E109-U109)*G109*I109*L109*N109*P109, IF(AND(S109="Yes", V109&lt;=(E109-U109)), X109, E109*G109*I109*L109*N109*P109 ))))))))))))),"Check Data ▲")</f>
        <v/>
      </c>
      <c r="S109" s="671" t="str">
        <f t="shared" si="9"/>
        <v/>
      </c>
      <c r="T109" s="17"/>
      <c r="U109" s="95"/>
      <c r="V109" s="106"/>
      <c r="W109" s="302" t="str">
        <f t="shared" si="10"/>
        <v/>
      </c>
      <c r="X109" s="302" t="str">
        <f t="shared" si="11"/>
        <v/>
      </c>
      <c r="Y109" s="302" t="str">
        <f t="shared" si="12"/>
        <v/>
      </c>
      <c r="Z109" s="471" t="str">
        <f t="shared" si="13"/>
        <v/>
      </c>
      <c r="AA109" s="488"/>
      <c r="AB109" s="486"/>
      <c r="AC109" s="101"/>
      <c r="AD109" s="101"/>
      <c r="AE109" s="41" t="str">
        <f>IF(OR(Q109="",AA109="Yes"),"",IF(Q109='G-1 All Habitats'!$X$3,E109-U109-V109,"None"))</f>
        <v/>
      </c>
      <c r="AF109" s="42" t="str">
        <f>IF(Q109="","", IF(Q109='G-1 All Habitats'!$X$3, AE109*G109*I109*L109*N109*P109,"None"))</f>
        <v/>
      </c>
      <c r="AI109" s="15">
        <f t="shared" si="14"/>
        <v>0</v>
      </c>
      <c r="AJ109" s="105" t="str">
        <f t="shared" si="15"/>
        <v/>
      </c>
      <c r="AK109" s="105" t="str">
        <f t="shared" si="16"/>
        <v/>
      </c>
      <c r="AM109" s="105">
        <v>100</v>
      </c>
      <c r="AO109" s="105" t="str">
        <f t="array" ref="AO109">IFERROR(INDEX($AM$10:$AM$258, MATCH(0, IF(TRUE=$AJ$10:$AJ$258, COUNTIF($AO$9:$AO108, $AM$10:$AM$258), ""), 0)),"")</f>
        <v/>
      </c>
      <c r="AP109" s="105" t="str">
        <f t="array" ref="AP109">IFERROR(INDEX($AM$10:$AM$258, MATCH(0, IF(TRUE=$AK$10:$AK$258, COUNTIF($AP$9:$AP108, $AM$10:$AM$258), ""), 0)),"")</f>
        <v/>
      </c>
      <c r="AR109" s="15" t="str">
        <f>IFERROR(INDEX('G-7 WaterC'' Data'!$AZ$3:$AZ$7,MATCH(D109,'G-7 WaterC'' Data'!$AY$3:$AY$7,0)),"")</f>
        <v/>
      </c>
      <c r="AS109" s="15" t="str">
        <f>IFERROR(INDEX('G-7 WaterC'' Data'!AZ109:AZ113,MATCH(D109,'G-7 WaterC'' Data'!$AY$10:$AY$14,0)),"")</f>
        <v/>
      </c>
      <c r="AU109" s="15" t="str">
        <f>IF(D109="","",VLOOKUP(D109,'G-7 WaterC'' Data'!B$4:M$8,12,FALSE))</f>
        <v/>
      </c>
      <c r="AV109" s="15" t="str">
        <f t="shared" si="17"/>
        <v/>
      </c>
    </row>
    <row r="110" spans="3:48" ht="14" x14ac:dyDescent="0.3">
      <c r="C110" s="92">
        <v>101</v>
      </c>
      <c r="D110" s="271"/>
      <c r="E110" s="120"/>
      <c r="F110" s="290" t="str">
        <f>IF(D110="","",VLOOKUP(D110,'G-7 WaterC'' Data'!$B$2:$G$8,2,FALSE))</f>
        <v/>
      </c>
      <c r="G110" s="291" t="str">
        <f>IFERROR(VLOOKUP(F110,'G-7 WaterC'' Data'!$C$4:$D$8,2,FALSE),"")</f>
        <v/>
      </c>
      <c r="H110" s="38"/>
      <c r="I110" s="291" t="str">
        <f>IFERROR(INDEX('G-7 WaterC'' Data'!$H$4:$L$8,MATCH(D110,'G-7 WaterC'' Data'!$B$4:$B$8,0),MATCH(H110,'G-7 WaterC'' Data'!$H$3:$L$3,0)),"")</f>
        <v/>
      </c>
      <c r="J110" s="777"/>
      <c r="K110" s="325" t="str">
        <f>IF(J110="","",IF(VLOOKUP(J110,'G-7 WaterC'' Data'!$AK$4:$AM$6,2,FALSE)=0,"Spatial Data Missing ⚠",VLOOKUP(J110,'G-7 WaterC'' Data'!$AK$4:$AM$6,2,FALSE)))</f>
        <v/>
      </c>
      <c r="L110" s="296" t="str">
        <f>IF(J110="","",IF(VLOOKUP(J110,'G-7 WaterC'' Data'!$AK$4:$AM$9,3,FALSE)=0,"Spatial Data Missing ⚠",VLOOKUP(J110,'G-7 WaterC'' Data'!$AK$4:$AM$6,3,FALSE)))</f>
        <v/>
      </c>
      <c r="M110" s="38"/>
      <c r="N110" s="291" t="str">
        <f>IF(M110="","",IF(AND(D110&lt;&gt;"Culvert",M110="N/A - Culvert"),"Not possible ▲",IF(AND(D110="Culvert",M110&lt;&gt;"N/A - Culvert"),"Not possible ▲",IF(VLOOKUP(M110,'G-7 WaterC'' Data'!$AA$4:$AB$7,2,FALSE)=0,"Spatial Data Missing ⚠",VLOOKUP(M110,'G-7 WaterC'' Data'!$AA$4:$AB$7,2,FALSE)))))</f>
        <v/>
      </c>
      <c r="O110" s="44"/>
      <c r="P110" s="291" t="str">
        <f>IF(O110="","",IF(AND(O110="N/A - Culvert", D110&lt;&gt;"Culvert"),"Not possible ▲", IF(AND(D110="Culvert",O110&lt;&gt;"N/A - Culvert"),"Not possible ▲",IF(VLOOKUP(O110,'G-7 WaterC'' Data'!$AD$4:$AE$14,2,FALSE)=0,"Spatial Data Missing ⚠",VLOOKUP(O110,'G-7 WaterC'' Data'!$AD$4:$AE$14,2,FALSE)))))</f>
        <v/>
      </c>
      <c r="Q110" s="297" t="str">
        <f>IF(D110="","",VLOOKUP(D110,'G-7 WaterC'' Data'!$B$2:$G$8,6,FALSE))</f>
        <v/>
      </c>
      <c r="R110" s="304" t="str">
        <f>IFERROR(IF(AND(Q110='G-1 All Habitats'!$X$3, AE110&gt;0, U110&lt;=0, V110&lt;=0, OR(AA110="No", AA110="")),"Any Loss Unacceptable ⚠", (IF(AND(Q110='G-1 All Habitats'!$X$3, AE110&gt;0, U110&lt;=0, V110&lt;=0, AA110="Yes"), 0, (IF(AND(Q110='G-1 All Habitats'!$X$3,(U110+V110)&lt;E110, OR(AA110="No", AA110="")),"Any Loss Unacceptable ⚠", (IF(AND(Q110='G-1 All Habitats'!$X$3,(U110+V110)&gt;E110), E110*G110*I110*L110*N110*P110, (IF(Q110="","",IF(AND(Q110='G-1 All Habitats'!$X$3,V110&gt;0),W110+X110,IF(AND(Q110='G-1 All Habitats'!$X$3,U110&gt;0), W110+X110, IF(AND(S110="Yes", V110&gt;(E110-U110)),(E110-U110)*G110*I110*L110*N110*P110, IF(AND(S110="Yes", V110&lt;=(E110-U110)), X110, E110*G110*I110*L110*N110*P110 ))))))))))))),"Check Data ▲")</f>
        <v/>
      </c>
      <c r="S110" s="671" t="str">
        <f t="shared" si="9"/>
        <v/>
      </c>
      <c r="T110" s="17"/>
      <c r="U110" s="95"/>
      <c r="V110" s="106"/>
      <c r="W110" s="302" t="str">
        <f t="shared" si="10"/>
        <v/>
      </c>
      <c r="X110" s="302" t="str">
        <f t="shared" si="11"/>
        <v/>
      </c>
      <c r="Y110" s="302" t="str">
        <f t="shared" si="12"/>
        <v/>
      </c>
      <c r="Z110" s="471" t="str">
        <f t="shared" si="13"/>
        <v/>
      </c>
      <c r="AA110" s="488"/>
      <c r="AB110" s="486"/>
      <c r="AC110" s="101"/>
      <c r="AD110" s="101"/>
      <c r="AE110" s="41" t="str">
        <f>IF(OR(Q110="",AA110="Yes"),"",IF(Q110='G-1 All Habitats'!$X$3,E110-U110-V110,"None"))</f>
        <v/>
      </c>
      <c r="AF110" s="42" t="str">
        <f>IF(Q110="","", IF(Q110='G-1 All Habitats'!$X$3, AE110*G110*I110*L110*N110*P110,"None"))</f>
        <v/>
      </c>
      <c r="AI110" s="15">
        <f t="shared" si="14"/>
        <v>0</v>
      </c>
      <c r="AJ110" s="105" t="str">
        <f t="shared" si="15"/>
        <v/>
      </c>
      <c r="AK110" s="105" t="str">
        <f t="shared" si="16"/>
        <v/>
      </c>
      <c r="AM110" s="105">
        <v>101</v>
      </c>
      <c r="AO110" s="105" t="str">
        <f t="array" ref="AO110">IFERROR(INDEX($AM$10:$AM$258, MATCH(0, IF(TRUE=$AJ$10:$AJ$258, COUNTIF($AO$9:$AO109, $AM$10:$AM$258), ""), 0)),"")</f>
        <v/>
      </c>
      <c r="AP110" s="105" t="str">
        <f t="array" ref="AP110">IFERROR(INDEX($AM$10:$AM$258, MATCH(0, IF(TRUE=$AK$10:$AK$258, COUNTIF($AP$9:$AP109, $AM$10:$AM$258), ""), 0)),"")</f>
        <v/>
      </c>
      <c r="AR110" s="15" t="str">
        <f>IFERROR(INDEX('G-7 WaterC'' Data'!$AZ$3:$AZ$7,MATCH(D110,'G-7 WaterC'' Data'!$AY$3:$AY$7,0)),"")</f>
        <v/>
      </c>
      <c r="AS110" s="15" t="str">
        <f>IFERROR(INDEX('G-7 WaterC'' Data'!AZ110:AZ114,MATCH(D110,'G-7 WaterC'' Data'!$AY$10:$AY$14,0)),"")</f>
        <v/>
      </c>
      <c r="AU110" s="15" t="str">
        <f>IF(D110="","",VLOOKUP(D110,'G-7 WaterC'' Data'!B$4:M$8,12,FALSE))</f>
        <v/>
      </c>
      <c r="AV110" s="15" t="str">
        <f t="shared" si="17"/>
        <v/>
      </c>
    </row>
    <row r="111" spans="3:48" ht="14" x14ac:dyDescent="0.3">
      <c r="C111" s="92">
        <v>102</v>
      </c>
      <c r="D111" s="271"/>
      <c r="E111" s="120"/>
      <c r="F111" s="290" t="str">
        <f>IF(D111="","",VLOOKUP(D111,'G-7 WaterC'' Data'!$B$2:$G$8,2,FALSE))</f>
        <v/>
      </c>
      <c r="G111" s="291" t="str">
        <f>IFERROR(VLOOKUP(F111,'G-7 WaterC'' Data'!$C$4:$D$8,2,FALSE),"")</f>
        <v/>
      </c>
      <c r="H111" s="38"/>
      <c r="I111" s="291" t="str">
        <f>IFERROR(INDEX('G-7 WaterC'' Data'!$H$4:$L$8,MATCH(D111,'G-7 WaterC'' Data'!$B$4:$B$8,0),MATCH(H111,'G-7 WaterC'' Data'!$H$3:$L$3,0)),"")</f>
        <v/>
      </c>
      <c r="J111" s="777"/>
      <c r="K111" s="325" t="str">
        <f>IF(J111="","",IF(VLOOKUP(J111,'G-7 WaterC'' Data'!$AK$4:$AM$6,2,FALSE)=0,"Spatial Data Missing ⚠",VLOOKUP(J111,'G-7 WaterC'' Data'!$AK$4:$AM$6,2,FALSE)))</f>
        <v/>
      </c>
      <c r="L111" s="296" t="str">
        <f>IF(J111="","",IF(VLOOKUP(J111,'G-7 WaterC'' Data'!$AK$4:$AM$9,3,FALSE)=0,"Spatial Data Missing ⚠",VLOOKUP(J111,'G-7 WaterC'' Data'!$AK$4:$AM$6,3,FALSE)))</f>
        <v/>
      </c>
      <c r="M111" s="38"/>
      <c r="N111" s="291" t="str">
        <f>IF(M111="","",IF(AND(D111&lt;&gt;"Culvert",M111="N/A - Culvert"),"Not possible ▲",IF(AND(D111="Culvert",M111&lt;&gt;"N/A - Culvert"),"Not possible ▲",IF(VLOOKUP(M111,'G-7 WaterC'' Data'!$AA$4:$AB$7,2,FALSE)=0,"Spatial Data Missing ⚠",VLOOKUP(M111,'G-7 WaterC'' Data'!$AA$4:$AB$7,2,FALSE)))))</f>
        <v/>
      </c>
      <c r="O111" s="44"/>
      <c r="P111" s="291" t="str">
        <f>IF(O111="","",IF(AND(O111="N/A - Culvert", D111&lt;&gt;"Culvert"),"Not possible ▲", IF(AND(D111="Culvert",O111&lt;&gt;"N/A - Culvert"),"Not possible ▲",IF(VLOOKUP(O111,'G-7 WaterC'' Data'!$AD$4:$AE$14,2,FALSE)=0,"Spatial Data Missing ⚠",VLOOKUP(O111,'G-7 WaterC'' Data'!$AD$4:$AE$14,2,FALSE)))))</f>
        <v/>
      </c>
      <c r="Q111" s="297" t="str">
        <f>IF(D111="","",VLOOKUP(D111,'G-7 WaterC'' Data'!$B$2:$G$8,6,FALSE))</f>
        <v/>
      </c>
      <c r="R111" s="304" t="str">
        <f>IFERROR(IF(AND(Q111='G-1 All Habitats'!$X$3, AE111&gt;0, U111&lt;=0, V111&lt;=0, OR(AA111="No", AA111="")),"Any Loss Unacceptable ⚠", (IF(AND(Q111='G-1 All Habitats'!$X$3, AE111&gt;0, U111&lt;=0, V111&lt;=0, AA111="Yes"), 0, (IF(AND(Q111='G-1 All Habitats'!$X$3,(U111+V111)&lt;E111, OR(AA111="No", AA111="")),"Any Loss Unacceptable ⚠", (IF(AND(Q111='G-1 All Habitats'!$X$3,(U111+V111)&gt;E111), E111*G111*I111*L111*N111*P111, (IF(Q111="","",IF(AND(Q111='G-1 All Habitats'!$X$3,V111&gt;0),W111+X111,IF(AND(Q111='G-1 All Habitats'!$X$3,U111&gt;0), W111+X111, IF(AND(S111="Yes", V111&gt;(E111-U111)),(E111-U111)*G111*I111*L111*N111*P111, IF(AND(S111="Yes", V111&lt;=(E111-U111)), X111, E111*G111*I111*L111*N111*P111 ))))))))))))),"Check Data ▲")</f>
        <v/>
      </c>
      <c r="S111" s="671" t="str">
        <f t="shared" si="9"/>
        <v/>
      </c>
      <c r="T111" s="17"/>
      <c r="U111" s="95"/>
      <c r="V111" s="106"/>
      <c r="W111" s="302" t="str">
        <f t="shared" si="10"/>
        <v/>
      </c>
      <c r="X111" s="302" t="str">
        <f t="shared" si="11"/>
        <v/>
      </c>
      <c r="Y111" s="302" t="str">
        <f t="shared" si="12"/>
        <v/>
      </c>
      <c r="Z111" s="471" t="str">
        <f t="shared" si="13"/>
        <v/>
      </c>
      <c r="AA111" s="488"/>
      <c r="AB111" s="486"/>
      <c r="AC111" s="101"/>
      <c r="AD111" s="101"/>
      <c r="AE111" s="41" t="str">
        <f>IF(OR(Q111="",AA111="Yes"),"",IF(Q111='G-1 All Habitats'!$X$3,E111-U111-V111,"None"))</f>
        <v/>
      </c>
      <c r="AF111" s="42" t="str">
        <f>IF(Q111="","", IF(Q111='G-1 All Habitats'!$X$3, AE111*G111*I111*L111*N111*P111,"None"))</f>
        <v/>
      </c>
      <c r="AI111" s="15">
        <f t="shared" si="14"/>
        <v>0</v>
      </c>
      <c r="AJ111" s="105" t="str">
        <f t="shared" si="15"/>
        <v/>
      </c>
      <c r="AK111" s="105" t="str">
        <f t="shared" si="16"/>
        <v/>
      </c>
      <c r="AM111" s="105">
        <v>102</v>
      </c>
      <c r="AO111" s="105" t="str">
        <f t="array" ref="AO111">IFERROR(INDEX($AM$10:$AM$258, MATCH(0, IF(TRUE=$AJ$10:$AJ$258, COUNTIF($AO$9:$AO110, $AM$10:$AM$258), ""), 0)),"")</f>
        <v/>
      </c>
      <c r="AP111" s="105" t="str">
        <f t="array" ref="AP111">IFERROR(INDEX($AM$10:$AM$258, MATCH(0, IF(TRUE=$AK$10:$AK$258, COUNTIF($AP$9:$AP110, $AM$10:$AM$258), ""), 0)),"")</f>
        <v/>
      </c>
      <c r="AR111" s="15" t="str">
        <f>IFERROR(INDEX('G-7 WaterC'' Data'!$AZ$3:$AZ$7,MATCH(D111,'G-7 WaterC'' Data'!$AY$3:$AY$7,0)),"")</f>
        <v/>
      </c>
      <c r="AS111" s="15" t="str">
        <f>IFERROR(INDEX('G-7 WaterC'' Data'!AZ111:AZ115,MATCH(D111,'G-7 WaterC'' Data'!$AY$10:$AY$14,0)),"")</f>
        <v/>
      </c>
      <c r="AU111" s="15" t="str">
        <f>IF(D111="","",VLOOKUP(D111,'G-7 WaterC'' Data'!B$4:M$8,12,FALSE))</f>
        <v/>
      </c>
      <c r="AV111" s="15" t="str">
        <f t="shared" si="17"/>
        <v/>
      </c>
    </row>
    <row r="112" spans="3:48" ht="14" x14ac:dyDescent="0.3">
      <c r="C112" s="92">
        <v>103</v>
      </c>
      <c r="D112" s="271"/>
      <c r="E112" s="120"/>
      <c r="F112" s="290" t="str">
        <f>IF(D112="","",VLOOKUP(D112,'G-7 WaterC'' Data'!$B$2:$G$8,2,FALSE))</f>
        <v/>
      </c>
      <c r="G112" s="291" t="str">
        <f>IFERROR(VLOOKUP(F112,'G-7 WaterC'' Data'!$C$4:$D$8,2,FALSE),"")</f>
        <v/>
      </c>
      <c r="H112" s="38"/>
      <c r="I112" s="291" t="str">
        <f>IFERROR(INDEX('G-7 WaterC'' Data'!$H$4:$L$8,MATCH(D112,'G-7 WaterC'' Data'!$B$4:$B$8,0),MATCH(H112,'G-7 WaterC'' Data'!$H$3:$L$3,0)),"")</f>
        <v/>
      </c>
      <c r="J112" s="777"/>
      <c r="K112" s="325" t="str">
        <f>IF(J112="","",IF(VLOOKUP(J112,'G-7 WaterC'' Data'!$AK$4:$AM$6,2,FALSE)=0,"Spatial Data Missing ⚠",VLOOKUP(J112,'G-7 WaterC'' Data'!$AK$4:$AM$6,2,FALSE)))</f>
        <v/>
      </c>
      <c r="L112" s="296" t="str">
        <f>IF(J112="","",IF(VLOOKUP(J112,'G-7 WaterC'' Data'!$AK$4:$AM$9,3,FALSE)=0,"Spatial Data Missing ⚠",VLOOKUP(J112,'G-7 WaterC'' Data'!$AK$4:$AM$6,3,FALSE)))</f>
        <v/>
      </c>
      <c r="M112" s="38"/>
      <c r="N112" s="291" t="str">
        <f>IF(M112="","",IF(AND(D112&lt;&gt;"Culvert",M112="N/A - Culvert"),"Not possible ▲",IF(AND(D112="Culvert",M112&lt;&gt;"N/A - Culvert"),"Not possible ▲",IF(VLOOKUP(M112,'G-7 WaterC'' Data'!$AA$4:$AB$7,2,FALSE)=0,"Spatial Data Missing ⚠",VLOOKUP(M112,'G-7 WaterC'' Data'!$AA$4:$AB$7,2,FALSE)))))</f>
        <v/>
      </c>
      <c r="O112" s="44"/>
      <c r="P112" s="291" t="str">
        <f>IF(O112="","",IF(AND(O112="N/A - Culvert", D112&lt;&gt;"Culvert"),"Not possible ▲", IF(AND(D112="Culvert",O112&lt;&gt;"N/A - Culvert"),"Not possible ▲",IF(VLOOKUP(O112,'G-7 WaterC'' Data'!$AD$4:$AE$14,2,FALSE)=0,"Spatial Data Missing ⚠",VLOOKUP(O112,'G-7 WaterC'' Data'!$AD$4:$AE$14,2,FALSE)))))</f>
        <v/>
      </c>
      <c r="Q112" s="297" t="str">
        <f>IF(D112="","",VLOOKUP(D112,'G-7 WaterC'' Data'!$B$2:$G$8,6,FALSE))</f>
        <v/>
      </c>
      <c r="R112" s="304" t="str">
        <f>IFERROR(IF(AND(Q112='G-1 All Habitats'!$X$3, AE112&gt;0, U112&lt;=0, V112&lt;=0, OR(AA112="No", AA112="")),"Any Loss Unacceptable ⚠", (IF(AND(Q112='G-1 All Habitats'!$X$3, AE112&gt;0, U112&lt;=0, V112&lt;=0, AA112="Yes"), 0, (IF(AND(Q112='G-1 All Habitats'!$X$3,(U112+V112)&lt;E112, OR(AA112="No", AA112="")),"Any Loss Unacceptable ⚠", (IF(AND(Q112='G-1 All Habitats'!$X$3,(U112+V112)&gt;E112), E112*G112*I112*L112*N112*P112, (IF(Q112="","",IF(AND(Q112='G-1 All Habitats'!$X$3,V112&gt;0),W112+X112,IF(AND(Q112='G-1 All Habitats'!$X$3,U112&gt;0), W112+X112, IF(AND(S112="Yes", V112&gt;(E112-U112)),(E112-U112)*G112*I112*L112*N112*P112, IF(AND(S112="Yes", V112&lt;=(E112-U112)), X112, E112*G112*I112*L112*N112*P112 ))))))))))))),"Check Data ▲")</f>
        <v/>
      </c>
      <c r="S112" s="671" t="str">
        <f t="shared" si="9"/>
        <v/>
      </c>
      <c r="T112" s="17"/>
      <c r="U112" s="95"/>
      <c r="V112" s="106"/>
      <c r="W112" s="302" t="str">
        <f t="shared" si="10"/>
        <v/>
      </c>
      <c r="X112" s="302" t="str">
        <f t="shared" si="11"/>
        <v/>
      </c>
      <c r="Y112" s="302" t="str">
        <f t="shared" si="12"/>
        <v/>
      </c>
      <c r="Z112" s="471" t="str">
        <f t="shared" si="13"/>
        <v/>
      </c>
      <c r="AA112" s="488"/>
      <c r="AB112" s="486"/>
      <c r="AC112" s="101"/>
      <c r="AD112" s="101"/>
      <c r="AE112" s="41" t="str">
        <f>IF(OR(Q112="",AA112="Yes"),"",IF(Q112='G-1 All Habitats'!$X$3,E112-U112-V112,"None"))</f>
        <v/>
      </c>
      <c r="AF112" s="42" t="str">
        <f>IF(Q112="","", IF(Q112='G-1 All Habitats'!$X$3, AE112*G112*I112*L112*N112*P112,"None"))</f>
        <v/>
      </c>
      <c r="AI112" s="15">
        <f t="shared" si="14"/>
        <v>0</v>
      </c>
      <c r="AJ112" s="105" t="str">
        <f t="shared" si="15"/>
        <v/>
      </c>
      <c r="AK112" s="105" t="str">
        <f t="shared" si="16"/>
        <v/>
      </c>
      <c r="AM112" s="105">
        <v>103</v>
      </c>
      <c r="AO112" s="105" t="str">
        <f t="array" ref="AO112">IFERROR(INDEX($AM$10:$AM$258, MATCH(0, IF(TRUE=$AJ$10:$AJ$258, COUNTIF($AO$9:$AO111, $AM$10:$AM$258), ""), 0)),"")</f>
        <v/>
      </c>
      <c r="AP112" s="105" t="str">
        <f t="array" ref="AP112">IFERROR(INDEX($AM$10:$AM$258, MATCH(0, IF(TRUE=$AK$10:$AK$258, COUNTIF($AP$9:$AP111, $AM$10:$AM$258), ""), 0)),"")</f>
        <v/>
      </c>
      <c r="AR112" s="15" t="str">
        <f>IFERROR(INDEX('G-7 WaterC'' Data'!$AZ$3:$AZ$7,MATCH(D112,'G-7 WaterC'' Data'!$AY$3:$AY$7,0)),"")</f>
        <v/>
      </c>
      <c r="AS112" s="15" t="str">
        <f>IFERROR(INDEX('G-7 WaterC'' Data'!AZ112:AZ116,MATCH(D112,'G-7 WaterC'' Data'!$AY$10:$AY$14,0)),"")</f>
        <v/>
      </c>
      <c r="AU112" s="15" t="str">
        <f>IF(D112="","",VLOOKUP(D112,'G-7 WaterC'' Data'!B$4:M$8,12,FALSE))</f>
        <v/>
      </c>
      <c r="AV112" s="15" t="str">
        <f t="shared" si="17"/>
        <v/>
      </c>
    </row>
    <row r="113" spans="3:48" ht="14" x14ac:dyDescent="0.3">
      <c r="C113" s="92">
        <v>104</v>
      </c>
      <c r="D113" s="271"/>
      <c r="E113" s="120"/>
      <c r="F113" s="290" t="str">
        <f>IF(D113="","",VLOOKUP(D113,'G-7 WaterC'' Data'!$B$2:$G$8,2,FALSE))</f>
        <v/>
      </c>
      <c r="G113" s="291" t="str">
        <f>IFERROR(VLOOKUP(F113,'G-7 WaterC'' Data'!$C$4:$D$8,2,FALSE),"")</f>
        <v/>
      </c>
      <c r="H113" s="38"/>
      <c r="I113" s="291" t="str">
        <f>IFERROR(INDEX('G-7 WaterC'' Data'!$H$4:$L$8,MATCH(D113,'G-7 WaterC'' Data'!$B$4:$B$8,0),MATCH(H113,'G-7 WaterC'' Data'!$H$3:$L$3,0)),"")</f>
        <v/>
      </c>
      <c r="J113" s="777"/>
      <c r="K113" s="325" t="str">
        <f>IF(J113="","",IF(VLOOKUP(J113,'G-7 WaterC'' Data'!$AK$4:$AM$6,2,FALSE)=0,"Spatial Data Missing ⚠",VLOOKUP(J113,'G-7 WaterC'' Data'!$AK$4:$AM$6,2,FALSE)))</f>
        <v/>
      </c>
      <c r="L113" s="296" t="str">
        <f>IF(J113="","",IF(VLOOKUP(J113,'G-7 WaterC'' Data'!$AK$4:$AM$9,3,FALSE)=0,"Spatial Data Missing ⚠",VLOOKUP(J113,'G-7 WaterC'' Data'!$AK$4:$AM$6,3,FALSE)))</f>
        <v/>
      </c>
      <c r="M113" s="38"/>
      <c r="N113" s="291" t="str">
        <f>IF(M113="","",IF(AND(D113&lt;&gt;"Culvert",M113="N/A - Culvert"),"Not possible ▲",IF(AND(D113="Culvert",M113&lt;&gt;"N/A - Culvert"),"Not possible ▲",IF(VLOOKUP(M113,'G-7 WaterC'' Data'!$AA$4:$AB$7,2,FALSE)=0,"Spatial Data Missing ⚠",VLOOKUP(M113,'G-7 WaterC'' Data'!$AA$4:$AB$7,2,FALSE)))))</f>
        <v/>
      </c>
      <c r="O113" s="44"/>
      <c r="P113" s="291" t="str">
        <f>IF(O113="","",IF(AND(O113="N/A - Culvert", D113&lt;&gt;"Culvert"),"Not possible ▲", IF(AND(D113="Culvert",O113&lt;&gt;"N/A - Culvert"),"Not possible ▲",IF(VLOOKUP(O113,'G-7 WaterC'' Data'!$AD$4:$AE$14,2,FALSE)=0,"Spatial Data Missing ⚠",VLOOKUP(O113,'G-7 WaterC'' Data'!$AD$4:$AE$14,2,FALSE)))))</f>
        <v/>
      </c>
      <c r="Q113" s="297" t="str">
        <f>IF(D113="","",VLOOKUP(D113,'G-7 WaterC'' Data'!$B$2:$G$8,6,FALSE))</f>
        <v/>
      </c>
      <c r="R113" s="304" t="str">
        <f>IFERROR(IF(AND(Q113='G-1 All Habitats'!$X$3, AE113&gt;0, U113&lt;=0, V113&lt;=0, OR(AA113="No", AA113="")),"Any Loss Unacceptable ⚠", (IF(AND(Q113='G-1 All Habitats'!$X$3, AE113&gt;0, U113&lt;=0, V113&lt;=0, AA113="Yes"), 0, (IF(AND(Q113='G-1 All Habitats'!$X$3,(U113+V113)&lt;E113, OR(AA113="No", AA113="")),"Any Loss Unacceptable ⚠", (IF(AND(Q113='G-1 All Habitats'!$X$3,(U113+V113)&gt;E113), E113*G113*I113*L113*N113*P113, (IF(Q113="","",IF(AND(Q113='G-1 All Habitats'!$X$3,V113&gt;0),W113+X113,IF(AND(Q113='G-1 All Habitats'!$X$3,U113&gt;0), W113+X113, IF(AND(S113="Yes", V113&gt;(E113-U113)),(E113-U113)*G113*I113*L113*N113*P113, IF(AND(S113="Yes", V113&lt;=(E113-U113)), X113, E113*G113*I113*L113*N113*P113 ))))))))))))),"Check Data ▲")</f>
        <v/>
      </c>
      <c r="S113" s="671" t="str">
        <f t="shared" si="9"/>
        <v/>
      </c>
      <c r="T113" s="17"/>
      <c r="U113" s="95"/>
      <c r="V113" s="106"/>
      <c r="W113" s="302" t="str">
        <f t="shared" si="10"/>
        <v/>
      </c>
      <c r="X113" s="302" t="str">
        <f t="shared" si="11"/>
        <v/>
      </c>
      <c r="Y113" s="302" t="str">
        <f t="shared" si="12"/>
        <v/>
      </c>
      <c r="Z113" s="471" t="str">
        <f t="shared" si="13"/>
        <v/>
      </c>
      <c r="AA113" s="488"/>
      <c r="AB113" s="486"/>
      <c r="AC113" s="101"/>
      <c r="AD113" s="101"/>
      <c r="AE113" s="41" t="str">
        <f>IF(OR(Q113="",AA113="Yes"),"",IF(Q113='G-1 All Habitats'!$X$3,E113-U113-V113,"None"))</f>
        <v/>
      </c>
      <c r="AF113" s="42" t="str">
        <f>IF(Q113="","", IF(Q113='G-1 All Habitats'!$X$3, AE113*G113*I113*L113*N113*P113,"None"))</f>
        <v/>
      </c>
      <c r="AI113" s="15">
        <f t="shared" si="14"/>
        <v>0</v>
      </c>
      <c r="AJ113" s="105" t="str">
        <f t="shared" si="15"/>
        <v/>
      </c>
      <c r="AK113" s="105" t="str">
        <f t="shared" si="16"/>
        <v/>
      </c>
      <c r="AM113" s="105">
        <v>104</v>
      </c>
      <c r="AO113" s="105" t="str">
        <f t="array" ref="AO113">IFERROR(INDEX($AM$10:$AM$258, MATCH(0, IF(TRUE=$AJ$10:$AJ$258, COUNTIF($AO$9:$AO112, $AM$10:$AM$258), ""), 0)),"")</f>
        <v/>
      </c>
      <c r="AP113" s="105" t="str">
        <f t="array" ref="AP113">IFERROR(INDEX($AM$10:$AM$258, MATCH(0, IF(TRUE=$AK$10:$AK$258, COUNTIF($AP$9:$AP112, $AM$10:$AM$258), ""), 0)),"")</f>
        <v/>
      </c>
      <c r="AR113" s="15" t="str">
        <f>IFERROR(INDEX('G-7 WaterC'' Data'!$AZ$3:$AZ$7,MATCH(D113,'G-7 WaterC'' Data'!$AY$3:$AY$7,0)),"")</f>
        <v/>
      </c>
      <c r="AS113" s="15" t="str">
        <f>IFERROR(INDEX('G-7 WaterC'' Data'!AZ113:AZ117,MATCH(D113,'G-7 WaterC'' Data'!$AY$10:$AY$14,0)),"")</f>
        <v/>
      </c>
      <c r="AU113" s="15" t="str">
        <f>IF(D113="","",VLOOKUP(D113,'G-7 WaterC'' Data'!B$4:M$8,12,FALSE))</f>
        <v/>
      </c>
      <c r="AV113" s="15" t="str">
        <f t="shared" si="17"/>
        <v/>
      </c>
    </row>
    <row r="114" spans="3:48" ht="14" x14ac:dyDescent="0.3">
      <c r="C114" s="92">
        <v>105</v>
      </c>
      <c r="D114" s="271"/>
      <c r="E114" s="120"/>
      <c r="F114" s="290" t="str">
        <f>IF(D114="","",VLOOKUP(D114,'G-7 WaterC'' Data'!$B$2:$G$8,2,FALSE))</f>
        <v/>
      </c>
      <c r="G114" s="291" t="str">
        <f>IFERROR(VLOOKUP(F114,'G-7 WaterC'' Data'!$C$4:$D$8,2,FALSE),"")</f>
        <v/>
      </c>
      <c r="H114" s="38"/>
      <c r="I114" s="291" t="str">
        <f>IFERROR(INDEX('G-7 WaterC'' Data'!$H$4:$L$8,MATCH(D114,'G-7 WaterC'' Data'!$B$4:$B$8,0),MATCH(H114,'G-7 WaterC'' Data'!$H$3:$L$3,0)),"")</f>
        <v/>
      </c>
      <c r="J114" s="777"/>
      <c r="K114" s="325" t="str">
        <f>IF(J114="","",IF(VLOOKUP(J114,'G-7 WaterC'' Data'!$AK$4:$AM$6,2,FALSE)=0,"Spatial Data Missing ⚠",VLOOKUP(J114,'G-7 WaterC'' Data'!$AK$4:$AM$6,2,FALSE)))</f>
        <v/>
      </c>
      <c r="L114" s="296" t="str">
        <f>IF(J114="","",IF(VLOOKUP(J114,'G-7 WaterC'' Data'!$AK$4:$AM$9,3,FALSE)=0,"Spatial Data Missing ⚠",VLOOKUP(J114,'G-7 WaterC'' Data'!$AK$4:$AM$6,3,FALSE)))</f>
        <v/>
      </c>
      <c r="M114" s="38"/>
      <c r="N114" s="291" t="str">
        <f>IF(M114="","",IF(AND(D114&lt;&gt;"Culvert",M114="N/A - Culvert"),"Not possible ▲",IF(AND(D114="Culvert",M114&lt;&gt;"N/A - Culvert"),"Not possible ▲",IF(VLOOKUP(M114,'G-7 WaterC'' Data'!$AA$4:$AB$7,2,FALSE)=0,"Spatial Data Missing ⚠",VLOOKUP(M114,'G-7 WaterC'' Data'!$AA$4:$AB$7,2,FALSE)))))</f>
        <v/>
      </c>
      <c r="O114" s="44"/>
      <c r="P114" s="291" t="str">
        <f>IF(O114="","",IF(AND(O114="N/A - Culvert", D114&lt;&gt;"Culvert"),"Not possible ▲", IF(AND(D114="Culvert",O114&lt;&gt;"N/A - Culvert"),"Not possible ▲",IF(VLOOKUP(O114,'G-7 WaterC'' Data'!$AD$4:$AE$14,2,FALSE)=0,"Spatial Data Missing ⚠",VLOOKUP(O114,'G-7 WaterC'' Data'!$AD$4:$AE$14,2,FALSE)))))</f>
        <v/>
      </c>
      <c r="Q114" s="297" t="str">
        <f>IF(D114="","",VLOOKUP(D114,'G-7 WaterC'' Data'!$B$2:$G$8,6,FALSE))</f>
        <v/>
      </c>
      <c r="R114" s="304" t="str">
        <f>IFERROR(IF(AND(Q114='G-1 All Habitats'!$X$3, AE114&gt;0, U114&lt;=0, V114&lt;=0, OR(AA114="No", AA114="")),"Any Loss Unacceptable ⚠", (IF(AND(Q114='G-1 All Habitats'!$X$3, AE114&gt;0, U114&lt;=0, V114&lt;=0, AA114="Yes"), 0, (IF(AND(Q114='G-1 All Habitats'!$X$3,(U114+V114)&lt;E114, OR(AA114="No", AA114="")),"Any Loss Unacceptable ⚠", (IF(AND(Q114='G-1 All Habitats'!$X$3,(U114+V114)&gt;E114), E114*G114*I114*L114*N114*P114, (IF(Q114="","",IF(AND(Q114='G-1 All Habitats'!$X$3,V114&gt;0),W114+X114,IF(AND(Q114='G-1 All Habitats'!$X$3,U114&gt;0), W114+X114, IF(AND(S114="Yes", V114&gt;(E114-U114)),(E114-U114)*G114*I114*L114*N114*P114, IF(AND(S114="Yes", V114&lt;=(E114-U114)), X114, E114*G114*I114*L114*N114*P114 ))))))))))))),"Check Data ▲")</f>
        <v/>
      </c>
      <c r="S114" s="671" t="str">
        <f t="shared" si="9"/>
        <v/>
      </c>
      <c r="T114" s="17"/>
      <c r="U114" s="95"/>
      <c r="V114" s="106"/>
      <c r="W114" s="302" t="str">
        <f t="shared" si="10"/>
        <v/>
      </c>
      <c r="X114" s="302" t="str">
        <f t="shared" si="11"/>
        <v/>
      </c>
      <c r="Y114" s="302" t="str">
        <f t="shared" si="12"/>
        <v/>
      </c>
      <c r="Z114" s="471" t="str">
        <f t="shared" si="13"/>
        <v/>
      </c>
      <c r="AA114" s="488"/>
      <c r="AB114" s="486"/>
      <c r="AC114" s="101"/>
      <c r="AD114" s="101"/>
      <c r="AE114" s="41" t="str">
        <f>IF(OR(Q114="",AA114="Yes"),"",IF(Q114='G-1 All Habitats'!$X$3,E114-U114-V114,"None"))</f>
        <v/>
      </c>
      <c r="AF114" s="42" t="str">
        <f>IF(Q114="","", IF(Q114='G-1 All Habitats'!$X$3, AE114*G114*I114*L114*N114*P114,"None"))</f>
        <v/>
      </c>
      <c r="AI114" s="15">
        <f t="shared" si="14"/>
        <v>0</v>
      </c>
      <c r="AJ114" s="105" t="str">
        <f t="shared" si="15"/>
        <v/>
      </c>
      <c r="AK114" s="105" t="str">
        <f t="shared" si="16"/>
        <v/>
      </c>
      <c r="AM114" s="105">
        <v>105</v>
      </c>
      <c r="AO114" s="105" t="str">
        <f t="array" ref="AO114">IFERROR(INDEX($AM$10:$AM$258, MATCH(0, IF(TRUE=$AJ$10:$AJ$258, COUNTIF($AO$9:$AO113, $AM$10:$AM$258), ""), 0)),"")</f>
        <v/>
      </c>
      <c r="AP114" s="105" t="str">
        <f t="array" ref="AP114">IFERROR(INDEX($AM$10:$AM$258, MATCH(0, IF(TRUE=$AK$10:$AK$258, COUNTIF($AP$9:$AP113, $AM$10:$AM$258), ""), 0)),"")</f>
        <v/>
      </c>
      <c r="AR114" s="15" t="str">
        <f>IFERROR(INDEX('G-7 WaterC'' Data'!$AZ$3:$AZ$7,MATCH(D114,'G-7 WaterC'' Data'!$AY$3:$AY$7,0)),"")</f>
        <v/>
      </c>
      <c r="AS114" s="15" t="str">
        <f>IFERROR(INDEX('G-7 WaterC'' Data'!AZ114:AZ118,MATCH(D114,'G-7 WaterC'' Data'!$AY$10:$AY$14,0)),"")</f>
        <v/>
      </c>
      <c r="AU114" s="15" t="str">
        <f>IF(D114="","",VLOOKUP(D114,'G-7 WaterC'' Data'!B$4:M$8,12,FALSE))</f>
        <v/>
      </c>
      <c r="AV114" s="15" t="str">
        <f t="shared" si="17"/>
        <v/>
      </c>
    </row>
    <row r="115" spans="3:48" ht="14" x14ac:dyDescent="0.3">
      <c r="C115" s="92">
        <v>106</v>
      </c>
      <c r="D115" s="271"/>
      <c r="E115" s="120"/>
      <c r="F115" s="290" t="str">
        <f>IF(D115="","",VLOOKUP(D115,'G-7 WaterC'' Data'!$B$2:$G$8,2,FALSE))</f>
        <v/>
      </c>
      <c r="G115" s="291" t="str">
        <f>IFERROR(VLOOKUP(F115,'G-7 WaterC'' Data'!$C$4:$D$8,2,FALSE),"")</f>
        <v/>
      </c>
      <c r="H115" s="38"/>
      <c r="I115" s="291" t="str">
        <f>IFERROR(INDEX('G-7 WaterC'' Data'!$H$4:$L$8,MATCH(D115,'G-7 WaterC'' Data'!$B$4:$B$8,0),MATCH(H115,'G-7 WaterC'' Data'!$H$3:$L$3,0)),"")</f>
        <v/>
      </c>
      <c r="J115" s="777"/>
      <c r="K115" s="325" t="str">
        <f>IF(J115="","",IF(VLOOKUP(J115,'G-7 WaterC'' Data'!$AK$4:$AM$6,2,FALSE)=0,"Spatial Data Missing ⚠",VLOOKUP(J115,'G-7 WaterC'' Data'!$AK$4:$AM$6,2,FALSE)))</f>
        <v/>
      </c>
      <c r="L115" s="296" t="str">
        <f>IF(J115="","",IF(VLOOKUP(J115,'G-7 WaterC'' Data'!$AK$4:$AM$9,3,FALSE)=0,"Spatial Data Missing ⚠",VLOOKUP(J115,'G-7 WaterC'' Data'!$AK$4:$AM$6,3,FALSE)))</f>
        <v/>
      </c>
      <c r="M115" s="38"/>
      <c r="N115" s="291" t="str">
        <f>IF(M115="","",IF(AND(D115&lt;&gt;"Culvert",M115="N/A - Culvert"),"Not possible ▲",IF(AND(D115="Culvert",M115&lt;&gt;"N/A - Culvert"),"Not possible ▲",IF(VLOOKUP(M115,'G-7 WaterC'' Data'!$AA$4:$AB$7,2,FALSE)=0,"Spatial Data Missing ⚠",VLOOKUP(M115,'G-7 WaterC'' Data'!$AA$4:$AB$7,2,FALSE)))))</f>
        <v/>
      </c>
      <c r="O115" s="44"/>
      <c r="P115" s="291" t="str">
        <f>IF(O115="","",IF(AND(O115="N/A - Culvert", D115&lt;&gt;"Culvert"),"Not possible ▲", IF(AND(D115="Culvert",O115&lt;&gt;"N/A - Culvert"),"Not possible ▲",IF(VLOOKUP(O115,'G-7 WaterC'' Data'!$AD$4:$AE$14,2,FALSE)=0,"Spatial Data Missing ⚠",VLOOKUP(O115,'G-7 WaterC'' Data'!$AD$4:$AE$14,2,FALSE)))))</f>
        <v/>
      </c>
      <c r="Q115" s="297" t="str">
        <f>IF(D115="","",VLOOKUP(D115,'G-7 WaterC'' Data'!$B$2:$G$8,6,FALSE))</f>
        <v/>
      </c>
      <c r="R115" s="304" t="str">
        <f>IFERROR(IF(AND(Q115='G-1 All Habitats'!$X$3, AE115&gt;0, U115&lt;=0, V115&lt;=0, OR(AA115="No", AA115="")),"Any Loss Unacceptable ⚠", (IF(AND(Q115='G-1 All Habitats'!$X$3, AE115&gt;0, U115&lt;=0, V115&lt;=0, AA115="Yes"), 0, (IF(AND(Q115='G-1 All Habitats'!$X$3,(U115+V115)&lt;E115, OR(AA115="No", AA115="")),"Any Loss Unacceptable ⚠", (IF(AND(Q115='G-1 All Habitats'!$X$3,(U115+V115)&gt;E115), E115*G115*I115*L115*N115*P115, (IF(Q115="","",IF(AND(Q115='G-1 All Habitats'!$X$3,V115&gt;0),W115+X115,IF(AND(Q115='G-1 All Habitats'!$X$3,U115&gt;0), W115+X115, IF(AND(S115="Yes", V115&gt;(E115-U115)),(E115-U115)*G115*I115*L115*N115*P115, IF(AND(S115="Yes", V115&lt;=(E115-U115)), X115, E115*G115*I115*L115*N115*P115 ))))))))))))),"Check Data ▲")</f>
        <v/>
      </c>
      <c r="S115" s="671" t="str">
        <f t="shared" si="9"/>
        <v/>
      </c>
      <c r="T115" s="17"/>
      <c r="U115" s="95"/>
      <c r="V115" s="106"/>
      <c r="W115" s="302" t="str">
        <f t="shared" si="10"/>
        <v/>
      </c>
      <c r="X115" s="302" t="str">
        <f t="shared" si="11"/>
        <v/>
      </c>
      <c r="Y115" s="302" t="str">
        <f t="shared" si="12"/>
        <v/>
      </c>
      <c r="Z115" s="471" t="str">
        <f t="shared" si="13"/>
        <v/>
      </c>
      <c r="AA115" s="488"/>
      <c r="AB115" s="486"/>
      <c r="AC115" s="101"/>
      <c r="AD115" s="101"/>
      <c r="AE115" s="41" t="str">
        <f>IF(OR(Q115="",AA115="Yes"),"",IF(Q115='G-1 All Habitats'!$X$3,E115-U115-V115,"None"))</f>
        <v/>
      </c>
      <c r="AF115" s="42" t="str">
        <f>IF(Q115="","", IF(Q115='G-1 All Habitats'!$X$3, AE115*G115*I115*L115*N115*P115,"None"))</f>
        <v/>
      </c>
      <c r="AI115" s="15">
        <f t="shared" si="14"/>
        <v>0</v>
      </c>
      <c r="AJ115" s="105" t="str">
        <f t="shared" si="15"/>
        <v/>
      </c>
      <c r="AK115" s="105" t="str">
        <f t="shared" si="16"/>
        <v/>
      </c>
      <c r="AM115" s="105">
        <v>106</v>
      </c>
      <c r="AO115" s="105" t="str">
        <f t="array" ref="AO115">IFERROR(INDEX($AM$10:$AM$258, MATCH(0, IF(TRUE=$AJ$10:$AJ$258, COUNTIF($AO$9:$AO114, $AM$10:$AM$258), ""), 0)),"")</f>
        <v/>
      </c>
      <c r="AP115" s="105" t="str">
        <f t="array" ref="AP115">IFERROR(INDEX($AM$10:$AM$258, MATCH(0, IF(TRUE=$AK$10:$AK$258, COUNTIF($AP$9:$AP114, $AM$10:$AM$258), ""), 0)),"")</f>
        <v/>
      </c>
      <c r="AR115" s="15" t="str">
        <f>IFERROR(INDEX('G-7 WaterC'' Data'!$AZ$3:$AZ$7,MATCH(D115,'G-7 WaterC'' Data'!$AY$3:$AY$7,0)),"")</f>
        <v/>
      </c>
      <c r="AS115" s="15" t="str">
        <f>IFERROR(INDEX('G-7 WaterC'' Data'!AZ115:AZ119,MATCH(D115,'G-7 WaterC'' Data'!$AY$10:$AY$14,0)),"")</f>
        <v/>
      </c>
      <c r="AU115" s="15" t="str">
        <f>IF(D115="","",VLOOKUP(D115,'G-7 WaterC'' Data'!B$4:M$8,12,FALSE))</f>
        <v/>
      </c>
      <c r="AV115" s="15" t="str">
        <f t="shared" si="17"/>
        <v/>
      </c>
    </row>
    <row r="116" spans="3:48" ht="14" x14ac:dyDescent="0.3">
      <c r="C116" s="92">
        <v>107</v>
      </c>
      <c r="D116" s="271"/>
      <c r="E116" s="120"/>
      <c r="F116" s="290" t="str">
        <f>IF(D116="","",VLOOKUP(D116,'G-7 WaterC'' Data'!$B$2:$G$8,2,FALSE))</f>
        <v/>
      </c>
      <c r="G116" s="291" t="str">
        <f>IFERROR(VLOOKUP(F116,'G-7 WaterC'' Data'!$C$4:$D$8,2,FALSE),"")</f>
        <v/>
      </c>
      <c r="H116" s="38"/>
      <c r="I116" s="291" t="str">
        <f>IFERROR(INDEX('G-7 WaterC'' Data'!$H$4:$L$8,MATCH(D116,'G-7 WaterC'' Data'!$B$4:$B$8,0),MATCH(H116,'G-7 WaterC'' Data'!$H$3:$L$3,0)),"")</f>
        <v/>
      </c>
      <c r="J116" s="777"/>
      <c r="K116" s="325" t="str">
        <f>IF(J116="","",IF(VLOOKUP(J116,'G-7 WaterC'' Data'!$AK$4:$AM$6,2,FALSE)=0,"Spatial Data Missing ⚠",VLOOKUP(J116,'G-7 WaterC'' Data'!$AK$4:$AM$6,2,FALSE)))</f>
        <v/>
      </c>
      <c r="L116" s="296" t="str">
        <f>IF(J116="","",IF(VLOOKUP(J116,'G-7 WaterC'' Data'!$AK$4:$AM$9,3,FALSE)=0,"Spatial Data Missing ⚠",VLOOKUP(J116,'G-7 WaterC'' Data'!$AK$4:$AM$6,3,FALSE)))</f>
        <v/>
      </c>
      <c r="M116" s="38"/>
      <c r="N116" s="291" t="str">
        <f>IF(M116="","",IF(AND(D116&lt;&gt;"Culvert",M116="N/A - Culvert"),"Not possible ▲",IF(AND(D116="Culvert",M116&lt;&gt;"N/A - Culvert"),"Not possible ▲",IF(VLOOKUP(M116,'G-7 WaterC'' Data'!$AA$4:$AB$7,2,FALSE)=0,"Spatial Data Missing ⚠",VLOOKUP(M116,'G-7 WaterC'' Data'!$AA$4:$AB$7,2,FALSE)))))</f>
        <v/>
      </c>
      <c r="O116" s="44"/>
      <c r="P116" s="291" t="str">
        <f>IF(O116="","",IF(AND(O116="N/A - Culvert", D116&lt;&gt;"Culvert"),"Not possible ▲", IF(AND(D116="Culvert",O116&lt;&gt;"N/A - Culvert"),"Not possible ▲",IF(VLOOKUP(O116,'G-7 WaterC'' Data'!$AD$4:$AE$14,2,FALSE)=0,"Spatial Data Missing ⚠",VLOOKUP(O116,'G-7 WaterC'' Data'!$AD$4:$AE$14,2,FALSE)))))</f>
        <v/>
      </c>
      <c r="Q116" s="297" t="str">
        <f>IF(D116="","",VLOOKUP(D116,'G-7 WaterC'' Data'!$B$2:$G$8,6,FALSE))</f>
        <v/>
      </c>
      <c r="R116" s="304" t="str">
        <f>IFERROR(IF(AND(Q116='G-1 All Habitats'!$X$3, AE116&gt;0, U116&lt;=0, V116&lt;=0, OR(AA116="No", AA116="")),"Any Loss Unacceptable ⚠", (IF(AND(Q116='G-1 All Habitats'!$X$3, AE116&gt;0, U116&lt;=0, V116&lt;=0, AA116="Yes"), 0, (IF(AND(Q116='G-1 All Habitats'!$X$3,(U116+V116)&lt;E116, OR(AA116="No", AA116="")),"Any Loss Unacceptable ⚠", (IF(AND(Q116='G-1 All Habitats'!$X$3,(U116+V116)&gt;E116), E116*G116*I116*L116*N116*P116, (IF(Q116="","",IF(AND(Q116='G-1 All Habitats'!$X$3,V116&gt;0),W116+X116,IF(AND(Q116='G-1 All Habitats'!$X$3,U116&gt;0), W116+X116, IF(AND(S116="Yes", V116&gt;(E116-U116)),(E116-U116)*G116*I116*L116*N116*P116, IF(AND(S116="Yes", V116&lt;=(E116-U116)), X116, E116*G116*I116*L116*N116*P116 ))))))))))))),"Check Data ▲")</f>
        <v/>
      </c>
      <c r="S116" s="671" t="str">
        <f t="shared" si="9"/>
        <v/>
      </c>
      <c r="T116" s="17"/>
      <c r="U116" s="95"/>
      <c r="V116" s="106"/>
      <c r="W116" s="302" t="str">
        <f t="shared" si="10"/>
        <v/>
      </c>
      <c r="X116" s="302" t="str">
        <f t="shared" si="11"/>
        <v/>
      </c>
      <c r="Y116" s="302" t="str">
        <f t="shared" si="12"/>
        <v/>
      </c>
      <c r="Z116" s="471" t="str">
        <f t="shared" si="13"/>
        <v/>
      </c>
      <c r="AA116" s="488"/>
      <c r="AB116" s="486"/>
      <c r="AC116" s="101"/>
      <c r="AD116" s="101"/>
      <c r="AE116" s="41" t="str">
        <f>IF(OR(Q116="",AA116="Yes"),"",IF(Q116='G-1 All Habitats'!$X$3,E116-U116-V116,"None"))</f>
        <v/>
      </c>
      <c r="AF116" s="42" t="str">
        <f>IF(Q116="","", IF(Q116='G-1 All Habitats'!$X$3, AE116*G116*I116*L116*N116*P116,"None"))</f>
        <v/>
      </c>
      <c r="AI116" s="15">
        <f t="shared" si="14"/>
        <v>0</v>
      </c>
      <c r="AJ116" s="105" t="str">
        <f t="shared" si="15"/>
        <v/>
      </c>
      <c r="AK116" s="105" t="str">
        <f t="shared" si="16"/>
        <v/>
      </c>
      <c r="AM116" s="105">
        <v>107</v>
      </c>
      <c r="AO116" s="105" t="str">
        <f t="array" ref="AO116">IFERROR(INDEX($AM$10:$AM$258, MATCH(0, IF(TRUE=$AJ$10:$AJ$258, COUNTIF($AO$9:$AO115, $AM$10:$AM$258), ""), 0)),"")</f>
        <v/>
      </c>
      <c r="AP116" s="105" t="str">
        <f t="array" ref="AP116">IFERROR(INDEX($AM$10:$AM$258, MATCH(0, IF(TRUE=$AK$10:$AK$258, COUNTIF($AP$9:$AP115, $AM$10:$AM$258), ""), 0)),"")</f>
        <v/>
      </c>
      <c r="AR116" s="15" t="str">
        <f>IFERROR(INDEX('G-7 WaterC'' Data'!$AZ$3:$AZ$7,MATCH(D116,'G-7 WaterC'' Data'!$AY$3:$AY$7,0)),"")</f>
        <v/>
      </c>
      <c r="AS116" s="15" t="str">
        <f>IFERROR(INDEX('G-7 WaterC'' Data'!AZ116:AZ120,MATCH(D116,'G-7 WaterC'' Data'!$AY$10:$AY$14,0)),"")</f>
        <v/>
      </c>
      <c r="AU116" s="15" t="str">
        <f>IF(D116="","",VLOOKUP(D116,'G-7 WaterC'' Data'!B$4:M$8,12,FALSE))</f>
        <v/>
      </c>
      <c r="AV116" s="15" t="str">
        <f t="shared" si="17"/>
        <v/>
      </c>
    </row>
    <row r="117" spans="3:48" ht="14" x14ac:dyDescent="0.3">
      <c r="C117" s="92">
        <v>108</v>
      </c>
      <c r="D117" s="271"/>
      <c r="E117" s="120"/>
      <c r="F117" s="290" t="str">
        <f>IF(D117="","",VLOOKUP(D117,'G-7 WaterC'' Data'!$B$2:$G$8,2,FALSE))</f>
        <v/>
      </c>
      <c r="G117" s="291" t="str">
        <f>IFERROR(VLOOKUP(F117,'G-7 WaterC'' Data'!$C$4:$D$8,2,FALSE),"")</f>
        <v/>
      </c>
      <c r="H117" s="38"/>
      <c r="I117" s="291" t="str">
        <f>IFERROR(INDEX('G-7 WaterC'' Data'!$H$4:$L$8,MATCH(D117,'G-7 WaterC'' Data'!$B$4:$B$8,0),MATCH(H117,'G-7 WaterC'' Data'!$H$3:$L$3,0)),"")</f>
        <v/>
      </c>
      <c r="J117" s="777"/>
      <c r="K117" s="325" t="str">
        <f>IF(J117="","",IF(VLOOKUP(J117,'G-7 WaterC'' Data'!$AK$4:$AM$6,2,FALSE)=0,"Spatial Data Missing ⚠",VLOOKUP(J117,'G-7 WaterC'' Data'!$AK$4:$AM$6,2,FALSE)))</f>
        <v/>
      </c>
      <c r="L117" s="296" t="str">
        <f>IF(J117="","",IF(VLOOKUP(J117,'G-7 WaterC'' Data'!$AK$4:$AM$9,3,FALSE)=0,"Spatial Data Missing ⚠",VLOOKUP(J117,'G-7 WaterC'' Data'!$AK$4:$AM$6,3,FALSE)))</f>
        <v/>
      </c>
      <c r="M117" s="38"/>
      <c r="N117" s="291" t="str">
        <f>IF(M117="","",IF(AND(D117&lt;&gt;"Culvert",M117="N/A - Culvert"),"Not possible ▲",IF(AND(D117="Culvert",M117&lt;&gt;"N/A - Culvert"),"Not possible ▲",IF(VLOOKUP(M117,'G-7 WaterC'' Data'!$AA$4:$AB$7,2,FALSE)=0,"Spatial Data Missing ⚠",VLOOKUP(M117,'G-7 WaterC'' Data'!$AA$4:$AB$7,2,FALSE)))))</f>
        <v/>
      </c>
      <c r="O117" s="44"/>
      <c r="P117" s="291" t="str">
        <f>IF(O117="","",IF(AND(O117="N/A - Culvert", D117&lt;&gt;"Culvert"),"Not possible ▲", IF(AND(D117="Culvert",O117&lt;&gt;"N/A - Culvert"),"Not possible ▲",IF(VLOOKUP(O117,'G-7 WaterC'' Data'!$AD$4:$AE$14,2,FALSE)=0,"Spatial Data Missing ⚠",VLOOKUP(O117,'G-7 WaterC'' Data'!$AD$4:$AE$14,2,FALSE)))))</f>
        <v/>
      </c>
      <c r="Q117" s="297" t="str">
        <f>IF(D117="","",VLOOKUP(D117,'G-7 WaterC'' Data'!$B$2:$G$8,6,FALSE))</f>
        <v/>
      </c>
      <c r="R117" s="304" t="str">
        <f>IFERROR(IF(AND(Q117='G-1 All Habitats'!$X$3, AE117&gt;0, U117&lt;=0, V117&lt;=0, OR(AA117="No", AA117="")),"Any Loss Unacceptable ⚠", (IF(AND(Q117='G-1 All Habitats'!$X$3, AE117&gt;0, U117&lt;=0, V117&lt;=0, AA117="Yes"), 0, (IF(AND(Q117='G-1 All Habitats'!$X$3,(U117+V117)&lt;E117, OR(AA117="No", AA117="")),"Any Loss Unacceptable ⚠", (IF(AND(Q117='G-1 All Habitats'!$X$3,(U117+V117)&gt;E117), E117*G117*I117*L117*N117*P117, (IF(Q117="","",IF(AND(Q117='G-1 All Habitats'!$X$3,V117&gt;0),W117+X117,IF(AND(Q117='G-1 All Habitats'!$X$3,U117&gt;0), W117+X117, IF(AND(S117="Yes", V117&gt;(E117-U117)),(E117-U117)*G117*I117*L117*N117*P117, IF(AND(S117="Yes", V117&lt;=(E117-U117)), X117, E117*G117*I117*L117*N117*P117 ))))))))))))),"Check Data ▲")</f>
        <v/>
      </c>
      <c r="S117" s="671" t="str">
        <f t="shared" si="9"/>
        <v/>
      </c>
      <c r="T117" s="17"/>
      <c r="U117" s="95"/>
      <c r="V117" s="106"/>
      <c r="W117" s="302" t="str">
        <f t="shared" si="10"/>
        <v/>
      </c>
      <c r="X117" s="302" t="str">
        <f t="shared" si="11"/>
        <v/>
      </c>
      <c r="Y117" s="302" t="str">
        <f t="shared" si="12"/>
        <v/>
      </c>
      <c r="Z117" s="471" t="str">
        <f t="shared" si="13"/>
        <v/>
      </c>
      <c r="AA117" s="488"/>
      <c r="AB117" s="486"/>
      <c r="AC117" s="101"/>
      <c r="AD117" s="101"/>
      <c r="AE117" s="41" t="str">
        <f>IF(OR(Q117="",AA117="Yes"),"",IF(Q117='G-1 All Habitats'!$X$3,E117-U117-V117,"None"))</f>
        <v/>
      </c>
      <c r="AF117" s="42" t="str">
        <f>IF(Q117="","", IF(Q117='G-1 All Habitats'!$X$3, AE117*G117*I117*L117*N117*P117,"None"))</f>
        <v/>
      </c>
      <c r="AI117" s="15">
        <f t="shared" si="14"/>
        <v>0</v>
      </c>
      <c r="AJ117" s="105" t="str">
        <f t="shared" si="15"/>
        <v/>
      </c>
      <c r="AK117" s="105" t="str">
        <f t="shared" si="16"/>
        <v/>
      </c>
      <c r="AM117" s="105">
        <v>108</v>
      </c>
      <c r="AO117" s="105" t="str">
        <f t="array" ref="AO117">IFERROR(INDEX($AM$10:$AM$258, MATCH(0, IF(TRUE=$AJ$10:$AJ$258, COUNTIF($AO$9:$AO116, $AM$10:$AM$258), ""), 0)),"")</f>
        <v/>
      </c>
      <c r="AP117" s="105" t="str">
        <f t="array" ref="AP117">IFERROR(INDEX($AM$10:$AM$258, MATCH(0, IF(TRUE=$AK$10:$AK$258, COUNTIF($AP$9:$AP116, $AM$10:$AM$258), ""), 0)),"")</f>
        <v/>
      </c>
      <c r="AR117" s="15" t="str">
        <f>IFERROR(INDEX('G-7 WaterC'' Data'!$AZ$3:$AZ$7,MATCH(D117,'G-7 WaterC'' Data'!$AY$3:$AY$7,0)),"")</f>
        <v/>
      </c>
      <c r="AS117" s="15" t="str">
        <f>IFERROR(INDEX('G-7 WaterC'' Data'!AZ117:AZ121,MATCH(D117,'G-7 WaterC'' Data'!$AY$10:$AY$14,0)),"")</f>
        <v/>
      </c>
      <c r="AU117" s="15" t="str">
        <f>IF(D117="","",VLOOKUP(D117,'G-7 WaterC'' Data'!B$4:M$8,12,FALSE))</f>
        <v/>
      </c>
      <c r="AV117" s="15" t="str">
        <f t="shared" si="17"/>
        <v/>
      </c>
    </row>
    <row r="118" spans="3:48" ht="14" x14ac:dyDescent="0.3">
      <c r="C118" s="92">
        <v>109</v>
      </c>
      <c r="D118" s="271"/>
      <c r="E118" s="120"/>
      <c r="F118" s="290" t="str">
        <f>IF(D118="","",VLOOKUP(D118,'G-7 WaterC'' Data'!$B$2:$G$8,2,FALSE))</f>
        <v/>
      </c>
      <c r="G118" s="291" t="str">
        <f>IFERROR(VLOOKUP(F118,'G-7 WaterC'' Data'!$C$4:$D$8,2,FALSE),"")</f>
        <v/>
      </c>
      <c r="H118" s="38"/>
      <c r="I118" s="291" t="str">
        <f>IFERROR(INDEX('G-7 WaterC'' Data'!$H$4:$L$8,MATCH(D118,'G-7 WaterC'' Data'!$B$4:$B$8,0),MATCH(H118,'G-7 WaterC'' Data'!$H$3:$L$3,0)),"")</f>
        <v/>
      </c>
      <c r="J118" s="777"/>
      <c r="K118" s="325" t="str">
        <f>IF(J118="","",IF(VLOOKUP(J118,'G-7 WaterC'' Data'!$AK$4:$AM$6,2,FALSE)=0,"Spatial Data Missing ⚠",VLOOKUP(J118,'G-7 WaterC'' Data'!$AK$4:$AM$6,2,FALSE)))</f>
        <v/>
      </c>
      <c r="L118" s="296" t="str">
        <f>IF(J118="","",IF(VLOOKUP(J118,'G-7 WaterC'' Data'!$AK$4:$AM$9,3,FALSE)=0,"Spatial Data Missing ⚠",VLOOKUP(J118,'G-7 WaterC'' Data'!$AK$4:$AM$6,3,FALSE)))</f>
        <v/>
      </c>
      <c r="M118" s="38"/>
      <c r="N118" s="291" t="str">
        <f>IF(M118="","",IF(AND(D118&lt;&gt;"Culvert",M118="N/A - Culvert"),"Not possible ▲",IF(AND(D118="Culvert",M118&lt;&gt;"N/A - Culvert"),"Not possible ▲",IF(VLOOKUP(M118,'G-7 WaterC'' Data'!$AA$4:$AB$7,2,FALSE)=0,"Spatial Data Missing ⚠",VLOOKUP(M118,'G-7 WaterC'' Data'!$AA$4:$AB$7,2,FALSE)))))</f>
        <v/>
      </c>
      <c r="O118" s="44"/>
      <c r="P118" s="291" t="str">
        <f>IF(O118="","",IF(AND(O118="N/A - Culvert", D118&lt;&gt;"Culvert"),"Not possible ▲", IF(AND(D118="Culvert",O118&lt;&gt;"N/A - Culvert"),"Not possible ▲",IF(VLOOKUP(O118,'G-7 WaterC'' Data'!$AD$4:$AE$14,2,FALSE)=0,"Spatial Data Missing ⚠",VLOOKUP(O118,'G-7 WaterC'' Data'!$AD$4:$AE$14,2,FALSE)))))</f>
        <v/>
      </c>
      <c r="Q118" s="297" t="str">
        <f>IF(D118="","",VLOOKUP(D118,'G-7 WaterC'' Data'!$B$2:$G$8,6,FALSE))</f>
        <v/>
      </c>
      <c r="R118" s="304" t="str">
        <f>IFERROR(IF(AND(Q118='G-1 All Habitats'!$X$3, AE118&gt;0, U118&lt;=0, V118&lt;=0, OR(AA118="No", AA118="")),"Any Loss Unacceptable ⚠", (IF(AND(Q118='G-1 All Habitats'!$X$3, AE118&gt;0, U118&lt;=0, V118&lt;=0, AA118="Yes"), 0, (IF(AND(Q118='G-1 All Habitats'!$X$3,(U118+V118)&lt;E118, OR(AA118="No", AA118="")),"Any Loss Unacceptable ⚠", (IF(AND(Q118='G-1 All Habitats'!$X$3,(U118+V118)&gt;E118), E118*G118*I118*L118*N118*P118, (IF(Q118="","",IF(AND(Q118='G-1 All Habitats'!$X$3,V118&gt;0),W118+X118,IF(AND(Q118='G-1 All Habitats'!$X$3,U118&gt;0), W118+X118, IF(AND(S118="Yes", V118&gt;(E118-U118)),(E118-U118)*G118*I118*L118*N118*P118, IF(AND(S118="Yes", V118&lt;=(E118-U118)), X118, E118*G118*I118*L118*N118*P118 ))))))))))))),"Check Data ▲")</f>
        <v/>
      </c>
      <c r="S118" s="671" t="str">
        <f t="shared" si="9"/>
        <v/>
      </c>
      <c r="T118" s="17"/>
      <c r="U118" s="95"/>
      <c r="V118" s="106"/>
      <c r="W118" s="302" t="str">
        <f t="shared" si="10"/>
        <v/>
      </c>
      <c r="X118" s="302" t="str">
        <f t="shared" si="11"/>
        <v/>
      </c>
      <c r="Y118" s="302" t="str">
        <f t="shared" si="12"/>
        <v/>
      </c>
      <c r="Z118" s="471" t="str">
        <f t="shared" si="13"/>
        <v/>
      </c>
      <c r="AA118" s="488"/>
      <c r="AB118" s="486"/>
      <c r="AC118" s="101"/>
      <c r="AD118" s="101"/>
      <c r="AE118" s="41" t="str">
        <f>IF(OR(Q118="",AA118="Yes"),"",IF(Q118='G-1 All Habitats'!$X$3,E118-U118-V118,"None"))</f>
        <v/>
      </c>
      <c r="AF118" s="42" t="str">
        <f>IF(Q118="","", IF(Q118='G-1 All Habitats'!$X$3, AE118*G118*I118*L118*N118*P118,"None"))</f>
        <v/>
      </c>
      <c r="AI118" s="15">
        <f t="shared" si="14"/>
        <v>0</v>
      </c>
      <c r="AJ118" s="105" t="str">
        <f t="shared" si="15"/>
        <v/>
      </c>
      <c r="AK118" s="105" t="str">
        <f t="shared" si="16"/>
        <v/>
      </c>
      <c r="AM118" s="105">
        <v>109</v>
      </c>
      <c r="AO118" s="105" t="str">
        <f t="array" ref="AO118">IFERROR(INDEX($AM$10:$AM$258, MATCH(0, IF(TRUE=$AJ$10:$AJ$258, COUNTIF($AO$9:$AO117, $AM$10:$AM$258), ""), 0)),"")</f>
        <v/>
      </c>
      <c r="AP118" s="105" t="str">
        <f t="array" ref="AP118">IFERROR(INDEX($AM$10:$AM$258, MATCH(0, IF(TRUE=$AK$10:$AK$258, COUNTIF($AP$9:$AP117, $AM$10:$AM$258), ""), 0)),"")</f>
        <v/>
      </c>
      <c r="AR118" s="15" t="str">
        <f>IFERROR(INDEX('G-7 WaterC'' Data'!$AZ$3:$AZ$7,MATCH(D118,'G-7 WaterC'' Data'!$AY$3:$AY$7,0)),"")</f>
        <v/>
      </c>
      <c r="AS118" s="15" t="str">
        <f>IFERROR(INDEX('G-7 WaterC'' Data'!AZ118:AZ122,MATCH(D118,'G-7 WaterC'' Data'!$AY$10:$AY$14,0)),"")</f>
        <v/>
      </c>
      <c r="AU118" s="15" t="str">
        <f>IF(D118="","",VLOOKUP(D118,'G-7 WaterC'' Data'!B$4:M$8,12,FALSE))</f>
        <v/>
      </c>
      <c r="AV118" s="15" t="str">
        <f t="shared" si="17"/>
        <v/>
      </c>
    </row>
    <row r="119" spans="3:48" ht="14" x14ac:dyDescent="0.3">
      <c r="C119" s="92">
        <v>110</v>
      </c>
      <c r="D119" s="271"/>
      <c r="E119" s="120"/>
      <c r="F119" s="290" t="str">
        <f>IF(D119="","",VLOOKUP(D119,'G-7 WaterC'' Data'!$B$2:$G$8,2,FALSE))</f>
        <v/>
      </c>
      <c r="G119" s="291" t="str">
        <f>IFERROR(VLOOKUP(F119,'G-7 WaterC'' Data'!$C$4:$D$8,2,FALSE),"")</f>
        <v/>
      </c>
      <c r="H119" s="38"/>
      <c r="I119" s="291" t="str">
        <f>IFERROR(INDEX('G-7 WaterC'' Data'!$H$4:$L$8,MATCH(D119,'G-7 WaterC'' Data'!$B$4:$B$8,0),MATCH(H119,'G-7 WaterC'' Data'!$H$3:$L$3,0)),"")</f>
        <v/>
      </c>
      <c r="J119" s="777"/>
      <c r="K119" s="325" t="str">
        <f>IF(J119="","",IF(VLOOKUP(J119,'G-7 WaterC'' Data'!$AK$4:$AM$6,2,FALSE)=0,"Spatial Data Missing ⚠",VLOOKUP(J119,'G-7 WaterC'' Data'!$AK$4:$AM$6,2,FALSE)))</f>
        <v/>
      </c>
      <c r="L119" s="296" t="str">
        <f>IF(J119="","",IF(VLOOKUP(J119,'G-7 WaterC'' Data'!$AK$4:$AM$9,3,FALSE)=0,"Spatial Data Missing ⚠",VLOOKUP(J119,'G-7 WaterC'' Data'!$AK$4:$AM$6,3,FALSE)))</f>
        <v/>
      </c>
      <c r="M119" s="38"/>
      <c r="N119" s="291" t="str">
        <f>IF(M119="","",IF(AND(D119&lt;&gt;"Culvert",M119="N/A - Culvert"),"Not possible ▲",IF(AND(D119="Culvert",M119&lt;&gt;"N/A - Culvert"),"Not possible ▲",IF(VLOOKUP(M119,'G-7 WaterC'' Data'!$AA$4:$AB$7,2,FALSE)=0,"Spatial Data Missing ⚠",VLOOKUP(M119,'G-7 WaterC'' Data'!$AA$4:$AB$7,2,FALSE)))))</f>
        <v/>
      </c>
      <c r="O119" s="44"/>
      <c r="P119" s="291" t="str">
        <f>IF(O119="","",IF(AND(O119="N/A - Culvert", D119&lt;&gt;"Culvert"),"Not possible ▲", IF(AND(D119="Culvert",O119&lt;&gt;"N/A - Culvert"),"Not possible ▲",IF(VLOOKUP(O119,'G-7 WaterC'' Data'!$AD$4:$AE$14,2,FALSE)=0,"Spatial Data Missing ⚠",VLOOKUP(O119,'G-7 WaterC'' Data'!$AD$4:$AE$14,2,FALSE)))))</f>
        <v/>
      </c>
      <c r="Q119" s="297" t="str">
        <f>IF(D119="","",VLOOKUP(D119,'G-7 WaterC'' Data'!$B$2:$G$8,6,FALSE))</f>
        <v/>
      </c>
      <c r="R119" s="304" t="str">
        <f>IFERROR(IF(AND(Q119='G-1 All Habitats'!$X$3, AE119&gt;0, U119&lt;=0, V119&lt;=0, OR(AA119="No", AA119="")),"Any Loss Unacceptable ⚠", (IF(AND(Q119='G-1 All Habitats'!$X$3, AE119&gt;0, U119&lt;=0, V119&lt;=0, AA119="Yes"), 0, (IF(AND(Q119='G-1 All Habitats'!$X$3,(U119+V119)&lt;E119, OR(AA119="No", AA119="")),"Any Loss Unacceptable ⚠", (IF(AND(Q119='G-1 All Habitats'!$X$3,(U119+V119)&gt;E119), E119*G119*I119*L119*N119*P119, (IF(Q119="","",IF(AND(Q119='G-1 All Habitats'!$X$3,V119&gt;0),W119+X119,IF(AND(Q119='G-1 All Habitats'!$X$3,U119&gt;0), W119+X119, IF(AND(S119="Yes", V119&gt;(E119-U119)),(E119-U119)*G119*I119*L119*N119*P119, IF(AND(S119="Yes", V119&lt;=(E119-U119)), X119, E119*G119*I119*L119*N119*P119 ))))))))))))),"Check Data ▲")</f>
        <v/>
      </c>
      <c r="S119" s="671" t="str">
        <f t="shared" si="9"/>
        <v/>
      </c>
      <c r="T119" s="17"/>
      <c r="U119" s="95"/>
      <c r="V119" s="106"/>
      <c r="W119" s="302" t="str">
        <f t="shared" si="10"/>
        <v/>
      </c>
      <c r="X119" s="302" t="str">
        <f t="shared" si="11"/>
        <v/>
      </c>
      <c r="Y119" s="302" t="str">
        <f t="shared" si="12"/>
        <v/>
      </c>
      <c r="Z119" s="471" t="str">
        <f t="shared" si="13"/>
        <v/>
      </c>
      <c r="AA119" s="488"/>
      <c r="AB119" s="486"/>
      <c r="AC119" s="101"/>
      <c r="AD119" s="101"/>
      <c r="AE119" s="41" t="str">
        <f>IF(OR(Q119="",AA119="Yes"),"",IF(Q119='G-1 All Habitats'!$X$3,E119-U119-V119,"None"))</f>
        <v/>
      </c>
      <c r="AF119" s="42" t="str">
        <f>IF(Q119="","", IF(Q119='G-1 All Habitats'!$X$3, AE119*G119*I119*L119*N119*P119,"None"))</f>
        <v/>
      </c>
      <c r="AI119" s="15">
        <f t="shared" si="14"/>
        <v>0</v>
      </c>
      <c r="AJ119" s="105" t="str">
        <f t="shared" si="15"/>
        <v/>
      </c>
      <c r="AK119" s="105" t="str">
        <f t="shared" si="16"/>
        <v/>
      </c>
      <c r="AM119" s="105">
        <v>110</v>
      </c>
      <c r="AO119" s="105" t="str">
        <f t="array" ref="AO119">IFERROR(INDEX($AM$10:$AM$258, MATCH(0, IF(TRUE=$AJ$10:$AJ$258, COUNTIF($AO$9:$AO118, $AM$10:$AM$258), ""), 0)),"")</f>
        <v/>
      </c>
      <c r="AP119" s="105" t="str">
        <f t="array" ref="AP119">IFERROR(INDEX($AM$10:$AM$258, MATCH(0, IF(TRUE=$AK$10:$AK$258, COUNTIF($AP$9:$AP118, $AM$10:$AM$258), ""), 0)),"")</f>
        <v/>
      </c>
      <c r="AR119" s="15" t="str">
        <f>IFERROR(INDEX('G-7 WaterC'' Data'!$AZ$3:$AZ$7,MATCH(D119,'G-7 WaterC'' Data'!$AY$3:$AY$7,0)),"")</f>
        <v/>
      </c>
      <c r="AS119" s="15" t="str">
        <f>IFERROR(INDEX('G-7 WaterC'' Data'!AZ119:AZ123,MATCH(D119,'G-7 WaterC'' Data'!$AY$10:$AY$14,0)),"")</f>
        <v/>
      </c>
      <c r="AU119" s="15" t="str">
        <f>IF(D119="","",VLOOKUP(D119,'G-7 WaterC'' Data'!B$4:M$8,12,FALSE))</f>
        <v/>
      </c>
      <c r="AV119" s="15" t="str">
        <f t="shared" si="17"/>
        <v/>
      </c>
    </row>
    <row r="120" spans="3:48" ht="14" x14ac:dyDescent="0.3">
      <c r="C120" s="92">
        <v>111</v>
      </c>
      <c r="D120" s="271"/>
      <c r="E120" s="120"/>
      <c r="F120" s="290" t="str">
        <f>IF(D120="","",VLOOKUP(D120,'G-7 WaterC'' Data'!$B$2:$G$8,2,FALSE))</f>
        <v/>
      </c>
      <c r="G120" s="291" t="str">
        <f>IFERROR(VLOOKUP(F120,'G-7 WaterC'' Data'!$C$4:$D$8,2,FALSE),"")</f>
        <v/>
      </c>
      <c r="H120" s="38"/>
      <c r="I120" s="291" t="str">
        <f>IFERROR(INDEX('G-7 WaterC'' Data'!$H$4:$L$8,MATCH(D120,'G-7 WaterC'' Data'!$B$4:$B$8,0),MATCH(H120,'G-7 WaterC'' Data'!$H$3:$L$3,0)),"")</f>
        <v/>
      </c>
      <c r="J120" s="777"/>
      <c r="K120" s="325" t="str">
        <f>IF(J120="","",IF(VLOOKUP(J120,'G-7 WaterC'' Data'!$AK$4:$AM$6,2,FALSE)=0,"Spatial Data Missing ⚠",VLOOKUP(J120,'G-7 WaterC'' Data'!$AK$4:$AM$6,2,FALSE)))</f>
        <v/>
      </c>
      <c r="L120" s="296" t="str">
        <f>IF(J120="","",IF(VLOOKUP(J120,'G-7 WaterC'' Data'!$AK$4:$AM$9,3,FALSE)=0,"Spatial Data Missing ⚠",VLOOKUP(J120,'G-7 WaterC'' Data'!$AK$4:$AM$6,3,FALSE)))</f>
        <v/>
      </c>
      <c r="M120" s="38"/>
      <c r="N120" s="291" t="str">
        <f>IF(M120="","",IF(AND(D120&lt;&gt;"Culvert",M120="N/A - Culvert"),"Not possible ▲",IF(AND(D120="Culvert",M120&lt;&gt;"N/A - Culvert"),"Not possible ▲",IF(VLOOKUP(M120,'G-7 WaterC'' Data'!$AA$4:$AB$7,2,FALSE)=0,"Spatial Data Missing ⚠",VLOOKUP(M120,'G-7 WaterC'' Data'!$AA$4:$AB$7,2,FALSE)))))</f>
        <v/>
      </c>
      <c r="O120" s="44"/>
      <c r="P120" s="291" t="str">
        <f>IF(O120="","",IF(AND(O120="N/A - Culvert", D120&lt;&gt;"Culvert"),"Not possible ▲", IF(AND(D120="Culvert",O120&lt;&gt;"N/A - Culvert"),"Not possible ▲",IF(VLOOKUP(O120,'G-7 WaterC'' Data'!$AD$4:$AE$14,2,FALSE)=0,"Spatial Data Missing ⚠",VLOOKUP(O120,'G-7 WaterC'' Data'!$AD$4:$AE$14,2,FALSE)))))</f>
        <v/>
      </c>
      <c r="Q120" s="297" t="str">
        <f>IF(D120="","",VLOOKUP(D120,'G-7 WaterC'' Data'!$B$2:$G$8,6,FALSE))</f>
        <v/>
      </c>
      <c r="R120" s="304" t="str">
        <f>IFERROR(IF(AND(Q120='G-1 All Habitats'!$X$3, AE120&gt;0, U120&lt;=0, V120&lt;=0, OR(AA120="No", AA120="")),"Any Loss Unacceptable ⚠", (IF(AND(Q120='G-1 All Habitats'!$X$3, AE120&gt;0, U120&lt;=0, V120&lt;=0, AA120="Yes"), 0, (IF(AND(Q120='G-1 All Habitats'!$X$3,(U120+V120)&lt;E120, OR(AA120="No", AA120="")),"Any Loss Unacceptable ⚠", (IF(AND(Q120='G-1 All Habitats'!$X$3,(U120+V120)&gt;E120), E120*G120*I120*L120*N120*P120, (IF(Q120="","",IF(AND(Q120='G-1 All Habitats'!$X$3,V120&gt;0),W120+X120,IF(AND(Q120='G-1 All Habitats'!$X$3,U120&gt;0), W120+X120, IF(AND(S120="Yes", V120&gt;(E120-U120)),(E120-U120)*G120*I120*L120*N120*P120, IF(AND(S120="Yes", V120&lt;=(E120-U120)), X120, E120*G120*I120*L120*N120*P120 ))))))))))))),"Check Data ▲")</f>
        <v/>
      </c>
      <c r="S120" s="671" t="str">
        <f t="shared" si="9"/>
        <v/>
      </c>
      <c r="T120" s="17"/>
      <c r="U120" s="95"/>
      <c r="V120" s="106"/>
      <c r="W120" s="302" t="str">
        <f t="shared" si="10"/>
        <v/>
      </c>
      <c r="X120" s="302" t="str">
        <f t="shared" si="11"/>
        <v/>
      </c>
      <c r="Y120" s="302" t="str">
        <f t="shared" si="12"/>
        <v/>
      </c>
      <c r="Z120" s="471" t="str">
        <f t="shared" si="13"/>
        <v/>
      </c>
      <c r="AA120" s="488"/>
      <c r="AB120" s="486"/>
      <c r="AC120" s="101"/>
      <c r="AD120" s="101"/>
      <c r="AE120" s="41" t="str">
        <f>IF(OR(Q120="",AA120="Yes"),"",IF(Q120='G-1 All Habitats'!$X$3,E120-U120-V120,"None"))</f>
        <v/>
      </c>
      <c r="AF120" s="42" t="str">
        <f>IF(Q120="","", IF(Q120='G-1 All Habitats'!$X$3, AE120*G120*I120*L120*N120*P120,"None"))</f>
        <v/>
      </c>
      <c r="AI120" s="15">
        <f t="shared" si="14"/>
        <v>0</v>
      </c>
      <c r="AJ120" s="105" t="str">
        <f t="shared" si="15"/>
        <v/>
      </c>
      <c r="AK120" s="105" t="str">
        <f t="shared" si="16"/>
        <v/>
      </c>
      <c r="AM120" s="105">
        <v>111</v>
      </c>
      <c r="AO120" s="105" t="str">
        <f t="array" ref="AO120">IFERROR(INDEX($AM$10:$AM$258, MATCH(0, IF(TRUE=$AJ$10:$AJ$258, COUNTIF($AO$9:$AO119, $AM$10:$AM$258), ""), 0)),"")</f>
        <v/>
      </c>
      <c r="AP120" s="105" t="str">
        <f t="array" ref="AP120">IFERROR(INDEX($AM$10:$AM$258, MATCH(0, IF(TRUE=$AK$10:$AK$258, COUNTIF($AP$9:$AP119, $AM$10:$AM$258), ""), 0)),"")</f>
        <v/>
      </c>
      <c r="AR120" s="15" t="str">
        <f>IFERROR(INDEX('G-7 WaterC'' Data'!$AZ$3:$AZ$7,MATCH(D120,'G-7 WaterC'' Data'!$AY$3:$AY$7,0)),"")</f>
        <v/>
      </c>
      <c r="AS120" s="15" t="str">
        <f>IFERROR(INDEX('G-7 WaterC'' Data'!AZ120:AZ124,MATCH(D120,'G-7 WaterC'' Data'!$AY$10:$AY$14,0)),"")</f>
        <v/>
      </c>
      <c r="AU120" s="15" t="str">
        <f>IF(D120="","",VLOOKUP(D120,'G-7 WaterC'' Data'!B$4:M$8,12,FALSE))</f>
        <v/>
      </c>
      <c r="AV120" s="15" t="str">
        <f t="shared" si="17"/>
        <v/>
      </c>
    </row>
    <row r="121" spans="3:48" ht="14" x14ac:dyDescent="0.3">
      <c r="C121" s="92">
        <v>112</v>
      </c>
      <c r="D121" s="271"/>
      <c r="E121" s="120"/>
      <c r="F121" s="290" t="str">
        <f>IF(D121="","",VLOOKUP(D121,'G-7 WaterC'' Data'!$B$2:$G$8,2,FALSE))</f>
        <v/>
      </c>
      <c r="G121" s="291" t="str">
        <f>IFERROR(VLOOKUP(F121,'G-7 WaterC'' Data'!$C$4:$D$8,2,FALSE),"")</f>
        <v/>
      </c>
      <c r="H121" s="38"/>
      <c r="I121" s="291" t="str">
        <f>IFERROR(INDEX('G-7 WaterC'' Data'!$H$4:$L$8,MATCH(D121,'G-7 WaterC'' Data'!$B$4:$B$8,0),MATCH(H121,'G-7 WaterC'' Data'!$H$3:$L$3,0)),"")</f>
        <v/>
      </c>
      <c r="J121" s="777"/>
      <c r="K121" s="325" t="str">
        <f>IF(J121="","",IF(VLOOKUP(J121,'G-7 WaterC'' Data'!$AK$4:$AM$6,2,FALSE)=0,"Spatial Data Missing ⚠",VLOOKUP(J121,'G-7 WaterC'' Data'!$AK$4:$AM$6,2,FALSE)))</f>
        <v/>
      </c>
      <c r="L121" s="296" t="str">
        <f>IF(J121="","",IF(VLOOKUP(J121,'G-7 WaterC'' Data'!$AK$4:$AM$9,3,FALSE)=0,"Spatial Data Missing ⚠",VLOOKUP(J121,'G-7 WaterC'' Data'!$AK$4:$AM$6,3,FALSE)))</f>
        <v/>
      </c>
      <c r="M121" s="38"/>
      <c r="N121" s="291" t="str">
        <f>IF(M121="","",IF(AND(D121&lt;&gt;"Culvert",M121="N/A - Culvert"),"Not possible ▲",IF(AND(D121="Culvert",M121&lt;&gt;"N/A - Culvert"),"Not possible ▲",IF(VLOOKUP(M121,'G-7 WaterC'' Data'!$AA$4:$AB$7,2,FALSE)=0,"Spatial Data Missing ⚠",VLOOKUP(M121,'G-7 WaterC'' Data'!$AA$4:$AB$7,2,FALSE)))))</f>
        <v/>
      </c>
      <c r="O121" s="44"/>
      <c r="P121" s="291" t="str">
        <f>IF(O121="","",IF(AND(O121="N/A - Culvert", D121&lt;&gt;"Culvert"),"Not possible ▲", IF(AND(D121="Culvert",O121&lt;&gt;"N/A - Culvert"),"Not possible ▲",IF(VLOOKUP(O121,'G-7 WaterC'' Data'!$AD$4:$AE$14,2,FALSE)=0,"Spatial Data Missing ⚠",VLOOKUP(O121,'G-7 WaterC'' Data'!$AD$4:$AE$14,2,FALSE)))))</f>
        <v/>
      </c>
      <c r="Q121" s="297" t="str">
        <f>IF(D121="","",VLOOKUP(D121,'G-7 WaterC'' Data'!$B$2:$G$8,6,FALSE))</f>
        <v/>
      </c>
      <c r="R121" s="304" t="str">
        <f>IFERROR(IF(AND(Q121='G-1 All Habitats'!$X$3, AE121&gt;0, U121&lt;=0, V121&lt;=0, OR(AA121="No", AA121="")),"Any Loss Unacceptable ⚠", (IF(AND(Q121='G-1 All Habitats'!$X$3, AE121&gt;0, U121&lt;=0, V121&lt;=0, AA121="Yes"), 0, (IF(AND(Q121='G-1 All Habitats'!$X$3,(U121+V121)&lt;E121, OR(AA121="No", AA121="")),"Any Loss Unacceptable ⚠", (IF(AND(Q121='G-1 All Habitats'!$X$3,(U121+V121)&gt;E121), E121*G121*I121*L121*N121*P121, (IF(Q121="","",IF(AND(Q121='G-1 All Habitats'!$X$3,V121&gt;0),W121+X121,IF(AND(Q121='G-1 All Habitats'!$X$3,U121&gt;0), W121+X121, IF(AND(S121="Yes", V121&gt;(E121-U121)),(E121-U121)*G121*I121*L121*N121*P121, IF(AND(S121="Yes", V121&lt;=(E121-U121)), X121, E121*G121*I121*L121*N121*P121 ))))))))))))),"Check Data ▲")</f>
        <v/>
      </c>
      <c r="S121" s="671" t="str">
        <f t="shared" si="9"/>
        <v/>
      </c>
      <c r="T121" s="17"/>
      <c r="U121" s="95"/>
      <c r="V121" s="106"/>
      <c r="W121" s="302" t="str">
        <f t="shared" si="10"/>
        <v/>
      </c>
      <c r="X121" s="302" t="str">
        <f t="shared" si="11"/>
        <v/>
      </c>
      <c r="Y121" s="302" t="str">
        <f t="shared" si="12"/>
        <v/>
      </c>
      <c r="Z121" s="471" t="str">
        <f t="shared" si="13"/>
        <v/>
      </c>
      <c r="AA121" s="488"/>
      <c r="AB121" s="486"/>
      <c r="AC121" s="101"/>
      <c r="AD121" s="101"/>
      <c r="AE121" s="41" t="str">
        <f>IF(OR(Q121="",AA121="Yes"),"",IF(Q121='G-1 All Habitats'!$X$3,E121-U121-V121,"None"))</f>
        <v/>
      </c>
      <c r="AF121" s="42" t="str">
        <f>IF(Q121="","", IF(Q121='G-1 All Habitats'!$X$3, AE121*G121*I121*L121*N121*P121,"None"))</f>
        <v/>
      </c>
      <c r="AI121" s="15">
        <f t="shared" si="14"/>
        <v>0</v>
      </c>
      <c r="AJ121" s="105" t="str">
        <f t="shared" si="15"/>
        <v/>
      </c>
      <c r="AK121" s="105" t="str">
        <f t="shared" si="16"/>
        <v/>
      </c>
      <c r="AM121" s="105">
        <v>112</v>
      </c>
      <c r="AO121" s="105" t="str">
        <f t="array" ref="AO121">IFERROR(INDEX($AM$10:$AM$258, MATCH(0, IF(TRUE=$AJ$10:$AJ$258, COUNTIF($AO$9:$AO120, $AM$10:$AM$258), ""), 0)),"")</f>
        <v/>
      </c>
      <c r="AP121" s="105" t="str">
        <f t="array" ref="AP121">IFERROR(INDEX($AM$10:$AM$258, MATCH(0, IF(TRUE=$AK$10:$AK$258, COUNTIF($AP$9:$AP120, $AM$10:$AM$258), ""), 0)),"")</f>
        <v/>
      </c>
      <c r="AR121" s="15" t="str">
        <f>IFERROR(INDEX('G-7 WaterC'' Data'!$AZ$3:$AZ$7,MATCH(D121,'G-7 WaterC'' Data'!$AY$3:$AY$7,0)),"")</f>
        <v/>
      </c>
      <c r="AS121" s="15" t="str">
        <f>IFERROR(INDEX('G-7 WaterC'' Data'!AZ121:AZ125,MATCH(D121,'G-7 WaterC'' Data'!$AY$10:$AY$14,0)),"")</f>
        <v/>
      </c>
      <c r="AU121" s="15" t="str">
        <f>IF(D121="","",VLOOKUP(D121,'G-7 WaterC'' Data'!B$4:M$8,12,FALSE))</f>
        <v/>
      </c>
      <c r="AV121" s="15" t="str">
        <f t="shared" si="17"/>
        <v/>
      </c>
    </row>
    <row r="122" spans="3:48" ht="14" x14ac:dyDescent="0.3">
      <c r="C122" s="92">
        <v>113</v>
      </c>
      <c r="D122" s="271"/>
      <c r="E122" s="120"/>
      <c r="F122" s="290" t="str">
        <f>IF(D122="","",VLOOKUP(D122,'G-7 WaterC'' Data'!$B$2:$G$8,2,FALSE))</f>
        <v/>
      </c>
      <c r="G122" s="291" t="str">
        <f>IFERROR(VLOOKUP(F122,'G-7 WaterC'' Data'!$C$4:$D$8,2,FALSE),"")</f>
        <v/>
      </c>
      <c r="H122" s="38"/>
      <c r="I122" s="291" t="str">
        <f>IFERROR(INDEX('G-7 WaterC'' Data'!$H$4:$L$8,MATCH(D122,'G-7 WaterC'' Data'!$B$4:$B$8,0),MATCH(H122,'G-7 WaterC'' Data'!$H$3:$L$3,0)),"")</f>
        <v/>
      </c>
      <c r="J122" s="777"/>
      <c r="K122" s="325" t="str">
        <f>IF(J122="","",IF(VLOOKUP(J122,'G-7 WaterC'' Data'!$AK$4:$AM$6,2,FALSE)=0,"Spatial Data Missing ⚠",VLOOKUP(J122,'G-7 WaterC'' Data'!$AK$4:$AM$6,2,FALSE)))</f>
        <v/>
      </c>
      <c r="L122" s="296" t="str">
        <f>IF(J122="","",IF(VLOOKUP(J122,'G-7 WaterC'' Data'!$AK$4:$AM$9,3,FALSE)=0,"Spatial Data Missing ⚠",VLOOKUP(J122,'G-7 WaterC'' Data'!$AK$4:$AM$6,3,FALSE)))</f>
        <v/>
      </c>
      <c r="M122" s="38"/>
      <c r="N122" s="291" t="str">
        <f>IF(M122="","",IF(AND(D122&lt;&gt;"Culvert",M122="N/A - Culvert"),"Not possible ▲",IF(AND(D122="Culvert",M122&lt;&gt;"N/A - Culvert"),"Not possible ▲",IF(VLOOKUP(M122,'G-7 WaterC'' Data'!$AA$4:$AB$7,2,FALSE)=0,"Spatial Data Missing ⚠",VLOOKUP(M122,'G-7 WaterC'' Data'!$AA$4:$AB$7,2,FALSE)))))</f>
        <v/>
      </c>
      <c r="O122" s="44"/>
      <c r="P122" s="291" t="str">
        <f>IF(O122="","",IF(AND(O122="N/A - Culvert", D122&lt;&gt;"Culvert"),"Not possible ▲", IF(AND(D122="Culvert",O122&lt;&gt;"N/A - Culvert"),"Not possible ▲",IF(VLOOKUP(O122,'G-7 WaterC'' Data'!$AD$4:$AE$14,2,FALSE)=0,"Spatial Data Missing ⚠",VLOOKUP(O122,'G-7 WaterC'' Data'!$AD$4:$AE$14,2,FALSE)))))</f>
        <v/>
      </c>
      <c r="Q122" s="297" t="str">
        <f>IF(D122="","",VLOOKUP(D122,'G-7 WaterC'' Data'!$B$2:$G$8,6,FALSE))</f>
        <v/>
      </c>
      <c r="R122" s="304" t="str">
        <f>IFERROR(IF(AND(Q122='G-1 All Habitats'!$X$3, AE122&gt;0, U122&lt;=0, V122&lt;=0, OR(AA122="No", AA122="")),"Any Loss Unacceptable ⚠", (IF(AND(Q122='G-1 All Habitats'!$X$3, AE122&gt;0, U122&lt;=0, V122&lt;=0, AA122="Yes"), 0, (IF(AND(Q122='G-1 All Habitats'!$X$3,(U122+V122)&lt;E122, OR(AA122="No", AA122="")),"Any Loss Unacceptable ⚠", (IF(AND(Q122='G-1 All Habitats'!$X$3,(U122+V122)&gt;E122), E122*G122*I122*L122*N122*P122, (IF(Q122="","",IF(AND(Q122='G-1 All Habitats'!$X$3,V122&gt;0),W122+X122,IF(AND(Q122='G-1 All Habitats'!$X$3,U122&gt;0), W122+X122, IF(AND(S122="Yes", V122&gt;(E122-U122)),(E122-U122)*G122*I122*L122*N122*P122, IF(AND(S122="Yes", V122&lt;=(E122-U122)), X122, E122*G122*I122*L122*N122*P122 ))))))))))))),"Check Data ▲")</f>
        <v/>
      </c>
      <c r="S122" s="671" t="str">
        <f t="shared" si="9"/>
        <v/>
      </c>
      <c r="T122" s="17"/>
      <c r="U122" s="95"/>
      <c r="V122" s="106"/>
      <c r="W122" s="302" t="str">
        <f t="shared" si="10"/>
        <v/>
      </c>
      <c r="X122" s="302" t="str">
        <f t="shared" si="11"/>
        <v/>
      </c>
      <c r="Y122" s="302" t="str">
        <f t="shared" si="12"/>
        <v/>
      </c>
      <c r="Z122" s="471" t="str">
        <f t="shared" si="13"/>
        <v/>
      </c>
      <c r="AA122" s="488"/>
      <c r="AB122" s="486"/>
      <c r="AC122" s="101"/>
      <c r="AD122" s="101"/>
      <c r="AE122" s="41" t="str">
        <f>IF(OR(Q122="",AA122="Yes"),"",IF(Q122='G-1 All Habitats'!$X$3,E122-U122-V122,"None"))</f>
        <v/>
      </c>
      <c r="AF122" s="42" t="str">
        <f>IF(Q122="","", IF(Q122='G-1 All Habitats'!$X$3, AE122*G122*I122*L122*N122*P122,"None"))</f>
        <v/>
      </c>
      <c r="AI122" s="15">
        <f t="shared" si="14"/>
        <v>0</v>
      </c>
      <c r="AJ122" s="105" t="str">
        <f t="shared" si="15"/>
        <v/>
      </c>
      <c r="AK122" s="105" t="str">
        <f t="shared" si="16"/>
        <v/>
      </c>
      <c r="AM122" s="105">
        <v>113</v>
      </c>
      <c r="AO122" s="105" t="str">
        <f t="array" ref="AO122">IFERROR(INDEX($AM$10:$AM$258, MATCH(0, IF(TRUE=$AJ$10:$AJ$258, COUNTIF($AO$9:$AO121, $AM$10:$AM$258), ""), 0)),"")</f>
        <v/>
      </c>
      <c r="AP122" s="105" t="str">
        <f t="array" ref="AP122">IFERROR(INDEX($AM$10:$AM$258, MATCH(0, IF(TRUE=$AK$10:$AK$258, COUNTIF($AP$9:$AP121, $AM$10:$AM$258), ""), 0)),"")</f>
        <v/>
      </c>
      <c r="AR122" s="15" t="str">
        <f>IFERROR(INDEX('G-7 WaterC'' Data'!$AZ$3:$AZ$7,MATCH(D122,'G-7 WaterC'' Data'!$AY$3:$AY$7,0)),"")</f>
        <v/>
      </c>
      <c r="AS122" s="15" t="str">
        <f>IFERROR(INDEX('G-7 WaterC'' Data'!AZ122:AZ126,MATCH(D122,'G-7 WaterC'' Data'!$AY$10:$AY$14,0)),"")</f>
        <v/>
      </c>
      <c r="AU122" s="15" t="str">
        <f>IF(D122="","",VLOOKUP(D122,'G-7 WaterC'' Data'!B$4:M$8,12,FALSE))</f>
        <v/>
      </c>
      <c r="AV122" s="15" t="str">
        <f t="shared" si="17"/>
        <v/>
      </c>
    </row>
    <row r="123" spans="3:48" ht="14" x14ac:dyDescent="0.3">
      <c r="C123" s="92">
        <v>114</v>
      </c>
      <c r="D123" s="271"/>
      <c r="E123" s="120"/>
      <c r="F123" s="290" t="str">
        <f>IF(D123="","",VLOOKUP(D123,'G-7 WaterC'' Data'!$B$2:$G$8,2,FALSE))</f>
        <v/>
      </c>
      <c r="G123" s="291" t="str">
        <f>IFERROR(VLOOKUP(F123,'G-7 WaterC'' Data'!$C$4:$D$8,2,FALSE),"")</f>
        <v/>
      </c>
      <c r="H123" s="38"/>
      <c r="I123" s="291" t="str">
        <f>IFERROR(INDEX('G-7 WaterC'' Data'!$H$4:$L$8,MATCH(D123,'G-7 WaterC'' Data'!$B$4:$B$8,0),MATCH(H123,'G-7 WaterC'' Data'!$H$3:$L$3,0)),"")</f>
        <v/>
      </c>
      <c r="J123" s="777"/>
      <c r="K123" s="325" t="str">
        <f>IF(J123="","",IF(VLOOKUP(J123,'G-7 WaterC'' Data'!$AK$4:$AM$6,2,FALSE)=0,"Spatial Data Missing ⚠",VLOOKUP(J123,'G-7 WaterC'' Data'!$AK$4:$AM$6,2,FALSE)))</f>
        <v/>
      </c>
      <c r="L123" s="296" t="str">
        <f>IF(J123="","",IF(VLOOKUP(J123,'G-7 WaterC'' Data'!$AK$4:$AM$9,3,FALSE)=0,"Spatial Data Missing ⚠",VLOOKUP(J123,'G-7 WaterC'' Data'!$AK$4:$AM$6,3,FALSE)))</f>
        <v/>
      </c>
      <c r="M123" s="38"/>
      <c r="N123" s="291" t="str">
        <f>IF(M123="","",IF(AND(D123&lt;&gt;"Culvert",M123="N/A - Culvert"),"Not possible ▲",IF(AND(D123="Culvert",M123&lt;&gt;"N/A - Culvert"),"Not possible ▲",IF(VLOOKUP(M123,'G-7 WaterC'' Data'!$AA$4:$AB$7,2,FALSE)=0,"Spatial Data Missing ⚠",VLOOKUP(M123,'G-7 WaterC'' Data'!$AA$4:$AB$7,2,FALSE)))))</f>
        <v/>
      </c>
      <c r="O123" s="44"/>
      <c r="P123" s="291" t="str">
        <f>IF(O123="","",IF(AND(O123="N/A - Culvert", D123&lt;&gt;"Culvert"),"Not possible ▲", IF(AND(D123="Culvert",O123&lt;&gt;"N/A - Culvert"),"Not possible ▲",IF(VLOOKUP(O123,'G-7 WaterC'' Data'!$AD$4:$AE$14,2,FALSE)=0,"Spatial Data Missing ⚠",VLOOKUP(O123,'G-7 WaterC'' Data'!$AD$4:$AE$14,2,FALSE)))))</f>
        <v/>
      </c>
      <c r="Q123" s="297" t="str">
        <f>IF(D123="","",VLOOKUP(D123,'G-7 WaterC'' Data'!$B$2:$G$8,6,FALSE))</f>
        <v/>
      </c>
      <c r="R123" s="304" t="str">
        <f>IFERROR(IF(AND(Q123='G-1 All Habitats'!$X$3, AE123&gt;0, U123&lt;=0, V123&lt;=0, OR(AA123="No", AA123="")),"Any Loss Unacceptable ⚠", (IF(AND(Q123='G-1 All Habitats'!$X$3, AE123&gt;0, U123&lt;=0, V123&lt;=0, AA123="Yes"), 0, (IF(AND(Q123='G-1 All Habitats'!$X$3,(U123+V123)&lt;E123, OR(AA123="No", AA123="")),"Any Loss Unacceptable ⚠", (IF(AND(Q123='G-1 All Habitats'!$X$3,(U123+V123)&gt;E123), E123*G123*I123*L123*N123*P123, (IF(Q123="","",IF(AND(Q123='G-1 All Habitats'!$X$3,V123&gt;0),W123+X123,IF(AND(Q123='G-1 All Habitats'!$X$3,U123&gt;0), W123+X123, IF(AND(S123="Yes", V123&gt;(E123-U123)),(E123-U123)*G123*I123*L123*N123*P123, IF(AND(S123="Yes", V123&lt;=(E123-U123)), X123, E123*G123*I123*L123*N123*P123 ))))))))))))),"Check Data ▲")</f>
        <v/>
      </c>
      <c r="S123" s="671" t="str">
        <f t="shared" si="9"/>
        <v/>
      </c>
      <c r="T123" s="17"/>
      <c r="U123" s="95"/>
      <c r="V123" s="106"/>
      <c r="W123" s="302" t="str">
        <f t="shared" si="10"/>
        <v/>
      </c>
      <c r="X123" s="302" t="str">
        <f t="shared" si="11"/>
        <v/>
      </c>
      <c r="Y123" s="302" t="str">
        <f t="shared" si="12"/>
        <v/>
      </c>
      <c r="Z123" s="471" t="str">
        <f t="shared" si="13"/>
        <v/>
      </c>
      <c r="AA123" s="488"/>
      <c r="AB123" s="486"/>
      <c r="AC123" s="101"/>
      <c r="AD123" s="101"/>
      <c r="AE123" s="41" t="str">
        <f>IF(OR(Q123="",AA123="Yes"),"",IF(Q123='G-1 All Habitats'!$X$3,E123-U123-V123,"None"))</f>
        <v/>
      </c>
      <c r="AF123" s="42" t="str">
        <f>IF(Q123="","", IF(Q123='G-1 All Habitats'!$X$3, AE123*G123*I123*L123*N123*P123,"None"))</f>
        <v/>
      </c>
      <c r="AI123" s="15">
        <f t="shared" si="14"/>
        <v>0</v>
      </c>
      <c r="AJ123" s="105" t="str">
        <f t="shared" si="15"/>
        <v/>
      </c>
      <c r="AK123" s="105" t="str">
        <f t="shared" si="16"/>
        <v/>
      </c>
      <c r="AM123" s="105">
        <v>114</v>
      </c>
      <c r="AO123" s="105" t="str">
        <f t="array" ref="AO123">IFERROR(INDEX($AM$10:$AM$258, MATCH(0, IF(TRUE=$AJ$10:$AJ$258, COUNTIF($AO$9:$AO122, $AM$10:$AM$258), ""), 0)),"")</f>
        <v/>
      </c>
      <c r="AP123" s="105" t="str">
        <f t="array" ref="AP123">IFERROR(INDEX($AM$10:$AM$258, MATCH(0, IF(TRUE=$AK$10:$AK$258, COUNTIF($AP$9:$AP122, $AM$10:$AM$258), ""), 0)),"")</f>
        <v/>
      </c>
      <c r="AR123" s="15" t="str">
        <f>IFERROR(INDEX('G-7 WaterC'' Data'!$AZ$3:$AZ$7,MATCH(D123,'G-7 WaterC'' Data'!$AY$3:$AY$7,0)),"")</f>
        <v/>
      </c>
      <c r="AS123" s="15" t="str">
        <f>IFERROR(INDEX('G-7 WaterC'' Data'!AZ123:AZ127,MATCH(D123,'G-7 WaterC'' Data'!$AY$10:$AY$14,0)),"")</f>
        <v/>
      </c>
      <c r="AU123" s="15" t="str">
        <f>IF(D123="","",VLOOKUP(D123,'G-7 WaterC'' Data'!B$4:M$8,12,FALSE))</f>
        <v/>
      </c>
      <c r="AV123" s="15" t="str">
        <f t="shared" si="17"/>
        <v/>
      </c>
    </row>
    <row r="124" spans="3:48" ht="14" x14ac:dyDescent="0.3">
      <c r="C124" s="92">
        <v>115</v>
      </c>
      <c r="D124" s="271"/>
      <c r="E124" s="120"/>
      <c r="F124" s="290" t="str">
        <f>IF(D124="","",VLOOKUP(D124,'G-7 WaterC'' Data'!$B$2:$G$8,2,FALSE))</f>
        <v/>
      </c>
      <c r="G124" s="291" t="str">
        <f>IFERROR(VLOOKUP(F124,'G-7 WaterC'' Data'!$C$4:$D$8,2,FALSE),"")</f>
        <v/>
      </c>
      <c r="H124" s="38"/>
      <c r="I124" s="291" t="str">
        <f>IFERROR(INDEX('G-7 WaterC'' Data'!$H$4:$L$8,MATCH(D124,'G-7 WaterC'' Data'!$B$4:$B$8,0),MATCH(H124,'G-7 WaterC'' Data'!$H$3:$L$3,0)),"")</f>
        <v/>
      </c>
      <c r="J124" s="777"/>
      <c r="K124" s="325" t="str">
        <f>IF(J124="","",IF(VLOOKUP(J124,'G-7 WaterC'' Data'!$AK$4:$AM$6,2,FALSE)=0,"Spatial Data Missing ⚠",VLOOKUP(J124,'G-7 WaterC'' Data'!$AK$4:$AM$6,2,FALSE)))</f>
        <v/>
      </c>
      <c r="L124" s="296" t="str">
        <f>IF(J124="","",IF(VLOOKUP(J124,'G-7 WaterC'' Data'!$AK$4:$AM$9,3,FALSE)=0,"Spatial Data Missing ⚠",VLOOKUP(J124,'G-7 WaterC'' Data'!$AK$4:$AM$6,3,FALSE)))</f>
        <v/>
      </c>
      <c r="M124" s="38"/>
      <c r="N124" s="291" t="str">
        <f>IF(M124="","",IF(AND(D124&lt;&gt;"Culvert",M124="N/A - Culvert"),"Not possible ▲",IF(AND(D124="Culvert",M124&lt;&gt;"N/A - Culvert"),"Not possible ▲",IF(VLOOKUP(M124,'G-7 WaterC'' Data'!$AA$4:$AB$7,2,FALSE)=0,"Spatial Data Missing ⚠",VLOOKUP(M124,'G-7 WaterC'' Data'!$AA$4:$AB$7,2,FALSE)))))</f>
        <v/>
      </c>
      <c r="O124" s="44"/>
      <c r="P124" s="291" t="str">
        <f>IF(O124="","",IF(AND(O124="N/A - Culvert", D124&lt;&gt;"Culvert"),"Not possible ▲", IF(AND(D124="Culvert",O124&lt;&gt;"N/A - Culvert"),"Not possible ▲",IF(VLOOKUP(O124,'G-7 WaterC'' Data'!$AD$4:$AE$14,2,FALSE)=0,"Spatial Data Missing ⚠",VLOOKUP(O124,'G-7 WaterC'' Data'!$AD$4:$AE$14,2,FALSE)))))</f>
        <v/>
      </c>
      <c r="Q124" s="297" t="str">
        <f>IF(D124="","",VLOOKUP(D124,'G-7 WaterC'' Data'!$B$2:$G$8,6,FALSE))</f>
        <v/>
      </c>
      <c r="R124" s="304" t="str">
        <f>IFERROR(IF(AND(Q124='G-1 All Habitats'!$X$3, AE124&gt;0, U124&lt;=0, V124&lt;=0, OR(AA124="No", AA124="")),"Any Loss Unacceptable ⚠", (IF(AND(Q124='G-1 All Habitats'!$X$3, AE124&gt;0, U124&lt;=0, V124&lt;=0, AA124="Yes"), 0, (IF(AND(Q124='G-1 All Habitats'!$X$3,(U124+V124)&lt;E124, OR(AA124="No", AA124="")),"Any Loss Unacceptable ⚠", (IF(AND(Q124='G-1 All Habitats'!$X$3,(U124+V124)&gt;E124), E124*G124*I124*L124*N124*P124, (IF(Q124="","",IF(AND(Q124='G-1 All Habitats'!$X$3,V124&gt;0),W124+X124,IF(AND(Q124='G-1 All Habitats'!$X$3,U124&gt;0), W124+X124, IF(AND(S124="Yes", V124&gt;(E124-U124)),(E124-U124)*G124*I124*L124*N124*P124, IF(AND(S124="Yes", V124&lt;=(E124-U124)), X124, E124*G124*I124*L124*N124*P124 ))))))))))))),"Check Data ▲")</f>
        <v/>
      </c>
      <c r="S124" s="671" t="str">
        <f t="shared" si="9"/>
        <v/>
      </c>
      <c r="T124" s="17"/>
      <c r="U124" s="95"/>
      <c r="V124" s="106"/>
      <c r="W124" s="302" t="str">
        <f t="shared" si="10"/>
        <v/>
      </c>
      <c r="X124" s="302" t="str">
        <f t="shared" si="11"/>
        <v/>
      </c>
      <c r="Y124" s="302" t="str">
        <f t="shared" si="12"/>
        <v/>
      </c>
      <c r="Z124" s="471" t="str">
        <f t="shared" si="13"/>
        <v/>
      </c>
      <c r="AA124" s="488"/>
      <c r="AB124" s="486"/>
      <c r="AC124" s="101"/>
      <c r="AD124" s="101"/>
      <c r="AE124" s="41" t="str">
        <f>IF(OR(Q124="",AA124="Yes"),"",IF(Q124='G-1 All Habitats'!$X$3,E124-U124-V124,"None"))</f>
        <v/>
      </c>
      <c r="AF124" s="42" t="str">
        <f>IF(Q124="","", IF(Q124='G-1 All Habitats'!$X$3, AE124*G124*I124*L124*N124*P124,"None"))</f>
        <v/>
      </c>
      <c r="AI124" s="15">
        <f t="shared" si="14"/>
        <v>0</v>
      </c>
      <c r="AJ124" s="105" t="str">
        <f t="shared" si="15"/>
        <v/>
      </c>
      <c r="AK124" s="105" t="str">
        <f t="shared" si="16"/>
        <v/>
      </c>
      <c r="AM124" s="105">
        <v>115</v>
      </c>
      <c r="AO124" s="105" t="str">
        <f t="array" ref="AO124">IFERROR(INDEX($AM$10:$AM$258, MATCH(0, IF(TRUE=$AJ$10:$AJ$258, COUNTIF($AO$9:$AO123, $AM$10:$AM$258), ""), 0)),"")</f>
        <v/>
      </c>
      <c r="AP124" s="105" t="str">
        <f t="array" ref="AP124">IFERROR(INDEX($AM$10:$AM$258, MATCH(0, IF(TRUE=$AK$10:$AK$258, COUNTIF($AP$9:$AP123, $AM$10:$AM$258), ""), 0)),"")</f>
        <v/>
      </c>
      <c r="AR124" s="15" t="str">
        <f>IFERROR(INDEX('G-7 WaterC'' Data'!$AZ$3:$AZ$7,MATCH(D124,'G-7 WaterC'' Data'!$AY$3:$AY$7,0)),"")</f>
        <v/>
      </c>
      <c r="AS124" s="15" t="str">
        <f>IFERROR(INDEX('G-7 WaterC'' Data'!AZ124:AZ128,MATCH(D124,'G-7 WaterC'' Data'!$AY$10:$AY$14,0)),"")</f>
        <v/>
      </c>
      <c r="AU124" s="15" t="str">
        <f>IF(D124="","",VLOOKUP(D124,'G-7 WaterC'' Data'!B$4:M$8,12,FALSE))</f>
        <v/>
      </c>
      <c r="AV124" s="15" t="str">
        <f t="shared" si="17"/>
        <v/>
      </c>
    </row>
    <row r="125" spans="3:48" ht="14" x14ac:dyDescent="0.3">
      <c r="C125" s="92">
        <v>116</v>
      </c>
      <c r="D125" s="271"/>
      <c r="E125" s="120"/>
      <c r="F125" s="290" t="str">
        <f>IF(D125="","",VLOOKUP(D125,'G-7 WaterC'' Data'!$B$2:$G$8,2,FALSE))</f>
        <v/>
      </c>
      <c r="G125" s="291" t="str">
        <f>IFERROR(VLOOKUP(F125,'G-7 WaterC'' Data'!$C$4:$D$8,2,FALSE),"")</f>
        <v/>
      </c>
      <c r="H125" s="38"/>
      <c r="I125" s="291" t="str">
        <f>IFERROR(INDEX('G-7 WaterC'' Data'!$H$4:$L$8,MATCH(D125,'G-7 WaterC'' Data'!$B$4:$B$8,0),MATCH(H125,'G-7 WaterC'' Data'!$H$3:$L$3,0)),"")</f>
        <v/>
      </c>
      <c r="J125" s="777"/>
      <c r="K125" s="325" t="str">
        <f>IF(J125="","",IF(VLOOKUP(J125,'G-7 WaterC'' Data'!$AK$4:$AM$6,2,FALSE)=0,"Spatial Data Missing ⚠",VLOOKUP(J125,'G-7 WaterC'' Data'!$AK$4:$AM$6,2,FALSE)))</f>
        <v/>
      </c>
      <c r="L125" s="296" t="str">
        <f>IF(J125="","",IF(VLOOKUP(J125,'G-7 WaterC'' Data'!$AK$4:$AM$9,3,FALSE)=0,"Spatial Data Missing ⚠",VLOOKUP(J125,'G-7 WaterC'' Data'!$AK$4:$AM$6,3,FALSE)))</f>
        <v/>
      </c>
      <c r="M125" s="38"/>
      <c r="N125" s="291" t="str">
        <f>IF(M125="","",IF(AND(D125&lt;&gt;"Culvert",M125="N/A - Culvert"),"Not possible ▲",IF(AND(D125="Culvert",M125&lt;&gt;"N/A - Culvert"),"Not possible ▲",IF(VLOOKUP(M125,'G-7 WaterC'' Data'!$AA$4:$AB$7,2,FALSE)=0,"Spatial Data Missing ⚠",VLOOKUP(M125,'G-7 WaterC'' Data'!$AA$4:$AB$7,2,FALSE)))))</f>
        <v/>
      </c>
      <c r="O125" s="44"/>
      <c r="P125" s="291" t="str">
        <f>IF(O125="","",IF(AND(O125="N/A - Culvert", D125&lt;&gt;"Culvert"),"Not possible ▲", IF(AND(D125="Culvert",O125&lt;&gt;"N/A - Culvert"),"Not possible ▲",IF(VLOOKUP(O125,'G-7 WaterC'' Data'!$AD$4:$AE$14,2,FALSE)=0,"Spatial Data Missing ⚠",VLOOKUP(O125,'G-7 WaterC'' Data'!$AD$4:$AE$14,2,FALSE)))))</f>
        <v/>
      </c>
      <c r="Q125" s="297" t="str">
        <f>IF(D125="","",VLOOKUP(D125,'G-7 WaterC'' Data'!$B$2:$G$8,6,FALSE))</f>
        <v/>
      </c>
      <c r="R125" s="304" t="str">
        <f>IFERROR(IF(AND(Q125='G-1 All Habitats'!$X$3, AE125&gt;0, U125&lt;=0, V125&lt;=0, OR(AA125="No", AA125="")),"Any Loss Unacceptable ⚠", (IF(AND(Q125='G-1 All Habitats'!$X$3, AE125&gt;0, U125&lt;=0, V125&lt;=0, AA125="Yes"), 0, (IF(AND(Q125='G-1 All Habitats'!$X$3,(U125+V125)&lt;E125, OR(AA125="No", AA125="")),"Any Loss Unacceptable ⚠", (IF(AND(Q125='G-1 All Habitats'!$X$3,(U125+V125)&gt;E125), E125*G125*I125*L125*N125*P125, (IF(Q125="","",IF(AND(Q125='G-1 All Habitats'!$X$3,V125&gt;0),W125+X125,IF(AND(Q125='G-1 All Habitats'!$X$3,U125&gt;0), W125+X125, IF(AND(S125="Yes", V125&gt;(E125-U125)),(E125-U125)*G125*I125*L125*N125*P125, IF(AND(S125="Yes", V125&lt;=(E125-U125)), X125, E125*G125*I125*L125*N125*P125 ))))))))))))),"Check Data ▲")</f>
        <v/>
      </c>
      <c r="S125" s="671" t="str">
        <f t="shared" si="9"/>
        <v/>
      </c>
      <c r="T125" s="17"/>
      <c r="U125" s="95"/>
      <c r="V125" s="106"/>
      <c r="W125" s="302" t="str">
        <f t="shared" si="10"/>
        <v/>
      </c>
      <c r="X125" s="302" t="str">
        <f t="shared" si="11"/>
        <v/>
      </c>
      <c r="Y125" s="302" t="str">
        <f t="shared" si="12"/>
        <v/>
      </c>
      <c r="Z125" s="471" t="str">
        <f t="shared" si="13"/>
        <v/>
      </c>
      <c r="AA125" s="488"/>
      <c r="AB125" s="486"/>
      <c r="AC125" s="101"/>
      <c r="AD125" s="101"/>
      <c r="AE125" s="41" t="str">
        <f>IF(OR(Q125="",AA125="Yes"),"",IF(Q125='G-1 All Habitats'!$X$3,E125-U125-V125,"None"))</f>
        <v/>
      </c>
      <c r="AF125" s="42" t="str">
        <f>IF(Q125="","", IF(Q125='G-1 All Habitats'!$X$3, AE125*G125*I125*L125*N125*P125,"None"))</f>
        <v/>
      </c>
      <c r="AI125" s="15">
        <f t="shared" si="14"/>
        <v>0</v>
      </c>
      <c r="AJ125" s="105" t="str">
        <f t="shared" si="15"/>
        <v/>
      </c>
      <c r="AK125" s="105" t="str">
        <f t="shared" si="16"/>
        <v/>
      </c>
      <c r="AM125" s="105">
        <v>116</v>
      </c>
      <c r="AO125" s="105" t="str">
        <f t="array" ref="AO125">IFERROR(INDEX($AM$10:$AM$258, MATCH(0, IF(TRUE=$AJ$10:$AJ$258, COUNTIF($AO$9:$AO124, $AM$10:$AM$258), ""), 0)),"")</f>
        <v/>
      </c>
      <c r="AP125" s="105" t="str">
        <f t="array" ref="AP125">IFERROR(INDEX($AM$10:$AM$258, MATCH(0, IF(TRUE=$AK$10:$AK$258, COUNTIF($AP$9:$AP124, $AM$10:$AM$258), ""), 0)),"")</f>
        <v/>
      </c>
      <c r="AR125" s="15" t="str">
        <f>IFERROR(INDEX('G-7 WaterC'' Data'!$AZ$3:$AZ$7,MATCH(D125,'G-7 WaterC'' Data'!$AY$3:$AY$7,0)),"")</f>
        <v/>
      </c>
      <c r="AS125" s="15" t="str">
        <f>IFERROR(INDEX('G-7 WaterC'' Data'!AZ125:AZ129,MATCH(D125,'G-7 WaterC'' Data'!$AY$10:$AY$14,0)),"")</f>
        <v/>
      </c>
      <c r="AU125" s="15" t="str">
        <f>IF(D125="","",VLOOKUP(D125,'G-7 WaterC'' Data'!B$4:M$8,12,FALSE))</f>
        <v/>
      </c>
      <c r="AV125" s="15" t="str">
        <f t="shared" si="17"/>
        <v/>
      </c>
    </row>
    <row r="126" spans="3:48" ht="14" x14ac:dyDescent="0.3">
      <c r="C126" s="92">
        <v>117</v>
      </c>
      <c r="D126" s="271"/>
      <c r="E126" s="120"/>
      <c r="F126" s="290" t="str">
        <f>IF(D126="","",VLOOKUP(D126,'G-7 WaterC'' Data'!$B$2:$G$8,2,FALSE))</f>
        <v/>
      </c>
      <c r="G126" s="291" t="str">
        <f>IFERROR(VLOOKUP(F126,'G-7 WaterC'' Data'!$C$4:$D$8,2,FALSE),"")</f>
        <v/>
      </c>
      <c r="H126" s="38"/>
      <c r="I126" s="291" t="str">
        <f>IFERROR(INDEX('G-7 WaterC'' Data'!$H$4:$L$8,MATCH(D126,'G-7 WaterC'' Data'!$B$4:$B$8,0),MATCH(H126,'G-7 WaterC'' Data'!$H$3:$L$3,0)),"")</f>
        <v/>
      </c>
      <c r="J126" s="777"/>
      <c r="K126" s="325" t="str">
        <f>IF(J126="","",IF(VLOOKUP(J126,'G-7 WaterC'' Data'!$AK$4:$AM$6,2,FALSE)=0,"Spatial Data Missing ⚠",VLOOKUP(J126,'G-7 WaterC'' Data'!$AK$4:$AM$6,2,FALSE)))</f>
        <v/>
      </c>
      <c r="L126" s="296" t="str">
        <f>IF(J126="","",IF(VLOOKUP(J126,'G-7 WaterC'' Data'!$AK$4:$AM$9,3,FALSE)=0,"Spatial Data Missing ⚠",VLOOKUP(J126,'G-7 WaterC'' Data'!$AK$4:$AM$6,3,FALSE)))</f>
        <v/>
      </c>
      <c r="M126" s="38"/>
      <c r="N126" s="291" t="str">
        <f>IF(M126="","",IF(AND(D126&lt;&gt;"Culvert",M126="N/A - Culvert"),"Not possible ▲",IF(AND(D126="Culvert",M126&lt;&gt;"N/A - Culvert"),"Not possible ▲",IF(VLOOKUP(M126,'G-7 WaterC'' Data'!$AA$4:$AB$7,2,FALSE)=0,"Spatial Data Missing ⚠",VLOOKUP(M126,'G-7 WaterC'' Data'!$AA$4:$AB$7,2,FALSE)))))</f>
        <v/>
      </c>
      <c r="O126" s="44"/>
      <c r="P126" s="291" t="str">
        <f>IF(O126="","",IF(AND(O126="N/A - Culvert", D126&lt;&gt;"Culvert"),"Not possible ▲", IF(AND(D126="Culvert",O126&lt;&gt;"N/A - Culvert"),"Not possible ▲",IF(VLOOKUP(O126,'G-7 WaterC'' Data'!$AD$4:$AE$14,2,FALSE)=0,"Spatial Data Missing ⚠",VLOOKUP(O126,'G-7 WaterC'' Data'!$AD$4:$AE$14,2,FALSE)))))</f>
        <v/>
      </c>
      <c r="Q126" s="297" t="str">
        <f>IF(D126="","",VLOOKUP(D126,'G-7 WaterC'' Data'!$B$2:$G$8,6,FALSE))</f>
        <v/>
      </c>
      <c r="R126" s="304" t="str">
        <f>IFERROR(IF(AND(Q126='G-1 All Habitats'!$X$3, AE126&gt;0, U126&lt;=0, V126&lt;=0, OR(AA126="No", AA126="")),"Any Loss Unacceptable ⚠", (IF(AND(Q126='G-1 All Habitats'!$X$3, AE126&gt;0, U126&lt;=0, V126&lt;=0, AA126="Yes"), 0, (IF(AND(Q126='G-1 All Habitats'!$X$3,(U126+V126)&lt;E126, OR(AA126="No", AA126="")),"Any Loss Unacceptable ⚠", (IF(AND(Q126='G-1 All Habitats'!$X$3,(U126+V126)&gt;E126), E126*G126*I126*L126*N126*P126, (IF(Q126="","",IF(AND(Q126='G-1 All Habitats'!$X$3,V126&gt;0),W126+X126,IF(AND(Q126='G-1 All Habitats'!$X$3,U126&gt;0), W126+X126, IF(AND(S126="Yes", V126&gt;(E126-U126)),(E126-U126)*G126*I126*L126*N126*P126, IF(AND(S126="Yes", V126&lt;=(E126-U126)), X126, E126*G126*I126*L126*N126*P126 ))))))))))))),"Check Data ▲")</f>
        <v/>
      </c>
      <c r="S126" s="671" t="str">
        <f t="shared" si="9"/>
        <v/>
      </c>
      <c r="T126" s="17"/>
      <c r="U126" s="95"/>
      <c r="V126" s="106"/>
      <c r="W126" s="302" t="str">
        <f t="shared" si="10"/>
        <v/>
      </c>
      <c r="X126" s="302" t="str">
        <f t="shared" si="11"/>
        <v/>
      </c>
      <c r="Y126" s="302" t="str">
        <f t="shared" si="12"/>
        <v/>
      </c>
      <c r="Z126" s="471" t="str">
        <f t="shared" si="13"/>
        <v/>
      </c>
      <c r="AA126" s="488"/>
      <c r="AB126" s="486"/>
      <c r="AC126" s="101"/>
      <c r="AD126" s="101"/>
      <c r="AE126" s="41" t="str">
        <f>IF(OR(Q126="",AA126="Yes"),"",IF(Q126='G-1 All Habitats'!$X$3,E126-U126-V126,"None"))</f>
        <v/>
      </c>
      <c r="AF126" s="42" t="str">
        <f>IF(Q126="","", IF(Q126='G-1 All Habitats'!$X$3, AE126*G126*I126*L126*N126*P126,"None"))</f>
        <v/>
      </c>
      <c r="AI126" s="15">
        <f t="shared" si="14"/>
        <v>0</v>
      </c>
      <c r="AJ126" s="105" t="str">
        <f t="shared" si="15"/>
        <v/>
      </c>
      <c r="AK126" s="105" t="str">
        <f t="shared" si="16"/>
        <v/>
      </c>
      <c r="AM126" s="105">
        <v>117</v>
      </c>
      <c r="AO126" s="105" t="str">
        <f t="array" ref="AO126">IFERROR(INDEX($AM$10:$AM$258, MATCH(0, IF(TRUE=$AJ$10:$AJ$258, COUNTIF($AO$9:$AO125, $AM$10:$AM$258), ""), 0)),"")</f>
        <v/>
      </c>
      <c r="AP126" s="105" t="str">
        <f t="array" ref="AP126">IFERROR(INDEX($AM$10:$AM$258, MATCH(0, IF(TRUE=$AK$10:$AK$258, COUNTIF($AP$9:$AP125, $AM$10:$AM$258), ""), 0)),"")</f>
        <v/>
      </c>
      <c r="AR126" s="15" t="str">
        <f>IFERROR(INDEX('G-7 WaterC'' Data'!$AZ$3:$AZ$7,MATCH(D126,'G-7 WaterC'' Data'!$AY$3:$AY$7,0)),"")</f>
        <v/>
      </c>
      <c r="AS126" s="15" t="str">
        <f>IFERROR(INDEX('G-7 WaterC'' Data'!AZ126:AZ130,MATCH(D126,'G-7 WaterC'' Data'!$AY$10:$AY$14,0)),"")</f>
        <v/>
      </c>
      <c r="AU126" s="15" t="str">
        <f>IF(D126="","",VLOOKUP(D126,'G-7 WaterC'' Data'!B$4:M$8,12,FALSE))</f>
        <v/>
      </c>
      <c r="AV126" s="15" t="str">
        <f t="shared" si="17"/>
        <v/>
      </c>
    </row>
    <row r="127" spans="3:48" ht="14" x14ac:dyDescent="0.3">
      <c r="C127" s="92">
        <v>118</v>
      </c>
      <c r="D127" s="271"/>
      <c r="E127" s="120"/>
      <c r="F127" s="290" t="str">
        <f>IF(D127="","",VLOOKUP(D127,'G-7 WaterC'' Data'!$B$2:$G$8,2,FALSE))</f>
        <v/>
      </c>
      <c r="G127" s="291" t="str">
        <f>IFERROR(VLOOKUP(F127,'G-7 WaterC'' Data'!$C$4:$D$8,2,FALSE),"")</f>
        <v/>
      </c>
      <c r="H127" s="38"/>
      <c r="I127" s="291" t="str">
        <f>IFERROR(INDEX('G-7 WaterC'' Data'!$H$4:$L$8,MATCH(D127,'G-7 WaterC'' Data'!$B$4:$B$8,0),MATCH(H127,'G-7 WaterC'' Data'!$H$3:$L$3,0)),"")</f>
        <v/>
      </c>
      <c r="J127" s="777"/>
      <c r="K127" s="325" t="str">
        <f>IF(J127="","",IF(VLOOKUP(J127,'G-7 WaterC'' Data'!$AK$4:$AM$6,2,FALSE)=0,"Spatial Data Missing ⚠",VLOOKUP(J127,'G-7 WaterC'' Data'!$AK$4:$AM$6,2,FALSE)))</f>
        <v/>
      </c>
      <c r="L127" s="296" t="str">
        <f>IF(J127="","",IF(VLOOKUP(J127,'G-7 WaterC'' Data'!$AK$4:$AM$9,3,FALSE)=0,"Spatial Data Missing ⚠",VLOOKUP(J127,'G-7 WaterC'' Data'!$AK$4:$AM$6,3,FALSE)))</f>
        <v/>
      </c>
      <c r="M127" s="38"/>
      <c r="N127" s="291" t="str">
        <f>IF(M127="","",IF(AND(D127&lt;&gt;"Culvert",M127="N/A - Culvert"),"Not possible ▲",IF(AND(D127="Culvert",M127&lt;&gt;"N/A - Culvert"),"Not possible ▲",IF(VLOOKUP(M127,'G-7 WaterC'' Data'!$AA$4:$AB$7,2,FALSE)=0,"Spatial Data Missing ⚠",VLOOKUP(M127,'G-7 WaterC'' Data'!$AA$4:$AB$7,2,FALSE)))))</f>
        <v/>
      </c>
      <c r="O127" s="44"/>
      <c r="P127" s="291" t="str">
        <f>IF(O127="","",IF(AND(O127="N/A - Culvert", D127&lt;&gt;"Culvert"),"Not possible ▲", IF(AND(D127="Culvert",O127&lt;&gt;"N/A - Culvert"),"Not possible ▲",IF(VLOOKUP(O127,'G-7 WaterC'' Data'!$AD$4:$AE$14,2,FALSE)=0,"Spatial Data Missing ⚠",VLOOKUP(O127,'G-7 WaterC'' Data'!$AD$4:$AE$14,2,FALSE)))))</f>
        <v/>
      </c>
      <c r="Q127" s="297" t="str">
        <f>IF(D127="","",VLOOKUP(D127,'G-7 WaterC'' Data'!$B$2:$G$8,6,FALSE))</f>
        <v/>
      </c>
      <c r="R127" s="304" t="str">
        <f>IFERROR(IF(AND(Q127='G-1 All Habitats'!$X$3, AE127&gt;0, U127&lt;=0, V127&lt;=0, OR(AA127="No", AA127="")),"Any Loss Unacceptable ⚠", (IF(AND(Q127='G-1 All Habitats'!$X$3, AE127&gt;0, U127&lt;=0, V127&lt;=0, AA127="Yes"), 0, (IF(AND(Q127='G-1 All Habitats'!$X$3,(U127+V127)&lt;E127, OR(AA127="No", AA127="")),"Any Loss Unacceptable ⚠", (IF(AND(Q127='G-1 All Habitats'!$X$3,(U127+V127)&gt;E127), E127*G127*I127*L127*N127*P127, (IF(Q127="","",IF(AND(Q127='G-1 All Habitats'!$X$3,V127&gt;0),W127+X127,IF(AND(Q127='G-1 All Habitats'!$X$3,U127&gt;0), W127+X127, IF(AND(S127="Yes", V127&gt;(E127-U127)),(E127-U127)*G127*I127*L127*N127*P127, IF(AND(S127="Yes", V127&lt;=(E127-U127)), X127, E127*G127*I127*L127*N127*P127 ))))))))))))),"Check Data ▲")</f>
        <v/>
      </c>
      <c r="S127" s="671" t="str">
        <f t="shared" si="9"/>
        <v/>
      </c>
      <c r="T127" s="17"/>
      <c r="U127" s="95"/>
      <c r="V127" s="106"/>
      <c r="W127" s="302" t="str">
        <f t="shared" si="10"/>
        <v/>
      </c>
      <c r="X127" s="302" t="str">
        <f t="shared" si="11"/>
        <v/>
      </c>
      <c r="Y127" s="302" t="str">
        <f t="shared" si="12"/>
        <v/>
      </c>
      <c r="Z127" s="471" t="str">
        <f t="shared" si="13"/>
        <v/>
      </c>
      <c r="AA127" s="488"/>
      <c r="AB127" s="486"/>
      <c r="AC127" s="101"/>
      <c r="AD127" s="101"/>
      <c r="AE127" s="41" t="str">
        <f>IF(OR(Q127="",AA127="Yes"),"",IF(Q127='G-1 All Habitats'!$X$3,E127-U127-V127,"None"))</f>
        <v/>
      </c>
      <c r="AF127" s="42" t="str">
        <f>IF(Q127="","", IF(Q127='G-1 All Habitats'!$X$3, AE127*G127*I127*L127*N127*P127,"None"))</f>
        <v/>
      </c>
      <c r="AI127" s="15">
        <f t="shared" si="14"/>
        <v>0</v>
      </c>
      <c r="AJ127" s="105" t="str">
        <f t="shared" si="15"/>
        <v/>
      </c>
      <c r="AK127" s="105" t="str">
        <f t="shared" si="16"/>
        <v/>
      </c>
      <c r="AM127" s="105">
        <v>118</v>
      </c>
      <c r="AO127" s="105" t="str">
        <f t="array" ref="AO127">IFERROR(INDEX($AM$10:$AM$258, MATCH(0, IF(TRUE=$AJ$10:$AJ$258, COUNTIF($AO$9:$AO126, $AM$10:$AM$258), ""), 0)),"")</f>
        <v/>
      </c>
      <c r="AP127" s="105" t="str">
        <f t="array" ref="AP127">IFERROR(INDEX($AM$10:$AM$258, MATCH(0, IF(TRUE=$AK$10:$AK$258, COUNTIF($AP$9:$AP126, $AM$10:$AM$258), ""), 0)),"")</f>
        <v/>
      </c>
      <c r="AR127" s="15" t="str">
        <f>IFERROR(INDEX('G-7 WaterC'' Data'!$AZ$3:$AZ$7,MATCH(D127,'G-7 WaterC'' Data'!$AY$3:$AY$7,0)),"")</f>
        <v/>
      </c>
      <c r="AS127" s="15" t="str">
        <f>IFERROR(INDEX('G-7 WaterC'' Data'!AZ127:AZ131,MATCH(D127,'G-7 WaterC'' Data'!$AY$10:$AY$14,0)),"")</f>
        <v/>
      </c>
      <c r="AU127" s="15" t="str">
        <f>IF(D127="","",VLOOKUP(D127,'G-7 WaterC'' Data'!B$4:M$8,12,FALSE))</f>
        <v/>
      </c>
      <c r="AV127" s="15" t="str">
        <f t="shared" si="17"/>
        <v/>
      </c>
    </row>
    <row r="128" spans="3:48" ht="14" x14ac:dyDescent="0.3">
      <c r="C128" s="92">
        <v>119</v>
      </c>
      <c r="D128" s="271"/>
      <c r="E128" s="120"/>
      <c r="F128" s="290" t="str">
        <f>IF(D128="","",VLOOKUP(D128,'G-7 WaterC'' Data'!$B$2:$G$8,2,FALSE))</f>
        <v/>
      </c>
      <c r="G128" s="291" t="str">
        <f>IFERROR(VLOOKUP(F128,'G-7 WaterC'' Data'!$C$4:$D$8,2,FALSE),"")</f>
        <v/>
      </c>
      <c r="H128" s="38"/>
      <c r="I128" s="291" t="str">
        <f>IFERROR(INDEX('G-7 WaterC'' Data'!$H$4:$L$8,MATCH(D128,'G-7 WaterC'' Data'!$B$4:$B$8,0),MATCH(H128,'G-7 WaterC'' Data'!$H$3:$L$3,0)),"")</f>
        <v/>
      </c>
      <c r="J128" s="777"/>
      <c r="K128" s="325" t="str">
        <f>IF(J128="","",IF(VLOOKUP(J128,'G-7 WaterC'' Data'!$AK$4:$AM$6,2,FALSE)=0,"Spatial Data Missing ⚠",VLOOKUP(J128,'G-7 WaterC'' Data'!$AK$4:$AM$6,2,FALSE)))</f>
        <v/>
      </c>
      <c r="L128" s="296" t="str">
        <f>IF(J128="","",IF(VLOOKUP(J128,'G-7 WaterC'' Data'!$AK$4:$AM$9,3,FALSE)=0,"Spatial Data Missing ⚠",VLOOKUP(J128,'G-7 WaterC'' Data'!$AK$4:$AM$6,3,FALSE)))</f>
        <v/>
      </c>
      <c r="M128" s="38"/>
      <c r="N128" s="291" t="str">
        <f>IF(M128="","",IF(AND(D128&lt;&gt;"Culvert",M128="N/A - Culvert"),"Not possible ▲",IF(AND(D128="Culvert",M128&lt;&gt;"N/A - Culvert"),"Not possible ▲",IF(VLOOKUP(M128,'G-7 WaterC'' Data'!$AA$4:$AB$7,2,FALSE)=0,"Spatial Data Missing ⚠",VLOOKUP(M128,'G-7 WaterC'' Data'!$AA$4:$AB$7,2,FALSE)))))</f>
        <v/>
      </c>
      <c r="O128" s="44"/>
      <c r="P128" s="291" t="str">
        <f>IF(O128="","",IF(AND(O128="N/A - Culvert", D128&lt;&gt;"Culvert"),"Not possible ▲", IF(AND(D128="Culvert",O128&lt;&gt;"N/A - Culvert"),"Not possible ▲",IF(VLOOKUP(O128,'G-7 WaterC'' Data'!$AD$4:$AE$14,2,FALSE)=0,"Spatial Data Missing ⚠",VLOOKUP(O128,'G-7 WaterC'' Data'!$AD$4:$AE$14,2,FALSE)))))</f>
        <v/>
      </c>
      <c r="Q128" s="297" t="str">
        <f>IF(D128="","",VLOOKUP(D128,'G-7 WaterC'' Data'!$B$2:$G$8,6,FALSE))</f>
        <v/>
      </c>
      <c r="R128" s="304" t="str">
        <f>IFERROR(IF(AND(Q128='G-1 All Habitats'!$X$3, AE128&gt;0, U128&lt;=0, V128&lt;=0, OR(AA128="No", AA128="")),"Any Loss Unacceptable ⚠", (IF(AND(Q128='G-1 All Habitats'!$X$3, AE128&gt;0, U128&lt;=0, V128&lt;=0, AA128="Yes"), 0, (IF(AND(Q128='G-1 All Habitats'!$X$3,(U128+V128)&lt;E128, OR(AA128="No", AA128="")),"Any Loss Unacceptable ⚠", (IF(AND(Q128='G-1 All Habitats'!$X$3,(U128+V128)&gt;E128), E128*G128*I128*L128*N128*P128, (IF(Q128="","",IF(AND(Q128='G-1 All Habitats'!$X$3,V128&gt;0),W128+X128,IF(AND(Q128='G-1 All Habitats'!$X$3,U128&gt;0), W128+X128, IF(AND(S128="Yes", V128&gt;(E128-U128)),(E128-U128)*G128*I128*L128*N128*P128, IF(AND(S128="Yes", V128&lt;=(E128-U128)), X128, E128*G128*I128*L128*N128*P128 ))))))))))))),"Check Data ▲")</f>
        <v/>
      </c>
      <c r="S128" s="671" t="str">
        <f t="shared" si="9"/>
        <v/>
      </c>
      <c r="T128" s="17"/>
      <c r="U128" s="95"/>
      <c r="V128" s="106"/>
      <c r="W128" s="302" t="str">
        <f t="shared" si="10"/>
        <v/>
      </c>
      <c r="X128" s="302" t="str">
        <f t="shared" si="11"/>
        <v/>
      </c>
      <c r="Y128" s="302" t="str">
        <f t="shared" si="12"/>
        <v/>
      </c>
      <c r="Z128" s="471" t="str">
        <f t="shared" si="13"/>
        <v/>
      </c>
      <c r="AA128" s="488"/>
      <c r="AB128" s="486"/>
      <c r="AC128" s="101"/>
      <c r="AD128" s="101"/>
      <c r="AE128" s="41" t="str">
        <f>IF(OR(Q128="",AA128="Yes"),"",IF(Q128='G-1 All Habitats'!$X$3,E128-U128-V128,"None"))</f>
        <v/>
      </c>
      <c r="AF128" s="42" t="str">
        <f>IF(Q128="","", IF(Q128='G-1 All Habitats'!$X$3, AE128*G128*I128*L128*N128*P128,"None"))</f>
        <v/>
      </c>
      <c r="AI128" s="15">
        <f t="shared" si="14"/>
        <v>0</v>
      </c>
      <c r="AJ128" s="105" t="str">
        <f t="shared" si="15"/>
        <v/>
      </c>
      <c r="AK128" s="105" t="str">
        <f t="shared" si="16"/>
        <v/>
      </c>
      <c r="AM128" s="105">
        <v>119</v>
      </c>
      <c r="AO128" s="105" t="str">
        <f t="array" ref="AO128">IFERROR(INDEX($AM$10:$AM$258, MATCH(0, IF(TRUE=$AJ$10:$AJ$258, COUNTIF($AO$9:$AO127, $AM$10:$AM$258), ""), 0)),"")</f>
        <v/>
      </c>
      <c r="AP128" s="105" t="str">
        <f t="array" ref="AP128">IFERROR(INDEX($AM$10:$AM$258, MATCH(0, IF(TRUE=$AK$10:$AK$258, COUNTIF($AP$9:$AP127, $AM$10:$AM$258), ""), 0)),"")</f>
        <v/>
      </c>
      <c r="AR128" s="15" t="str">
        <f>IFERROR(INDEX('G-7 WaterC'' Data'!$AZ$3:$AZ$7,MATCH(D128,'G-7 WaterC'' Data'!$AY$3:$AY$7,0)),"")</f>
        <v/>
      </c>
      <c r="AS128" s="15" t="str">
        <f>IFERROR(INDEX('G-7 WaterC'' Data'!AZ128:AZ132,MATCH(D128,'G-7 WaterC'' Data'!$AY$10:$AY$14,0)),"")</f>
        <v/>
      </c>
      <c r="AU128" s="15" t="str">
        <f>IF(D128="","",VLOOKUP(D128,'G-7 WaterC'' Data'!B$4:M$8,12,FALSE))</f>
        <v/>
      </c>
      <c r="AV128" s="15" t="str">
        <f t="shared" si="17"/>
        <v/>
      </c>
    </row>
    <row r="129" spans="3:48" ht="14" x14ac:dyDescent="0.3">
      <c r="C129" s="92">
        <v>120</v>
      </c>
      <c r="D129" s="271"/>
      <c r="E129" s="120"/>
      <c r="F129" s="290" t="str">
        <f>IF(D129="","",VLOOKUP(D129,'G-7 WaterC'' Data'!$B$2:$G$8,2,FALSE))</f>
        <v/>
      </c>
      <c r="G129" s="291" t="str">
        <f>IFERROR(VLOOKUP(F129,'G-7 WaterC'' Data'!$C$4:$D$8,2,FALSE),"")</f>
        <v/>
      </c>
      <c r="H129" s="38"/>
      <c r="I129" s="291" t="str">
        <f>IFERROR(INDEX('G-7 WaterC'' Data'!$H$4:$L$8,MATCH(D129,'G-7 WaterC'' Data'!$B$4:$B$8,0),MATCH(H129,'G-7 WaterC'' Data'!$H$3:$L$3,0)),"")</f>
        <v/>
      </c>
      <c r="J129" s="777"/>
      <c r="K129" s="325" t="str">
        <f>IF(J129="","",IF(VLOOKUP(J129,'G-7 WaterC'' Data'!$AK$4:$AM$6,2,FALSE)=0,"Spatial Data Missing ⚠",VLOOKUP(J129,'G-7 WaterC'' Data'!$AK$4:$AM$6,2,FALSE)))</f>
        <v/>
      </c>
      <c r="L129" s="296" t="str">
        <f>IF(J129="","",IF(VLOOKUP(J129,'G-7 WaterC'' Data'!$AK$4:$AM$9,3,FALSE)=0,"Spatial Data Missing ⚠",VLOOKUP(J129,'G-7 WaterC'' Data'!$AK$4:$AM$6,3,FALSE)))</f>
        <v/>
      </c>
      <c r="M129" s="38"/>
      <c r="N129" s="291" t="str">
        <f>IF(M129="","",IF(AND(D129&lt;&gt;"Culvert",M129="N/A - Culvert"),"Not possible ▲",IF(AND(D129="Culvert",M129&lt;&gt;"N/A - Culvert"),"Not possible ▲",IF(VLOOKUP(M129,'G-7 WaterC'' Data'!$AA$4:$AB$7,2,FALSE)=0,"Spatial Data Missing ⚠",VLOOKUP(M129,'G-7 WaterC'' Data'!$AA$4:$AB$7,2,FALSE)))))</f>
        <v/>
      </c>
      <c r="O129" s="44"/>
      <c r="P129" s="291" t="str">
        <f>IF(O129="","",IF(AND(O129="N/A - Culvert", D129&lt;&gt;"Culvert"),"Not possible ▲", IF(AND(D129="Culvert",O129&lt;&gt;"N/A - Culvert"),"Not possible ▲",IF(VLOOKUP(O129,'G-7 WaterC'' Data'!$AD$4:$AE$14,2,FALSE)=0,"Spatial Data Missing ⚠",VLOOKUP(O129,'G-7 WaterC'' Data'!$AD$4:$AE$14,2,FALSE)))))</f>
        <v/>
      </c>
      <c r="Q129" s="297" t="str">
        <f>IF(D129="","",VLOOKUP(D129,'G-7 WaterC'' Data'!$B$2:$G$8,6,FALSE))</f>
        <v/>
      </c>
      <c r="R129" s="304" t="str">
        <f>IFERROR(IF(AND(Q129='G-1 All Habitats'!$X$3, AE129&gt;0, U129&lt;=0, V129&lt;=0, OR(AA129="No", AA129="")),"Any Loss Unacceptable ⚠", (IF(AND(Q129='G-1 All Habitats'!$X$3, AE129&gt;0, U129&lt;=0, V129&lt;=0, AA129="Yes"), 0, (IF(AND(Q129='G-1 All Habitats'!$X$3,(U129+V129)&lt;E129, OR(AA129="No", AA129="")),"Any Loss Unacceptable ⚠", (IF(AND(Q129='G-1 All Habitats'!$X$3,(U129+V129)&gt;E129), E129*G129*I129*L129*N129*P129, (IF(Q129="","",IF(AND(Q129='G-1 All Habitats'!$X$3,V129&gt;0),W129+X129,IF(AND(Q129='G-1 All Habitats'!$X$3,U129&gt;0), W129+X129, IF(AND(S129="Yes", V129&gt;(E129-U129)),(E129-U129)*G129*I129*L129*N129*P129, IF(AND(S129="Yes", V129&lt;=(E129-U129)), X129, E129*G129*I129*L129*N129*P129 ))))))))))))),"Check Data ▲")</f>
        <v/>
      </c>
      <c r="S129" s="671" t="str">
        <f t="shared" si="9"/>
        <v/>
      </c>
      <c r="T129" s="17"/>
      <c r="U129" s="95"/>
      <c r="V129" s="106"/>
      <c r="W129" s="302" t="str">
        <f t="shared" si="10"/>
        <v/>
      </c>
      <c r="X129" s="302" t="str">
        <f t="shared" si="11"/>
        <v/>
      </c>
      <c r="Y129" s="302" t="str">
        <f t="shared" si="12"/>
        <v/>
      </c>
      <c r="Z129" s="471" t="str">
        <f t="shared" si="13"/>
        <v/>
      </c>
      <c r="AA129" s="488"/>
      <c r="AB129" s="486"/>
      <c r="AC129" s="101"/>
      <c r="AD129" s="101"/>
      <c r="AE129" s="41" t="str">
        <f>IF(OR(Q129="",AA129="Yes"),"",IF(Q129='G-1 All Habitats'!$X$3,E129-U129-V129,"None"))</f>
        <v/>
      </c>
      <c r="AF129" s="42" t="str">
        <f>IF(Q129="","", IF(Q129='G-1 All Habitats'!$X$3, AE129*G129*I129*L129*N129*P129,"None"))</f>
        <v/>
      </c>
      <c r="AI129" s="15">
        <f t="shared" si="14"/>
        <v>0</v>
      </c>
      <c r="AJ129" s="105" t="str">
        <f t="shared" si="15"/>
        <v/>
      </c>
      <c r="AK129" s="105" t="str">
        <f t="shared" si="16"/>
        <v/>
      </c>
      <c r="AM129" s="105">
        <v>120</v>
      </c>
      <c r="AO129" s="105" t="str">
        <f t="array" ref="AO129">IFERROR(INDEX($AM$10:$AM$258, MATCH(0, IF(TRUE=$AJ$10:$AJ$258, COUNTIF($AO$9:$AO128, $AM$10:$AM$258), ""), 0)),"")</f>
        <v/>
      </c>
      <c r="AP129" s="105" t="str">
        <f t="array" ref="AP129">IFERROR(INDEX($AM$10:$AM$258, MATCH(0, IF(TRUE=$AK$10:$AK$258, COUNTIF($AP$9:$AP128, $AM$10:$AM$258), ""), 0)),"")</f>
        <v/>
      </c>
      <c r="AR129" s="15" t="str">
        <f>IFERROR(INDEX('G-7 WaterC'' Data'!$AZ$3:$AZ$7,MATCH(D129,'G-7 WaterC'' Data'!$AY$3:$AY$7,0)),"")</f>
        <v/>
      </c>
      <c r="AS129" s="15" t="str">
        <f>IFERROR(INDEX('G-7 WaterC'' Data'!AZ129:AZ133,MATCH(D129,'G-7 WaterC'' Data'!$AY$10:$AY$14,0)),"")</f>
        <v/>
      </c>
      <c r="AU129" s="15" t="str">
        <f>IF(D129="","",VLOOKUP(D129,'G-7 WaterC'' Data'!B$4:M$8,12,FALSE))</f>
        <v/>
      </c>
      <c r="AV129" s="15" t="str">
        <f t="shared" si="17"/>
        <v/>
      </c>
    </row>
    <row r="130" spans="3:48" ht="14" x14ac:dyDescent="0.3">
      <c r="C130" s="92">
        <v>121</v>
      </c>
      <c r="D130" s="271"/>
      <c r="E130" s="120"/>
      <c r="F130" s="290" t="str">
        <f>IF(D130="","",VLOOKUP(D130,'G-7 WaterC'' Data'!$B$2:$G$8,2,FALSE))</f>
        <v/>
      </c>
      <c r="G130" s="291" t="str">
        <f>IFERROR(VLOOKUP(F130,'G-7 WaterC'' Data'!$C$4:$D$8,2,FALSE),"")</f>
        <v/>
      </c>
      <c r="H130" s="38"/>
      <c r="I130" s="291" t="str">
        <f>IFERROR(INDEX('G-7 WaterC'' Data'!$H$4:$L$8,MATCH(D130,'G-7 WaterC'' Data'!$B$4:$B$8,0),MATCH(H130,'G-7 WaterC'' Data'!$H$3:$L$3,0)),"")</f>
        <v/>
      </c>
      <c r="J130" s="777"/>
      <c r="K130" s="325" t="str">
        <f>IF(J130="","",IF(VLOOKUP(J130,'G-7 WaterC'' Data'!$AK$4:$AM$6,2,FALSE)=0,"Spatial Data Missing ⚠",VLOOKUP(J130,'G-7 WaterC'' Data'!$AK$4:$AM$6,2,FALSE)))</f>
        <v/>
      </c>
      <c r="L130" s="296" t="str">
        <f>IF(J130="","",IF(VLOOKUP(J130,'G-7 WaterC'' Data'!$AK$4:$AM$9,3,FALSE)=0,"Spatial Data Missing ⚠",VLOOKUP(J130,'G-7 WaterC'' Data'!$AK$4:$AM$6,3,FALSE)))</f>
        <v/>
      </c>
      <c r="M130" s="38"/>
      <c r="N130" s="291" t="str">
        <f>IF(M130="","",IF(AND(D130&lt;&gt;"Culvert",M130="N/A - Culvert"),"Not possible ▲",IF(AND(D130="Culvert",M130&lt;&gt;"N/A - Culvert"),"Not possible ▲",IF(VLOOKUP(M130,'G-7 WaterC'' Data'!$AA$4:$AB$7,2,FALSE)=0,"Spatial Data Missing ⚠",VLOOKUP(M130,'G-7 WaterC'' Data'!$AA$4:$AB$7,2,FALSE)))))</f>
        <v/>
      </c>
      <c r="O130" s="44"/>
      <c r="P130" s="291" t="str">
        <f>IF(O130="","",IF(AND(O130="N/A - Culvert", D130&lt;&gt;"Culvert"),"Not possible ▲", IF(AND(D130="Culvert",O130&lt;&gt;"N/A - Culvert"),"Not possible ▲",IF(VLOOKUP(O130,'G-7 WaterC'' Data'!$AD$4:$AE$14,2,FALSE)=0,"Spatial Data Missing ⚠",VLOOKUP(O130,'G-7 WaterC'' Data'!$AD$4:$AE$14,2,FALSE)))))</f>
        <v/>
      </c>
      <c r="Q130" s="297" t="str">
        <f>IF(D130="","",VLOOKUP(D130,'G-7 WaterC'' Data'!$B$2:$G$8,6,FALSE))</f>
        <v/>
      </c>
      <c r="R130" s="304" t="str">
        <f>IFERROR(IF(AND(Q130='G-1 All Habitats'!$X$3, AE130&gt;0, U130&lt;=0, V130&lt;=0, OR(AA130="No", AA130="")),"Any Loss Unacceptable ⚠", (IF(AND(Q130='G-1 All Habitats'!$X$3, AE130&gt;0, U130&lt;=0, V130&lt;=0, AA130="Yes"), 0, (IF(AND(Q130='G-1 All Habitats'!$X$3,(U130+V130)&lt;E130, OR(AA130="No", AA130="")),"Any Loss Unacceptable ⚠", (IF(AND(Q130='G-1 All Habitats'!$X$3,(U130+V130)&gt;E130), E130*G130*I130*L130*N130*P130, (IF(Q130="","",IF(AND(Q130='G-1 All Habitats'!$X$3,V130&gt;0),W130+X130,IF(AND(Q130='G-1 All Habitats'!$X$3,U130&gt;0), W130+X130, IF(AND(S130="Yes", V130&gt;(E130-U130)),(E130-U130)*G130*I130*L130*N130*P130, IF(AND(S130="Yes", V130&lt;=(E130-U130)), X130, E130*G130*I130*L130*N130*P130 ))))))))))))),"Check Data ▲")</f>
        <v/>
      </c>
      <c r="S130" s="671" t="str">
        <f t="shared" si="9"/>
        <v/>
      </c>
      <c r="T130" s="17"/>
      <c r="U130" s="95"/>
      <c r="V130" s="106"/>
      <c r="W130" s="302" t="str">
        <f t="shared" si="10"/>
        <v/>
      </c>
      <c r="X130" s="302" t="str">
        <f t="shared" si="11"/>
        <v/>
      </c>
      <c r="Y130" s="302" t="str">
        <f t="shared" si="12"/>
        <v/>
      </c>
      <c r="Z130" s="471" t="str">
        <f t="shared" si="13"/>
        <v/>
      </c>
      <c r="AA130" s="488"/>
      <c r="AB130" s="486"/>
      <c r="AC130" s="101"/>
      <c r="AD130" s="101"/>
      <c r="AE130" s="41" t="str">
        <f>IF(OR(Q130="",AA130="Yes"),"",IF(Q130='G-1 All Habitats'!$X$3,E130-U130-V130,"None"))</f>
        <v/>
      </c>
      <c r="AF130" s="42" t="str">
        <f>IF(Q130="","", IF(Q130='G-1 All Habitats'!$X$3, AE130*G130*I130*L130*N130*P130,"None"))</f>
        <v/>
      </c>
      <c r="AI130" s="15">
        <f t="shared" si="14"/>
        <v>0</v>
      </c>
      <c r="AJ130" s="105" t="str">
        <f t="shared" si="15"/>
        <v/>
      </c>
      <c r="AK130" s="105" t="str">
        <f t="shared" si="16"/>
        <v/>
      </c>
      <c r="AM130" s="105">
        <v>121</v>
      </c>
      <c r="AO130" s="105" t="str">
        <f t="array" ref="AO130">IFERROR(INDEX($AM$10:$AM$258, MATCH(0, IF(TRUE=$AJ$10:$AJ$258, COUNTIF($AO$9:$AO129, $AM$10:$AM$258), ""), 0)),"")</f>
        <v/>
      </c>
      <c r="AP130" s="105" t="str">
        <f t="array" ref="AP130">IFERROR(INDEX($AM$10:$AM$258, MATCH(0, IF(TRUE=$AK$10:$AK$258, COUNTIF($AP$9:$AP129, $AM$10:$AM$258), ""), 0)),"")</f>
        <v/>
      </c>
      <c r="AR130" s="15" t="str">
        <f>IFERROR(INDEX('G-7 WaterC'' Data'!$AZ$3:$AZ$7,MATCH(D130,'G-7 WaterC'' Data'!$AY$3:$AY$7,0)),"")</f>
        <v/>
      </c>
      <c r="AS130" s="15" t="str">
        <f>IFERROR(INDEX('G-7 WaterC'' Data'!AZ130:AZ134,MATCH(D130,'G-7 WaterC'' Data'!$AY$10:$AY$14,0)),"")</f>
        <v/>
      </c>
      <c r="AU130" s="15" t="str">
        <f>IF(D130="","",VLOOKUP(D130,'G-7 WaterC'' Data'!B$4:M$8,12,FALSE))</f>
        <v/>
      </c>
      <c r="AV130" s="15" t="str">
        <f t="shared" si="17"/>
        <v/>
      </c>
    </row>
    <row r="131" spans="3:48" ht="14" x14ac:dyDescent="0.3">
      <c r="C131" s="92">
        <v>122</v>
      </c>
      <c r="D131" s="271"/>
      <c r="E131" s="120"/>
      <c r="F131" s="290" t="str">
        <f>IF(D131="","",VLOOKUP(D131,'G-7 WaterC'' Data'!$B$2:$G$8,2,FALSE))</f>
        <v/>
      </c>
      <c r="G131" s="291" t="str">
        <f>IFERROR(VLOOKUP(F131,'G-7 WaterC'' Data'!$C$4:$D$8,2,FALSE),"")</f>
        <v/>
      </c>
      <c r="H131" s="38"/>
      <c r="I131" s="291" t="str">
        <f>IFERROR(INDEX('G-7 WaterC'' Data'!$H$4:$L$8,MATCH(D131,'G-7 WaterC'' Data'!$B$4:$B$8,0),MATCH(H131,'G-7 WaterC'' Data'!$H$3:$L$3,0)),"")</f>
        <v/>
      </c>
      <c r="J131" s="777"/>
      <c r="K131" s="325" t="str">
        <f>IF(J131="","",IF(VLOOKUP(J131,'G-7 WaterC'' Data'!$AK$4:$AM$6,2,FALSE)=0,"Spatial Data Missing ⚠",VLOOKUP(J131,'G-7 WaterC'' Data'!$AK$4:$AM$6,2,FALSE)))</f>
        <v/>
      </c>
      <c r="L131" s="296" t="str">
        <f>IF(J131="","",IF(VLOOKUP(J131,'G-7 WaterC'' Data'!$AK$4:$AM$9,3,FALSE)=0,"Spatial Data Missing ⚠",VLOOKUP(J131,'G-7 WaterC'' Data'!$AK$4:$AM$6,3,FALSE)))</f>
        <v/>
      </c>
      <c r="M131" s="38"/>
      <c r="N131" s="291" t="str">
        <f>IF(M131="","",IF(AND(D131&lt;&gt;"Culvert",M131="N/A - Culvert"),"Not possible ▲",IF(AND(D131="Culvert",M131&lt;&gt;"N/A - Culvert"),"Not possible ▲",IF(VLOOKUP(M131,'G-7 WaterC'' Data'!$AA$4:$AB$7,2,FALSE)=0,"Spatial Data Missing ⚠",VLOOKUP(M131,'G-7 WaterC'' Data'!$AA$4:$AB$7,2,FALSE)))))</f>
        <v/>
      </c>
      <c r="O131" s="44"/>
      <c r="P131" s="291" t="str">
        <f>IF(O131="","",IF(AND(O131="N/A - Culvert", D131&lt;&gt;"Culvert"),"Not possible ▲", IF(AND(D131="Culvert",O131&lt;&gt;"N/A - Culvert"),"Not possible ▲",IF(VLOOKUP(O131,'G-7 WaterC'' Data'!$AD$4:$AE$14,2,FALSE)=0,"Spatial Data Missing ⚠",VLOOKUP(O131,'G-7 WaterC'' Data'!$AD$4:$AE$14,2,FALSE)))))</f>
        <v/>
      </c>
      <c r="Q131" s="297" t="str">
        <f>IF(D131="","",VLOOKUP(D131,'G-7 WaterC'' Data'!$B$2:$G$8,6,FALSE))</f>
        <v/>
      </c>
      <c r="R131" s="304" t="str">
        <f>IFERROR(IF(AND(Q131='G-1 All Habitats'!$X$3, AE131&gt;0, U131&lt;=0, V131&lt;=0, OR(AA131="No", AA131="")),"Any Loss Unacceptable ⚠", (IF(AND(Q131='G-1 All Habitats'!$X$3, AE131&gt;0, U131&lt;=0, V131&lt;=0, AA131="Yes"), 0, (IF(AND(Q131='G-1 All Habitats'!$X$3,(U131+V131)&lt;E131, OR(AA131="No", AA131="")),"Any Loss Unacceptable ⚠", (IF(AND(Q131='G-1 All Habitats'!$X$3,(U131+V131)&gt;E131), E131*G131*I131*L131*N131*P131, (IF(Q131="","",IF(AND(Q131='G-1 All Habitats'!$X$3,V131&gt;0),W131+X131,IF(AND(Q131='G-1 All Habitats'!$X$3,U131&gt;0), W131+X131, IF(AND(S131="Yes", V131&gt;(E131-U131)),(E131-U131)*G131*I131*L131*N131*P131, IF(AND(S131="Yes", V131&lt;=(E131-U131)), X131, E131*G131*I131*L131*N131*P131 ))))))))))))),"Check Data ▲")</f>
        <v/>
      </c>
      <c r="S131" s="671" t="str">
        <f t="shared" si="9"/>
        <v/>
      </c>
      <c r="T131" s="17"/>
      <c r="U131" s="95"/>
      <c r="V131" s="106"/>
      <c r="W131" s="302" t="str">
        <f t="shared" si="10"/>
        <v/>
      </c>
      <c r="X131" s="302" t="str">
        <f t="shared" si="11"/>
        <v/>
      </c>
      <c r="Y131" s="302" t="str">
        <f t="shared" si="12"/>
        <v/>
      </c>
      <c r="Z131" s="471" t="str">
        <f t="shared" si="13"/>
        <v/>
      </c>
      <c r="AA131" s="488"/>
      <c r="AB131" s="486"/>
      <c r="AC131" s="101"/>
      <c r="AD131" s="101"/>
      <c r="AE131" s="41" t="str">
        <f>IF(OR(Q131="",AA131="Yes"),"",IF(Q131='G-1 All Habitats'!$X$3,E131-U131-V131,"None"))</f>
        <v/>
      </c>
      <c r="AF131" s="42" t="str">
        <f>IF(Q131="","", IF(Q131='G-1 All Habitats'!$X$3, AE131*G131*I131*L131*N131*P131,"None"))</f>
        <v/>
      </c>
      <c r="AI131" s="15">
        <f t="shared" si="14"/>
        <v>0</v>
      </c>
      <c r="AJ131" s="105" t="str">
        <f t="shared" si="15"/>
        <v/>
      </c>
      <c r="AK131" s="105" t="str">
        <f t="shared" si="16"/>
        <v/>
      </c>
      <c r="AM131" s="105">
        <v>122</v>
      </c>
      <c r="AO131" s="105" t="str">
        <f t="array" ref="AO131">IFERROR(INDEX($AM$10:$AM$258, MATCH(0, IF(TRUE=$AJ$10:$AJ$258, COUNTIF($AO$9:$AO130, $AM$10:$AM$258), ""), 0)),"")</f>
        <v/>
      </c>
      <c r="AP131" s="105" t="str">
        <f t="array" ref="AP131">IFERROR(INDEX($AM$10:$AM$258, MATCH(0, IF(TRUE=$AK$10:$AK$258, COUNTIF($AP$9:$AP130, $AM$10:$AM$258), ""), 0)),"")</f>
        <v/>
      </c>
      <c r="AR131" s="15" t="str">
        <f>IFERROR(INDEX('G-7 WaterC'' Data'!$AZ$3:$AZ$7,MATCH(D131,'G-7 WaterC'' Data'!$AY$3:$AY$7,0)),"")</f>
        <v/>
      </c>
      <c r="AS131" s="15" t="str">
        <f>IFERROR(INDEX('G-7 WaterC'' Data'!AZ131:AZ135,MATCH(D131,'G-7 WaterC'' Data'!$AY$10:$AY$14,0)),"")</f>
        <v/>
      </c>
      <c r="AU131" s="15" t="str">
        <f>IF(D131="","",VLOOKUP(D131,'G-7 WaterC'' Data'!B$4:M$8,12,FALSE))</f>
        <v/>
      </c>
      <c r="AV131" s="15" t="str">
        <f t="shared" si="17"/>
        <v/>
      </c>
    </row>
    <row r="132" spans="3:48" ht="14" x14ac:dyDescent="0.3">
      <c r="C132" s="92">
        <v>123</v>
      </c>
      <c r="D132" s="271"/>
      <c r="E132" s="120"/>
      <c r="F132" s="290" t="str">
        <f>IF(D132="","",VLOOKUP(D132,'G-7 WaterC'' Data'!$B$2:$G$8,2,FALSE))</f>
        <v/>
      </c>
      <c r="G132" s="291" t="str">
        <f>IFERROR(VLOOKUP(F132,'G-7 WaterC'' Data'!$C$4:$D$8,2,FALSE),"")</f>
        <v/>
      </c>
      <c r="H132" s="38"/>
      <c r="I132" s="291" t="str">
        <f>IFERROR(INDEX('G-7 WaterC'' Data'!$H$4:$L$8,MATCH(D132,'G-7 WaterC'' Data'!$B$4:$B$8,0),MATCH(H132,'G-7 WaterC'' Data'!$H$3:$L$3,0)),"")</f>
        <v/>
      </c>
      <c r="J132" s="777"/>
      <c r="K132" s="325" t="str">
        <f>IF(J132="","",IF(VLOOKUP(J132,'G-7 WaterC'' Data'!$AK$4:$AM$6,2,FALSE)=0,"Spatial Data Missing ⚠",VLOOKUP(J132,'G-7 WaterC'' Data'!$AK$4:$AM$6,2,FALSE)))</f>
        <v/>
      </c>
      <c r="L132" s="296" t="str">
        <f>IF(J132="","",IF(VLOOKUP(J132,'G-7 WaterC'' Data'!$AK$4:$AM$9,3,FALSE)=0,"Spatial Data Missing ⚠",VLOOKUP(J132,'G-7 WaterC'' Data'!$AK$4:$AM$6,3,FALSE)))</f>
        <v/>
      </c>
      <c r="M132" s="38"/>
      <c r="N132" s="291" t="str">
        <f>IF(M132="","",IF(AND(D132&lt;&gt;"Culvert",M132="N/A - Culvert"),"Not possible ▲",IF(AND(D132="Culvert",M132&lt;&gt;"N/A - Culvert"),"Not possible ▲",IF(VLOOKUP(M132,'G-7 WaterC'' Data'!$AA$4:$AB$7,2,FALSE)=0,"Spatial Data Missing ⚠",VLOOKUP(M132,'G-7 WaterC'' Data'!$AA$4:$AB$7,2,FALSE)))))</f>
        <v/>
      </c>
      <c r="O132" s="44"/>
      <c r="P132" s="291" t="str">
        <f>IF(O132="","",IF(AND(O132="N/A - Culvert", D132&lt;&gt;"Culvert"),"Not possible ▲", IF(AND(D132="Culvert",O132&lt;&gt;"N/A - Culvert"),"Not possible ▲",IF(VLOOKUP(O132,'G-7 WaterC'' Data'!$AD$4:$AE$14,2,FALSE)=0,"Spatial Data Missing ⚠",VLOOKUP(O132,'G-7 WaterC'' Data'!$AD$4:$AE$14,2,FALSE)))))</f>
        <v/>
      </c>
      <c r="Q132" s="297" t="str">
        <f>IF(D132="","",VLOOKUP(D132,'G-7 WaterC'' Data'!$B$2:$G$8,6,FALSE))</f>
        <v/>
      </c>
      <c r="R132" s="304" t="str">
        <f>IFERROR(IF(AND(Q132='G-1 All Habitats'!$X$3, AE132&gt;0, U132&lt;=0, V132&lt;=0, OR(AA132="No", AA132="")),"Any Loss Unacceptable ⚠", (IF(AND(Q132='G-1 All Habitats'!$X$3, AE132&gt;0, U132&lt;=0, V132&lt;=0, AA132="Yes"), 0, (IF(AND(Q132='G-1 All Habitats'!$X$3,(U132+V132)&lt;E132, OR(AA132="No", AA132="")),"Any Loss Unacceptable ⚠", (IF(AND(Q132='G-1 All Habitats'!$X$3,(U132+V132)&gt;E132), E132*G132*I132*L132*N132*P132, (IF(Q132="","",IF(AND(Q132='G-1 All Habitats'!$X$3,V132&gt;0),W132+X132,IF(AND(Q132='G-1 All Habitats'!$X$3,U132&gt;0), W132+X132, IF(AND(S132="Yes", V132&gt;(E132-U132)),(E132-U132)*G132*I132*L132*N132*P132, IF(AND(S132="Yes", V132&lt;=(E132-U132)), X132, E132*G132*I132*L132*N132*P132 ))))))))))))),"Check Data ▲")</f>
        <v/>
      </c>
      <c r="S132" s="671" t="str">
        <f t="shared" si="9"/>
        <v/>
      </c>
      <c r="T132" s="17"/>
      <c r="U132" s="95"/>
      <c r="V132" s="106"/>
      <c r="W132" s="302" t="str">
        <f t="shared" si="10"/>
        <v/>
      </c>
      <c r="X132" s="302" t="str">
        <f t="shared" si="11"/>
        <v/>
      </c>
      <c r="Y132" s="302" t="str">
        <f t="shared" si="12"/>
        <v/>
      </c>
      <c r="Z132" s="471" t="str">
        <f t="shared" si="13"/>
        <v/>
      </c>
      <c r="AA132" s="488"/>
      <c r="AB132" s="486"/>
      <c r="AC132" s="101"/>
      <c r="AD132" s="101"/>
      <c r="AE132" s="41" t="str">
        <f>IF(OR(Q132="",AA132="Yes"),"",IF(Q132='G-1 All Habitats'!$X$3,E132-U132-V132,"None"))</f>
        <v/>
      </c>
      <c r="AF132" s="42" t="str">
        <f>IF(Q132="","", IF(Q132='G-1 All Habitats'!$X$3, AE132*G132*I132*L132*N132*P132,"None"))</f>
        <v/>
      </c>
      <c r="AI132" s="15">
        <f t="shared" si="14"/>
        <v>0</v>
      </c>
      <c r="AJ132" s="105" t="str">
        <f t="shared" si="15"/>
        <v/>
      </c>
      <c r="AK132" s="105" t="str">
        <f t="shared" si="16"/>
        <v/>
      </c>
      <c r="AM132" s="105">
        <v>123</v>
      </c>
      <c r="AO132" s="105" t="str">
        <f t="array" ref="AO132">IFERROR(INDEX($AM$10:$AM$258, MATCH(0, IF(TRUE=$AJ$10:$AJ$258, COUNTIF($AO$9:$AO131, $AM$10:$AM$258), ""), 0)),"")</f>
        <v/>
      </c>
      <c r="AP132" s="105" t="str">
        <f t="array" ref="AP132">IFERROR(INDEX($AM$10:$AM$258, MATCH(0, IF(TRUE=$AK$10:$AK$258, COUNTIF($AP$9:$AP131, $AM$10:$AM$258), ""), 0)),"")</f>
        <v/>
      </c>
      <c r="AR132" s="15" t="str">
        <f>IFERROR(INDEX('G-7 WaterC'' Data'!$AZ$3:$AZ$7,MATCH(D132,'G-7 WaterC'' Data'!$AY$3:$AY$7,0)),"")</f>
        <v/>
      </c>
      <c r="AS132" s="15" t="str">
        <f>IFERROR(INDEX('G-7 WaterC'' Data'!AZ132:AZ136,MATCH(D132,'G-7 WaterC'' Data'!$AY$10:$AY$14,0)),"")</f>
        <v/>
      </c>
      <c r="AU132" s="15" t="str">
        <f>IF(D132="","",VLOOKUP(D132,'G-7 WaterC'' Data'!B$4:M$8,12,FALSE))</f>
        <v/>
      </c>
      <c r="AV132" s="15" t="str">
        <f t="shared" si="17"/>
        <v/>
      </c>
    </row>
    <row r="133" spans="3:48" ht="14" x14ac:dyDescent="0.3">
      <c r="C133" s="92">
        <v>124</v>
      </c>
      <c r="D133" s="271"/>
      <c r="E133" s="120"/>
      <c r="F133" s="290" t="str">
        <f>IF(D133="","",VLOOKUP(D133,'G-7 WaterC'' Data'!$B$2:$G$8,2,FALSE))</f>
        <v/>
      </c>
      <c r="G133" s="291" t="str">
        <f>IFERROR(VLOOKUP(F133,'G-7 WaterC'' Data'!$C$4:$D$8,2,FALSE),"")</f>
        <v/>
      </c>
      <c r="H133" s="38"/>
      <c r="I133" s="291" t="str">
        <f>IFERROR(INDEX('G-7 WaterC'' Data'!$H$4:$L$8,MATCH(D133,'G-7 WaterC'' Data'!$B$4:$B$8,0),MATCH(H133,'G-7 WaterC'' Data'!$H$3:$L$3,0)),"")</f>
        <v/>
      </c>
      <c r="J133" s="777"/>
      <c r="K133" s="325" t="str">
        <f>IF(J133="","",IF(VLOOKUP(J133,'G-7 WaterC'' Data'!$AK$4:$AM$6,2,FALSE)=0,"Spatial Data Missing ⚠",VLOOKUP(J133,'G-7 WaterC'' Data'!$AK$4:$AM$6,2,FALSE)))</f>
        <v/>
      </c>
      <c r="L133" s="296" t="str">
        <f>IF(J133="","",IF(VLOOKUP(J133,'G-7 WaterC'' Data'!$AK$4:$AM$9,3,FALSE)=0,"Spatial Data Missing ⚠",VLOOKUP(J133,'G-7 WaterC'' Data'!$AK$4:$AM$6,3,FALSE)))</f>
        <v/>
      </c>
      <c r="M133" s="38"/>
      <c r="N133" s="291" t="str">
        <f>IF(M133="","",IF(AND(D133&lt;&gt;"Culvert",M133="N/A - Culvert"),"Not possible ▲",IF(AND(D133="Culvert",M133&lt;&gt;"N/A - Culvert"),"Not possible ▲",IF(VLOOKUP(M133,'G-7 WaterC'' Data'!$AA$4:$AB$7,2,FALSE)=0,"Spatial Data Missing ⚠",VLOOKUP(M133,'G-7 WaterC'' Data'!$AA$4:$AB$7,2,FALSE)))))</f>
        <v/>
      </c>
      <c r="O133" s="44"/>
      <c r="P133" s="291" t="str">
        <f>IF(O133="","",IF(AND(O133="N/A - Culvert", D133&lt;&gt;"Culvert"),"Not possible ▲", IF(AND(D133="Culvert",O133&lt;&gt;"N/A - Culvert"),"Not possible ▲",IF(VLOOKUP(O133,'G-7 WaterC'' Data'!$AD$4:$AE$14,2,FALSE)=0,"Spatial Data Missing ⚠",VLOOKUP(O133,'G-7 WaterC'' Data'!$AD$4:$AE$14,2,FALSE)))))</f>
        <v/>
      </c>
      <c r="Q133" s="297" t="str">
        <f>IF(D133="","",VLOOKUP(D133,'G-7 WaterC'' Data'!$B$2:$G$8,6,FALSE))</f>
        <v/>
      </c>
      <c r="R133" s="304" t="str">
        <f>IFERROR(IF(AND(Q133='G-1 All Habitats'!$X$3, AE133&gt;0, U133&lt;=0, V133&lt;=0, OR(AA133="No", AA133="")),"Any Loss Unacceptable ⚠", (IF(AND(Q133='G-1 All Habitats'!$X$3, AE133&gt;0, U133&lt;=0, V133&lt;=0, AA133="Yes"), 0, (IF(AND(Q133='G-1 All Habitats'!$X$3,(U133+V133)&lt;E133, OR(AA133="No", AA133="")),"Any Loss Unacceptable ⚠", (IF(AND(Q133='G-1 All Habitats'!$X$3,(U133+V133)&gt;E133), E133*G133*I133*L133*N133*P133, (IF(Q133="","",IF(AND(Q133='G-1 All Habitats'!$X$3,V133&gt;0),W133+X133,IF(AND(Q133='G-1 All Habitats'!$X$3,U133&gt;0), W133+X133, IF(AND(S133="Yes", V133&gt;(E133-U133)),(E133-U133)*G133*I133*L133*N133*P133, IF(AND(S133="Yes", V133&lt;=(E133-U133)), X133, E133*G133*I133*L133*N133*P133 ))))))))))))),"Check Data ▲")</f>
        <v/>
      </c>
      <c r="S133" s="671" t="str">
        <f t="shared" si="9"/>
        <v/>
      </c>
      <c r="T133" s="17"/>
      <c r="U133" s="95"/>
      <c r="V133" s="106"/>
      <c r="W133" s="302" t="str">
        <f t="shared" si="10"/>
        <v/>
      </c>
      <c r="X133" s="302" t="str">
        <f t="shared" si="11"/>
        <v/>
      </c>
      <c r="Y133" s="302" t="str">
        <f t="shared" si="12"/>
        <v/>
      </c>
      <c r="Z133" s="471" t="str">
        <f t="shared" si="13"/>
        <v/>
      </c>
      <c r="AA133" s="488"/>
      <c r="AB133" s="486"/>
      <c r="AC133" s="101"/>
      <c r="AD133" s="101"/>
      <c r="AE133" s="41" t="str">
        <f>IF(OR(Q133="",AA133="Yes"),"",IF(Q133='G-1 All Habitats'!$X$3,E133-U133-V133,"None"))</f>
        <v/>
      </c>
      <c r="AF133" s="42" t="str">
        <f>IF(Q133="","", IF(Q133='G-1 All Habitats'!$X$3, AE133*G133*I133*L133*N133*P133,"None"))</f>
        <v/>
      </c>
      <c r="AI133" s="15">
        <f t="shared" si="14"/>
        <v>0</v>
      </c>
      <c r="AJ133" s="105" t="str">
        <f t="shared" si="15"/>
        <v/>
      </c>
      <c r="AK133" s="105" t="str">
        <f t="shared" si="16"/>
        <v/>
      </c>
      <c r="AM133" s="105">
        <v>124</v>
      </c>
      <c r="AO133" s="105" t="str">
        <f t="array" ref="AO133">IFERROR(INDEX($AM$10:$AM$258, MATCH(0, IF(TRUE=$AJ$10:$AJ$258, COUNTIF($AO$9:$AO132, $AM$10:$AM$258), ""), 0)),"")</f>
        <v/>
      </c>
      <c r="AP133" s="105" t="str">
        <f t="array" ref="AP133">IFERROR(INDEX($AM$10:$AM$258, MATCH(0, IF(TRUE=$AK$10:$AK$258, COUNTIF($AP$9:$AP132, $AM$10:$AM$258), ""), 0)),"")</f>
        <v/>
      </c>
      <c r="AR133" s="15" t="str">
        <f>IFERROR(INDEX('G-7 WaterC'' Data'!$AZ$3:$AZ$7,MATCH(D133,'G-7 WaterC'' Data'!$AY$3:$AY$7,0)),"")</f>
        <v/>
      </c>
      <c r="AS133" s="15" t="str">
        <f>IFERROR(INDEX('G-7 WaterC'' Data'!AZ133:AZ137,MATCH(D133,'G-7 WaterC'' Data'!$AY$10:$AY$14,0)),"")</f>
        <v/>
      </c>
      <c r="AU133" s="15" t="str">
        <f>IF(D133="","",VLOOKUP(D133,'G-7 WaterC'' Data'!B$4:M$8,12,FALSE))</f>
        <v/>
      </c>
      <c r="AV133" s="15" t="str">
        <f t="shared" si="17"/>
        <v/>
      </c>
    </row>
    <row r="134" spans="3:48" ht="14" x14ac:dyDescent="0.3">
      <c r="C134" s="92">
        <v>125</v>
      </c>
      <c r="D134" s="271"/>
      <c r="E134" s="120"/>
      <c r="F134" s="290" t="str">
        <f>IF(D134="","",VLOOKUP(D134,'G-7 WaterC'' Data'!$B$2:$G$8,2,FALSE))</f>
        <v/>
      </c>
      <c r="G134" s="291" t="str">
        <f>IFERROR(VLOOKUP(F134,'G-7 WaterC'' Data'!$C$4:$D$8,2,FALSE),"")</f>
        <v/>
      </c>
      <c r="H134" s="38"/>
      <c r="I134" s="291" t="str">
        <f>IFERROR(INDEX('G-7 WaterC'' Data'!$H$4:$L$8,MATCH(D134,'G-7 WaterC'' Data'!$B$4:$B$8,0),MATCH(H134,'G-7 WaterC'' Data'!$H$3:$L$3,0)),"")</f>
        <v/>
      </c>
      <c r="J134" s="777"/>
      <c r="K134" s="325" t="str">
        <f>IF(J134="","",IF(VLOOKUP(J134,'G-7 WaterC'' Data'!$AK$4:$AM$6,2,FALSE)=0,"Spatial Data Missing ⚠",VLOOKUP(J134,'G-7 WaterC'' Data'!$AK$4:$AM$6,2,FALSE)))</f>
        <v/>
      </c>
      <c r="L134" s="296" t="str">
        <f>IF(J134="","",IF(VLOOKUP(J134,'G-7 WaterC'' Data'!$AK$4:$AM$9,3,FALSE)=0,"Spatial Data Missing ⚠",VLOOKUP(J134,'G-7 WaterC'' Data'!$AK$4:$AM$6,3,FALSE)))</f>
        <v/>
      </c>
      <c r="M134" s="38"/>
      <c r="N134" s="291" t="str">
        <f>IF(M134="","",IF(AND(D134&lt;&gt;"Culvert",M134="N/A - Culvert"),"Not possible ▲",IF(AND(D134="Culvert",M134&lt;&gt;"N/A - Culvert"),"Not possible ▲",IF(VLOOKUP(M134,'G-7 WaterC'' Data'!$AA$4:$AB$7,2,FALSE)=0,"Spatial Data Missing ⚠",VLOOKUP(M134,'G-7 WaterC'' Data'!$AA$4:$AB$7,2,FALSE)))))</f>
        <v/>
      </c>
      <c r="O134" s="44"/>
      <c r="P134" s="291" t="str">
        <f>IF(O134="","",IF(AND(O134="N/A - Culvert", D134&lt;&gt;"Culvert"),"Not possible ▲", IF(AND(D134="Culvert",O134&lt;&gt;"N/A - Culvert"),"Not possible ▲",IF(VLOOKUP(O134,'G-7 WaterC'' Data'!$AD$4:$AE$14,2,FALSE)=0,"Spatial Data Missing ⚠",VLOOKUP(O134,'G-7 WaterC'' Data'!$AD$4:$AE$14,2,FALSE)))))</f>
        <v/>
      </c>
      <c r="Q134" s="297" t="str">
        <f>IF(D134="","",VLOOKUP(D134,'G-7 WaterC'' Data'!$B$2:$G$8,6,FALSE))</f>
        <v/>
      </c>
      <c r="R134" s="304" t="str">
        <f>IFERROR(IF(AND(Q134='G-1 All Habitats'!$X$3, AE134&gt;0, U134&lt;=0, V134&lt;=0, OR(AA134="No", AA134="")),"Any Loss Unacceptable ⚠", (IF(AND(Q134='G-1 All Habitats'!$X$3, AE134&gt;0, U134&lt;=0, V134&lt;=0, AA134="Yes"), 0, (IF(AND(Q134='G-1 All Habitats'!$X$3,(U134+V134)&lt;E134, OR(AA134="No", AA134="")),"Any Loss Unacceptable ⚠", (IF(AND(Q134='G-1 All Habitats'!$X$3,(U134+V134)&gt;E134), E134*G134*I134*L134*N134*P134, (IF(Q134="","",IF(AND(Q134='G-1 All Habitats'!$X$3,V134&gt;0),W134+X134,IF(AND(Q134='G-1 All Habitats'!$X$3,U134&gt;0), W134+X134, IF(AND(S134="Yes", V134&gt;(E134-U134)),(E134-U134)*G134*I134*L134*N134*P134, IF(AND(S134="Yes", V134&lt;=(E134-U134)), X134, E134*G134*I134*L134*N134*P134 ))))))))))))),"Check Data ▲")</f>
        <v/>
      </c>
      <c r="S134" s="671" t="str">
        <f t="shared" si="9"/>
        <v/>
      </c>
      <c r="T134" s="17"/>
      <c r="U134" s="95"/>
      <c r="V134" s="106"/>
      <c r="W134" s="302" t="str">
        <f t="shared" si="10"/>
        <v/>
      </c>
      <c r="X134" s="302" t="str">
        <f t="shared" si="11"/>
        <v/>
      </c>
      <c r="Y134" s="302" t="str">
        <f t="shared" si="12"/>
        <v/>
      </c>
      <c r="Z134" s="471" t="str">
        <f t="shared" si="13"/>
        <v/>
      </c>
      <c r="AA134" s="488"/>
      <c r="AB134" s="486"/>
      <c r="AC134" s="101"/>
      <c r="AD134" s="101"/>
      <c r="AE134" s="41" t="str">
        <f>IF(OR(Q134="",AA134="Yes"),"",IF(Q134='G-1 All Habitats'!$X$3,E134-U134-V134,"None"))</f>
        <v/>
      </c>
      <c r="AF134" s="42" t="str">
        <f>IF(Q134="","", IF(Q134='G-1 All Habitats'!$X$3, AE134*G134*I134*L134*N134*P134,"None"))</f>
        <v/>
      </c>
      <c r="AI134" s="15">
        <f t="shared" si="14"/>
        <v>0</v>
      </c>
      <c r="AJ134" s="105" t="str">
        <f t="shared" si="15"/>
        <v/>
      </c>
      <c r="AK134" s="105" t="str">
        <f t="shared" si="16"/>
        <v/>
      </c>
      <c r="AM134" s="105">
        <v>125</v>
      </c>
      <c r="AO134" s="105" t="str">
        <f t="array" ref="AO134">IFERROR(INDEX($AM$10:$AM$258, MATCH(0, IF(TRUE=$AJ$10:$AJ$258, COUNTIF($AO$9:$AO133, $AM$10:$AM$258), ""), 0)),"")</f>
        <v/>
      </c>
      <c r="AP134" s="105" t="str">
        <f t="array" ref="AP134">IFERROR(INDEX($AM$10:$AM$258, MATCH(0, IF(TRUE=$AK$10:$AK$258, COUNTIF($AP$9:$AP133, $AM$10:$AM$258), ""), 0)),"")</f>
        <v/>
      </c>
      <c r="AR134" s="15" t="str">
        <f>IFERROR(INDEX('G-7 WaterC'' Data'!$AZ$3:$AZ$7,MATCH(D134,'G-7 WaterC'' Data'!$AY$3:$AY$7,0)),"")</f>
        <v/>
      </c>
      <c r="AS134" s="15" t="str">
        <f>IFERROR(INDEX('G-7 WaterC'' Data'!AZ134:AZ138,MATCH(D134,'G-7 WaterC'' Data'!$AY$10:$AY$14,0)),"")</f>
        <v/>
      </c>
      <c r="AU134" s="15" t="str">
        <f>IF(D134="","",VLOOKUP(D134,'G-7 WaterC'' Data'!B$4:M$8,12,FALSE))</f>
        <v/>
      </c>
      <c r="AV134" s="15" t="str">
        <f t="shared" si="17"/>
        <v/>
      </c>
    </row>
    <row r="135" spans="3:48" ht="14" x14ac:dyDescent="0.3">
      <c r="C135" s="92">
        <v>126</v>
      </c>
      <c r="D135" s="271"/>
      <c r="E135" s="120"/>
      <c r="F135" s="290" t="str">
        <f>IF(D135="","",VLOOKUP(D135,'G-7 WaterC'' Data'!$B$2:$G$8,2,FALSE))</f>
        <v/>
      </c>
      <c r="G135" s="291" t="str">
        <f>IFERROR(VLOOKUP(F135,'G-7 WaterC'' Data'!$C$4:$D$8,2,FALSE),"")</f>
        <v/>
      </c>
      <c r="H135" s="38"/>
      <c r="I135" s="291" t="str">
        <f>IFERROR(INDEX('G-7 WaterC'' Data'!$H$4:$L$8,MATCH(D135,'G-7 WaterC'' Data'!$B$4:$B$8,0),MATCH(H135,'G-7 WaterC'' Data'!$H$3:$L$3,0)),"")</f>
        <v/>
      </c>
      <c r="J135" s="777"/>
      <c r="K135" s="325" t="str">
        <f>IF(J135="","",IF(VLOOKUP(J135,'G-7 WaterC'' Data'!$AK$4:$AM$6,2,FALSE)=0,"Spatial Data Missing ⚠",VLOOKUP(J135,'G-7 WaterC'' Data'!$AK$4:$AM$6,2,FALSE)))</f>
        <v/>
      </c>
      <c r="L135" s="296" t="str">
        <f>IF(J135="","",IF(VLOOKUP(J135,'G-7 WaterC'' Data'!$AK$4:$AM$9,3,FALSE)=0,"Spatial Data Missing ⚠",VLOOKUP(J135,'G-7 WaterC'' Data'!$AK$4:$AM$6,3,FALSE)))</f>
        <v/>
      </c>
      <c r="M135" s="38"/>
      <c r="N135" s="291" t="str">
        <f>IF(M135="","",IF(AND(D135&lt;&gt;"Culvert",M135="N/A - Culvert"),"Not possible ▲",IF(AND(D135="Culvert",M135&lt;&gt;"N/A - Culvert"),"Not possible ▲",IF(VLOOKUP(M135,'G-7 WaterC'' Data'!$AA$4:$AB$7,2,FALSE)=0,"Spatial Data Missing ⚠",VLOOKUP(M135,'G-7 WaterC'' Data'!$AA$4:$AB$7,2,FALSE)))))</f>
        <v/>
      </c>
      <c r="O135" s="44"/>
      <c r="P135" s="291" t="str">
        <f>IF(O135="","",IF(AND(O135="N/A - Culvert", D135&lt;&gt;"Culvert"),"Not possible ▲", IF(AND(D135="Culvert",O135&lt;&gt;"N/A - Culvert"),"Not possible ▲",IF(VLOOKUP(O135,'G-7 WaterC'' Data'!$AD$4:$AE$14,2,FALSE)=0,"Spatial Data Missing ⚠",VLOOKUP(O135,'G-7 WaterC'' Data'!$AD$4:$AE$14,2,FALSE)))))</f>
        <v/>
      </c>
      <c r="Q135" s="297" t="str">
        <f>IF(D135="","",VLOOKUP(D135,'G-7 WaterC'' Data'!$B$2:$G$8,6,FALSE))</f>
        <v/>
      </c>
      <c r="R135" s="304" t="str">
        <f>IFERROR(IF(AND(Q135='G-1 All Habitats'!$X$3, AE135&gt;0, U135&lt;=0, V135&lt;=0, OR(AA135="No", AA135="")),"Any Loss Unacceptable ⚠", (IF(AND(Q135='G-1 All Habitats'!$X$3, AE135&gt;0, U135&lt;=0, V135&lt;=0, AA135="Yes"), 0, (IF(AND(Q135='G-1 All Habitats'!$X$3,(U135+V135)&lt;E135, OR(AA135="No", AA135="")),"Any Loss Unacceptable ⚠", (IF(AND(Q135='G-1 All Habitats'!$X$3,(U135+V135)&gt;E135), E135*G135*I135*L135*N135*P135, (IF(Q135="","",IF(AND(Q135='G-1 All Habitats'!$X$3,V135&gt;0),W135+X135,IF(AND(Q135='G-1 All Habitats'!$X$3,U135&gt;0), W135+X135, IF(AND(S135="Yes", V135&gt;(E135-U135)),(E135-U135)*G135*I135*L135*N135*P135, IF(AND(S135="Yes", V135&lt;=(E135-U135)), X135, E135*G135*I135*L135*N135*P135 ))))))))))))),"Check Data ▲")</f>
        <v/>
      </c>
      <c r="S135" s="671" t="str">
        <f t="shared" si="9"/>
        <v/>
      </c>
      <c r="T135" s="17"/>
      <c r="U135" s="95"/>
      <c r="V135" s="106"/>
      <c r="W135" s="302" t="str">
        <f t="shared" si="10"/>
        <v/>
      </c>
      <c r="X135" s="302" t="str">
        <f t="shared" si="11"/>
        <v/>
      </c>
      <c r="Y135" s="302" t="str">
        <f t="shared" si="12"/>
        <v/>
      </c>
      <c r="Z135" s="471" t="str">
        <f t="shared" si="13"/>
        <v/>
      </c>
      <c r="AA135" s="488"/>
      <c r="AB135" s="486"/>
      <c r="AC135" s="101"/>
      <c r="AD135" s="101"/>
      <c r="AE135" s="41" t="str">
        <f>IF(OR(Q135="",AA135="Yes"),"",IF(Q135='G-1 All Habitats'!$X$3,E135-U135-V135,"None"))</f>
        <v/>
      </c>
      <c r="AF135" s="42" t="str">
        <f>IF(Q135="","", IF(Q135='G-1 All Habitats'!$X$3, AE135*G135*I135*L135*N135*P135,"None"))</f>
        <v/>
      </c>
      <c r="AI135" s="15">
        <f t="shared" si="14"/>
        <v>0</v>
      </c>
      <c r="AJ135" s="105" t="str">
        <f t="shared" si="15"/>
        <v/>
      </c>
      <c r="AK135" s="105" t="str">
        <f t="shared" si="16"/>
        <v/>
      </c>
      <c r="AM135" s="105">
        <v>126</v>
      </c>
      <c r="AO135" s="105" t="str">
        <f t="array" ref="AO135">IFERROR(INDEX($AM$10:$AM$258, MATCH(0, IF(TRUE=$AJ$10:$AJ$258, COUNTIF($AO$9:$AO134, $AM$10:$AM$258), ""), 0)),"")</f>
        <v/>
      </c>
      <c r="AP135" s="105" t="str">
        <f t="array" ref="AP135">IFERROR(INDEX($AM$10:$AM$258, MATCH(0, IF(TRUE=$AK$10:$AK$258, COUNTIF($AP$9:$AP134, $AM$10:$AM$258), ""), 0)),"")</f>
        <v/>
      </c>
      <c r="AR135" s="15" t="str">
        <f>IFERROR(INDEX('G-7 WaterC'' Data'!$AZ$3:$AZ$7,MATCH(D135,'G-7 WaterC'' Data'!$AY$3:$AY$7,0)),"")</f>
        <v/>
      </c>
      <c r="AS135" s="15" t="str">
        <f>IFERROR(INDEX('G-7 WaterC'' Data'!AZ135:AZ139,MATCH(D135,'G-7 WaterC'' Data'!$AY$10:$AY$14,0)),"")</f>
        <v/>
      </c>
      <c r="AU135" s="15" t="str">
        <f>IF(D135="","",VLOOKUP(D135,'G-7 WaterC'' Data'!B$4:M$8,12,FALSE))</f>
        <v/>
      </c>
      <c r="AV135" s="15" t="str">
        <f t="shared" si="17"/>
        <v/>
      </c>
    </row>
    <row r="136" spans="3:48" ht="14" x14ac:dyDescent="0.3">
      <c r="C136" s="92">
        <v>127</v>
      </c>
      <c r="D136" s="271"/>
      <c r="E136" s="120"/>
      <c r="F136" s="290" t="str">
        <f>IF(D136="","",VLOOKUP(D136,'G-7 WaterC'' Data'!$B$2:$G$8,2,FALSE))</f>
        <v/>
      </c>
      <c r="G136" s="291" t="str">
        <f>IFERROR(VLOOKUP(F136,'G-7 WaterC'' Data'!$C$4:$D$8,2,FALSE),"")</f>
        <v/>
      </c>
      <c r="H136" s="38"/>
      <c r="I136" s="291" t="str">
        <f>IFERROR(INDEX('G-7 WaterC'' Data'!$H$4:$L$8,MATCH(D136,'G-7 WaterC'' Data'!$B$4:$B$8,0),MATCH(H136,'G-7 WaterC'' Data'!$H$3:$L$3,0)),"")</f>
        <v/>
      </c>
      <c r="J136" s="777"/>
      <c r="K136" s="325" t="str">
        <f>IF(J136="","",IF(VLOOKUP(J136,'G-7 WaterC'' Data'!$AK$4:$AM$6,2,FALSE)=0,"Spatial Data Missing ⚠",VLOOKUP(J136,'G-7 WaterC'' Data'!$AK$4:$AM$6,2,FALSE)))</f>
        <v/>
      </c>
      <c r="L136" s="296" t="str">
        <f>IF(J136="","",IF(VLOOKUP(J136,'G-7 WaterC'' Data'!$AK$4:$AM$9,3,FALSE)=0,"Spatial Data Missing ⚠",VLOOKUP(J136,'G-7 WaterC'' Data'!$AK$4:$AM$6,3,FALSE)))</f>
        <v/>
      </c>
      <c r="M136" s="38"/>
      <c r="N136" s="291" t="str">
        <f>IF(M136="","",IF(AND(D136&lt;&gt;"Culvert",M136="N/A - Culvert"),"Not possible ▲",IF(AND(D136="Culvert",M136&lt;&gt;"N/A - Culvert"),"Not possible ▲",IF(VLOOKUP(M136,'G-7 WaterC'' Data'!$AA$4:$AB$7,2,FALSE)=0,"Spatial Data Missing ⚠",VLOOKUP(M136,'G-7 WaterC'' Data'!$AA$4:$AB$7,2,FALSE)))))</f>
        <v/>
      </c>
      <c r="O136" s="44"/>
      <c r="P136" s="291" t="str">
        <f>IF(O136="","",IF(AND(O136="N/A - Culvert", D136&lt;&gt;"Culvert"),"Not possible ▲", IF(AND(D136="Culvert",O136&lt;&gt;"N/A - Culvert"),"Not possible ▲",IF(VLOOKUP(O136,'G-7 WaterC'' Data'!$AD$4:$AE$14,2,FALSE)=0,"Spatial Data Missing ⚠",VLOOKUP(O136,'G-7 WaterC'' Data'!$AD$4:$AE$14,2,FALSE)))))</f>
        <v/>
      </c>
      <c r="Q136" s="297" t="str">
        <f>IF(D136="","",VLOOKUP(D136,'G-7 WaterC'' Data'!$B$2:$G$8,6,FALSE))</f>
        <v/>
      </c>
      <c r="R136" s="304" t="str">
        <f>IFERROR(IF(AND(Q136='G-1 All Habitats'!$X$3, AE136&gt;0, U136&lt;=0, V136&lt;=0, OR(AA136="No", AA136="")),"Any Loss Unacceptable ⚠", (IF(AND(Q136='G-1 All Habitats'!$X$3, AE136&gt;0, U136&lt;=0, V136&lt;=0, AA136="Yes"), 0, (IF(AND(Q136='G-1 All Habitats'!$X$3,(U136+V136)&lt;E136, OR(AA136="No", AA136="")),"Any Loss Unacceptable ⚠", (IF(AND(Q136='G-1 All Habitats'!$X$3,(U136+V136)&gt;E136), E136*G136*I136*L136*N136*P136, (IF(Q136="","",IF(AND(Q136='G-1 All Habitats'!$X$3,V136&gt;0),W136+X136,IF(AND(Q136='G-1 All Habitats'!$X$3,U136&gt;0), W136+X136, IF(AND(S136="Yes", V136&gt;(E136-U136)),(E136-U136)*G136*I136*L136*N136*P136, IF(AND(S136="Yes", V136&lt;=(E136-U136)), X136, E136*G136*I136*L136*N136*P136 ))))))))))))),"Check Data ▲")</f>
        <v/>
      </c>
      <c r="S136" s="671" t="str">
        <f t="shared" si="9"/>
        <v/>
      </c>
      <c r="T136" s="17"/>
      <c r="U136" s="95"/>
      <c r="V136" s="106"/>
      <c r="W136" s="302" t="str">
        <f t="shared" si="10"/>
        <v/>
      </c>
      <c r="X136" s="302" t="str">
        <f t="shared" si="11"/>
        <v/>
      </c>
      <c r="Y136" s="302" t="str">
        <f t="shared" si="12"/>
        <v/>
      </c>
      <c r="Z136" s="471" t="str">
        <f t="shared" si="13"/>
        <v/>
      </c>
      <c r="AA136" s="488"/>
      <c r="AB136" s="486"/>
      <c r="AC136" s="101"/>
      <c r="AD136" s="101"/>
      <c r="AE136" s="41" t="str">
        <f>IF(OR(Q136="",AA136="Yes"),"",IF(Q136='G-1 All Habitats'!$X$3,E136-U136-V136,"None"))</f>
        <v/>
      </c>
      <c r="AF136" s="42" t="str">
        <f>IF(Q136="","", IF(Q136='G-1 All Habitats'!$X$3, AE136*G136*I136*L136*N136*P136,"None"))</f>
        <v/>
      </c>
      <c r="AI136" s="15">
        <f t="shared" si="14"/>
        <v>0</v>
      </c>
      <c r="AJ136" s="105" t="str">
        <f t="shared" si="15"/>
        <v/>
      </c>
      <c r="AK136" s="105" t="str">
        <f t="shared" si="16"/>
        <v/>
      </c>
      <c r="AM136" s="105">
        <v>127</v>
      </c>
      <c r="AO136" s="105" t="str">
        <f t="array" ref="AO136">IFERROR(INDEX($AM$10:$AM$258, MATCH(0, IF(TRUE=$AJ$10:$AJ$258, COUNTIF($AO$9:$AO135, $AM$10:$AM$258), ""), 0)),"")</f>
        <v/>
      </c>
      <c r="AP136" s="105" t="str">
        <f t="array" ref="AP136">IFERROR(INDEX($AM$10:$AM$258, MATCH(0, IF(TRUE=$AK$10:$AK$258, COUNTIF($AP$9:$AP135, $AM$10:$AM$258), ""), 0)),"")</f>
        <v/>
      </c>
      <c r="AR136" s="15" t="str">
        <f>IFERROR(INDEX('G-7 WaterC'' Data'!$AZ$3:$AZ$7,MATCH(D136,'G-7 WaterC'' Data'!$AY$3:$AY$7,0)),"")</f>
        <v/>
      </c>
      <c r="AS136" s="15" t="str">
        <f>IFERROR(INDEX('G-7 WaterC'' Data'!AZ136:AZ140,MATCH(D136,'G-7 WaterC'' Data'!$AY$10:$AY$14,0)),"")</f>
        <v/>
      </c>
      <c r="AU136" s="15" t="str">
        <f>IF(D136="","",VLOOKUP(D136,'G-7 WaterC'' Data'!B$4:M$8,12,FALSE))</f>
        <v/>
      </c>
      <c r="AV136" s="15" t="str">
        <f t="shared" si="17"/>
        <v/>
      </c>
    </row>
    <row r="137" spans="3:48" ht="14" x14ac:dyDescent="0.3">
      <c r="C137" s="92">
        <v>128</v>
      </c>
      <c r="D137" s="271"/>
      <c r="E137" s="120"/>
      <c r="F137" s="290" t="str">
        <f>IF(D137="","",VLOOKUP(D137,'G-7 WaterC'' Data'!$B$2:$G$8,2,FALSE))</f>
        <v/>
      </c>
      <c r="G137" s="291" t="str">
        <f>IFERROR(VLOOKUP(F137,'G-7 WaterC'' Data'!$C$4:$D$8,2,FALSE),"")</f>
        <v/>
      </c>
      <c r="H137" s="38"/>
      <c r="I137" s="291" t="str">
        <f>IFERROR(INDEX('G-7 WaterC'' Data'!$H$4:$L$8,MATCH(D137,'G-7 WaterC'' Data'!$B$4:$B$8,0),MATCH(H137,'G-7 WaterC'' Data'!$H$3:$L$3,0)),"")</f>
        <v/>
      </c>
      <c r="J137" s="777"/>
      <c r="K137" s="325" t="str">
        <f>IF(J137="","",IF(VLOOKUP(J137,'G-7 WaterC'' Data'!$AK$4:$AM$6,2,FALSE)=0,"Spatial Data Missing ⚠",VLOOKUP(J137,'G-7 WaterC'' Data'!$AK$4:$AM$6,2,FALSE)))</f>
        <v/>
      </c>
      <c r="L137" s="296" t="str">
        <f>IF(J137="","",IF(VLOOKUP(J137,'G-7 WaterC'' Data'!$AK$4:$AM$9,3,FALSE)=0,"Spatial Data Missing ⚠",VLOOKUP(J137,'G-7 WaterC'' Data'!$AK$4:$AM$6,3,FALSE)))</f>
        <v/>
      </c>
      <c r="M137" s="38"/>
      <c r="N137" s="291" t="str">
        <f>IF(M137="","",IF(AND(D137&lt;&gt;"Culvert",M137="N/A - Culvert"),"Not possible ▲",IF(AND(D137="Culvert",M137&lt;&gt;"N/A - Culvert"),"Not possible ▲",IF(VLOOKUP(M137,'G-7 WaterC'' Data'!$AA$4:$AB$7,2,FALSE)=0,"Spatial Data Missing ⚠",VLOOKUP(M137,'G-7 WaterC'' Data'!$AA$4:$AB$7,2,FALSE)))))</f>
        <v/>
      </c>
      <c r="O137" s="44"/>
      <c r="P137" s="291" t="str">
        <f>IF(O137="","",IF(AND(O137="N/A - Culvert", D137&lt;&gt;"Culvert"),"Not possible ▲", IF(AND(D137="Culvert",O137&lt;&gt;"N/A - Culvert"),"Not possible ▲",IF(VLOOKUP(O137,'G-7 WaterC'' Data'!$AD$4:$AE$14,2,FALSE)=0,"Spatial Data Missing ⚠",VLOOKUP(O137,'G-7 WaterC'' Data'!$AD$4:$AE$14,2,FALSE)))))</f>
        <v/>
      </c>
      <c r="Q137" s="297" t="str">
        <f>IF(D137="","",VLOOKUP(D137,'G-7 WaterC'' Data'!$B$2:$G$8,6,FALSE))</f>
        <v/>
      </c>
      <c r="R137" s="304" t="str">
        <f>IFERROR(IF(AND(Q137='G-1 All Habitats'!$X$3, AE137&gt;0, U137&lt;=0, V137&lt;=0, OR(AA137="No", AA137="")),"Any Loss Unacceptable ⚠", (IF(AND(Q137='G-1 All Habitats'!$X$3, AE137&gt;0, U137&lt;=0, V137&lt;=0, AA137="Yes"), 0, (IF(AND(Q137='G-1 All Habitats'!$X$3,(U137+V137)&lt;E137, OR(AA137="No", AA137="")),"Any Loss Unacceptable ⚠", (IF(AND(Q137='G-1 All Habitats'!$X$3,(U137+V137)&gt;E137), E137*G137*I137*L137*N137*P137, (IF(Q137="","",IF(AND(Q137='G-1 All Habitats'!$X$3,V137&gt;0),W137+X137,IF(AND(Q137='G-1 All Habitats'!$X$3,U137&gt;0), W137+X137, IF(AND(S137="Yes", V137&gt;(E137-U137)),(E137-U137)*G137*I137*L137*N137*P137, IF(AND(S137="Yes", V137&lt;=(E137-U137)), X137, E137*G137*I137*L137*N137*P137 ))))))))))))),"Check Data ▲")</f>
        <v/>
      </c>
      <c r="S137" s="671" t="str">
        <f t="shared" si="9"/>
        <v/>
      </c>
      <c r="T137" s="17"/>
      <c r="U137" s="95"/>
      <c r="V137" s="106"/>
      <c r="W137" s="302" t="str">
        <f t="shared" si="10"/>
        <v/>
      </c>
      <c r="X137" s="302" t="str">
        <f t="shared" si="11"/>
        <v/>
      </c>
      <c r="Y137" s="302" t="str">
        <f t="shared" si="12"/>
        <v/>
      </c>
      <c r="Z137" s="471" t="str">
        <f t="shared" si="13"/>
        <v/>
      </c>
      <c r="AA137" s="488"/>
      <c r="AB137" s="486"/>
      <c r="AC137" s="101"/>
      <c r="AD137" s="101"/>
      <c r="AE137" s="41" t="str">
        <f>IF(OR(Q137="",AA137="Yes"),"",IF(Q137='G-1 All Habitats'!$X$3,E137-U137-V137,"None"))</f>
        <v/>
      </c>
      <c r="AF137" s="42" t="str">
        <f>IF(Q137="","", IF(Q137='G-1 All Habitats'!$X$3, AE137*G137*I137*L137*N137*P137,"None"))</f>
        <v/>
      </c>
      <c r="AI137" s="15">
        <f t="shared" si="14"/>
        <v>0</v>
      </c>
      <c r="AJ137" s="105" t="str">
        <f t="shared" si="15"/>
        <v/>
      </c>
      <c r="AK137" s="105" t="str">
        <f t="shared" si="16"/>
        <v/>
      </c>
      <c r="AM137" s="105">
        <v>128</v>
      </c>
      <c r="AO137" s="105" t="str">
        <f t="array" ref="AO137">IFERROR(INDEX($AM$10:$AM$258, MATCH(0, IF(TRUE=$AJ$10:$AJ$258, COUNTIF($AO$9:$AO136, $AM$10:$AM$258), ""), 0)),"")</f>
        <v/>
      </c>
      <c r="AP137" s="105" t="str">
        <f t="array" ref="AP137">IFERROR(INDEX($AM$10:$AM$258, MATCH(0, IF(TRUE=$AK$10:$AK$258, COUNTIF($AP$9:$AP136, $AM$10:$AM$258), ""), 0)),"")</f>
        <v/>
      </c>
      <c r="AR137" s="15" t="str">
        <f>IFERROR(INDEX('G-7 WaterC'' Data'!$AZ$3:$AZ$7,MATCH(D137,'G-7 WaterC'' Data'!$AY$3:$AY$7,0)),"")</f>
        <v/>
      </c>
      <c r="AS137" s="15" t="str">
        <f>IFERROR(INDEX('G-7 WaterC'' Data'!AZ137:AZ141,MATCH(D137,'G-7 WaterC'' Data'!$AY$10:$AY$14,0)),"")</f>
        <v/>
      </c>
      <c r="AU137" s="15" t="str">
        <f>IF(D137="","",VLOOKUP(D137,'G-7 WaterC'' Data'!B$4:M$8,12,FALSE))</f>
        <v/>
      </c>
      <c r="AV137" s="15" t="str">
        <f t="shared" si="17"/>
        <v/>
      </c>
    </row>
    <row r="138" spans="3:48" ht="14" x14ac:dyDescent="0.3">
      <c r="C138" s="92">
        <v>129</v>
      </c>
      <c r="D138" s="271"/>
      <c r="E138" s="120"/>
      <c r="F138" s="290" t="str">
        <f>IF(D138="","",VLOOKUP(D138,'G-7 WaterC'' Data'!$B$2:$G$8,2,FALSE))</f>
        <v/>
      </c>
      <c r="G138" s="291" t="str">
        <f>IFERROR(VLOOKUP(F138,'G-7 WaterC'' Data'!$C$4:$D$8,2,FALSE),"")</f>
        <v/>
      </c>
      <c r="H138" s="38"/>
      <c r="I138" s="291" t="str">
        <f>IFERROR(INDEX('G-7 WaterC'' Data'!$H$4:$L$8,MATCH(D138,'G-7 WaterC'' Data'!$B$4:$B$8,0),MATCH(H138,'G-7 WaterC'' Data'!$H$3:$L$3,0)),"")</f>
        <v/>
      </c>
      <c r="J138" s="777"/>
      <c r="K138" s="325" t="str">
        <f>IF(J138="","",IF(VLOOKUP(J138,'G-7 WaterC'' Data'!$AK$4:$AM$6,2,FALSE)=0,"Spatial Data Missing ⚠",VLOOKUP(J138,'G-7 WaterC'' Data'!$AK$4:$AM$6,2,FALSE)))</f>
        <v/>
      </c>
      <c r="L138" s="296" t="str">
        <f>IF(J138="","",IF(VLOOKUP(J138,'G-7 WaterC'' Data'!$AK$4:$AM$9,3,FALSE)=0,"Spatial Data Missing ⚠",VLOOKUP(J138,'G-7 WaterC'' Data'!$AK$4:$AM$6,3,FALSE)))</f>
        <v/>
      </c>
      <c r="M138" s="38"/>
      <c r="N138" s="291" t="str">
        <f>IF(M138="","",IF(AND(D138&lt;&gt;"Culvert",M138="N/A - Culvert"),"Not possible ▲",IF(AND(D138="Culvert",M138&lt;&gt;"N/A - Culvert"),"Not possible ▲",IF(VLOOKUP(M138,'G-7 WaterC'' Data'!$AA$4:$AB$7,2,FALSE)=0,"Spatial Data Missing ⚠",VLOOKUP(M138,'G-7 WaterC'' Data'!$AA$4:$AB$7,2,FALSE)))))</f>
        <v/>
      </c>
      <c r="O138" s="44"/>
      <c r="P138" s="291" t="str">
        <f>IF(O138="","",IF(AND(O138="N/A - Culvert", D138&lt;&gt;"Culvert"),"Not possible ▲", IF(AND(D138="Culvert",O138&lt;&gt;"N/A - Culvert"),"Not possible ▲",IF(VLOOKUP(O138,'G-7 WaterC'' Data'!$AD$4:$AE$14,2,FALSE)=0,"Spatial Data Missing ⚠",VLOOKUP(O138,'G-7 WaterC'' Data'!$AD$4:$AE$14,2,FALSE)))))</f>
        <v/>
      </c>
      <c r="Q138" s="297" t="str">
        <f>IF(D138="","",VLOOKUP(D138,'G-7 WaterC'' Data'!$B$2:$G$8,6,FALSE))</f>
        <v/>
      </c>
      <c r="R138" s="304" t="str">
        <f>IFERROR(IF(AND(Q138='G-1 All Habitats'!$X$3, AE138&gt;0, U138&lt;=0, V138&lt;=0, OR(AA138="No", AA138="")),"Any Loss Unacceptable ⚠", (IF(AND(Q138='G-1 All Habitats'!$X$3, AE138&gt;0, U138&lt;=0, V138&lt;=0, AA138="Yes"), 0, (IF(AND(Q138='G-1 All Habitats'!$X$3,(U138+V138)&lt;E138, OR(AA138="No", AA138="")),"Any Loss Unacceptable ⚠", (IF(AND(Q138='G-1 All Habitats'!$X$3,(U138+V138)&gt;E138), E138*G138*I138*L138*N138*P138, (IF(Q138="","",IF(AND(Q138='G-1 All Habitats'!$X$3,V138&gt;0),W138+X138,IF(AND(Q138='G-1 All Habitats'!$X$3,U138&gt;0), W138+X138, IF(AND(S138="Yes", V138&gt;(E138-U138)),(E138-U138)*G138*I138*L138*N138*P138, IF(AND(S138="Yes", V138&lt;=(E138-U138)), X138, E138*G138*I138*L138*N138*P138 ))))))))))))),"Check Data ▲")</f>
        <v/>
      </c>
      <c r="S138" s="671" t="str">
        <f t="shared" si="9"/>
        <v/>
      </c>
      <c r="T138" s="17"/>
      <c r="U138" s="95"/>
      <c r="V138" s="106"/>
      <c r="W138" s="302" t="str">
        <f t="shared" si="10"/>
        <v/>
      </c>
      <c r="X138" s="302" t="str">
        <f t="shared" si="11"/>
        <v/>
      </c>
      <c r="Y138" s="302" t="str">
        <f t="shared" si="12"/>
        <v/>
      </c>
      <c r="Z138" s="471" t="str">
        <f t="shared" si="13"/>
        <v/>
      </c>
      <c r="AA138" s="488"/>
      <c r="AB138" s="486"/>
      <c r="AC138" s="101"/>
      <c r="AD138" s="101"/>
      <c r="AE138" s="41" t="str">
        <f>IF(OR(Q138="",AA138="Yes"),"",IF(Q138='G-1 All Habitats'!$X$3,E138-U138-V138,"None"))</f>
        <v/>
      </c>
      <c r="AF138" s="42" t="str">
        <f>IF(Q138="","", IF(Q138='G-1 All Habitats'!$X$3, AE138*G138*I138*L138*N138*P138,"None"))</f>
        <v/>
      </c>
      <c r="AI138" s="15">
        <f t="shared" si="14"/>
        <v>0</v>
      </c>
      <c r="AJ138" s="105" t="str">
        <f t="shared" si="15"/>
        <v/>
      </c>
      <c r="AK138" s="105" t="str">
        <f t="shared" si="16"/>
        <v/>
      </c>
      <c r="AM138" s="105">
        <v>129</v>
      </c>
      <c r="AO138" s="105" t="str">
        <f t="array" ref="AO138">IFERROR(INDEX($AM$10:$AM$258, MATCH(0, IF(TRUE=$AJ$10:$AJ$258, COUNTIF($AO$9:$AO137, $AM$10:$AM$258), ""), 0)),"")</f>
        <v/>
      </c>
      <c r="AP138" s="105" t="str">
        <f t="array" ref="AP138">IFERROR(INDEX($AM$10:$AM$258, MATCH(0, IF(TRUE=$AK$10:$AK$258, COUNTIF($AP$9:$AP137, $AM$10:$AM$258), ""), 0)),"")</f>
        <v/>
      </c>
      <c r="AR138" s="15" t="str">
        <f>IFERROR(INDEX('G-7 WaterC'' Data'!$AZ$3:$AZ$7,MATCH(D138,'G-7 WaterC'' Data'!$AY$3:$AY$7,0)),"")</f>
        <v/>
      </c>
      <c r="AS138" s="15" t="str">
        <f>IFERROR(INDEX('G-7 WaterC'' Data'!AZ138:AZ142,MATCH(D138,'G-7 WaterC'' Data'!$AY$10:$AY$14,0)),"")</f>
        <v/>
      </c>
      <c r="AU138" s="15" t="str">
        <f>IF(D138="","",VLOOKUP(D138,'G-7 WaterC'' Data'!B$4:M$8,12,FALSE))</f>
        <v/>
      </c>
      <c r="AV138" s="15" t="str">
        <f t="shared" si="17"/>
        <v/>
      </c>
    </row>
    <row r="139" spans="3:48" ht="14" x14ac:dyDescent="0.3">
      <c r="C139" s="92">
        <v>130</v>
      </c>
      <c r="D139" s="271"/>
      <c r="E139" s="120"/>
      <c r="F139" s="290" t="str">
        <f>IF(D139="","",VLOOKUP(D139,'G-7 WaterC'' Data'!$B$2:$G$8,2,FALSE))</f>
        <v/>
      </c>
      <c r="G139" s="291" t="str">
        <f>IFERROR(VLOOKUP(F139,'G-7 WaterC'' Data'!$C$4:$D$8,2,FALSE),"")</f>
        <v/>
      </c>
      <c r="H139" s="38"/>
      <c r="I139" s="291" t="str">
        <f>IFERROR(INDEX('G-7 WaterC'' Data'!$H$4:$L$8,MATCH(D139,'G-7 WaterC'' Data'!$B$4:$B$8,0),MATCH(H139,'G-7 WaterC'' Data'!$H$3:$L$3,0)),"")</f>
        <v/>
      </c>
      <c r="J139" s="777"/>
      <c r="K139" s="325" t="str">
        <f>IF(J139="","",IF(VLOOKUP(J139,'G-7 WaterC'' Data'!$AK$4:$AM$6,2,FALSE)=0,"Spatial Data Missing ⚠",VLOOKUP(J139,'G-7 WaterC'' Data'!$AK$4:$AM$6,2,FALSE)))</f>
        <v/>
      </c>
      <c r="L139" s="296" t="str">
        <f>IF(J139="","",IF(VLOOKUP(J139,'G-7 WaterC'' Data'!$AK$4:$AM$9,3,FALSE)=0,"Spatial Data Missing ⚠",VLOOKUP(J139,'G-7 WaterC'' Data'!$AK$4:$AM$6,3,FALSE)))</f>
        <v/>
      </c>
      <c r="M139" s="38"/>
      <c r="N139" s="291" t="str">
        <f>IF(M139="","",IF(AND(D139&lt;&gt;"Culvert",M139="N/A - Culvert"),"Not possible ▲",IF(AND(D139="Culvert",M139&lt;&gt;"N/A - Culvert"),"Not possible ▲",IF(VLOOKUP(M139,'G-7 WaterC'' Data'!$AA$4:$AB$7,2,FALSE)=0,"Spatial Data Missing ⚠",VLOOKUP(M139,'G-7 WaterC'' Data'!$AA$4:$AB$7,2,FALSE)))))</f>
        <v/>
      </c>
      <c r="O139" s="44"/>
      <c r="P139" s="291" t="str">
        <f>IF(O139="","",IF(AND(O139="N/A - Culvert", D139&lt;&gt;"Culvert"),"Not possible ▲", IF(AND(D139="Culvert",O139&lt;&gt;"N/A - Culvert"),"Not possible ▲",IF(VLOOKUP(O139,'G-7 WaterC'' Data'!$AD$4:$AE$14,2,FALSE)=0,"Spatial Data Missing ⚠",VLOOKUP(O139,'G-7 WaterC'' Data'!$AD$4:$AE$14,2,FALSE)))))</f>
        <v/>
      </c>
      <c r="Q139" s="297" t="str">
        <f>IF(D139="","",VLOOKUP(D139,'G-7 WaterC'' Data'!$B$2:$G$8,6,FALSE))</f>
        <v/>
      </c>
      <c r="R139" s="304" t="str">
        <f>IFERROR(IF(AND(Q139='G-1 All Habitats'!$X$3, AE139&gt;0, U139&lt;=0, V139&lt;=0, OR(AA139="No", AA139="")),"Any Loss Unacceptable ⚠", (IF(AND(Q139='G-1 All Habitats'!$X$3, AE139&gt;0, U139&lt;=0, V139&lt;=0, AA139="Yes"), 0, (IF(AND(Q139='G-1 All Habitats'!$X$3,(U139+V139)&lt;E139, OR(AA139="No", AA139="")),"Any Loss Unacceptable ⚠", (IF(AND(Q139='G-1 All Habitats'!$X$3,(U139+V139)&gt;E139), E139*G139*I139*L139*N139*P139, (IF(Q139="","",IF(AND(Q139='G-1 All Habitats'!$X$3,V139&gt;0),W139+X139,IF(AND(Q139='G-1 All Habitats'!$X$3,U139&gt;0), W139+X139, IF(AND(S139="Yes", V139&gt;(E139-U139)),(E139-U139)*G139*I139*L139*N139*P139, IF(AND(S139="Yes", V139&lt;=(E139-U139)), X139, E139*G139*I139*L139*N139*P139 ))))))))))))),"Check Data ▲")</f>
        <v/>
      </c>
      <c r="S139" s="671" t="str">
        <f t="shared" ref="S139:S202" si="18">AU139</f>
        <v/>
      </c>
      <c r="T139" s="17"/>
      <c r="U139" s="95"/>
      <c r="V139" s="106"/>
      <c r="W139" s="302" t="str">
        <f t="shared" ref="W139:W202" si="19">IFERROR(IF(U139&gt;E139,"Error in Lengths ▲",U139*G139*I139*L139*N139*P139),"")</f>
        <v/>
      </c>
      <c r="X139" s="302" t="str">
        <f t="shared" ref="X139:X202" si="20">IFERROR(IF(D139="","",V139*G139*I139*L139*N139*P139),"")</f>
        <v/>
      </c>
      <c r="Y139" s="302" t="str">
        <f t="shared" ref="Y139:Y202" si="21">IFERROR(IF(D139="","", IF(E139&gt;(U139+V139),E139-U139-V139,0)),"")</f>
        <v/>
      </c>
      <c r="Z139" s="471" t="str">
        <f t="shared" ref="Z139:Z202" si="22">IFERROR(IF(AND(AA139="Yes", D139="Priority habitat"), "Alternative compensation agreed ✓", IF(E139="","", IF(AND(D139="Priority habitat", V139+U139&lt;E139),"Any loss unacceptable ▲", IF(OR(V139+U139=E139,V139+U139&gt;E139),"0.00", IF((W139+X139)&gt;R139,0, R139-W139-X139))))),"Check Data ⚠")</f>
        <v/>
      </c>
      <c r="AA139" s="488"/>
      <c r="AB139" s="486"/>
      <c r="AC139" s="101"/>
      <c r="AD139" s="101"/>
      <c r="AE139" s="41" t="str">
        <f>IF(OR(Q139="",AA139="Yes"),"",IF(Q139='G-1 All Habitats'!$X$3,E139-U139-V139,"None"))</f>
        <v/>
      </c>
      <c r="AF139" s="42" t="str">
        <f>IF(Q139="","", IF(Q139='G-1 All Habitats'!$X$3, AE139*G139*I139*L139*N139*P139,"None"))</f>
        <v/>
      </c>
      <c r="AI139" s="15">
        <f t="shared" ref="AI139:AI202" si="23">IFERROR(IF(U139+V139&gt;E139,1,0),"")</f>
        <v>0</v>
      </c>
      <c r="AJ139" s="105" t="str">
        <f t="shared" ref="AJ139:AJ202" si="24">IF(D139="","",IF(U139&gt;0,TRUE,FALSE))</f>
        <v/>
      </c>
      <c r="AK139" s="105" t="str">
        <f t="shared" ref="AK139:AK202" si="25">IF(D139="","",IF(V139&gt;0,TRUE,FALSE))</f>
        <v/>
      </c>
      <c r="AM139" s="105">
        <v>130</v>
      </c>
      <c r="AO139" s="105" t="str">
        <f t="array" ref="AO139">IFERROR(INDEX($AM$10:$AM$258, MATCH(0, IF(TRUE=$AJ$10:$AJ$258, COUNTIF($AO$9:$AO138, $AM$10:$AM$258), ""), 0)),"")</f>
        <v/>
      </c>
      <c r="AP139" s="105" t="str">
        <f t="array" ref="AP139">IFERROR(INDEX($AM$10:$AM$258, MATCH(0, IF(TRUE=$AK$10:$AK$258, COUNTIF($AP$9:$AP138, $AM$10:$AM$258), ""), 0)),"")</f>
        <v/>
      </c>
      <c r="AR139" s="15" t="str">
        <f>IFERROR(INDEX('G-7 WaterC'' Data'!$AZ$3:$AZ$7,MATCH(D139,'G-7 WaterC'' Data'!$AY$3:$AY$7,0)),"")</f>
        <v/>
      </c>
      <c r="AS139" s="15" t="str">
        <f>IFERROR(INDEX('G-7 WaterC'' Data'!AZ139:AZ143,MATCH(D139,'G-7 WaterC'' Data'!$AY$10:$AY$14,0)),"")</f>
        <v/>
      </c>
      <c r="AU139" s="15" t="str">
        <f>IF(D139="","",VLOOKUP(D139,'G-7 WaterC'' Data'!B$4:M$8,12,FALSE))</f>
        <v/>
      </c>
      <c r="AV139" s="15" t="str">
        <f t="shared" ref="AV139:AV202" si="26">IF(AA139="","", IF(AA139="Yes", "Yes ✓", "No ▲"))</f>
        <v/>
      </c>
    </row>
    <row r="140" spans="3:48" ht="14" x14ac:dyDescent="0.3">
      <c r="C140" s="92">
        <v>131</v>
      </c>
      <c r="D140" s="271"/>
      <c r="E140" s="120"/>
      <c r="F140" s="290" t="str">
        <f>IF(D140="","",VLOOKUP(D140,'G-7 WaterC'' Data'!$B$2:$G$8,2,FALSE))</f>
        <v/>
      </c>
      <c r="G140" s="291" t="str">
        <f>IFERROR(VLOOKUP(F140,'G-7 WaterC'' Data'!$C$4:$D$8,2,FALSE),"")</f>
        <v/>
      </c>
      <c r="H140" s="38"/>
      <c r="I140" s="291" t="str">
        <f>IFERROR(INDEX('G-7 WaterC'' Data'!$H$4:$L$8,MATCH(D140,'G-7 WaterC'' Data'!$B$4:$B$8,0),MATCH(H140,'G-7 WaterC'' Data'!$H$3:$L$3,0)),"")</f>
        <v/>
      </c>
      <c r="J140" s="777"/>
      <c r="K140" s="325" t="str">
        <f>IF(J140="","",IF(VLOOKUP(J140,'G-7 WaterC'' Data'!$AK$4:$AM$6,2,FALSE)=0,"Spatial Data Missing ⚠",VLOOKUP(J140,'G-7 WaterC'' Data'!$AK$4:$AM$6,2,FALSE)))</f>
        <v/>
      </c>
      <c r="L140" s="296" t="str">
        <f>IF(J140="","",IF(VLOOKUP(J140,'G-7 WaterC'' Data'!$AK$4:$AM$9,3,FALSE)=0,"Spatial Data Missing ⚠",VLOOKUP(J140,'G-7 WaterC'' Data'!$AK$4:$AM$6,3,FALSE)))</f>
        <v/>
      </c>
      <c r="M140" s="38"/>
      <c r="N140" s="291" t="str">
        <f>IF(M140="","",IF(AND(D140&lt;&gt;"Culvert",M140="N/A - Culvert"),"Not possible ▲",IF(AND(D140="Culvert",M140&lt;&gt;"N/A - Culvert"),"Not possible ▲",IF(VLOOKUP(M140,'G-7 WaterC'' Data'!$AA$4:$AB$7,2,FALSE)=0,"Spatial Data Missing ⚠",VLOOKUP(M140,'G-7 WaterC'' Data'!$AA$4:$AB$7,2,FALSE)))))</f>
        <v/>
      </c>
      <c r="O140" s="44"/>
      <c r="P140" s="291" t="str">
        <f>IF(O140="","",IF(AND(O140="N/A - Culvert", D140&lt;&gt;"Culvert"),"Not possible ▲", IF(AND(D140="Culvert",O140&lt;&gt;"N/A - Culvert"),"Not possible ▲",IF(VLOOKUP(O140,'G-7 WaterC'' Data'!$AD$4:$AE$14,2,FALSE)=0,"Spatial Data Missing ⚠",VLOOKUP(O140,'G-7 WaterC'' Data'!$AD$4:$AE$14,2,FALSE)))))</f>
        <v/>
      </c>
      <c r="Q140" s="297" t="str">
        <f>IF(D140="","",VLOOKUP(D140,'G-7 WaterC'' Data'!$B$2:$G$8,6,FALSE))</f>
        <v/>
      </c>
      <c r="R140" s="304" t="str">
        <f>IFERROR(IF(AND(Q140='G-1 All Habitats'!$X$3, AE140&gt;0, U140&lt;=0, V140&lt;=0, OR(AA140="No", AA140="")),"Any Loss Unacceptable ⚠", (IF(AND(Q140='G-1 All Habitats'!$X$3, AE140&gt;0, U140&lt;=0, V140&lt;=0, AA140="Yes"), 0, (IF(AND(Q140='G-1 All Habitats'!$X$3,(U140+V140)&lt;E140, OR(AA140="No", AA140="")),"Any Loss Unacceptable ⚠", (IF(AND(Q140='G-1 All Habitats'!$X$3,(U140+V140)&gt;E140), E140*G140*I140*L140*N140*P140, (IF(Q140="","",IF(AND(Q140='G-1 All Habitats'!$X$3,V140&gt;0),W140+X140,IF(AND(Q140='G-1 All Habitats'!$X$3,U140&gt;0), W140+X140, IF(AND(S140="Yes", V140&gt;(E140-U140)),(E140-U140)*G140*I140*L140*N140*P140, IF(AND(S140="Yes", V140&lt;=(E140-U140)), X140, E140*G140*I140*L140*N140*P140 ))))))))))))),"Check Data ▲")</f>
        <v/>
      </c>
      <c r="S140" s="671" t="str">
        <f t="shared" si="18"/>
        <v/>
      </c>
      <c r="T140" s="17"/>
      <c r="U140" s="95"/>
      <c r="V140" s="106"/>
      <c r="W140" s="302" t="str">
        <f t="shared" si="19"/>
        <v/>
      </c>
      <c r="X140" s="302" t="str">
        <f t="shared" si="20"/>
        <v/>
      </c>
      <c r="Y140" s="302" t="str">
        <f t="shared" si="21"/>
        <v/>
      </c>
      <c r="Z140" s="471" t="str">
        <f t="shared" si="22"/>
        <v/>
      </c>
      <c r="AA140" s="488"/>
      <c r="AB140" s="486"/>
      <c r="AC140" s="101"/>
      <c r="AD140" s="101"/>
      <c r="AE140" s="41" t="str">
        <f>IF(OR(Q140="",AA140="Yes"),"",IF(Q140='G-1 All Habitats'!$X$3,E140-U140-V140,"None"))</f>
        <v/>
      </c>
      <c r="AF140" s="42" t="str">
        <f>IF(Q140="","", IF(Q140='G-1 All Habitats'!$X$3, AE140*G140*I140*L140*N140*P140,"None"))</f>
        <v/>
      </c>
      <c r="AI140" s="15">
        <f t="shared" si="23"/>
        <v>0</v>
      </c>
      <c r="AJ140" s="105" t="str">
        <f t="shared" si="24"/>
        <v/>
      </c>
      <c r="AK140" s="105" t="str">
        <f t="shared" si="25"/>
        <v/>
      </c>
      <c r="AM140" s="105">
        <v>131</v>
      </c>
      <c r="AO140" s="105" t="str">
        <f t="array" ref="AO140">IFERROR(INDEX($AM$10:$AM$258, MATCH(0, IF(TRUE=$AJ$10:$AJ$258, COUNTIF($AO$9:$AO139, $AM$10:$AM$258), ""), 0)),"")</f>
        <v/>
      </c>
      <c r="AP140" s="105" t="str">
        <f t="array" ref="AP140">IFERROR(INDEX($AM$10:$AM$258, MATCH(0, IF(TRUE=$AK$10:$AK$258, COUNTIF($AP$9:$AP139, $AM$10:$AM$258), ""), 0)),"")</f>
        <v/>
      </c>
      <c r="AR140" s="15" t="str">
        <f>IFERROR(INDEX('G-7 WaterC'' Data'!$AZ$3:$AZ$7,MATCH(D140,'G-7 WaterC'' Data'!$AY$3:$AY$7,0)),"")</f>
        <v/>
      </c>
      <c r="AS140" s="15" t="str">
        <f>IFERROR(INDEX('G-7 WaterC'' Data'!AZ140:AZ144,MATCH(D140,'G-7 WaterC'' Data'!$AY$10:$AY$14,0)),"")</f>
        <v/>
      </c>
      <c r="AU140" s="15" t="str">
        <f>IF(D140="","",VLOOKUP(D140,'G-7 WaterC'' Data'!B$4:M$8,12,FALSE))</f>
        <v/>
      </c>
      <c r="AV140" s="15" t="str">
        <f t="shared" si="26"/>
        <v/>
      </c>
    </row>
    <row r="141" spans="3:48" ht="14" x14ac:dyDescent="0.3">
      <c r="C141" s="92">
        <v>132</v>
      </c>
      <c r="D141" s="271"/>
      <c r="E141" s="120"/>
      <c r="F141" s="290" t="str">
        <f>IF(D141="","",VLOOKUP(D141,'G-7 WaterC'' Data'!$B$2:$G$8,2,FALSE))</f>
        <v/>
      </c>
      <c r="G141" s="291" t="str">
        <f>IFERROR(VLOOKUP(F141,'G-7 WaterC'' Data'!$C$4:$D$8,2,FALSE),"")</f>
        <v/>
      </c>
      <c r="H141" s="38"/>
      <c r="I141" s="291" t="str">
        <f>IFERROR(INDEX('G-7 WaterC'' Data'!$H$4:$L$8,MATCH(D141,'G-7 WaterC'' Data'!$B$4:$B$8,0),MATCH(H141,'G-7 WaterC'' Data'!$H$3:$L$3,0)),"")</f>
        <v/>
      </c>
      <c r="J141" s="777"/>
      <c r="K141" s="325" t="str">
        <f>IF(J141="","",IF(VLOOKUP(J141,'G-7 WaterC'' Data'!$AK$4:$AM$6,2,FALSE)=0,"Spatial Data Missing ⚠",VLOOKUP(J141,'G-7 WaterC'' Data'!$AK$4:$AM$6,2,FALSE)))</f>
        <v/>
      </c>
      <c r="L141" s="296" t="str">
        <f>IF(J141="","",IF(VLOOKUP(J141,'G-7 WaterC'' Data'!$AK$4:$AM$9,3,FALSE)=0,"Spatial Data Missing ⚠",VLOOKUP(J141,'G-7 WaterC'' Data'!$AK$4:$AM$6,3,FALSE)))</f>
        <v/>
      </c>
      <c r="M141" s="38"/>
      <c r="N141" s="291" t="str">
        <f>IF(M141="","",IF(AND(D141&lt;&gt;"Culvert",M141="N/A - Culvert"),"Not possible ▲",IF(AND(D141="Culvert",M141&lt;&gt;"N/A - Culvert"),"Not possible ▲",IF(VLOOKUP(M141,'G-7 WaterC'' Data'!$AA$4:$AB$7,2,FALSE)=0,"Spatial Data Missing ⚠",VLOOKUP(M141,'G-7 WaterC'' Data'!$AA$4:$AB$7,2,FALSE)))))</f>
        <v/>
      </c>
      <c r="O141" s="44"/>
      <c r="P141" s="291" t="str">
        <f>IF(O141="","",IF(AND(O141="N/A - Culvert", D141&lt;&gt;"Culvert"),"Not possible ▲", IF(AND(D141="Culvert",O141&lt;&gt;"N/A - Culvert"),"Not possible ▲",IF(VLOOKUP(O141,'G-7 WaterC'' Data'!$AD$4:$AE$14,2,FALSE)=0,"Spatial Data Missing ⚠",VLOOKUP(O141,'G-7 WaterC'' Data'!$AD$4:$AE$14,2,FALSE)))))</f>
        <v/>
      </c>
      <c r="Q141" s="297" t="str">
        <f>IF(D141="","",VLOOKUP(D141,'G-7 WaterC'' Data'!$B$2:$G$8,6,FALSE))</f>
        <v/>
      </c>
      <c r="R141" s="304" t="str">
        <f>IFERROR(IF(AND(Q141='G-1 All Habitats'!$X$3, AE141&gt;0, U141&lt;=0, V141&lt;=0, OR(AA141="No", AA141="")),"Any Loss Unacceptable ⚠", (IF(AND(Q141='G-1 All Habitats'!$X$3, AE141&gt;0, U141&lt;=0, V141&lt;=0, AA141="Yes"), 0, (IF(AND(Q141='G-1 All Habitats'!$X$3,(U141+V141)&lt;E141, OR(AA141="No", AA141="")),"Any Loss Unacceptable ⚠", (IF(AND(Q141='G-1 All Habitats'!$X$3,(U141+V141)&gt;E141), E141*G141*I141*L141*N141*P141, (IF(Q141="","",IF(AND(Q141='G-1 All Habitats'!$X$3,V141&gt;0),W141+X141,IF(AND(Q141='G-1 All Habitats'!$X$3,U141&gt;0), W141+X141, IF(AND(S141="Yes", V141&gt;(E141-U141)),(E141-U141)*G141*I141*L141*N141*P141, IF(AND(S141="Yes", V141&lt;=(E141-U141)), X141, E141*G141*I141*L141*N141*P141 ))))))))))))),"Check Data ▲")</f>
        <v/>
      </c>
      <c r="S141" s="671" t="str">
        <f t="shared" si="18"/>
        <v/>
      </c>
      <c r="T141" s="17"/>
      <c r="U141" s="95"/>
      <c r="V141" s="106"/>
      <c r="W141" s="302" t="str">
        <f t="shared" si="19"/>
        <v/>
      </c>
      <c r="X141" s="302" t="str">
        <f t="shared" si="20"/>
        <v/>
      </c>
      <c r="Y141" s="302" t="str">
        <f t="shared" si="21"/>
        <v/>
      </c>
      <c r="Z141" s="471" t="str">
        <f t="shared" si="22"/>
        <v/>
      </c>
      <c r="AA141" s="488"/>
      <c r="AB141" s="486"/>
      <c r="AC141" s="101"/>
      <c r="AD141" s="101"/>
      <c r="AE141" s="41" t="str">
        <f>IF(OR(Q141="",AA141="Yes"),"",IF(Q141='G-1 All Habitats'!$X$3,E141-U141-V141,"None"))</f>
        <v/>
      </c>
      <c r="AF141" s="42" t="str">
        <f>IF(Q141="","", IF(Q141='G-1 All Habitats'!$X$3, AE141*G141*I141*L141*N141*P141,"None"))</f>
        <v/>
      </c>
      <c r="AI141" s="15">
        <f t="shared" si="23"/>
        <v>0</v>
      </c>
      <c r="AJ141" s="105" t="str">
        <f t="shared" si="24"/>
        <v/>
      </c>
      <c r="AK141" s="105" t="str">
        <f t="shared" si="25"/>
        <v/>
      </c>
      <c r="AM141" s="105">
        <v>132</v>
      </c>
      <c r="AO141" s="105" t="str">
        <f t="array" ref="AO141">IFERROR(INDEX($AM$10:$AM$258, MATCH(0, IF(TRUE=$AJ$10:$AJ$258, COUNTIF($AO$9:$AO140, $AM$10:$AM$258), ""), 0)),"")</f>
        <v/>
      </c>
      <c r="AP141" s="105" t="str">
        <f t="array" ref="AP141">IFERROR(INDEX($AM$10:$AM$258, MATCH(0, IF(TRUE=$AK$10:$AK$258, COUNTIF($AP$9:$AP140, $AM$10:$AM$258), ""), 0)),"")</f>
        <v/>
      </c>
      <c r="AR141" s="15" t="str">
        <f>IFERROR(INDEX('G-7 WaterC'' Data'!$AZ$3:$AZ$7,MATCH(D141,'G-7 WaterC'' Data'!$AY$3:$AY$7,0)),"")</f>
        <v/>
      </c>
      <c r="AS141" s="15" t="str">
        <f>IFERROR(INDEX('G-7 WaterC'' Data'!AZ141:AZ145,MATCH(D141,'G-7 WaterC'' Data'!$AY$10:$AY$14,0)),"")</f>
        <v/>
      </c>
      <c r="AU141" s="15" t="str">
        <f>IF(D141="","",VLOOKUP(D141,'G-7 WaterC'' Data'!B$4:M$8,12,FALSE))</f>
        <v/>
      </c>
      <c r="AV141" s="15" t="str">
        <f t="shared" si="26"/>
        <v/>
      </c>
    </row>
    <row r="142" spans="3:48" ht="14" x14ac:dyDescent="0.3">
      <c r="C142" s="92">
        <v>133</v>
      </c>
      <c r="D142" s="271"/>
      <c r="E142" s="120"/>
      <c r="F142" s="290" t="str">
        <f>IF(D142="","",VLOOKUP(D142,'G-7 WaterC'' Data'!$B$2:$G$8,2,FALSE))</f>
        <v/>
      </c>
      <c r="G142" s="291" t="str">
        <f>IFERROR(VLOOKUP(F142,'G-7 WaterC'' Data'!$C$4:$D$8,2,FALSE),"")</f>
        <v/>
      </c>
      <c r="H142" s="38"/>
      <c r="I142" s="291" t="str">
        <f>IFERROR(INDEX('G-7 WaterC'' Data'!$H$4:$L$8,MATCH(D142,'G-7 WaterC'' Data'!$B$4:$B$8,0),MATCH(H142,'G-7 WaterC'' Data'!$H$3:$L$3,0)),"")</f>
        <v/>
      </c>
      <c r="J142" s="777"/>
      <c r="K142" s="325" t="str">
        <f>IF(J142="","",IF(VLOOKUP(J142,'G-7 WaterC'' Data'!$AK$4:$AM$6,2,FALSE)=0,"Spatial Data Missing ⚠",VLOOKUP(J142,'G-7 WaterC'' Data'!$AK$4:$AM$6,2,FALSE)))</f>
        <v/>
      </c>
      <c r="L142" s="296" t="str">
        <f>IF(J142="","",IF(VLOOKUP(J142,'G-7 WaterC'' Data'!$AK$4:$AM$9,3,FALSE)=0,"Spatial Data Missing ⚠",VLOOKUP(J142,'G-7 WaterC'' Data'!$AK$4:$AM$6,3,FALSE)))</f>
        <v/>
      </c>
      <c r="M142" s="38"/>
      <c r="N142" s="291" t="str">
        <f>IF(M142="","",IF(AND(D142&lt;&gt;"Culvert",M142="N/A - Culvert"),"Not possible ▲",IF(AND(D142="Culvert",M142&lt;&gt;"N/A - Culvert"),"Not possible ▲",IF(VLOOKUP(M142,'G-7 WaterC'' Data'!$AA$4:$AB$7,2,FALSE)=0,"Spatial Data Missing ⚠",VLOOKUP(M142,'G-7 WaterC'' Data'!$AA$4:$AB$7,2,FALSE)))))</f>
        <v/>
      </c>
      <c r="O142" s="44"/>
      <c r="P142" s="291" t="str">
        <f>IF(O142="","",IF(AND(O142="N/A - Culvert", D142&lt;&gt;"Culvert"),"Not possible ▲", IF(AND(D142="Culvert",O142&lt;&gt;"N/A - Culvert"),"Not possible ▲",IF(VLOOKUP(O142,'G-7 WaterC'' Data'!$AD$4:$AE$14,2,FALSE)=0,"Spatial Data Missing ⚠",VLOOKUP(O142,'G-7 WaterC'' Data'!$AD$4:$AE$14,2,FALSE)))))</f>
        <v/>
      </c>
      <c r="Q142" s="297" t="str">
        <f>IF(D142="","",VLOOKUP(D142,'G-7 WaterC'' Data'!$B$2:$G$8,6,FALSE))</f>
        <v/>
      </c>
      <c r="R142" s="304" t="str">
        <f>IFERROR(IF(AND(Q142='G-1 All Habitats'!$X$3, AE142&gt;0, U142&lt;=0, V142&lt;=0, OR(AA142="No", AA142="")),"Any Loss Unacceptable ⚠", (IF(AND(Q142='G-1 All Habitats'!$X$3, AE142&gt;0, U142&lt;=0, V142&lt;=0, AA142="Yes"), 0, (IF(AND(Q142='G-1 All Habitats'!$X$3,(U142+V142)&lt;E142, OR(AA142="No", AA142="")),"Any Loss Unacceptable ⚠", (IF(AND(Q142='G-1 All Habitats'!$X$3,(U142+V142)&gt;E142), E142*G142*I142*L142*N142*P142, (IF(Q142="","",IF(AND(Q142='G-1 All Habitats'!$X$3,V142&gt;0),W142+X142,IF(AND(Q142='G-1 All Habitats'!$X$3,U142&gt;0), W142+X142, IF(AND(S142="Yes", V142&gt;(E142-U142)),(E142-U142)*G142*I142*L142*N142*P142, IF(AND(S142="Yes", V142&lt;=(E142-U142)), X142, E142*G142*I142*L142*N142*P142 ))))))))))))),"Check Data ▲")</f>
        <v/>
      </c>
      <c r="S142" s="671" t="str">
        <f t="shared" si="18"/>
        <v/>
      </c>
      <c r="T142" s="17"/>
      <c r="U142" s="95"/>
      <c r="V142" s="106"/>
      <c r="W142" s="302" t="str">
        <f t="shared" si="19"/>
        <v/>
      </c>
      <c r="X142" s="302" t="str">
        <f t="shared" si="20"/>
        <v/>
      </c>
      <c r="Y142" s="302" t="str">
        <f t="shared" si="21"/>
        <v/>
      </c>
      <c r="Z142" s="471" t="str">
        <f t="shared" si="22"/>
        <v/>
      </c>
      <c r="AA142" s="488"/>
      <c r="AB142" s="486"/>
      <c r="AC142" s="101"/>
      <c r="AD142" s="101"/>
      <c r="AE142" s="41" t="str">
        <f>IF(OR(Q142="",AA142="Yes"),"",IF(Q142='G-1 All Habitats'!$X$3,E142-U142-V142,"None"))</f>
        <v/>
      </c>
      <c r="AF142" s="42" t="str">
        <f>IF(Q142="","", IF(Q142='G-1 All Habitats'!$X$3, AE142*G142*I142*L142*N142*P142,"None"))</f>
        <v/>
      </c>
      <c r="AI142" s="15">
        <f t="shared" si="23"/>
        <v>0</v>
      </c>
      <c r="AJ142" s="105" t="str">
        <f t="shared" si="24"/>
        <v/>
      </c>
      <c r="AK142" s="105" t="str">
        <f t="shared" si="25"/>
        <v/>
      </c>
      <c r="AM142" s="105">
        <v>133</v>
      </c>
      <c r="AO142" s="105" t="str">
        <f t="array" ref="AO142">IFERROR(INDEX($AM$10:$AM$258, MATCH(0, IF(TRUE=$AJ$10:$AJ$258, COUNTIF($AO$9:$AO141, $AM$10:$AM$258), ""), 0)),"")</f>
        <v/>
      </c>
      <c r="AP142" s="105" t="str">
        <f t="array" ref="AP142">IFERROR(INDEX($AM$10:$AM$258, MATCH(0, IF(TRUE=$AK$10:$AK$258, COUNTIF($AP$9:$AP141, $AM$10:$AM$258), ""), 0)),"")</f>
        <v/>
      </c>
      <c r="AR142" s="15" t="str">
        <f>IFERROR(INDEX('G-7 WaterC'' Data'!$AZ$3:$AZ$7,MATCH(D142,'G-7 WaterC'' Data'!$AY$3:$AY$7,0)),"")</f>
        <v/>
      </c>
      <c r="AS142" s="15" t="str">
        <f>IFERROR(INDEX('G-7 WaterC'' Data'!AZ142:AZ146,MATCH(D142,'G-7 WaterC'' Data'!$AY$10:$AY$14,0)),"")</f>
        <v/>
      </c>
      <c r="AU142" s="15" t="str">
        <f>IF(D142="","",VLOOKUP(D142,'G-7 WaterC'' Data'!B$4:M$8,12,FALSE))</f>
        <v/>
      </c>
      <c r="AV142" s="15" t="str">
        <f t="shared" si="26"/>
        <v/>
      </c>
    </row>
    <row r="143" spans="3:48" ht="14" x14ac:dyDescent="0.3">
      <c r="C143" s="92">
        <v>134</v>
      </c>
      <c r="D143" s="271"/>
      <c r="E143" s="120"/>
      <c r="F143" s="290" t="str">
        <f>IF(D143="","",VLOOKUP(D143,'G-7 WaterC'' Data'!$B$2:$G$8,2,FALSE))</f>
        <v/>
      </c>
      <c r="G143" s="291" t="str">
        <f>IFERROR(VLOOKUP(F143,'G-7 WaterC'' Data'!$C$4:$D$8,2,FALSE),"")</f>
        <v/>
      </c>
      <c r="H143" s="38"/>
      <c r="I143" s="291" t="str">
        <f>IFERROR(INDEX('G-7 WaterC'' Data'!$H$4:$L$8,MATCH(D143,'G-7 WaterC'' Data'!$B$4:$B$8,0),MATCH(H143,'G-7 WaterC'' Data'!$H$3:$L$3,0)),"")</f>
        <v/>
      </c>
      <c r="J143" s="777"/>
      <c r="K143" s="325" t="str">
        <f>IF(J143="","",IF(VLOOKUP(J143,'G-7 WaterC'' Data'!$AK$4:$AM$6,2,FALSE)=0,"Spatial Data Missing ⚠",VLOOKUP(J143,'G-7 WaterC'' Data'!$AK$4:$AM$6,2,FALSE)))</f>
        <v/>
      </c>
      <c r="L143" s="296" t="str">
        <f>IF(J143="","",IF(VLOOKUP(J143,'G-7 WaterC'' Data'!$AK$4:$AM$9,3,FALSE)=0,"Spatial Data Missing ⚠",VLOOKUP(J143,'G-7 WaterC'' Data'!$AK$4:$AM$6,3,FALSE)))</f>
        <v/>
      </c>
      <c r="M143" s="38"/>
      <c r="N143" s="291" t="str">
        <f>IF(M143="","",IF(AND(D143&lt;&gt;"Culvert",M143="N/A - Culvert"),"Not possible ▲",IF(AND(D143="Culvert",M143&lt;&gt;"N/A - Culvert"),"Not possible ▲",IF(VLOOKUP(M143,'G-7 WaterC'' Data'!$AA$4:$AB$7,2,FALSE)=0,"Spatial Data Missing ⚠",VLOOKUP(M143,'G-7 WaterC'' Data'!$AA$4:$AB$7,2,FALSE)))))</f>
        <v/>
      </c>
      <c r="O143" s="44"/>
      <c r="P143" s="291" t="str">
        <f>IF(O143="","",IF(AND(O143="N/A - Culvert", D143&lt;&gt;"Culvert"),"Not possible ▲", IF(AND(D143="Culvert",O143&lt;&gt;"N/A - Culvert"),"Not possible ▲",IF(VLOOKUP(O143,'G-7 WaterC'' Data'!$AD$4:$AE$14,2,FALSE)=0,"Spatial Data Missing ⚠",VLOOKUP(O143,'G-7 WaterC'' Data'!$AD$4:$AE$14,2,FALSE)))))</f>
        <v/>
      </c>
      <c r="Q143" s="297" t="str">
        <f>IF(D143="","",VLOOKUP(D143,'G-7 WaterC'' Data'!$B$2:$G$8,6,FALSE))</f>
        <v/>
      </c>
      <c r="R143" s="304" t="str">
        <f>IFERROR(IF(AND(Q143='G-1 All Habitats'!$X$3, AE143&gt;0, U143&lt;=0, V143&lt;=0, OR(AA143="No", AA143="")),"Any Loss Unacceptable ⚠", (IF(AND(Q143='G-1 All Habitats'!$X$3, AE143&gt;0, U143&lt;=0, V143&lt;=0, AA143="Yes"), 0, (IF(AND(Q143='G-1 All Habitats'!$X$3,(U143+V143)&lt;E143, OR(AA143="No", AA143="")),"Any Loss Unacceptable ⚠", (IF(AND(Q143='G-1 All Habitats'!$X$3,(U143+V143)&gt;E143), E143*G143*I143*L143*N143*P143, (IF(Q143="","",IF(AND(Q143='G-1 All Habitats'!$X$3,V143&gt;0),W143+X143,IF(AND(Q143='G-1 All Habitats'!$X$3,U143&gt;0), W143+X143, IF(AND(S143="Yes", V143&gt;(E143-U143)),(E143-U143)*G143*I143*L143*N143*P143, IF(AND(S143="Yes", V143&lt;=(E143-U143)), X143, E143*G143*I143*L143*N143*P143 ))))))))))))),"Check Data ▲")</f>
        <v/>
      </c>
      <c r="S143" s="671" t="str">
        <f t="shared" si="18"/>
        <v/>
      </c>
      <c r="T143" s="17"/>
      <c r="U143" s="95"/>
      <c r="V143" s="106"/>
      <c r="W143" s="302" t="str">
        <f t="shared" si="19"/>
        <v/>
      </c>
      <c r="X143" s="302" t="str">
        <f t="shared" si="20"/>
        <v/>
      </c>
      <c r="Y143" s="302" t="str">
        <f t="shared" si="21"/>
        <v/>
      </c>
      <c r="Z143" s="471" t="str">
        <f t="shared" si="22"/>
        <v/>
      </c>
      <c r="AA143" s="488"/>
      <c r="AB143" s="486"/>
      <c r="AC143" s="101"/>
      <c r="AD143" s="101"/>
      <c r="AE143" s="41" t="str">
        <f>IF(OR(Q143="",AA143="Yes"),"",IF(Q143='G-1 All Habitats'!$X$3,E143-U143-V143,"None"))</f>
        <v/>
      </c>
      <c r="AF143" s="42" t="str">
        <f>IF(Q143="","", IF(Q143='G-1 All Habitats'!$X$3, AE143*G143*I143*L143*N143*P143,"None"))</f>
        <v/>
      </c>
      <c r="AI143" s="15">
        <f t="shared" si="23"/>
        <v>0</v>
      </c>
      <c r="AJ143" s="105" t="str">
        <f t="shared" si="24"/>
        <v/>
      </c>
      <c r="AK143" s="105" t="str">
        <f t="shared" si="25"/>
        <v/>
      </c>
      <c r="AM143" s="105">
        <v>134</v>
      </c>
      <c r="AO143" s="105" t="str">
        <f t="array" ref="AO143">IFERROR(INDEX($AM$10:$AM$258, MATCH(0, IF(TRUE=$AJ$10:$AJ$258, COUNTIF($AO$9:$AO142, $AM$10:$AM$258), ""), 0)),"")</f>
        <v/>
      </c>
      <c r="AP143" s="105" t="str">
        <f t="array" ref="AP143">IFERROR(INDEX($AM$10:$AM$258, MATCH(0, IF(TRUE=$AK$10:$AK$258, COUNTIF($AP$9:$AP142, $AM$10:$AM$258), ""), 0)),"")</f>
        <v/>
      </c>
      <c r="AR143" s="15" t="str">
        <f>IFERROR(INDEX('G-7 WaterC'' Data'!$AZ$3:$AZ$7,MATCH(D143,'G-7 WaterC'' Data'!$AY$3:$AY$7,0)),"")</f>
        <v/>
      </c>
      <c r="AS143" s="15" t="str">
        <f>IFERROR(INDEX('G-7 WaterC'' Data'!AZ143:AZ147,MATCH(D143,'G-7 WaterC'' Data'!$AY$10:$AY$14,0)),"")</f>
        <v/>
      </c>
      <c r="AU143" s="15" t="str">
        <f>IF(D143="","",VLOOKUP(D143,'G-7 WaterC'' Data'!B$4:M$8,12,FALSE))</f>
        <v/>
      </c>
      <c r="AV143" s="15" t="str">
        <f t="shared" si="26"/>
        <v/>
      </c>
    </row>
    <row r="144" spans="3:48" ht="14" x14ac:dyDescent="0.3">
      <c r="C144" s="92">
        <v>135</v>
      </c>
      <c r="D144" s="271"/>
      <c r="E144" s="120"/>
      <c r="F144" s="290" t="str">
        <f>IF(D144="","",VLOOKUP(D144,'G-7 WaterC'' Data'!$B$2:$G$8,2,FALSE))</f>
        <v/>
      </c>
      <c r="G144" s="291" t="str">
        <f>IFERROR(VLOOKUP(F144,'G-7 WaterC'' Data'!$C$4:$D$8,2,FALSE),"")</f>
        <v/>
      </c>
      <c r="H144" s="38"/>
      <c r="I144" s="291" t="str">
        <f>IFERROR(INDEX('G-7 WaterC'' Data'!$H$4:$L$8,MATCH(D144,'G-7 WaterC'' Data'!$B$4:$B$8,0),MATCH(H144,'G-7 WaterC'' Data'!$H$3:$L$3,0)),"")</f>
        <v/>
      </c>
      <c r="J144" s="777"/>
      <c r="K144" s="325" t="str">
        <f>IF(J144="","",IF(VLOOKUP(J144,'G-7 WaterC'' Data'!$AK$4:$AM$6,2,FALSE)=0,"Spatial Data Missing ⚠",VLOOKUP(J144,'G-7 WaterC'' Data'!$AK$4:$AM$6,2,FALSE)))</f>
        <v/>
      </c>
      <c r="L144" s="296" t="str">
        <f>IF(J144="","",IF(VLOOKUP(J144,'G-7 WaterC'' Data'!$AK$4:$AM$9,3,FALSE)=0,"Spatial Data Missing ⚠",VLOOKUP(J144,'G-7 WaterC'' Data'!$AK$4:$AM$6,3,FALSE)))</f>
        <v/>
      </c>
      <c r="M144" s="38"/>
      <c r="N144" s="291" t="str">
        <f>IF(M144="","",IF(AND(D144&lt;&gt;"Culvert",M144="N/A - Culvert"),"Not possible ▲",IF(AND(D144="Culvert",M144&lt;&gt;"N/A - Culvert"),"Not possible ▲",IF(VLOOKUP(M144,'G-7 WaterC'' Data'!$AA$4:$AB$7,2,FALSE)=0,"Spatial Data Missing ⚠",VLOOKUP(M144,'G-7 WaterC'' Data'!$AA$4:$AB$7,2,FALSE)))))</f>
        <v/>
      </c>
      <c r="O144" s="44"/>
      <c r="P144" s="291" t="str">
        <f>IF(O144="","",IF(AND(O144="N/A - Culvert", D144&lt;&gt;"Culvert"),"Not possible ▲", IF(AND(D144="Culvert",O144&lt;&gt;"N/A - Culvert"),"Not possible ▲",IF(VLOOKUP(O144,'G-7 WaterC'' Data'!$AD$4:$AE$14,2,FALSE)=0,"Spatial Data Missing ⚠",VLOOKUP(O144,'G-7 WaterC'' Data'!$AD$4:$AE$14,2,FALSE)))))</f>
        <v/>
      </c>
      <c r="Q144" s="297" t="str">
        <f>IF(D144="","",VLOOKUP(D144,'G-7 WaterC'' Data'!$B$2:$G$8,6,FALSE))</f>
        <v/>
      </c>
      <c r="R144" s="304" t="str">
        <f>IFERROR(IF(AND(Q144='G-1 All Habitats'!$X$3, AE144&gt;0, U144&lt;=0, V144&lt;=0, OR(AA144="No", AA144="")),"Any Loss Unacceptable ⚠", (IF(AND(Q144='G-1 All Habitats'!$X$3, AE144&gt;0, U144&lt;=0, V144&lt;=0, AA144="Yes"), 0, (IF(AND(Q144='G-1 All Habitats'!$X$3,(U144+V144)&lt;E144, OR(AA144="No", AA144="")),"Any Loss Unacceptable ⚠", (IF(AND(Q144='G-1 All Habitats'!$X$3,(U144+V144)&gt;E144), E144*G144*I144*L144*N144*P144, (IF(Q144="","",IF(AND(Q144='G-1 All Habitats'!$X$3,V144&gt;0),W144+X144,IF(AND(Q144='G-1 All Habitats'!$X$3,U144&gt;0), W144+X144, IF(AND(S144="Yes", V144&gt;(E144-U144)),(E144-U144)*G144*I144*L144*N144*P144, IF(AND(S144="Yes", V144&lt;=(E144-U144)), X144, E144*G144*I144*L144*N144*P144 ))))))))))))),"Check Data ▲")</f>
        <v/>
      </c>
      <c r="S144" s="671" t="str">
        <f t="shared" si="18"/>
        <v/>
      </c>
      <c r="T144" s="17"/>
      <c r="U144" s="95"/>
      <c r="V144" s="106"/>
      <c r="W144" s="302" t="str">
        <f t="shared" si="19"/>
        <v/>
      </c>
      <c r="X144" s="302" t="str">
        <f t="shared" si="20"/>
        <v/>
      </c>
      <c r="Y144" s="302" t="str">
        <f t="shared" si="21"/>
        <v/>
      </c>
      <c r="Z144" s="471" t="str">
        <f t="shared" si="22"/>
        <v/>
      </c>
      <c r="AA144" s="488"/>
      <c r="AB144" s="486"/>
      <c r="AC144" s="101"/>
      <c r="AD144" s="101"/>
      <c r="AE144" s="41" t="str">
        <f>IF(OR(Q144="",AA144="Yes"),"",IF(Q144='G-1 All Habitats'!$X$3,E144-U144-V144,"None"))</f>
        <v/>
      </c>
      <c r="AF144" s="42" t="str">
        <f>IF(Q144="","", IF(Q144='G-1 All Habitats'!$X$3, AE144*G144*I144*L144*N144*P144,"None"))</f>
        <v/>
      </c>
      <c r="AI144" s="15">
        <f t="shared" si="23"/>
        <v>0</v>
      </c>
      <c r="AJ144" s="105" t="str">
        <f t="shared" si="24"/>
        <v/>
      </c>
      <c r="AK144" s="105" t="str">
        <f t="shared" si="25"/>
        <v/>
      </c>
      <c r="AM144" s="105">
        <v>135</v>
      </c>
      <c r="AO144" s="105" t="str">
        <f t="array" ref="AO144">IFERROR(INDEX($AM$10:$AM$258, MATCH(0, IF(TRUE=$AJ$10:$AJ$258, COUNTIF($AO$9:$AO143, $AM$10:$AM$258), ""), 0)),"")</f>
        <v/>
      </c>
      <c r="AP144" s="105" t="str">
        <f t="array" ref="AP144">IFERROR(INDEX($AM$10:$AM$258, MATCH(0, IF(TRUE=$AK$10:$AK$258, COUNTIF($AP$9:$AP143, $AM$10:$AM$258), ""), 0)),"")</f>
        <v/>
      </c>
      <c r="AR144" s="15" t="str">
        <f>IFERROR(INDEX('G-7 WaterC'' Data'!$AZ$3:$AZ$7,MATCH(D144,'G-7 WaterC'' Data'!$AY$3:$AY$7,0)),"")</f>
        <v/>
      </c>
      <c r="AS144" s="15" t="str">
        <f>IFERROR(INDEX('G-7 WaterC'' Data'!AZ144:AZ148,MATCH(D144,'G-7 WaterC'' Data'!$AY$10:$AY$14,0)),"")</f>
        <v/>
      </c>
      <c r="AU144" s="15" t="str">
        <f>IF(D144="","",VLOOKUP(D144,'G-7 WaterC'' Data'!B$4:M$8,12,FALSE))</f>
        <v/>
      </c>
      <c r="AV144" s="15" t="str">
        <f t="shared" si="26"/>
        <v/>
      </c>
    </row>
    <row r="145" spans="3:48" ht="14" x14ac:dyDescent="0.3">
      <c r="C145" s="92">
        <v>136</v>
      </c>
      <c r="D145" s="271"/>
      <c r="E145" s="120"/>
      <c r="F145" s="290" t="str">
        <f>IF(D145="","",VLOOKUP(D145,'G-7 WaterC'' Data'!$B$2:$G$8,2,FALSE))</f>
        <v/>
      </c>
      <c r="G145" s="291" t="str">
        <f>IFERROR(VLOOKUP(F145,'G-7 WaterC'' Data'!$C$4:$D$8,2,FALSE),"")</f>
        <v/>
      </c>
      <c r="H145" s="38"/>
      <c r="I145" s="291" t="str">
        <f>IFERROR(INDEX('G-7 WaterC'' Data'!$H$4:$L$8,MATCH(D145,'G-7 WaterC'' Data'!$B$4:$B$8,0),MATCH(H145,'G-7 WaterC'' Data'!$H$3:$L$3,0)),"")</f>
        <v/>
      </c>
      <c r="J145" s="777"/>
      <c r="K145" s="325" t="str">
        <f>IF(J145="","",IF(VLOOKUP(J145,'G-7 WaterC'' Data'!$AK$4:$AM$6,2,FALSE)=0,"Spatial Data Missing ⚠",VLOOKUP(J145,'G-7 WaterC'' Data'!$AK$4:$AM$6,2,FALSE)))</f>
        <v/>
      </c>
      <c r="L145" s="296" t="str">
        <f>IF(J145="","",IF(VLOOKUP(J145,'G-7 WaterC'' Data'!$AK$4:$AM$9,3,FALSE)=0,"Spatial Data Missing ⚠",VLOOKUP(J145,'G-7 WaterC'' Data'!$AK$4:$AM$6,3,FALSE)))</f>
        <v/>
      </c>
      <c r="M145" s="38"/>
      <c r="N145" s="291" t="str">
        <f>IF(M145="","",IF(AND(D145&lt;&gt;"Culvert",M145="N/A - Culvert"),"Not possible ▲",IF(AND(D145="Culvert",M145&lt;&gt;"N/A - Culvert"),"Not possible ▲",IF(VLOOKUP(M145,'G-7 WaterC'' Data'!$AA$4:$AB$7,2,FALSE)=0,"Spatial Data Missing ⚠",VLOOKUP(M145,'G-7 WaterC'' Data'!$AA$4:$AB$7,2,FALSE)))))</f>
        <v/>
      </c>
      <c r="O145" s="44"/>
      <c r="P145" s="291" t="str">
        <f>IF(O145="","",IF(AND(O145="N/A - Culvert", D145&lt;&gt;"Culvert"),"Not possible ▲", IF(AND(D145="Culvert",O145&lt;&gt;"N/A - Culvert"),"Not possible ▲",IF(VLOOKUP(O145,'G-7 WaterC'' Data'!$AD$4:$AE$14,2,FALSE)=0,"Spatial Data Missing ⚠",VLOOKUP(O145,'G-7 WaterC'' Data'!$AD$4:$AE$14,2,FALSE)))))</f>
        <v/>
      </c>
      <c r="Q145" s="297" t="str">
        <f>IF(D145="","",VLOOKUP(D145,'G-7 WaterC'' Data'!$B$2:$G$8,6,FALSE))</f>
        <v/>
      </c>
      <c r="R145" s="304" t="str">
        <f>IFERROR(IF(AND(Q145='G-1 All Habitats'!$X$3, AE145&gt;0, U145&lt;=0, V145&lt;=0, OR(AA145="No", AA145="")),"Any Loss Unacceptable ⚠", (IF(AND(Q145='G-1 All Habitats'!$X$3, AE145&gt;0, U145&lt;=0, V145&lt;=0, AA145="Yes"), 0, (IF(AND(Q145='G-1 All Habitats'!$X$3,(U145+V145)&lt;E145, OR(AA145="No", AA145="")),"Any Loss Unacceptable ⚠", (IF(AND(Q145='G-1 All Habitats'!$X$3,(U145+V145)&gt;E145), E145*G145*I145*L145*N145*P145, (IF(Q145="","",IF(AND(Q145='G-1 All Habitats'!$X$3,V145&gt;0),W145+X145,IF(AND(Q145='G-1 All Habitats'!$X$3,U145&gt;0), W145+X145, IF(AND(S145="Yes", V145&gt;(E145-U145)),(E145-U145)*G145*I145*L145*N145*P145, IF(AND(S145="Yes", V145&lt;=(E145-U145)), X145, E145*G145*I145*L145*N145*P145 ))))))))))))),"Check Data ▲")</f>
        <v/>
      </c>
      <c r="S145" s="671" t="str">
        <f t="shared" si="18"/>
        <v/>
      </c>
      <c r="T145" s="17"/>
      <c r="U145" s="95"/>
      <c r="V145" s="106"/>
      <c r="W145" s="302" t="str">
        <f t="shared" si="19"/>
        <v/>
      </c>
      <c r="X145" s="302" t="str">
        <f t="shared" si="20"/>
        <v/>
      </c>
      <c r="Y145" s="302" t="str">
        <f t="shared" si="21"/>
        <v/>
      </c>
      <c r="Z145" s="471" t="str">
        <f t="shared" si="22"/>
        <v/>
      </c>
      <c r="AA145" s="488"/>
      <c r="AB145" s="486"/>
      <c r="AC145" s="101"/>
      <c r="AD145" s="101"/>
      <c r="AE145" s="41" t="str">
        <f>IF(OR(Q145="",AA145="Yes"),"",IF(Q145='G-1 All Habitats'!$X$3,E145-U145-V145,"None"))</f>
        <v/>
      </c>
      <c r="AF145" s="42" t="str">
        <f>IF(Q145="","", IF(Q145='G-1 All Habitats'!$X$3, AE145*G145*I145*L145*N145*P145,"None"))</f>
        <v/>
      </c>
      <c r="AI145" s="15">
        <f t="shared" si="23"/>
        <v>0</v>
      </c>
      <c r="AJ145" s="105" t="str">
        <f t="shared" si="24"/>
        <v/>
      </c>
      <c r="AK145" s="105" t="str">
        <f t="shared" si="25"/>
        <v/>
      </c>
      <c r="AM145" s="105">
        <v>136</v>
      </c>
      <c r="AO145" s="105" t="str">
        <f t="array" ref="AO145">IFERROR(INDEX($AM$10:$AM$258, MATCH(0, IF(TRUE=$AJ$10:$AJ$258, COUNTIF($AO$9:$AO144, $AM$10:$AM$258), ""), 0)),"")</f>
        <v/>
      </c>
      <c r="AP145" s="105" t="str">
        <f t="array" ref="AP145">IFERROR(INDEX($AM$10:$AM$258, MATCH(0, IF(TRUE=$AK$10:$AK$258, COUNTIF($AP$9:$AP144, $AM$10:$AM$258), ""), 0)),"")</f>
        <v/>
      </c>
      <c r="AR145" s="15" t="str">
        <f>IFERROR(INDEX('G-7 WaterC'' Data'!$AZ$3:$AZ$7,MATCH(D145,'G-7 WaterC'' Data'!$AY$3:$AY$7,0)),"")</f>
        <v/>
      </c>
      <c r="AS145" s="15" t="str">
        <f>IFERROR(INDEX('G-7 WaterC'' Data'!AZ145:AZ149,MATCH(D145,'G-7 WaterC'' Data'!$AY$10:$AY$14,0)),"")</f>
        <v/>
      </c>
      <c r="AU145" s="15" t="str">
        <f>IF(D145="","",VLOOKUP(D145,'G-7 WaterC'' Data'!B$4:M$8,12,FALSE))</f>
        <v/>
      </c>
      <c r="AV145" s="15" t="str">
        <f t="shared" si="26"/>
        <v/>
      </c>
    </row>
    <row r="146" spans="3:48" ht="14" x14ac:dyDescent="0.3">
      <c r="C146" s="92">
        <v>137</v>
      </c>
      <c r="D146" s="271"/>
      <c r="E146" s="120"/>
      <c r="F146" s="290" t="str">
        <f>IF(D146="","",VLOOKUP(D146,'G-7 WaterC'' Data'!$B$2:$G$8,2,FALSE))</f>
        <v/>
      </c>
      <c r="G146" s="291" t="str">
        <f>IFERROR(VLOOKUP(F146,'G-7 WaterC'' Data'!$C$4:$D$8,2,FALSE),"")</f>
        <v/>
      </c>
      <c r="H146" s="38"/>
      <c r="I146" s="291" t="str">
        <f>IFERROR(INDEX('G-7 WaterC'' Data'!$H$4:$L$8,MATCH(D146,'G-7 WaterC'' Data'!$B$4:$B$8,0),MATCH(H146,'G-7 WaterC'' Data'!$H$3:$L$3,0)),"")</f>
        <v/>
      </c>
      <c r="J146" s="777"/>
      <c r="K146" s="325" t="str">
        <f>IF(J146="","",IF(VLOOKUP(J146,'G-7 WaterC'' Data'!$AK$4:$AM$6,2,FALSE)=0,"Spatial Data Missing ⚠",VLOOKUP(J146,'G-7 WaterC'' Data'!$AK$4:$AM$6,2,FALSE)))</f>
        <v/>
      </c>
      <c r="L146" s="296" t="str">
        <f>IF(J146="","",IF(VLOOKUP(J146,'G-7 WaterC'' Data'!$AK$4:$AM$9,3,FALSE)=0,"Spatial Data Missing ⚠",VLOOKUP(J146,'G-7 WaterC'' Data'!$AK$4:$AM$6,3,FALSE)))</f>
        <v/>
      </c>
      <c r="M146" s="38"/>
      <c r="N146" s="291" t="str">
        <f>IF(M146="","",IF(AND(D146&lt;&gt;"Culvert",M146="N/A - Culvert"),"Not possible ▲",IF(AND(D146="Culvert",M146&lt;&gt;"N/A - Culvert"),"Not possible ▲",IF(VLOOKUP(M146,'G-7 WaterC'' Data'!$AA$4:$AB$7,2,FALSE)=0,"Spatial Data Missing ⚠",VLOOKUP(M146,'G-7 WaterC'' Data'!$AA$4:$AB$7,2,FALSE)))))</f>
        <v/>
      </c>
      <c r="O146" s="44"/>
      <c r="P146" s="291" t="str">
        <f>IF(O146="","",IF(AND(O146="N/A - Culvert", D146&lt;&gt;"Culvert"),"Not possible ▲", IF(AND(D146="Culvert",O146&lt;&gt;"N/A - Culvert"),"Not possible ▲",IF(VLOOKUP(O146,'G-7 WaterC'' Data'!$AD$4:$AE$14,2,FALSE)=0,"Spatial Data Missing ⚠",VLOOKUP(O146,'G-7 WaterC'' Data'!$AD$4:$AE$14,2,FALSE)))))</f>
        <v/>
      </c>
      <c r="Q146" s="297" t="str">
        <f>IF(D146="","",VLOOKUP(D146,'G-7 WaterC'' Data'!$B$2:$G$8,6,FALSE))</f>
        <v/>
      </c>
      <c r="R146" s="304" t="str">
        <f>IFERROR(IF(AND(Q146='G-1 All Habitats'!$X$3, AE146&gt;0, U146&lt;=0, V146&lt;=0, OR(AA146="No", AA146="")),"Any Loss Unacceptable ⚠", (IF(AND(Q146='G-1 All Habitats'!$X$3, AE146&gt;0, U146&lt;=0, V146&lt;=0, AA146="Yes"), 0, (IF(AND(Q146='G-1 All Habitats'!$X$3,(U146+V146)&lt;E146, OR(AA146="No", AA146="")),"Any Loss Unacceptable ⚠", (IF(AND(Q146='G-1 All Habitats'!$X$3,(U146+V146)&gt;E146), E146*G146*I146*L146*N146*P146, (IF(Q146="","",IF(AND(Q146='G-1 All Habitats'!$X$3,V146&gt;0),W146+X146,IF(AND(Q146='G-1 All Habitats'!$X$3,U146&gt;0), W146+X146, IF(AND(S146="Yes", V146&gt;(E146-U146)),(E146-U146)*G146*I146*L146*N146*P146, IF(AND(S146="Yes", V146&lt;=(E146-U146)), X146, E146*G146*I146*L146*N146*P146 ))))))))))))),"Check Data ▲")</f>
        <v/>
      </c>
      <c r="S146" s="671" t="str">
        <f t="shared" si="18"/>
        <v/>
      </c>
      <c r="T146" s="17"/>
      <c r="U146" s="95"/>
      <c r="V146" s="106"/>
      <c r="W146" s="302" t="str">
        <f t="shared" si="19"/>
        <v/>
      </c>
      <c r="X146" s="302" t="str">
        <f t="shared" si="20"/>
        <v/>
      </c>
      <c r="Y146" s="302" t="str">
        <f t="shared" si="21"/>
        <v/>
      </c>
      <c r="Z146" s="471" t="str">
        <f t="shared" si="22"/>
        <v/>
      </c>
      <c r="AA146" s="488"/>
      <c r="AB146" s="486"/>
      <c r="AC146" s="101"/>
      <c r="AD146" s="101"/>
      <c r="AE146" s="41" t="str">
        <f>IF(OR(Q146="",AA146="Yes"),"",IF(Q146='G-1 All Habitats'!$X$3,E146-U146-V146,"None"))</f>
        <v/>
      </c>
      <c r="AF146" s="42" t="str">
        <f>IF(Q146="","", IF(Q146='G-1 All Habitats'!$X$3, AE146*G146*I146*L146*N146*P146,"None"))</f>
        <v/>
      </c>
      <c r="AI146" s="15">
        <f t="shared" si="23"/>
        <v>0</v>
      </c>
      <c r="AJ146" s="105" t="str">
        <f t="shared" si="24"/>
        <v/>
      </c>
      <c r="AK146" s="105" t="str">
        <f t="shared" si="25"/>
        <v/>
      </c>
      <c r="AM146" s="105">
        <v>137</v>
      </c>
      <c r="AO146" s="105" t="str">
        <f t="array" ref="AO146">IFERROR(INDEX($AM$10:$AM$258, MATCH(0, IF(TRUE=$AJ$10:$AJ$258, COUNTIF($AO$9:$AO145, $AM$10:$AM$258), ""), 0)),"")</f>
        <v/>
      </c>
      <c r="AP146" s="105" t="str">
        <f t="array" ref="AP146">IFERROR(INDEX($AM$10:$AM$258, MATCH(0, IF(TRUE=$AK$10:$AK$258, COUNTIF($AP$9:$AP145, $AM$10:$AM$258), ""), 0)),"")</f>
        <v/>
      </c>
      <c r="AR146" s="15" t="str">
        <f>IFERROR(INDEX('G-7 WaterC'' Data'!$AZ$3:$AZ$7,MATCH(D146,'G-7 WaterC'' Data'!$AY$3:$AY$7,0)),"")</f>
        <v/>
      </c>
      <c r="AS146" s="15" t="str">
        <f>IFERROR(INDEX('G-7 WaterC'' Data'!AZ146:AZ150,MATCH(D146,'G-7 WaterC'' Data'!$AY$10:$AY$14,0)),"")</f>
        <v/>
      </c>
      <c r="AU146" s="15" t="str">
        <f>IF(D146="","",VLOOKUP(D146,'G-7 WaterC'' Data'!B$4:M$8,12,FALSE))</f>
        <v/>
      </c>
      <c r="AV146" s="15" t="str">
        <f t="shared" si="26"/>
        <v/>
      </c>
    </row>
    <row r="147" spans="3:48" ht="14" x14ac:dyDescent="0.3">
      <c r="C147" s="92">
        <v>138</v>
      </c>
      <c r="D147" s="271"/>
      <c r="E147" s="120"/>
      <c r="F147" s="290" t="str">
        <f>IF(D147="","",VLOOKUP(D147,'G-7 WaterC'' Data'!$B$2:$G$8,2,FALSE))</f>
        <v/>
      </c>
      <c r="G147" s="291" t="str">
        <f>IFERROR(VLOOKUP(F147,'G-7 WaterC'' Data'!$C$4:$D$8,2,FALSE),"")</f>
        <v/>
      </c>
      <c r="H147" s="38"/>
      <c r="I147" s="291" t="str">
        <f>IFERROR(INDEX('G-7 WaterC'' Data'!$H$4:$L$8,MATCH(D147,'G-7 WaterC'' Data'!$B$4:$B$8,0),MATCH(H147,'G-7 WaterC'' Data'!$H$3:$L$3,0)),"")</f>
        <v/>
      </c>
      <c r="J147" s="777"/>
      <c r="K147" s="325" t="str">
        <f>IF(J147="","",IF(VLOOKUP(J147,'G-7 WaterC'' Data'!$AK$4:$AM$6,2,FALSE)=0,"Spatial Data Missing ⚠",VLOOKUP(J147,'G-7 WaterC'' Data'!$AK$4:$AM$6,2,FALSE)))</f>
        <v/>
      </c>
      <c r="L147" s="296" t="str">
        <f>IF(J147="","",IF(VLOOKUP(J147,'G-7 WaterC'' Data'!$AK$4:$AM$9,3,FALSE)=0,"Spatial Data Missing ⚠",VLOOKUP(J147,'G-7 WaterC'' Data'!$AK$4:$AM$6,3,FALSE)))</f>
        <v/>
      </c>
      <c r="M147" s="38"/>
      <c r="N147" s="291" t="str">
        <f>IF(M147="","",IF(AND(D147&lt;&gt;"Culvert",M147="N/A - Culvert"),"Not possible ▲",IF(AND(D147="Culvert",M147&lt;&gt;"N/A - Culvert"),"Not possible ▲",IF(VLOOKUP(M147,'G-7 WaterC'' Data'!$AA$4:$AB$7,2,FALSE)=0,"Spatial Data Missing ⚠",VLOOKUP(M147,'G-7 WaterC'' Data'!$AA$4:$AB$7,2,FALSE)))))</f>
        <v/>
      </c>
      <c r="O147" s="44"/>
      <c r="P147" s="291" t="str">
        <f>IF(O147="","",IF(AND(O147="N/A - Culvert", D147&lt;&gt;"Culvert"),"Not possible ▲", IF(AND(D147="Culvert",O147&lt;&gt;"N/A - Culvert"),"Not possible ▲",IF(VLOOKUP(O147,'G-7 WaterC'' Data'!$AD$4:$AE$14,2,FALSE)=0,"Spatial Data Missing ⚠",VLOOKUP(O147,'G-7 WaterC'' Data'!$AD$4:$AE$14,2,FALSE)))))</f>
        <v/>
      </c>
      <c r="Q147" s="297" t="str">
        <f>IF(D147="","",VLOOKUP(D147,'G-7 WaterC'' Data'!$B$2:$G$8,6,FALSE))</f>
        <v/>
      </c>
      <c r="R147" s="304" t="str">
        <f>IFERROR(IF(AND(Q147='G-1 All Habitats'!$X$3, AE147&gt;0, U147&lt;=0, V147&lt;=0, OR(AA147="No", AA147="")),"Any Loss Unacceptable ⚠", (IF(AND(Q147='G-1 All Habitats'!$X$3, AE147&gt;0, U147&lt;=0, V147&lt;=0, AA147="Yes"), 0, (IF(AND(Q147='G-1 All Habitats'!$X$3,(U147+V147)&lt;E147, OR(AA147="No", AA147="")),"Any Loss Unacceptable ⚠", (IF(AND(Q147='G-1 All Habitats'!$X$3,(U147+V147)&gt;E147), E147*G147*I147*L147*N147*P147, (IF(Q147="","",IF(AND(Q147='G-1 All Habitats'!$X$3,V147&gt;0),W147+X147,IF(AND(Q147='G-1 All Habitats'!$X$3,U147&gt;0), W147+X147, IF(AND(S147="Yes", V147&gt;(E147-U147)),(E147-U147)*G147*I147*L147*N147*P147, IF(AND(S147="Yes", V147&lt;=(E147-U147)), X147, E147*G147*I147*L147*N147*P147 ))))))))))))),"Check Data ▲")</f>
        <v/>
      </c>
      <c r="S147" s="671" t="str">
        <f t="shared" si="18"/>
        <v/>
      </c>
      <c r="T147" s="17"/>
      <c r="U147" s="95"/>
      <c r="V147" s="106"/>
      <c r="W147" s="302" t="str">
        <f t="shared" si="19"/>
        <v/>
      </c>
      <c r="X147" s="302" t="str">
        <f t="shared" si="20"/>
        <v/>
      </c>
      <c r="Y147" s="302" t="str">
        <f t="shared" si="21"/>
        <v/>
      </c>
      <c r="Z147" s="471" t="str">
        <f t="shared" si="22"/>
        <v/>
      </c>
      <c r="AA147" s="488"/>
      <c r="AB147" s="486"/>
      <c r="AC147" s="101"/>
      <c r="AD147" s="101"/>
      <c r="AE147" s="41" t="str">
        <f>IF(OR(Q147="",AA147="Yes"),"",IF(Q147='G-1 All Habitats'!$X$3,E147-U147-V147,"None"))</f>
        <v/>
      </c>
      <c r="AF147" s="42" t="str">
        <f>IF(Q147="","", IF(Q147='G-1 All Habitats'!$X$3, AE147*G147*I147*L147*N147*P147,"None"))</f>
        <v/>
      </c>
      <c r="AI147" s="15">
        <f t="shared" si="23"/>
        <v>0</v>
      </c>
      <c r="AJ147" s="105" t="str">
        <f t="shared" si="24"/>
        <v/>
      </c>
      <c r="AK147" s="105" t="str">
        <f t="shared" si="25"/>
        <v/>
      </c>
      <c r="AM147" s="105">
        <v>138</v>
      </c>
      <c r="AO147" s="105" t="str">
        <f t="array" ref="AO147">IFERROR(INDEX($AM$10:$AM$258, MATCH(0, IF(TRUE=$AJ$10:$AJ$258, COUNTIF($AO$9:$AO146, $AM$10:$AM$258), ""), 0)),"")</f>
        <v/>
      </c>
      <c r="AP147" s="105" t="str">
        <f t="array" ref="AP147">IFERROR(INDEX($AM$10:$AM$258, MATCH(0, IF(TRUE=$AK$10:$AK$258, COUNTIF($AP$9:$AP146, $AM$10:$AM$258), ""), 0)),"")</f>
        <v/>
      </c>
      <c r="AR147" s="15" t="str">
        <f>IFERROR(INDEX('G-7 WaterC'' Data'!$AZ$3:$AZ$7,MATCH(D147,'G-7 WaterC'' Data'!$AY$3:$AY$7,0)),"")</f>
        <v/>
      </c>
      <c r="AS147" s="15" t="str">
        <f>IFERROR(INDEX('G-7 WaterC'' Data'!AZ147:AZ151,MATCH(D147,'G-7 WaterC'' Data'!$AY$10:$AY$14,0)),"")</f>
        <v/>
      </c>
      <c r="AU147" s="15" t="str">
        <f>IF(D147="","",VLOOKUP(D147,'G-7 WaterC'' Data'!B$4:M$8,12,FALSE))</f>
        <v/>
      </c>
      <c r="AV147" s="15" t="str">
        <f t="shared" si="26"/>
        <v/>
      </c>
    </row>
    <row r="148" spans="3:48" ht="14" x14ac:dyDescent="0.3">
      <c r="C148" s="92">
        <v>139</v>
      </c>
      <c r="D148" s="271"/>
      <c r="E148" s="120"/>
      <c r="F148" s="290" t="str">
        <f>IF(D148="","",VLOOKUP(D148,'G-7 WaterC'' Data'!$B$2:$G$8,2,FALSE))</f>
        <v/>
      </c>
      <c r="G148" s="291" t="str">
        <f>IFERROR(VLOOKUP(F148,'G-7 WaterC'' Data'!$C$4:$D$8,2,FALSE),"")</f>
        <v/>
      </c>
      <c r="H148" s="38"/>
      <c r="I148" s="291" t="str">
        <f>IFERROR(INDEX('G-7 WaterC'' Data'!$H$4:$L$8,MATCH(D148,'G-7 WaterC'' Data'!$B$4:$B$8,0),MATCH(H148,'G-7 WaterC'' Data'!$H$3:$L$3,0)),"")</f>
        <v/>
      </c>
      <c r="J148" s="777"/>
      <c r="K148" s="325" t="str">
        <f>IF(J148="","",IF(VLOOKUP(J148,'G-7 WaterC'' Data'!$AK$4:$AM$6,2,FALSE)=0,"Spatial Data Missing ⚠",VLOOKUP(J148,'G-7 WaterC'' Data'!$AK$4:$AM$6,2,FALSE)))</f>
        <v/>
      </c>
      <c r="L148" s="296" t="str">
        <f>IF(J148="","",IF(VLOOKUP(J148,'G-7 WaterC'' Data'!$AK$4:$AM$9,3,FALSE)=0,"Spatial Data Missing ⚠",VLOOKUP(J148,'G-7 WaterC'' Data'!$AK$4:$AM$6,3,FALSE)))</f>
        <v/>
      </c>
      <c r="M148" s="38"/>
      <c r="N148" s="291" t="str">
        <f>IF(M148="","",IF(AND(D148&lt;&gt;"Culvert",M148="N/A - Culvert"),"Not possible ▲",IF(AND(D148="Culvert",M148&lt;&gt;"N/A - Culvert"),"Not possible ▲",IF(VLOOKUP(M148,'G-7 WaterC'' Data'!$AA$4:$AB$7,2,FALSE)=0,"Spatial Data Missing ⚠",VLOOKUP(M148,'G-7 WaterC'' Data'!$AA$4:$AB$7,2,FALSE)))))</f>
        <v/>
      </c>
      <c r="O148" s="44"/>
      <c r="P148" s="291" t="str">
        <f>IF(O148="","",IF(AND(O148="N/A - Culvert", D148&lt;&gt;"Culvert"),"Not possible ▲", IF(AND(D148="Culvert",O148&lt;&gt;"N/A - Culvert"),"Not possible ▲",IF(VLOOKUP(O148,'G-7 WaterC'' Data'!$AD$4:$AE$14,2,FALSE)=0,"Spatial Data Missing ⚠",VLOOKUP(O148,'G-7 WaterC'' Data'!$AD$4:$AE$14,2,FALSE)))))</f>
        <v/>
      </c>
      <c r="Q148" s="297" t="str">
        <f>IF(D148="","",VLOOKUP(D148,'G-7 WaterC'' Data'!$B$2:$G$8,6,FALSE))</f>
        <v/>
      </c>
      <c r="R148" s="304" t="str">
        <f>IFERROR(IF(AND(Q148='G-1 All Habitats'!$X$3, AE148&gt;0, U148&lt;=0, V148&lt;=0, OR(AA148="No", AA148="")),"Any Loss Unacceptable ⚠", (IF(AND(Q148='G-1 All Habitats'!$X$3, AE148&gt;0, U148&lt;=0, V148&lt;=0, AA148="Yes"), 0, (IF(AND(Q148='G-1 All Habitats'!$X$3,(U148+V148)&lt;E148, OR(AA148="No", AA148="")),"Any Loss Unacceptable ⚠", (IF(AND(Q148='G-1 All Habitats'!$X$3,(U148+V148)&gt;E148), E148*G148*I148*L148*N148*P148, (IF(Q148="","",IF(AND(Q148='G-1 All Habitats'!$X$3,V148&gt;0),W148+X148,IF(AND(Q148='G-1 All Habitats'!$X$3,U148&gt;0), W148+X148, IF(AND(S148="Yes", V148&gt;(E148-U148)),(E148-U148)*G148*I148*L148*N148*P148, IF(AND(S148="Yes", V148&lt;=(E148-U148)), X148, E148*G148*I148*L148*N148*P148 ))))))))))))),"Check Data ▲")</f>
        <v/>
      </c>
      <c r="S148" s="671" t="str">
        <f t="shared" si="18"/>
        <v/>
      </c>
      <c r="T148" s="17"/>
      <c r="U148" s="95"/>
      <c r="V148" s="106"/>
      <c r="W148" s="302" t="str">
        <f t="shared" si="19"/>
        <v/>
      </c>
      <c r="X148" s="302" t="str">
        <f t="shared" si="20"/>
        <v/>
      </c>
      <c r="Y148" s="302" t="str">
        <f t="shared" si="21"/>
        <v/>
      </c>
      <c r="Z148" s="471" t="str">
        <f t="shared" si="22"/>
        <v/>
      </c>
      <c r="AA148" s="488"/>
      <c r="AB148" s="486"/>
      <c r="AC148" s="101"/>
      <c r="AD148" s="101"/>
      <c r="AE148" s="41" t="str">
        <f>IF(OR(Q148="",AA148="Yes"),"",IF(Q148='G-1 All Habitats'!$X$3,E148-U148-V148,"None"))</f>
        <v/>
      </c>
      <c r="AF148" s="42" t="str">
        <f>IF(Q148="","", IF(Q148='G-1 All Habitats'!$X$3, AE148*G148*I148*L148*N148*P148,"None"))</f>
        <v/>
      </c>
      <c r="AI148" s="15">
        <f t="shared" si="23"/>
        <v>0</v>
      </c>
      <c r="AJ148" s="105" t="str">
        <f t="shared" si="24"/>
        <v/>
      </c>
      <c r="AK148" s="105" t="str">
        <f t="shared" si="25"/>
        <v/>
      </c>
      <c r="AM148" s="105">
        <v>139</v>
      </c>
      <c r="AO148" s="105" t="str">
        <f t="array" ref="AO148">IFERROR(INDEX($AM$10:$AM$258, MATCH(0, IF(TRUE=$AJ$10:$AJ$258, COUNTIF($AO$9:$AO147, $AM$10:$AM$258), ""), 0)),"")</f>
        <v/>
      </c>
      <c r="AP148" s="105" t="str">
        <f t="array" ref="AP148">IFERROR(INDEX($AM$10:$AM$258, MATCH(0, IF(TRUE=$AK$10:$AK$258, COUNTIF($AP$9:$AP147, $AM$10:$AM$258), ""), 0)),"")</f>
        <v/>
      </c>
      <c r="AR148" s="15" t="str">
        <f>IFERROR(INDEX('G-7 WaterC'' Data'!$AZ$3:$AZ$7,MATCH(D148,'G-7 WaterC'' Data'!$AY$3:$AY$7,0)),"")</f>
        <v/>
      </c>
      <c r="AS148" s="15" t="str">
        <f>IFERROR(INDEX('G-7 WaterC'' Data'!AZ148:AZ152,MATCH(D148,'G-7 WaterC'' Data'!$AY$10:$AY$14,0)),"")</f>
        <v/>
      </c>
      <c r="AU148" s="15" t="str">
        <f>IF(D148="","",VLOOKUP(D148,'G-7 WaterC'' Data'!B$4:M$8,12,FALSE))</f>
        <v/>
      </c>
      <c r="AV148" s="15" t="str">
        <f t="shared" si="26"/>
        <v/>
      </c>
    </row>
    <row r="149" spans="3:48" ht="14" x14ac:dyDescent="0.3">
      <c r="C149" s="92">
        <v>140</v>
      </c>
      <c r="D149" s="271"/>
      <c r="E149" s="120"/>
      <c r="F149" s="290" t="str">
        <f>IF(D149="","",VLOOKUP(D149,'G-7 WaterC'' Data'!$B$2:$G$8,2,FALSE))</f>
        <v/>
      </c>
      <c r="G149" s="291" t="str">
        <f>IFERROR(VLOOKUP(F149,'G-7 WaterC'' Data'!$C$4:$D$8,2,FALSE),"")</f>
        <v/>
      </c>
      <c r="H149" s="38"/>
      <c r="I149" s="291" t="str">
        <f>IFERROR(INDEX('G-7 WaterC'' Data'!$H$4:$L$8,MATCH(D149,'G-7 WaterC'' Data'!$B$4:$B$8,0),MATCH(H149,'G-7 WaterC'' Data'!$H$3:$L$3,0)),"")</f>
        <v/>
      </c>
      <c r="J149" s="777"/>
      <c r="K149" s="325" t="str">
        <f>IF(J149="","",IF(VLOOKUP(J149,'G-7 WaterC'' Data'!$AK$4:$AM$6,2,FALSE)=0,"Spatial Data Missing ⚠",VLOOKUP(J149,'G-7 WaterC'' Data'!$AK$4:$AM$6,2,FALSE)))</f>
        <v/>
      </c>
      <c r="L149" s="296" t="str">
        <f>IF(J149="","",IF(VLOOKUP(J149,'G-7 WaterC'' Data'!$AK$4:$AM$9,3,FALSE)=0,"Spatial Data Missing ⚠",VLOOKUP(J149,'G-7 WaterC'' Data'!$AK$4:$AM$6,3,FALSE)))</f>
        <v/>
      </c>
      <c r="M149" s="38"/>
      <c r="N149" s="291" t="str">
        <f>IF(M149="","",IF(AND(D149&lt;&gt;"Culvert",M149="N/A - Culvert"),"Not possible ▲",IF(AND(D149="Culvert",M149&lt;&gt;"N/A - Culvert"),"Not possible ▲",IF(VLOOKUP(M149,'G-7 WaterC'' Data'!$AA$4:$AB$7,2,FALSE)=0,"Spatial Data Missing ⚠",VLOOKUP(M149,'G-7 WaterC'' Data'!$AA$4:$AB$7,2,FALSE)))))</f>
        <v/>
      </c>
      <c r="O149" s="44"/>
      <c r="P149" s="291" t="str">
        <f>IF(O149="","",IF(AND(O149="N/A - Culvert", D149&lt;&gt;"Culvert"),"Not possible ▲", IF(AND(D149="Culvert",O149&lt;&gt;"N/A - Culvert"),"Not possible ▲",IF(VLOOKUP(O149,'G-7 WaterC'' Data'!$AD$4:$AE$14,2,FALSE)=0,"Spatial Data Missing ⚠",VLOOKUP(O149,'G-7 WaterC'' Data'!$AD$4:$AE$14,2,FALSE)))))</f>
        <v/>
      </c>
      <c r="Q149" s="297" t="str">
        <f>IF(D149="","",VLOOKUP(D149,'G-7 WaterC'' Data'!$B$2:$G$8,6,FALSE))</f>
        <v/>
      </c>
      <c r="R149" s="304" t="str">
        <f>IFERROR(IF(AND(Q149='G-1 All Habitats'!$X$3, AE149&gt;0, U149&lt;=0, V149&lt;=0, OR(AA149="No", AA149="")),"Any Loss Unacceptable ⚠", (IF(AND(Q149='G-1 All Habitats'!$X$3, AE149&gt;0, U149&lt;=0, V149&lt;=0, AA149="Yes"), 0, (IF(AND(Q149='G-1 All Habitats'!$X$3,(U149+V149)&lt;E149, OR(AA149="No", AA149="")),"Any Loss Unacceptable ⚠", (IF(AND(Q149='G-1 All Habitats'!$X$3,(U149+V149)&gt;E149), E149*G149*I149*L149*N149*P149, (IF(Q149="","",IF(AND(Q149='G-1 All Habitats'!$X$3,V149&gt;0),W149+X149,IF(AND(Q149='G-1 All Habitats'!$X$3,U149&gt;0), W149+X149, IF(AND(S149="Yes", V149&gt;(E149-U149)),(E149-U149)*G149*I149*L149*N149*P149, IF(AND(S149="Yes", V149&lt;=(E149-U149)), X149, E149*G149*I149*L149*N149*P149 ))))))))))))),"Check Data ▲")</f>
        <v/>
      </c>
      <c r="S149" s="671" t="str">
        <f t="shared" si="18"/>
        <v/>
      </c>
      <c r="T149" s="17"/>
      <c r="U149" s="95"/>
      <c r="V149" s="106"/>
      <c r="W149" s="302" t="str">
        <f t="shared" si="19"/>
        <v/>
      </c>
      <c r="X149" s="302" t="str">
        <f t="shared" si="20"/>
        <v/>
      </c>
      <c r="Y149" s="302" t="str">
        <f t="shared" si="21"/>
        <v/>
      </c>
      <c r="Z149" s="471" t="str">
        <f t="shared" si="22"/>
        <v/>
      </c>
      <c r="AA149" s="488"/>
      <c r="AB149" s="486"/>
      <c r="AC149" s="101"/>
      <c r="AD149" s="101"/>
      <c r="AE149" s="41" t="str">
        <f>IF(OR(Q149="",AA149="Yes"),"",IF(Q149='G-1 All Habitats'!$X$3,E149-U149-V149,"None"))</f>
        <v/>
      </c>
      <c r="AF149" s="42" t="str">
        <f>IF(Q149="","", IF(Q149='G-1 All Habitats'!$X$3, AE149*G149*I149*L149*N149*P149,"None"))</f>
        <v/>
      </c>
      <c r="AI149" s="15">
        <f t="shared" si="23"/>
        <v>0</v>
      </c>
      <c r="AJ149" s="105" t="str">
        <f t="shared" si="24"/>
        <v/>
      </c>
      <c r="AK149" s="105" t="str">
        <f t="shared" si="25"/>
        <v/>
      </c>
      <c r="AM149" s="105">
        <v>140</v>
      </c>
      <c r="AO149" s="105" t="str">
        <f t="array" ref="AO149">IFERROR(INDEX($AM$10:$AM$258, MATCH(0, IF(TRUE=$AJ$10:$AJ$258, COUNTIF($AO$9:$AO148, $AM$10:$AM$258), ""), 0)),"")</f>
        <v/>
      </c>
      <c r="AP149" s="105" t="str">
        <f t="array" ref="AP149">IFERROR(INDEX($AM$10:$AM$258, MATCH(0, IF(TRUE=$AK$10:$AK$258, COUNTIF($AP$9:$AP148, $AM$10:$AM$258), ""), 0)),"")</f>
        <v/>
      </c>
      <c r="AR149" s="15" t="str">
        <f>IFERROR(INDEX('G-7 WaterC'' Data'!$AZ$3:$AZ$7,MATCH(D149,'G-7 WaterC'' Data'!$AY$3:$AY$7,0)),"")</f>
        <v/>
      </c>
      <c r="AS149" s="15" t="str">
        <f>IFERROR(INDEX('G-7 WaterC'' Data'!AZ149:AZ153,MATCH(D149,'G-7 WaterC'' Data'!$AY$10:$AY$14,0)),"")</f>
        <v/>
      </c>
      <c r="AU149" s="15" t="str">
        <f>IF(D149="","",VLOOKUP(D149,'G-7 WaterC'' Data'!B$4:M$8,12,FALSE))</f>
        <v/>
      </c>
      <c r="AV149" s="15" t="str">
        <f t="shared" si="26"/>
        <v/>
      </c>
    </row>
    <row r="150" spans="3:48" ht="14" x14ac:dyDescent="0.3">
      <c r="C150" s="92">
        <v>141</v>
      </c>
      <c r="D150" s="271"/>
      <c r="E150" s="120"/>
      <c r="F150" s="290" t="str">
        <f>IF(D150="","",VLOOKUP(D150,'G-7 WaterC'' Data'!$B$2:$G$8,2,FALSE))</f>
        <v/>
      </c>
      <c r="G150" s="291" t="str">
        <f>IFERROR(VLOOKUP(F150,'G-7 WaterC'' Data'!$C$4:$D$8,2,FALSE),"")</f>
        <v/>
      </c>
      <c r="H150" s="38"/>
      <c r="I150" s="291" t="str">
        <f>IFERROR(INDEX('G-7 WaterC'' Data'!$H$4:$L$8,MATCH(D150,'G-7 WaterC'' Data'!$B$4:$B$8,0),MATCH(H150,'G-7 WaterC'' Data'!$H$3:$L$3,0)),"")</f>
        <v/>
      </c>
      <c r="J150" s="777"/>
      <c r="K150" s="325" t="str">
        <f>IF(J150="","",IF(VLOOKUP(J150,'G-7 WaterC'' Data'!$AK$4:$AM$6,2,FALSE)=0,"Spatial Data Missing ⚠",VLOOKUP(J150,'G-7 WaterC'' Data'!$AK$4:$AM$6,2,FALSE)))</f>
        <v/>
      </c>
      <c r="L150" s="296" t="str">
        <f>IF(J150="","",IF(VLOOKUP(J150,'G-7 WaterC'' Data'!$AK$4:$AM$9,3,FALSE)=0,"Spatial Data Missing ⚠",VLOOKUP(J150,'G-7 WaterC'' Data'!$AK$4:$AM$6,3,FALSE)))</f>
        <v/>
      </c>
      <c r="M150" s="38"/>
      <c r="N150" s="291" t="str">
        <f>IF(M150="","",IF(AND(D150&lt;&gt;"Culvert",M150="N/A - Culvert"),"Not possible ▲",IF(AND(D150="Culvert",M150&lt;&gt;"N/A - Culvert"),"Not possible ▲",IF(VLOOKUP(M150,'G-7 WaterC'' Data'!$AA$4:$AB$7,2,FALSE)=0,"Spatial Data Missing ⚠",VLOOKUP(M150,'G-7 WaterC'' Data'!$AA$4:$AB$7,2,FALSE)))))</f>
        <v/>
      </c>
      <c r="O150" s="44"/>
      <c r="P150" s="291" t="str">
        <f>IF(O150="","",IF(AND(O150="N/A - Culvert", D150&lt;&gt;"Culvert"),"Not possible ▲", IF(AND(D150="Culvert",O150&lt;&gt;"N/A - Culvert"),"Not possible ▲",IF(VLOOKUP(O150,'G-7 WaterC'' Data'!$AD$4:$AE$14,2,FALSE)=0,"Spatial Data Missing ⚠",VLOOKUP(O150,'G-7 WaterC'' Data'!$AD$4:$AE$14,2,FALSE)))))</f>
        <v/>
      </c>
      <c r="Q150" s="297" t="str">
        <f>IF(D150="","",VLOOKUP(D150,'G-7 WaterC'' Data'!$B$2:$G$8,6,FALSE))</f>
        <v/>
      </c>
      <c r="R150" s="304" t="str">
        <f>IFERROR(IF(AND(Q150='G-1 All Habitats'!$X$3, AE150&gt;0, U150&lt;=0, V150&lt;=0, OR(AA150="No", AA150="")),"Any Loss Unacceptable ⚠", (IF(AND(Q150='G-1 All Habitats'!$X$3, AE150&gt;0, U150&lt;=0, V150&lt;=0, AA150="Yes"), 0, (IF(AND(Q150='G-1 All Habitats'!$X$3,(U150+V150)&lt;E150, OR(AA150="No", AA150="")),"Any Loss Unacceptable ⚠", (IF(AND(Q150='G-1 All Habitats'!$X$3,(U150+V150)&gt;E150), E150*G150*I150*L150*N150*P150, (IF(Q150="","",IF(AND(Q150='G-1 All Habitats'!$X$3,V150&gt;0),W150+X150,IF(AND(Q150='G-1 All Habitats'!$X$3,U150&gt;0), W150+X150, IF(AND(S150="Yes", V150&gt;(E150-U150)),(E150-U150)*G150*I150*L150*N150*P150, IF(AND(S150="Yes", V150&lt;=(E150-U150)), X150, E150*G150*I150*L150*N150*P150 ))))))))))))),"Check Data ▲")</f>
        <v/>
      </c>
      <c r="S150" s="671" t="str">
        <f t="shared" si="18"/>
        <v/>
      </c>
      <c r="T150" s="17"/>
      <c r="U150" s="95"/>
      <c r="V150" s="106"/>
      <c r="W150" s="302" t="str">
        <f t="shared" si="19"/>
        <v/>
      </c>
      <c r="X150" s="302" t="str">
        <f t="shared" si="20"/>
        <v/>
      </c>
      <c r="Y150" s="302" t="str">
        <f t="shared" si="21"/>
        <v/>
      </c>
      <c r="Z150" s="471" t="str">
        <f t="shared" si="22"/>
        <v/>
      </c>
      <c r="AA150" s="488"/>
      <c r="AB150" s="486"/>
      <c r="AC150" s="101"/>
      <c r="AD150" s="101"/>
      <c r="AE150" s="41" t="str">
        <f>IF(OR(Q150="",AA150="Yes"),"",IF(Q150='G-1 All Habitats'!$X$3,E150-U150-V150,"None"))</f>
        <v/>
      </c>
      <c r="AF150" s="42" t="str">
        <f>IF(Q150="","", IF(Q150='G-1 All Habitats'!$X$3, AE150*G150*I150*L150*N150*P150,"None"))</f>
        <v/>
      </c>
      <c r="AI150" s="15">
        <f t="shared" si="23"/>
        <v>0</v>
      </c>
      <c r="AJ150" s="105" t="str">
        <f t="shared" si="24"/>
        <v/>
      </c>
      <c r="AK150" s="105" t="str">
        <f t="shared" si="25"/>
        <v/>
      </c>
      <c r="AM150" s="105">
        <v>141</v>
      </c>
      <c r="AO150" s="105" t="str">
        <f t="array" ref="AO150">IFERROR(INDEX($AM$10:$AM$258, MATCH(0, IF(TRUE=$AJ$10:$AJ$258, COUNTIF($AO$9:$AO149, $AM$10:$AM$258), ""), 0)),"")</f>
        <v/>
      </c>
      <c r="AP150" s="105" t="str">
        <f t="array" ref="AP150">IFERROR(INDEX($AM$10:$AM$258, MATCH(0, IF(TRUE=$AK$10:$AK$258, COUNTIF($AP$9:$AP149, $AM$10:$AM$258), ""), 0)),"")</f>
        <v/>
      </c>
      <c r="AR150" s="15" t="str">
        <f>IFERROR(INDEX('G-7 WaterC'' Data'!$AZ$3:$AZ$7,MATCH(D150,'G-7 WaterC'' Data'!$AY$3:$AY$7,0)),"")</f>
        <v/>
      </c>
      <c r="AS150" s="15" t="str">
        <f>IFERROR(INDEX('G-7 WaterC'' Data'!AZ150:AZ154,MATCH(D150,'G-7 WaterC'' Data'!$AY$10:$AY$14,0)),"")</f>
        <v/>
      </c>
      <c r="AU150" s="15" t="str">
        <f>IF(D150="","",VLOOKUP(D150,'G-7 WaterC'' Data'!B$4:M$8,12,FALSE))</f>
        <v/>
      </c>
      <c r="AV150" s="15" t="str">
        <f t="shared" si="26"/>
        <v/>
      </c>
    </row>
    <row r="151" spans="3:48" ht="14" x14ac:dyDescent="0.3">
      <c r="C151" s="92">
        <v>142</v>
      </c>
      <c r="D151" s="271"/>
      <c r="E151" s="120"/>
      <c r="F151" s="290" t="str">
        <f>IF(D151="","",VLOOKUP(D151,'G-7 WaterC'' Data'!$B$2:$G$8,2,FALSE))</f>
        <v/>
      </c>
      <c r="G151" s="291" t="str">
        <f>IFERROR(VLOOKUP(F151,'G-7 WaterC'' Data'!$C$4:$D$8,2,FALSE),"")</f>
        <v/>
      </c>
      <c r="H151" s="38"/>
      <c r="I151" s="291" t="str">
        <f>IFERROR(INDEX('G-7 WaterC'' Data'!$H$4:$L$8,MATCH(D151,'G-7 WaterC'' Data'!$B$4:$B$8,0),MATCH(H151,'G-7 WaterC'' Data'!$H$3:$L$3,0)),"")</f>
        <v/>
      </c>
      <c r="J151" s="777"/>
      <c r="K151" s="325" t="str">
        <f>IF(J151="","",IF(VLOOKUP(J151,'G-7 WaterC'' Data'!$AK$4:$AM$6,2,FALSE)=0,"Spatial Data Missing ⚠",VLOOKUP(J151,'G-7 WaterC'' Data'!$AK$4:$AM$6,2,FALSE)))</f>
        <v/>
      </c>
      <c r="L151" s="296" t="str">
        <f>IF(J151="","",IF(VLOOKUP(J151,'G-7 WaterC'' Data'!$AK$4:$AM$9,3,FALSE)=0,"Spatial Data Missing ⚠",VLOOKUP(J151,'G-7 WaterC'' Data'!$AK$4:$AM$6,3,FALSE)))</f>
        <v/>
      </c>
      <c r="M151" s="38"/>
      <c r="N151" s="291" t="str">
        <f>IF(M151="","",IF(AND(D151&lt;&gt;"Culvert",M151="N/A - Culvert"),"Not possible ▲",IF(AND(D151="Culvert",M151&lt;&gt;"N/A - Culvert"),"Not possible ▲",IF(VLOOKUP(M151,'G-7 WaterC'' Data'!$AA$4:$AB$7,2,FALSE)=0,"Spatial Data Missing ⚠",VLOOKUP(M151,'G-7 WaterC'' Data'!$AA$4:$AB$7,2,FALSE)))))</f>
        <v/>
      </c>
      <c r="O151" s="44"/>
      <c r="P151" s="291" t="str">
        <f>IF(O151="","",IF(AND(O151="N/A - Culvert", D151&lt;&gt;"Culvert"),"Not possible ▲", IF(AND(D151="Culvert",O151&lt;&gt;"N/A - Culvert"),"Not possible ▲",IF(VLOOKUP(O151,'G-7 WaterC'' Data'!$AD$4:$AE$14,2,FALSE)=0,"Spatial Data Missing ⚠",VLOOKUP(O151,'G-7 WaterC'' Data'!$AD$4:$AE$14,2,FALSE)))))</f>
        <v/>
      </c>
      <c r="Q151" s="297" t="str">
        <f>IF(D151="","",VLOOKUP(D151,'G-7 WaterC'' Data'!$B$2:$G$8,6,FALSE))</f>
        <v/>
      </c>
      <c r="R151" s="304" t="str">
        <f>IFERROR(IF(AND(Q151='G-1 All Habitats'!$X$3, AE151&gt;0, U151&lt;=0, V151&lt;=0, OR(AA151="No", AA151="")),"Any Loss Unacceptable ⚠", (IF(AND(Q151='G-1 All Habitats'!$X$3, AE151&gt;0, U151&lt;=0, V151&lt;=0, AA151="Yes"), 0, (IF(AND(Q151='G-1 All Habitats'!$X$3,(U151+V151)&lt;E151, OR(AA151="No", AA151="")),"Any Loss Unacceptable ⚠", (IF(AND(Q151='G-1 All Habitats'!$X$3,(U151+V151)&gt;E151), E151*G151*I151*L151*N151*P151, (IF(Q151="","",IF(AND(Q151='G-1 All Habitats'!$X$3,V151&gt;0),W151+X151,IF(AND(Q151='G-1 All Habitats'!$X$3,U151&gt;0), W151+X151, IF(AND(S151="Yes", V151&gt;(E151-U151)),(E151-U151)*G151*I151*L151*N151*P151, IF(AND(S151="Yes", V151&lt;=(E151-U151)), X151, E151*G151*I151*L151*N151*P151 ))))))))))))),"Check Data ▲")</f>
        <v/>
      </c>
      <c r="S151" s="671" t="str">
        <f t="shared" si="18"/>
        <v/>
      </c>
      <c r="T151" s="17"/>
      <c r="U151" s="95"/>
      <c r="V151" s="106"/>
      <c r="W151" s="302" t="str">
        <f t="shared" si="19"/>
        <v/>
      </c>
      <c r="X151" s="302" t="str">
        <f t="shared" si="20"/>
        <v/>
      </c>
      <c r="Y151" s="302" t="str">
        <f t="shared" si="21"/>
        <v/>
      </c>
      <c r="Z151" s="471" t="str">
        <f t="shared" si="22"/>
        <v/>
      </c>
      <c r="AA151" s="488"/>
      <c r="AB151" s="486"/>
      <c r="AC151" s="101"/>
      <c r="AD151" s="101"/>
      <c r="AE151" s="41" t="str">
        <f>IF(OR(Q151="",AA151="Yes"),"",IF(Q151='G-1 All Habitats'!$X$3,E151-U151-V151,"None"))</f>
        <v/>
      </c>
      <c r="AF151" s="42" t="str">
        <f>IF(Q151="","", IF(Q151='G-1 All Habitats'!$X$3, AE151*G151*I151*L151*N151*P151,"None"))</f>
        <v/>
      </c>
      <c r="AI151" s="15">
        <f t="shared" si="23"/>
        <v>0</v>
      </c>
      <c r="AJ151" s="105" t="str">
        <f t="shared" si="24"/>
        <v/>
      </c>
      <c r="AK151" s="105" t="str">
        <f t="shared" si="25"/>
        <v/>
      </c>
      <c r="AM151" s="105">
        <v>142</v>
      </c>
      <c r="AO151" s="105" t="str">
        <f t="array" ref="AO151">IFERROR(INDEX($AM$10:$AM$258, MATCH(0, IF(TRUE=$AJ$10:$AJ$258, COUNTIF($AO$9:$AO150, $AM$10:$AM$258), ""), 0)),"")</f>
        <v/>
      </c>
      <c r="AP151" s="105" t="str">
        <f t="array" ref="AP151">IFERROR(INDEX($AM$10:$AM$258, MATCH(0, IF(TRUE=$AK$10:$AK$258, COUNTIF($AP$9:$AP150, $AM$10:$AM$258), ""), 0)),"")</f>
        <v/>
      </c>
      <c r="AR151" s="15" t="str">
        <f>IFERROR(INDEX('G-7 WaterC'' Data'!$AZ$3:$AZ$7,MATCH(D151,'G-7 WaterC'' Data'!$AY$3:$AY$7,0)),"")</f>
        <v/>
      </c>
      <c r="AS151" s="15" t="str">
        <f>IFERROR(INDEX('G-7 WaterC'' Data'!AZ151:AZ155,MATCH(D151,'G-7 WaterC'' Data'!$AY$10:$AY$14,0)),"")</f>
        <v/>
      </c>
      <c r="AU151" s="15" t="str">
        <f>IF(D151="","",VLOOKUP(D151,'G-7 WaterC'' Data'!B$4:M$8,12,FALSE))</f>
        <v/>
      </c>
      <c r="AV151" s="15" t="str">
        <f t="shared" si="26"/>
        <v/>
      </c>
    </row>
    <row r="152" spans="3:48" ht="14" x14ac:dyDescent="0.3">
      <c r="C152" s="92">
        <v>143</v>
      </c>
      <c r="D152" s="271"/>
      <c r="E152" s="120"/>
      <c r="F152" s="290" t="str">
        <f>IF(D152="","",VLOOKUP(D152,'G-7 WaterC'' Data'!$B$2:$G$8,2,FALSE))</f>
        <v/>
      </c>
      <c r="G152" s="291" t="str">
        <f>IFERROR(VLOOKUP(F152,'G-7 WaterC'' Data'!$C$4:$D$8,2,FALSE),"")</f>
        <v/>
      </c>
      <c r="H152" s="38"/>
      <c r="I152" s="291" t="str">
        <f>IFERROR(INDEX('G-7 WaterC'' Data'!$H$4:$L$8,MATCH(D152,'G-7 WaterC'' Data'!$B$4:$B$8,0),MATCH(H152,'G-7 WaterC'' Data'!$H$3:$L$3,0)),"")</f>
        <v/>
      </c>
      <c r="J152" s="777"/>
      <c r="K152" s="325" t="str">
        <f>IF(J152="","",IF(VLOOKUP(J152,'G-7 WaterC'' Data'!$AK$4:$AM$6,2,FALSE)=0,"Spatial Data Missing ⚠",VLOOKUP(J152,'G-7 WaterC'' Data'!$AK$4:$AM$6,2,FALSE)))</f>
        <v/>
      </c>
      <c r="L152" s="296" t="str">
        <f>IF(J152="","",IF(VLOOKUP(J152,'G-7 WaterC'' Data'!$AK$4:$AM$9,3,FALSE)=0,"Spatial Data Missing ⚠",VLOOKUP(J152,'G-7 WaterC'' Data'!$AK$4:$AM$6,3,FALSE)))</f>
        <v/>
      </c>
      <c r="M152" s="38"/>
      <c r="N152" s="291" t="str">
        <f>IF(M152="","",IF(AND(D152&lt;&gt;"Culvert",M152="N/A - Culvert"),"Not possible ▲",IF(AND(D152="Culvert",M152&lt;&gt;"N/A - Culvert"),"Not possible ▲",IF(VLOOKUP(M152,'G-7 WaterC'' Data'!$AA$4:$AB$7,2,FALSE)=0,"Spatial Data Missing ⚠",VLOOKUP(M152,'G-7 WaterC'' Data'!$AA$4:$AB$7,2,FALSE)))))</f>
        <v/>
      </c>
      <c r="O152" s="44"/>
      <c r="P152" s="291" t="str">
        <f>IF(O152="","",IF(AND(O152="N/A - Culvert", D152&lt;&gt;"Culvert"),"Not possible ▲", IF(AND(D152="Culvert",O152&lt;&gt;"N/A - Culvert"),"Not possible ▲",IF(VLOOKUP(O152,'G-7 WaterC'' Data'!$AD$4:$AE$14,2,FALSE)=0,"Spatial Data Missing ⚠",VLOOKUP(O152,'G-7 WaterC'' Data'!$AD$4:$AE$14,2,FALSE)))))</f>
        <v/>
      </c>
      <c r="Q152" s="297" t="str">
        <f>IF(D152="","",VLOOKUP(D152,'G-7 WaterC'' Data'!$B$2:$G$8,6,FALSE))</f>
        <v/>
      </c>
      <c r="R152" s="304" t="str">
        <f>IFERROR(IF(AND(Q152='G-1 All Habitats'!$X$3, AE152&gt;0, U152&lt;=0, V152&lt;=0, OR(AA152="No", AA152="")),"Any Loss Unacceptable ⚠", (IF(AND(Q152='G-1 All Habitats'!$X$3, AE152&gt;0, U152&lt;=0, V152&lt;=0, AA152="Yes"), 0, (IF(AND(Q152='G-1 All Habitats'!$X$3,(U152+V152)&lt;E152, OR(AA152="No", AA152="")),"Any Loss Unacceptable ⚠", (IF(AND(Q152='G-1 All Habitats'!$X$3,(U152+V152)&gt;E152), E152*G152*I152*L152*N152*P152, (IF(Q152="","",IF(AND(Q152='G-1 All Habitats'!$X$3,V152&gt;0),W152+X152,IF(AND(Q152='G-1 All Habitats'!$X$3,U152&gt;0), W152+X152, IF(AND(S152="Yes", V152&gt;(E152-U152)),(E152-U152)*G152*I152*L152*N152*P152, IF(AND(S152="Yes", V152&lt;=(E152-U152)), X152, E152*G152*I152*L152*N152*P152 ))))))))))))),"Check Data ▲")</f>
        <v/>
      </c>
      <c r="S152" s="671" t="str">
        <f t="shared" si="18"/>
        <v/>
      </c>
      <c r="T152" s="17"/>
      <c r="U152" s="95"/>
      <c r="V152" s="106"/>
      <c r="W152" s="302" t="str">
        <f t="shared" si="19"/>
        <v/>
      </c>
      <c r="X152" s="302" t="str">
        <f t="shared" si="20"/>
        <v/>
      </c>
      <c r="Y152" s="302" t="str">
        <f t="shared" si="21"/>
        <v/>
      </c>
      <c r="Z152" s="471" t="str">
        <f t="shared" si="22"/>
        <v/>
      </c>
      <c r="AA152" s="488"/>
      <c r="AB152" s="486"/>
      <c r="AC152" s="101"/>
      <c r="AD152" s="101"/>
      <c r="AE152" s="41" t="str">
        <f>IF(OR(Q152="",AA152="Yes"),"",IF(Q152='G-1 All Habitats'!$X$3,E152-U152-V152,"None"))</f>
        <v/>
      </c>
      <c r="AF152" s="42" t="str">
        <f>IF(Q152="","", IF(Q152='G-1 All Habitats'!$X$3, AE152*G152*I152*L152*N152*P152,"None"))</f>
        <v/>
      </c>
      <c r="AI152" s="15">
        <f t="shared" si="23"/>
        <v>0</v>
      </c>
      <c r="AJ152" s="105" t="str">
        <f t="shared" si="24"/>
        <v/>
      </c>
      <c r="AK152" s="105" t="str">
        <f t="shared" si="25"/>
        <v/>
      </c>
      <c r="AM152" s="105">
        <v>143</v>
      </c>
      <c r="AO152" s="105" t="str">
        <f t="array" ref="AO152">IFERROR(INDEX($AM$10:$AM$258, MATCH(0, IF(TRUE=$AJ$10:$AJ$258, COUNTIF($AO$9:$AO151, $AM$10:$AM$258), ""), 0)),"")</f>
        <v/>
      </c>
      <c r="AP152" s="105" t="str">
        <f t="array" ref="AP152">IFERROR(INDEX($AM$10:$AM$258, MATCH(0, IF(TRUE=$AK$10:$AK$258, COUNTIF($AP$9:$AP151, $AM$10:$AM$258), ""), 0)),"")</f>
        <v/>
      </c>
      <c r="AR152" s="15" t="str">
        <f>IFERROR(INDEX('G-7 WaterC'' Data'!$AZ$3:$AZ$7,MATCH(D152,'G-7 WaterC'' Data'!$AY$3:$AY$7,0)),"")</f>
        <v/>
      </c>
      <c r="AS152" s="15" t="str">
        <f>IFERROR(INDEX('G-7 WaterC'' Data'!AZ152:AZ156,MATCH(D152,'G-7 WaterC'' Data'!$AY$10:$AY$14,0)),"")</f>
        <v/>
      </c>
      <c r="AU152" s="15" t="str">
        <f>IF(D152="","",VLOOKUP(D152,'G-7 WaterC'' Data'!B$4:M$8,12,FALSE))</f>
        <v/>
      </c>
      <c r="AV152" s="15" t="str">
        <f t="shared" si="26"/>
        <v/>
      </c>
    </row>
    <row r="153" spans="3:48" ht="14" x14ac:dyDescent="0.3">
      <c r="C153" s="92">
        <v>144</v>
      </c>
      <c r="D153" s="271"/>
      <c r="E153" s="120"/>
      <c r="F153" s="290" t="str">
        <f>IF(D153="","",VLOOKUP(D153,'G-7 WaterC'' Data'!$B$2:$G$8,2,FALSE))</f>
        <v/>
      </c>
      <c r="G153" s="291" t="str">
        <f>IFERROR(VLOOKUP(F153,'G-7 WaterC'' Data'!$C$4:$D$8,2,FALSE),"")</f>
        <v/>
      </c>
      <c r="H153" s="38"/>
      <c r="I153" s="291" t="str">
        <f>IFERROR(INDEX('G-7 WaterC'' Data'!$H$4:$L$8,MATCH(D153,'G-7 WaterC'' Data'!$B$4:$B$8,0),MATCH(H153,'G-7 WaterC'' Data'!$H$3:$L$3,0)),"")</f>
        <v/>
      </c>
      <c r="J153" s="777"/>
      <c r="K153" s="325" t="str">
        <f>IF(J153="","",IF(VLOOKUP(J153,'G-7 WaterC'' Data'!$AK$4:$AM$6,2,FALSE)=0,"Spatial Data Missing ⚠",VLOOKUP(J153,'G-7 WaterC'' Data'!$AK$4:$AM$6,2,FALSE)))</f>
        <v/>
      </c>
      <c r="L153" s="296" t="str">
        <f>IF(J153="","",IF(VLOOKUP(J153,'G-7 WaterC'' Data'!$AK$4:$AM$9,3,FALSE)=0,"Spatial Data Missing ⚠",VLOOKUP(J153,'G-7 WaterC'' Data'!$AK$4:$AM$6,3,FALSE)))</f>
        <v/>
      </c>
      <c r="M153" s="38"/>
      <c r="N153" s="291" t="str">
        <f>IF(M153="","",IF(AND(D153&lt;&gt;"Culvert",M153="N/A - Culvert"),"Not possible ▲",IF(AND(D153="Culvert",M153&lt;&gt;"N/A - Culvert"),"Not possible ▲",IF(VLOOKUP(M153,'G-7 WaterC'' Data'!$AA$4:$AB$7,2,FALSE)=0,"Spatial Data Missing ⚠",VLOOKUP(M153,'G-7 WaterC'' Data'!$AA$4:$AB$7,2,FALSE)))))</f>
        <v/>
      </c>
      <c r="O153" s="44"/>
      <c r="P153" s="291" t="str">
        <f>IF(O153="","",IF(AND(O153="N/A - Culvert", D153&lt;&gt;"Culvert"),"Not possible ▲", IF(AND(D153="Culvert",O153&lt;&gt;"N/A - Culvert"),"Not possible ▲",IF(VLOOKUP(O153,'G-7 WaterC'' Data'!$AD$4:$AE$14,2,FALSE)=0,"Spatial Data Missing ⚠",VLOOKUP(O153,'G-7 WaterC'' Data'!$AD$4:$AE$14,2,FALSE)))))</f>
        <v/>
      </c>
      <c r="Q153" s="297" t="str">
        <f>IF(D153="","",VLOOKUP(D153,'G-7 WaterC'' Data'!$B$2:$G$8,6,FALSE))</f>
        <v/>
      </c>
      <c r="R153" s="304" t="str">
        <f>IFERROR(IF(AND(Q153='G-1 All Habitats'!$X$3, AE153&gt;0, U153&lt;=0, V153&lt;=0, OR(AA153="No", AA153="")),"Any Loss Unacceptable ⚠", (IF(AND(Q153='G-1 All Habitats'!$X$3, AE153&gt;0, U153&lt;=0, V153&lt;=0, AA153="Yes"), 0, (IF(AND(Q153='G-1 All Habitats'!$X$3,(U153+V153)&lt;E153, OR(AA153="No", AA153="")),"Any Loss Unacceptable ⚠", (IF(AND(Q153='G-1 All Habitats'!$X$3,(U153+V153)&gt;E153), E153*G153*I153*L153*N153*P153, (IF(Q153="","",IF(AND(Q153='G-1 All Habitats'!$X$3,V153&gt;0),W153+X153,IF(AND(Q153='G-1 All Habitats'!$X$3,U153&gt;0), W153+X153, IF(AND(S153="Yes", V153&gt;(E153-U153)),(E153-U153)*G153*I153*L153*N153*P153, IF(AND(S153="Yes", V153&lt;=(E153-U153)), X153, E153*G153*I153*L153*N153*P153 ))))))))))))),"Check Data ▲")</f>
        <v/>
      </c>
      <c r="S153" s="671" t="str">
        <f t="shared" si="18"/>
        <v/>
      </c>
      <c r="T153" s="17"/>
      <c r="U153" s="95"/>
      <c r="V153" s="106"/>
      <c r="W153" s="302" t="str">
        <f t="shared" si="19"/>
        <v/>
      </c>
      <c r="X153" s="302" t="str">
        <f t="shared" si="20"/>
        <v/>
      </c>
      <c r="Y153" s="302" t="str">
        <f t="shared" si="21"/>
        <v/>
      </c>
      <c r="Z153" s="471" t="str">
        <f t="shared" si="22"/>
        <v/>
      </c>
      <c r="AA153" s="488"/>
      <c r="AB153" s="486"/>
      <c r="AC153" s="101"/>
      <c r="AD153" s="101"/>
      <c r="AE153" s="41" t="str">
        <f>IF(OR(Q153="",AA153="Yes"),"",IF(Q153='G-1 All Habitats'!$X$3,E153-U153-V153,"None"))</f>
        <v/>
      </c>
      <c r="AF153" s="42" t="str">
        <f>IF(Q153="","", IF(Q153='G-1 All Habitats'!$X$3, AE153*G153*I153*L153*N153*P153,"None"))</f>
        <v/>
      </c>
      <c r="AI153" s="15">
        <f t="shared" si="23"/>
        <v>0</v>
      </c>
      <c r="AJ153" s="105" t="str">
        <f t="shared" si="24"/>
        <v/>
      </c>
      <c r="AK153" s="105" t="str">
        <f t="shared" si="25"/>
        <v/>
      </c>
      <c r="AM153" s="105">
        <v>144</v>
      </c>
      <c r="AO153" s="105" t="str">
        <f t="array" ref="AO153">IFERROR(INDEX($AM$10:$AM$258, MATCH(0, IF(TRUE=$AJ$10:$AJ$258, COUNTIF($AO$9:$AO152, $AM$10:$AM$258), ""), 0)),"")</f>
        <v/>
      </c>
      <c r="AP153" s="105" t="str">
        <f t="array" ref="AP153">IFERROR(INDEX($AM$10:$AM$258, MATCH(0, IF(TRUE=$AK$10:$AK$258, COUNTIF($AP$9:$AP152, $AM$10:$AM$258), ""), 0)),"")</f>
        <v/>
      </c>
      <c r="AR153" s="15" t="str">
        <f>IFERROR(INDEX('G-7 WaterC'' Data'!$AZ$3:$AZ$7,MATCH(D153,'G-7 WaterC'' Data'!$AY$3:$AY$7,0)),"")</f>
        <v/>
      </c>
      <c r="AS153" s="15" t="str">
        <f>IFERROR(INDEX('G-7 WaterC'' Data'!AZ153:AZ157,MATCH(D153,'G-7 WaterC'' Data'!$AY$10:$AY$14,0)),"")</f>
        <v/>
      </c>
      <c r="AU153" s="15" t="str">
        <f>IF(D153="","",VLOOKUP(D153,'G-7 WaterC'' Data'!B$4:M$8,12,FALSE))</f>
        <v/>
      </c>
      <c r="AV153" s="15" t="str">
        <f t="shared" si="26"/>
        <v/>
      </c>
    </row>
    <row r="154" spans="3:48" ht="14" x14ac:dyDescent="0.3">
      <c r="C154" s="92">
        <v>145</v>
      </c>
      <c r="D154" s="271"/>
      <c r="E154" s="120"/>
      <c r="F154" s="290" t="str">
        <f>IF(D154="","",VLOOKUP(D154,'G-7 WaterC'' Data'!$B$2:$G$8,2,FALSE))</f>
        <v/>
      </c>
      <c r="G154" s="291" t="str">
        <f>IFERROR(VLOOKUP(F154,'G-7 WaterC'' Data'!$C$4:$D$8,2,FALSE),"")</f>
        <v/>
      </c>
      <c r="H154" s="38"/>
      <c r="I154" s="291" t="str">
        <f>IFERROR(INDEX('G-7 WaterC'' Data'!$H$4:$L$8,MATCH(D154,'G-7 WaterC'' Data'!$B$4:$B$8,0),MATCH(H154,'G-7 WaterC'' Data'!$H$3:$L$3,0)),"")</f>
        <v/>
      </c>
      <c r="J154" s="777"/>
      <c r="K154" s="325" t="str">
        <f>IF(J154="","",IF(VLOOKUP(J154,'G-7 WaterC'' Data'!$AK$4:$AM$6,2,FALSE)=0,"Spatial Data Missing ⚠",VLOOKUP(J154,'G-7 WaterC'' Data'!$AK$4:$AM$6,2,FALSE)))</f>
        <v/>
      </c>
      <c r="L154" s="296" t="str">
        <f>IF(J154="","",IF(VLOOKUP(J154,'G-7 WaterC'' Data'!$AK$4:$AM$9,3,FALSE)=0,"Spatial Data Missing ⚠",VLOOKUP(J154,'G-7 WaterC'' Data'!$AK$4:$AM$6,3,FALSE)))</f>
        <v/>
      </c>
      <c r="M154" s="38"/>
      <c r="N154" s="291" t="str">
        <f>IF(M154="","",IF(AND(D154&lt;&gt;"Culvert",M154="N/A - Culvert"),"Not possible ▲",IF(AND(D154="Culvert",M154&lt;&gt;"N/A - Culvert"),"Not possible ▲",IF(VLOOKUP(M154,'G-7 WaterC'' Data'!$AA$4:$AB$7,2,FALSE)=0,"Spatial Data Missing ⚠",VLOOKUP(M154,'G-7 WaterC'' Data'!$AA$4:$AB$7,2,FALSE)))))</f>
        <v/>
      </c>
      <c r="O154" s="44"/>
      <c r="P154" s="291" t="str">
        <f>IF(O154="","",IF(AND(O154="N/A - Culvert", D154&lt;&gt;"Culvert"),"Not possible ▲", IF(AND(D154="Culvert",O154&lt;&gt;"N/A - Culvert"),"Not possible ▲",IF(VLOOKUP(O154,'G-7 WaterC'' Data'!$AD$4:$AE$14,2,FALSE)=0,"Spatial Data Missing ⚠",VLOOKUP(O154,'G-7 WaterC'' Data'!$AD$4:$AE$14,2,FALSE)))))</f>
        <v/>
      </c>
      <c r="Q154" s="297" t="str">
        <f>IF(D154="","",VLOOKUP(D154,'G-7 WaterC'' Data'!$B$2:$G$8,6,FALSE))</f>
        <v/>
      </c>
      <c r="R154" s="304" t="str">
        <f>IFERROR(IF(AND(Q154='G-1 All Habitats'!$X$3, AE154&gt;0, U154&lt;=0, V154&lt;=0, OR(AA154="No", AA154="")),"Any Loss Unacceptable ⚠", (IF(AND(Q154='G-1 All Habitats'!$X$3, AE154&gt;0, U154&lt;=0, V154&lt;=0, AA154="Yes"), 0, (IF(AND(Q154='G-1 All Habitats'!$X$3,(U154+V154)&lt;E154, OR(AA154="No", AA154="")),"Any Loss Unacceptable ⚠", (IF(AND(Q154='G-1 All Habitats'!$X$3,(U154+V154)&gt;E154), E154*G154*I154*L154*N154*P154, (IF(Q154="","",IF(AND(Q154='G-1 All Habitats'!$X$3,V154&gt;0),W154+X154,IF(AND(Q154='G-1 All Habitats'!$X$3,U154&gt;0), W154+X154, IF(AND(S154="Yes", V154&gt;(E154-U154)),(E154-U154)*G154*I154*L154*N154*P154, IF(AND(S154="Yes", V154&lt;=(E154-U154)), X154, E154*G154*I154*L154*N154*P154 ))))))))))))),"Check Data ▲")</f>
        <v/>
      </c>
      <c r="S154" s="671" t="str">
        <f t="shared" si="18"/>
        <v/>
      </c>
      <c r="T154" s="17"/>
      <c r="U154" s="95"/>
      <c r="V154" s="106"/>
      <c r="W154" s="302" t="str">
        <f t="shared" si="19"/>
        <v/>
      </c>
      <c r="X154" s="302" t="str">
        <f t="shared" si="20"/>
        <v/>
      </c>
      <c r="Y154" s="302" t="str">
        <f t="shared" si="21"/>
        <v/>
      </c>
      <c r="Z154" s="471" t="str">
        <f t="shared" si="22"/>
        <v/>
      </c>
      <c r="AA154" s="488"/>
      <c r="AB154" s="486"/>
      <c r="AC154" s="101"/>
      <c r="AD154" s="101"/>
      <c r="AE154" s="41" t="str">
        <f>IF(OR(Q154="",AA154="Yes"),"",IF(Q154='G-1 All Habitats'!$X$3,E154-U154-V154,"None"))</f>
        <v/>
      </c>
      <c r="AF154" s="42" t="str">
        <f>IF(Q154="","", IF(Q154='G-1 All Habitats'!$X$3, AE154*G154*I154*L154*N154*P154,"None"))</f>
        <v/>
      </c>
      <c r="AI154" s="15">
        <f t="shared" si="23"/>
        <v>0</v>
      </c>
      <c r="AJ154" s="105" t="str">
        <f t="shared" si="24"/>
        <v/>
      </c>
      <c r="AK154" s="105" t="str">
        <f t="shared" si="25"/>
        <v/>
      </c>
      <c r="AM154" s="105">
        <v>145</v>
      </c>
      <c r="AO154" s="105" t="str">
        <f t="array" ref="AO154">IFERROR(INDEX($AM$10:$AM$258, MATCH(0, IF(TRUE=$AJ$10:$AJ$258, COUNTIF($AO$9:$AO153, $AM$10:$AM$258), ""), 0)),"")</f>
        <v/>
      </c>
      <c r="AP154" s="105" t="str">
        <f t="array" ref="AP154">IFERROR(INDEX($AM$10:$AM$258, MATCH(0, IF(TRUE=$AK$10:$AK$258, COUNTIF($AP$9:$AP153, $AM$10:$AM$258), ""), 0)),"")</f>
        <v/>
      </c>
      <c r="AR154" s="15" t="str">
        <f>IFERROR(INDEX('G-7 WaterC'' Data'!$AZ$3:$AZ$7,MATCH(D154,'G-7 WaterC'' Data'!$AY$3:$AY$7,0)),"")</f>
        <v/>
      </c>
      <c r="AS154" s="15" t="str">
        <f>IFERROR(INDEX('G-7 WaterC'' Data'!AZ154:AZ158,MATCH(D154,'G-7 WaterC'' Data'!$AY$10:$AY$14,0)),"")</f>
        <v/>
      </c>
      <c r="AU154" s="15" t="str">
        <f>IF(D154="","",VLOOKUP(D154,'G-7 WaterC'' Data'!B$4:M$8,12,FALSE))</f>
        <v/>
      </c>
      <c r="AV154" s="15" t="str">
        <f t="shared" si="26"/>
        <v/>
      </c>
    </row>
    <row r="155" spans="3:48" ht="14" x14ac:dyDescent="0.3">
      <c r="C155" s="92">
        <v>146</v>
      </c>
      <c r="D155" s="271"/>
      <c r="E155" s="120"/>
      <c r="F155" s="290" t="str">
        <f>IF(D155="","",VLOOKUP(D155,'G-7 WaterC'' Data'!$B$2:$G$8,2,FALSE))</f>
        <v/>
      </c>
      <c r="G155" s="291" t="str">
        <f>IFERROR(VLOOKUP(F155,'G-7 WaterC'' Data'!$C$4:$D$8,2,FALSE),"")</f>
        <v/>
      </c>
      <c r="H155" s="38"/>
      <c r="I155" s="291" t="str">
        <f>IFERROR(INDEX('G-7 WaterC'' Data'!$H$4:$L$8,MATCH(D155,'G-7 WaterC'' Data'!$B$4:$B$8,0),MATCH(H155,'G-7 WaterC'' Data'!$H$3:$L$3,0)),"")</f>
        <v/>
      </c>
      <c r="J155" s="777"/>
      <c r="K155" s="325" t="str">
        <f>IF(J155="","",IF(VLOOKUP(J155,'G-7 WaterC'' Data'!$AK$4:$AM$6,2,FALSE)=0,"Spatial Data Missing ⚠",VLOOKUP(J155,'G-7 WaterC'' Data'!$AK$4:$AM$6,2,FALSE)))</f>
        <v/>
      </c>
      <c r="L155" s="296" t="str">
        <f>IF(J155="","",IF(VLOOKUP(J155,'G-7 WaterC'' Data'!$AK$4:$AM$9,3,FALSE)=0,"Spatial Data Missing ⚠",VLOOKUP(J155,'G-7 WaterC'' Data'!$AK$4:$AM$6,3,FALSE)))</f>
        <v/>
      </c>
      <c r="M155" s="38"/>
      <c r="N155" s="291" t="str">
        <f>IF(M155="","",IF(AND(D155&lt;&gt;"Culvert",M155="N/A - Culvert"),"Not possible ▲",IF(AND(D155="Culvert",M155&lt;&gt;"N/A - Culvert"),"Not possible ▲",IF(VLOOKUP(M155,'G-7 WaterC'' Data'!$AA$4:$AB$7,2,FALSE)=0,"Spatial Data Missing ⚠",VLOOKUP(M155,'G-7 WaterC'' Data'!$AA$4:$AB$7,2,FALSE)))))</f>
        <v/>
      </c>
      <c r="O155" s="44"/>
      <c r="P155" s="291" t="str">
        <f>IF(O155="","",IF(AND(O155="N/A - Culvert", D155&lt;&gt;"Culvert"),"Not possible ▲", IF(AND(D155="Culvert",O155&lt;&gt;"N/A - Culvert"),"Not possible ▲",IF(VLOOKUP(O155,'G-7 WaterC'' Data'!$AD$4:$AE$14,2,FALSE)=0,"Spatial Data Missing ⚠",VLOOKUP(O155,'G-7 WaterC'' Data'!$AD$4:$AE$14,2,FALSE)))))</f>
        <v/>
      </c>
      <c r="Q155" s="297" t="str">
        <f>IF(D155="","",VLOOKUP(D155,'G-7 WaterC'' Data'!$B$2:$G$8,6,FALSE))</f>
        <v/>
      </c>
      <c r="R155" s="304" t="str">
        <f>IFERROR(IF(AND(Q155='G-1 All Habitats'!$X$3, AE155&gt;0, U155&lt;=0, V155&lt;=0, OR(AA155="No", AA155="")),"Any Loss Unacceptable ⚠", (IF(AND(Q155='G-1 All Habitats'!$X$3, AE155&gt;0, U155&lt;=0, V155&lt;=0, AA155="Yes"), 0, (IF(AND(Q155='G-1 All Habitats'!$X$3,(U155+V155)&lt;E155, OR(AA155="No", AA155="")),"Any Loss Unacceptable ⚠", (IF(AND(Q155='G-1 All Habitats'!$X$3,(U155+V155)&gt;E155), E155*G155*I155*L155*N155*P155, (IF(Q155="","",IF(AND(Q155='G-1 All Habitats'!$X$3,V155&gt;0),W155+X155,IF(AND(Q155='G-1 All Habitats'!$X$3,U155&gt;0), W155+X155, IF(AND(S155="Yes", V155&gt;(E155-U155)),(E155-U155)*G155*I155*L155*N155*P155, IF(AND(S155="Yes", V155&lt;=(E155-U155)), X155, E155*G155*I155*L155*N155*P155 ))))))))))))),"Check Data ▲")</f>
        <v/>
      </c>
      <c r="S155" s="671" t="str">
        <f t="shared" si="18"/>
        <v/>
      </c>
      <c r="T155" s="17"/>
      <c r="U155" s="95"/>
      <c r="V155" s="106"/>
      <c r="W155" s="302" t="str">
        <f t="shared" si="19"/>
        <v/>
      </c>
      <c r="X155" s="302" t="str">
        <f t="shared" si="20"/>
        <v/>
      </c>
      <c r="Y155" s="302" t="str">
        <f t="shared" si="21"/>
        <v/>
      </c>
      <c r="Z155" s="471" t="str">
        <f t="shared" si="22"/>
        <v/>
      </c>
      <c r="AA155" s="488"/>
      <c r="AB155" s="486"/>
      <c r="AC155" s="101"/>
      <c r="AD155" s="101"/>
      <c r="AE155" s="41" t="str">
        <f>IF(OR(Q155="",AA155="Yes"),"",IF(Q155='G-1 All Habitats'!$X$3,E155-U155-V155,"None"))</f>
        <v/>
      </c>
      <c r="AF155" s="42" t="str">
        <f>IF(Q155="","", IF(Q155='G-1 All Habitats'!$X$3, AE155*G155*I155*L155*N155*P155,"None"))</f>
        <v/>
      </c>
      <c r="AI155" s="15">
        <f t="shared" si="23"/>
        <v>0</v>
      </c>
      <c r="AJ155" s="105" t="str">
        <f t="shared" si="24"/>
        <v/>
      </c>
      <c r="AK155" s="105" t="str">
        <f t="shared" si="25"/>
        <v/>
      </c>
      <c r="AM155" s="105">
        <v>146</v>
      </c>
      <c r="AO155" s="105" t="str">
        <f t="array" ref="AO155">IFERROR(INDEX($AM$10:$AM$258, MATCH(0, IF(TRUE=$AJ$10:$AJ$258, COUNTIF($AO$9:$AO154, $AM$10:$AM$258), ""), 0)),"")</f>
        <v/>
      </c>
      <c r="AP155" s="105" t="str">
        <f t="array" ref="AP155">IFERROR(INDEX($AM$10:$AM$258, MATCH(0, IF(TRUE=$AK$10:$AK$258, COUNTIF($AP$9:$AP154, $AM$10:$AM$258), ""), 0)),"")</f>
        <v/>
      </c>
      <c r="AR155" s="15" t="str">
        <f>IFERROR(INDEX('G-7 WaterC'' Data'!$AZ$3:$AZ$7,MATCH(D155,'G-7 WaterC'' Data'!$AY$3:$AY$7,0)),"")</f>
        <v/>
      </c>
      <c r="AS155" s="15" t="str">
        <f>IFERROR(INDEX('G-7 WaterC'' Data'!AZ155:AZ159,MATCH(D155,'G-7 WaterC'' Data'!$AY$10:$AY$14,0)),"")</f>
        <v/>
      </c>
      <c r="AU155" s="15" t="str">
        <f>IF(D155="","",VLOOKUP(D155,'G-7 WaterC'' Data'!B$4:M$8,12,FALSE))</f>
        <v/>
      </c>
      <c r="AV155" s="15" t="str">
        <f t="shared" si="26"/>
        <v/>
      </c>
    </row>
    <row r="156" spans="3:48" ht="14" x14ac:dyDescent="0.3">
      <c r="C156" s="92">
        <v>147</v>
      </c>
      <c r="D156" s="271"/>
      <c r="E156" s="120"/>
      <c r="F156" s="290" t="str">
        <f>IF(D156="","",VLOOKUP(D156,'G-7 WaterC'' Data'!$B$2:$G$8,2,FALSE))</f>
        <v/>
      </c>
      <c r="G156" s="291" t="str">
        <f>IFERROR(VLOOKUP(F156,'G-7 WaterC'' Data'!$C$4:$D$8,2,FALSE),"")</f>
        <v/>
      </c>
      <c r="H156" s="38"/>
      <c r="I156" s="291" t="str">
        <f>IFERROR(INDEX('G-7 WaterC'' Data'!$H$4:$L$8,MATCH(D156,'G-7 WaterC'' Data'!$B$4:$B$8,0),MATCH(H156,'G-7 WaterC'' Data'!$H$3:$L$3,0)),"")</f>
        <v/>
      </c>
      <c r="J156" s="777"/>
      <c r="K156" s="325" t="str">
        <f>IF(J156="","",IF(VLOOKUP(J156,'G-7 WaterC'' Data'!$AK$4:$AM$6,2,FALSE)=0,"Spatial Data Missing ⚠",VLOOKUP(J156,'G-7 WaterC'' Data'!$AK$4:$AM$6,2,FALSE)))</f>
        <v/>
      </c>
      <c r="L156" s="296" t="str">
        <f>IF(J156="","",IF(VLOOKUP(J156,'G-7 WaterC'' Data'!$AK$4:$AM$9,3,FALSE)=0,"Spatial Data Missing ⚠",VLOOKUP(J156,'G-7 WaterC'' Data'!$AK$4:$AM$6,3,FALSE)))</f>
        <v/>
      </c>
      <c r="M156" s="38"/>
      <c r="N156" s="291" t="str">
        <f>IF(M156="","",IF(AND(D156&lt;&gt;"Culvert",M156="N/A - Culvert"),"Not possible ▲",IF(AND(D156="Culvert",M156&lt;&gt;"N/A - Culvert"),"Not possible ▲",IF(VLOOKUP(M156,'G-7 WaterC'' Data'!$AA$4:$AB$7,2,FALSE)=0,"Spatial Data Missing ⚠",VLOOKUP(M156,'G-7 WaterC'' Data'!$AA$4:$AB$7,2,FALSE)))))</f>
        <v/>
      </c>
      <c r="O156" s="44"/>
      <c r="P156" s="291" t="str">
        <f>IF(O156="","",IF(AND(O156="N/A - Culvert", D156&lt;&gt;"Culvert"),"Not possible ▲", IF(AND(D156="Culvert",O156&lt;&gt;"N/A - Culvert"),"Not possible ▲",IF(VLOOKUP(O156,'G-7 WaterC'' Data'!$AD$4:$AE$14,2,FALSE)=0,"Spatial Data Missing ⚠",VLOOKUP(O156,'G-7 WaterC'' Data'!$AD$4:$AE$14,2,FALSE)))))</f>
        <v/>
      </c>
      <c r="Q156" s="297" t="str">
        <f>IF(D156="","",VLOOKUP(D156,'G-7 WaterC'' Data'!$B$2:$G$8,6,FALSE))</f>
        <v/>
      </c>
      <c r="R156" s="304" t="str">
        <f>IFERROR(IF(AND(Q156='G-1 All Habitats'!$X$3, AE156&gt;0, U156&lt;=0, V156&lt;=0, OR(AA156="No", AA156="")),"Any Loss Unacceptable ⚠", (IF(AND(Q156='G-1 All Habitats'!$X$3, AE156&gt;0, U156&lt;=0, V156&lt;=0, AA156="Yes"), 0, (IF(AND(Q156='G-1 All Habitats'!$X$3,(U156+V156)&lt;E156, OR(AA156="No", AA156="")),"Any Loss Unacceptable ⚠", (IF(AND(Q156='G-1 All Habitats'!$X$3,(U156+V156)&gt;E156), E156*G156*I156*L156*N156*P156, (IF(Q156="","",IF(AND(Q156='G-1 All Habitats'!$X$3,V156&gt;0),W156+X156,IF(AND(Q156='G-1 All Habitats'!$X$3,U156&gt;0), W156+X156, IF(AND(S156="Yes", V156&gt;(E156-U156)),(E156-U156)*G156*I156*L156*N156*P156, IF(AND(S156="Yes", V156&lt;=(E156-U156)), X156, E156*G156*I156*L156*N156*P156 ))))))))))))),"Check Data ▲")</f>
        <v/>
      </c>
      <c r="S156" s="671" t="str">
        <f t="shared" si="18"/>
        <v/>
      </c>
      <c r="T156" s="17"/>
      <c r="U156" s="95"/>
      <c r="V156" s="106"/>
      <c r="W156" s="302" t="str">
        <f t="shared" si="19"/>
        <v/>
      </c>
      <c r="X156" s="302" t="str">
        <f t="shared" si="20"/>
        <v/>
      </c>
      <c r="Y156" s="302" t="str">
        <f t="shared" si="21"/>
        <v/>
      </c>
      <c r="Z156" s="471" t="str">
        <f t="shared" si="22"/>
        <v/>
      </c>
      <c r="AA156" s="488"/>
      <c r="AB156" s="486"/>
      <c r="AC156" s="101"/>
      <c r="AD156" s="101"/>
      <c r="AE156" s="41" t="str">
        <f>IF(OR(Q156="",AA156="Yes"),"",IF(Q156='G-1 All Habitats'!$X$3,E156-U156-V156,"None"))</f>
        <v/>
      </c>
      <c r="AF156" s="42" t="str">
        <f>IF(Q156="","", IF(Q156='G-1 All Habitats'!$X$3, AE156*G156*I156*L156*N156*P156,"None"))</f>
        <v/>
      </c>
      <c r="AI156" s="15">
        <f t="shared" si="23"/>
        <v>0</v>
      </c>
      <c r="AJ156" s="105" t="str">
        <f t="shared" si="24"/>
        <v/>
      </c>
      <c r="AK156" s="105" t="str">
        <f t="shared" si="25"/>
        <v/>
      </c>
      <c r="AM156" s="105">
        <v>147</v>
      </c>
      <c r="AO156" s="105" t="str">
        <f t="array" ref="AO156">IFERROR(INDEX($AM$10:$AM$258, MATCH(0, IF(TRUE=$AJ$10:$AJ$258, COUNTIF($AO$9:$AO155, $AM$10:$AM$258), ""), 0)),"")</f>
        <v/>
      </c>
      <c r="AP156" s="105" t="str">
        <f t="array" ref="AP156">IFERROR(INDEX($AM$10:$AM$258, MATCH(0, IF(TRUE=$AK$10:$AK$258, COUNTIF($AP$9:$AP155, $AM$10:$AM$258), ""), 0)),"")</f>
        <v/>
      </c>
      <c r="AR156" s="15" t="str">
        <f>IFERROR(INDEX('G-7 WaterC'' Data'!$AZ$3:$AZ$7,MATCH(D156,'G-7 WaterC'' Data'!$AY$3:$AY$7,0)),"")</f>
        <v/>
      </c>
      <c r="AS156" s="15" t="str">
        <f>IFERROR(INDEX('G-7 WaterC'' Data'!AZ156:AZ160,MATCH(D156,'G-7 WaterC'' Data'!$AY$10:$AY$14,0)),"")</f>
        <v/>
      </c>
      <c r="AU156" s="15" t="str">
        <f>IF(D156="","",VLOOKUP(D156,'G-7 WaterC'' Data'!B$4:M$8,12,FALSE))</f>
        <v/>
      </c>
      <c r="AV156" s="15" t="str">
        <f t="shared" si="26"/>
        <v/>
      </c>
    </row>
    <row r="157" spans="3:48" ht="14" x14ac:dyDescent="0.3">
      <c r="C157" s="92">
        <v>148</v>
      </c>
      <c r="D157" s="271"/>
      <c r="E157" s="120"/>
      <c r="F157" s="290" t="str">
        <f>IF(D157="","",VLOOKUP(D157,'G-7 WaterC'' Data'!$B$2:$G$8,2,FALSE))</f>
        <v/>
      </c>
      <c r="G157" s="291" t="str">
        <f>IFERROR(VLOOKUP(F157,'G-7 WaterC'' Data'!$C$4:$D$8,2,FALSE),"")</f>
        <v/>
      </c>
      <c r="H157" s="38"/>
      <c r="I157" s="291" t="str">
        <f>IFERROR(INDEX('G-7 WaterC'' Data'!$H$4:$L$8,MATCH(D157,'G-7 WaterC'' Data'!$B$4:$B$8,0),MATCH(H157,'G-7 WaterC'' Data'!$H$3:$L$3,0)),"")</f>
        <v/>
      </c>
      <c r="J157" s="777"/>
      <c r="K157" s="325" t="str">
        <f>IF(J157="","",IF(VLOOKUP(J157,'G-7 WaterC'' Data'!$AK$4:$AM$6,2,FALSE)=0,"Spatial Data Missing ⚠",VLOOKUP(J157,'G-7 WaterC'' Data'!$AK$4:$AM$6,2,FALSE)))</f>
        <v/>
      </c>
      <c r="L157" s="296" t="str">
        <f>IF(J157="","",IF(VLOOKUP(J157,'G-7 WaterC'' Data'!$AK$4:$AM$9,3,FALSE)=0,"Spatial Data Missing ⚠",VLOOKUP(J157,'G-7 WaterC'' Data'!$AK$4:$AM$6,3,FALSE)))</f>
        <v/>
      </c>
      <c r="M157" s="38"/>
      <c r="N157" s="291" t="str">
        <f>IF(M157="","",IF(AND(D157&lt;&gt;"Culvert",M157="N/A - Culvert"),"Not possible ▲",IF(AND(D157="Culvert",M157&lt;&gt;"N/A - Culvert"),"Not possible ▲",IF(VLOOKUP(M157,'G-7 WaterC'' Data'!$AA$4:$AB$7,2,FALSE)=0,"Spatial Data Missing ⚠",VLOOKUP(M157,'G-7 WaterC'' Data'!$AA$4:$AB$7,2,FALSE)))))</f>
        <v/>
      </c>
      <c r="O157" s="44"/>
      <c r="P157" s="291" t="str">
        <f>IF(O157="","",IF(AND(O157="N/A - Culvert", D157&lt;&gt;"Culvert"),"Not possible ▲", IF(AND(D157="Culvert",O157&lt;&gt;"N/A - Culvert"),"Not possible ▲",IF(VLOOKUP(O157,'G-7 WaterC'' Data'!$AD$4:$AE$14,2,FALSE)=0,"Spatial Data Missing ⚠",VLOOKUP(O157,'G-7 WaterC'' Data'!$AD$4:$AE$14,2,FALSE)))))</f>
        <v/>
      </c>
      <c r="Q157" s="297" t="str">
        <f>IF(D157="","",VLOOKUP(D157,'G-7 WaterC'' Data'!$B$2:$G$8,6,FALSE))</f>
        <v/>
      </c>
      <c r="R157" s="304" t="str">
        <f>IFERROR(IF(AND(Q157='G-1 All Habitats'!$X$3, AE157&gt;0, U157&lt;=0, V157&lt;=0, OR(AA157="No", AA157="")),"Any Loss Unacceptable ⚠", (IF(AND(Q157='G-1 All Habitats'!$X$3, AE157&gt;0, U157&lt;=0, V157&lt;=0, AA157="Yes"), 0, (IF(AND(Q157='G-1 All Habitats'!$X$3,(U157+V157)&lt;E157, OR(AA157="No", AA157="")),"Any Loss Unacceptable ⚠", (IF(AND(Q157='G-1 All Habitats'!$X$3,(U157+V157)&gt;E157), E157*G157*I157*L157*N157*P157, (IF(Q157="","",IF(AND(Q157='G-1 All Habitats'!$X$3,V157&gt;0),W157+X157,IF(AND(Q157='G-1 All Habitats'!$X$3,U157&gt;0), W157+X157, IF(AND(S157="Yes", V157&gt;(E157-U157)),(E157-U157)*G157*I157*L157*N157*P157, IF(AND(S157="Yes", V157&lt;=(E157-U157)), X157, E157*G157*I157*L157*N157*P157 ))))))))))))),"Check Data ▲")</f>
        <v/>
      </c>
      <c r="S157" s="671" t="str">
        <f t="shared" si="18"/>
        <v/>
      </c>
      <c r="T157" s="17"/>
      <c r="U157" s="95"/>
      <c r="V157" s="106"/>
      <c r="W157" s="302" t="str">
        <f t="shared" si="19"/>
        <v/>
      </c>
      <c r="X157" s="302" t="str">
        <f t="shared" si="20"/>
        <v/>
      </c>
      <c r="Y157" s="302" t="str">
        <f t="shared" si="21"/>
        <v/>
      </c>
      <c r="Z157" s="471" t="str">
        <f t="shared" si="22"/>
        <v/>
      </c>
      <c r="AA157" s="488"/>
      <c r="AB157" s="486"/>
      <c r="AC157" s="101"/>
      <c r="AD157" s="101"/>
      <c r="AE157" s="41" t="str">
        <f>IF(OR(Q157="",AA157="Yes"),"",IF(Q157='G-1 All Habitats'!$X$3,E157-U157-V157,"None"))</f>
        <v/>
      </c>
      <c r="AF157" s="42" t="str">
        <f>IF(Q157="","", IF(Q157='G-1 All Habitats'!$X$3, AE157*G157*I157*L157*N157*P157,"None"))</f>
        <v/>
      </c>
      <c r="AI157" s="15">
        <f t="shared" si="23"/>
        <v>0</v>
      </c>
      <c r="AJ157" s="105" t="str">
        <f t="shared" si="24"/>
        <v/>
      </c>
      <c r="AK157" s="105" t="str">
        <f t="shared" si="25"/>
        <v/>
      </c>
      <c r="AM157" s="105">
        <v>148</v>
      </c>
      <c r="AO157" s="105" t="str">
        <f t="array" ref="AO157">IFERROR(INDEX($AM$10:$AM$258, MATCH(0, IF(TRUE=$AJ$10:$AJ$258, COUNTIF($AO$9:$AO156, $AM$10:$AM$258), ""), 0)),"")</f>
        <v/>
      </c>
      <c r="AP157" s="105" t="str">
        <f t="array" ref="AP157">IFERROR(INDEX($AM$10:$AM$258, MATCH(0, IF(TRUE=$AK$10:$AK$258, COUNTIF($AP$9:$AP156, $AM$10:$AM$258), ""), 0)),"")</f>
        <v/>
      </c>
      <c r="AR157" s="15" t="str">
        <f>IFERROR(INDEX('G-7 WaterC'' Data'!$AZ$3:$AZ$7,MATCH(D157,'G-7 WaterC'' Data'!$AY$3:$AY$7,0)),"")</f>
        <v/>
      </c>
      <c r="AS157" s="15" t="str">
        <f>IFERROR(INDEX('G-7 WaterC'' Data'!AZ157:AZ161,MATCH(D157,'G-7 WaterC'' Data'!$AY$10:$AY$14,0)),"")</f>
        <v/>
      </c>
      <c r="AU157" s="15" t="str">
        <f>IF(D157="","",VLOOKUP(D157,'G-7 WaterC'' Data'!B$4:M$8,12,FALSE))</f>
        <v/>
      </c>
      <c r="AV157" s="15" t="str">
        <f t="shared" si="26"/>
        <v/>
      </c>
    </row>
    <row r="158" spans="3:48" ht="14" x14ac:dyDescent="0.3">
      <c r="C158" s="92">
        <v>149</v>
      </c>
      <c r="D158" s="271"/>
      <c r="E158" s="120"/>
      <c r="F158" s="290" t="str">
        <f>IF(D158="","",VLOOKUP(D158,'G-7 WaterC'' Data'!$B$2:$G$8,2,FALSE))</f>
        <v/>
      </c>
      <c r="G158" s="291" t="str">
        <f>IFERROR(VLOOKUP(F158,'G-7 WaterC'' Data'!$C$4:$D$8,2,FALSE),"")</f>
        <v/>
      </c>
      <c r="H158" s="38"/>
      <c r="I158" s="291" t="str">
        <f>IFERROR(INDEX('G-7 WaterC'' Data'!$H$4:$L$8,MATCH(D158,'G-7 WaterC'' Data'!$B$4:$B$8,0),MATCH(H158,'G-7 WaterC'' Data'!$H$3:$L$3,0)),"")</f>
        <v/>
      </c>
      <c r="J158" s="777"/>
      <c r="K158" s="325" t="str">
        <f>IF(J158="","",IF(VLOOKUP(J158,'G-7 WaterC'' Data'!$AK$4:$AM$6,2,FALSE)=0,"Spatial Data Missing ⚠",VLOOKUP(J158,'G-7 WaterC'' Data'!$AK$4:$AM$6,2,FALSE)))</f>
        <v/>
      </c>
      <c r="L158" s="296" t="str">
        <f>IF(J158="","",IF(VLOOKUP(J158,'G-7 WaterC'' Data'!$AK$4:$AM$9,3,FALSE)=0,"Spatial Data Missing ⚠",VLOOKUP(J158,'G-7 WaterC'' Data'!$AK$4:$AM$6,3,FALSE)))</f>
        <v/>
      </c>
      <c r="M158" s="38"/>
      <c r="N158" s="291" t="str">
        <f>IF(M158="","",IF(AND(D158&lt;&gt;"Culvert",M158="N/A - Culvert"),"Not possible ▲",IF(AND(D158="Culvert",M158&lt;&gt;"N/A - Culvert"),"Not possible ▲",IF(VLOOKUP(M158,'G-7 WaterC'' Data'!$AA$4:$AB$7,2,FALSE)=0,"Spatial Data Missing ⚠",VLOOKUP(M158,'G-7 WaterC'' Data'!$AA$4:$AB$7,2,FALSE)))))</f>
        <v/>
      </c>
      <c r="O158" s="44"/>
      <c r="P158" s="291" t="str">
        <f>IF(O158="","",IF(AND(O158="N/A - Culvert", D158&lt;&gt;"Culvert"),"Not possible ▲", IF(AND(D158="Culvert",O158&lt;&gt;"N/A - Culvert"),"Not possible ▲",IF(VLOOKUP(O158,'G-7 WaterC'' Data'!$AD$4:$AE$14,2,FALSE)=0,"Spatial Data Missing ⚠",VLOOKUP(O158,'G-7 WaterC'' Data'!$AD$4:$AE$14,2,FALSE)))))</f>
        <v/>
      </c>
      <c r="Q158" s="297" t="str">
        <f>IF(D158="","",VLOOKUP(D158,'G-7 WaterC'' Data'!$B$2:$G$8,6,FALSE))</f>
        <v/>
      </c>
      <c r="R158" s="304" t="str">
        <f>IFERROR(IF(AND(Q158='G-1 All Habitats'!$X$3, AE158&gt;0, U158&lt;=0, V158&lt;=0, OR(AA158="No", AA158="")),"Any Loss Unacceptable ⚠", (IF(AND(Q158='G-1 All Habitats'!$X$3, AE158&gt;0, U158&lt;=0, V158&lt;=0, AA158="Yes"), 0, (IF(AND(Q158='G-1 All Habitats'!$X$3,(U158+V158)&lt;E158, OR(AA158="No", AA158="")),"Any Loss Unacceptable ⚠", (IF(AND(Q158='G-1 All Habitats'!$X$3,(U158+V158)&gt;E158), E158*G158*I158*L158*N158*P158, (IF(Q158="","",IF(AND(Q158='G-1 All Habitats'!$X$3,V158&gt;0),W158+X158,IF(AND(Q158='G-1 All Habitats'!$X$3,U158&gt;0), W158+X158, IF(AND(S158="Yes", V158&gt;(E158-U158)),(E158-U158)*G158*I158*L158*N158*P158, IF(AND(S158="Yes", V158&lt;=(E158-U158)), X158, E158*G158*I158*L158*N158*P158 ))))))))))))),"Check Data ▲")</f>
        <v/>
      </c>
      <c r="S158" s="671" t="str">
        <f t="shared" si="18"/>
        <v/>
      </c>
      <c r="T158" s="17"/>
      <c r="U158" s="95"/>
      <c r="V158" s="106"/>
      <c r="W158" s="302" t="str">
        <f t="shared" si="19"/>
        <v/>
      </c>
      <c r="X158" s="302" t="str">
        <f t="shared" si="20"/>
        <v/>
      </c>
      <c r="Y158" s="302" t="str">
        <f t="shared" si="21"/>
        <v/>
      </c>
      <c r="Z158" s="471" t="str">
        <f t="shared" si="22"/>
        <v/>
      </c>
      <c r="AA158" s="488"/>
      <c r="AB158" s="486"/>
      <c r="AC158" s="101"/>
      <c r="AD158" s="101"/>
      <c r="AE158" s="41" t="str">
        <f>IF(OR(Q158="",AA158="Yes"),"",IF(Q158='G-1 All Habitats'!$X$3,E158-U158-V158,"None"))</f>
        <v/>
      </c>
      <c r="AF158" s="42" t="str">
        <f>IF(Q158="","", IF(Q158='G-1 All Habitats'!$X$3, AE158*G158*I158*L158*N158*P158,"None"))</f>
        <v/>
      </c>
      <c r="AI158" s="15">
        <f t="shared" si="23"/>
        <v>0</v>
      </c>
      <c r="AJ158" s="105" t="str">
        <f t="shared" si="24"/>
        <v/>
      </c>
      <c r="AK158" s="105" t="str">
        <f t="shared" si="25"/>
        <v/>
      </c>
      <c r="AM158" s="105">
        <v>149</v>
      </c>
      <c r="AO158" s="105" t="str">
        <f t="array" ref="AO158">IFERROR(INDEX($AM$10:$AM$258, MATCH(0, IF(TRUE=$AJ$10:$AJ$258, COUNTIF($AO$9:$AO157, $AM$10:$AM$258), ""), 0)),"")</f>
        <v/>
      </c>
      <c r="AP158" s="105" t="str">
        <f t="array" ref="AP158">IFERROR(INDEX($AM$10:$AM$258, MATCH(0, IF(TRUE=$AK$10:$AK$258, COUNTIF($AP$9:$AP157, $AM$10:$AM$258), ""), 0)),"")</f>
        <v/>
      </c>
      <c r="AR158" s="15" t="str">
        <f>IFERROR(INDEX('G-7 WaterC'' Data'!$AZ$3:$AZ$7,MATCH(D158,'G-7 WaterC'' Data'!$AY$3:$AY$7,0)),"")</f>
        <v/>
      </c>
      <c r="AS158" s="15" t="str">
        <f>IFERROR(INDEX('G-7 WaterC'' Data'!AZ158:AZ162,MATCH(D158,'G-7 WaterC'' Data'!$AY$10:$AY$14,0)),"")</f>
        <v/>
      </c>
      <c r="AU158" s="15" t="str">
        <f>IF(D158="","",VLOOKUP(D158,'G-7 WaterC'' Data'!B$4:M$8,12,FALSE))</f>
        <v/>
      </c>
      <c r="AV158" s="15" t="str">
        <f t="shared" si="26"/>
        <v/>
      </c>
    </row>
    <row r="159" spans="3:48" ht="14" x14ac:dyDescent="0.3">
      <c r="C159" s="92">
        <v>150</v>
      </c>
      <c r="D159" s="271"/>
      <c r="E159" s="120"/>
      <c r="F159" s="290" t="str">
        <f>IF(D159="","",VLOOKUP(D159,'G-7 WaterC'' Data'!$B$2:$G$8,2,FALSE))</f>
        <v/>
      </c>
      <c r="G159" s="291" t="str">
        <f>IFERROR(VLOOKUP(F159,'G-7 WaterC'' Data'!$C$4:$D$8,2,FALSE),"")</f>
        <v/>
      </c>
      <c r="H159" s="38"/>
      <c r="I159" s="291" t="str">
        <f>IFERROR(INDEX('G-7 WaterC'' Data'!$H$4:$L$8,MATCH(D159,'G-7 WaterC'' Data'!$B$4:$B$8,0),MATCH(H159,'G-7 WaterC'' Data'!$H$3:$L$3,0)),"")</f>
        <v/>
      </c>
      <c r="J159" s="777"/>
      <c r="K159" s="325" t="str">
        <f>IF(J159="","",IF(VLOOKUP(J159,'G-7 WaterC'' Data'!$AK$4:$AM$6,2,FALSE)=0,"Spatial Data Missing ⚠",VLOOKUP(J159,'G-7 WaterC'' Data'!$AK$4:$AM$6,2,FALSE)))</f>
        <v/>
      </c>
      <c r="L159" s="296" t="str">
        <f>IF(J159="","",IF(VLOOKUP(J159,'G-7 WaterC'' Data'!$AK$4:$AM$9,3,FALSE)=0,"Spatial Data Missing ⚠",VLOOKUP(J159,'G-7 WaterC'' Data'!$AK$4:$AM$6,3,FALSE)))</f>
        <v/>
      </c>
      <c r="M159" s="38"/>
      <c r="N159" s="291" t="str">
        <f>IF(M159="","",IF(AND(D159&lt;&gt;"Culvert",M159="N/A - Culvert"),"Not possible ▲",IF(AND(D159="Culvert",M159&lt;&gt;"N/A - Culvert"),"Not possible ▲",IF(VLOOKUP(M159,'G-7 WaterC'' Data'!$AA$4:$AB$7,2,FALSE)=0,"Spatial Data Missing ⚠",VLOOKUP(M159,'G-7 WaterC'' Data'!$AA$4:$AB$7,2,FALSE)))))</f>
        <v/>
      </c>
      <c r="O159" s="44"/>
      <c r="P159" s="291" t="str">
        <f>IF(O159="","",IF(AND(O159="N/A - Culvert", D159&lt;&gt;"Culvert"),"Not possible ▲", IF(AND(D159="Culvert",O159&lt;&gt;"N/A - Culvert"),"Not possible ▲",IF(VLOOKUP(O159,'G-7 WaterC'' Data'!$AD$4:$AE$14,2,FALSE)=0,"Spatial Data Missing ⚠",VLOOKUP(O159,'G-7 WaterC'' Data'!$AD$4:$AE$14,2,FALSE)))))</f>
        <v/>
      </c>
      <c r="Q159" s="297" t="str">
        <f>IF(D159="","",VLOOKUP(D159,'G-7 WaterC'' Data'!$B$2:$G$8,6,FALSE))</f>
        <v/>
      </c>
      <c r="R159" s="304" t="str">
        <f>IFERROR(IF(AND(Q159='G-1 All Habitats'!$X$3, AE159&gt;0, U159&lt;=0, V159&lt;=0, OR(AA159="No", AA159="")),"Any Loss Unacceptable ⚠", (IF(AND(Q159='G-1 All Habitats'!$X$3, AE159&gt;0, U159&lt;=0, V159&lt;=0, AA159="Yes"), 0, (IF(AND(Q159='G-1 All Habitats'!$X$3,(U159+V159)&lt;E159, OR(AA159="No", AA159="")),"Any Loss Unacceptable ⚠", (IF(AND(Q159='G-1 All Habitats'!$X$3,(U159+V159)&gt;E159), E159*G159*I159*L159*N159*P159, (IF(Q159="","",IF(AND(Q159='G-1 All Habitats'!$X$3,V159&gt;0),W159+X159,IF(AND(Q159='G-1 All Habitats'!$X$3,U159&gt;0), W159+X159, IF(AND(S159="Yes", V159&gt;(E159-U159)),(E159-U159)*G159*I159*L159*N159*P159, IF(AND(S159="Yes", V159&lt;=(E159-U159)), X159, E159*G159*I159*L159*N159*P159 ))))))))))))),"Check Data ▲")</f>
        <v/>
      </c>
      <c r="S159" s="671" t="str">
        <f t="shared" si="18"/>
        <v/>
      </c>
      <c r="T159" s="17"/>
      <c r="U159" s="95"/>
      <c r="V159" s="106"/>
      <c r="W159" s="302" t="str">
        <f t="shared" si="19"/>
        <v/>
      </c>
      <c r="X159" s="302" t="str">
        <f t="shared" si="20"/>
        <v/>
      </c>
      <c r="Y159" s="302" t="str">
        <f t="shared" si="21"/>
        <v/>
      </c>
      <c r="Z159" s="471" t="str">
        <f t="shared" si="22"/>
        <v/>
      </c>
      <c r="AA159" s="488"/>
      <c r="AB159" s="486"/>
      <c r="AC159" s="101"/>
      <c r="AD159" s="101"/>
      <c r="AE159" s="41" t="str">
        <f>IF(OR(Q159="",AA159="Yes"),"",IF(Q159='G-1 All Habitats'!$X$3,E159-U159-V159,"None"))</f>
        <v/>
      </c>
      <c r="AF159" s="42" t="str">
        <f>IF(Q159="","", IF(Q159='G-1 All Habitats'!$X$3, AE159*G159*I159*L159*N159*P159,"None"))</f>
        <v/>
      </c>
      <c r="AI159" s="15">
        <f t="shared" si="23"/>
        <v>0</v>
      </c>
      <c r="AJ159" s="105" t="str">
        <f t="shared" si="24"/>
        <v/>
      </c>
      <c r="AK159" s="105" t="str">
        <f t="shared" si="25"/>
        <v/>
      </c>
      <c r="AM159" s="105">
        <v>150</v>
      </c>
      <c r="AO159" s="105" t="str">
        <f t="array" ref="AO159">IFERROR(INDEX($AM$10:$AM$258, MATCH(0, IF(TRUE=$AJ$10:$AJ$258, COUNTIF($AO$9:$AO158, $AM$10:$AM$258), ""), 0)),"")</f>
        <v/>
      </c>
      <c r="AP159" s="105" t="str">
        <f t="array" ref="AP159">IFERROR(INDEX($AM$10:$AM$258, MATCH(0, IF(TRUE=$AK$10:$AK$258, COUNTIF($AP$9:$AP158, $AM$10:$AM$258), ""), 0)),"")</f>
        <v/>
      </c>
      <c r="AR159" s="15" t="str">
        <f>IFERROR(INDEX('G-7 WaterC'' Data'!$AZ$3:$AZ$7,MATCH(D159,'G-7 WaterC'' Data'!$AY$3:$AY$7,0)),"")</f>
        <v/>
      </c>
      <c r="AS159" s="15" t="str">
        <f>IFERROR(INDEX('G-7 WaterC'' Data'!AZ159:AZ163,MATCH(D159,'G-7 WaterC'' Data'!$AY$10:$AY$14,0)),"")</f>
        <v/>
      </c>
      <c r="AU159" s="15" t="str">
        <f>IF(D159="","",VLOOKUP(D159,'G-7 WaterC'' Data'!B$4:M$8,12,FALSE))</f>
        <v/>
      </c>
      <c r="AV159" s="15" t="str">
        <f t="shared" si="26"/>
        <v/>
      </c>
    </row>
    <row r="160" spans="3:48" ht="14" x14ac:dyDescent="0.3">
      <c r="C160" s="92">
        <v>151</v>
      </c>
      <c r="D160" s="271"/>
      <c r="E160" s="120"/>
      <c r="F160" s="290" t="str">
        <f>IF(D160="","",VLOOKUP(D160,'G-7 WaterC'' Data'!$B$2:$G$8,2,FALSE))</f>
        <v/>
      </c>
      <c r="G160" s="291" t="str">
        <f>IFERROR(VLOOKUP(F160,'G-7 WaterC'' Data'!$C$4:$D$8,2,FALSE),"")</f>
        <v/>
      </c>
      <c r="H160" s="38"/>
      <c r="I160" s="291" t="str">
        <f>IFERROR(INDEX('G-7 WaterC'' Data'!$H$4:$L$8,MATCH(D160,'G-7 WaterC'' Data'!$B$4:$B$8,0),MATCH(H160,'G-7 WaterC'' Data'!$H$3:$L$3,0)),"")</f>
        <v/>
      </c>
      <c r="J160" s="777"/>
      <c r="K160" s="325" t="str">
        <f>IF(J160="","",IF(VLOOKUP(J160,'G-7 WaterC'' Data'!$AK$4:$AM$6,2,FALSE)=0,"Spatial Data Missing ⚠",VLOOKUP(J160,'G-7 WaterC'' Data'!$AK$4:$AM$6,2,FALSE)))</f>
        <v/>
      </c>
      <c r="L160" s="296" t="str">
        <f>IF(J160="","",IF(VLOOKUP(J160,'G-7 WaterC'' Data'!$AK$4:$AM$9,3,FALSE)=0,"Spatial Data Missing ⚠",VLOOKUP(J160,'G-7 WaterC'' Data'!$AK$4:$AM$6,3,FALSE)))</f>
        <v/>
      </c>
      <c r="M160" s="38"/>
      <c r="N160" s="291" t="str">
        <f>IF(M160="","",IF(AND(D160&lt;&gt;"Culvert",M160="N/A - Culvert"),"Not possible ▲",IF(AND(D160="Culvert",M160&lt;&gt;"N/A - Culvert"),"Not possible ▲",IF(VLOOKUP(M160,'G-7 WaterC'' Data'!$AA$4:$AB$7,2,FALSE)=0,"Spatial Data Missing ⚠",VLOOKUP(M160,'G-7 WaterC'' Data'!$AA$4:$AB$7,2,FALSE)))))</f>
        <v/>
      </c>
      <c r="O160" s="44"/>
      <c r="P160" s="291" t="str">
        <f>IF(O160="","",IF(AND(O160="N/A - Culvert", D160&lt;&gt;"Culvert"),"Not possible ▲", IF(AND(D160="Culvert",O160&lt;&gt;"N/A - Culvert"),"Not possible ▲",IF(VLOOKUP(O160,'G-7 WaterC'' Data'!$AD$4:$AE$14,2,FALSE)=0,"Spatial Data Missing ⚠",VLOOKUP(O160,'G-7 WaterC'' Data'!$AD$4:$AE$14,2,FALSE)))))</f>
        <v/>
      </c>
      <c r="Q160" s="297" t="str">
        <f>IF(D160="","",VLOOKUP(D160,'G-7 WaterC'' Data'!$B$2:$G$8,6,FALSE))</f>
        <v/>
      </c>
      <c r="R160" s="304" t="str">
        <f>IFERROR(IF(AND(Q160='G-1 All Habitats'!$X$3, AE160&gt;0, U160&lt;=0, V160&lt;=0, OR(AA160="No", AA160="")),"Any Loss Unacceptable ⚠", (IF(AND(Q160='G-1 All Habitats'!$X$3, AE160&gt;0, U160&lt;=0, V160&lt;=0, AA160="Yes"), 0, (IF(AND(Q160='G-1 All Habitats'!$X$3,(U160+V160)&lt;E160, OR(AA160="No", AA160="")),"Any Loss Unacceptable ⚠", (IF(AND(Q160='G-1 All Habitats'!$X$3,(U160+V160)&gt;E160), E160*G160*I160*L160*N160*P160, (IF(Q160="","",IF(AND(Q160='G-1 All Habitats'!$X$3,V160&gt;0),W160+X160,IF(AND(Q160='G-1 All Habitats'!$X$3,U160&gt;0), W160+X160, IF(AND(S160="Yes", V160&gt;(E160-U160)),(E160-U160)*G160*I160*L160*N160*P160, IF(AND(S160="Yes", V160&lt;=(E160-U160)), X160, E160*G160*I160*L160*N160*P160 ))))))))))))),"Check Data ▲")</f>
        <v/>
      </c>
      <c r="S160" s="671" t="str">
        <f t="shared" si="18"/>
        <v/>
      </c>
      <c r="T160" s="17"/>
      <c r="U160" s="95"/>
      <c r="V160" s="106"/>
      <c r="W160" s="302" t="str">
        <f t="shared" si="19"/>
        <v/>
      </c>
      <c r="X160" s="302" t="str">
        <f t="shared" si="20"/>
        <v/>
      </c>
      <c r="Y160" s="302" t="str">
        <f t="shared" si="21"/>
        <v/>
      </c>
      <c r="Z160" s="471" t="str">
        <f t="shared" si="22"/>
        <v/>
      </c>
      <c r="AA160" s="488"/>
      <c r="AB160" s="486"/>
      <c r="AC160" s="101"/>
      <c r="AD160" s="101"/>
      <c r="AE160" s="41" t="str">
        <f>IF(OR(Q160="",AA160="Yes"),"",IF(Q160='G-1 All Habitats'!$X$3,E160-U160-V160,"None"))</f>
        <v/>
      </c>
      <c r="AF160" s="42" t="str">
        <f>IF(Q160="","", IF(Q160='G-1 All Habitats'!$X$3, AE160*G160*I160*L160*N160*P160,"None"))</f>
        <v/>
      </c>
      <c r="AI160" s="15">
        <f t="shared" si="23"/>
        <v>0</v>
      </c>
      <c r="AJ160" s="105" t="str">
        <f t="shared" si="24"/>
        <v/>
      </c>
      <c r="AK160" s="105" t="str">
        <f t="shared" si="25"/>
        <v/>
      </c>
      <c r="AM160" s="105">
        <v>151</v>
      </c>
      <c r="AO160" s="105" t="str">
        <f t="array" ref="AO160">IFERROR(INDEX($AM$10:$AM$258, MATCH(0, IF(TRUE=$AJ$10:$AJ$258, COUNTIF($AO$9:$AO159, $AM$10:$AM$258), ""), 0)),"")</f>
        <v/>
      </c>
      <c r="AP160" s="105" t="str">
        <f t="array" ref="AP160">IFERROR(INDEX($AM$10:$AM$258, MATCH(0, IF(TRUE=$AK$10:$AK$258, COUNTIF($AP$9:$AP159, $AM$10:$AM$258), ""), 0)),"")</f>
        <v/>
      </c>
      <c r="AR160" s="15" t="str">
        <f>IFERROR(INDEX('G-7 WaterC'' Data'!$AZ$3:$AZ$7,MATCH(D160,'G-7 WaterC'' Data'!$AY$3:$AY$7,0)),"")</f>
        <v/>
      </c>
      <c r="AS160" s="15" t="str">
        <f>IFERROR(INDEX('G-7 WaterC'' Data'!AZ160:AZ164,MATCH(D160,'G-7 WaterC'' Data'!$AY$10:$AY$14,0)),"")</f>
        <v/>
      </c>
      <c r="AU160" s="15" t="str">
        <f>IF(D160="","",VLOOKUP(D160,'G-7 WaterC'' Data'!B$4:M$8,12,FALSE))</f>
        <v/>
      </c>
      <c r="AV160" s="15" t="str">
        <f t="shared" si="26"/>
        <v/>
      </c>
    </row>
    <row r="161" spans="3:48" ht="14" x14ac:dyDescent="0.3">
      <c r="C161" s="92">
        <v>152</v>
      </c>
      <c r="D161" s="271"/>
      <c r="E161" s="120"/>
      <c r="F161" s="290" t="str">
        <f>IF(D161="","",VLOOKUP(D161,'G-7 WaterC'' Data'!$B$2:$G$8,2,FALSE))</f>
        <v/>
      </c>
      <c r="G161" s="291" t="str">
        <f>IFERROR(VLOOKUP(F161,'G-7 WaterC'' Data'!$C$4:$D$8,2,FALSE),"")</f>
        <v/>
      </c>
      <c r="H161" s="38"/>
      <c r="I161" s="291" t="str">
        <f>IFERROR(INDEX('G-7 WaterC'' Data'!$H$4:$L$8,MATCH(D161,'G-7 WaterC'' Data'!$B$4:$B$8,0),MATCH(H161,'G-7 WaterC'' Data'!$H$3:$L$3,0)),"")</f>
        <v/>
      </c>
      <c r="J161" s="777"/>
      <c r="K161" s="325" t="str">
        <f>IF(J161="","",IF(VLOOKUP(J161,'G-7 WaterC'' Data'!$AK$4:$AM$6,2,FALSE)=0,"Spatial Data Missing ⚠",VLOOKUP(J161,'G-7 WaterC'' Data'!$AK$4:$AM$6,2,FALSE)))</f>
        <v/>
      </c>
      <c r="L161" s="296" t="str">
        <f>IF(J161="","",IF(VLOOKUP(J161,'G-7 WaterC'' Data'!$AK$4:$AM$9,3,FALSE)=0,"Spatial Data Missing ⚠",VLOOKUP(J161,'G-7 WaterC'' Data'!$AK$4:$AM$6,3,FALSE)))</f>
        <v/>
      </c>
      <c r="M161" s="38"/>
      <c r="N161" s="291" t="str">
        <f>IF(M161="","",IF(AND(D161&lt;&gt;"Culvert",M161="N/A - Culvert"),"Not possible ▲",IF(AND(D161="Culvert",M161&lt;&gt;"N/A - Culvert"),"Not possible ▲",IF(VLOOKUP(M161,'G-7 WaterC'' Data'!$AA$4:$AB$7,2,FALSE)=0,"Spatial Data Missing ⚠",VLOOKUP(M161,'G-7 WaterC'' Data'!$AA$4:$AB$7,2,FALSE)))))</f>
        <v/>
      </c>
      <c r="O161" s="44"/>
      <c r="P161" s="291" t="str">
        <f>IF(O161="","",IF(AND(O161="N/A - Culvert", D161&lt;&gt;"Culvert"),"Not possible ▲", IF(AND(D161="Culvert",O161&lt;&gt;"N/A - Culvert"),"Not possible ▲",IF(VLOOKUP(O161,'G-7 WaterC'' Data'!$AD$4:$AE$14,2,FALSE)=0,"Spatial Data Missing ⚠",VLOOKUP(O161,'G-7 WaterC'' Data'!$AD$4:$AE$14,2,FALSE)))))</f>
        <v/>
      </c>
      <c r="Q161" s="297" t="str">
        <f>IF(D161="","",VLOOKUP(D161,'G-7 WaterC'' Data'!$B$2:$G$8,6,FALSE))</f>
        <v/>
      </c>
      <c r="R161" s="304" t="str">
        <f>IFERROR(IF(AND(Q161='G-1 All Habitats'!$X$3, AE161&gt;0, U161&lt;=0, V161&lt;=0, OR(AA161="No", AA161="")),"Any Loss Unacceptable ⚠", (IF(AND(Q161='G-1 All Habitats'!$X$3, AE161&gt;0, U161&lt;=0, V161&lt;=0, AA161="Yes"), 0, (IF(AND(Q161='G-1 All Habitats'!$X$3,(U161+V161)&lt;E161, OR(AA161="No", AA161="")),"Any Loss Unacceptable ⚠", (IF(AND(Q161='G-1 All Habitats'!$X$3,(U161+V161)&gt;E161), E161*G161*I161*L161*N161*P161, (IF(Q161="","",IF(AND(Q161='G-1 All Habitats'!$X$3,V161&gt;0),W161+X161,IF(AND(Q161='G-1 All Habitats'!$X$3,U161&gt;0), W161+X161, IF(AND(S161="Yes", V161&gt;(E161-U161)),(E161-U161)*G161*I161*L161*N161*P161, IF(AND(S161="Yes", V161&lt;=(E161-U161)), X161, E161*G161*I161*L161*N161*P161 ))))))))))))),"Check Data ▲")</f>
        <v/>
      </c>
      <c r="S161" s="671" t="str">
        <f t="shared" si="18"/>
        <v/>
      </c>
      <c r="T161" s="17"/>
      <c r="U161" s="95"/>
      <c r="V161" s="106"/>
      <c r="W161" s="302" t="str">
        <f t="shared" si="19"/>
        <v/>
      </c>
      <c r="X161" s="302" t="str">
        <f t="shared" si="20"/>
        <v/>
      </c>
      <c r="Y161" s="302" t="str">
        <f t="shared" si="21"/>
        <v/>
      </c>
      <c r="Z161" s="471" t="str">
        <f t="shared" si="22"/>
        <v/>
      </c>
      <c r="AA161" s="488"/>
      <c r="AB161" s="486"/>
      <c r="AC161" s="101"/>
      <c r="AD161" s="101"/>
      <c r="AE161" s="41" t="str">
        <f>IF(OR(Q161="",AA161="Yes"),"",IF(Q161='G-1 All Habitats'!$X$3,E161-U161-V161,"None"))</f>
        <v/>
      </c>
      <c r="AF161" s="42" t="str">
        <f>IF(Q161="","", IF(Q161='G-1 All Habitats'!$X$3, AE161*G161*I161*L161*N161*P161,"None"))</f>
        <v/>
      </c>
      <c r="AI161" s="15">
        <f t="shared" si="23"/>
        <v>0</v>
      </c>
      <c r="AJ161" s="105" t="str">
        <f t="shared" si="24"/>
        <v/>
      </c>
      <c r="AK161" s="105" t="str">
        <f t="shared" si="25"/>
        <v/>
      </c>
      <c r="AM161" s="105">
        <v>152</v>
      </c>
      <c r="AO161" s="105" t="str">
        <f t="array" ref="AO161">IFERROR(INDEX($AM$10:$AM$258, MATCH(0, IF(TRUE=$AJ$10:$AJ$258, COUNTIF($AO$9:$AO160, $AM$10:$AM$258), ""), 0)),"")</f>
        <v/>
      </c>
      <c r="AP161" s="105" t="str">
        <f t="array" ref="AP161">IFERROR(INDEX($AM$10:$AM$258, MATCH(0, IF(TRUE=$AK$10:$AK$258, COUNTIF($AP$9:$AP160, $AM$10:$AM$258), ""), 0)),"")</f>
        <v/>
      </c>
      <c r="AR161" s="15" t="str">
        <f>IFERROR(INDEX('G-7 WaterC'' Data'!$AZ$3:$AZ$7,MATCH(D161,'G-7 WaterC'' Data'!$AY$3:$AY$7,0)),"")</f>
        <v/>
      </c>
      <c r="AS161" s="15" t="str">
        <f>IFERROR(INDEX('G-7 WaterC'' Data'!AZ161:AZ165,MATCH(D161,'G-7 WaterC'' Data'!$AY$10:$AY$14,0)),"")</f>
        <v/>
      </c>
      <c r="AU161" s="15" t="str">
        <f>IF(D161="","",VLOOKUP(D161,'G-7 WaterC'' Data'!B$4:M$8,12,FALSE))</f>
        <v/>
      </c>
      <c r="AV161" s="15" t="str">
        <f t="shared" si="26"/>
        <v/>
      </c>
    </row>
    <row r="162" spans="3:48" ht="14" x14ac:dyDescent="0.3">
      <c r="C162" s="92">
        <v>153</v>
      </c>
      <c r="D162" s="271"/>
      <c r="E162" s="120"/>
      <c r="F162" s="290" t="str">
        <f>IF(D162="","",VLOOKUP(D162,'G-7 WaterC'' Data'!$B$2:$G$8,2,FALSE))</f>
        <v/>
      </c>
      <c r="G162" s="291" t="str">
        <f>IFERROR(VLOOKUP(F162,'G-7 WaterC'' Data'!$C$4:$D$8,2,FALSE),"")</f>
        <v/>
      </c>
      <c r="H162" s="38"/>
      <c r="I162" s="291" t="str">
        <f>IFERROR(INDEX('G-7 WaterC'' Data'!$H$4:$L$8,MATCH(D162,'G-7 WaterC'' Data'!$B$4:$B$8,0),MATCH(H162,'G-7 WaterC'' Data'!$H$3:$L$3,0)),"")</f>
        <v/>
      </c>
      <c r="J162" s="777"/>
      <c r="K162" s="325" t="str">
        <f>IF(J162="","",IF(VLOOKUP(J162,'G-7 WaterC'' Data'!$AK$4:$AM$6,2,FALSE)=0,"Spatial Data Missing ⚠",VLOOKUP(J162,'G-7 WaterC'' Data'!$AK$4:$AM$6,2,FALSE)))</f>
        <v/>
      </c>
      <c r="L162" s="296" t="str">
        <f>IF(J162="","",IF(VLOOKUP(J162,'G-7 WaterC'' Data'!$AK$4:$AM$9,3,FALSE)=0,"Spatial Data Missing ⚠",VLOOKUP(J162,'G-7 WaterC'' Data'!$AK$4:$AM$6,3,FALSE)))</f>
        <v/>
      </c>
      <c r="M162" s="38"/>
      <c r="N162" s="291" t="str">
        <f>IF(M162="","",IF(AND(D162&lt;&gt;"Culvert",M162="N/A - Culvert"),"Not possible ▲",IF(AND(D162="Culvert",M162&lt;&gt;"N/A - Culvert"),"Not possible ▲",IF(VLOOKUP(M162,'G-7 WaterC'' Data'!$AA$4:$AB$7,2,FALSE)=0,"Spatial Data Missing ⚠",VLOOKUP(M162,'G-7 WaterC'' Data'!$AA$4:$AB$7,2,FALSE)))))</f>
        <v/>
      </c>
      <c r="O162" s="44"/>
      <c r="P162" s="291" t="str">
        <f>IF(O162="","",IF(AND(O162="N/A - Culvert", D162&lt;&gt;"Culvert"),"Not possible ▲", IF(AND(D162="Culvert",O162&lt;&gt;"N/A - Culvert"),"Not possible ▲",IF(VLOOKUP(O162,'G-7 WaterC'' Data'!$AD$4:$AE$14,2,FALSE)=0,"Spatial Data Missing ⚠",VLOOKUP(O162,'G-7 WaterC'' Data'!$AD$4:$AE$14,2,FALSE)))))</f>
        <v/>
      </c>
      <c r="Q162" s="297" t="str">
        <f>IF(D162="","",VLOOKUP(D162,'G-7 WaterC'' Data'!$B$2:$G$8,6,FALSE))</f>
        <v/>
      </c>
      <c r="R162" s="304" t="str">
        <f>IFERROR(IF(AND(Q162='G-1 All Habitats'!$X$3, AE162&gt;0, U162&lt;=0, V162&lt;=0, OR(AA162="No", AA162="")),"Any Loss Unacceptable ⚠", (IF(AND(Q162='G-1 All Habitats'!$X$3, AE162&gt;0, U162&lt;=0, V162&lt;=0, AA162="Yes"), 0, (IF(AND(Q162='G-1 All Habitats'!$X$3,(U162+V162)&lt;E162, OR(AA162="No", AA162="")),"Any Loss Unacceptable ⚠", (IF(AND(Q162='G-1 All Habitats'!$X$3,(U162+V162)&gt;E162), E162*G162*I162*L162*N162*P162, (IF(Q162="","",IF(AND(Q162='G-1 All Habitats'!$X$3,V162&gt;0),W162+X162,IF(AND(Q162='G-1 All Habitats'!$X$3,U162&gt;0), W162+X162, IF(AND(S162="Yes", V162&gt;(E162-U162)),(E162-U162)*G162*I162*L162*N162*P162, IF(AND(S162="Yes", V162&lt;=(E162-U162)), X162, E162*G162*I162*L162*N162*P162 ))))))))))))),"Check Data ▲")</f>
        <v/>
      </c>
      <c r="S162" s="671" t="str">
        <f t="shared" si="18"/>
        <v/>
      </c>
      <c r="T162" s="17"/>
      <c r="U162" s="95"/>
      <c r="V162" s="106"/>
      <c r="W162" s="302" t="str">
        <f t="shared" si="19"/>
        <v/>
      </c>
      <c r="X162" s="302" t="str">
        <f t="shared" si="20"/>
        <v/>
      </c>
      <c r="Y162" s="302" t="str">
        <f t="shared" si="21"/>
        <v/>
      </c>
      <c r="Z162" s="471" t="str">
        <f t="shared" si="22"/>
        <v/>
      </c>
      <c r="AA162" s="488"/>
      <c r="AB162" s="486"/>
      <c r="AC162" s="101"/>
      <c r="AD162" s="101"/>
      <c r="AE162" s="41" t="str">
        <f>IF(OR(Q162="",AA162="Yes"),"",IF(Q162='G-1 All Habitats'!$X$3,E162-U162-V162,"None"))</f>
        <v/>
      </c>
      <c r="AF162" s="42" t="str">
        <f>IF(Q162="","", IF(Q162='G-1 All Habitats'!$X$3, AE162*G162*I162*L162*N162*P162,"None"))</f>
        <v/>
      </c>
      <c r="AI162" s="15">
        <f t="shared" si="23"/>
        <v>0</v>
      </c>
      <c r="AJ162" s="105" t="str">
        <f t="shared" si="24"/>
        <v/>
      </c>
      <c r="AK162" s="105" t="str">
        <f t="shared" si="25"/>
        <v/>
      </c>
      <c r="AM162" s="105">
        <v>153</v>
      </c>
      <c r="AO162" s="105" t="str">
        <f t="array" ref="AO162">IFERROR(INDEX($AM$10:$AM$258, MATCH(0, IF(TRUE=$AJ$10:$AJ$258, COUNTIF($AO$9:$AO161, $AM$10:$AM$258), ""), 0)),"")</f>
        <v/>
      </c>
      <c r="AP162" s="105" t="str">
        <f t="array" ref="AP162">IFERROR(INDEX($AM$10:$AM$258, MATCH(0, IF(TRUE=$AK$10:$AK$258, COUNTIF($AP$9:$AP161, $AM$10:$AM$258), ""), 0)),"")</f>
        <v/>
      </c>
      <c r="AR162" s="15" t="str">
        <f>IFERROR(INDEX('G-7 WaterC'' Data'!$AZ$3:$AZ$7,MATCH(D162,'G-7 WaterC'' Data'!$AY$3:$AY$7,0)),"")</f>
        <v/>
      </c>
      <c r="AS162" s="15" t="str">
        <f>IFERROR(INDEX('G-7 WaterC'' Data'!AZ162:AZ166,MATCH(D162,'G-7 WaterC'' Data'!$AY$10:$AY$14,0)),"")</f>
        <v/>
      </c>
      <c r="AU162" s="15" t="str">
        <f>IF(D162="","",VLOOKUP(D162,'G-7 WaterC'' Data'!B$4:M$8,12,FALSE))</f>
        <v/>
      </c>
      <c r="AV162" s="15" t="str">
        <f t="shared" si="26"/>
        <v/>
      </c>
    </row>
    <row r="163" spans="3:48" ht="14" x14ac:dyDescent="0.3">
      <c r="C163" s="92">
        <v>154</v>
      </c>
      <c r="D163" s="271"/>
      <c r="E163" s="120"/>
      <c r="F163" s="290" t="str">
        <f>IF(D163="","",VLOOKUP(D163,'G-7 WaterC'' Data'!$B$2:$G$8,2,FALSE))</f>
        <v/>
      </c>
      <c r="G163" s="291" t="str">
        <f>IFERROR(VLOOKUP(F163,'G-7 WaterC'' Data'!$C$4:$D$8,2,FALSE),"")</f>
        <v/>
      </c>
      <c r="H163" s="38"/>
      <c r="I163" s="291" t="str">
        <f>IFERROR(INDEX('G-7 WaterC'' Data'!$H$4:$L$8,MATCH(D163,'G-7 WaterC'' Data'!$B$4:$B$8,0),MATCH(H163,'G-7 WaterC'' Data'!$H$3:$L$3,0)),"")</f>
        <v/>
      </c>
      <c r="J163" s="777"/>
      <c r="K163" s="325" t="str">
        <f>IF(J163="","",IF(VLOOKUP(J163,'G-7 WaterC'' Data'!$AK$4:$AM$6,2,FALSE)=0,"Spatial Data Missing ⚠",VLOOKUP(J163,'G-7 WaterC'' Data'!$AK$4:$AM$6,2,FALSE)))</f>
        <v/>
      </c>
      <c r="L163" s="296" t="str">
        <f>IF(J163="","",IF(VLOOKUP(J163,'G-7 WaterC'' Data'!$AK$4:$AM$9,3,FALSE)=0,"Spatial Data Missing ⚠",VLOOKUP(J163,'G-7 WaterC'' Data'!$AK$4:$AM$6,3,FALSE)))</f>
        <v/>
      </c>
      <c r="M163" s="38"/>
      <c r="N163" s="291" t="str">
        <f>IF(M163="","",IF(AND(D163&lt;&gt;"Culvert",M163="N/A - Culvert"),"Not possible ▲",IF(AND(D163="Culvert",M163&lt;&gt;"N/A - Culvert"),"Not possible ▲",IF(VLOOKUP(M163,'G-7 WaterC'' Data'!$AA$4:$AB$7,2,FALSE)=0,"Spatial Data Missing ⚠",VLOOKUP(M163,'G-7 WaterC'' Data'!$AA$4:$AB$7,2,FALSE)))))</f>
        <v/>
      </c>
      <c r="O163" s="44"/>
      <c r="P163" s="291" t="str">
        <f>IF(O163="","",IF(AND(O163="N/A - Culvert", D163&lt;&gt;"Culvert"),"Not possible ▲", IF(AND(D163="Culvert",O163&lt;&gt;"N/A - Culvert"),"Not possible ▲",IF(VLOOKUP(O163,'G-7 WaterC'' Data'!$AD$4:$AE$14,2,FALSE)=0,"Spatial Data Missing ⚠",VLOOKUP(O163,'G-7 WaterC'' Data'!$AD$4:$AE$14,2,FALSE)))))</f>
        <v/>
      </c>
      <c r="Q163" s="297" t="str">
        <f>IF(D163="","",VLOOKUP(D163,'G-7 WaterC'' Data'!$B$2:$G$8,6,FALSE))</f>
        <v/>
      </c>
      <c r="R163" s="304" t="str">
        <f>IFERROR(IF(AND(Q163='G-1 All Habitats'!$X$3, AE163&gt;0, U163&lt;=0, V163&lt;=0, OR(AA163="No", AA163="")),"Any Loss Unacceptable ⚠", (IF(AND(Q163='G-1 All Habitats'!$X$3, AE163&gt;0, U163&lt;=0, V163&lt;=0, AA163="Yes"), 0, (IF(AND(Q163='G-1 All Habitats'!$X$3,(U163+V163)&lt;E163, OR(AA163="No", AA163="")),"Any Loss Unacceptable ⚠", (IF(AND(Q163='G-1 All Habitats'!$X$3,(U163+V163)&gt;E163), E163*G163*I163*L163*N163*P163, (IF(Q163="","",IF(AND(Q163='G-1 All Habitats'!$X$3,V163&gt;0),W163+X163,IF(AND(Q163='G-1 All Habitats'!$X$3,U163&gt;0), W163+X163, IF(AND(S163="Yes", V163&gt;(E163-U163)),(E163-U163)*G163*I163*L163*N163*P163, IF(AND(S163="Yes", V163&lt;=(E163-U163)), X163, E163*G163*I163*L163*N163*P163 ))))))))))))),"Check Data ▲")</f>
        <v/>
      </c>
      <c r="S163" s="671" t="str">
        <f t="shared" si="18"/>
        <v/>
      </c>
      <c r="T163" s="17"/>
      <c r="U163" s="95"/>
      <c r="V163" s="106"/>
      <c r="W163" s="302" t="str">
        <f t="shared" si="19"/>
        <v/>
      </c>
      <c r="X163" s="302" t="str">
        <f t="shared" si="20"/>
        <v/>
      </c>
      <c r="Y163" s="302" t="str">
        <f t="shared" si="21"/>
        <v/>
      </c>
      <c r="Z163" s="471" t="str">
        <f t="shared" si="22"/>
        <v/>
      </c>
      <c r="AA163" s="488"/>
      <c r="AB163" s="486"/>
      <c r="AC163" s="101"/>
      <c r="AD163" s="101"/>
      <c r="AE163" s="41" t="str">
        <f>IF(OR(Q163="",AA163="Yes"),"",IF(Q163='G-1 All Habitats'!$X$3,E163-U163-V163,"None"))</f>
        <v/>
      </c>
      <c r="AF163" s="42" t="str">
        <f>IF(Q163="","", IF(Q163='G-1 All Habitats'!$X$3, AE163*G163*I163*L163*N163*P163,"None"))</f>
        <v/>
      </c>
      <c r="AI163" s="15">
        <f t="shared" si="23"/>
        <v>0</v>
      </c>
      <c r="AJ163" s="105" t="str">
        <f t="shared" si="24"/>
        <v/>
      </c>
      <c r="AK163" s="105" t="str">
        <f t="shared" si="25"/>
        <v/>
      </c>
      <c r="AM163" s="105">
        <v>154</v>
      </c>
      <c r="AO163" s="105" t="str">
        <f t="array" ref="AO163">IFERROR(INDEX($AM$10:$AM$258, MATCH(0, IF(TRUE=$AJ$10:$AJ$258, COUNTIF($AO$9:$AO162, $AM$10:$AM$258), ""), 0)),"")</f>
        <v/>
      </c>
      <c r="AP163" s="105" t="str">
        <f t="array" ref="AP163">IFERROR(INDEX($AM$10:$AM$258, MATCH(0, IF(TRUE=$AK$10:$AK$258, COUNTIF($AP$9:$AP162, $AM$10:$AM$258), ""), 0)),"")</f>
        <v/>
      </c>
      <c r="AR163" s="15" t="str">
        <f>IFERROR(INDEX('G-7 WaterC'' Data'!$AZ$3:$AZ$7,MATCH(D163,'G-7 WaterC'' Data'!$AY$3:$AY$7,0)),"")</f>
        <v/>
      </c>
      <c r="AS163" s="15" t="str">
        <f>IFERROR(INDEX('G-7 WaterC'' Data'!AZ163:AZ167,MATCH(D163,'G-7 WaterC'' Data'!$AY$10:$AY$14,0)),"")</f>
        <v/>
      </c>
      <c r="AU163" s="15" t="str">
        <f>IF(D163="","",VLOOKUP(D163,'G-7 WaterC'' Data'!B$4:M$8,12,FALSE))</f>
        <v/>
      </c>
      <c r="AV163" s="15" t="str">
        <f t="shared" si="26"/>
        <v/>
      </c>
    </row>
    <row r="164" spans="3:48" ht="14" x14ac:dyDescent="0.3">
      <c r="C164" s="92">
        <v>155</v>
      </c>
      <c r="D164" s="271"/>
      <c r="E164" s="120"/>
      <c r="F164" s="290" t="str">
        <f>IF(D164="","",VLOOKUP(D164,'G-7 WaterC'' Data'!$B$2:$G$8,2,FALSE))</f>
        <v/>
      </c>
      <c r="G164" s="291" t="str">
        <f>IFERROR(VLOOKUP(F164,'G-7 WaterC'' Data'!$C$4:$D$8,2,FALSE),"")</f>
        <v/>
      </c>
      <c r="H164" s="38"/>
      <c r="I164" s="291" t="str">
        <f>IFERROR(INDEX('G-7 WaterC'' Data'!$H$4:$L$8,MATCH(D164,'G-7 WaterC'' Data'!$B$4:$B$8,0),MATCH(H164,'G-7 WaterC'' Data'!$H$3:$L$3,0)),"")</f>
        <v/>
      </c>
      <c r="J164" s="777"/>
      <c r="K164" s="325" t="str">
        <f>IF(J164="","",IF(VLOOKUP(J164,'G-7 WaterC'' Data'!$AK$4:$AM$6,2,FALSE)=0,"Spatial Data Missing ⚠",VLOOKUP(J164,'G-7 WaterC'' Data'!$AK$4:$AM$6,2,FALSE)))</f>
        <v/>
      </c>
      <c r="L164" s="296" t="str">
        <f>IF(J164="","",IF(VLOOKUP(J164,'G-7 WaterC'' Data'!$AK$4:$AM$9,3,FALSE)=0,"Spatial Data Missing ⚠",VLOOKUP(J164,'G-7 WaterC'' Data'!$AK$4:$AM$6,3,FALSE)))</f>
        <v/>
      </c>
      <c r="M164" s="38"/>
      <c r="N164" s="291" t="str">
        <f>IF(M164="","",IF(AND(D164&lt;&gt;"Culvert",M164="N/A - Culvert"),"Not possible ▲",IF(AND(D164="Culvert",M164&lt;&gt;"N/A - Culvert"),"Not possible ▲",IF(VLOOKUP(M164,'G-7 WaterC'' Data'!$AA$4:$AB$7,2,FALSE)=0,"Spatial Data Missing ⚠",VLOOKUP(M164,'G-7 WaterC'' Data'!$AA$4:$AB$7,2,FALSE)))))</f>
        <v/>
      </c>
      <c r="O164" s="44"/>
      <c r="P164" s="291" t="str">
        <f>IF(O164="","",IF(AND(O164="N/A - Culvert", D164&lt;&gt;"Culvert"),"Not possible ▲", IF(AND(D164="Culvert",O164&lt;&gt;"N/A - Culvert"),"Not possible ▲",IF(VLOOKUP(O164,'G-7 WaterC'' Data'!$AD$4:$AE$14,2,FALSE)=0,"Spatial Data Missing ⚠",VLOOKUP(O164,'G-7 WaterC'' Data'!$AD$4:$AE$14,2,FALSE)))))</f>
        <v/>
      </c>
      <c r="Q164" s="297" t="str">
        <f>IF(D164="","",VLOOKUP(D164,'G-7 WaterC'' Data'!$B$2:$G$8,6,FALSE))</f>
        <v/>
      </c>
      <c r="R164" s="304" t="str">
        <f>IFERROR(IF(AND(Q164='G-1 All Habitats'!$X$3, AE164&gt;0, U164&lt;=0, V164&lt;=0, OR(AA164="No", AA164="")),"Any Loss Unacceptable ⚠", (IF(AND(Q164='G-1 All Habitats'!$X$3, AE164&gt;0, U164&lt;=0, V164&lt;=0, AA164="Yes"), 0, (IF(AND(Q164='G-1 All Habitats'!$X$3,(U164+V164)&lt;E164, OR(AA164="No", AA164="")),"Any Loss Unacceptable ⚠", (IF(AND(Q164='G-1 All Habitats'!$X$3,(U164+V164)&gt;E164), E164*G164*I164*L164*N164*P164, (IF(Q164="","",IF(AND(Q164='G-1 All Habitats'!$X$3,V164&gt;0),W164+X164,IF(AND(Q164='G-1 All Habitats'!$X$3,U164&gt;0), W164+X164, IF(AND(S164="Yes", V164&gt;(E164-U164)),(E164-U164)*G164*I164*L164*N164*P164, IF(AND(S164="Yes", V164&lt;=(E164-U164)), X164, E164*G164*I164*L164*N164*P164 ))))))))))))),"Check Data ▲")</f>
        <v/>
      </c>
      <c r="S164" s="671" t="str">
        <f t="shared" si="18"/>
        <v/>
      </c>
      <c r="T164" s="17"/>
      <c r="U164" s="95"/>
      <c r="V164" s="106"/>
      <c r="W164" s="302" t="str">
        <f t="shared" si="19"/>
        <v/>
      </c>
      <c r="X164" s="302" t="str">
        <f t="shared" si="20"/>
        <v/>
      </c>
      <c r="Y164" s="302" t="str">
        <f t="shared" si="21"/>
        <v/>
      </c>
      <c r="Z164" s="471" t="str">
        <f t="shared" si="22"/>
        <v/>
      </c>
      <c r="AA164" s="488"/>
      <c r="AB164" s="486"/>
      <c r="AC164" s="101"/>
      <c r="AD164" s="101"/>
      <c r="AE164" s="41" t="str">
        <f>IF(OR(Q164="",AA164="Yes"),"",IF(Q164='G-1 All Habitats'!$X$3,E164-U164-V164,"None"))</f>
        <v/>
      </c>
      <c r="AF164" s="42" t="str">
        <f>IF(Q164="","", IF(Q164='G-1 All Habitats'!$X$3, AE164*G164*I164*L164*N164*P164,"None"))</f>
        <v/>
      </c>
      <c r="AI164" s="15">
        <f t="shared" si="23"/>
        <v>0</v>
      </c>
      <c r="AJ164" s="105" t="str">
        <f t="shared" si="24"/>
        <v/>
      </c>
      <c r="AK164" s="105" t="str">
        <f t="shared" si="25"/>
        <v/>
      </c>
      <c r="AM164" s="105">
        <v>155</v>
      </c>
      <c r="AO164" s="105" t="str">
        <f t="array" ref="AO164">IFERROR(INDEX($AM$10:$AM$258, MATCH(0, IF(TRUE=$AJ$10:$AJ$258, COUNTIF($AO$9:$AO163, $AM$10:$AM$258), ""), 0)),"")</f>
        <v/>
      </c>
      <c r="AP164" s="105" t="str">
        <f t="array" ref="AP164">IFERROR(INDEX($AM$10:$AM$258, MATCH(0, IF(TRUE=$AK$10:$AK$258, COUNTIF($AP$9:$AP163, $AM$10:$AM$258), ""), 0)),"")</f>
        <v/>
      </c>
      <c r="AR164" s="15" t="str">
        <f>IFERROR(INDEX('G-7 WaterC'' Data'!$AZ$3:$AZ$7,MATCH(D164,'G-7 WaterC'' Data'!$AY$3:$AY$7,0)),"")</f>
        <v/>
      </c>
      <c r="AS164" s="15" t="str">
        <f>IFERROR(INDEX('G-7 WaterC'' Data'!AZ164:AZ168,MATCH(D164,'G-7 WaterC'' Data'!$AY$10:$AY$14,0)),"")</f>
        <v/>
      </c>
      <c r="AU164" s="15" t="str">
        <f>IF(D164="","",VLOOKUP(D164,'G-7 WaterC'' Data'!B$4:M$8,12,FALSE))</f>
        <v/>
      </c>
      <c r="AV164" s="15" t="str">
        <f t="shared" si="26"/>
        <v/>
      </c>
    </row>
    <row r="165" spans="3:48" ht="14" x14ac:dyDescent="0.3">
      <c r="C165" s="92">
        <v>156</v>
      </c>
      <c r="D165" s="271"/>
      <c r="E165" s="120"/>
      <c r="F165" s="290" t="str">
        <f>IF(D165="","",VLOOKUP(D165,'G-7 WaterC'' Data'!$B$2:$G$8,2,FALSE))</f>
        <v/>
      </c>
      <c r="G165" s="291" t="str">
        <f>IFERROR(VLOOKUP(F165,'G-7 WaterC'' Data'!$C$4:$D$8,2,FALSE),"")</f>
        <v/>
      </c>
      <c r="H165" s="38"/>
      <c r="I165" s="291" t="str">
        <f>IFERROR(INDEX('G-7 WaterC'' Data'!$H$4:$L$8,MATCH(D165,'G-7 WaterC'' Data'!$B$4:$B$8,0),MATCH(H165,'G-7 WaterC'' Data'!$H$3:$L$3,0)),"")</f>
        <v/>
      </c>
      <c r="J165" s="777"/>
      <c r="K165" s="325" t="str">
        <f>IF(J165="","",IF(VLOOKUP(J165,'G-7 WaterC'' Data'!$AK$4:$AM$6,2,FALSE)=0,"Spatial Data Missing ⚠",VLOOKUP(J165,'G-7 WaterC'' Data'!$AK$4:$AM$6,2,FALSE)))</f>
        <v/>
      </c>
      <c r="L165" s="296" t="str">
        <f>IF(J165="","",IF(VLOOKUP(J165,'G-7 WaterC'' Data'!$AK$4:$AM$9,3,FALSE)=0,"Spatial Data Missing ⚠",VLOOKUP(J165,'G-7 WaterC'' Data'!$AK$4:$AM$6,3,FALSE)))</f>
        <v/>
      </c>
      <c r="M165" s="38"/>
      <c r="N165" s="291" t="str">
        <f>IF(M165="","",IF(AND(D165&lt;&gt;"Culvert",M165="N/A - Culvert"),"Not possible ▲",IF(AND(D165="Culvert",M165&lt;&gt;"N/A - Culvert"),"Not possible ▲",IF(VLOOKUP(M165,'G-7 WaterC'' Data'!$AA$4:$AB$7,2,FALSE)=0,"Spatial Data Missing ⚠",VLOOKUP(M165,'G-7 WaterC'' Data'!$AA$4:$AB$7,2,FALSE)))))</f>
        <v/>
      </c>
      <c r="O165" s="44"/>
      <c r="P165" s="291" t="str">
        <f>IF(O165="","",IF(AND(O165="N/A - Culvert", D165&lt;&gt;"Culvert"),"Not possible ▲", IF(AND(D165="Culvert",O165&lt;&gt;"N/A - Culvert"),"Not possible ▲",IF(VLOOKUP(O165,'G-7 WaterC'' Data'!$AD$4:$AE$14,2,FALSE)=0,"Spatial Data Missing ⚠",VLOOKUP(O165,'G-7 WaterC'' Data'!$AD$4:$AE$14,2,FALSE)))))</f>
        <v/>
      </c>
      <c r="Q165" s="297" t="str">
        <f>IF(D165="","",VLOOKUP(D165,'G-7 WaterC'' Data'!$B$2:$G$8,6,FALSE))</f>
        <v/>
      </c>
      <c r="R165" s="304" t="str">
        <f>IFERROR(IF(AND(Q165='G-1 All Habitats'!$X$3, AE165&gt;0, U165&lt;=0, V165&lt;=0, OR(AA165="No", AA165="")),"Any Loss Unacceptable ⚠", (IF(AND(Q165='G-1 All Habitats'!$X$3, AE165&gt;0, U165&lt;=0, V165&lt;=0, AA165="Yes"), 0, (IF(AND(Q165='G-1 All Habitats'!$X$3,(U165+V165)&lt;E165, OR(AA165="No", AA165="")),"Any Loss Unacceptable ⚠", (IF(AND(Q165='G-1 All Habitats'!$X$3,(U165+V165)&gt;E165), E165*G165*I165*L165*N165*P165, (IF(Q165="","",IF(AND(Q165='G-1 All Habitats'!$X$3,V165&gt;0),W165+X165,IF(AND(Q165='G-1 All Habitats'!$X$3,U165&gt;0), W165+X165, IF(AND(S165="Yes", V165&gt;(E165-U165)),(E165-U165)*G165*I165*L165*N165*P165, IF(AND(S165="Yes", V165&lt;=(E165-U165)), X165, E165*G165*I165*L165*N165*P165 ))))))))))))),"Check Data ▲")</f>
        <v/>
      </c>
      <c r="S165" s="671" t="str">
        <f t="shared" si="18"/>
        <v/>
      </c>
      <c r="T165" s="17"/>
      <c r="U165" s="95"/>
      <c r="V165" s="106"/>
      <c r="W165" s="302" t="str">
        <f t="shared" si="19"/>
        <v/>
      </c>
      <c r="X165" s="302" t="str">
        <f t="shared" si="20"/>
        <v/>
      </c>
      <c r="Y165" s="302" t="str">
        <f t="shared" si="21"/>
        <v/>
      </c>
      <c r="Z165" s="471" t="str">
        <f t="shared" si="22"/>
        <v/>
      </c>
      <c r="AA165" s="488"/>
      <c r="AB165" s="486"/>
      <c r="AC165" s="101"/>
      <c r="AD165" s="101"/>
      <c r="AE165" s="41" t="str">
        <f>IF(OR(Q165="",AA165="Yes"),"",IF(Q165='G-1 All Habitats'!$X$3,E165-U165-V165,"None"))</f>
        <v/>
      </c>
      <c r="AF165" s="42" t="str">
        <f>IF(Q165="","", IF(Q165='G-1 All Habitats'!$X$3, AE165*G165*I165*L165*N165*P165,"None"))</f>
        <v/>
      </c>
      <c r="AI165" s="15">
        <f t="shared" si="23"/>
        <v>0</v>
      </c>
      <c r="AJ165" s="105" t="str">
        <f t="shared" si="24"/>
        <v/>
      </c>
      <c r="AK165" s="105" t="str">
        <f t="shared" si="25"/>
        <v/>
      </c>
      <c r="AM165" s="105">
        <v>156</v>
      </c>
      <c r="AO165" s="105" t="str">
        <f t="array" ref="AO165">IFERROR(INDEX($AM$10:$AM$258, MATCH(0, IF(TRUE=$AJ$10:$AJ$258, COUNTIF($AO$9:$AO164, $AM$10:$AM$258), ""), 0)),"")</f>
        <v/>
      </c>
      <c r="AP165" s="105" t="str">
        <f t="array" ref="AP165">IFERROR(INDEX($AM$10:$AM$258, MATCH(0, IF(TRUE=$AK$10:$AK$258, COUNTIF($AP$9:$AP164, $AM$10:$AM$258), ""), 0)),"")</f>
        <v/>
      </c>
      <c r="AR165" s="15" t="str">
        <f>IFERROR(INDEX('G-7 WaterC'' Data'!$AZ$3:$AZ$7,MATCH(D165,'G-7 WaterC'' Data'!$AY$3:$AY$7,0)),"")</f>
        <v/>
      </c>
      <c r="AS165" s="15" t="str">
        <f>IFERROR(INDEX('G-7 WaterC'' Data'!AZ165:AZ169,MATCH(D165,'G-7 WaterC'' Data'!$AY$10:$AY$14,0)),"")</f>
        <v/>
      </c>
      <c r="AU165" s="15" t="str">
        <f>IF(D165="","",VLOOKUP(D165,'G-7 WaterC'' Data'!B$4:M$8,12,FALSE))</f>
        <v/>
      </c>
      <c r="AV165" s="15" t="str">
        <f t="shared" si="26"/>
        <v/>
      </c>
    </row>
    <row r="166" spans="3:48" ht="14" x14ac:dyDescent="0.3">
      <c r="C166" s="92">
        <v>157</v>
      </c>
      <c r="D166" s="271"/>
      <c r="E166" s="120"/>
      <c r="F166" s="290" t="str">
        <f>IF(D166="","",VLOOKUP(D166,'G-7 WaterC'' Data'!$B$2:$G$8,2,FALSE))</f>
        <v/>
      </c>
      <c r="G166" s="291" t="str">
        <f>IFERROR(VLOOKUP(F166,'G-7 WaterC'' Data'!$C$4:$D$8,2,FALSE),"")</f>
        <v/>
      </c>
      <c r="H166" s="38"/>
      <c r="I166" s="291" t="str">
        <f>IFERROR(INDEX('G-7 WaterC'' Data'!$H$4:$L$8,MATCH(D166,'G-7 WaterC'' Data'!$B$4:$B$8,0),MATCH(H166,'G-7 WaterC'' Data'!$H$3:$L$3,0)),"")</f>
        <v/>
      </c>
      <c r="J166" s="777"/>
      <c r="K166" s="325" t="str">
        <f>IF(J166="","",IF(VLOOKUP(J166,'G-7 WaterC'' Data'!$AK$4:$AM$6,2,FALSE)=0,"Spatial Data Missing ⚠",VLOOKUP(J166,'G-7 WaterC'' Data'!$AK$4:$AM$6,2,FALSE)))</f>
        <v/>
      </c>
      <c r="L166" s="296" t="str">
        <f>IF(J166="","",IF(VLOOKUP(J166,'G-7 WaterC'' Data'!$AK$4:$AM$9,3,FALSE)=0,"Spatial Data Missing ⚠",VLOOKUP(J166,'G-7 WaterC'' Data'!$AK$4:$AM$6,3,FALSE)))</f>
        <v/>
      </c>
      <c r="M166" s="38"/>
      <c r="N166" s="291" t="str">
        <f>IF(M166="","",IF(AND(D166&lt;&gt;"Culvert",M166="N/A - Culvert"),"Not possible ▲",IF(AND(D166="Culvert",M166&lt;&gt;"N/A - Culvert"),"Not possible ▲",IF(VLOOKUP(M166,'G-7 WaterC'' Data'!$AA$4:$AB$7,2,FALSE)=0,"Spatial Data Missing ⚠",VLOOKUP(M166,'G-7 WaterC'' Data'!$AA$4:$AB$7,2,FALSE)))))</f>
        <v/>
      </c>
      <c r="O166" s="44"/>
      <c r="P166" s="291" t="str">
        <f>IF(O166="","",IF(AND(O166="N/A - Culvert", D166&lt;&gt;"Culvert"),"Not possible ▲", IF(AND(D166="Culvert",O166&lt;&gt;"N/A - Culvert"),"Not possible ▲",IF(VLOOKUP(O166,'G-7 WaterC'' Data'!$AD$4:$AE$14,2,FALSE)=0,"Spatial Data Missing ⚠",VLOOKUP(O166,'G-7 WaterC'' Data'!$AD$4:$AE$14,2,FALSE)))))</f>
        <v/>
      </c>
      <c r="Q166" s="297" t="str">
        <f>IF(D166="","",VLOOKUP(D166,'G-7 WaterC'' Data'!$B$2:$G$8,6,FALSE))</f>
        <v/>
      </c>
      <c r="R166" s="304" t="str">
        <f>IFERROR(IF(AND(Q166='G-1 All Habitats'!$X$3, AE166&gt;0, U166&lt;=0, V166&lt;=0, OR(AA166="No", AA166="")),"Any Loss Unacceptable ⚠", (IF(AND(Q166='G-1 All Habitats'!$X$3, AE166&gt;0, U166&lt;=0, V166&lt;=0, AA166="Yes"), 0, (IF(AND(Q166='G-1 All Habitats'!$X$3,(U166+V166)&lt;E166, OR(AA166="No", AA166="")),"Any Loss Unacceptable ⚠", (IF(AND(Q166='G-1 All Habitats'!$X$3,(U166+V166)&gt;E166), E166*G166*I166*L166*N166*P166, (IF(Q166="","",IF(AND(Q166='G-1 All Habitats'!$X$3,V166&gt;0),W166+X166,IF(AND(Q166='G-1 All Habitats'!$X$3,U166&gt;0), W166+X166, IF(AND(S166="Yes", V166&gt;(E166-U166)),(E166-U166)*G166*I166*L166*N166*P166, IF(AND(S166="Yes", V166&lt;=(E166-U166)), X166, E166*G166*I166*L166*N166*P166 ))))))))))))),"Check Data ▲")</f>
        <v/>
      </c>
      <c r="S166" s="671" t="str">
        <f t="shared" si="18"/>
        <v/>
      </c>
      <c r="T166" s="17"/>
      <c r="U166" s="95"/>
      <c r="V166" s="106"/>
      <c r="W166" s="302" t="str">
        <f t="shared" si="19"/>
        <v/>
      </c>
      <c r="X166" s="302" t="str">
        <f t="shared" si="20"/>
        <v/>
      </c>
      <c r="Y166" s="302" t="str">
        <f t="shared" si="21"/>
        <v/>
      </c>
      <c r="Z166" s="471" t="str">
        <f t="shared" si="22"/>
        <v/>
      </c>
      <c r="AA166" s="488"/>
      <c r="AB166" s="486"/>
      <c r="AC166" s="101"/>
      <c r="AD166" s="101"/>
      <c r="AE166" s="41" t="str">
        <f>IF(OR(Q166="",AA166="Yes"),"",IF(Q166='G-1 All Habitats'!$X$3,E166-U166-V166,"None"))</f>
        <v/>
      </c>
      <c r="AF166" s="42" t="str">
        <f>IF(Q166="","", IF(Q166='G-1 All Habitats'!$X$3, AE166*G166*I166*L166*N166*P166,"None"))</f>
        <v/>
      </c>
      <c r="AI166" s="15">
        <f t="shared" si="23"/>
        <v>0</v>
      </c>
      <c r="AJ166" s="105" t="str">
        <f t="shared" si="24"/>
        <v/>
      </c>
      <c r="AK166" s="105" t="str">
        <f t="shared" si="25"/>
        <v/>
      </c>
      <c r="AM166" s="105">
        <v>157</v>
      </c>
      <c r="AO166" s="105" t="str">
        <f t="array" ref="AO166">IFERROR(INDEX($AM$10:$AM$258, MATCH(0, IF(TRUE=$AJ$10:$AJ$258, COUNTIF($AO$9:$AO165, $AM$10:$AM$258), ""), 0)),"")</f>
        <v/>
      </c>
      <c r="AP166" s="105" t="str">
        <f t="array" ref="AP166">IFERROR(INDEX($AM$10:$AM$258, MATCH(0, IF(TRUE=$AK$10:$AK$258, COUNTIF($AP$9:$AP165, $AM$10:$AM$258), ""), 0)),"")</f>
        <v/>
      </c>
      <c r="AR166" s="15" t="str">
        <f>IFERROR(INDEX('G-7 WaterC'' Data'!$AZ$3:$AZ$7,MATCH(D166,'G-7 WaterC'' Data'!$AY$3:$AY$7,0)),"")</f>
        <v/>
      </c>
      <c r="AS166" s="15" t="str">
        <f>IFERROR(INDEX('G-7 WaterC'' Data'!AZ166:AZ170,MATCH(D166,'G-7 WaterC'' Data'!$AY$10:$AY$14,0)),"")</f>
        <v/>
      </c>
      <c r="AU166" s="15" t="str">
        <f>IF(D166="","",VLOOKUP(D166,'G-7 WaterC'' Data'!B$4:M$8,12,FALSE))</f>
        <v/>
      </c>
      <c r="AV166" s="15" t="str">
        <f t="shared" si="26"/>
        <v/>
      </c>
    </row>
    <row r="167" spans="3:48" ht="14" x14ac:dyDescent="0.3">
      <c r="C167" s="92">
        <v>158</v>
      </c>
      <c r="D167" s="271"/>
      <c r="E167" s="120"/>
      <c r="F167" s="290" t="str">
        <f>IF(D167="","",VLOOKUP(D167,'G-7 WaterC'' Data'!$B$2:$G$8,2,FALSE))</f>
        <v/>
      </c>
      <c r="G167" s="291" t="str">
        <f>IFERROR(VLOOKUP(F167,'G-7 WaterC'' Data'!$C$4:$D$8,2,FALSE),"")</f>
        <v/>
      </c>
      <c r="H167" s="38"/>
      <c r="I167" s="291" t="str">
        <f>IFERROR(INDEX('G-7 WaterC'' Data'!$H$4:$L$8,MATCH(D167,'G-7 WaterC'' Data'!$B$4:$B$8,0),MATCH(H167,'G-7 WaterC'' Data'!$H$3:$L$3,0)),"")</f>
        <v/>
      </c>
      <c r="J167" s="777"/>
      <c r="K167" s="325" t="str">
        <f>IF(J167="","",IF(VLOOKUP(J167,'G-7 WaterC'' Data'!$AK$4:$AM$6,2,FALSE)=0,"Spatial Data Missing ⚠",VLOOKUP(J167,'G-7 WaterC'' Data'!$AK$4:$AM$6,2,FALSE)))</f>
        <v/>
      </c>
      <c r="L167" s="296" t="str">
        <f>IF(J167="","",IF(VLOOKUP(J167,'G-7 WaterC'' Data'!$AK$4:$AM$9,3,FALSE)=0,"Spatial Data Missing ⚠",VLOOKUP(J167,'G-7 WaterC'' Data'!$AK$4:$AM$6,3,FALSE)))</f>
        <v/>
      </c>
      <c r="M167" s="38"/>
      <c r="N167" s="291" t="str">
        <f>IF(M167="","",IF(AND(D167&lt;&gt;"Culvert",M167="N/A - Culvert"),"Not possible ▲",IF(AND(D167="Culvert",M167&lt;&gt;"N/A - Culvert"),"Not possible ▲",IF(VLOOKUP(M167,'G-7 WaterC'' Data'!$AA$4:$AB$7,2,FALSE)=0,"Spatial Data Missing ⚠",VLOOKUP(M167,'G-7 WaterC'' Data'!$AA$4:$AB$7,2,FALSE)))))</f>
        <v/>
      </c>
      <c r="O167" s="44"/>
      <c r="P167" s="291" t="str">
        <f>IF(O167="","",IF(AND(O167="N/A - Culvert", D167&lt;&gt;"Culvert"),"Not possible ▲", IF(AND(D167="Culvert",O167&lt;&gt;"N/A - Culvert"),"Not possible ▲",IF(VLOOKUP(O167,'G-7 WaterC'' Data'!$AD$4:$AE$14,2,FALSE)=0,"Spatial Data Missing ⚠",VLOOKUP(O167,'G-7 WaterC'' Data'!$AD$4:$AE$14,2,FALSE)))))</f>
        <v/>
      </c>
      <c r="Q167" s="297" t="str">
        <f>IF(D167="","",VLOOKUP(D167,'G-7 WaterC'' Data'!$B$2:$G$8,6,FALSE))</f>
        <v/>
      </c>
      <c r="R167" s="304" t="str">
        <f>IFERROR(IF(AND(Q167='G-1 All Habitats'!$X$3, AE167&gt;0, U167&lt;=0, V167&lt;=0, OR(AA167="No", AA167="")),"Any Loss Unacceptable ⚠", (IF(AND(Q167='G-1 All Habitats'!$X$3, AE167&gt;0, U167&lt;=0, V167&lt;=0, AA167="Yes"), 0, (IF(AND(Q167='G-1 All Habitats'!$X$3,(U167+V167)&lt;E167, OR(AA167="No", AA167="")),"Any Loss Unacceptable ⚠", (IF(AND(Q167='G-1 All Habitats'!$X$3,(U167+V167)&gt;E167), E167*G167*I167*L167*N167*P167, (IF(Q167="","",IF(AND(Q167='G-1 All Habitats'!$X$3,V167&gt;0),W167+X167,IF(AND(Q167='G-1 All Habitats'!$X$3,U167&gt;0), W167+X167, IF(AND(S167="Yes", V167&gt;(E167-U167)),(E167-U167)*G167*I167*L167*N167*P167, IF(AND(S167="Yes", V167&lt;=(E167-U167)), X167, E167*G167*I167*L167*N167*P167 ))))))))))))),"Check Data ▲")</f>
        <v/>
      </c>
      <c r="S167" s="671" t="str">
        <f t="shared" si="18"/>
        <v/>
      </c>
      <c r="T167" s="17"/>
      <c r="U167" s="95"/>
      <c r="V167" s="106"/>
      <c r="W167" s="302" t="str">
        <f t="shared" si="19"/>
        <v/>
      </c>
      <c r="X167" s="302" t="str">
        <f t="shared" si="20"/>
        <v/>
      </c>
      <c r="Y167" s="302" t="str">
        <f t="shared" si="21"/>
        <v/>
      </c>
      <c r="Z167" s="471" t="str">
        <f t="shared" si="22"/>
        <v/>
      </c>
      <c r="AA167" s="488"/>
      <c r="AB167" s="486"/>
      <c r="AC167" s="101"/>
      <c r="AD167" s="101"/>
      <c r="AE167" s="41" t="str">
        <f>IF(OR(Q167="",AA167="Yes"),"",IF(Q167='G-1 All Habitats'!$X$3,E167-U167-V167,"None"))</f>
        <v/>
      </c>
      <c r="AF167" s="42" t="str">
        <f>IF(Q167="","", IF(Q167='G-1 All Habitats'!$X$3, AE167*G167*I167*L167*N167*P167,"None"))</f>
        <v/>
      </c>
      <c r="AI167" s="15">
        <f t="shared" si="23"/>
        <v>0</v>
      </c>
      <c r="AJ167" s="105" t="str">
        <f t="shared" si="24"/>
        <v/>
      </c>
      <c r="AK167" s="105" t="str">
        <f t="shared" si="25"/>
        <v/>
      </c>
      <c r="AM167" s="105">
        <v>158</v>
      </c>
      <c r="AO167" s="105" t="str">
        <f t="array" ref="AO167">IFERROR(INDEX($AM$10:$AM$258, MATCH(0, IF(TRUE=$AJ$10:$AJ$258, COUNTIF($AO$9:$AO166, $AM$10:$AM$258), ""), 0)),"")</f>
        <v/>
      </c>
      <c r="AP167" s="105" t="str">
        <f t="array" ref="AP167">IFERROR(INDEX($AM$10:$AM$258, MATCH(0, IF(TRUE=$AK$10:$AK$258, COUNTIF($AP$9:$AP166, $AM$10:$AM$258), ""), 0)),"")</f>
        <v/>
      </c>
      <c r="AR167" s="15" t="str">
        <f>IFERROR(INDEX('G-7 WaterC'' Data'!$AZ$3:$AZ$7,MATCH(D167,'G-7 WaterC'' Data'!$AY$3:$AY$7,0)),"")</f>
        <v/>
      </c>
      <c r="AS167" s="15" t="str">
        <f>IFERROR(INDEX('G-7 WaterC'' Data'!AZ167:AZ171,MATCH(D167,'G-7 WaterC'' Data'!$AY$10:$AY$14,0)),"")</f>
        <v/>
      </c>
      <c r="AU167" s="15" t="str">
        <f>IF(D167="","",VLOOKUP(D167,'G-7 WaterC'' Data'!B$4:M$8,12,FALSE))</f>
        <v/>
      </c>
      <c r="AV167" s="15" t="str">
        <f t="shared" si="26"/>
        <v/>
      </c>
    </row>
    <row r="168" spans="3:48" ht="14" x14ac:dyDescent="0.3">
      <c r="C168" s="92">
        <v>159</v>
      </c>
      <c r="D168" s="271"/>
      <c r="E168" s="120"/>
      <c r="F168" s="290" t="str">
        <f>IF(D168="","",VLOOKUP(D168,'G-7 WaterC'' Data'!$B$2:$G$8,2,FALSE))</f>
        <v/>
      </c>
      <c r="G168" s="291" t="str">
        <f>IFERROR(VLOOKUP(F168,'G-7 WaterC'' Data'!$C$4:$D$8,2,FALSE),"")</f>
        <v/>
      </c>
      <c r="H168" s="38"/>
      <c r="I168" s="291" t="str">
        <f>IFERROR(INDEX('G-7 WaterC'' Data'!$H$4:$L$8,MATCH(D168,'G-7 WaterC'' Data'!$B$4:$B$8,0),MATCH(H168,'G-7 WaterC'' Data'!$H$3:$L$3,0)),"")</f>
        <v/>
      </c>
      <c r="J168" s="777"/>
      <c r="K168" s="325" t="str">
        <f>IF(J168="","",IF(VLOOKUP(J168,'G-7 WaterC'' Data'!$AK$4:$AM$6,2,FALSE)=0,"Spatial Data Missing ⚠",VLOOKUP(J168,'G-7 WaterC'' Data'!$AK$4:$AM$6,2,FALSE)))</f>
        <v/>
      </c>
      <c r="L168" s="296" t="str">
        <f>IF(J168="","",IF(VLOOKUP(J168,'G-7 WaterC'' Data'!$AK$4:$AM$9,3,FALSE)=0,"Spatial Data Missing ⚠",VLOOKUP(J168,'G-7 WaterC'' Data'!$AK$4:$AM$6,3,FALSE)))</f>
        <v/>
      </c>
      <c r="M168" s="38"/>
      <c r="N168" s="291" t="str">
        <f>IF(M168="","",IF(AND(D168&lt;&gt;"Culvert",M168="N/A - Culvert"),"Not possible ▲",IF(AND(D168="Culvert",M168&lt;&gt;"N/A - Culvert"),"Not possible ▲",IF(VLOOKUP(M168,'G-7 WaterC'' Data'!$AA$4:$AB$7,2,FALSE)=0,"Spatial Data Missing ⚠",VLOOKUP(M168,'G-7 WaterC'' Data'!$AA$4:$AB$7,2,FALSE)))))</f>
        <v/>
      </c>
      <c r="O168" s="44"/>
      <c r="P168" s="291" t="str">
        <f>IF(O168="","",IF(AND(O168="N/A - Culvert", D168&lt;&gt;"Culvert"),"Not possible ▲", IF(AND(D168="Culvert",O168&lt;&gt;"N/A - Culvert"),"Not possible ▲",IF(VLOOKUP(O168,'G-7 WaterC'' Data'!$AD$4:$AE$14,2,FALSE)=0,"Spatial Data Missing ⚠",VLOOKUP(O168,'G-7 WaterC'' Data'!$AD$4:$AE$14,2,FALSE)))))</f>
        <v/>
      </c>
      <c r="Q168" s="297" t="str">
        <f>IF(D168="","",VLOOKUP(D168,'G-7 WaterC'' Data'!$B$2:$G$8,6,FALSE))</f>
        <v/>
      </c>
      <c r="R168" s="304" t="str">
        <f>IFERROR(IF(AND(Q168='G-1 All Habitats'!$X$3, AE168&gt;0, U168&lt;=0, V168&lt;=0, OR(AA168="No", AA168="")),"Any Loss Unacceptable ⚠", (IF(AND(Q168='G-1 All Habitats'!$X$3, AE168&gt;0, U168&lt;=0, V168&lt;=0, AA168="Yes"), 0, (IF(AND(Q168='G-1 All Habitats'!$X$3,(U168+V168)&lt;E168, OR(AA168="No", AA168="")),"Any Loss Unacceptable ⚠", (IF(AND(Q168='G-1 All Habitats'!$X$3,(U168+V168)&gt;E168), E168*G168*I168*L168*N168*P168, (IF(Q168="","",IF(AND(Q168='G-1 All Habitats'!$X$3,V168&gt;0),W168+X168,IF(AND(Q168='G-1 All Habitats'!$X$3,U168&gt;0), W168+X168, IF(AND(S168="Yes", V168&gt;(E168-U168)),(E168-U168)*G168*I168*L168*N168*P168, IF(AND(S168="Yes", V168&lt;=(E168-U168)), X168, E168*G168*I168*L168*N168*P168 ))))))))))))),"Check Data ▲")</f>
        <v/>
      </c>
      <c r="S168" s="671" t="str">
        <f t="shared" si="18"/>
        <v/>
      </c>
      <c r="T168" s="17"/>
      <c r="U168" s="95"/>
      <c r="V168" s="106"/>
      <c r="W168" s="302" t="str">
        <f t="shared" si="19"/>
        <v/>
      </c>
      <c r="X168" s="302" t="str">
        <f t="shared" si="20"/>
        <v/>
      </c>
      <c r="Y168" s="302" t="str">
        <f t="shared" si="21"/>
        <v/>
      </c>
      <c r="Z168" s="471" t="str">
        <f t="shared" si="22"/>
        <v/>
      </c>
      <c r="AA168" s="488"/>
      <c r="AB168" s="486"/>
      <c r="AC168" s="101"/>
      <c r="AD168" s="101"/>
      <c r="AE168" s="41" t="str">
        <f>IF(OR(Q168="",AA168="Yes"),"",IF(Q168='G-1 All Habitats'!$X$3,E168-U168-V168,"None"))</f>
        <v/>
      </c>
      <c r="AF168" s="42" t="str">
        <f>IF(Q168="","", IF(Q168='G-1 All Habitats'!$X$3, AE168*G168*I168*L168*N168*P168,"None"))</f>
        <v/>
      </c>
      <c r="AI168" s="15">
        <f t="shared" si="23"/>
        <v>0</v>
      </c>
      <c r="AJ168" s="105" t="str">
        <f t="shared" si="24"/>
        <v/>
      </c>
      <c r="AK168" s="105" t="str">
        <f t="shared" si="25"/>
        <v/>
      </c>
      <c r="AM168" s="105">
        <v>159</v>
      </c>
      <c r="AO168" s="105" t="str">
        <f t="array" ref="AO168">IFERROR(INDEX($AM$10:$AM$258, MATCH(0, IF(TRUE=$AJ$10:$AJ$258, COUNTIF($AO$9:$AO167, $AM$10:$AM$258), ""), 0)),"")</f>
        <v/>
      </c>
      <c r="AP168" s="105" t="str">
        <f t="array" ref="AP168">IFERROR(INDEX($AM$10:$AM$258, MATCH(0, IF(TRUE=$AK$10:$AK$258, COUNTIF($AP$9:$AP167, $AM$10:$AM$258), ""), 0)),"")</f>
        <v/>
      </c>
      <c r="AR168" s="15" t="str">
        <f>IFERROR(INDEX('G-7 WaterC'' Data'!$AZ$3:$AZ$7,MATCH(D168,'G-7 WaterC'' Data'!$AY$3:$AY$7,0)),"")</f>
        <v/>
      </c>
      <c r="AS168" s="15" t="str">
        <f>IFERROR(INDEX('G-7 WaterC'' Data'!AZ168:AZ172,MATCH(D168,'G-7 WaterC'' Data'!$AY$10:$AY$14,0)),"")</f>
        <v/>
      </c>
      <c r="AU168" s="15" t="str">
        <f>IF(D168="","",VLOOKUP(D168,'G-7 WaterC'' Data'!B$4:M$8,12,FALSE))</f>
        <v/>
      </c>
      <c r="AV168" s="15" t="str">
        <f t="shared" si="26"/>
        <v/>
      </c>
    </row>
    <row r="169" spans="3:48" ht="14" x14ac:dyDescent="0.3">
      <c r="C169" s="92">
        <v>160</v>
      </c>
      <c r="D169" s="271"/>
      <c r="E169" s="120"/>
      <c r="F169" s="290" t="str">
        <f>IF(D169="","",VLOOKUP(D169,'G-7 WaterC'' Data'!$B$2:$G$8,2,FALSE))</f>
        <v/>
      </c>
      <c r="G169" s="291" t="str">
        <f>IFERROR(VLOOKUP(F169,'G-7 WaterC'' Data'!$C$4:$D$8,2,FALSE),"")</f>
        <v/>
      </c>
      <c r="H169" s="38"/>
      <c r="I169" s="291" t="str">
        <f>IFERROR(INDEX('G-7 WaterC'' Data'!$H$4:$L$8,MATCH(D169,'G-7 WaterC'' Data'!$B$4:$B$8,0),MATCH(H169,'G-7 WaterC'' Data'!$H$3:$L$3,0)),"")</f>
        <v/>
      </c>
      <c r="J169" s="777"/>
      <c r="K169" s="325" t="str">
        <f>IF(J169="","",IF(VLOOKUP(J169,'G-7 WaterC'' Data'!$AK$4:$AM$6,2,FALSE)=0,"Spatial Data Missing ⚠",VLOOKUP(J169,'G-7 WaterC'' Data'!$AK$4:$AM$6,2,FALSE)))</f>
        <v/>
      </c>
      <c r="L169" s="296" t="str">
        <f>IF(J169="","",IF(VLOOKUP(J169,'G-7 WaterC'' Data'!$AK$4:$AM$9,3,FALSE)=0,"Spatial Data Missing ⚠",VLOOKUP(J169,'G-7 WaterC'' Data'!$AK$4:$AM$6,3,FALSE)))</f>
        <v/>
      </c>
      <c r="M169" s="38"/>
      <c r="N169" s="291" t="str">
        <f>IF(M169="","",IF(AND(D169&lt;&gt;"Culvert",M169="N/A - Culvert"),"Not possible ▲",IF(AND(D169="Culvert",M169&lt;&gt;"N/A - Culvert"),"Not possible ▲",IF(VLOOKUP(M169,'G-7 WaterC'' Data'!$AA$4:$AB$7,2,FALSE)=0,"Spatial Data Missing ⚠",VLOOKUP(M169,'G-7 WaterC'' Data'!$AA$4:$AB$7,2,FALSE)))))</f>
        <v/>
      </c>
      <c r="O169" s="44"/>
      <c r="P169" s="291" t="str">
        <f>IF(O169="","",IF(AND(O169="N/A - Culvert", D169&lt;&gt;"Culvert"),"Not possible ▲", IF(AND(D169="Culvert",O169&lt;&gt;"N/A - Culvert"),"Not possible ▲",IF(VLOOKUP(O169,'G-7 WaterC'' Data'!$AD$4:$AE$14,2,FALSE)=0,"Spatial Data Missing ⚠",VLOOKUP(O169,'G-7 WaterC'' Data'!$AD$4:$AE$14,2,FALSE)))))</f>
        <v/>
      </c>
      <c r="Q169" s="297" t="str">
        <f>IF(D169="","",VLOOKUP(D169,'G-7 WaterC'' Data'!$B$2:$G$8,6,FALSE))</f>
        <v/>
      </c>
      <c r="R169" s="304" t="str">
        <f>IFERROR(IF(AND(Q169='G-1 All Habitats'!$X$3, AE169&gt;0, U169&lt;=0, V169&lt;=0, OR(AA169="No", AA169="")),"Any Loss Unacceptable ⚠", (IF(AND(Q169='G-1 All Habitats'!$X$3, AE169&gt;0, U169&lt;=0, V169&lt;=0, AA169="Yes"), 0, (IF(AND(Q169='G-1 All Habitats'!$X$3,(U169+V169)&lt;E169, OR(AA169="No", AA169="")),"Any Loss Unacceptable ⚠", (IF(AND(Q169='G-1 All Habitats'!$X$3,(U169+V169)&gt;E169), E169*G169*I169*L169*N169*P169, (IF(Q169="","",IF(AND(Q169='G-1 All Habitats'!$X$3,V169&gt;0),W169+X169,IF(AND(Q169='G-1 All Habitats'!$X$3,U169&gt;0), W169+X169, IF(AND(S169="Yes", V169&gt;(E169-U169)),(E169-U169)*G169*I169*L169*N169*P169, IF(AND(S169="Yes", V169&lt;=(E169-U169)), X169, E169*G169*I169*L169*N169*P169 ))))))))))))),"Check Data ▲")</f>
        <v/>
      </c>
      <c r="S169" s="671" t="str">
        <f t="shared" si="18"/>
        <v/>
      </c>
      <c r="T169" s="17"/>
      <c r="U169" s="95"/>
      <c r="V169" s="106"/>
      <c r="W169" s="302" t="str">
        <f t="shared" si="19"/>
        <v/>
      </c>
      <c r="X169" s="302" t="str">
        <f t="shared" si="20"/>
        <v/>
      </c>
      <c r="Y169" s="302" t="str">
        <f t="shared" si="21"/>
        <v/>
      </c>
      <c r="Z169" s="471" t="str">
        <f t="shared" si="22"/>
        <v/>
      </c>
      <c r="AA169" s="488"/>
      <c r="AB169" s="486"/>
      <c r="AC169" s="101"/>
      <c r="AD169" s="101"/>
      <c r="AE169" s="41" t="str">
        <f>IF(OR(Q169="",AA169="Yes"),"",IF(Q169='G-1 All Habitats'!$X$3,E169-U169-V169,"None"))</f>
        <v/>
      </c>
      <c r="AF169" s="42" t="str">
        <f>IF(Q169="","", IF(Q169='G-1 All Habitats'!$X$3, AE169*G169*I169*L169*N169*P169,"None"))</f>
        <v/>
      </c>
      <c r="AI169" s="15">
        <f t="shared" si="23"/>
        <v>0</v>
      </c>
      <c r="AJ169" s="105" t="str">
        <f t="shared" si="24"/>
        <v/>
      </c>
      <c r="AK169" s="105" t="str">
        <f t="shared" si="25"/>
        <v/>
      </c>
      <c r="AM169" s="105">
        <v>160</v>
      </c>
      <c r="AO169" s="105" t="str">
        <f t="array" ref="AO169">IFERROR(INDEX($AM$10:$AM$258, MATCH(0, IF(TRUE=$AJ$10:$AJ$258, COUNTIF($AO$9:$AO168, $AM$10:$AM$258), ""), 0)),"")</f>
        <v/>
      </c>
      <c r="AP169" s="105" t="str">
        <f t="array" ref="AP169">IFERROR(INDEX($AM$10:$AM$258, MATCH(0, IF(TRUE=$AK$10:$AK$258, COUNTIF($AP$9:$AP168, $AM$10:$AM$258), ""), 0)),"")</f>
        <v/>
      </c>
      <c r="AR169" s="15" t="str">
        <f>IFERROR(INDEX('G-7 WaterC'' Data'!$AZ$3:$AZ$7,MATCH(D169,'G-7 WaterC'' Data'!$AY$3:$AY$7,0)),"")</f>
        <v/>
      </c>
      <c r="AS169" s="15" t="str">
        <f>IFERROR(INDEX('G-7 WaterC'' Data'!AZ169:AZ173,MATCH(D169,'G-7 WaterC'' Data'!$AY$10:$AY$14,0)),"")</f>
        <v/>
      </c>
      <c r="AU169" s="15" t="str">
        <f>IF(D169="","",VLOOKUP(D169,'G-7 WaterC'' Data'!B$4:M$8,12,FALSE))</f>
        <v/>
      </c>
      <c r="AV169" s="15" t="str">
        <f t="shared" si="26"/>
        <v/>
      </c>
    </row>
    <row r="170" spans="3:48" ht="14" x14ac:dyDescent="0.3">
      <c r="C170" s="92">
        <v>161</v>
      </c>
      <c r="D170" s="271"/>
      <c r="E170" s="120"/>
      <c r="F170" s="290" t="str">
        <f>IF(D170="","",VLOOKUP(D170,'G-7 WaterC'' Data'!$B$2:$G$8,2,FALSE))</f>
        <v/>
      </c>
      <c r="G170" s="291" t="str">
        <f>IFERROR(VLOOKUP(F170,'G-7 WaterC'' Data'!$C$4:$D$8,2,FALSE),"")</f>
        <v/>
      </c>
      <c r="H170" s="38"/>
      <c r="I170" s="291" t="str">
        <f>IFERROR(INDEX('G-7 WaterC'' Data'!$H$4:$L$8,MATCH(D170,'G-7 WaterC'' Data'!$B$4:$B$8,0),MATCH(H170,'G-7 WaterC'' Data'!$H$3:$L$3,0)),"")</f>
        <v/>
      </c>
      <c r="J170" s="777"/>
      <c r="K170" s="325" t="str">
        <f>IF(J170="","",IF(VLOOKUP(J170,'G-7 WaterC'' Data'!$AK$4:$AM$6,2,FALSE)=0,"Spatial Data Missing ⚠",VLOOKUP(J170,'G-7 WaterC'' Data'!$AK$4:$AM$6,2,FALSE)))</f>
        <v/>
      </c>
      <c r="L170" s="296" t="str">
        <f>IF(J170="","",IF(VLOOKUP(J170,'G-7 WaterC'' Data'!$AK$4:$AM$9,3,FALSE)=0,"Spatial Data Missing ⚠",VLOOKUP(J170,'G-7 WaterC'' Data'!$AK$4:$AM$6,3,FALSE)))</f>
        <v/>
      </c>
      <c r="M170" s="38"/>
      <c r="N170" s="291" t="str">
        <f>IF(M170="","",IF(AND(D170&lt;&gt;"Culvert",M170="N/A - Culvert"),"Not possible ▲",IF(AND(D170="Culvert",M170&lt;&gt;"N/A - Culvert"),"Not possible ▲",IF(VLOOKUP(M170,'G-7 WaterC'' Data'!$AA$4:$AB$7,2,FALSE)=0,"Spatial Data Missing ⚠",VLOOKUP(M170,'G-7 WaterC'' Data'!$AA$4:$AB$7,2,FALSE)))))</f>
        <v/>
      </c>
      <c r="O170" s="44"/>
      <c r="P170" s="291" t="str">
        <f>IF(O170="","",IF(AND(O170="N/A - Culvert", D170&lt;&gt;"Culvert"),"Not possible ▲", IF(AND(D170="Culvert",O170&lt;&gt;"N/A - Culvert"),"Not possible ▲",IF(VLOOKUP(O170,'G-7 WaterC'' Data'!$AD$4:$AE$14,2,FALSE)=0,"Spatial Data Missing ⚠",VLOOKUP(O170,'G-7 WaterC'' Data'!$AD$4:$AE$14,2,FALSE)))))</f>
        <v/>
      </c>
      <c r="Q170" s="297" t="str">
        <f>IF(D170="","",VLOOKUP(D170,'G-7 WaterC'' Data'!$B$2:$G$8,6,FALSE))</f>
        <v/>
      </c>
      <c r="R170" s="304" t="str">
        <f>IFERROR(IF(AND(Q170='G-1 All Habitats'!$X$3, AE170&gt;0, U170&lt;=0, V170&lt;=0, OR(AA170="No", AA170="")),"Any Loss Unacceptable ⚠", (IF(AND(Q170='G-1 All Habitats'!$X$3, AE170&gt;0, U170&lt;=0, V170&lt;=0, AA170="Yes"), 0, (IF(AND(Q170='G-1 All Habitats'!$X$3,(U170+V170)&lt;E170, OR(AA170="No", AA170="")),"Any Loss Unacceptable ⚠", (IF(AND(Q170='G-1 All Habitats'!$X$3,(U170+V170)&gt;E170), E170*G170*I170*L170*N170*P170, (IF(Q170="","",IF(AND(Q170='G-1 All Habitats'!$X$3,V170&gt;0),W170+X170,IF(AND(Q170='G-1 All Habitats'!$X$3,U170&gt;0), W170+X170, IF(AND(S170="Yes", V170&gt;(E170-U170)),(E170-U170)*G170*I170*L170*N170*P170, IF(AND(S170="Yes", V170&lt;=(E170-U170)), X170, E170*G170*I170*L170*N170*P170 ))))))))))))),"Check Data ▲")</f>
        <v/>
      </c>
      <c r="S170" s="671" t="str">
        <f t="shared" si="18"/>
        <v/>
      </c>
      <c r="T170" s="17"/>
      <c r="U170" s="95"/>
      <c r="V170" s="106"/>
      <c r="W170" s="302" t="str">
        <f t="shared" si="19"/>
        <v/>
      </c>
      <c r="X170" s="302" t="str">
        <f t="shared" si="20"/>
        <v/>
      </c>
      <c r="Y170" s="302" t="str">
        <f t="shared" si="21"/>
        <v/>
      </c>
      <c r="Z170" s="471" t="str">
        <f t="shared" si="22"/>
        <v/>
      </c>
      <c r="AA170" s="488"/>
      <c r="AB170" s="486"/>
      <c r="AC170" s="101"/>
      <c r="AD170" s="101"/>
      <c r="AE170" s="41" t="str">
        <f>IF(OR(Q170="",AA170="Yes"),"",IF(Q170='G-1 All Habitats'!$X$3,E170-U170-V170,"None"))</f>
        <v/>
      </c>
      <c r="AF170" s="42" t="str">
        <f>IF(Q170="","", IF(Q170='G-1 All Habitats'!$X$3, AE170*G170*I170*L170*N170*P170,"None"))</f>
        <v/>
      </c>
      <c r="AI170" s="15">
        <f t="shared" si="23"/>
        <v>0</v>
      </c>
      <c r="AJ170" s="105" t="str">
        <f t="shared" si="24"/>
        <v/>
      </c>
      <c r="AK170" s="105" t="str">
        <f t="shared" si="25"/>
        <v/>
      </c>
      <c r="AM170" s="105">
        <v>161</v>
      </c>
      <c r="AO170" s="105" t="str">
        <f t="array" ref="AO170">IFERROR(INDEX($AM$10:$AM$258, MATCH(0, IF(TRUE=$AJ$10:$AJ$258, COUNTIF($AO$9:$AO169, $AM$10:$AM$258), ""), 0)),"")</f>
        <v/>
      </c>
      <c r="AP170" s="105" t="str">
        <f t="array" ref="AP170">IFERROR(INDEX($AM$10:$AM$258, MATCH(0, IF(TRUE=$AK$10:$AK$258, COUNTIF($AP$9:$AP169, $AM$10:$AM$258), ""), 0)),"")</f>
        <v/>
      </c>
      <c r="AR170" s="15" t="str">
        <f>IFERROR(INDEX('G-7 WaterC'' Data'!$AZ$3:$AZ$7,MATCH(D170,'G-7 WaterC'' Data'!$AY$3:$AY$7,0)),"")</f>
        <v/>
      </c>
      <c r="AS170" s="15" t="str">
        <f>IFERROR(INDEX('G-7 WaterC'' Data'!AZ170:AZ174,MATCH(D170,'G-7 WaterC'' Data'!$AY$10:$AY$14,0)),"")</f>
        <v/>
      </c>
      <c r="AU170" s="15" t="str">
        <f>IF(D170="","",VLOOKUP(D170,'G-7 WaterC'' Data'!B$4:M$8,12,FALSE))</f>
        <v/>
      </c>
      <c r="AV170" s="15" t="str">
        <f t="shared" si="26"/>
        <v/>
      </c>
    </row>
    <row r="171" spans="3:48" ht="14" x14ac:dyDescent="0.3">
      <c r="C171" s="92">
        <v>162</v>
      </c>
      <c r="D171" s="271"/>
      <c r="E171" s="120"/>
      <c r="F171" s="290" t="str">
        <f>IF(D171="","",VLOOKUP(D171,'G-7 WaterC'' Data'!$B$2:$G$8,2,FALSE))</f>
        <v/>
      </c>
      <c r="G171" s="291" t="str">
        <f>IFERROR(VLOOKUP(F171,'G-7 WaterC'' Data'!$C$4:$D$8,2,FALSE),"")</f>
        <v/>
      </c>
      <c r="H171" s="38"/>
      <c r="I171" s="291" t="str">
        <f>IFERROR(INDEX('G-7 WaterC'' Data'!$H$4:$L$8,MATCH(D171,'G-7 WaterC'' Data'!$B$4:$B$8,0),MATCH(H171,'G-7 WaterC'' Data'!$H$3:$L$3,0)),"")</f>
        <v/>
      </c>
      <c r="J171" s="777"/>
      <c r="K171" s="325" t="str">
        <f>IF(J171="","",IF(VLOOKUP(J171,'G-7 WaterC'' Data'!$AK$4:$AM$6,2,FALSE)=0,"Spatial Data Missing ⚠",VLOOKUP(J171,'G-7 WaterC'' Data'!$AK$4:$AM$6,2,FALSE)))</f>
        <v/>
      </c>
      <c r="L171" s="296" t="str">
        <f>IF(J171="","",IF(VLOOKUP(J171,'G-7 WaterC'' Data'!$AK$4:$AM$9,3,FALSE)=0,"Spatial Data Missing ⚠",VLOOKUP(J171,'G-7 WaterC'' Data'!$AK$4:$AM$6,3,FALSE)))</f>
        <v/>
      </c>
      <c r="M171" s="38"/>
      <c r="N171" s="291" t="str">
        <f>IF(M171="","",IF(AND(D171&lt;&gt;"Culvert",M171="N/A - Culvert"),"Not possible ▲",IF(AND(D171="Culvert",M171&lt;&gt;"N/A - Culvert"),"Not possible ▲",IF(VLOOKUP(M171,'G-7 WaterC'' Data'!$AA$4:$AB$7,2,FALSE)=0,"Spatial Data Missing ⚠",VLOOKUP(M171,'G-7 WaterC'' Data'!$AA$4:$AB$7,2,FALSE)))))</f>
        <v/>
      </c>
      <c r="O171" s="44"/>
      <c r="P171" s="291" t="str">
        <f>IF(O171="","",IF(AND(O171="N/A - Culvert", D171&lt;&gt;"Culvert"),"Not possible ▲", IF(AND(D171="Culvert",O171&lt;&gt;"N/A - Culvert"),"Not possible ▲",IF(VLOOKUP(O171,'G-7 WaterC'' Data'!$AD$4:$AE$14,2,FALSE)=0,"Spatial Data Missing ⚠",VLOOKUP(O171,'G-7 WaterC'' Data'!$AD$4:$AE$14,2,FALSE)))))</f>
        <v/>
      </c>
      <c r="Q171" s="297" t="str">
        <f>IF(D171="","",VLOOKUP(D171,'G-7 WaterC'' Data'!$B$2:$G$8,6,FALSE))</f>
        <v/>
      </c>
      <c r="R171" s="304" t="str">
        <f>IFERROR(IF(AND(Q171='G-1 All Habitats'!$X$3, AE171&gt;0, U171&lt;=0, V171&lt;=0, OR(AA171="No", AA171="")),"Any Loss Unacceptable ⚠", (IF(AND(Q171='G-1 All Habitats'!$X$3, AE171&gt;0, U171&lt;=0, V171&lt;=0, AA171="Yes"), 0, (IF(AND(Q171='G-1 All Habitats'!$X$3,(U171+V171)&lt;E171, OR(AA171="No", AA171="")),"Any Loss Unacceptable ⚠", (IF(AND(Q171='G-1 All Habitats'!$X$3,(U171+V171)&gt;E171), E171*G171*I171*L171*N171*P171, (IF(Q171="","",IF(AND(Q171='G-1 All Habitats'!$X$3,V171&gt;0),W171+X171,IF(AND(Q171='G-1 All Habitats'!$X$3,U171&gt;0), W171+X171, IF(AND(S171="Yes", V171&gt;(E171-U171)),(E171-U171)*G171*I171*L171*N171*P171, IF(AND(S171="Yes", V171&lt;=(E171-U171)), X171, E171*G171*I171*L171*N171*P171 ))))))))))))),"Check Data ▲")</f>
        <v/>
      </c>
      <c r="S171" s="671" t="str">
        <f t="shared" si="18"/>
        <v/>
      </c>
      <c r="T171" s="17"/>
      <c r="U171" s="95"/>
      <c r="V171" s="106"/>
      <c r="W171" s="302" t="str">
        <f t="shared" si="19"/>
        <v/>
      </c>
      <c r="X171" s="302" t="str">
        <f t="shared" si="20"/>
        <v/>
      </c>
      <c r="Y171" s="302" t="str">
        <f t="shared" si="21"/>
        <v/>
      </c>
      <c r="Z171" s="471" t="str">
        <f t="shared" si="22"/>
        <v/>
      </c>
      <c r="AA171" s="488"/>
      <c r="AB171" s="486"/>
      <c r="AC171" s="101"/>
      <c r="AD171" s="101"/>
      <c r="AE171" s="41" t="str">
        <f>IF(OR(Q171="",AA171="Yes"),"",IF(Q171='G-1 All Habitats'!$X$3,E171-U171-V171,"None"))</f>
        <v/>
      </c>
      <c r="AF171" s="42" t="str">
        <f>IF(Q171="","", IF(Q171='G-1 All Habitats'!$X$3, AE171*G171*I171*L171*N171*P171,"None"))</f>
        <v/>
      </c>
      <c r="AI171" s="15">
        <f t="shared" si="23"/>
        <v>0</v>
      </c>
      <c r="AJ171" s="105" t="str">
        <f t="shared" si="24"/>
        <v/>
      </c>
      <c r="AK171" s="105" t="str">
        <f t="shared" si="25"/>
        <v/>
      </c>
      <c r="AM171" s="105">
        <v>162</v>
      </c>
      <c r="AO171" s="105" t="str">
        <f t="array" ref="AO171">IFERROR(INDEX($AM$10:$AM$258, MATCH(0, IF(TRUE=$AJ$10:$AJ$258, COUNTIF($AO$9:$AO170, $AM$10:$AM$258), ""), 0)),"")</f>
        <v/>
      </c>
      <c r="AP171" s="105" t="str">
        <f t="array" ref="AP171">IFERROR(INDEX($AM$10:$AM$258, MATCH(0, IF(TRUE=$AK$10:$AK$258, COUNTIF($AP$9:$AP170, $AM$10:$AM$258), ""), 0)),"")</f>
        <v/>
      </c>
      <c r="AR171" s="15" t="str">
        <f>IFERROR(INDEX('G-7 WaterC'' Data'!$AZ$3:$AZ$7,MATCH(D171,'G-7 WaterC'' Data'!$AY$3:$AY$7,0)),"")</f>
        <v/>
      </c>
      <c r="AS171" s="15" t="str">
        <f>IFERROR(INDEX('G-7 WaterC'' Data'!AZ171:AZ175,MATCH(D171,'G-7 WaterC'' Data'!$AY$10:$AY$14,0)),"")</f>
        <v/>
      </c>
      <c r="AU171" s="15" t="str">
        <f>IF(D171="","",VLOOKUP(D171,'G-7 WaterC'' Data'!B$4:M$8,12,FALSE))</f>
        <v/>
      </c>
      <c r="AV171" s="15" t="str">
        <f t="shared" si="26"/>
        <v/>
      </c>
    </row>
    <row r="172" spans="3:48" ht="14" x14ac:dyDescent="0.3">
      <c r="C172" s="92">
        <v>163</v>
      </c>
      <c r="D172" s="271"/>
      <c r="E172" s="120"/>
      <c r="F172" s="290" t="str">
        <f>IF(D172="","",VLOOKUP(D172,'G-7 WaterC'' Data'!$B$2:$G$8,2,FALSE))</f>
        <v/>
      </c>
      <c r="G172" s="291" t="str">
        <f>IFERROR(VLOOKUP(F172,'G-7 WaterC'' Data'!$C$4:$D$8,2,FALSE),"")</f>
        <v/>
      </c>
      <c r="H172" s="38"/>
      <c r="I172" s="291" t="str">
        <f>IFERROR(INDEX('G-7 WaterC'' Data'!$H$4:$L$8,MATCH(D172,'G-7 WaterC'' Data'!$B$4:$B$8,0),MATCH(H172,'G-7 WaterC'' Data'!$H$3:$L$3,0)),"")</f>
        <v/>
      </c>
      <c r="J172" s="777"/>
      <c r="K172" s="325" t="str">
        <f>IF(J172="","",IF(VLOOKUP(J172,'G-7 WaterC'' Data'!$AK$4:$AM$6,2,FALSE)=0,"Spatial Data Missing ⚠",VLOOKUP(J172,'G-7 WaterC'' Data'!$AK$4:$AM$6,2,FALSE)))</f>
        <v/>
      </c>
      <c r="L172" s="296" t="str">
        <f>IF(J172="","",IF(VLOOKUP(J172,'G-7 WaterC'' Data'!$AK$4:$AM$9,3,FALSE)=0,"Spatial Data Missing ⚠",VLOOKUP(J172,'G-7 WaterC'' Data'!$AK$4:$AM$6,3,FALSE)))</f>
        <v/>
      </c>
      <c r="M172" s="38"/>
      <c r="N172" s="291" t="str">
        <f>IF(M172="","",IF(AND(D172&lt;&gt;"Culvert",M172="N/A - Culvert"),"Not possible ▲",IF(AND(D172="Culvert",M172&lt;&gt;"N/A - Culvert"),"Not possible ▲",IF(VLOOKUP(M172,'G-7 WaterC'' Data'!$AA$4:$AB$7,2,FALSE)=0,"Spatial Data Missing ⚠",VLOOKUP(M172,'G-7 WaterC'' Data'!$AA$4:$AB$7,2,FALSE)))))</f>
        <v/>
      </c>
      <c r="O172" s="44"/>
      <c r="P172" s="291" t="str">
        <f>IF(O172="","",IF(AND(O172="N/A - Culvert", D172&lt;&gt;"Culvert"),"Not possible ▲", IF(AND(D172="Culvert",O172&lt;&gt;"N/A - Culvert"),"Not possible ▲",IF(VLOOKUP(O172,'G-7 WaterC'' Data'!$AD$4:$AE$14,2,FALSE)=0,"Spatial Data Missing ⚠",VLOOKUP(O172,'G-7 WaterC'' Data'!$AD$4:$AE$14,2,FALSE)))))</f>
        <v/>
      </c>
      <c r="Q172" s="297" t="str">
        <f>IF(D172="","",VLOOKUP(D172,'G-7 WaterC'' Data'!$B$2:$G$8,6,FALSE))</f>
        <v/>
      </c>
      <c r="R172" s="304" t="str">
        <f>IFERROR(IF(AND(Q172='G-1 All Habitats'!$X$3, AE172&gt;0, U172&lt;=0, V172&lt;=0, OR(AA172="No", AA172="")),"Any Loss Unacceptable ⚠", (IF(AND(Q172='G-1 All Habitats'!$X$3, AE172&gt;0, U172&lt;=0, V172&lt;=0, AA172="Yes"), 0, (IF(AND(Q172='G-1 All Habitats'!$X$3,(U172+V172)&lt;E172, OR(AA172="No", AA172="")),"Any Loss Unacceptable ⚠", (IF(AND(Q172='G-1 All Habitats'!$X$3,(U172+V172)&gt;E172), E172*G172*I172*L172*N172*P172, (IF(Q172="","",IF(AND(Q172='G-1 All Habitats'!$X$3,V172&gt;0),W172+X172,IF(AND(Q172='G-1 All Habitats'!$X$3,U172&gt;0), W172+X172, IF(AND(S172="Yes", V172&gt;(E172-U172)),(E172-U172)*G172*I172*L172*N172*P172, IF(AND(S172="Yes", V172&lt;=(E172-U172)), X172, E172*G172*I172*L172*N172*P172 ))))))))))))),"Check Data ▲")</f>
        <v/>
      </c>
      <c r="S172" s="671" t="str">
        <f t="shared" si="18"/>
        <v/>
      </c>
      <c r="T172" s="17"/>
      <c r="U172" s="95"/>
      <c r="V172" s="106"/>
      <c r="W172" s="302" t="str">
        <f t="shared" si="19"/>
        <v/>
      </c>
      <c r="X172" s="302" t="str">
        <f t="shared" si="20"/>
        <v/>
      </c>
      <c r="Y172" s="302" t="str">
        <f t="shared" si="21"/>
        <v/>
      </c>
      <c r="Z172" s="471" t="str">
        <f t="shared" si="22"/>
        <v/>
      </c>
      <c r="AA172" s="488"/>
      <c r="AB172" s="486"/>
      <c r="AC172" s="101"/>
      <c r="AD172" s="101"/>
      <c r="AE172" s="41" t="str">
        <f>IF(OR(Q172="",AA172="Yes"),"",IF(Q172='G-1 All Habitats'!$X$3,E172-U172-V172,"None"))</f>
        <v/>
      </c>
      <c r="AF172" s="42" t="str">
        <f>IF(Q172="","", IF(Q172='G-1 All Habitats'!$X$3, AE172*G172*I172*L172*N172*P172,"None"))</f>
        <v/>
      </c>
      <c r="AI172" s="15">
        <f t="shared" si="23"/>
        <v>0</v>
      </c>
      <c r="AJ172" s="105" t="str">
        <f t="shared" si="24"/>
        <v/>
      </c>
      <c r="AK172" s="105" t="str">
        <f t="shared" si="25"/>
        <v/>
      </c>
      <c r="AM172" s="105">
        <v>163</v>
      </c>
      <c r="AO172" s="105" t="str">
        <f t="array" ref="AO172">IFERROR(INDEX($AM$10:$AM$258, MATCH(0, IF(TRUE=$AJ$10:$AJ$258, COUNTIF($AO$9:$AO171, $AM$10:$AM$258), ""), 0)),"")</f>
        <v/>
      </c>
      <c r="AP172" s="105" t="str">
        <f t="array" ref="AP172">IFERROR(INDEX($AM$10:$AM$258, MATCH(0, IF(TRUE=$AK$10:$AK$258, COUNTIF($AP$9:$AP171, $AM$10:$AM$258), ""), 0)),"")</f>
        <v/>
      </c>
      <c r="AR172" s="15" t="str">
        <f>IFERROR(INDEX('G-7 WaterC'' Data'!$AZ$3:$AZ$7,MATCH(D172,'G-7 WaterC'' Data'!$AY$3:$AY$7,0)),"")</f>
        <v/>
      </c>
      <c r="AS172" s="15" t="str">
        <f>IFERROR(INDEX('G-7 WaterC'' Data'!AZ172:AZ176,MATCH(D172,'G-7 WaterC'' Data'!$AY$10:$AY$14,0)),"")</f>
        <v/>
      </c>
      <c r="AU172" s="15" t="str">
        <f>IF(D172="","",VLOOKUP(D172,'G-7 WaterC'' Data'!B$4:M$8,12,FALSE))</f>
        <v/>
      </c>
      <c r="AV172" s="15" t="str">
        <f t="shared" si="26"/>
        <v/>
      </c>
    </row>
    <row r="173" spans="3:48" ht="14" x14ac:dyDescent="0.3">
      <c r="C173" s="92">
        <v>164</v>
      </c>
      <c r="D173" s="271"/>
      <c r="E173" s="120"/>
      <c r="F173" s="290" t="str">
        <f>IF(D173="","",VLOOKUP(D173,'G-7 WaterC'' Data'!$B$2:$G$8,2,FALSE))</f>
        <v/>
      </c>
      <c r="G173" s="291" t="str">
        <f>IFERROR(VLOOKUP(F173,'G-7 WaterC'' Data'!$C$4:$D$8,2,FALSE),"")</f>
        <v/>
      </c>
      <c r="H173" s="38"/>
      <c r="I173" s="291" t="str">
        <f>IFERROR(INDEX('G-7 WaterC'' Data'!$H$4:$L$8,MATCH(D173,'G-7 WaterC'' Data'!$B$4:$B$8,0),MATCH(H173,'G-7 WaterC'' Data'!$H$3:$L$3,0)),"")</f>
        <v/>
      </c>
      <c r="J173" s="777"/>
      <c r="K173" s="325" t="str">
        <f>IF(J173="","",IF(VLOOKUP(J173,'G-7 WaterC'' Data'!$AK$4:$AM$6,2,FALSE)=0,"Spatial Data Missing ⚠",VLOOKUP(J173,'G-7 WaterC'' Data'!$AK$4:$AM$6,2,FALSE)))</f>
        <v/>
      </c>
      <c r="L173" s="296" t="str">
        <f>IF(J173="","",IF(VLOOKUP(J173,'G-7 WaterC'' Data'!$AK$4:$AM$9,3,FALSE)=0,"Spatial Data Missing ⚠",VLOOKUP(J173,'G-7 WaterC'' Data'!$AK$4:$AM$6,3,FALSE)))</f>
        <v/>
      </c>
      <c r="M173" s="38"/>
      <c r="N173" s="291" t="str">
        <f>IF(M173="","",IF(AND(D173&lt;&gt;"Culvert",M173="N/A - Culvert"),"Not possible ▲",IF(AND(D173="Culvert",M173&lt;&gt;"N/A - Culvert"),"Not possible ▲",IF(VLOOKUP(M173,'G-7 WaterC'' Data'!$AA$4:$AB$7,2,FALSE)=0,"Spatial Data Missing ⚠",VLOOKUP(M173,'G-7 WaterC'' Data'!$AA$4:$AB$7,2,FALSE)))))</f>
        <v/>
      </c>
      <c r="O173" s="44"/>
      <c r="P173" s="291" t="str">
        <f>IF(O173="","",IF(AND(O173="N/A - Culvert", D173&lt;&gt;"Culvert"),"Not possible ▲", IF(AND(D173="Culvert",O173&lt;&gt;"N/A - Culvert"),"Not possible ▲",IF(VLOOKUP(O173,'G-7 WaterC'' Data'!$AD$4:$AE$14,2,FALSE)=0,"Spatial Data Missing ⚠",VLOOKUP(O173,'G-7 WaterC'' Data'!$AD$4:$AE$14,2,FALSE)))))</f>
        <v/>
      </c>
      <c r="Q173" s="297" t="str">
        <f>IF(D173="","",VLOOKUP(D173,'G-7 WaterC'' Data'!$B$2:$G$8,6,FALSE))</f>
        <v/>
      </c>
      <c r="R173" s="304" t="str">
        <f>IFERROR(IF(AND(Q173='G-1 All Habitats'!$X$3, AE173&gt;0, U173&lt;=0, V173&lt;=0, OR(AA173="No", AA173="")),"Any Loss Unacceptable ⚠", (IF(AND(Q173='G-1 All Habitats'!$X$3, AE173&gt;0, U173&lt;=0, V173&lt;=0, AA173="Yes"), 0, (IF(AND(Q173='G-1 All Habitats'!$X$3,(U173+V173)&lt;E173, OR(AA173="No", AA173="")),"Any Loss Unacceptable ⚠", (IF(AND(Q173='G-1 All Habitats'!$X$3,(U173+V173)&gt;E173), E173*G173*I173*L173*N173*P173, (IF(Q173="","",IF(AND(Q173='G-1 All Habitats'!$X$3,V173&gt;0),W173+X173,IF(AND(Q173='G-1 All Habitats'!$X$3,U173&gt;0), W173+X173, IF(AND(S173="Yes", V173&gt;(E173-U173)),(E173-U173)*G173*I173*L173*N173*P173, IF(AND(S173="Yes", V173&lt;=(E173-U173)), X173, E173*G173*I173*L173*N173*P173 ))))))))))))),"Check Data ▲")</f>
        <v/>
      </c>
      <c r="S173" s="671" t="str">
        <f t="shared" si="18"/>
        <v/>
      </c>
      <c r="T173" s="17"/>
      <c r="U173" s="95"/>
      <c r="V173" s="106"/>
      <c r="W173" s="302" t="str">
        <f t="shared" si="19"/>
        <v/>
      </c>
      <c r="X173" s="302" t="str">
        <f t="shared" si="20"/>
        <v/>
      </c>
      <c r="Y173" s="302" t="str">
        <f t="shared" si="21"/>
        <v/>
      </c>
      <c r="Z173" s="471" t="str">
        <f t="shared" si="22"/>
        <v/>
      </c>
      <c r="AA173" s="488"/>
      <c r="AB173" s="486"/>
      <c r="AC173" s="101"/>
      <c r="AD173" s="101"/>
      <c r="AE173" s="41" t="str">
        <f>IF(OR(Q173="",AA173="Yes"),"",IF(Q173='G-1 All Habitats'!$X$3,E173-U173-V173,"None"))</f>
        <v/>
      </c>
      <c r="AF173" s="42" t="str">
        <f>IF(Q173="","", IF(Q173='G-1 All Habitats'!$X$3, AE173*G173*I173*L173*N173*P173,"None"))</f>
        <v/>
      </c>
      <c r="AI173" s="15">
        <f t="shared" si="23"/>
        <v>0</v>
      </c>
      <c r="AJ173" s="105" t="str">
        <f t="shared" si="24"/>
        <v/>
      </c>
      <c r="AK173" s="105" t="str">
        <f t="shared" si="25"/>
        <v/>
      </c>
      <c r="AM173" s="105">
        <v>164</v>
      </c>
      <c r="AO173" s="105" t="str">
        <f t="array" ref="AO173">IFERROR(INDEX($AM$10:$AM$258, MATCH(0, IF(TRUE=$AJ$10:$AJ$258, COUNTIF($AO$9:$AO172, $AM$10:$AM$258), ""), 0)),"")</f>
        <v/>
      </c>
      <c r="AP173" s="105" t="str">
        <f t="array" ref="AP173">IFERROR(INDEX($AM$10:$AM$258, MATCH(0, IF(TRUE=$AK$10:$AK$258, COUNTIF($AP$9:$AP172, $AM$10:$AM$258), ""), 0)),"")</f>
        <v/>
      </c>
      <c r="AR173" s="15" t="str">
        <f>IFERROR(INDEX('G-7 WaterC'' Data'!$AZ$3:$AZ$7,MATCH(D173,'G-7 WaterC'' Data'!$AY$3:$AY$7,0)),"")</f>
        <v/>
      </c>
      <c r="AS173" s="15" t="str">
        <f>IFERROR(INDEX('G-7 WaterC'' Data'!AZ173:AZ177,MATCH(D173,'G-7 WaterC'' Data'!$AY$10:$AY$14,0)),"")</f>
        <v/>
      </c>
      <c r="AU173" s="15" t="str">
        <f>IF(D173="","",VLOOKUP(D173,'G-7 WaterC'' Data'!B$4:M$8,12,FALSE))</f>
        <v/>
      </c>
      <c r="AV173" s="15" t="str">
        <f t="shared" si="26"/>
        <v/>
      </c>
    </row>
    <row r="174" spans="3:48" ht="14" x14ac:dyDescent="0.3">
      <c r="C174" s="92">
        <v>165</v>
      </c>
      <c r="D174" s="271"/>
      <c r="E174" s="120"/>
      <c r="F174" s="290" t="str">
        <f>IF(D174="","",VLOOKUP(D174,'G-7 WaterC'' Data'!$B$2:$G$8,2,FALSE))</f>
        <v/>
      </c>
      <c r="G174" s="291" t="str">
        <f>IFERROR(VLOOKUP(F174,'G-7 WaterC'' Data'!$C$4:$D$8,2,FALSE),"")</f>
        <v/>
      </c>
      <c r="H174" s="38"/>
      <c r="I174" s="291" t="str">
        <f>IFERROR(INDEX('G-7 WaterC'' Data'!$H$4:$L$8,MATCH(D174,'G-7 WaterC'' Data'!$B$4:$B$8,0),MATCH(H174,'G-7 WaterC'' Data'!$H$3:$L$3,0)),"")</f>
        <v/>
      </c>
      <c r="J174" s="777"/>
      <c r="K174" s="325" t="str">
        <f>IF(J174="","",IF(VLOOKUP(J174,'G-7 WaterC'' Data'!$AK$4:$AM$6,2,FALSE)=0,"Spatial Data Missing ⚠",VLOOKUP(J174,'G-7 WaterC'' Data'!$AK$4:$AM$6,2,FALSE)))</f>
        <v/>
      </c>
      <c r="L174" s="296" t="str">
        <f>IF(J174="","",IF(VLOOKUP(J174,'G-7 WaterC'' Data'!$AK$4:$AM$9,3,FALSE)=0,"Spatial Data Missing ⚠",VLOOKUP(J174,'G-7 WaterC'' Data'!$AK$4:$AM$6,3,FALSE)))</f>
        <v/>
      </c>
      <c r="M174" s="38"/>
      <c r="N174" s="291" t="str">
        <f>IF(M174="","",IF(AND(D174&lt;&gt;"Culvert",M174="N/A - Culvert"),"Not possible ▲",IF(AND(D174="Culvert",M174&lt;&gt;"N/A - Culvert"),"Not possible ▲",IF(VLOOKUP(M174,'G-7 WaterC'' Data'!$AA$4:$AB$7,2,FALSE)=0,"Spatial Data Missing ⚠",VLOOKUP(M174,'G-7 WaterC'' Data'!$AA$4:$AB$7,2,FALSE)))))</f>
        <v/>
      </c>
      <c r="O174" s="44"/>
      <c r="P174" s="291" t="str">
        <f>IF(O174="","",IF(AND(O174="N/A - Culvert", D174&lt;&gt;"Culvert"),"Not possible ▲", IF(AND(D174="Culvert",O174&lt;&gt;"N/A - Culvert"),"Not possible ▲",IF(VLOOKUP(O174,'G-7 WaterC'' Data'!$AD$4:$AE$14,2,FALSE)=0,"Spatial Data Missing ⚠",VLOOKUP(O174,'G-7 WaterC'' Data'!$AD$4:$AE$14,2,FALSE)))))</f>
        <v/>
      </c>
      <c r="Q174" s="297" t="str">
        <f>IF(D174="","",VLOOKUP(D174,'G-7 WaterC'' Data'!$B$2:$G$8,6,FALSE))</f>
        <v/>
      </c>
      <c r="R174" s="304" t="str">
        <f>IFERROR(IF(AND(Q174='G-1 All Habitats'!$X$3, AE174&gt;0, U174&lt;=0, V174&lt;=0, OR(AA174="No", AA174="")),"Any Loss Unacceptable ⚠", (IF(AND(Q174='G-1 All Habitats'!$X$3, AE174&gt;0, U174&lt;=0, V174&lt;=0, AA174="Yes"), 0, (IF(AND(Q174='G-1 All Habitats'!$X$3,(U174+V174)&lt;E174, OR(AA174="No", AA174="")),"Any Loss Unacceptable ⚠", (IF(AND(Q174='G-1 All Habitats'!$X$3,(U174+V174)&gt;E174), E174*G174*I174*L174*N174*P174, (IF(Q174="","",IF(AND(Q174='G-1 All Habitats'!$X$3,V174&gt;0),W174+X174,IF(AND(Q174='G-1 All Habitats'!$X$3,U174&gt;0), W174+X174, IF(AND(S174="Yes", V174&gt;(E174-U174)),(E174-U174)*G174*I174*L174*N174*P174, IF(AND(S174="Yes", V174&lt;=(E174-U174)), X174, E174*G174*I174*L174*N174*P174 ))))))))))))),"Check Data ▲")</f>
        <v/>
      </c>
      <c r="S174" s="671" t="str">
        <f t="shared" si="18"/>
        <v/>
      </c>
      <c r="T174" s="17"/>
      <c r="U174" s="95"/>
      <c r="V174" s="106"/>
      <c r="W174" s="302" t="str">
        <f t="shared" si="19"/>
        <v/>
      </c>
      <c r="X174" s="302" t="str">
        <f t="shared" si="20"/>
        <v/>
      </c>
      <c r="Y174" s="302" t="str">
        <f t="shared" si="21"/>
        <v/>
      </c>
      <c r="Z174" s="471" t="str">
        <f t="shared" si="22"/>
        <v/>
      </c>
      <c r="AA174" s="488"/>
      <c r="AB174" s="486"/>
      <c r="AC174" s="101"/>
      <c r="AD174" s="101"/>
      <c r="AE174" s="41" t="str">
        <f>IF(OR(Q174="",AA174="Yes"),"",IF(Q174='G-1 All Habitats'!$X$3,E174-U174-V174,"None"))</f>
        <v/>
      </c>
      <c r="AF174" s="42" t="str">
        <f>IF(Q174="","", IF(Q174='G-1 All Habitats'!$X$3, AE174*G174*I174*L174*N174*P174,"None"))</f>
        <v/>
      </c>
      <c r="AI174" s="15">
        <f t="shared" si="23"/>
        <v>0</v>
      </c>
      <c r="AJ174" s="105" t="str">
        <f t="shared" si="24"/>
        <v/>
      </c>
      <c r="AK174" s="105" t="str">
        <f t="shared" si="25"/>
        <v/>
      </c>
      <c r="AM174" s="105">
        <v>165</v>
      </c>
      <c r="AO174" s="105" t="str">
        <f t="array" ref="AO174">IFERROR(INDEX($AM$10:$AM$258, MATCH(0, IF(TRUE=$AJ$10:$AJ$258, COUNTIF($AO$9:$AO173, $AM$10:$AM$258), ""), 0)),"")</f>
        <v/>
      </c>
      <c r="AP174" s="105" t="str">
        <f t="array" ref="AP174">IFERROR(INDEX($AM$10:$AM$258, MATCH(0, IF(TRUE=$AK$10:$AK$258, COUNTIF($AP$9:$AP173, $AM$10:$AM$258), ""), 0)),"")</f>
        <v/>
      </c>
      <c r="AR174" s="15" t="str">
        <f>IFERROR(INDEX('G-7 WaterC'' Data'!$AZ$3:$AZ$7,MATCH(D174,'G-7 WaterC'' Data'!$AY$3:$AY$7,0)),"")</f>
        <v/>
      </c>
      <c r="AS174" s="15" t="str">
        <f>IFERROR(INDEX('G-7 WaterC'' Data'!AZ174:AZ178,MATCH(D174,'G-7 WaterC'' Data'!$AY$10:$AY$14,0)),"")</f>
        <v/>
      </c>
      <c r="AU174" s="15" t="str">
        <f>IF(D174="","",VLOOKUP(D174,'G-7 WaterC'' Data'!B$4:M$8,12,FALSE))</f>
        <v/>
      </c>
      <c r="AV174" s="15" t="str">
        <f t="shared" si="26"/>
        <v/>
      </c>
    </row>
    <row r="175" spans="3:48" ht="14" x14ac:dyDescent="0.3">
      <c r="C175" s="92">
        <v>166</v>
      </c>
      <c r="D175" s="271"/>
      <c r="E175" s="120"/>
      <c r="F175" s="290" t="str">
        <f>IF(D175="","",VLOOKUP(D175,'G-7 WaterC'' Data'!$B$2:$G$8,2,FALSE))</f>
        <v/>
      </c>
      <c r="G175" s="291" t="str">
        <f>IFERROR(VLOOKUP(F175,'G-7 WaterC'' Data'!$C$4:$D$8,2,FALSE),"")</f>
        <v/>
      </c>
      <c r="H175" s="38"/>
      <c r="I175" s="291" t="str">
        <f>IFERROR(INDEX('G-7 WaterC'' Data'!$H$4:$L$8,MATCH(D175,'G-7 WaterC'' Data'!$B$4:$B$8,0),MATCH(H175,'G-7 WaterC'' Data'!$H$3:$L$3,0)),"")</f>
        <v/>
      </c>
      <c r="J175" s="777"/>
      <c r="K175" s="325" t="str">
        <f>IF(J175="","",IF(VLOOKUP(J175,'G-7 WaterC'' Data'!$AK$4:$AM$6,2,FALSE)=0,"Spatial Data Missing ⚠",VLOOKUP(J175,'G-7 WaterC'' Data'!$AK$4:$AM$6,2,FALSE)))</f>
        <v/>
      </c>
      <c r="L175" s="296" t="str">
        <f>IF(J175="","",IF(VLOOKUP(J175,'G-7 WaterC'' Data'!$AK$4:$AM$9,3,FALSE)=0,"Spatial Data Missing ⚠",VLOOKUP(J175,'G-7 WaterC'' Data'!$AK$4:$AM$6,3,FALSE)))</f>
        <v/>
      </c>
      <c r="M175" s="38"/>
      <c r="N175" s="291" t="str">
        <f>IF(M175="","",IF(AND(D175&lt;&gt;"Culvert",M175="N/A - Culvert"),"Not possible ▲",IF(AND(D175="Culvert",M175&lt;&gt;"N/A - Culvert"),"Not possible ▲",IF(VLOOKUP(M175,'G-7 WaterC'' Data'!$AA$4:$AB$7,2,FALSE)=0,"Spatial Data Missing ⚠",VLOOKUP(M175,'G-7 WaterC'' Data'!$AA$4:$AB$7,2,FALSE)))))</f>
        <v/>
      </c>
      <c r="O175" s="44"/>
      <c r="P175" s="291" t="str">
        <f>IF(O175="","",IF(AND(O175="N/A - Culvert", D175&lt;&gt;"Culvert"),"Not possible ▲", IF(AND(D175="Culvert",O175&lt;&gt;"N/A - Culvert"),"Not possible ▲",IF(VLOOKUP(O175,'G-7 WaterC'' Data'!$AD$4:$AE$14,2,FALSE)=0,"Spatial Data Missing ⚠",VLOOKUP(O175,'G-7 WaterC'' Data'!$AD$4:$AE$14,2,FALSE)))))</f>
        <v/>
      </c>
      <c r="Q175" s="297" t="str">
        <f>IF(D175="","",VLOOKUP(D175,'G-7 WaterC'' Data'!$B$2:$G$8,6,FALSE))</f>
        <v/>
      </c>
      <c r="R175" s="304" t="str">
        <f>IFERROR(IF(AND(Q175='G-1 All Habitats'!$X$3, AE175&gt;0, U175&lt;=0, V175&lt;=0, OR(AA175="No", AA175="")),"Any Loss Unacceptable ⚠", (IF(AND(Q175='G-1 All Habitats'!$X$3, AE175&gt;0, U175&lt;=0, V175&lt;=0, AA175="Yes"), 0, (IF(AND(Q175='G-1 All Habitats'!$X$3,(U175+V175)&lt;E175, OR(AA175="No", AA175="")),"Any Loss Unacceptable ⚠", (IF(AND(Q175='G-1 All Habitats'!$X$3,(U175+V175)&gt;E175), E175*G175*I175*L175*N175*P175, (IF(Q175="","",IF(AND(Q175='G-1 All Habitats'!$X$3,V175&gt;0),W175+X175,IF(AND(Q175='G-1 All Habitats'!$X$3,U175&gt;0), W175+X175, IF(AND(S175="Yes", V175&gt;(E175-U175)),(E175-U175)*G175*I175*L175*N175*P175, IF(AND(S175="Yes", V175&lt;=(E175-U175)), X175, E175*G175*I175*L175*N175*P175 ))))))))))))),"Check Data ▲")</f>
        <v/>
      </c>
      <c r="S175" s="671" t="str">
        <f t="shared" si="18"/>
        <v/>
      </c>
      <c r="T175" s="17"/>
      <c r="U175" s="95"/>
      <c r="V175" s="106"/>
      <c r="W175" s="302" t="str">
        <f t="shared" si="19"/>
        <v/>
      </c>
      <c r="X175" s="302" t="str">
        <f t="shared" si="20"/>
        <v/>
      </c>
      <c r="Y175" s="302" t="str">
        <f t="shared" si="21"/>
        <v/>
      </c>
      <c r="Z175" s="471" t="str">
        <f t="shared" si="22"/>
        <v/>
      </c>
      <c r="AA175" s="488"/>
      <c r="AB175" s="486"/>
      <c r="AC175" s="101"/>
      <c r="AD175" s="101"/>
      <c r="AE175" s="41" t="str">
        <f>IF(OR(Q175="",AA175="Yes"),"",IF(Q175='G-1 All Habitats'!$X$3,E175-U175-V175,"None"))</f>
        <v/>
      </c>
      <c r="AF175" s="42" t="str">
        <f>IF(Q175="","", IF(Q175='G-1 All Habitats'!$X$3, AE175*G175*I175*L175*N175*P175,"None"))</f>
        <v/>
      </c>
      <c r="AI175" s="15">
        <f t="shared" si="23"/>
        <v>0</v>
      </c>
      <c r="AJ175" s="105" t="str">
        <f t="shared" si="24"/>
        <v/>
      </c>
      <c r="AK175" s="105" t="str">
        <f t="shared" si="25"/>
        <v/>
      </c>
      <c r="AM175" s="105">
        <v>166</v>
      </c>
      <c r="AO175" s="105" t="str">
        <f t="array" ref="AO175">IFERROR(INDEX($AM$10:$AM$258, MATCH(0, IF(TRUE=$AJ$10:$AJ$258, COUNTIF($AO$9:$AO174, $AM$10:$AM$258), ""), 0)),"")</f>
        <v/>
      </c>
      <c r="AP175" s="105" t="str">
        <f t="array" ref="AP175">IFERROR(INDEX($AM$10:$AM$258, MATCH(0, IF(TRUE=$AK$10:$AK$258, COUNTIF($AP$9:$AP174, $AM$10:$AM$258), ""), 0)),"")</f>
        <v/>
      </c>
      <c r="AR175" s="15" t="str">
        <f>IFERROR(INDEX('G-7 WaterC'' Data'!$AZ$3:$AZ$7,MATCH(D175,'G-7 WaterC'' Data'!$AY$3:$AY$7,0)),"")</f>
        <v/>
      </c>
      <c r="AS175" s="15" t="str">
        <f>IFERROR(INDEX('G-7 WaterC'' Data'!AZ175:AZ179,MATCH(D175,'G-7 WaterC'' Data'!$AY$10:$AY$14,0)),"")</f>
        <v/>
      </c>
      <c r="AU175" s="15" t="str">
        <f>IF(D175="","",VLOOKUP(D175,'G-7 WaterC'' Data'!B$4:M$8,12,FALSE))</f>
        <v/>
      </c>
      <c r="AV175" s="15" t="str">
        <f t="shared" si="26"/>
        <v/>
      </c>
    </row>
    <row r="176" spans="3:48" ht="14" x14ac:dyDescent="0.3">
      <c r="C176" s="92">
        <v>167</v>
      </c>
      <c r="D176" s="271"/>
      <c r="E176" s="120"/>
      <c r="F176" s="290" t="str">
        <f>IF(D176="","",VLOOKUP(D176,'G-7 WaterC'' Data'!$B$2:$G$8,2,FALSE))</f>
        <v/>
      </c>
      <c r="G176" s="291" t="str">
        <f>IFERROR(VLOOKUP(F176,'G-7 WaterC'' Data'!$C$4:$D$8,2,FALSE),"")</f>
        <v/>
      </c>
      <c r="H176" s="38"/>
      <c r="I176" s="291" t="str">
        <f>IFERROR(INDEX('G-7 WaterC'' Data'!$H$4:$L$8,MATCH(D176,'G-7 WaterC'' Data'!$B$4:$B$8,0),MATCH(H176,'G-7 WaterC'' Data'!$H$3:$L$3,0)),"")</f>
        <v/>
      </c>
      <c r="J176" s="777"/>
      <c r="K176" s="325" t="str">
        <f>IF(J176="","",IF(VLOOKUP(J176,'G-7 WaterC'' Data'!$AK$4:$AM$6,2,FALSE)=0,"Spatial Data Missing ⚠",VLOOKUP(J176,'G-7 WaterC'' Data'!$AK$4:$AM$6,2,FALSE)))</f>
        <v/>
      </c>
      <c r="L176" s="296" t="str">
        <f>IF(J176="","",IF(VLOOKUP(J176,'G-7 WaterC'' Data'!$AK$4:$AM$9,3,FALSE)=0,"Spatial Data Missing ⚠",VLOOKUP(J176,'G-7 WaterC'' Data'!$AK$4:$AM$6,3,FALSE)))</f>
        <v/>
      </c>
      <c r="M176" s="38"/>
      <c r="N176" s="291" t="str">
        <f>IF(M176="","",IF(AND(D176&lt;&gt;"Culvert",M176="N/A - Culvert"),"Not possible ▲",IF(AND(D176="Culvert",M176&lt;&gt;"N/A - Culvert"),"Not possible ▲",IF(VLOOKUP(M176,'G-7 WaterC'' Data'!$AA$4:$AB$7,2,FALSE)=0,"Spatial Data Missing ⚠",VLOOKUP(M176,'G-7 WaterC'' Data'!$AA$4:$AB$7,2,FALSE)))))</f>
        <v/>
      </c>
      <c r="O176" s="44"/>
      <c r="P176" s="291" t="str">
        <f>IF(O176="","",IF(AND(O176="N/A - Culvert", D176&lt;&gt;"Culvert"),"Not possible ▲", IF(AND(D176="Culvert",O176&lt;&gt;"N/A - Culvert"),"Not possible ▲",IF(VLOOKUP(O176,'G-7 WaterC'' Data'!$AD$4:$AE$14,2,FALSE)=0,"Spatial Data Missing ⚠",VLOOKUP(O176,'G-7 WaterC'' Data'!$AD$4:$AE$14,2,FALSE)))))</f>
        <v/>
      </c>
      <c r="Q176" s="297" t="str">
        <f>IF(D176="","",VLOOKUP(D176,'G-7 WaterC'' Data'!$B$2:$G$8,6,FALSE))</f>
        <v/>
      </c>
      <c r="R176" s="304" t="str">
        <f>IFERROR(IF(AND(Q176='G-1 All Habitats'!$X$3, AE176&gt;0, U176&lt;=0, V176&lt;=0, OR(AA176="No", AA176="")),"Any Loss Unacceptable ⚠", (IF(AND(Q176='G-1 All Habitats'!$X$3, AE176&gt;0, U176&lt;=0, V176&lt;=0, AA176="Yes"), 0, (IF(AND(Q176='G-1 All Habitats'!$X$3,(U176+V176)&lt;E176, OR(AA176="No", AA176="")),"Any Loss Unacceptable ⚠", (IF(AND(Q176='G-1 All Habitats'!$X$3,(U176+V176)&gt;E176), E176*G176*I176*L176*N176*P176, (IF(Q176="","",IF(AND(Q176='G-1 All Habitats'!$X$3,V176&gt;0),W176+X176,IF(AND(Q176='G-1 All Habitats'!$X$3,U176&gt;0), W176+X176, IF(AND(S176="Yes", V176&gt;(E176-U176)),(E176-U176)*G176*I176*L176*N176*P176, IF(AND(S176="Yes", V176&lt;=(E176-U176)), X176, E176*G176*I176*L176*N176*P176 ))))))))))))),"Check Data ▲")</f>
        <v/>
      </c>
      <c r="S176" s="671" t="str">
        <f t="shared" si="18"/>
        <v/>
      </c>
      <c r="T176" s="17"/>
      <c r="U176" s="95"/>
      <c r="V176" s="106"/>
      <c r="W176" s="302" t="str">
        <f t="shared" si="19"/>
        <v/>
      </c>
      <c r="X176" s="302" t="str">
        <f t="shared" si="20"/>
        <v/>
      </c>
      <c r="Y176" s="302" t="str">
        <f t="shared" si="21"/>
        <v/>
      </c>
      <c r="Z176" s="471" t="str">
        <f t="shared" si="22"/>
        <v/>
      </c>
      <c r="AA176" s="488"/>
      <c r="AB176" s="486"/>
      <c r="AC176" s="101"/>
      <c r="AD176" s="101"/>
      <c r="AE176" s="41" t="str">
        <f>IF(OR(Q176="",AA176="Yes"),"",IF(Q176='G-1 All Habitats'!$X$3,E176-U176-V176,"None"))</f>
        <v/>
      </c>
      <c r="AF176" s="42" t="str">
        <f>IF(Q176="","", IF(Q176='G-1 All Habitats'!$X$3, AE176*G176*I176*L176*N176*P176,"None"))</f>
        <v/>
      </c>
      <c r="AI176" s="15">
        <f t="shared" si="23"/>
        <v>0</v>
      </c>
      <c r="AJ176" s="105" t="str">
        <f t="shared" si="24"/>
        <v/>
      </c>
      <c r="AK176" s="105" t="str">
        <f t="shared" si="25"/>
        <v/>
      </c>
      <c r="AM176" s="105">
        <v>167</v>
      </c>
      <c r="AO176" s="105" t="str">
        <f t="array" ref="AO176">IFERROR(INDEX($AM$10:$AM$258, MATCH(0, IF(TRUE=$AJ$10:$AJ$258, COUNTIF($AO$9:$AO175, $AM$10:$AM$258), ""), 0)),"")</f>
        <v/>
      </c>
      <c r="AP176" s="105" t="str">
        <f t="array" ref="AP176">IFERROR(INDEX($AM$10:$AM$258, MATCH(0, IF(TRUE=$AK$10:$AK$258, COUNTIF($AP$9:$AP175, $AM$10:$AM$258), ""), 0)),"")</f>
        <v/>
      </c>
      <c r="AR176" s="15" t="str">
        <f>IFERROR(INDEX('G-7 WaterC'' Data'!$AZ$3:$AZ$7,MATCH(D176,'G-7 WaterC'' Data'!$AY$3:$AY$7,0)),"")</f>
        <v/>
      </c>
      <c r="AS176" s="15" t="str">
        <f>IFERROR(INDEX('G-7 WaterC'' Data'!AZ176:AZ180,MATCH(D176,'G-7 WaterC'' Data'!$AY$10:$AY$14,0)),"")</f>
        <v/>
      </c>
      <c r="AU176" s="15" t="str">
        <f>IF(D176="","",VLOOKUP(D176,'G-7 WaterC'' Data'!B$4:M$8,12,FALSE))</f>
        <v/>
      </c>
      <c r="AV176" s="15" t="str">
        <f t="shared" si="26"/>
        <v/>
      </c>
    </row>
    <row r="177" spans="3:48" ht="14" x14ac:dyDescent="0.3">
      <c r="C177" s="92">
        <v>168</v>
      </c>
      <c r="D177" s="271"/>
      <c r="E177" s="120"/>
      <c r="F177" s="290" t="str">
        <f>IF(D177="","",VLOOKUP(D177,'G-7 WaterC'' Data'!$B$2:$G$8,2,FALSE))</f>
        <v/>
      </c>
      <c r="G177" s="291" t="str">
        <f>IFERROR(VLOOKUP(F177,'G-7 WaterC'' Data'!$C$4:$D$8,2,FALSE),"")</f>
        <v/>
      </c>
      <c r="H177" s="38"/>
      <c r="I177" s="291" t="str">
        <f>IFERROR(INDEX('G-7 WaterC'' Data'!$H$4:$L$8,MATCH(D177,'G-7 WaterC'' Data'!$B$4:$B$8,0),MATCH(H177,'G-7 WaterC'' Data'!$H$3:$L$3,0)),"")</f>
        <v/>
      </c>
      <c r="J177" s="777"/>
      <c r="K177" s="325" t="str">
        <f>IF(J177="","",IF(VLOOKUP(J177,'G-7 WaterC'' Data'!$AK$4:$AM$6,2,FALSE)=0,"Spatial Data Missing ⚠",VLOOKUP(J177,'G-7 WaterC'' Data'!$AK$4:$AM$6,2,FALSE)))</f>
        <v/>
      </c>
      <c r="L177" s="296" t="str">
        <f>IF(J177="","",IF(VLOOKUP(J177,'G-7 WaterC'' Data'!$AK$4:$AM$9,3,FALSE)=0,"Spatial Data Missing ⚠",VLOOKUP(J177,'G-7 WaterC'' Data'!$AK$4:$AM$6,3,FALSE)))</f>
        <v/>
      </c>
      <c r="M177" s="38"/>
      <c r="N177" s="291" t="str">
        <f>IF(M177="","",IF(AND(D177&lt;&gt;"Culvert",M177="N/A - Culvert"),"Not possible ▲",IF(AND(D177="Culvert",M177&lt;&gt;"N/A - Culvert"),"Not possible ▲",IF(VLOOKUP(M177,'G-7 WaterC'' Data'!$AA$4:$AB$7,2,FALSE)=0,"Spatial Data Missing ⚠",VLOOKUP(M177,'G-7 WaterC'' Data'!$AA$4:$AB$7,2,FALSE)))))</f>
        <v/>
      </c>
      <c r="O177" s="44"/>
      <c r="P177" s="291" t="str">
        <f>IF(O177="","",IF(AND(O177="N/A - Culvert", D177&lt;&gt;"Culvert"),"Not possible ▲", IF(AND(D177="Culvert",O177&lt;&gt;"N/A - Culvert"),"Not possible ▲",IF(VLOOKUP(O177,'G-7 WaterC'' Data'!$AD$4:$AE$14,2,FALSE)=0,"Spatial Data Missing ⚠",VLOOKUP(O177,'G-7 WaterC'' Data'!$AD$4:$AE$14,2,FALSE)))))</f>
        <v/>
      </c>
      <c r="Q177" s="297" t="str">
        <f>IF(D177="","",VLOOKUP(D177,'G-7 WaterC'' Data'!$B$2:$G$8,6,FALSE))</f>
        <v/>
      </c>
      <c r="R177" s="304" t="str">
        <f>IFERROR(IF(AND(Q177='G-1 All Habitats'!$X$3, AE177&gt;0, U177&lt;=0, V177&lt;=0, OR(AA177="No", AA177="")),"Any Loss Unacceptable ⚠", (IF(AND(Q177='G-1 All Habitats'!$X$3, AE177&gt;0, U177&lt;=0, V177&lt;=0, AA177="Yes"), 0, (IF(AND(Q177='G-1 All Habitats'!$X$3,(U177+V177)&lt;E177, OR(AA177="No", AA177="")),"Any Loss Unacceptable ⚠", (IF(AND(Q177='G-1 All Habitats'!$X$3,(U177+V177)&gt;E177), E177*G177*I177*L177*N177*P177, (IF(Q177="","",IF(AND(Q177='G-1 All Habitats'!$X$3,V177&gt;0),W177+X177,IF(AND(Q177='G-1 All Habitats'!$X$3,U177&gt;0), W177+X177, IF(AND(S177="Yes", V177&gt;(E177-U177)),(E177-U177)*G177*I177*L177*N177*P177, IF(AND(S177="Yes", V177&lt;=(E177-U177)), X177, E177*G177*I177*L177*N177*P177 ))))))))))))),"Check Data ▲")</f>
        <v/>
      </c>
      <c r="S177" s="671" t="str">
        <f t="shared" si="18"/>
        <v/>
      </c>
      <c r="T177" s="17"/>
      <c r="U177" s="95"/>
      <c r="V177" s="106"/>
      <c r="W177" s="302" t="str">
        <f t="shared" si="19"/>
        <v/>
      </c>
      <c r="X177" s="302" t="str">
        <f t="shared" si="20"/>
        <v/>
      </c>
      <c r="Y177" s="302" t="str">
        <f t="shared" si="21"/>
        <v/>
      </c>
      <c r="Z177" s="471" t="str">
        <f t="shared" si="22"/>
        <v/>
      </c>
      <c r="AA177" s="488"/>
      <c r="AB177" s="486"/>
      <c r="AC177" s="101"/>
      <c r="AD177" s="101"/>
      <c r="AE177" s="41" t="str">
        <f>IF(OR(Q177="",AA177="Yes"),"",IF(Q177='G-1 All Habitats'!$X$3,E177-U177-V177,"None"))</f>
        <v/>
      </c>
      <c r="AF177" s="42" t="str">
        <f>IF(Q177="","", IF(Q177='G-1 All Habitats'!$X$3, AE177*G177*I177*L177*N177*P177,"None"))</f>
        <v/>
      </c>
      <c r="AI177" s="15">
        <f t="shared" si="23"/>
        <v>0</v>
      </c>
      <c r="AJ177" s="105" t="str">
        <f t="shared" si="24"/>
        <v/>
      </c>
      <c r="AK177" s="105" t="str">
        <f t="shared" si="25"/>
        <v/>
      </c>
      <c r="AM177" s="105">
        <v>168</v>
      </c>
      <c r="AO177" s="105" t="str">
        <f t="array" ref="AO177">IFERROR(INDEX($AM$10:$AM$258, MATCH(0, IF(TRUE=$AJ$10:$AJ$258, COUNTIF($AO$9:$AO176, $AM$10:$AM$258), ""), 0)),"")</f>
        <v/>
      </c>
      <c r="AP177" s="105" t="str">
        <f t="array" ref="AP177">IFERROR(INDEX($AM$10:$AM$258, MATCH(0, IF(TRUE=$AK$10:$AK$258, COUNTIF($AP$9:$AP176, $AM$10:$AM$258), ""), 0)),"")</f>
        <v/>
      </c>
      <c r="AR177" s="15" t="str">
        <f>IFERROR(INDEX('G-7 WaterC'' Data'!$AZ$3:$AZ$7,MATCH(D177,'G-7 WaterC'' Data'!$AY$3:$AY$7,0)),"")</f>
        <v/>
      </c>
      <c r="AS177" s="15" t="str">
        <f>IFERROR(INDEX('G-7 WaterC'' Data'!AZ177:AZ181,MATCH(D177,'G-7 WaterC'' Data'!$AY$10:$AY$14,0)),"")</f>
        <v/>
      </c>
      <c r="AU177" s="15" t="str">
        <f>IF(D177="","",VLOOKUP(D177,'G-7 WaterC'' Data'!B$4:M$8,12,FALSE))</f>
        <v/>
      </c>
      <c r="AV177" s="15" t="str">
        <f t="shared" si="26"/>
        <v/>
      </c>
    </row>
    <row r="178" spans="3:48" ht="14" x14ac:dyDescent="0.3">
      <c r="C178" s="92">
        <v>169</v>
      </c>
      <c r="D178" s="271"/>
      <c r="E178" s="120"/>
      <c r="F178" s="290" t="str">
        <f>IF(D178="","",VLOOKUP(D178,'G-7 WaterC'' Data'!$B$2:$G$8,2,FALSE))</f>
        <v/>
      </c>
      <c r="G178" s="291" t="str">
        <f>IFERROR(VLOOKUP(F178,'G-7 WaterC'' Data'!$C$4:$D$8,2,FALSE),"")</f>
        <v/>
      </c>
      <c r="H178" s="38"/>
      <c r="I178" s="291" t="str">
        <f>IFERROR(INDEX('G-7 WaterC'' Data'!$H$4:$L$8,MATCH(D178,'G-7 WaterC'' Data'!$B$4:$B$8,0),MATCH(H178,'G-7 WaterC'' Data'!$H$3:$L$3,0)),"")</f>
        <v/>
      </c>
      <c r="J178" s="777"/>
      <c r="K178" s="325" t="str">
        <f>IF(J178="","",IF(VLOOKUP(J178,'G-7 WaterC'' Data'!$AK$4:$AM$6,2,FALSE)=0,"Spatial Data Missing ⚠",VLOOKUP(J178,'G-7 WaterC'' Data'!$AK$4:$AM$6,2,FALSE)))</f>
        <v/>
      </c>
      <c r="L178" s="296" t="str">
        <f>IF(J178="","",IF(VLOOKUP(J178,'G-7 WaterC'' Data'!$AK$4:$AM$9,3,FALSE)=0,"Spatial Data Missing ⚠",VLOOKUP(J178,'G-7 WaterC'' Data'!$AK$4:$AM$6,3,FALSE)))</f>
        <v/>
      </c>
      <c r="M178" s="38"/>
      <c r="N178" s="291" t="str">
        <f>IF(M178="","",IF(AND(D178&lt;&gt;"Culvert",M178="N/A - Culvert"),"Not possible ▲",IF(AND(D178="Culvert",M178&lt;&gt;"N/A - Culvert"),"Not possible ▲",IF(VLOOKUP(M178,'G-7 WaterC'' Data'!$AA$4:$AB$7,2,FALSE)=0,"Spatial Data Missing ⚠",VLOOKUP(M178,'G-7 WaterC'' Data'!$AA$4:$AB$7,2,FALSE)))))</f>
        <v/>
      </c>
      <c r="O178" s="44"/>
      <c r="P178" s="291" t="str">
        <f>IF(O178="","",IF(AND(O178="N/A - Culvert", D178&lt;&gt;"Culvert"),"Not possible ▲", IF(AND(D178="Culvert",O178&lt;&gt;"N/A - Culvert"),"Not possible ▲",IF(VLOOKUP(O178,'G-7 WaterC'' Data'!$AD$4:$AE$14,2,FALSE)=0,"Spatial Data Missing ⚠",VLOOKUP(O178,'G-7 WaterC'' Data'!$AD$4:$AE$14,2,FALSE)))))</f>
        <v/>
      </c>
      <c r="Q178" s="297" t="str">
        <f>IF(D178="","",VLOOKUP(D178,'G-7 WaterC'' Data'!$B$2:$G$8,6,FALSE))</f>
        <v/>
      </c>
      <c r="R178" s="304" t="str">
        <f>IFERROR(IF(AND(Q178='G-1 All Habitats'!$X$3, AE178&gt;0, U178&lt;=0, V178&lt;=0, OR(AA178="No", AA178="")),"Any Loss Unacceptable ⚠", (IF(AND(Q178='G-1 All Habitats'!$X$3, AE178&gt;0, U178&lt;=0, V178&lt;=0, AA178="Yes"), 0, (IF(AND(Q178='G-1 All Habitats'!$X$3,(U178+V178)&lt;E178, OR(AA178="No", AA178="")),"Any Loss Unacceptable ⚠", (IF(AND(Q178='G-1 All Habitats'!$X$3,(U178+V178)&gt;E178), E178*G178*I178*L178*N178*P178, (IF(Q178="","",IF(AND(Q178='G-1 All Habitats'!$X$3,V178&gt;0),W178+X178,IF(AND(Q178='G-1 All Habitats'!$X$3,U178&gt;0), W178+X178, IF(AND(S178="Yes", V178&gt;(E178-U178)),(E178-U178)*G178*I178*L178*N178*P178, IF(AND(S178="Yes", V178&lt;=(E178-U178)), X178, E178*G178*I178*L178*N178*P178 ))))))))))))),"Check Data ▲")</f>
        <v/>
      </c>
      <c r="S178" s="671" t="str">
        <f t="shared" si="18"/>
        <v/>
      </c>
      <c r="T178" s="17"/>
      <c r="U178" s="95"/>
      <c r="V178" s="106"/>
      <c r="W178" s="302" t="str">
        <f t="shared" si="19"/>
        <v/>
      </c>
      <c r="X178" s="302" t="str">
        <f t="shared" si="20"/>
        <v/>
      </c>
      <c r="Y178" s="302" t="str">
        <f t="shared" si="21"/>
        <v/>
      </c>
      <c r="Z178" s="471" t="str">
        <f t="shared" si="22"/>
        <v/>
      </c>
      <c r="AA178" s="488"/>
      <c r="AB178" s="486"/>
      <c r="AC178" s="101"/>
      <c r="AD178" s="101"/>
      <c r="AE178" s="41" t="str">
        <f>IF(OR(Q178="",AA178="Yes"),"",IF(Q178='G-1 All Habitats'!$X$3,E178-U178-V178,"None"))</f>
        <v/>
      </c>
      <c r="AF178" s="42" t="str">
        <f>IF(Q178="","", IF(Q178='G-1 All Habitats'!$X$3, AE178*G178*I178*L178*N178*P178,"None"))</f>
        <v/>
      </c>
      <c r="AI178" s="15">
        <f t="shared" si="23"/>
        <v>0</v>
      </c>
      <c r="AJ178" s="105" t="str">
        <f t="shared" si="24"/>
        <v/>
      </c>
      <c r="AK178" s="105" t="str">
        <f t="shared" si="25"/>
        <v/>
      </c>
      <c r="AM178" s="105">
        <v>169</v>
      </c>
      <c r="AO178" s="105" t="str">
        <f t="array" ref="AO178">IFERROR(INDEX($AM$10:$AM$258, MATCH(0, IF(TRUE=$AJ$10:$AJ$258, COUNTIF($AO$9:$AO177, $AM$10:$AM$258), ""), 0)),"")</f>
        <v/>
      </c>
      <c r="AP178" s="105" t="str">
        <f t="array" ref="AP178">IFERROR(INDEX($AM$10:$AM$258, MATCH(0, IF(TRUE=$AK$10:$AK$258, COUNTIF($AP$9:$AP177, $AM$10:$AM$258), ""), 0)),"")</f>
        <v/>
      </c>
      <c r="AR178" s="15" t="str">
        <f>IFERROR(INDEX('G-7 WaterC'' Data'!$AZ$3:$AZ$7,MATCH(D178,'G-7 WaterC'' Data'!$AY$3:$AY$7,0)),"")</f>
        <v/>
      </c>
      <c r="AS178" s="15" t="str">
        <f>IFERROR(INDEX('G-7 WaterC'' Data'!AZ178:AZ182,MATCH(D178,'G-7 WaterC'' Data'!$AY$10:$AY$14,0)),"")</f>
        <v/>
      </c>
      <c r="AU178" s="15" t="str">
        <f>IF(D178="","",VLOOKUP(D178,'G-7 WaterC'' Data'!B$4:M$8,12,FALSE))</f>
        <v/>
      </c>
      <c r="AV178" s="15" t="str">
        <f t="shared" si="26"/>
        <v/>
      </c>
    </row>
    <row r="179" spans="3:48" ht="14" x14ac:dyDescent="0.3">
      <c r="C179" s="92">
        <v>170</v>
      </c>
      <c r="D179" s="271"/>
      <c r="E179" s="120"/>
      <c r="F179" s="290" t="str">
        <f>IF(D179="","",VLOOKUP(D179,'G-7 WaterC'' Data'!$B$2:$G$8,2,FALSE))</f>
        <v/>
      </c>
      <c r="G179" s="291" t="str">
        <f>IFERROR(VLOOKUP(F179,'G-7 WaterC'' Data'!$C$4:$D$8,2,FALSE),"")</f>
        <v/>
      </c>
      <c r="H179" s="38"/>
      <c r="I179" s="291" t="str">
        <f>IFERROR(INDEX('G-7 WaterC'' Data'!$H$4:$L$8,MATCH(D179,'G-7 WaterC'' Data'!$B$4:$B$8,0),MATCH(H179,'G-7 WaterC'' Data'!$H$3:$L$3,0)),"")</f>
        <v/>
      </c>
      <c r="J179" s="777"/>
      <c r="K179" s="325" t="str">
        <f>IF(J179="","",IF(VLOOKUP(J179,'G-7 WaterC'' Data'!$AK$4:$AM$6,2,FALSE)=0,"Spatial Data Missing ⚠",VLOOKUP(J179,'G-7 WaterC'' Data'!$AK$4:$AM$6,2,FALSE)))</f>
        <v/>
      </c>
      <c r="L179" s="296" t="str">
        <f>IF(J179="","",IF(VLOOKUP(J179,'G-7 WaterC'' Data'!$AK$4:$AM$9,3,FALSE)=0,"Spatial Data Missing ⚠",VLOOKUP(J179,'G-7 WaterC'' Data'!$AK$4:$AM$6,3,FALSE)))</f>
        <v/>
      </c>
      <c r="M179" s="38"/>
      <c r="N179" s="291" t="str">
        <f>IF(M179="","",IF(AND(D179&lt;&gt;"Culvert",M179="N/A - Culvert"),"Not possible ▲",IF(AND(D179="Culvert",M179&lt;&gt;"N/A - Culvert"),"Not possible ▲",IF(VLOOKUP(M179,'G-7 WaterC'' Data'!$AA$4:$AB$7,2,FALSE)=0,"Spatial Data Missing ⚠",VLOOKUP(M179,'G-7 WaterC'' Data'!$AA$4:$AB$7,2,FALSE)))))</f>
        <v/>
      </c>
      <c r="O179" s="44"/>
      <c r="P179" s="291" t="str">
        <f>IF(O179="","",IF(AND(O179="N/A - Culvert", D179&lt;&gt;"Culvert"),"Not possible ▲", IF(AND(D179="Culvert",O179&lt;&gt;"N/A - Culvert"),"Not possible ▲",IF(VLOOKUP(O179,'G-7 WaterC'' Data'!$AD$4:$AE$14,2,FALSE)=0,"Spatial Data Missing ⚠",VLOOKUP(O179,'G-7 WaterC'' Data'!$AD$4:$AE$14,2,FALSE)))))</f>
        <v/>
      </c>
      <c r="Q179" s="297" t="str">
        <f>IF(D179="","",VLOOKUP(D179,'G-7 WaterC'' Data'!$B$2:$G$8,6,FALSE))</f>
        <v/>
      </c>
      <c r="R179" s="304" t="str">
        <f>IFERROR(IF(AND(Q179='G-1 All Habitats'!$X$3, AE179&gt;0, U179&lt;=0, V179&lt;=0, OR(AA179="No", AA179="")),"Any Loss Unacceptable ⚠", (IF(AND(Q179='G-1 All Habitats'!$X$3, AE179&gt;0, U179&lt;=0, V179&lt;=0, AA179="Yes"), 0, (IF(AND(Q179='G-1 All Habitats'!$X$3,(U179+V179)&lt;E179, OR(AA179="No", AA179="")),"Any Loss Unacceptable ⚠", (IF(AND(Q179='G-1 All Habitats'!$X$3,(U179+V179)&gt;E179), E179*G179*I179*L179*N179*P179, (IF(Q179="","",IF(AND(Q179='G-1 All Habitats'!$X$3,V179&gt;0),W179+X179,IF(AND(Q179='G-1 All Habitats'!$X$3,U179&gt;0), W179+X179, IF(AND(S179="Yes", V179&gt;(E179-U179)),(E179-U179)*G179*I179*L179*N179*P179, IF(AND(S179="Yes", V179&lt;=(E179-U179)), X179, E179*G179*I179*L179*N179*P179 ))))))))))))),"Check Data ▲")</f>
        <v/>
      </c>
      <c r="S179" s="671" t="str">
        <f t="shared" si="18"/>
        <v/>
      </c>
      <c r="T179" s="17"/>
      <c r="U179" s="95"/>
      <c r="V179" s="106"/>
      <c r="W179" s="302" t="str">
        <f t="shared" si="19"/>
        <v/>
      </c>
      <c r="X179" s="302" t="str">
        <f t="shared" si="20"/>
        <v/>
      </c>
      <c r="Y179" s="302" t="str">
        <f t="shared" si="21"/>
        <v/>
      </c>
      <c r="Z179" s="471" t="str">
        <f t="shared" si="22"/>
        <v/>
      </c>
      <c r="AA179" s="488"/>
      <c r="AB179" s="486"/>
      <c r="AC179" s="101"/>
      <c r="AD179" s="101"/>
      <c r="AE179" s="41" t="str">
        <f>IF(OR(Q179="",AA179="Yes"),"",IF(Q179='G-1 All Habitats'!$X$3,E179-U179-V179,"None"))</f>
        <v/>
      </c>
      <c r="AF179" s="42" t="str">
        <f>IF(Q179="","", IF(Q179='G-1 All Habitats'!$X$3, AE179*G179*I179*L179*N179*P179,"None"))</f>
        <v/>
      </c>
      <c r="AI179" s="15">
        <f t="shared" si="23"/>
        <v>0</v>
      </c>
      <c r="AJ179" s="105" t="str">
        <f t="shared" si="24"/>
        <v/>
      </c>
      <c r="AK179" s="105" t="str">
        <f t="shared" si="25"/>
        <v/>
      </c>
      <c r="AM179" s="105">
        <v>170</v>
      </c>
      <c r="AO179" s="105" t="str">
        <f t="array" ref="AO179">IFERROR(INDEX($AM$10:$AM$258, MATCH(0, IF(TRUE=$AJ$10:$AJ$258, COUNTIF($AO$9:$AO178, $AM$10:$AM$258), ""), 0)),"")</f>
        <v/>
      </c>
      <c r="AP179" s="105" t="str">
        <f t="array" ref="AP179">IFERROR(INDEX($AM$10:$AM$258, MATCH(0, IF(TRUE=$AK$10:$AK$258, COUNTIF($AP$9:$AP178, $AM$10:$AM$258), ""), 0)),"")</f>
        <v/>
      </c>
      <c r="AR179" s="15" t="str">
        <f>IFERROR(INDEX('G-7 WaterC'' Data'!$AZ$3:$AZ$7,MATCH(D179,'G-7 WaterC'' Data'!$AY$3:$AY$7,0)),"")</f>
        <v/>
      </c>
      <c r="AS179" s="15" t="str">
        <f>IFERROR(INDEX('G-7 WaterC'' Data'!AZ179:AZ183,MATCH(D179,'G-7 WaterC'' Data'!$AY$10:$AY$14,0)),"")</f>
        <v/>
      </c>
      <c r="AU179" s="15" t="str">
        <f>IF(D179="","",VLOOKUP(D179,'G-7 WaterC'' Data'!B$4:M$8,12,FALSE))</f>
        <v/>
      </c>
      <c r="AV179" s="15" t="str">
        <f t="shared" si="26"/>
        <v/>
      </c>
    </row>
    <row r="180" spans="3:48" ht="14" x14ac:dyDescent="0.3">
      <c r="C180" s="92">
        <v>171</v>
      </c>
      <c r="D180" s="271"/>
      <c r="E180" s="120"/>
      <c r="F180" s="290" t="str">
        <f>IF(D180="","",VLOOKUP(D180,'G-7 WaterC'' Data'!$B$2:$G$8,2,FALSE))</f>
        <v/>
      </c>
      <c r="G180" s="291" t="str">
        <f>IFERROR(VLOOKUP(F180,'G-7 WaterC'' Data'!$C$4:$D$8,2,FALSE),"")</f>
        <v/>
      </c>
      <c r="H180" s="38"/>
      <c r="I180" s="291" t="str">
        <f>IFERROR(INDEX('G-7 WaterC'' Data'!$H$4:$L$8,MATCH(D180,'G-7 WaterC'' Data'!$B$4:$B$8,0),MATCH(H180,'G-7 WaterC'' Data'!$H$3:$L$3,0)),"")</f>
        <v/>
      </c>
      <c r="J180" s="777"/>
      <c r="K180" s="325" t="str">
        <f>IF(J180="","",IF(VLOOKUP(J180,'G-7 WaterC'' Data'!$AK$4:$AM$6,2,FALSE)=0,"Spatial Data Missing ⚠",VLOOKUP(J180,'G-7 WaterC'' Data'!$AK$4:$AM$6,2,FALSE)))</f>
        <v/>
      </c>
      <c r="L180" s="296" t="str">
        <f>IF(J180="","",IF(VLOOKUP(J180,'G-7 WaterC'' Data'!$AK$4:$AM$9,3,FALSE)=0,"Spatial Data Missing ⚠",VLOOKUP(J180,'G-7 WaterC'' Data'!$AK$4:$AM$6,3,FALSE)))</f>
        <v/>
      </c>
      <c r="M180" s="38"/>
      <c r="N180" s="291" t="str">
        <f>IF(M180="","",IF(AND(D180&lt;&gt;"Culvert",M180="N/A - Culvert"),"Not possible ▲",IF(AND(D180="Culvert",M180&lt;&gt;"N/A - Culvert"),"Not possible ▲",IF(VLOOKUP(M180,'G-7 WaterC'' Data'!$AA$4:$AB$7,2,FALSE)=0,"Spatial Data Missing ⚠",VLOOKUP(M180,'G-7 WaterC'' Data'!$AA$4:$AB$7,2,FALSE)))))</f>
        <v/>
      </c>
      <c r="O180" s="44"/>
      <c r="P180" s="291" t="str">
        <f>IF(O180="","",IF(AND(O180="N/A - Culvert", D180&lt;&gt;"Culvert"),"Not possible ▲", IF(AND(D180="Culvert",O180&lt;&gt;"N/A - Culvert"),"Not possible ▲",IF(VLOOKUP(O180,'G-7 WaterC'' Data'!$AD$4:$AE$14,2,FALSE)=0,"Spatial Data Missing ⚠",VLOOKUP(O180,'G-7 WaterC'' Data'!$AD$4:$AE$14,2,FALSE)))))</f>
        <v/>
      </c>
      <c r="Q180" s="297" t="str">
        <f>IF(D180="","",VLOOKUP(D180,'G-7 WaterC'' Data'!$B$2:$G$8,6,FALSE))</f>
        <v/>
      </c>
      <c r="R180" s="304" t="str">
        <f>IFERROR(IF(AND(Q180='G-1 All Habitats'!$X$3, AE180&gt;0, U180&lt;=0, V180&lt;=0, OR(AA180="No", AA180="")),"Any Loss Unacceptable ⚠", (IF(AND(Q180='G-1 All Habitats'!$X$3, AE180&gt;0, U180&lt;=0, V180&lt;=0, AA180="Yes"), 0, (IF(AND(Q180='G-1 All Habitats'!$X$3,(U180+V180)&lt;E180, OR(AA180="No", AA180="")),"Any Loss Unacceptable ⚠", (IF(AND(Q180='G-1 All Habitats'!$X$3,(U180+V180)&gt;E180), E180*G180*I180*L180*N180*P180, (IF(Q180="","",IF(AND(Q180='G-1 All Habitats'!$X$3,V180&gt;0),W180+X180,IF(AND(Q180='G-1 All Habitats'!$X$3,U180&gt;0), W180+X180, IF(AND(S180="Yes", V180&gt;(E180-U180)),(E180-U180)*G180*I180*L180*N180*P180, IF(AND(S180="Yes", V180&lt;=(E180-U180)), X180, E180*G180*I180*L180*N180*P180 ))))))))))))),"Check Data ▲")</f>
        <v/>
      </c>
      <c r="S180" s="671" t="str">
        <f t="shared" si="18"/>
        <v/>
      </c>
      <c r="T180" s="17"/>
      <c r="U180" s="95"/>
      <c r="V180" s="106"/>
      <c r="W180" s="302" t="str">
        <f t="shared" si="19"/>
        <v/>
      </c>
      <c r="X180" s="302" t="str">
        <f t="shared" si="20"/>
        <v/>
      </c>
      <c r="Y180" s="302" t="str">
        <f t="shared" si="21"/>
        <v/>
      </c>
      <c r="Z180" s="471" t="str">
        <f t="shared" si="22"/>
        <v/>
      </c>
      <c r="AA180" s="488"/>
      <c r="AB180" s="486"/>
      <c r="AC180" s="101"/>
      <c r="AD180" s="101"/>
      <c r="AE180" s="41" t="str">
        <f>IF(OR(Q180="",AA180="Yes"),"",IF(Q180='G-1 All Habitats'!$X$3,E180-U180-V180,"None"))</f>
        <v/>
      </c>
      <c r="AF180" s="42" t="str">
        <f>IF(Q180="","", IF(Q180='G-1 All Habitats'!$X$3, AE180*G180*I180*L180*N180*P180,"None"))</f>
        <v/>
      </c>
      <c r="AI180" s="15">
        <f t="shared" si="23"/>
        <v>0</v>
      </c>
      <c r="AJ180" s="105" t="str">
        <f t="shared" si="24"/>
        <v/>
      </c>
      <c r="AK180" s="105" t="str">
        <f t="shared" si="25"/>
        <v/>
      </c>
      <c r="AM180" s="105">
        <v>171</v>
      </c>
      <c r="AO180" s="105" t="str">
        <f t="array" ref="AO180">IFERROR(INDEX($AM$10:$AM$258, MATCH(0, IF(TRUE=$AJ$10:$AJ$258, COUNTIF($AO$9:$AO179, $AM$10:$AM$258), ""), 0)),"")</f>
        <v/>
      </c>
      <c r="AP180" s="105" t="str">
        <f t="array" ref="AP180">IFERROR(INDEX($AM$10:$AM$258, MATCH(0, IF(TRUE=$AK$10:$AK$258, COUNTIF($AP$9:$AP179, $AM$10:$AM$258), ""), 0)),"")</f>
        <v/>
      </c>
      <c r="AR180" s="15" t="str">
        <f>IFERROR(INDEX('G-7 WaterC'' Data'!$AZ$3:$AZ$7,MATCH(D180,'G-7 WaterC'' Data'!$AY$3:$AY$7,0)),"")</f>
        <v/>
      </c>
      <c r="AS180" s="15" t="str">
        <f>IFERROR(INDEX('G-7 WaterC'' Data'!AZ180:AZ184,MATCH(D180,'G-7 WaterC'' Data'!$AY$10:$AY$14,0)),"")</f>
        <v/>
      </c>
      <c r="AU180" s="15" t="str">
        <f>IF(D180="","",VLOOKUP(D180,'G-7 WaterC'' Data'!B$4:M$8,12,FALSE))</f>
        <v/>
      </c>
      <c r="AV180" s="15" t="str">
        <f t="shared" si="26"/>
        <v/>
      </c>
    </row>
    <row r="181" spans="3:48" ht="14" x14ac:dyDescent="0.3">
      <c r="C181" s="92">
        <v>172</v>
      </c>
      <c r="D181" s="271"/>
      <c r="E181" s="120"/>
      <c r="F181" s="290" t="str">
        <f>IF(D181="","",VLOOKUP(D181,'G-7 WaterC'' Data'!$B$2:$G$8,2,FALSE))</f>
        <v/>
      </c>
      <c r="G181" s="291" t="str">
        <f>IFERROR(VLOOKUP(F181,'G-7 WaterC'' Data'!$C$4:$D$8,2,FALSE),"")</f>
        <v/>
      </c>
      <c r="H181" s="38"/>
      <c r="I181" s="291" t="str">
        <f>IFERROR(INDEX('G-7 WaterC'' Data'!$H$4:$L$8,MATCH(D181,'G-7 WaterC'' Data'!$B$4:$B$8,0),MATCH(H181,'G-7 WaterC'' Data'!$H$3:$L$3,0)),"")</f>
        <v/>
      </c>
      <c r="J181" s="777"/>
      <c r="K181" s="325" t="str">
        <f>IF(J181="","",IF(VLOOKUP(J181,'G-7 WaterC'' Data'!$AK$4:$AM$6,2,FALSE)=0,"Spatial Data Missing ⚠",VLOOKUP(J181,'G-7 WaterC'' Data'!$AK$4:$AM$6,2,FALSE)))</f>
        <v/>
      </c>
      <c r="L181" s="296" t="str">
        <f>IF(J181="","",IF(VLOOKUP(J181,'G-7 WaterC'' Data'!$AK$4:$AM$9,3,FALSE)=0,"Spatial Data Missing ⚠",VLOOKUP(J181,'G-7 WaterC'' Data'!$AK$4:$AM$6,3,FALSE)))</f>
        <v/>
      </c>
      <c r="M181" s="38"/>
      <c r="N181" s="291" t="str">
        <f>IF(M181="","",IF(AND(D181&lt;&gt;"Culvert",M181="N/A - Culvert"),"Not possible ▲",IF(AND(D181="Culvert",M181&lt;&gt;"N/A - Culvert"),"Not possible ▲",IF(VLOOKUP(M181,'G-7 WaterC'' Data'!$AA$4:$AB$7,2,FALSE)=0,"Spatial Data Missing ⚠",VLOOKUP(M181,'G-7 WaterC'' Data'!$AA$4:$AB$7,2,FALSE)))))</f>
        <v/>
      </c>
      <c r="O181" s="44"/>
      <c r="P181" s="291" t="str">
        <f>IF(O181="","",IF(AND(O181="N/A - Culvert", D181&lt;&gt;"Culvert"),"Not possible ▲", IF(AND(D181="Culvert",O181&lt;&gt;"N/A - Culvert"),"Not possible ▲",IF(VLOOKUP(O181,'G-7 WaterC'' Data'!$AD$4:$AE$14,2,FALSE)=0,"Spatial Data Missing ⚠",VLOOKUP(O181,'G-7 WaterC'' Data'!$AD$4:$AE$14,2,FALSE)))))</f>
        <v/>
      </c>
      <c r="Q181" s="297" t="str">
        <f>IF(D181="","",VLOOKUP(D181,'G-7 WaterC'' Data'!$B$2:$G$8,6,FALSE))</f>
        <v/>
      </c>
      <c r="R181" s="304" t="str">
        <f>IFERROR(IF(AND(Q181='G-1 All Habitats'!$X$3, AE181&gt;0, U181&lt;=0, V181&lt;=0, OR(AA181="No", AA181="")),"Any Loss Unacceptable ⚠", (IF(AND(Q181='G-1 All Habitats'!$X$3, AE181&gt;0, U181&lt;=0, V181&lt;=0, AA181="Yes"), 0, (IF(AND(Q181='G-1 All Habitats'!$X$3,(U181+V181)&lt;E181, OR(AA181="No", AA181="")),"Any Loss Unacceptable ⚠", (IF(AND(Q181='G-1 All Habitats'!$X$3,(U181+V181)&gt;E181), E181*G181*I181*L181*N181*P181, (IF(Q181="","",IF(AND(Q181='G-1 All Habitats'!$X$3,V181&gt;0),W181+X181,IF(AND(Q181='G-1 All Habitats'!$X$3,U181&gt;0), W181+X181, IF(AND(S181="Yes", V181&gt;(E181-U181)),(E181-U181)*G181*I181*L181*N181*P181, IF(AND(S181="Yes", V181&lt;=(E181-U181)), X181, E181*G181*I181*L181*N181*P181 ))))))))))))),"Check Data ▲")</f>
        <v/>
      </c>
      <c r="S181" s="671" t="str">
        <f t="shared" si="18"/>
        <v/>
      </c>
      <c r="T181" s="17"/>
      <c r="U181" s="95"/>
      <c r="V181" s="106"/>
      <c r="W181" s="302" t="str">
        <f t="shared" si="19"/>
        <v/>
      </c>
      <c r="X181" s="302" t="str">
        <f t="shared" si="20"/>
        <v/>
      </c>
      <c r="Y181" s="302" t="str">
        <f t="shared" si="21"/>
        <v/>
      </c>
      <c r="Z181" s="471" t="str">
        <f t="shared" si="22"/>
        <v/>
      </c>
      <c r="AA181" s="488"/>
      <c r="AB181" s="486"/>
      <c r="AC181" s="101"/>
      <c r="AD181" s="101"/>
      <c r="AE181" s="41" t="str">
        <f>IF(OR(Q181="",AA181="Yes"),"",IF(Q181='G-1 All Habitats'!$X$3,E181-U181-V181,"None"))</f>
        <v/>
      </c>
      <c r="AF181" s="42" t="str">
        <f>IF(Q181="","", IF(Q181='G-1 All Habitats'!$X$3, AE181*G181*I181*L181*N181*P181,"None"))</f>
        <v/>
      </c>
      <c r="AI181" s="15">
        <f t="shared" si="23"/>
        <v>0</v>
      </c>
      <c r="AJ181" s="105" t="str">
        <f t="shared" si="24"/>
        <v/>
      </c>
      <c r="AK181" s="105" t="str">
        <f t="shared" si="25"/>
        <v/>
      </c>
      <c r="AM181" s="105">
        <v>172</v>
      </c>
      <c r="AO181" s="105" t="str">
        <f t="array" ref="AO181">IFERROR(INDEX($AM$10:$AM$258, MATCH(0, IF(TRUE=$AJ$10:$AJ$258, COUNTIF($AO$9:$AO180, $AM$10:$AM$258), ""), 0)),"")</f>
        <v/>
      </c>
      <c r="AP181" s="105" t="str">
        <f t="array" ref="AP181">IFERROR(INDEX($AM$10:$AM$258, MATCH(0, IF(TRUE=$AK$10:$AK$258, COUNTIF($AP$9:$AP180, $AM$10:$AM$258), ""), 0)),"")</f>
        <v/>
      </c>
      <c r="AR181" s="15" t="str">
        <f>IFERROR(INDEX('G-7 WaterC'' Data'!$AZ$3:$AZ$7,MATCH(D181,'G-7 WaterC'' Data'!$AY$3:$AY$7,0)),"")</f>
        <v/>
      </c>
      <c r="AS181" s="15" t="str">
        <f>IFERROR(INDEX('G-7 WaterC'' Data'!AZ181:AZ185,MATCH(D181,'G-7 WaterC'' Data'!$AY$10:$AY$14,0)),"")</f>
        <v/>
      </c>
      <c r="AU181" s="15" t="str">
        <f>IF(D181="","",VLOOKUP(D181,'G-7 WaterC'' Data'!B$4:M$8,12,FALSE))</f>
        <v/>
      </c>
      <c r="AV181" s="15" t="str">
        <f t="shared" si="26"/>
        <v/>
      </c>
    </row>
    <row r="182" spans="3:48" ht="14" x14ac:dyDescent="0.3">
      <c r="C182" s="92">
        <v>173</v>
      </c>
      <c r="D182" s="271"/>
      <c r="E182" s="120"/>
      <c r="F182" s="290" t="str">
        <f>IF(D182="","",VLOOKUP(D182,'G-7 WaterC'' Data'!$B$2:$G$8,2,FALSE))</f>
        <v/>
      </c>
      <c r="G182" s="291" t="str">
        <f>IFERROR(VLOOKUP(F182,'G-7 WaterC'' Data'!$C$4:$D$8,2,FALSE),"")</f>
        <v/>
      </c>
      <c r="H182" s="38"/>
      <c r="I182" s="291" t="str">
        <f>IFERROR(INDEX('G-7 WaterC'' Data'!$H$4:$L$8,MATCH(D182,'G-7 WaterC'' Data'!$B$4:$B$8,0),MATCH(H182,'G-7 WaterC'' Data'!$H$3:$L$3,0)),"")</f>
        <v/>
      </c>
      <c r="J182" s="777"/>
      <c r="K182" s="325" t="str">
        <f>IF(J182="","",IF(VLOOKUP(J182,'G-7 WaterC'' Data'!$AK$4:$AM$6,2,FALSE)=0,"Spatial Data Missing ⚠",VLOOKUP(J182,'G-7 WaterC'' Data'!$AK$4:$AM$6,2,FALSE)))</f>
        <v/>
      </c>
      <c r="L182" s="296" t="str">
        <f>IF(J182="","",IF(VLOOKUP(J182,'G-7 WaterC'' Data'!$AK$4:$AM$9,3,FALSE)=0,"Spatial Data Missing ⚠",VLOOKUP(J182,'G-7 WaterC'' Data'!$AK$4:$AM$6,3,FALSE)))</f>
        <v/>
      </c>
      <c r="M182" s="38"/>
      <c r="N182" s="291" t="str">
        <f>IF(M182="","",IF(AND(D182&lt;&gt;"Culvert",M182="N/A - Culvert"),"Not possible ▲",IF(AND(D182="Culvert",M182&lt;&gt;"N/A - Culvert"),"Not possible ▲",IF(VLOOKUP(M182,'G-7 WaterC'' Data'!$AA$4:$AB$7,2,FALSE)=0,"Spatial Data Missing ⚠",VLOOKUP(M182,'G-7 WaterC'' Data'!$AA$4:$AB$7,2,FALSE)))))</f>
        <v/>
      </c>
      <c r="O182" s="44"/>
      <c r="P182" s="291" t="str">
        <f>IF(O182="","",IF(AND(O182="N/A - Culvert", D182&lt;&gt;"Culvert"),"Not possible ▲", IF(AND(D182="Culvert",O182&lt;&gt;"N/A - Culvert"),"Not possible ▲",IF(VLOOKUP(O182,'G-7 WaterC'' Data'!$AD$4:$AE$14,2,FALSE)=0,"Spatial Data Missing ⚠",VLOOKUP(O182,'G-7 WaterC'' Data'!$AD$4:$AE$14,2,FALSE)))))</f>
        <v/>
      </c>
      <c r="Q182" s="297" t="str">
        <f>IF(D182="","",VLOOKUP(D182,'G-7 WaterC'' Data'!$B$2:$G$8,6,FALSE))</f>
        <v/>
      </c>
      <c r="R182" s="304" t="str">
        <f>IFERROR(IF(AND(Q182='G-1 All Habitats'!$X$3, AE182&gt;0, U182&lt;=0, V182&lt;=0, OR(AA182="No", AA182="")),"Any Loss Unacceptable ⚠", (IF(AND(Q182='G-1 All Habitats'!$X$3, AE182&gt;0, U182&lt;=0, V182&lt;=0, AA182="Yes"), 0, (IF(AND(Q182='G-1 All Habitats'!$X$3,(U182+V182)&lt;E182, OR(AA182="No", AA182="")),"Any Loss Unacceptable ⚠", (IF(AND(Q182='G-1 All Habitats'!$X$3,(U182+V182)&gt;E182), E182*G182*I182*L182*N182*P182, (IF(Q182="","",IF(AND(Q182='G-1 All Habitats'!$X$3,V182&gt;0),W182+X182,IF(AND(Q182='G-1 All Habitats'!$X$3,U182&gt;0), W182+X182, IF(AND(S182="Yes", V182&gt;(E182-U182)),(E182-U182)*G182*I182*L182*N182*P182, IF(AND(S182="Yes", V182&lt;=(E182-U182)), X182, E182*G182*I182*L182*N182*P182 ))))))))))))),"Check Data ▲")</f>
        <v/>
      </c>
      <c r="S182" s="671" t="str">
        <f t="shared" si="18"/>
        <v/>
      </c>
      <c r="T182" s="17"/>
      <c r="U182" s="95"/>
      <c r="V182" s="106"/>
      <c r="W182" s="302" t="str">
        <f t="shared" si="19"/>
        <v/>
      </c>
      <c r="X182" s="302" t="str">
        <f t="shared" si="20"/>
        <v/>
      </c>
      <c r="Y182" s="302" t="str">
        <f t="shared" si="21"/>
        <v/>
      </c>
      <c r="Z182" s="471" t="str">
        <f t="shared" si="22"/>
        <v/>
      </c>
      <c r="AA182" s="488"/>
      <c r="AB182" s="486"/>
      <c r="AC182" s="101"/>
      <c r="AD182" s="101"/>
      <c r="AE182" s="41" t="str">
        <f>IF(OR(Q182="",AA182="Yes"),"",IF(Q182='G-1 All Habitats'!$X$3,E182-U182-V182,"None"))</f>
        <v/>
      </c>
      <c r="AF182" s="42" t="str">
        <f>IF(Q182="","", IF(Q182='G-1 All Habitats'!$X$3, AE182*G182*I182*L182*N182*P182,"None"))</f>
        <v/>
      </c>
      <c r="AI182" s="15">
        <f t="shared" si="23"/>
        <v>0</v>
      </c>
      <c r="AJ182" s="105" t="str">
        <f t="shared" si="24"/>
        <v/>
      </c>
      <c r="AK182" s="105" t="str">
        <f t="shared" si="25"/>
        <v/>
      </c>
      <c r="AM182" s="105">
        <v>173</v>
      </c>
      <c r="AO182" s="105" t="str">
        <f t="array" ref="AO182">IFERROR(INDEX($AM$10:$AM$258, MATCH(0, IF(TRUE=$AJ$10:$AJ$258, COUNTIF($AO$9:$AO181, $AM$10:$AM$258), ""), 0)),"")</f>
        <v/>
      </c>
      <c r="AP182" s="105" t="str">
        <f t="array" ref="AP182">IFERROR(INDEX($AM$10:$AM$258, MATCH(0, IF(TRUE=$AK$10:$AK$258, COUNTIF($AP$9:$AP181, $AM$10:$AM$258), ""), 0)),"")</f>
        <v/>
      </c>
      <c r="AR182" s="15" t="str">
        <f>IFERROR(INDEX('G-7 WaterC'' Data'!$AZ$3:$AZ$7,MATCH(D182,'G-7 WaterC'' Data'!$AY$3:$AY$7,0)),"")</f>
        <v/>
      </c>
      <c r="AS182" s="15" t="str">
        <f>IFERROR(INDEX('G-7 WaterC'' Data'!AZ182:AZ186,MATCH(D182,'G-7 WaterC'' Data'!$AY$10:$AY$14,0)),"")</f>
        <v/>
      </c>
      <c r="AU182" s="15" t="str">
        <f>IF(D182="","",VLOOKUP(D182,'G-7 WaterC'' Data'!B$4:M$8,12,FALSE))</f>
        <v/>
      </c>
      <c r="AV182" s="15" t="str">
        <f t="shared" si="26"/>
        <v/>
      </c>
    </row>
    <row r="183" spans="3:48" ht="14" x14ac:dyDescent="0.3">
      <c r="C183" s="92">
        <v>174</v>
      </c>
      <c r="D183" s="271"/>
      <c r="E183" s="120"/>
      <c r="F183" s="290" t="str">
        <f>IF(D183="","",VLOOKUP(D183,'G-7 WaterC'' Data'!$B$2:$G$8,2,FALSE))</f>
        <v/>
      </c>
      <c r="G183" s="291" t="str">
        <f>IFERROR(VLOOKUP(F183,'G-7 WaterC'' Data'!$C$4:$D$8,2,FALSE),"")</f>
        <v/>
      </c>
      <c r="H183" s="38"/>
      <c r="I183" s="291" t="str">
        <f>IFERROR(INDEX('G-7 WaterC'' Data'!$H$4:$L$8,MATCH(D183,'G-7 WaterC'' Data'!$B$4:$B$8,0),MATCH(H183,'G-7 WaterC'' Data'!$H$3:$L$3,0)),"")</f>
        <v/>
      </c>
      <c r="J183" s="777"/>
      <c r="K183" s="325" t="str">
        <f>IF(J183="","",IF(VLOOKUP(J183,'G-7 WaterC'' Data'!$AK$4:$AM$6,2,FALSE)=0,"Spatial Data Missing ⚠",VLOOKUP(J183,'G-7 WaterC'' Data'!$AK$4:$AM$6,2,FALSE)))</f>
        <v/>
      </c>
      <c r="L183" s="296" t="str">
        <f>IF(J183="","",IF(VLOOKUP(J183,'G-7 WaterC'' Data'!$AK$4:$AM$9,3,FALSE)=0,"Spatial Data Missing ⚠",VLOOKUP(J183,'G-7 WaterC'' Data'!$AK$4:$AM$6,3,FALSE)))</f>
        <v/>
      </c>
      <c r="M183" s="38"/>
      <c r="N183" s="291" t="str">
        <f>IF(M183="","",IF(AND(D183&lt;&gt;"Culvert",M183="N/A - Culvert"),"Not possible ▲",IF(AND(D183="Culvert",M183&lt;&gt;"N/A - Culvert"),"Not possible ▲",IF(VLOOKUP(M183,'G-7 WaterC'' Data'!$AA$4:$AB$7,2,FALSE)=0,"Spatial Data Missing ⚠",VLOOKUP(M183,'G-7 WaterC'' Data'!$AA$4:$AB$7,2,FALSE)))))</f>
        <v/>
      </c>
      <c r="O183" s="44"/>
      <c r="P183" s="291" t="str">
        <f>IF(O183="","",IF(AND(O183="N/A - Culvert", D183&lt;&gt;"Culvert"),"Not possible ▲", IF(AND(D183="Culvert",O183&lt;&gt;"N/A - Culvert"),"Not possible ▲",IF(VLOOKUP(O183,'G-7 WaterC'' Data'!$AD$4:$AE$14,2,FALSE)=0,"Spatial Data Missing ⚠",VLOOKUP(O183,'G-7 WaterC'' Data'!$AD$4:$AE$14,2,FALSE)))))</f>
        <v/>
      </c>
      <c r="Q183" s="297" t="str">
        <f>IF(D183="","",VLOOKUP(D183,'G-7 WaterC'' Data'!$B$2:$G$8,6,FALSE))</f>
        <v/>
      </c>
      <c r="R183" s="304" t="str">
        <f>IFERROR(IF(AND(Q183='G-1 All Habitats'!$X$3, AE183&gt;0, U183&lt;=0, V183&lt;=0, OR(AA183="No", AA183="")),"Any Loss Unacceptable ⚠", (IF(AND(Q183='G-1 All Habitats'!$X$3, AE183&gt;0, U183&lt;=0, V183&lt;=0, AA183="Yes"), 0, (IF(AND(Q183='G-1 All Habitats'!$X$3,(U183+V183)&lt;E183, OR(AA183="No", AA183="")),"Any Loss Unacceptable ⚠", (IF(AND(Q183='G-1 All Habitats'!$X$3,(U183+V183)&gt;E183), E183*G183*I183*L183*N183*P183, (IF(Q183="","",IF(AND(Q183='G-1 All Habitats'!$X$3,V183&gt;0),W183+X183,IF(AND(Q183='G-1 All Habitats'!$X$3,U183&gt;0), W183+X183, IF(AND(S183="Yes", V183&gt;(E183-U183)),(E183-U183)*G183*I183*L183*N183*P183, IF(AND(S183="Yes", V183&lt;=(E183-U183)), X183, E183*G183*I183*L183*N183*P183 ))))))))))))),"Check Data ▲")</f>
        <v/>
      </c>
      <c r="S183" s="671" t="str">
        <f t="shared" si="18"/>
        <v/>
      </c>
      <c r="T183" s="17"/>
      <c r="U183" s="95"/>
      <c r="V183" s="106"/>
      <c r="W183" s="302" t="str">
        <f t="shared" si="19"/>
        <v/>
      </c>
      <c r="X183" s="302" t="str">
        <f t="shared" si="20"/>
        <v/>
      </c>
      <c r="Y183" s="302" t="str">
        <f t="shared" si="21"/>
        <v/>
      </c>
      <c r="Z183" s="471" t="str">
        <f t="shared" si="22"/>
        <v/>
      </c>
      <c r="AA183" s="488"/>
      <c r="AB183" s="486"/>
      <c r="AC183" s="101"/>
      <c r="AD183" s="101"/>
      <c r="AE183" s="41" t="str">
        <f>IF(OR(Q183="",AA183="Yes"),"",IF(Q183='G-1 All Habitats'!$X$3,E183-U183-V183,"None"))</f>
        <v/>
      </c>
      <c r="AF183" s="42" t="str">
        <f>IF(Q183="","", IF(Q183='G-1 All Habitats'!$X$3, AE183*G183*I183*L183*N183*P183,"None"))</f>
        <v/>
      </c>
      <c r="AI183" s="15">
        <f t="shared" si="23"/>
        <v>0</v>
      </c>
      <c r="AJ183" s="105" t="str">
        <f t="shared" si="24"/>
        <v/>
      </c>
      <c r="AK183" s="105" t="str">
        <f t="shared" si="25"/>
        <v/>
      </c>
      <c r="AM183" s="105">
        <v>174</v>
      </c>
      <c r="AO183" s="105" t="str">
        <f t="array" ref="AO183">IFERROR(INDEX($AM$10:$AM$258, MATCH(0, IF(TRUE=$AJ$10:$AJ$258, COUNTIF($AO$9:$AO182, $AM$10:$AM$258), ""), 0)),"")</f>
        <v/>
      </c>
      <c r="AP183" s="105" t="str">
        <f t="array" ref="AP183">IFERROR(INDEX($AM$10:$AM$258, MATCH(0, IF(TRUE=$AK$10:$AK$258, COUNTIF($AP$9:$AP182, $AM$10:$AM$258), ""), 0)),"")</f>
        <v/>
      </c>
      <c r="AR183" s="15" t="str">
        <f>IFERROR(INDEX('G-7 WaterC'' Data'!$AZ$3:$AZ$7,MATCH(D183,'G-7 WaterC'' Data'!$AY$3:$AY$7,0)),"")</f>
        <v/>
      </c>
      <c r="AS183" s="15" t="str">
        <f>IFERROR(INDEX('G-7 WaterC'' Data'!AZ183:AZ187,MATCH(D183,'G-7 WaterC'' Data'!$AY$10:$AY$14,0)),"")</f>
        <v/>
      </c>
      <c r="AU183" s="15" t="str">
        <f>IF(D183="","",VLOOKUP(D183,'G-7 WaterC'' Data'!B$4:M$8,12,FALSE))</f>
        <v/>
      </c>
      <c r="AV183" s="15" t="str">
        <f t="shared" si="26"/>
        <v/>
      </c>
    </row>
    <row r="184" spans="3:48" ht="14" x14ac:dyDescent="0.3">
      <c r="C184" s="92">
        <v>175</v>
      </c>
      <c r="D184" s="271"/>
      <c r="E184" s="120"/>
      <c r="F184" s="290" t="str">
        <f>IF(D184="","",VLOOKUP(D184,'G-7 WaterC'' Data'!$B$2:$G$8,2,FALSE))</f>
        <v/>
      </c>
      <c r="G184" s="291" t="str">
        <f>IFERROR(VLOOKUP(F184,'G-7 WaterC'' Data'!$C$4:$D$8,2,FALSE),"")</f>
        <v/>
      </c>
      <c r="H184" s="38"/>
      <c r="I184" s="291" t="str">
        <f>IFERROR(INDEX('G-7 WaterC'' Data'!$H$4:$L$8,MATCH(D184,'G-7 WaterC'' Data'!$B$4:$B$8,0),MATCH(H184,'G-7 WaterC'' Data'!$H$3:$L$3,0)),"")</f>
        <v/>
      </c>
      <c r="J184" s="777"/>
      <c r="K184" s="325" t="str">
        <f>IF(J184="","",IF(VLOOKUP(J184,'G-7 WaterC'' Data'!$AK$4:$AM$6,2,FALSE)=0,"Spatial Data Missing ⚠",VLOOKUP(J184,'G-7 WaterC'' Data'!$AK$4:$AM$6,2,FALSE)))</f>
        <v/>
      </c>
      <c r="L184" s="296" t="str">
        <f>IF(J184="","",IF(VLOOKUP(J184,'G-7 WaterC'' Data'!$AK$4:$AM$9,3,FALSE)=0,"Spatial Data Missing ⚠",VLOOKUP(J184,'G-7 WaterC'' Data'!$AK$4:$AM$6,3,FALSE)))</f>
        <v/>
      </c>
      <c r="M184" s="38"/>
      <c r="N184" s="291" t="str">
        <f>IF(M184="","",IF(AND(D184&lt;&gt;"Culvert",M184="N/A - Culvert"),"Not possible ▲",IF(AND(D184="Culvert",M184&lt;&gt;"N/A - Culvert"),"Not possible ▲",IF(VLOOKUP(M184,'G-7 WaterC'' Data'!$AA$4:$AB$7,2,FALSE)=0,"Spatial Data Missing ⚠",VLOOKUP(M184,'G-7 WaterC'' Data'!$AA$4:$AB$7,2,FALSE)))))</f>
        <v/>
      </c>
      <c r="O184" s="44"/>
      <c r="P184" s="291" t="str">
        <f>IF(O184="","",IF(AND(O184="N/A - Culvert", D184&lt;&gt;"Culvert"),"Not possible ▲", IF(AND(D184="Culvert",O184&lt;&gt;"N/A - Culvert"),"Not possible ▲",IF(VLOOKUP(O184,'G-7 WaterC'' Data'!$AD$4:$AE$14,2,FALSE)=0,"Spatial Data Missing ⚠",VLOOKUP(O184,'G-7 WaterC'' Data'!$AD$4:$AE$14,2,FALSE)))))</f>
        <v/>
      </c>
      <c r="Q184" s="297" t="str">
        <f>IF(D184="","",VLOOKUP(D184,'G-7 WaterC'' Data'!$B$2:$G$8,6,FALSE))</f>
        <v/>
      </c>
      <c r="R184" s="304" t="str">
        <f>IFERROR(IF(AND(Q184='G-1 All Habitats'!$X$3, AE184&gt;0, U184&lt;=0, V184&lt;=0, OR(AA184="No", AA184="")),"Any Loss Unacceptable ⚠", (IF(AND(Q184='G-1 All Habitats'!$X$3, AE184&gt;0, U184&lt;=0, V184&lt;=0, AA184="Yes"), 0, (IF(AND(Q184='G-1 All Habitats'!$X$3,(U184+V184)&lt;E184, OR(AA184="No", AA184="")),"Any Loss Unacceptable ⚠", (IF(AND(Q184='G-1 All Habitats'!$X$3,(U184+V184)&gt;E184), E184*G184*I184*L184*N184*P184, (IF(Q184="","",IF(AND(Q184='G-1 All Habitats'!$X$3,V184&gt;0),W184+X184,IF(AND(Q184='G-1 All Habitats'!$X$3,U184&gt;0), W184+X184, IF(AND(S184="Yes", V184&gt;(E184-U184)),(E184-U184)*G184*I184*L184*N184*P184, IF(AND(S184="Yes", V184&lt;=(E184-U184)), X184, E184*G184*I184*L184*N184*P184 ))))))))))))),"Check Data ▲")</f>
        <v/>
      </c>
      <c r="S184" s="671" t="str">
        <f t="shared" si="18"/>
        <v/>
      </c>
      <c r="T184" s="17"/>
      <c r="U184" s="95"/>
      <c r="V184" s="106"/>
      <c r="W184" s="302" t="str">
        <f t="shared" si="19"/>
        <v/>
      </c>
      <c r="X184" s="302" t="str">
        <f t="shared" si="20"/>
        <v/>
      </c>
      <c r="Y184" s="302" t="str">
        <f t="shared" si="21"/>
        <v/>
      </c>
      <c r="Z184" s="471" t="str">
        <f t="shared" si="22"/>
        <v/>
      </c>
      <c r="AA184" s="488"/>
      <c r="AB184" s="486"/>
      <c r="AC184" s="101"/>
      <c r="AD184" s="101"/>
      <c r="AE184" s="41" t="str">
        <f>IF(OR(Q184="",AA184="Yes"),"",IF(Q184='G-1 All Habitats'!$X$3,E184-U184-V184,"None"))</f>
        <v/>
      </c>
      <c r="AF184" s="42" t="str">
        <f>IF(Q184="","", IF(Q184='G-1 All Habitats'!$X$3, AE184*G184*I184*L184*N184*P184,"None"))</f>
        <v/>
      </c>
      <c r="AI184" s="15">
        <f t="shared" si="23"/>
        <v>0</v>
      </c>
      <c r="AJ184" s="105" t="str">
        <f t="shared" si="24"/>
        <v/>
      </c>
      <c r="AK184" s="105" t="str">
        <f t="shared" si="25"/>
        <v/>
      </c>
      <c r="AM184" s="105">
        <v>175</v>
      </c>
      <c r="AO184" s="105" t="str">
        <f t="array" ref="AO184">IFERROR(INDEX($AM$10:$AM$258, MATCH(0, IF(TRUE=$AJ$10:$AJ$258, COUNTIF($AO$9:$AO183, $AM$10:$AM$258), ""), 0)),"")</f>
        <v/>
      </c>
      <c r="AP184" s="105" t="str">
        <f t="array" ref="AP184">IFERROR(INDEX($AM$10:$AM$258, MATCH(0, IF(TRUE=$AK$10:$AK$258, COUNTIF($AP$9:$AP183, $AM$10:$AM$258), ""), 0)),"")</f>
        <v/>
      </c>
      <c r="AR184" s="15" t="str">
        <f>IFERROR(INDEX('G-7 WaterC'' Data'!$AZ$3:$AZ$7,MATCH(D184,'G-7 WaterC'' Data'!$AY$3:$AY$7,0)),"")</f>
        <v/>
      </c>
      <c r="AS184" s="15" t="str">
        <f>IFERROR(INDEX('G-7 WaterC'' Data'!AZ184:AZ188,MATCH(D184,'G-7 WaterC'' Data'!$AY$10:$AY$14,0)),"")</f>
        <v/>
      </c>
      <c r="AU184" s="15" t="str">
        <f>IF(D184="","",VLOOKUP(D184,'G-7 WaterC'' Data'!B$4:M$8,12,FALSE))</f>
        <v/>
      </c>
      <c r="AV184" s="15" t="str">
        <f t="shared" si="26"/>
        <v/>
      </c>
    </row>
    <row r="185" spans="3:48" ht="14" x14ac:dyDescent="0.3">
      <c r="C185" s="92">
        <v>176</v>
      </c>
      <c r="D185" s="271"/>
      <c r="E185" s="120"/>
      <c r="F185" s="290" t="str">
        <f>IF(D185="","",VLOOKUP(D185,'G-7 WaterC'' Data'!$B$2:$G$8,2,FALSE))</f>
        <v/>
      </c>
      <c r="G185" s="291" t="str">
        <f>IFERROR(VLOOKUP(F185,'G-7 WaterC'' Data'!$C$4:$D$8,2,FALSE),"")</f>
        <v/>
      </c>
      <c r="H185" s="38"/>
      <c r="I185" s="291" t="str">
        <f>IFERROR(INDEX('G-7 WaterC'' Data'!$H$4:$L$8,MATCH(D185,'G-7 WaterC'' Data'!$B$4:$B$8,0),MATCH(H185,'G-7 WaterC'' Data'!$H$3:$L$3,0)),"")</f>
        <v/>
      </c>
      <c r="J185" s="777"/>
      <c r="K185" s="325" t="str">
        <f>IF(J185="","",IF(VLOOKUP(J185,'G-7 WaterC'' Data'!$AK$4:$AM$6,2,FALSE)=0,"Spatial Data Missing ⚠",VLOOKUP(J185,'G-7 WaterC'' Data'!$AK$4:$AM$6,2,FALSE)))</f>
        <v/>
      </c>
      <c r="L185" s="296" t="str">
        <f>IF(J185="","",IF(VLOOKUP(J185,'G-7 WaterC'' Data'!$AK$4:$AM$9,3,FALSE)=0,"Spatial Data Missing ⚠",VLOOKUP(J185,'G-7 WaterC'' Data'!$AK$4:$AM$6,3,FALSE)))</f>
        <v/>
      </c>
      <c r="M185" s="38"/>
      <c r="N185" s="291" t="str">
        <f>IF(M185="","",IF(AND(D185&lt;&gt;"Culvert",M185="N/A - Culvert"),"Not possible ▲",IF(AND(D185="Culvert",M185&lt;&gt;"N/A - Culvert"),"Not possible ▲",IF(VLOOKUP(M185,'G-7 WaterC'' Data'!$AA$4:$AB$7,2,FALSE)=0,"Spatial Data Missing ⚠",VLOOKUP(M185,'G-7 WaterC'' Data'!$AA$4:$AB$7,2,FALSE)))))</f>
        <v/>
      </c>
      <c r="O185" s="44"/>
      <c r="P185" s="291" t="str">
        <f>IF(O185="","",IF(AND(O185="N/A - Culvert", D185&lt;&gt;"Culvert"),"Not possible ▲", IF(AND(D185="Culvert",O185&lt;&gt;"N/A - Culvert"),"Not possible ▲",IF(VLOOKUP(O185,'G-7 WaterC'' Data'!$AD$4:$AE$14,2,FALSE)=0,"Spatial Data Missing ⚠",VLOOKUP(O185,'G-7 WaterC'' Data'!$AD$4:$AE$14,2,FALSE)))))</f>
        <v/>
      </c>
      <c r="Q185" s="297" t="str">
        <f>IF(D185="","",VLOOKUP(D185,'G-7 WaterC'' Data'!$B$2:$G$8,6,FALSE))</f>
        <v/>
      </c>
      <c r="R185" s="304" t="str">
        <f>IFERROR(IF(AND(Q185='G-1 All Habitats'!$X$3, AE185&gt;0, U185&lt;=0, V185&lt;=0, OR(AA185="No", AA185="")),"Any Loss Unacceptable ⚠", (IF(AND(Q185='G-1 All Habitats'!$X$3, AE185&gt;0, U185&lt;=0, V185&lt;=0, AA185="Yes"), 0, (IF(AND(Q185='G-1 All Habitats'!$X$3,(U185+V185)&lt;E185, OR(AA185="No", AA185="")),"Any Loss Unacceptable ⚠", (IF(AND(Q185='G-1 All Habitats'!$X$3,(U185+V185)&gt;E185), E185*G185*I185*L185*N185*P185, (IF(Q185="","",IF(AND(Q185='G-1 All Habitats'!$X$3,V185&gt;0),W185+X185,IF(AND(Q185='G-1 All Habitats'!$X$3,U185&gt;0), W185+X185, IF(AND(S185="Yes", V185&gt;(E185-U185)),(E185-U185)*G185*I185*L185*N185*P185, IF(AND(S185="Yes", V185&lt;=(E185-U185)), X185, E185*G185*I185*L185*N185*P185 ))))))))))))),"Check Data ▲")</f>
        <v/>
      </c>
      <c r="S185" s="671" t="str">
        <f t="shared" si="18"/>
        <v/>
      </c>
      <c r="T185" s="17"/>
      <c r="U185" s="95"/>
      <c r="V185" s="106"/>
      <c r="W185" s="302" t="str">
        <f t="shared" si="19"/>
        <v/>
      </c>
      <c r="X185" s="302" t="str">
        <f t="shared" si="20"/>
        <v/>
      </c>
      <c r="Y185" s="302" t="str">
        <f t="shared" si="21"/>
        <v/>
      </c>
      <c r="Z185" s="471" t="str">
        <f t="shared" si="22"/>
        <v/>
      </c>
      <c r="AA185" s="488"/>
      <c r="AB185" s="486"/>
      <c r="AC185" s="101"/>
      <c r="AD185" s="101"/>
      <c r="AE185" s="41" t="str">
        <f>IF(OR(Q185="",AA185="Yes"),"",IF(Q185='G-1 All Habitats'!$X$3,E185-U185-V185,"None"))</f>
        <v/>
      </c>
      <c r="AF185" s="42" t="str">
        <f>IF(Q185="","", IF(Q185='G-1 All Habitats'!$X$3, AE185*G185*I185*L185*N185*P185,"None"))</f>
        <v/>
      </c>
      <c r="AI185" s="15">
        <f t="shared" si="23"/>
        <v>0</v>
      </c>
      <c r="AJ185" s="105" t="str">
        <f t="shared" si="24"/>
        <v/>
      </c>
      <c r="AK185" s="105" t="str">
        <f t="shared" si="25"/>
        <v/>
      </c>
      <c r="AM185" s="105">
        <v>176</v>
      </c>
      <c r="AO185" s="105" t="str">
        <f t="array" ref="AO185">IFERROR(INDEX($AM$10:$AM$258, MATCH(0, IF(TRUE=$AJ$10:$AJ$258, COUNTIF($AO$9:$AO184, $AM$10:$AM$258), ""), 0)),"")</f>
        <v/>
      </c>
      <c r="AP185" s="105" t="str">
        <f t="array" ref="AP185">IFERROR(INDEX($AM$10:$AM$258, MATCH(0, IF(TRUE=$AK$10:$AK$258, COUNTIF($AP$9:$AP184, $AM$10:$AM$258), ""), 0)),"")</f>
        <v/>
      </c>
      <c r="AR185" s="15" t="str">
        <f>IFERROR(INDEX('G-7 WaterC'' Data'!$AZ$3:$AZ$7,MATCH(D185,'G-7 WaterC'' Data'!$AY$3:$AY$7,0)),"")</f>
        <v/>
      </c>
      <c r="AS185" s="15" t="str">
        <f>IFERROR(INDEX('G-7 WaterC'' Data'!AZ185:AZ189,MATCH(D185,'G-7 WaterC'' Data'!$AY$10:$AY$14,0)),"")</f>
        <v/>
      </c>
      <c r="AU185" s="15" t="str">
        <f>IF(D185="","",VLOOKUP(D185,'G-7 WaterC'' Data'!B$4:M$8,12,FALSE))</f>
        <v/>
      </c>
      <c r="AV185" s="15" t="str">
        <f t="shared" si="26"/>
        <v/>
      </c>
    </row>
    <row r="186" spans="3:48" ht="14" x14ac:dyDescent="0.3">
      <c r="C186" s="92">
        <v>177</v>
      </c>
      <c r="D186" s="271"/>
      <c r="E186" s="120"/>
      <c r="F186" s="290" t="str">
        <f>IF(D186="","",VLOOKUP(D186,'G-7 WaterC'' Data'!$B$2:$G$8,2,FALSE))</f>
        <v/>
      </c>
      <c r="G186" s="291" t="str">
        <f>IFERROR(VLOOKUP(F186,'G-7 WaterC'' Data'!$C$4:$D$8,2,FALSE),"")</f>
        <v/>
      </c>
      <c r="H186" s="38"/>
      <c r="I186" s="291" t="str">
        <f>IFERROR(INDEX('G-7 WaterC'' Data'!$H$4:$L$8,MATCH(D186,'G-7 WaterC'' Data'!$B$4:$B$8,0),MATCH(H186,'G-7 WaterC'' Data'!$H$3:$L$3,0)),"")</f>
        <v/>
      </c>
      <c r="J186" s="777"/>
      <c r="K186" s="325" t="str">
        <f>IF(J186="","",IF(VLOOKUP(J186,'G-7 WaterC'' Data'!$AK$4:$AM$6,2,FALSE)=0,"Spatial Data Missing ⚠",VLOOKUP(J186,'G-7 WaterC'' Data'!$AK$4:$AM$6,2,FALSE)))</f>
        <v/>
      </c>
      <c r="L186" s="296" t="str">
        <f>IF(J186="","",IF(VLOOKUP(J186,'G-7 WaterC'' Data'!$AK$4:$AM$9,3,FALSE)=0,"Spatial Data Missing ⚠",VLOOKUP(J186,'G-7 WaterC'' Data'!$AK$4:$AM$6,3,FALSE)))</f>
        <v/>
      </c>
      <c r="M186" s="38"/>
      <c r="N186" s="291" t="str">
        <f>IF(M186="","",IF(AND(D186&lt;&gt;"Culvert",M186="N/A - Culvert"),"Not possible ▲",IF(AND(D186="Culvert",M186&lt;&gt;"N/A - Culvert"),"Not possible ▲",IF(VLOOKUP(M186,'G-7 WaterC'' Data'!$AA$4:$AB$7,2,FALSE)=0,"Spatial Data Missing ⚠",VLOOKUP(M186,'G-7 WaterC'' Data'!$AA$4:$AB$7,2,FALSE)))))</f>
        <v/>
      </c>
      <c r="O186" s="44"/>
      <c r="P186" s="291" t="str">
        <f>IF(O186="","",IF(AND(O186="N/A - Culvert", D186&lt;&gt;"Culvert"),"Not possible ▲", IF(AND(D186="Culvert",O186&lt;&gt;"N/A - Culvert"),"Not possible ▲",IF(VLOOKUP(O186,'G-7 WaterC'' Data'!$AD$4:$AE$14,2,FALSE)=0,"Spatial Data Missing ⚠",VLOOKUP(O186,'G-7 WaterC'' Data'!$AD$4:$AE$14,2,FALSE)))))</f>
        <v/>
      </c>
      <c r="Q186" s="297" t="str">
        <f>IF(D186="","",VLOOKUP(D186,'G-7 WaterC'' Data'!$B$2:$G$8,6,FALSE))</f>
        <v/>
      </c>
      <c r="R186" s="304" t="str">
        <f>IFERROR(IF(AND(Q186='G-1 All Habitats'!$X$3, AE186&gt;0, U186&lt;=0, V186&lt;=0, OR(AA186="No", AA186="")),"Any Loss Unacceptable ⚠", (IF(AND(Q186='G-1 All Habitats'!$X$3, AE186&gt;0, U186&lt;=0, V186&lt;=0, AA186="Yes"), 0, (IF(AND(Q186='G-1 All Habitats'!$X$3,(U186+V186)&lt;E186, OR(AA186="No", AA186="")),"Any Loss Unacceptable ⚠", (IF(AND(Q186='G-1 All Habitats'!$X$3,(U186+V186)&gt;E186), E186*G186*I186*L186*N186*P186, (IF(Q186="","",IF(AND(Q186='G-1 All Habitats'!$X$3,V186&gt;0),W186+X186,IF(AND(Q186='G-1 All Habitats'!$X$3,U186&gt;0), W186+X186, IF(AND(S186="Yes", V186&gt;(E186-U186)),(E186-U186)*G186*I186*L186*N186*P186, IF(AND(S186="Yes", V186&lt;=(E186-U186)), X186, E186*G186*I186*L186*N186*P186 ))))))))))))),"Check Data ▲")</f>
        <v/>
      </c>
      <c r="S186" s="671" t="str">
        <f t="shared" si="18"/>
        <v/>
      </c>
      <c r="T186" s="17"/>
      <c r="U186" s="95"/>
      <c r="V186" s="106"/>
      <c r="W186" s="302" t="str">
        <f t="shared" si="19"/>
        <v/>
      </c>
      <c r="X186" s="302" t="str">
        <f t="shared" si="20"/>
        <v/>
      </c>
      <c r="Y186" s="302" t="str">
        <f t="shared" si="21"/>
        <v/>
      </c>
      <c r="Z186" s="471" t="str">
        <f t="shared" si="22"/>
        <v/>
      </c>
      <c r="AA186" s="488"/>
      <c r="AB186" s="486"/>
      <c r="AC186" s="101"/>
      <c r="AD186" s="101"/>
      <c r="AE186" s="41" t="str">
        <f>IF(OR(Q186="",AA186="Yes"),"",IF(Q186='G-1 All Habitats'!$X$3,E186-U186-V186,"None"))</f>
        <v/>
      </c>
      <c r="AF186" s="42" t="str">
        <f>IF(Q186="","", IF(Q186='G-1 All Habitats'!$X$3, AE186*G186*I186*L186*N186*P186,"None"))</f>
        <v/>
      </c>
      <c r="AI186" s="15">
        <f t="shared" si="23"/>
        <v>0</v>
      </c>
      <c r="AJ186" s="105" t="str">
        <f t="shared" si="24"/>
        <v/>
      </c>
      <c r="AK186" s="105" t="str">
        <f t="shared" si="25"/>
        <v/>
      </c>
      <c r="AM186" s="105">
        <v>177</v>
      </c>
      <c r="AO186" s="105" t="str">
        <f t="array" ref="AO186">IFERROR(INDEX($AM$10:$AM$258, MATCH(0, IF(TRUE=$AJ$10:$AJ$258, COUNTIF($AO$9:$AO185, $AM$10:$AM$258), ""), 0)),"")</f>
        <v/>
      </c>
      <c r="AP186" s="105" t="str">
        <f t="array" ref="AP186">IFERROR(INDEX($AM$10:$AM$258, MATCH(0, IF(TRUE=$AK$10:$AK$258, COUNTIF($AP$9:$AP185, $AM$10:$AM$258), ""), 0)),"")</f>
        <v/>
      </c>
      <c r="AR186" s="15" t="str">
        <f>IFERROR(INDEX('G-7 WaterC'' Data'!$AZ$3:$AZ$7,MATCH(D186,'G-7 WaterC'' Data'!$AY$3:$AY$7,0)),"")</f>
        <v/>
      </c>
      <c r="AS186" s="15" t="str">
        <f>IFERROR(INDEX('G-7 WaterC'' Data'!AZ186:AZ190,MATCH(D186,'G-7 WaterC'' Data'!$AY$10:$AY$14,0)),"")</f>
        <v/>
      </c>
      <c r="AU186" s="15" t="str">
        <f>IF(D186="","",VLOOKUP(D186,'G-7 WaterC'' Data'!B$4:M$8,12,FALSE))</f>
        <v/>
      </c>
      <c r="AV186" s="15" t="str">
        <f t="shared" si="26"/>
        <v/>
      </c>
    </row>
    <row r="187" spans="3:48" ht="14" x14ac:dyDescent="0.3">
      <c r="C187" s="92">
        <v>178</v>
      </c>
      <c r="D187" s="271"/>
      <c r="E187" s="120"/>
      <c r="F187" s="290" t="str">
        <f>IF(D187="","",VLOOKUP(D187,'G-7 WaterC'' Data'!$B$2:$G$8,2,FALSE))</f>
        <v/>
      </c>
      <c r="G187" s="291" t="str">
        <f>IFERROR(VLOOKUP(F187,'G-7 WaterC'' Data'!$C$4:$D$8,2,FALSE),"")</f>
        <v/>
      </c>
      <c r="H187" s="38"/>
      <c r="I187" s="291" t="str">
        <f>IFERROR(INDEX('G-7 WaterC'' Data'!$H$4:$L$8,MATCH(D187,'G-7 WaterC'' Data'!$B$4:$B$8,0),MATCH(H187,'G-7 WaterC'' Data'!$H$3:$L$3,0)),"")</f>
        <v/>
      </c>
      <c r="J187" s="777"/>
      <c r="K187" s="325" t="str">
        <f>IF(J187="","",IF(VLOOKUP(J187,'G-7 WaterC'' Data'!$AK$4:$AM$6,2,FALSE)=0,"Spatial Data Missing ⚠",VLOOKUP(J187,'G-7 WaterC'' Data'!$AK$4:$AM$6,2,FALSE)))</f>
        <v/>
      </c>
      <c r="L187" s="296" t="str">
        <f>IF(J187="","",IF(VLOOKUP(J187,'G-7 WaterC'' Data'!$AK$4:$AM$9,3,FALSE)=0,"Spatial Data Missing ⚠",VLOOKUP(J187,'G-7 WaterC'' Data'!$AK$4:$AM$6,3,FALSE)))</f>
        <v/>
      </c>
      <c r="M187" s="38"/>
      <c r="N187" s="291" t="str">
        <f>IF(M187="","",IF(AND(D187&lt;&gt;"Culvert",M187="N/A - Culvert"),"Not possible ▲",IF(AND(D187="Culvert",M187&lt;&gt;"N/A - Culvert"),"Not possible ▲",IF(VLOOKUP(M187,'G-7 WaterC'' Data'!$AA$4:$AB$7,2,FALSE)=0,"Spatial Data Missing ⚠",VLOOKUP(M187,'G-7 WaterC'' Data'!$AA$4:$AB$7,2,FALSE)))))</f>
        <v/>
      </c>
      <c r="O187" s="44"/>
      <c r="P187" s="291" t="str">
        <f>IF(O187="","",IF(AND(O187="N/A - Culvert", D187&lt;&gt;"Culvert"),"Not possible ▲", IF(AND(D187="Culvert",O187&lt;&gt;"N/A - Culvert"),"Not possible ▲",IF(VLOOKUP(O187,'G-7 WaterC'' Data'!$AD$4:$AE$14,2,FALSE)=0,"Spatial Data Missing ⚠",VLOOKUP(O187,'G-7 WaterC'' Data'!$AD$4:$AE$14,2,FALSE)))))</f>
        <v/>
      </c>
      <c r="Q187" s="297" t="str">
        <f>IF(D187="","",VLOOKUP(D187,'G-7 WaterC'' Data'!$B$2:$G$8,6,FALSE))</f>
        <v/>
      </c>
      <c r="R187" s="304" t="str">
        <f>IFERROR(IF(AND(Q187='G-1 All Habitats'!$X$3, AE187&gt;0, U187&lt;=0, V187&lt;=0, OR(AA187="No", AA187="")),"Any Loss Unacceptable ⚠", (IF(AND(Q187='G-1 All Habitats'!$X$3, AE187&gt;0, U187&lt;=0, V187&lt;=0, AA187="Yes"), 0, (IF(AND(Q187='G-1 All Habitats'!$X$3,(U187+V187)&lt;E187, OR(AA187="No", AA187="")),"Any Loss Unacceptable ⚠", (IF(AND(Q187='G-1 All Habitats'!$X$3,(U187+V187)&gt;E187), E187*G187*I187*L187*N187*P187, (IF(Q187="","",IF(AND(Q187='G-1 All Habitats'!$X$3,V187&gt;0),W187+X187,IF(AND(Q187='G-1 All Habitats'!$X$3,U187&gt;0), W187+X187, IF(AND(S187="Yes", V187&gt;(E187-U187)),(E187-U187)*G187*I187*L187*N187*P187, IF(AND(S187="Yes", V187&lt;=(E187-U187)), X187, E187*G187*I187*L187*N187*P187 ))))))))))))),"Check Data ▲")</f>
        <v/>
      </c>
      <c r="S187" s="671" t="str">
        <f t="shared" si="18"/>
        <v/>
      </c>
      <c r="T187" s="17"/>
      <c r="U187" s="95"/>
      <c r="V187" s="106"/>
      <c r="W187" s="302" t="str">
        <f t="shared" si="19"/>
        <v/>
      </c>
      <c r="X187" s="302" t="str">
        <f t="shared" si="20"/>
        <v/>
      </c>
      <c r="Y187" s="302" t="str">
        <f t="shared" si="21"/>
        <v/>
      </c>
      <c r="Z187" s="471" t="str">
        <f t="shared" si="22"/>
        <v/>
      </c>
      <c r="AA187" s="488"/>
      <c r="AB187" s="486"/>
      <c r="AC187" s="101"/>
      <c r="AD187" s="101"/>
      <c r="AE187" s="41" t="str">
        <f>IF(OR(Q187="",AA187="Yes"),"",IF(Q187='G-1 All Habitats'!$X$3,E187-U187-V187,"None"))</f>
        <v/>
      </c>
      <c r="AF187" s="42" t="str">
        <f>IF(Q187="","", IF(Q187='G-1 All Habitats'!$X$3, AE187*G187*I187*L187*N187*P187,"None"))</f>
        <v/>
      </c>
      <c r="AI187" s="15">
        <f t="shared" si="23"/>
        <v>0</v>
      </c>
      <c r="AJ187" s="105" t="str">
        <f t="shared" si="24"/>
        <v/>
      </c>
      <c r="AK187" s="105" t="str">
        <f t="shared" si="25"/>
        <v/>
      </c>
      <c r="AM187" s="105">
        <v>178</v>
      </c>
      <c r="AO187" s="105" t="str">
        <f t="array" ref="AO187">IFERROR(INDEX($AM$10:$AM$258, MATCH(0, IF(TRUE=$AJ$10:$AJ$258, COUNTIF($AO$9:$AO186, $AM$10:$AM$258), ""), 0)),"")</f>
        <v/>
      </c>
      <c r="AP187" s="105" t="str">
        <f t="array" ref="AP187">IFERROR(INDEX($AM$10:$AM$258, MATCH(0, IF(TRUE=$AK$10:$AK$258, COUNTIF($AP$9:$AP186, $AM$10:$AM$258), ""), 0)),"")</f>
        <v/>
      </c>
      <c r="AR187" s="15" t="str">
        <f>IFERROR(INDEX('G-7 WaterC'' Data'!$AZ$3:$AZ$7,MATCH(D187,'G-7 WaterC'' Data'!$AY$3:$AY$7,0)),"")</f>
        <v/>
      </c>
      <c r="AS187" s="15" t="str">
        <f>IFERROR(INDEX('G-7 WaterC'' Data'!AZ187:AZ191,MATCH(D187,'G-7 WaterC'' Data'!$AY$10:$AY$14,0)),"")</f>
        <v/>
      </c>
      <c r="AU187" s="15" t="str">
        <f>IF(D187="","",VLOOKUP(D187,'G-7 WaterC'' Data'!B$4:M$8,12,FALSE))</f>
        <v/>
      </c>
      <c r="AV187" s="15" t="str">
        <f t="shared" si="26"/>
        <v/>
      </c>
    </row>
    <row r="188" spans="3:48" ht="14" x14ac:dyDescent="0.3">
      <c r="C188" s="92">
        <v>179</v>
      </c>
      <c r="D188" s="271"/>
      <c r="E188" s="120"/>
      <c r="F188" s="290" t="str">
        <f>IF(D188="","",VLOOKUP(D188,'G-7 WaterC'' Data'!$B$2:$G$8,2,FALSE))</f>
        <v/>
      </c>
      <c r="G188" s="291" t="str">
        <f>IFERROR(VLOOKUP(F188,'G-7 WaterC'' Data'!$C$4:$D$8,2,FALSE),"")</f>
        <v/>
      </c>
      <c r="H188" s="38"/>
      <c r="I188" s="291" t="str">
        <f>IFERROR(INDEX('G-7 WaterC'' Data'!$H$4:$L$8,MATCH(D188,'G-7 WaterC'' Data'!$B$4:$B$8,0),MATCH(H188,'G-7 WaterC'' Data'!$H$3:$L$3,0)),"")</f>
        <v/>
      </c>
      <c r="J188" s="777"/>
      <c r="K188" s="325" t="str">
        <f>IF(J188="","",IF(VLOOKUP(J188,'G-7 WaterC'' Data'!$AK$4:$AM$6,2,FALSE)=0,"Spatial Data Missing ⚠",VLOOKUP(J188,'G-7 WaterC'' Data'!$AK$4:$AM$6,2,FALSE)))</f>
        <v/>
      </c>
      <c r="L188" s="296" t="str">
        <f>IF(J188="","",IF(VLOOKUP(J188,'G-7 WaterC'' Data'!$AK$4:$AM$9,3,FALSE)=0,"Spatial Data Missing ⚠",VLOOKUP(J188,'G-7 WaterC'' Data'!$AK$4:$AM$6,3,FALSE)))</f>
        <v/>
      </c>
      <c r="M188" s="38"/>
      <c r="N188" s="291" t="str">
        <f>IF(M188="","",IF(AND(D188&lt;&gt;"Culvert",M188="N/A - Culvert"),"Not possible ▲",IF(AND(D188="Culvert",M188&lt;&gt;"N/A - Culvert"),"Not possible ▲",IF(VLOOKUP(M188,'G-7 WaterC'' Data'!$AA$4:$AB$7,2,FALSE)=0,"Spatial Data Missing ⚠",VLOOKUP(M188,'G-7 WaterC'' Data'!$AA$4:$AB$7,2,FALSE)))))</f>
        <v/>
      </c>
      <c r="O188" s="44"/>
      <c r="P188" s="291" t="str">
        <f>IF(O188="","",IF(AND(O188="N/A - Culvert", D188&lt;&gt;"Culvert"),"Not possible ▲", IF(AND(D188="Culvert",O188&lt;&gt;"N/A - Culvert"),"Not possible ▲",IF(VLOOKUP(O188,'G-7 WaterC'' Data'!$AD$4:$AE$14,2,FALSE)=0,"Spatial Data Missing ⚠",VLOOKUP(O188,'G-7 WaterC'' Data'!$AD$4:$AE$14,2,FALSE)))))</f>
        <v/>
      </c>
      <c r="Q188" s="297" t="str">
        <f>IF(D188="","",VLOOKUP(D188,'G-7 WaterC'' Data'!$B$2:$G$8,6,FALSE))</f>
        <v/>
      </c>
      <c r="R188" s="304" t="str">
        <f>IFERROR(IF(AND(Q188='G-1 All Habitats'!$X$3, AE188&gt;0, U188&lt;=0, V188&lt;=0, OR(AA188="No", AA188="")),"Any Loss Unacceptable ⚠", (IF(AND(Q188='G-1 All Habitats'!$X$3, AE188&gt;0, U188&lt;=0, V188&lt;=0, AA188="Yes"), 0, (IF(AND(Q188='G-1 All Habitats'!$X$3,(U188+V188)&lt;E188, OR(AA188="No", AA188="")),"Any Loss Unacceptable ⚠", (IF(AND(Q188='G-1 All Habitats'!$X$3,(U188+V188)&gt;E188), E188*G188*I188*L188*N188*P188, (IF(Q188="","",IF(AND(Q188='G-1 All Habitats'!$X$3,V188&gt;0),W188+X188,IF(AND(Q188='G-1 All Habitats'!$X$3,U188&gt;0), W188+X188, IF(AND(S188="Yes", V188&gt;(E188-U188)),(E188-U188)*G188*I188*L188*N188*P188, IF(AND(S188="Yes", V188&lt;=(E188-U188)), X188, E188*G188*I188*L188*N188*P188 ))))))))))))),"Check Data ▲")</f>
        <v/>
      </c>
      <c r="S188" s="671" t="str">
        <f t="shared" si="18"/>
        <v/>
      </c>
      <c r="T188" s="17"/>
      <c r="U188" s="95"/>
      <c r="V188" s="106"/>
      <c r="W188" s="302" t="str">
        <f t="shared" si="19"/>
        <v/>
      </c>
      <c r="X188" s="302" t="str">
        <f t="shared" si="20"/>
        <v/>
      </c>
      <c r="Y188" s="302" t="str">
        <f t="shared" si="21"/>
        <v/>
      </c>
      <c r="Z188" s="471" t="str">
        <f t="shared" si="22"/>
        <v/>
      </c>
      <c r="AA188" s="488"/>
      <c r="AB188" s="486"/>
      <c r="AC188" s="101"/>
      <c r="AD188" s="101"/>
      <c r="AE188" s="41" t="str">
        <f>IF(OR(Q188="",AA188="Yes"),"",IF(Q188='G-1 All Habitats'!$X$3,E188-U188-V188,"None"))</f>
        <v/>
      </c>
      <c r="AF188" s="42" t="str">
        <f>IF(Q188="","", IF(Q188='G-1 All Habitats'!$X$3, AE188*G188*I188*L188*N188*P188,"None"))</f>
        <v/>
      </c>
      <c r="AI188" s="15">
        <f t="shared" si="23"/>
        <v>0</v>
      </c>
      <c r="AJ188" s="105" t="str">
        <f t="shared" si="24"/>
        <v/>
      </c>
      <c r="AK188" s="105" t="str">
        <f t="shared" si="25"/>
        <v/>
      </c>
      <c r="AM188" s="105">
        <v>179</v>
      </c>
      <c r="AO188" s="105" t="str">
        <f t="array" ref="AO188">IFERROR(INDEX($AM$10:$AM$258, MATCH(0, IF(TRUE=$AJ$10:$AJ$258, COUNTIF($AO$9:$AO187, $AM$10:$AM$258), ""), 0)),"")</f>
        <v/>
      </c>
      <c r="AP188" s="105" t="str">
        <f t="array" ref="AP188">IFERROR(INDEX($AM$10:$AM$258, MATCH(0, IF(TRUE=$AK$10:$AK$258, COUNTIF($AP$9:$AP187, $AM$10:$AM$258), ""), 0)),"")</f>
        <v/>
      </c>
      <c r="AR188" s="15" t="str">
        <f>IFERROR(INDEX('G-7 WaterC'' Data'!$AZ$3:$AZ$7,MATCH(D188,'G-7 WaterC'' Data'!$AY$3:$AY$7,0)),"")</f>
        <v/>
      </c>
      <c r="AS188" s="15" t="str">
        <f>IFERROR(INDEX('G-7 WaterC'' Data'!AZ188:AZ192,MATCH(D188,'G-7 WaterC'' Data'!$AY$10:$AY$14,0)),"")</f>
        <v/>
      </c>
      <c r="AU188" s="15" t="str">
        <f>IF(D188="","",VLOOKUP(D188,'G-7 WaterC'' Data'!B$4:M$8,12,FALSE))</f>
        <v/>
      </c>
      <c r="AV188" s="15" t="str">
        <f t="shared" si="26"/>
        <v/>
      </c>
    </row>
    <row r="189" spans="3:48" ht="14" x14ac:dyDescent="0.3">
      <c r="C189" s="92">
        <v>180</v>
      </c>
      <c r="D189" s="271"/>
      <c r="E189" s="120"/>
      <c r="F189" s="290" t="str">
        <f>IF(D189="","",VLOOKUP(D189,'G-7 WaterC'' Data'!$B$2:$G$8,2,FALSE))</f>
        <v/>
      </c>
      <c r="G189" s="291" t="str">
        <f>IFERROR(VLOOKUP(F189,'G-7 WaterC'' Data'!$C$4:$D$8,2,FALSE),"")</f>
        <v/>
      </c>
      <c r="H189" s="38"/>
      <c r="I189" s="291" t="str">
        <f>IFERROR(INDEX('G-7 WaterC'' Data'!$H$4:$L$8,MATCH(D189,'G-7 WaterC'' Data'!$B$4:$B$8,0),MATCH(H189,'G-7 WaterC'' Data'!$H$3:$L$3,0)),"")</f>
        <v/>
      </c>
      <c r="J189" s="777"/>
      <c r="K189" s="325" t="str">
        <f>IF(J189="","",IF(VLOOKUP(J189,'G-7 WaterC'' Data'!$AK$4:$AM$6,2,FALSE)=0,"Spatial Data Missing ⚠",VLOOKUP(J189,'G-7 WaterC'' Data'!$AK$4:$AM$6,2,FALSE)))</f>
        <v/>
      </c>
      <c r="L189" s="296" t="str">
        <f>IF(J189="","",IF(VLOOKUP(J189,'G-7 WaterC'' Data'!$AK$4:$AM$9,3,FALSE)=0,"Spatial Data Missing ⚠",VLOOKUP(J189,'G-7 WaterC'' Data'!$AK$4:$AM$6,3,FALSE)))</f>
        <v/>
      </c>
      <c r="M189" s="38"/>
      <c r="N189" s="291" t="str">
        <f>IF(M189="","",IF(AND(D189&lt;&gt;"Culvert",M189="N/A - Culvert"),"Not possible ▲",IF(AND(D189="Culvert",M189&lt;&gt;"N/A - Culvert"),"Not possible ▲",IF(VLOOKUP(M189,'G-7 WaterC'' Data'!$AA$4:$AB$7,2,FALSE)=0,"Spatial Data Missing ⚠",VLOOKUP(M189,'G-7 WaterC'' Data'!$AA$4:$AB$7,2,FALSE)))))</f>
        <v/>
      </c>
      <c r="O189" s="44"/>
      <c r="P189" s="291" t="str">
        <f>IF(O189="","",IF(AND(O189="N/A - Culvert", D189&lt;&gt;"Culvert"),"Not possible ▲", IF(AND(D189="Culvert",O189&lt;&gt;"N/A - Culvert"),"Not possible ▲",IF(VLOOKUP(O189,'G-7 WaterC'' Data'!$AD$4:$AE$14,2,FALSE)=0,"Spatial Data Missing ⚠",VLOOKUP(O189,'G-7 WaterC'' Data'!$AD$4:$AE$14,2,FALSE)))))</f>
        <v/>
      </c>
      <c r="Q189" s="297" t="str">
        <f>IF(D189="","",VLOOKUP(D189,'G-7 WaterC'' Data'!$B$2:$G$8,6,FALSE))</f>
        <v/>
      </c>
      <c r="R189" s="304" t="str">
        <f>IFERROR(IF(AND(Q189='G-1 All Habitats'!$X$3, AE189&gt;0, U189&lt;=0, V189&lt;=0, OR(AA189="No", AA189="")),"Any Loss Unacceptable ⚠", (IF(AND(Q189='G-1 All Habitats'!$X$3, AE189&gt;0, U189&lt;=0, V189&lt;=0, AA189="Yes"), 0, (IF(AND(Q189='G-1 All Habitats'!$X$3,(U189+V189)&lt;E189, OR(AA189="No", AA189="")),"Any Loss Unacceptable ⚠", (IF(AND(Q189='G-1 All Habitats'!$X$3,(U189+V189)&gt;E189), E189*G189*I189*L189*N189*P189, (IF(Q189="","",IF(AND(Q189='G-1 All Habitats'!$X$3,V189&gt;0),W189+X189,IF(AND(Q189='G-1 All Habitats'!$X$3,U189&gt;0), W189+X189, IF(AND(S189="Yes", V189&gt;(E189-U189)),(E189-U189)*G189*I189*L189*N189*P189, IF(AND(S189="Yes", V189&lt;=(E189-U189)), X189, E189*G189*I189*L189*N189*P189 ))))))))))))),"Check Data ▲")</f>
        <v/>
      </c>
      <c r="S189" s="671" t="str">
        <f t="shared" si="18"/>
        <v/>
      </c>
      <c r="T189" s="17"/>
      <c r="U189" s="95"/>
      <c r="V189" s="106"/>
      <c r="W189" s="302" t="str">
        <f t="shared" si="19"/>
        <v/>
      </c>
      <c r="X189" s="302" t="str">
        <f t="shared" si="20"/>
        <v/>
      </c>
      <c r="Y189" s="302" t="str">
        <f t="shared" si="21"/>
        <v/>
      </c>
      <c r="Z189" s="471" t="str">
        <f t="shared" si="22"/>
        <v/>
      </c>
      <c r="AA189" s="488"/>
      <c r="AB189" s="486"/>
      <c r="AC189" s="101"/>
      <c r="AD189" s="101"/>
      <c r="AE189" s="41" t="str">
        <f>IF(OR(Q189="",AA189="Yes"),"",IF(Q189='G-1 All Habitats'!$X$3,E189-U189-V189,"None"))</f>
        <v/>
      </c>
      <c r="AF189" s="42" t="str">
        <f>IF(Q189="","", IF(Q189='G-1 All Habitats'!$X$3, AE189*G189*I189*L189*N189*P189,"None"))</f>
        <v/>
      </c>
      <c r="AI189" s="15">
        <f t="shared" si="23"/>
        <v>0</v>
      </c>
      <c r="AJ189" s="105" t="str">
        <f t="shared" si="24"/>
        <v/>
      </c>
      <c r="AK189" s="105" t="str">
        <f t="shared" si="25"/>
        <v/>
      </c>
      <c r="AM189" s="105">
        <v>180</v>
      </c>
      <c r="AO189" s="105" t="str">
        <f t="array" ref="AO189">IFERROR(INDEX($AM$10:$AM$258, MATCH(0, IF(TRUE=$AJ$10:$AJ$258, COUNTIF($AO$9:$AO188, $AM$10:$AM$258), ""), 0)),"")</f>
        <v/>
      </c>
      <c r="AP189" s="105" t="str">
        <f t="array" ref="AP189">IFERROR(INDEX($AM$10:$AM$258, MATCH(0, IF(TRUE=$AK$10:$AK$258, COUNTIF($AP$9:$AP188, $AM$10:$AM$258), ""), 0)),"")</f>
        <v/>
      </c>
      <c r="AR189" s="15" t="str">
        <f>IFERROR(INDEX('G-7 WaterC'' Data'!$AZ$3:$AZ$7,MATCH(D189,'G-7 WaterC'' Data'!$AY$3:$AY$7,0)),"")</f>
        <v/>
      </c>
      <c r="AS189" s="15" t="str">
        <f>IFERROR(INDEX('G-7 WaterC'' Data'!AZ189:AZ193,MATCH(D189,'G-7 WaterC'' Data'!$AY$10:$AY$14,0)),"")</f>
        <v/>
      </c>
      <c r="AU189" s="15" t="str">
        <f>IF(D189="","",VLOOKUP(D189,'G-7 WaterC'' Data'!B$4:M$8,12,FALSE))</f>
        <v/>
      </c>
      <c r="AV189" s="15" t="str">
        <f t="shared" si="26"/>
        <v/>
      </c>
    </row>
    <row r="190" spans="3:48" ht="14" x14ac:dyDescent="0.3">
      <c r="C190" s="92">
        <v>181</v>
      </c>
      <c r="D190" s="271"/>
      <c r="E190" s="120"/>
      <c r="F190" s="290" t="str">
        <f>IF(D190="","",VLOOKUP(D190,'G-7 WaterC'' Data'!$B$2:$G$8,2,FALSE))</f>
        <v/>
      </c>
      <c r="G190" s="291" t="str">
        <f>IFERROR(VLOOKUP(F190,'G-7 WaterC'' Data'!$C$4:$D$8,2,FALSE),"")</f>
        <v/>
      </c>
      <c r="H190" s="38"/>
      <c r="I190" s="291" t="str">
        <f>IFERROR(INDEX('G-7 WaterC'' Data'!$H$4:$L$8,MATCH(D190,'G-7 WaterC'' Data'!$B$4:$B$8,0),MATCH(H190,'G-7 WaterC'' Data'!$H$3:$L$3,0)),"")</f>
        <v/>
      </c>
      <c r="J190" s="777"/>
      <c r="K190" s="325" t="str">
        <f>IF(J190="","",IF(VLOOKUP(J190,'G-7 WaterC'' Data'!$AK$4:$AM$6,2,FALSE)=0,"Spatial Data Missing ⚠",VLOOKUP(J190,'G-7 WaterC'' Data'!$AK$4:$AM$6,2,FALSE)))</f>
        <v/>
      </c>
      <c r="L190" s="296" t="str">
        <f>IF(J190="","",IF(VLOOKUP(J190,'G-7 WaterC'' Data'!$AK$4:$AM$9,3,FALSE)=0,"Spatial Data Missing ⚠",VLOOKUP(J190,'G-7 WaterC'' Data'!$AK$4:$AM$6,3,FALSE)))</f>
        <v/>
      </c>
      <c r="M190" s="38"/>
      <c r="N190" s="291" t="str">
        <f>IF(M190="","",IF(AND(D190&lt;&gt;"Culvert",M190="N/A - Culvert"),"Not possible ▲",IF(AND(D190="Culvert",M190&lt;&gt;"N/A - Culvert"),"Not possible ▲",IF(VLOOKUP(M190,'G-7 WaterC'' Data'!$AA$4:$AB$7,2,FALSE)=0,"Spatial Data Missing ⚠",VLOOKUP(M190,'G-7 WaterC'' Data'!$AA$4:$AB$7,2,FALSE)))))</f>
        <v/>
      </c>
      <c r="O190" s="44"/>
      <c r="P190" s="291" t="str">
        <f>IF(O190="","",IF(AND(O190="N/A - Culvert", D190&lt;&gt;"Culvert"),"Not possible ▲", IF(AND(D190="Culvert",O190&lt;&gt;"N/A - Culvert"),"Not possible ▲",IF(VLOOKUP(O190,'G-7 WaterC'' Data'!$AD$4:$AE$14,2,FALSE)=0,"Spatial Data Missing ⚠",VLOOKUP(O190,'G-7 WaterC'' Data'!$AD$4:$AE$14,2,FALSE)))))</f>
        <v/>
      </c>
      <c r="Q190" s="297" t="str">
        <f>IF(D190="","",VLOOKUP(D190,'G-7 WaterC'' Data'!$B$2:$G$8,6,FALSE))</f>
        <v/>
      </c>
      <c r="R190" s="304" t="str">
        <f>IFERROR(IF(AND(Q190='G-1 All Habitats'!$X$3, AE190&gt;0, U190&lt;=0, V190&lt;=0, OR(AA190="No", AA190="")),"Any Loss Unacceptable ⚠", (IF(AND(Q190='G-1 All Habitats'!$X$3, AE190&gt;0, U190&lt;=0, V190&lt;=0, AA190="Yes"), 0, (IF(AND(Q190='G-1 All Habitats'!$X$3,(U190+V190)&lt;E190, OR(AA190="No", AA190="")),"Any Loss Unacceptable ⚠", (IF(AND(Q190='G-1 All Habitats'!$X$3,(U190+V190)&gt;E190), E190*G190*I190*L190*N190*P190, (IF(Q190="","",IF(AND(Q190='G-1 All Habitats'!$X$3,V190&gt;0),W190+X190,IF(AND(Q190='G-1 All Habitats'!$X$3,U190&gt;0), W190+X190, IF(AND(S190="Yes", V190&gt;(E190-U190)),(E190-U190)*G190*I190*L190*N190*P190, IF(AND(S190="Yes", V190&lt;=(E190-U190)), X190, E190*G190*I190*L190*N190*P190 ))))))))))))),"Check Data ▲")</f>
        <v/>
      </c>
      <c r="S190" s="671" t="str">
        <f t="shared" si="18"/>
        <v/>
      </c>
      <c r="T190" s="17"/>
      <c r="U190" s="95"/>
      <c r="V190" s="106"/>
      <c r="W190" s="302" t="str">
        <f t="shared" si="19"/>
        <v/>
      </c>
      <c r="X190" s="302" t="str">
        <f t="shared" si="20"/>
        <v/>
      </c>
      <c r="Y190" s="302" t="str">
        <f t="shared" si="21"/>
        <v/>
      </c>
      <c r="Z190" s="471" t="str">
        <f t="shared" si="22"/>
        <v/>
      </c>
      <c r="AA190" s="488"/>
      <c r="AB190" s="486"/>
      <c r="AC190" s="101"/>
      <c r="AD190" s="101"/>
      <c r="AE190" s="41" t="str">
        <f>IF(OR(Q190="",AA190="Yes"),"",IF(Q190='G-1 All Habitats'!$X$3,E190-U190-V190,"None"))</f>
        <v/>
      </c>
      <c r="AF190" s="42" t="str">
        <f>IF(Q190="","", IF(Q190='G-1 All Habitats'!$X$3, AE190*G190*I190*L190*N190*P190,"None"))</f>
        <v/>
      </c>
      <c r="AI190" s="15">
        <f t="shared" si="23"/>
        <v>0</v>
      </c>
      <c r="AJ190" s="105" t="str">
        <f t="shared" si="24"/>
        <v/>
      </c>
      <c r="AK190" s="105" t="str">
        <f t="shared" si="25"/>
        <v/>
      </c>
      <c r="AM190" s="105">
        <v>181</v>
      </c>
      <c r="AO190" s="105" t="str">
        <f t="array" ref="AO190">IFERROR(INDEX($AM$10:$AM$258, MATCH(0, IF(TRUE=$AJ$10:$AJ$258, COUNTIF($AO$9:$AO189, $AM$10:$AM$258), ""), 0)),"")</f>
        <v/>
      </c>
      <c r="AP190" s="105" t="str">
        <f t="array" ref="AP190">IFERROR(INDEX($AM$10:$AM$258, MATCH(0, IF(TRUE=$AK$10:$AK$258, COUNTIF($AP$9:$AP189, $AM$10:$AM$258), ""), 0)),"")</f>
        <v/>
      </c>
      <c r="AR190" s="15" t="str">
        <f>IFERROR(INDEX('G-7 WaterC'' Data'!$AZ$3:$AZ$7,MATCH(D190,'G-7 WaterC'' Data'!$AY$3:$AY$7,0)),"")</f>
        <v/>
      </c>
      <c r="AS190" s="15" t="str">
        <f>IFERROR(INDEX('G-7 WaterC'' Data'!AZ190:AZ194,MATCH(D190,'G-7 WaterC'' Data'!$AY$10:$AY$14,0)),"")</f>
        <v/>
      </c>
      <c r="AU190" s="15" t="str">
        <f>IF(D190="","",VLOOKUP(D190,'G-7 WaterC'' Data'!B$4:M$8,12,FALSE))</f>
        <v/>
      </c>
      <c r="AV190" s="15" t="str">
        <f t="shared" si="26"/>
        <v/>
      </c>
    </row>
    <row r="191" spans="3:48" ht="14" x14ac:dyDescent="0.3">
      <c r="C191" s="92">
        <v>182</v>
      </c>
      <c r="D191" s="271"/>
      <c r="E191" s="120"/>
      <c r="F191" s="290" t="str">
        <f>IF(D191="","",VLOOKUP(D191,'G-7 WaterC'' Data'!$B$2:$G$8,2,FALSE))</f>
        <v/>
      </c>
      <c r="G191" s="291" t="str">
        <f>IFERROR(VLOOKUP(F191,'G-7 WaterC'' Data'!$C$4:$D$8,2,FALSE),"")</f>
        <v/>
      </c>
      <c r="H191" s="38"/>
      <c r="I191" s="291" t="str">
        <f>IFERROR(INDEX('G-7 WaterC'' Data'!$H$4:$L$8,MATCH(D191,'G-7 WaterC'' Data'!$B$4:$B$8,0),MATCH(H191,'G-7 WaterC'' Data'!$H$3:$L$3,0)),"")</f>
        <v/>
      </c>
      <c r="J191" s="777"/>
      <c r="K191" s="325" t="str">
        <f>IF(J191="","",IF(VLOOKUP(J191,'G-7 WaterC'' Data'!$AK$4:$AM$6,2,FALSE)=0,"Spatial Data Missing ⚠",VLOOKUP(J191,'G-7 WaterC'' Data'!$AK$4:$AM$6,2,FALSE)))</f>
        <v/>
      </c>
      <c r="L191" s="296" t="str">
        <f>IF(J191="","",IF(VLOOKUP(J191,'G-7 WaterC'' Data'!$AK$4:$AM$9,3,FALSE)=0,"Spatial Data Missing ⚠",VLOOKUP(J191,'G-7 WaterC'' Data'!$AK$4:$AM$6,3,FALSE)))</f>
        <v/>
      </c>
      <c r="M191" s="38"/>
      <c r="N191" s="291" t="str">
        <f>IF(M191="","",IF(AND(D191&lt;&gt;"Culvert",M191="N/A - Culvert"),"Not possible ▲",IF(AND(D191="Culvert",M191&lt;&gt;"N/A - Culvert"),"Not possible ▲",IF(VLOOKUP(M191,'G-7 WaterC'' Data'!$AA$4:$AB$7,2,FALSE)=0,"Spatial Data Missing ⚠",VLOOKUP(M191,'G-7 WaterC'' Data'!$AA$4:$AB$7,2,FALSE)))))</f>
        <v/>
      </c>
      <c r="O191" s="44"/>
      <c r="P191" s="291" t="str">
        <f>IF(O191="","",IF(AND(O191="N/A - Culvert", D191&lt;&gt;"Culvert"),"Not possible ▲", IF(AND(D191="Culvert",O191&lt;&gt;"N/A - Culvert"),"Not possible ▲",IF(VLOOKUP(O191,'G-7 WaterC'' Data'!$AD$4:$AE$14,2,FALSE)=0,"Spatial Data Missing ⚠",VLOOKUP(O191,'G-7 WaterC'' Data'!$AD$4:$AE$14,2,FALSE)))))</f>
        <v/>
      </c>
      <c r="Q191" s="297" t="str">
        <f>IF(D191="","",VLOOKUP(D191,'G-7 WaterC'' Data'!$B$2:$G$8,6,FALSE))</f>
        <v/>
      </c>
      <c r="R191" s="304" t="str">
        <f>IFERROR(IF(AND(Q191='G-1 All Habitats'!$X$3, AE191&gt;0, U191&lt;=0, V191&lt;=0, OR(AA191="No", AA191="")),"Any Loss Unacceptable ⚠", (IF(AND(Q191='G-1 All Habitats'!$X$3, AE191&gt;0, U191&lt;=0, V191&lt;=0, AA191="Yes"), 0, (IF(AND(Q191='G-1 All Habitats'!$X$3,(U191+V191)&lt;E191, OR(AA191="No", AA191="")),"Any Loss Unacceptable ⚠", (IF(AND(Q191='G-1 All Habitats'!$X$3,(U191+V191)&gt;E191), E191*G191*I191*L191*N191*P191, (IF(Q191="","",IF(AND(Q191='G-1 All Habitats'!$X$3,V191&gt;0),W191+X191,IF(AND(Q191='G-1 All Habitats'!$X$3,U191&gt;0), W191+X191, IF(AND(S191="Yes", V191&gt;(E191-U191)),(E191-U191)*G191*I191*L191*N191*P191, IF(AND(S191="Yes", V191&lt;=(E191-U191)), X191, E191*G191*I191*L191*N191*P191 ))))))))))))),"Check Data ▲")</f>
        <v/>
      </c>
      <c r="S191" s="671" t="str">
        <f t="shared" si="18"/>
        <v/>
      </c>
      <c r="T191" s="17"/>
      <c r="U191" s="95"/>
      <c r="V191" s="106"/>
      <c r="W191" s="302" t="str">
        <f t="shared" si="19"/>
        <v/>
      </c>
      <c r="X191" s="302" t="str">
        <f t="shared" si="20"/>
        <v/>
      </c>
      <c r="Y191" s="302" t="str">
        <f t="shared" si="21"/>
        <v/>
      </c>
      <c r="Z191" s="471" t="str">
        <f t="shared" si="22"/>
        <v/>
      </c>
      <c r="AA191" s="488"/>
      <c r="AB191" s="486"/>
      <c r="AC191" s="101"/>
      <c r="AD191" s="101"/>
      <c r="AE191" s="41" t="str">
        <f>IF(OR(Q191="",AA191="Yes"),"",IF(Q191='G-1 All Habitats'!$X$3,E191-U191-V191,"None"))</f>
        <v/>
      </c>
      <c r="AF191" s="42" t="str">
        <f>IF(Q191="","", IF(Q191='G-1 All Habitats'!$X$3, AE191*G191*I191*L191*N191*P191,"None"))</f>
        <v/>
      </c>
      <c r="AI191" s="15">
        <f t="shared" si="23"/>
        <v>0</v>
      </c>
      <c r="AJ191" s="105" t="str">
        <f t="shared" si="24"/>
        <v/>
      </c>
      <c r="AK191" s="105" t="str">
        <f t="shared" si="25"/>
        <v/>
      </c>
      <c r="AM191" s="105">
        <v>182</v>
      </c>
      <c r="AO191" s="105" t="str">
        <f t="array" ref="AO191">IFERROR(INDEX($AM$10:$AM$258, MATCH(0, IF(TRUE=$AJ$10:$AJ$258, COUNTIF($AO$9:$AO190, $AM$10:$AM$258), ""), 0)),"")</f>
        <v/>
      </c>
      <c r="AP191" s="105" t="str">
        <f t="array" ref="AP191">IFERROR(INDEX($AM$10:$AM$258, MATCH(0, IF(TRUE=$AK$10:$AK$258, COUNTIF($AP$9:$AP190, $AM$10:$AM$258), ""), 0)),"")</f>
        <v/>
      </c>
      <c r="AR191" s="15" t="str">
        <f>IFERROR(INDEX('G-7 WaterC'' Data'!$AZ$3:$AZ$7,MATCH(D191,'G-7 WaterC'' Data'!$AY$3:$AY$7,0)),"")</f>
        <v/>
      </c>
      <c r="AS191" s="15" t="str">
        <f>IFERROR(INDEX('G-7 WaterC'' Data'!AZ191:AZ195,MATCH(D191,'G-7 WaterC'' Data'!$AY$10:$AY$14,0)),"")</f>
        <v/>
      </c>
      <c r="AU191" s="15" t="str">
        <f>IF(D191="","",VLOOKUP(D191,'G-7 WaterC'' Data'!B$4:M$8,12,FALSE))</f>
        <v/>
      </c>
      <c r="AV191" s="15" t="str">
        <f t="shared" si="26"/>
        <v/>
      </c>
    </row>
    <row r="192" spans="3:48" ht="14" x14ac:dyDescent="0.3">
      <c r="C192" s="92">
        <v>183</v>
      </c>
      <c r="D192" s="271"/>
      <c r="E192" s="120"/>
      <c r="F192" s="290" t="str">
        <f>IF(D192="","",VLOOKUP(D192,'G-7 WaterC'' Data'!$B$2:$G$8,2,FALSE))</f>
        <v/>
      </c>
      <c r="G192" s="291" t="str">
        <f>IFERROR(VLOOKUP(F192,'G-7 WaterC'' Data'!$C$4:$D$8,2,FALSE),"")</f>
        <v/>
      </c>
      <c r="H192" s="38"/>
      <c r="I192" s="291" t="str">
        <f>IFERROR(INDEX('G-7 WaterC'' Data'!$H$4:$L$8,MATCH(D192,'G-7 WaterC'' Data'!$B$4:$B$8,0),MATCH(H192,'G-7 WaterC'' Data'!$H$3:$L$3,0)),"")</f>
        <v/>
      </c>
      <c r="J192" s="777"/>
      <c r="K192" s="325" t="str">
        <f>IF(J192="","",IF(VLOOKUP(J192,'G-7 WaterC'' Data'!$AK$4:$AM$6,2,FALSE)=0,"Spatial Data Missing ⚠",VLOOKUP(J192,'G-7 WaterC'' Data'!$AK$4:$AM$6,2,FALSE)))</f>
        <v/>
      </c>
      <c r="L192" s="296" t="str">
        <f>IF(J192="","",IF(VLOOKUP(J192,'G-7 WaterC'' Data'!$AK$4:$AM$9,3,FALSE)=0,"Spatial Data Missing ⚠",VLOOKUP(J192,'G-7 WaterC'' Data'!$AK$4:$AM$6,3,FALSE)))</f>
        <v/>
      </c>
      <c r="M192" s="38"/>
      <c r="N192" s="291" t="str">
        <f>IF(M192="","",IF(AND(D192&lt;&gt;"Culvert",M192="N/A - Culvert"),"Not possible ▲",IF(AND(D192="Culvert",M192&lt;&gt;"N/A - Culvert"),"Not possible ▲",IF(VLOOKUP(M192,'G-7 WaterC'' Data'!$AA$4:$AB$7,2,FALSE)=0,"Spatial Data Missing ⚠",VLOOKUP(M192,'G-7 WaterC'' Data'!$AA$4:$AB$7,2,FALSE)))))</f>
        <v/>
      </c>
      <c r="O192" s="44"/>
      <c r="P192" s="291" t="str">
        <f>IF(O192="","",IF(AND(O192="N/A - Culvert", D192&lt;&gt;"Culvert"),"Not possible ▲", IF(AND(D192="Culvert",O192&lt;&gt;"N/A - Culvert"),"Not possible ▲",IF(VLOOKUP(O192,'G-7 WaterC'' Data'!$AD$4:$AE$14,2,FALSE)=0,"Spatial Data Missing ⚠",VLOOKUP(O192,'G-7 WaterC'' Data'!$AD$4:$AE$14,2,FALSE)))))</f>
        <v/>
      </c>
      <c r="Q192" s="297" t="str">
        <f>IF(D192="","",VLOOKUP(D192,'G-7 WaterC'' Data'!$B$2:$G$8,6,FALSE))</f>
        <v/>
      </c>
      <c r="R192" s="304" t="str">
        <f>IFERROR(IF(AND(Q192='G-1 All Habitats'!$X$3, AE192&gt;0, U192&lt;=0, V192&lt;=0, OR(AA192="No", AA192="")),"Any Loss Unacceptable ⚠", (IF(AND(Q192='G-1 All Habitats'!$X$3, AE192&gt;0, U192&lt;=0, V192&lt;=0, AA192="Yes"), 0, (IF(AND(Q192='G-1 All Habitats'!$X$3,(U192+V192)&lt;E192, OR(AA192="No", AA192="")),"Any Loss Unacceptable ⚠", (IF(AND(Q192='G-1 All Habitats'!$X$3,(U192+V192)&gt;E192), E192*G192*I192*L192*N192*P192, (IF(Q192="","",IF(AND(Q192='G-1 All Habitats'!$X$3,V192&gt;0),W192+X192,IF(AND(Q192='G-1 All Habitats'!$X$3,U192&gt;0), W192+X192, IF(AND(S192="Yes", V192&gt;(E192-U192)),(E192-U192)*G192*I192*L192*N192*P192, IF(AND(S192="Yes", V192&lt;=(E192-U192)), X192, E192*G192*I192*L192*N192*P192 ))))))))))))),"Check Data ▲")</f>
        <v/>
      </c>
      <c r="S192" s="671" t="str">
        <f t="shared" si="18"/>
        <v/>
      </c>
      <c r="T192" s="17"/>
      <c r="U192" s="95"/>
      <c r="V192" s="106"/>
      <c r="W192" s="302" t="str">
        <f t="shared" si="19"/>
        <v/>
      </c>
      <c r="X192" s="302" t="str">
        <f t="shared" si="20"/>
        <v/>
      </c>
      <c r="Y192" s="302" t="str">
        <f t="shared" si="21"/>
        <v/>
      </c>
      <c r="Z192" s="471" t="str">
        <f t="shared" si="22"/>
        <v/>
      </c>
      <c r="AA192" s="488"/>
      <c r="AB192" s="486"/>
      <c r="AC192" s="101"/>
      <c r="AD192" s="101"/>
      <c r="AE192" s="41" t="str">
        <f>IF(OR(Q192="",AA192="Yes"),"",IF(Q192='G-1 All Habitats'!$X$3,E192-U192-V192,"None"))</f>
        <v/>
      </c>
      <c r="AF192" s="42" t="str">
        <f>IF(Q192="","", IF(Q192='G-1 All Habitats'!$X$3, AE192*G192*I192*L192*N192*P192,"None"))</f>
        <v/>
      </c>
      <c r="AI192" s="15">
        <f t="shared" si="23"/>
        <v>0</v>
      </c>
      <c r="AJ192" s="105" t="str">
        <f t="shared" si="24"/>
        <v/>
      </c>
      <c r="AK192" s="105" t="str">
        <f t="shared" si="25"/>
        <v/>
      </c>
      <c r="AM192" s="105">
        <v>183</v>
      </c>
      <c r="AO192" s="105" t="str">
        <f t="array" ref="AO192">IFERROR(INDEX($AM$10:$AM$258, MATCH(0, IF(TRUE=$AJ$10:$AJ$258, COUNTIF($AO$9:$AO191, $AM$10:$AM$258), ""), 0)),"")</f>
        <v/>
      </c>
      <c r="AP192" s="105" t="str">
        <f t="array" ref="AP192">IFERROR(INDEX($AM$10:$AM$258, MATCH(0, IF(TRUE=$AK$10:$AK$258, COUNTIF($AP$9:$AP191, $AM$10:$AM$258), ""), 0)),"")</f>
        <v/>
      </c>
      <c r="AR192" s="15" t="str">
        <f>IFERROR(INDEX('G-7 WaterC'' Data'!$AZ$3:$AZ$7,MATCH(D192,'G-7 WaterC'' Data'!$AY$3:$AY$7,0)),"")</f>
        <v/>
      </c>
      <c r="AS192" s="15" t="str">
        <f>IFERROR(INDEX('G-7 WaterC'' Data'!AZ192:AZ196,MATCH(D192,'G-7 WaterC'' Data'!$AY$10:$AY$14,0)),"")</f>
        <v/>
      </c>
      <c r="AU192" s="15" t="str">
        <f>IF(D192="","",VLOOKUP(D192,'G-7 WaterC'' Data'!B$4:M$8,12,FALSE))</f>
        <v/>
      </c>
      <c r="AV192" s="15" t="str">
        <f t="shared" si="26"/>
        <v/>
      </c>
    </row>
    <row r="193" spans="3:48" ht="14" x14ac:dyDescent="0.3">
      <c r="C193" s="92">
        <v>184</v>
      </c>
      <c r="D193" s="271"/>
      <c r="E193" s="120"/>
      <c r="F193" s="290" t="str">
        <f>IF(D193="","",VLOOKUP(D193,'G-7 WaterC'' Data'!$B$2:$G$8,2,FALSE))</f>
        <v/>
      </c>
      <c r="G193" s="291" t="str">
        <f>IFERROR(VLOOKUP(F193,'G-7 WaterC'' Data'!$C$4:$D$8,2,FALSE),"")</f>
        <v/>
      </c>
      <c r="H193" s="38"/>
      <c r="I193" s="291" t="str">
        <f>IFERROR(INDEX('G-7 WaterC'' Data'!$H$4:$L$8,MATCH(D193,'G-7 WaterC'' Data'!$B$4:$B$8,0),MATCH(H193,'G-7 WaterC'' Data'!$H$3:$L$3,0)),"")</f>
        <v/>
      </c>
      <c r="J193" s="777"/>
      <c r="K193" s="325" t="str">
        <f>IF(J193="","",IF(VLOOKUP(J193,'G-7 WaterC'' Data'!$AK$4:$AM$6,2,FALSE)=0,"Spatial Data Missing ⚠",VLOOKUP(J193,'G-7 WaterC'' Data'!$AK$4:$AM$6,2,FALSE)))</f>
        <v/>
      </c>
      <c r="L193" s="296" t="str">
        <f>IF(J193="","",IF(VLOOKUP(J193,'G-7 WaterC'' Data'!$AK$4:$AM$9,3,FALSE)=0,"Spatial Data Missing ⚠",VLOOKUP(J193,'G-7 WaterC'' Data'!$AK$4:$AM$6,3,FALSE)))</f>
        <v/>
      </c>
      <c r="M193" s="38"/>
      <c r="N193" s="291" t="str">
        <f>IF(M193="","",IF(AND(D193&lt;&gt;"Culvert",M193="N/A - Culvert"),"Not possible ▲",IF(AND(D193="Culvert",M193&lt;&gt;"N/A - Culvert"),"Not possible ▲",IF(VLOOKUP(M193,'G-7 WaterC'' Data'!$AA$4:$AB$7,2,FALSE)=0,"Spatial Data Missing ⚠",VLOOKUP(M193,'G-7 WaterC'' Data'!$AA$4:$AB$7,2,FALSE)))))</f>
        <v/>
      </c>
      <c r="O193" s="44"/>
      <c r="P193" s="291" t="str">
        <f>IF(O193="","",IF(AND(O193="N/A - Culvert", D193&lt;&gt;"Culvert"),"Not possible ▲", IF(AND(D193="Culvert",O193&lt;&gt;"N/A - Culvert"),"Not possible ▲",IF(VLOOKUP(O193,'G-7 WaterC'' Data'!$AD$4:$AE$14,2,FALSE)=0,"Spatial Data Missing ⚠",VLOOKUP(O193,'G-7 WaterC'' Data'!$AD$4:$AE$14,2,FALSE)))))</f>
        <v/>
      </c>
      <c r="Q193" s="297" t="str">
        <f>IF(D193="","",VLOOKUP(D193,'G-7 WaterC'' Data'!$B$2:$G$8,6,FALSE))</f>
        <v/>
      </c>
      <c r="R193" s="304" t="str">
        <f>IFERROR(IF(AND(Q193='G-1 All Habitats'!$X$3, AE193&gt;0, U193&lt;=0, V193&lt;=0, OR(AA193="No", AA193="")),"Any Loss Unacceptable ⚠", (IF(AND(Q193='G-1 All Habitats'!$X$3, AE193&gt;0, U193&lt;=0, V193&lt;=0, AA193="Yes"), 0, (IF(AND(Q193='G-1 All Habitats'!$X$3,(U193+V193)&lt;E193, OR(AA193="No", AA193="")),"Any Loss Unacceptable ⚠", (IF(AND(Q193='G-1 All Habitats'!$X$3,(U193+V193)&gt;E193), E193*G193*I193*L193*N193*P193, (IF(Q193="","",IF(AND(Q193='G-1 All Habitats'!$X$3,V193&gt;0),W193+X193,IF(AND(Q193='G-1 All Habitats'!$X$3,U193&gt;0), W193+X193, IF(AND(S193="Yes", V193&gt;(E193-U193)),(E193-U193)*G193*I193*L193*N193*P193, IF(AND(S193="Yes", V193&lt;=(E193-U193)), X193, E193*G193*I193*L193*N193*P193 ))))))))))))),"Check Data ▲")</f>
        <v/>
      </c>
      <c r="S193" s="671" t="str">
        <f t="shared" si="18"/>
        <v/>
      </c>
      <c r="T193" s="17"/>
      <c r="U193" s="95"/>
      <c r="V193" s="106"/>
      <c r="W193" s="302" t="str">
        <f t="shared" si="19"/>
        <v/>
      </c>
      <c r="X193" s="302" t="str">
        <f t="shared" si="20"/>
        <v/>
      </c>
      <c r="Y193" s="302" t="str">
        <f t="shared" si="21"/>
        <v/>
      </c>
      <c r="Z193" s="471" t="str">
        <f t="shared" si="22"/>
        <v/>
      </c>
      <c r="AA193" s="488"/>
      <c r="AB193" s="486"/>
      <c r="AC193" s="101"/>
      <c r="AD193" s="101"/>
      <c r="AE193" s="41" t="str">
        <f>IF(OR(Q193="",AA193="Yes"),"",IF(Q193='G-1 All Habitats'!$X$3,E193-U193-V193,"None"))</f>
        <v/>
      </c>
      <c r="AF193" s="42" t="str">
        <f>IF(Q193="","", IF(Q193='G-1 All Habitats'!$X$3, AE193*G193*I193*L193*N193*P193,"None"))</f>
        <v/>
      </c>
      <c r="AI193" s="15">
        <f t="shared" si="23"/>
        <v>0</v>
      </c>
      <c r="AJ193" s="105" t="str">
        <f t="shared" si="24"/>
        <v/>
      </c>
      <c r="AK193" s="105" t="str">
        <f t="shared" si="25"/>
        <v/>
      </c>
      <c r="AM193" s="105">
        <v>184</v>
      </c>
      <c r="AO193" s="105" t="str">
        <f t="array" ref="AO193">IFERROR(INDEX($AM$10:$AM$258, MATCH(0, IF(TRUE=$AJ$10:$AJ$258, COUNTIF($AO$9:$AO192, $AM$10:$AM$258), ""), 0)),"")</f>
        <v/>
      </c>
      <c r="AP193" s="105" t="str">
        <f t="array" ref="AP193">IFERROR(INDEX($AM$10:$AM$258, MATCH(0, IF(TRUE=$AK$10:$AK$258, COUNTIF($AP$9:$AP192, $AM$10:$AM$258), ""), 0)),"")</f>
        <v/>
      </c>
      <c r="AR193" s="15" t="str">
        <f>IFERROR(INDEX('G-7 WaterC'' Data'!$AZ$3:$AZ$7,MATCH(D193,'G-7 WaterC'' Data'!$AY$3:$AY$7,0)),"")</f>
        <v/>
      </c>
      <c r="AS193" s="15" t="str">
        <f>IFERROR(INDEX('G-7 WaterC'' Data'!AZ193:AZ197,MATCH(D193,'G-7 WaterC'' Data'!$AY$10:$AY$14,0)),"")</f>
        <v/>
      </c>
      <c r="AU193" s="15" t="str">
        <f>IF(D193="","",VLOOKUP(D193,'G-7 WaterC'' Data'!B$4:M$8,12,FALSE))</f>
        <v/>
      </c>
      <c r="AV193" s="15" t="str">
        <f t="shared" si="26"/>
        <v/>
      </c>
    </row>
    <row r="194" spans="3:48" ht="14" x14ac:dyDescent="0.3">
      <c r="C194" s="92">
        <v>185</v>
      </c>
      <c r="D194" s="271"/>
      <c r="E194" s="120"/>
      <c r="F194" s="290" t="str">
        <f>IF(D194="","",VLOOKUP(D194,'G-7 WaterC'' Data'!$B$2:$G$8,2,FALSE))</f>
        <v/>
      </c>
      <c r="G194" s="291" t="str">
        <f>IFERROR(VLOOKUP(F194,'G-7 WaterC'' Data'!$C$4:$D$8,2,FALSE),"")</f>
        <v/>
      </c>
      <c r="H194" s="38"/>
      <c r="I194" s="291" t="str">
        <f>IFERROR(INDEX('G-7 WaterC'' Data'!$H$4:$L$8,MATCH(D194,'G-7 WaterC'' Data'!$B$4:$B$8,0),MATCH(H194,'G-7 WaterC'' Data'!$H$3:$L$3,0)),"")</f>
        <v/>
      </c>
      <c r="J194" s="777"/>
      <c r="K194" s="325" t="str">
        <f>IF(J194="","",IF(VLOOKUP(J194,'G-7 WaterC'' Data'!$AK$4:$AM$6,2,FALSE)=0,"Spatial Data Missing ⚠",VLOOKUP(J194,'G-7 WaterC'' Data'!$AK$4:$AM$6,2,FALSE)))</f>
        <v/>
      </c>
      <c r="L194" s="296" t="str">
        <f>IF(J194="","",IF(VLOOKUP(J194,'G-7 WaterC'' Data'!$AK$4:$AM$9,3,FALSE)=0,"Spatial Data Missing ⚠",VLOOKUP(J194,'G-7 WaterC'' Data'!$AK$4:$AM$6,3,FALSE)))</f>
        <v/>
      </c>
      <c r="M194" s="38"/>
      <c r="N194" s="291" t="str">
        <f>IF(M194="","",IF(AND(D194&lt;&gt;"Culvert",M194="N/A - Culvert"),"Not possible ▲",IF(AND(D194="Culvert",M194&lt;&gt;"N/A - Culvert"),"Not possible ▲",IF(VLOOKUP(M194,'G-7 WaterC'' Data'!$AA$4:$AB$7,2,FALSE)=0,"Spatial Data Missing ⚠",VLOOKUP(M194,'G-7 WaterC'' Data'!$AA$4:$AB$7,2,FALSE)))))</f>
        <v/>
      </c>
      <c r="O194" s="44"/>
      <c r="P194" s="291" t="str">
        <f>IF(O194="","",IF(AND(O194="N/A - Culvert", D194&lt;&gt;"Culvert"),"Not possible ▲", IF(AND(D194="Culvert",O194&lt;&gt;"N/A - Culvert"),"Not possible ▲",IF(VLOOKUP(O194,'G-7 WaterC'' Data'!$AD$4:$AE$14,2,FALSE)=0,"Spatial Data Missing ⚠",VLOOKUP(O194,'G-7 WaterC'' Data'!$AD$4:$AE$14,2,FALSE)))))</f>
        <v/>
      </c>
      <c r="Q194" s="297" t="str">
        <f>IF(D194="","",VLOOKUP(D194,'G-7 WaterC'' Data'!$B$2:$G$8,6,FALSE))</f>
        <v/>
      </c>
      <c r="R194" s="304" t="str">
        <f>IFERROR(IF(AND(Q194='G-1 All Habitats'!$X$3, AE194&gt;0, U194&lt;=0, V194&lt;=0, OR(AA194="No", AA194="")),"Any Loss Unacceptable ⚠", (IF(AND(Q194='G-1 All Habitats'!$X$3, AE194&gt;0, U194&lt;=0, V194&lt;=0, AA194="Yes"), 0, (IF(AND(Q194='G-1 All Habitats'!$X$3,(U194+V194)&lt;E194, OR(AA194="No", AA194="")),"Any Loss Unacceptable ⚠", (IF(AND(Q194='G-1 All Habitats'!$X$3,(U194+V194)&gt;E194), E194*G194*I194*L194*N194*P194, (IF(Q194="","",IF(AND(Q194='G-1 All Habitats'!$X$3,V194&gt;0),W194+X194,IF(AND(Q194='G-1 All Habitats'!$X$3,U194&gt;0), W194+X194, IF(AND(S194="Yes", V194&gt;(E194-U194)),(E194-U194)*G194*I194*L194*N194*P194, IF(AND(S194="Yes", V194&lt;=(E194-U194)), X194, E194*G194*I194*L194*N194*P194 ))))))))))))),"Check Data ▲")</f>
        <v/>
      </c>
      <c r="S194" s="671" t="str">
        <f t="shared" si="18"/>
        <v/>
      </c>
      <c r="T194" s="17"/>
      <c r="U194" s="95"/>
      <c r="V194" s="106"/>
      <c r="W194" s="302" t="str">
        <f t="shared" si="19"/>
        <v/>
      </c>
      <c r="X194" s="302" t="str">
        <f t="shared" si="20"/>
        <v/>
      </c>
      <c r="Y194" s="302" t="str">
        <f t="shared" si="21"/>
        <v/>
      </c>
      <c r="Z194" s="471" t="str">
        <f t="shared" si="22"/>
        <v/>
      </c>
      <c r="AA194" s="488"/>
      <c r="AB194" s="486"/>
      <c r="AC194" s="101"/>
      <c r="AD194" s="101"/>
      <c r="AE194" s="41" t="str">
        <f>IF(OR(Q194="",AA194="Yes"),"",IF(Q194='G-1 All Habitats'!$X$3,E194-U194-V194,"None"))</f>
        <v/>
      </c>
      <c r="AF194" s="42" t="str">
        <f>IF(Q194="","", IF(Q194='G-1 All Habitats'!$X$3, AE194*G194*I194*L194*N194*P194,"None"))</f>
        <v/>
      </c>
      <c r="AI194" s="15">
        <f t="shared" si="23"/>
        <v>0</v>
      </c>
      <c r="AJ194" s="105" t="str">
        <f t="shared" si="24"/>
        <v/>
      </c>
      <c r="AK194" s="105" t="str">
        <f t="shared" si="25"/>
        <v/>
      </c>
      <c r="AM194" s="105">
        <v>185</v>
      </c>
      <c r="AO194" s="105" t="str">
        <f t="array" ref="AO194">IFERROR(INDEX($AM$10:$AM$258, MATCH(0, IF(TRUE=$AJ$10:$AJ$258, COUNTIF($AO$9:$AO193, $AM$10:$AM$258), ""), 0)),"")</f>
        <v/>
      </c>
      <c r="AP194" s="105" t="str">
        <f t="array" ref="AP194">IFERROR(INDEX($AM$10:$AM$258, MATCH(0, IF(TRUE=$AK$10:$AK$258, COUNTIF($AP$9:$AP193, $AM$10:$AM$258), ""), 0)),"")</f>
        <v/>
      </c>
      <c r="AR194" s="15" t="str">
        <f>IFERROR(INDEX('G-7 WaterC'' Data'!$AZ$3:$AZ$7,MATCH(D194,'G-7 WaterC'' Data'!$AY$3:$AY$7,0)),"")</f>
        <v/>
      </c>
      <c r="AS194" s="15" t="str">
        <f>IFERROR(INDEX('G-7 WaterC'' Data'!AZ194:AZ198,MATCH(D194,'G-7 WaterC'' Data'!$AY$10:$AY$14,0)),"")</f>
        <v/>
      </c>
      <c r="AU194" s="15" t="str">
        <f>IF(D194="","",VLOOKUP(D194,'G-7 WaterC'' Data'!B$4:M$8,12,FALSE))</f>
        <v/>
      </c>
      <c r="AV194" s="15" t="str">
        <f t="shared" si="26"/>
        <v/>
      </c>
    </row>
    <row r="195" spans="3:48" ht="14" x14ac:dyDescent="0.3">
      <c r="C195" s="92">
        <v>186</v>
      </c>
      <c r="D195" s="271"/>
      <c r="E195" s="120"/>
      <c r="F195" s="290" t="str">
        <f>IF(D195="","",VLOOKUP(D195,'G-7 WaterC'' Data'!$B$2:$G$8,2,FALSE))</f>
        <v/>
      </c>
      <c r="G195" s="291" t="str">
        <f>IFERROR(VLOOKUP(F195,'G-7 WaterC'' Data'!$C$4:$D$8,2,FALSE),"")</f>
        <v/>
      </c>
      <c r="H195" s="38"/>
      <c r="I195" s="291" t="str">
        <f>IFERROR(INDEX('G-7 WaterC'' Data'!$H$4:$L$8,MATCH(D195,'G-7 WaterC'' Data'!$B$4:$B$8,0),MATCH(H195,'G-7 WaterC'' Data'!$H$3:$L$3,0)),"")</f>
        <v/>
      </c>
      <c r="J195" s="777"/>
      <c r="K195" s="325" t="str">
        <f>IF(J195="","",IF(VLOOKUP(J195,'G-7 WaterC'' Data'!$AK$4:$AM$6,2,FALSE)=0,"Spatial Data Missing ⚠",VLOOKUP(J195,'G-7 WaterC'' Data'!$AK$4:$AM$6,2,FALSE)))</f>
        <v/>
      </c>
      <c r="L195" s="296" t="str">
        <f>IF(J195="","",IF(VLOOKUP(J195,'G-7 WaterC'' Data'!$AK$4:$AM$9,3,FALSE)=0,"Spatial Data Missing ⚠",VLOOKUP(J195,'G-7 WaterC'' Data'!$AK$4:$AM$6,3,FALSE)))</f>
        <v/>
      </c>
      <c r="M195" s="38"/>
      <c r="N195" s="291" t="str">
        <f>IF(M195="","",IF(AND(D195&lt;&gt;"Culvert",M195="N/A - Culvert"),"Not possible ▲",IF(AND(D195="Culvert",M195&lt;&gt;"N/A - Culvert"),"Not possible ▲",IF(VLOOKUP(M195,'G-7 WaterC'' Data'!$AA$4:$AB$7,2,FALSE)=0,"Spatial Data Missing ⚠",VLOOKUP(M195,'G-7 WaterC'' Data'!$AA$4:$AB$7,2,FALSE)))))</f>
        <v/>
      </c>
      <c r="O195" s="44"/>
      <c r="P195" s="291" t="str">
        <f>IF(O195="","",IF(AND(O195="N/A - Culvert", D195&lt;&gt;"Culvert"),"Not possible ▲", IF(AND(D195="Culvert",O195&lt;&gt;"N/A - Culvert"),"Not possible ▲",IF(VLOOKUP(O195,'G-7 WaterC'' Data'!$AD$4:$AE$14,2,FALSE)=0,"Spatial Data Missing ⚠",VLOOKUP(O195,'G-7 WaterC'' Data'!$AD$4:$AE$14,2,FALSE)))))</f>
        <v/>
      </c>
      <c r="Q195" s="297" t="str">
        <f>IF(D195="","",VLOOKUP(D195,'G-7 WaterC'' Data'!$B$2:$G$8,6,FALSE))</f>
        <v/>
      </c>
      <c r="R195" s="304" t="str">
        <f>IFERROR(IF(AND(Q195='G-1 All Habitats'!$X$3, AE195&gt;0, U195&lt;=0, V195&lt;=0, OR(AA195="No", AA195="")),"Any Loss Unacceptable ⚠", (IF(AND(Q195='G-1 All Habitats'!$X$3, AE195&gt;0, U195&lt;=0, V195&lt;=0, AA195="Yes"), 0, (IF(AND(Q195='G-1 All Habitats'!$X$3,(U195+V195)&lt;E195, OR(AA195="No", AA195="")),"Any Loss Unacceptable ⚠", (IF(AND(Q195='G-1 All Habitats'!$X$3,(U195+V195)&gt;E195), E195*G195*I195*L195*N195*P195, (IF(Q195="","",IF(AND(Q195='G-1 All Habitats'!$X$3,V195&gt;0),W195+X195,IF(AND(Q195='G-1 All Habitats'!$X$3,U195&gt;0), W195+X195, IF(AND(S195="Yes", V195&gt;(E195-U195)),(E195-U195)*G195*I195*L195*N195*P195, IF(AND(S195="Yes", V195&lt;=(E195-U195)), X195, E195*G195*I195*L195*N195*P195 ))))))))))))),"Check Data ▲")</f>
        <v/>
      </c>
      <c r="S195" s="671" t="str">
        <f t="shared" si="18"/>
        <v/>
      </c>
      <c r="T195" s="17"/>
      <c r="U195" s="95"/>
      <c r="V195" s="106"/>
      <c r="W195" s="302" t="str">
        <f t="shared" si="19"/>
        <v/>
      </c>
      <c r="X195" s="302" t="str">
        <f t="shared" si="20"/>
        <v/>
      </c>
      <c r="Y195" s="302" t="str">
        <f t="shared" si="21"/>
        <v/>
      </c>
      <c r="Z195" s="471" t="str">
        <f t="shared" si="22"/>
        <v/>
      </c>
      <c r="AA195" s="488"/>
      <c r="AB195" s="486"/>
      <c r="AC195" s="101"/>
      <c r="AD195" s="101"/>
      <c r="AE195" s="41" t="str">
        <f>IF(OR(Q195="",AA195="Yes"),"",IF(Q195='G-1 All Habitats'!$X$3,E195-U195-V195,"None"))</f>
        <v/>
      </c>
      <c r="AF195" s="42" t="str">
        <f>IF(Q195="","", IF(Q195='G-1 All Habitats'!$X$3, AE195*G195*I195*L195*N195*P195,"None"))</f>
        <v/>
      </c>
      <c r="AI195" s="15">
        <f t="shared" si="23"/>
        <v>0</v>
      </c>
      <c r="AJ195" s="105" t="str">
        <f t="shared" si="24"/>
        <v/>
      </c>
      <c r="AK195" s="105" t="str">
        <f t="shared" si="25"/>
        <v/>
      </c>
      <c r="AM195" s="105">
        <v>186</v>
      </c>
      <c r="AO195" s="105" t="str">
        <f t="array" ref="AO195">IFERROR(INDEX($AM$10:$AM$258, MATCH(0, IF(TRUE=$AJ$10:$AJ$258, COUNTIF($AO$9:$AO194, $AM$10:$AM$258), ""), 0)),"")</f>
        <v/>
      </c>
      <c r="AP195" s="105" t="str">
        <f t="array" ref="AP195">IFERROR(INDEX($AM$10:$AM$258, MATCH(0, IF(TRUE=$AK$10:$AK$258, COUNTIF($AP$9:$AP194, $AM$10:$AM$258), ""), 0)),"")</f>
        <v/>
      </c>
      <c r="AR195" s="15" t="str">
        <f>IFERROR(INDEX('G-7 WaterC'' Data'!$AZ$3:$AZ$7,MATCH(D195,'G-7 WaterC'' Data'!$AY$3:$AY$7,0)),"")</f>
        <v/>
      </c>
      <c r="AS195" s="15" t="str">
        <f>IFERROR(INDEX('G-7 WaterC'' Data'!AZ195:AZ199,MATCH(D195,'G-7 WaterC'' Data'!$AY$10:$AY$14,0)),"")</f>
        <v/>
      </c>
      <c r="AU195" s="15" t="str">
        <f>IF(D195="","",VLOOKUP(D195,'G-7 WaterC'' Data'!B$4:M$8,12,FALSE))</f>
        <v/>
      </c>
      <c r="AV195" s="15" t="str">
        <f t="shared" si="26"/>
        <v/>
      </c>
    </row>
    <row r="196" spans="3:48" ht="14" x14ac:dyDescent="0.3">
      <c r="C196" s="92">
        <v>187</v>
      </c>
      <c r="D196" s="271"/>
      <c r="E196" s="120"/>
      <c r="F196" s="290" t="str">
        <f>IF(D196="","",VLOOKUP(D196,'G-7 WaterC'' Data'!$B$2:$G$8,2,FALSE))</f>
        <v/>
      </c>
      <c r="G196" s="291" t="str">
        <f>IFERROR(VLOOKUP(F196,'G-7 WaterC'' Data'!$C$4:$D$8,2,FALSE),"")</f>
        <v/>
      </c>
      <c r="H196" s="38"/>
      <c r="I196" s="291" t="str">
        <f>IFERROR(INDEX('G-7 WaterC'' Data'!$H$4:$L$8,MATCH(D196,'G-7 WaterC'' Data'!$B$4:$B$8,0),MATCH(H196,'G-7 WaterC'' Data'!$H$3:$L$3,0)),"")</f>
        <v/>
      </c>
      <c r="J196" s="777"/>
      <c r="K196" s="325" t="str">
        <f>IF(J196="","",IF(VLOOKUP(J196,'G-7 WaterC'' Data'!$AK$4:$AM$6,2,FALSE)=0,"Spatial Data Missing ⚠",VLOOKUP(J196,'G-7 WaterC'' Data'!$AK$4:$AM$6,2,FALSE)))</f>
        <v/>
      </c>
      <c r="L196" s="296" t="str">
        <f>IF(J196="","",IF(VLOOKUP(J196,'G-7 WaterC'' Data'!$AK$4:$AM$9,3,FALSE)=0,"Spatial Data Missing ⚠",VLOOKUP(J196,'G-7 WaterC'' Data'!$AK$4:$AM$6,3,FALSE)))</f>
        <v/>
      </c>
      <c r="M196" s="38"/>
      <c r="N196" s="291" t="str">
        <f>IF(M196="","",IF(AND(D196&lt;&gt;"Culvert",M196="N/A - Culvert"),"Not possible ▲",IF(AND(D196="Culvert",M196&lt;&gt;"N/A - Culvert"),"Not possible ▲",IF(VLOOKUP(M196,'G-7 WaterC'' Data'!$AA$4:$AB$7,2,FALSE)=0,"Spatial Data Missing ⚠",VLOOKUP(M196,'G-7 WaterC'' Data'!$AA$4:$AB$7,2,FALSE)))))</f>
        <v/>
      </c>
      <c r="O196" s="44"/>
      <c r="P196" s="291" t="str">
        <f>IF(O196="","",IF(AND(O196="N/A - Culvert", D196&lt;&gt;"Culvert"),"Not possible ▲", IF(AND(D196="Culvert",O196&lt;&gt;"N/A - Culvert"),"Not possible ▲",IF(VLOOKUP(O196,'G-7 WaterC'' Data'!$AD$4:$AE$14,2,FALSE)=0,"Spatial Data Missing ⚠",VLOOKUP(O196,'G-7 WaterC'' Data'!$AD$4:$AE$14,2,FALSE)))))</f>
        <v/>
      </c>
      <c r="Q196" s="297" t="str">
        <f>IF(D196="","",VLOOKUP(D196,'G-7 WaterC'' Data'!$B$2:$G$8,6,FALSE))</f>
        <v/>
      </c>
      <c r="R196" s="304" t="str">
        <f>IFERROR(IF(AND(Q196='G-1 All Habitats'!$X$3, AE196&gt;0, U196&lt;=0, V196&lt;=0, OR(AA196="No", AA196="")),"Any Loss Unacceptable ⚠", (IF(AND(Q196='G-1 All Habitats'!$X$3, AE196&gt;0, U196&lt;=0, V196&lt;=0, AA196="Yes"), 0, (IF(AND(Q196='G-1 All Habitats'!$X$3,(U196+V196)&lt;E196, OR(AA196="No", AA196="")),"Any Loss Unacceptable ⚠", (IF(AND(Q196='G-1 All Habitats'!$X$3,(U196+V196)&gt;E196), E196*G196*I196*L196*N196*P196, (IF(Q196="","",IF(AND(Q196='G-1 All Habitats'!$X$3,V196&gt;0),W196+X196,IF(AND(Q196='G-1 All Habitats'!$X$3,U196&gt;0), W196+X196, IF(AND(S196="Yes", V196&gt;(E196-U196)),(E196-U196)*G196*I196*L196*N196*P196, IF(AND(S196="Yes", V196&lt;=(E196-U196)), X196, E196*G196*I196*L196*N196*P196 ))))))))))))),"Check Data ▲")</f>
        <v/>
      </c>
      <c r="S196" s="671" t="str">
        <f t="shared" si="18"/>
        <v/>
      </c>
      <c r="T196" s="17"/>
      <c r="U196" s="95"/>
      <c r="V196" s="106"/>
      <c r="W196" s="302" t="str">
        <f t="shared" si="19"/>
        <v/>
      </c>
      <c r="X196" s="302" t="str">
        <f t="shared" si="20"/>
        <v/>
      </c>
      <c r="Y196" s="302" t="str">
        <f t="shared" si="21"/>
        <v/>
      </c>
      <c r="Z196" s="471" t="str">
        <f t="shared" si="22"/>
        <v/>
      </c>
      <c r="AA196" s="488"/>
      <c r="AB196" s="486"/>
      <c r="AC196" s="101"/>
      <c r="AD196" s="101"/>
      <c r="AE196" s="41" t="str">
        <f>IF(OR(Q196="",AA196="Yes"),"",IF(Q196='G-1 All Habitats'!$X$3,E196-U196-V196,"None"))</f>
        <v/>
      </c>
      <c r="AF196" s="42" t="str">
        <f>IF(Q196="","", IF(Q196='G-1 All Habitats'!$X$3, AE196*G196*I196*L196*N196*P196,"None"))</f>
        <v/>
      </c>
      <c r="AI196" s="15">
        <f t="shared" si="23"/>
        <v>0</v>
      </c>
      <c r="AJ196" s="105" t="str">
        <f t="shared" si="24"/>
        <v/>
      </c>
      <c r="AK196" s="105" t="str">
        <f t="shared" si="25"/>
        <v/>
      </c>
      <c r="AM196" s="105">
        <v>187</v>
      </c>
      <c r="AO196" s="105" t="str">
        <f t="array" ref="AO196">IFERROR(INDEX($AM$10:$AM$258, MATCH(0, IF(TRUE=$AJ$10:$AJ$258, COUNTIF($AO$9:$AO195, $AM$10:$AM$258), ""), 0)),"")</f>
        <v/>
      </c>
      <c r="AP196" s="105" t="str">
        <f t="array" ref="AP196">IFERROR(INDEX($AM$10:$AM$258, MATCH(0, IF(TRUE=$AK$10:$AK$258, COUNTIF($AP$9:$AP195, $AM$10:$AM$258), ""), 0)),"")</f>
        <v/>
      </c>
      <c r="AR196" s="15" t="str">
        <f>IFERROR(INDEX('G-7 WaterC'' Data'!$AZ$3:$AZ$7,MATCH(D196,'G-7 WaterC'' Data'!$AY$3:$AY$7,0)),"")</f>
        <v/>
      </c>
      <c r="AS196" s="15" t="str">
        <f>IFERROR(INDEX('G-7 WaterC'' Data'!AZ196:AZ200,MATCH(D196,'G-7 WaterC'' Data'!$AY$10:$AY$14,0)),"")</f>
        <v/>
      </c>
      <c r="AU196" s="15" t="str">
        <f>IF(D196="","",VLOOKUP(D196,'G-7 WaterC'' Data'!B$4:M$8,12,FALSE))</f>
        <v/>
      </c>
      <c r="AV196" s="15" t="str">
        <f t="shared" si="26"/>
        <v/>
      </c>
    </row>
    <row r="197" spans="3:48" ht="14" x14ac:dyDescent="0.3">
      <c r="C197" s="92">
        <v>188</v>
      </c>
      <c r="D197" s="271"/>
      <c r="E197" s="120"/>
      <c r="F197" s="290" t="str">
        <f>IF(D197="","",VLOOKUP(D197,'G-7 WaterC'' Data'!$B$2:$G$8,2,FALSE))</f>
        <v/>
      </c>
      <c r="G197" s="291" t="str">
        <f>IFERROR(VLOOKUP(F197,'G-7 WaterC'' Data'!$C$4:$D$8,2,FALSE),"")</f>
        <v/>
      </c>
      <c r="H197" s="38"/>
      <c r="I197" s="291" t="str">
        <f>IFERROR(INDEX('G-7 WaterC'' Data'!$H$4:$L$8,MATCH(D197,'G-7 WaterC'' Data'!$B$4:$B$8,0),MATCH(H197,'G-7 WaterC'' Data'!$H$3:$L$3,0)),"")</f>
        <v/>
      </c>
      <c r="J197" s="777"/>
      <c r="K197" s="325" t="str">
        <f>IF(J197="","",IF(VLOOKUP(J197,'G-7 WaterC'' Data'!$AK$4:$AM$6,2,FALSE)=0,"Spatial Data Missing ⚠",VLOOKUP(J197,'G-7 WaterC'' Data'!$AK$4:$AM$6,2,FALSE)))</f>
        <v/>
      </c>
      <c r="L197" s="296" t="str">
        <f>IF(J197="","",IF(VLOOKUP(J197,'G-7 WaterC'' Data'!$AK$4:$AM$9,3,FALSE)=0,"Spatial Data Missing ⚠",VLOOKUP(J197,'G-7 WaterC'' Data'!$AK$4:$AM$6,3,FALSE)))</f>
        <v/>
      </c>
      <c r="M197" s="38"/>
      <c r="N197" s="291" t="str">
        <f>IF(M197="","",IF(AND(D197&lt;&gt;"Culvert",M197="N/A - Culvert"),"Not possible ▲",IF(AND(D197="Culvert",M197&lt;&gt;"N/A - Culvert"),"Not possible ▲",IF(VLOOKUP(M197,'G-7 WaterC'' Data'!$AA$4:$AB$7,2,FALSE)=0,"Spatial Data Missing ⚠",VLOOKUP(M197,'G-7 WaterC'' Data'!$AA$4:$AB$7,2,FALSE)))))</f>
        <v/>
      </c>
      <c r="O197" s="44"/>
      <c r="P197" s="291" t="str">
        <f>IF(O197="","",IF(AND(O197="N/A - Culvert", D197&lt;&gt;"Culvert"),"Not possible ▲", IF(AND(D197="Culvert",O197&lt;&gt;"N/A - Culvert"),"Not possible ▲",IF(VLOOKUP(O197,'G-7 WaterC'' Data'!$AD$4:$AE$14,2,FALSE)=0,"Spatial Data Missing ⚠",VLOOKUP(O197,'G-7 WaterC'' Data'!$AD$4:$AE$14,2,FALSE)))))</f>
        <v/>
      </c>
      <c r="Q197" s="297" t="str">
        <f>IF(D197="","",VLOOKUP(D197,'G-7 WaterC'' Data'!$B$2:$G$8,6,FALSE))</f>
        <v/>
      </c>
      <c r="R197" s="304" t="str">
        <f>IFERROR(IF(AND(Q197='G-1 All Habitats'!$X$3, AE197&gt;0, U197&lt;=0, V197&lt;=0, OR(AA197="No", AA197="")),"Any Loss Unacceptable ⚠", (IF(AND(Q197='G-1 All Habitats'!$X$3, AE197&gt;0, U197&lt;=0, V197&lt;=0, AA197="Yes"), 0, (IF(AND(Q197='G-1 All Habitats'!$X$3,(U197+V197)&lt;E197, OR(AA197="No", AA197="")),"Any Loss Unacceptable ⚠", (IF(AND(Q197='G-1 All Habitats'!$X$3,(U197+V197)&gt;E197), E197*G197*I197*L197*N197*P197, (IF(Q197="","",IF(AND(Q197='G-1 All Habitats'!$X$3,V197&gt;0),W197+X197,IF(AND(Q197='G-1 All Habitats'!$X$3,U197&gt;0), W197+X197, IF(AND(S197="Yes", V197&gt;(E197-U197)),(E197-U197)*G197*I197*L197*N197*P197, IF(AND(S197="Yes", V197&lt;=(E197-U197)), X197, E197*G197*I197*L197*N197*P197 ))))))))))))),"Check Data ▲")</f>
        <v/>
      </c>
      <c r="S197" s="671" t="str">
        <f t="shared" si="18"/>
        <v/>
      </c>
      <c r="T197" s="17"/>
      <c r="U197" s="95"/>
      <c r="V197" s="106"/>
      <c r="W197" s="302" t="str">
        <f t="shared" si="19"/>
        <v/>
      </c>
      <c r="X197" s="302" t="str">
        <f t="shared" si="20"/>
        <v/>
      </c>
      <c r="Y197" s="302" t="str">
        <f t="shared" si="21"/>
        <v/>
      </c>
      <c r="Z197" s="471" t="str">
        <f t="shared" si="22"/>
        <v/>
      </c>
      <c r="AA197" s="488"/>
      <c r="AB197" s="486"/>
      <c r="AC197" s="101"/>
      <c r="AD197" s="101"/>
      <c r="AE197" s="41" t="str">
        <f>IF(OR(Q197="",AA197="Yes"),"",IF(Q197='G-1 All Habitats'!$X$3,E197-U197-V197,"None"))</f>
        <v/>
      </c>
      <c r="AF197" s="42" t="str">
        <f>IF(Q197="","", IF(Q197='G-1 All Habitats'!$X$3, AE197*G197*I197*L197*N197*P197,"None"))</f>
        <v/>
      </c>
      <c r="AI197" s="15">
        <f t="shared" si="23"/>
        <v>0</v>
      </c>
      <c r="AJ197" s="105" t="str">
        <f t="shared" si="24"/>
        <v/>
      </c>
      <c r="AK197" s="105" t="str">
        <f t="shared" si="25"/>
        <v/>
      </c>
      <c r="AM197" s="105">
        <v>188</v>
      </c>
      <c r="AO197" s="105" t="str">
        <f t="array" ref="AO197">IFERROR(INDEX($AM$10:$AM$258, MATCH(0, IF(TRUE=$AJ$10:$AJ$258, COUNTIF($AO$9:$AO196, $AM$10:$AM$258), ""), 0)),"")</f>
        <v/>
      </c>
      <c r="AP197" s="105" t="str">
        <f t="array" ref="AP197">IFERROR(INDEX($AM$10:$AM$258, MATCH(0, IF(TRUE=$AK$10:$AK$258, COUNTIF($AP$9:$AP196, $AM$10:$AM$258), ""), 0)),"")</f>
        <v/>
      </c>
      <c r="AR197" s="15" t="str">
        <f>IFERROR(INDEX('G-7 WaterC'' Data'!$AZ$3:$AZ$7,MATCH(D197,'G-7 WaterC'' Data'!$AY$3:$AY$7,0)),"")</f>
        <v/>
      </c>
      <c r="AS197" s="15" t="str">
        <f>IFERROR(INDEX('G-7 WaterC'' Data'!AZ197:AZ201,MATCH(D197,'G-7 WaterC'' Data'!$AY$10:$AY$14,0)),"")</f>
        <v/>
      </c>
      <c r="AU197" s="15" t="str">
        <f>IF(D197="","",VLOOKUP(D197,'G-7 WaterC'' Data'!B$4:M$8,12,FALSE))</f>
        <v/>
      </c>
      <c r="AV197" s="15" t="str">
        <f t="shared" si="26"/>
        <v/>
      </c>
    </row>
    <row r="198" spans="3:48" ht="14" x14ac:dyDescent="0.3">
      <c r="C198" s="92">
        <v>189</v>
      </c>
      <c r="D198" s="271"/>
      <c r="E198" s="120"/>
      <c r="F198" s="290" t="str">
        <f>IF(D198="","",VLOOKUP(D198,'G-7 WaterC'' Data'!$B$2:$G$8,2,FALSE))</f>
        <v/>
      </c>
      <c r="G198" s="291" t="str">
        <f>IFERROR(VLOOKUP(F198,'G-7 WaterC'' Data'!$C$4:$D$8,2,FALSE),"")</f>
        <v/>
      </c>
      <c r="H198" s="38"/>
      <c r="I198" s="291" t="str">
        <f>IFERROR(INDEX('G-7 WaterC'' Data'!$H$4:$L$8,MATCH(D198,'G-7 WaterC'' Data'!$B$4:$B$8,0),MATCH(H198,'G-7 WaterC'' Data'!$H$3:$L$3,0)),"")</f>
        <v/>
      </c>
      <c r="J198" s="777"/>
      <c r="K198" s="325" t="str">
        <f>IF(J198="","",IF(VLOOKUP(J198,'G-7 WaterC'' Data'!$AK$4:$AM$6,2,FALSE)=0,"Spatial Data Missing ⚠",VLOOKUP(J198,'G-7 WaterC'' Data'!$AK$4:$AM$6,2,FALSE)))</f>
        <v/>
      </c>
      <c r="L198" s="296" t="str">
        <f>IF(J198="","",IF(VLOOKUP(J198,'G-7 WaterC'' Data'!$AK$4:$AM$9,3,FALSE)=0,"Spatial Data Missing ⚠",VLOOKUP(J198,'G-7 WaterC'' Data'!$AK$4:$AM$6,3,FALSE)))</f>
        <v/>
      </c>
      <c r="M198" s="38"/>
      <c r="N198" s="291" t="str">
        <f>IF(M198="","",IF(AND(D198&lt;&gt;"Culvert",M198="N/A - Culvert"),"Not possible ▲",IF(AND(D198="Culvert",M198&lt;&gt;"N/A - Culvert"),"Not possible ▲",IF(VLOOKUP(M198,'G-7 WaterC'' Data'!$AA$4:$AB$7,2,FALSE)=0,"Spatial Data Missing ⚠",VLOOKUP(M198,'G-7 WaterC'' Data'!$AA$4:$AB$7,2,FALSE)))))</f>
        <v/>
      </c>
      <c r="O198" s="44"/>
      <c r="P198" s="291" t="str">
        <f>IF(O198="","",IF(AND(O198="N/A - Culvert", D198&lt;&gt;"Culvert"),"Not possible ▲", IF(AND(D198="Culvert",O198&lt;&gt;"N/A - Culvert"),"Not possible ▲",IF(VLOOKUP(O198,'G-7 WaterC'' Data'!$AD$4:$AE$14,2,FALSE)=0,"Spatial Data Missing ⚠",VLOOKUP(O198,'G-7 WaterC'' Data'!$AD$4:$AE$14,2,FALSE)))))</f>
        <v/>
      </c>
      <c r="Q198" s="297" t="str">
        <f>IF(D198="","",VLOOKUP(D198,'G-7 WaterC'' Data'!$B$2:$G$8,6,FALSE))</f>
        <v/>
      </c>
      <c r="R198" s="304" t="str">
        <f>IFERROR(IF(AND(Q198='G-1 All Habitats'!$X$3, AE198&gt;0, U198&lt;=0, V198&lt;=0, OR(AA198="No", AA198="")),"Any Loss Unacceptable ⚠", (IF(AND(Q198='G-1 All Habitats'!$X$3, AE198&gt;0, U198&lt;=0, V198&lt;=0, AA198="Yes"), 0, (IF(AND(Q198='G-1 All Habitats'!$X$3,(U198+V198)&lt;E198, OR(AA198="No", AA198="")),"Any Loss Unacceptable ⚠", (IF(AND(Q198='G-1 All Habitats'!$X$3,(U198+V198)&gt;E198), E198*G198*I198*L198*N198*P198, (IF(Q198="","",IF(AND(Q198='G-1 All Habitats'!$X$3,V198&gt;0),W198+X198,IF(AND(Q198='G-1 All Habitats'!$X$3,U198&gt;0), W198+X198, IF(AND(S198="Yes", V198&gt;(E198-U198)),(E198-U198)*G198*I198*L198*N198*P198, IF(AND(S198="Yes", V198&lt;=(E198-U198)), X198, E198*G198*I198*L198*N198*P198 ))))))))))))),"Check Data ▲")</f>
        <v/>
      </c>
      <c r="S198" s="671" t="str">
        <f t="shared" si="18"/>
        <v/>
      </c>
      <c r="T198" s="17"/>
      <c r="U198" s="95"/>
      <c r="V198" s="106"/>
      <c r="W198" s="302" t="str">
        <f t="shared" si="19"/>
        <v/>
      </c>
      <c r="X198" s="302" t="str">
        <f t="shared" si="20"/>
        <v/>
      </c>
      <c r="Y198" s="302" t="str">
        <f t="shared" si="21"/>
        <v/>
      </c>
      <c r="Z198" s="471" t="str">
        <f t="shared" si="22"/>
        <v/>
      </c>
      <c r="AA198" s="488"/>
      <c r="AB198" s="486"/>
      <c r="AC198" s="101"/>
      <c r="AD198" s="101"/>
      <c r="AE198" s="41" t="str">
        <f>IF(OR(Q198="",AA198="Yes"),"",IF(Q198='G-1 All Habitats'!$X$3,E198-U198-V198,"None"))</f>
        <v/>
      </c>
      <c r="AF198" s="42" t="str">
        <f>IF(Q198="","", IF(Q198='G-1 All Habitats'!$X$3, AE198*G198*I198*L198*N198*P198,"None"))</f>
        <v/>
      </c>
      <c r="AI198" s="15">
        <f t="shared" si="23"/>
        <v>0</v>
      </c>
      <c r="AJ198" s="105" t="str">
        <f t="shared" si="24"/>
        <v/>
      </c>
      <c r="AK198" s="105" t="str">
        <f t="shared" si="25"/>
        <v/>
      </c>
      <c r="AM198" s="105">
        <v>189</v>
      </c>
      <c r="AO198" s="105" t="str">
        <f t="array" ref="AO198">IFERROR(INDEX($AM$10:$AM$258, MATCH(0, IF(TRUE=$AJ$10:$AJ$258, COUNTIF($AO$9:$AO197, $AM$10:$AM$258), ""), 0)),"")</f>
        <v/>
      </c>
      <c r="AP198" s="105" t="str">
        <f t="array" ref="AP198">IFERROR(INDEX($AM$10:$AM$258, MATCH(0, IF(TRUE=$AK$10:$AK$258, COUNTIF($AP$9:$AP197, $AM$10:$AM$258), ""), 0)),"")</f>
        <v/>
      </c>
      <c r="AR198" s="15" t="str">
        <f>IFERROR(INDEX('G-7 WaterC'' Data'!$AZ$3:$AZ$7,MATCH(D198,'G-7 WaterC'' Data'!$AY$3:$AY$7,0)),"")</f>
        <v/>
      </c>
      <c r="AS198" s="15" t="str">
        <f>IFERROR(INDEX('G-7 WaterC'' Data'!AZ198:AZ202,MATCH(D198,'G-7 WaterC'' Data'!$AY$10:$AY$14,0)),"")</f>
        <v/>
      </c>
      <c r="AU198" s="15" t="str">
        <f>IF(D198="","",VLOOKUP(D198,'G-7 WaterC'' Data'!B$4:M$8,12,FALSE))</f>
        <v/>
      </c>
      <c r="AV198" s="15" t="str">
        <f t="shared" si="26"/>
        <v/>
      </c>
    </row>
    <row r="199" spans="3:48" ht="14" x14ac:dyDescent="0.3">
      <c r="C199" s="92">
        <v>190</v>
      </c>
      <c r="D199" s="271"/>
      <c r="E199" s="120"/>
      <c r="F199" s="290" t="str">
        <f>IF(D199="","",VLOOKUP(D199,'G-7 WaterC'' Data'!$B$2:$G$8,2,FALSE))</f>
        <v/>
      </c>
      <c r="G199" s="291" t="str">
        <f>IFERROR(VLOOKUP(F199,'G-7 WaterC'' Data'!$C$4:$D$8,2,FALSE),"")</f>
        <v/>
      </c>
      <c r="H199" s="38"/>
      <c r="I199" s="291" t="str">
        <f>IFERROR(INDEX('G-7 WaterC'' Data'!$H$4:$L$8,MATCH(D199,'G-7 WaterC'' Data'!$B$4:$B$8,0),MATCH(H199,'G-7 WaterC'' Data'!$H$3:$L$3,0)),"")</f>
        <v/>
      </c>
      <c r="J199" s="777"/>
      <c r="K199" s="325" t="str">
        <f>IF(J199="","",IF(VLOOKUP(J199,'G-7 WaterC'' Data'!$AK$4:$AM$6,2,FALSE)=0,"Spatial Data Missing ⚠",VLOOKUP(J199,'G-7 WaterC'' Data'!$AK$4:$AM$6,2,FALSE)))</f>
        <v/>
      </c>
      <c r="L199" s="296" t="str">
        <f>IF(J199="","",IF(VLOOKUP(J199,'G-7 WaterC'' Data'!$AK$4:$AM$9,3,FALSE)=0,"Spatial Data Missing ⚠",VLOOKUP(J199,'G-7 WaterC'' Data'!$AK$4:$AM$6,3,FALSE)))</f>
        <v/>
      </c>
      <c r="M199" s="38"/>
      <c r="N199" s="291" t="str">
        <f>IF(M199="","",IF(AND(D199&lt;&gt;"Culvert",M199="N/A - Culvert"),"Not possible ▲",IF(AND(D199="Culvert",M199&lt;&gt;"N/A - Culvert"),"Not possible ▲",IF(VLOOKUP(M199,'G-7 WaterC'' Data'!$AA$4:$AB$7,2,FALSE)=0,"Spatial Data Missing ⚠",VLOOKUP(M199,'G-7 WaterC'' Data'!$AA$4:$AB$7,2,FALSE)))))</f>
        <v/>
      </c>
      <c r="O199" s="44"/>
      <c r="P199" s="291" t="str">
        <f>IF(O199="","",IF(AND(O199="N/A - Culvert", D199&lt;&gt;"Culvert"),"Not possible ▲", IF(AND(D199="Culvert",O199&lt;&gt;"N/A - Culvert"),"Not possible ▲",IF(VLOOKUP(O199,'G-7 WaterC'' Data'!$AD$4:$AE$14,2,FALSE)=0,"Spatial Data Missing ⚠",VLOOKUP(O199,'G-7 WaterC'' Data'!$AD$4:$AE$14,2,FALSE)))))</f>
        <v/>
      </c>
      <c r="Q199" s="297" t="str">
        <f>IF(D199="","",VLOOKUP(D199,'G-7 WaterC'' Data'!$B$2:$G$8,6,FALSE))</f>
        <v/>
      </c>
      <c r="R199" s="304" t="str">
        <f>IFERROR(IF(AND(Q199='G-1 All Habitats'!$X$3, AE199&gt;0, U199&lt;=0, V199&lt;=0, OR(AA199="No", AA199="")),"Any Loss Unacceptable ⚠", (IF(AND(Q199='G-1 All Habitats'!$X$3, AE199&gt;0, U199&lt;=0, V199&lt;=0, AA199="Yes"), 0, (IF(AND(Q199='G-1 All Habitats'!$X$3,(U199+V199)&lt;E199, OR(AA199="No", AA199="")),"Any Loss Unacceptable ⚠", (IF(AND(Q199='G-1 All Habitats'!$X$3,(U199+V199)&gt;E199), E199*G199*I199*L199*N199*P199, (IF(Q199="","",IF(AND(Q199='G-1 All Habitats'!$X$3,V199&gt;0),W199+X199,IF(AND(Q199='G-1 All Habitats'!$X$3,U199&gt;0), W199+X199, IF(AND(S199="Yes", V199&gt;(E199-U199)),(E199-U199)*G199*I199*L199*N199*P199, IF(AND(S199="Yes", V199&lt;=(E199-U199)), X199, E199*G199*I199*L199*N199*P199 ))))))))))))),"Check Data ▲")</f>
        <v/>
      </c>
      <c r="S199" s="671" t="str">
        <f t="shared" si="18"/>
        <v/>
      </c>
      <c r="T199" s="17"/>
      <c r="U199" s="95"/>
      <c r="V199" s="106"/>
      <c r="W199" s="302" t="str">
        <f t="shared" si="19"/>
        <v/>
      </c>
      <c r="X199" s="302" t="str">
        <f t="shared" si="20"/>
        <v/>
      </c>
      <c r="Y199" s="302" t="str">
        <f t="shared" si="21"/>
        <v/>
      </c>
      <c r="Z199" s="471" t="str">
        <f t="shared" si="22"/>
        <v/>
      </c>
      <c r="AA199" s="488"/>
      <c r="AB199" s="486"/>
      <c r="AC199" s="101"/>
      <c r="AD199" s="101"/>
      <c r="AE199" s="41" t="str">
        <f>IF(OR(Q199="",AA199="Yes"),"",IF(Q199='G-1 All Habitats'!$X$3,E199-U199-V199,"None"))</f>
        <v/>
      </c>
      <c r="AF199" s="42" t="str">
        <f>IF(Q199="","", IF(Q199='G-1 All Habitats'!$X$3, AE199*G199*I199*L199*N199*P199,"None"))</f>
        <v/>
      </c>
      <c r="AI199" s="15">
        <f t="shared" si="23"/>
        <v>0</v>
      </c>
      <c r="AJ199" s="105" t="str">
        <f t="shared" si="24"/>
        <v/>
      </c>
      <c r="AK199" s="105" t="str">
        <f t="shared" si="25"/>
        <v/>
      </c>
      <c r="AM199" s="105">
        <v>190</v>
      </c>
      <c r="AO199" s="105" t="str">
        <f t="array" ref="AO199">IFERROR(INDEX($AM$10:$AM$258, MATCH(0, IF(TRUE=$AJ$10:$AJ$258, COUNTIF($AO$9:$AO198, $AM$10:$AM$258), ""), 0)),"")</f>
        <v/>
      </c>
      <c r="AP199" s="105" t="str">
        <f t="array" ref="AP199">IFERROR(INDEX($AM$10:$AM$258, MATCH(0, IF(TRUE=$AK$10:$AK$258, COUNTIF($AP$9:$AP198, $AM$10:$AM$258), ""), 0)),"")</f>
        <v/>
      </c>
      <c r="AR199" s="15" t="str">
        <f>IFERROR(INDEX('G-7 WaterC'' Data'!$AZ$3:$AZ$7,MATCH(D199,'G-7 WaterC'' Data'!$AY$3:$AY$7,0)),"")</f>
        <v/>
      </c>
      <c r="AS199" s="15" t="str">
        <f>IFERROR(INDEX('G-7 WaterC'' Data'!AZ199:AZ203,MATCH(D199,'G-7 WaterC'' Data'!$AY$10:$AY$14,0)),"")</f>
        <v/>
      </c>
      <c r="AU199" s="15" t="str">
        <f>IF(D199="","",VLOOKUP(D199,'G-7 WaterC'' Data'!B$4:M$8,12,FALSE))</f>
        <v/>
      </c>
      <c r="AV199" s="15" t="str">
        <f t="shared" si="26"/>
        <v/>
      </c>
    </row>
    <row r="200" spans="3:48" ht="14" x14ac:dyDescent="0.3">
      <c r="C200" s="92">
        <v>191</v>
      </c>
      <c r="D200" s="271"/>
      <c r="E200" s="120"/>
      <c r="F200" s="290" t="str">
        <f>IF(D200="","",VLOOKUP(D200,'G-7 WaterC'' Data'!$B$2:$G$8,2,FALSE))</f>
        <v/>
      </c>
      <c r="G200" s="291" t="str">
        <f>IFERROR(VLOOKUP(F200,'G-7 WaterC'' Data'!$C$4:$D$8,2,FALSE),"")</f>
        <v/>
      </c>
      <c r="H200" s="38"/>
      <c r="I200" s="291" t="str">
        <f>IFERROR(INDEX('G-7 WaterC'' Data'!$H$4:$L$8,MATCH(D200,'G-7 WaterC'' Data'!$B$4:$B$8,0),MATCH(H200,'G-7 WaterC'' Data'!$H$3:$L$3,0)),"")</f>
        <v/>
      </c>
      <c r="J200" s="777"/>
      <c r="K200" s="325" t="str">
        <f>IF(J200="","",IF(VLOOKUP(J200,'G-7 WaterC'' Data'!$AK$4:$AM$6,2,FALSE)=0,"Spatial Data Missing ⚠",VLOOKUP(J200,'G-7 WaterC'' Data'!$AK$4:$AM$6,2,FALSE)))</f>
        <v/>
      </c>
      <c r="L200" s="296" t="str">
        <f>IF(J200="","",IF(VLOOKUP(J200,'G-7 WaterC'' Data'!$AK$4:$AM$9,3,FALSE)=0,"Spatial Data Missing ⚠",VLOOKUP(J200,'G-7 WaterC'' Data'!$AK$4:$AM$6,3,FALSE)))</f>
        <v/>
      </c>
      <c r="M200" s="38"/>
      <c r="N200" s="291" t="str">
        <f>IF(M200="","",IF(AND(D200&lt;&gt;"Culvert",M200="N/A - Culvert"),"Not possible ▲",IF(AND(D200="Culvert",M200&lt;&gt;"N/A - Culvert"),"Not possible ▲",IF(VLOOKUP(M200,'G-7 WaterC'' Data'!$AA$4:$AB$7,2,FALSE)=0,"Spatial Data Missing ⚠",VLOOKUP(M200,'G-7 WaterC'' Data'!$AA$4:$AB$7,2,FALSE)))))</f>
        <v/>
      </c>
      <c r="O200" s="44"/>
      <c r="P200" s="291" t="str">
        <f>IF(O200="","",IF(AND(O200="N/A - Culvert", D200&lt;&gt;"Culvert"),"Not possible ▲", IF(AND(D200="Culvert",O200&lt;&gt;"N/A - Culvert"),"Not possible ▲",IF(VLOOKUP(O200,'G-7 WaterC'' Data'!$AD$4:$AE$14,2,FALSE)=0,"Spatial Data Missing ⚠",VLOOKUP(O200,'G-7 WaterC'' Data'!$AD$4:$AE$14,2,FALSE)))))</f>
        <v/>
      </c>
      <c r="Q200" s="297" t="str">
        <f>IF(D200="","",VLOOKUP(D200,'G-7 WaterC'' Data'!$B$2:$G$8,6,FALSE))</f>
        <v/>
      </c>
      <c r="R200" s="304" t="str">
        <f>IFERROR(IF(AND(Q200='G-1 All Habitats'!$X$3, AE200&gt;0, U200&lt;=0, V200&lt;=0, OR(AA200="No", AA200="")),"Any Loss Unacceptable ⚠", (IF(AND(Q200='G-1 All Habitats'!$X$3, AE200&gt;0, U200&lt;=0, V200&lt;=0, AA200="Yes"), 0, (IF(AND(Q200='G-1 All Habitats'!$X$3,(U200+V200)&lt;E200, OR(AA200="No", AA200="")),"Any Loss Unacceptable ⚠", (IF(AND(Q200='G-1 All Habitats'!$X$3,(U200+V200)&gt;E200), E200*G200*I200*L200*N200*P200, (IF(Q200="","",IF(AND(Q200='G-1 All Habitats'!$X$3,V200&gt;0),W200+X200,IF(AND(Q200='G-1 All Habitats'!$X$3,U200&gt;0), W200+X200, IF(AND(S200="Yes", V200&gt;(E200-U200)),(E200-U200)*G200*I200*L200*N200*P200, IF(AND(S200="Yes", V200&lt;=(E200-U200)), X200, E200*G200*I200*L200*N200*P200 ))))))))))))),"Check Data ▲")</f>
        <v/>
      </c>
      <c r="S200" s="671" t="str">
        <f t="shared" si="18"/>
        <v/>
      </c>
      <c r="T200" s="17"/>
      <c r="U200" s="95"/>
      <c r="V200" s="106"/>
      <c r="W200" s="302" t="str">
        <f t="shared" si="19"/>
        <v/>
      </c>
      <c r="X200" s="302" t="str">
        <f t="shared" si="20"/>
        <v/>
      </c>
      <c r="Y200" s="302" t="str">
        <f t="shared" si="21"/>
        <v/>
      </c>
      <c r="Z200" s="471" t="str">
        <f t="shared" si="22"/>
        <v/>
      </c>
      <c r="AA200" s="488"/>
      <c r="AB200" s="486"/>
      <c r="AC200" s="101"/>
      <c r="AD200" s="101"/>
      <c r="AE200" s="41" t="str">
        <f>IF(OR(Q200="",AA200="Yes"),"",IF(Q200='G-1 All Habitats'!$X$3,E200-U200-V200,"None"))</f>
        <v/>
      </c>
      <c r="AF200" s="42" t="str">
        <f>IF(Q200="","", IF(Q200='G-1 All Habitats'!$X$3, AE200*G200*I200*L200*N200*P200,"None"))</f>
        <v/>
      </c>
      <c r="AI200" s="15">
        <f t="shared" si="23"/>
        <v>0</v>
      </c>
      <c r="AJ200" s="105" t="str">
        <f t="shared" si="24"/>
        <v/>
      </c>
      <c r="AK200" s="105" t="str">
        <f t="shared" si="25"/>
        <v/>
      </c>
      <c r="AM200" s="105">
        <v>191</v>
      </c>
      <c r="AO200" s="105" t="str">
        <f t="array" ref="AO200">IFERROR(INDEX($AM$10:$AM$258, MATCH(0, IF(TRUE=$AJ$10:$AJ$258, COUNTIF($AO$9:$AO199, $AM$10:$AM$258), ""), 0)),"")</f>
        <v/>
      </c>
      <c r="AP200" s="105" t="str">
        <f t="array" ref="AP200">IFERROR(INDEX($AM$10:$AM$258, MATCH(0, IF(TRUE=$AK$10:$AK$258, COUNTIF($AP$9:$AP199, $AM$10:$AM$258), ""), 0)),"")</f>
        <v/>
      </c>
      <c r="AR200" s="15" t="str">
        <f>IFERROR(INDEX('G-7 WaterC'' Data'!$AZ$3:$AZ$7,MATCH(D200,'G-7 WaterC'' Data'!$AY$3:$AY$7,0)),"")</f>
        <v/>
      </c>
      <c r="AS200" s="15" t="str">
        <f>IFERROR(INDEX('G-7 WaterC'' Data'!AZ200:AZ204,MATCH(D200,'G-7 WaterC'' Data'!$AY$10:$AY$14,0)),"")</f>
        <v/>
      </c>
      <c r="AU200" s="15" t="str">
        <f>IF(D200="","",VLOOKUP(D200,'G-7 WaterC'' Data'!B$4:M$8,12,FALSE))</f>
        <v/>
      </c>
      <c r="AV200" s="15" t="str">
        <f t="shared" si="26"/>
        <v/>
      </c>
    </row>
    <row r="201" spans="3:48" ht="14" x14ac:dyDescent="0.3">
      <c r="C201" s="92">
        <v>192</v>
      </c>
      <c r="D201" s="271"/>
      <c r="E201" s="120"/>
      <c r="F201" s="290" t="str">
        <f>IF(D201="","",VLOOKUP(D201,'G-7 WaterC'' Data'!$B$2:$G$8,2,FALSE))</f>
        <v/>
      </c>
      <c r="G201" s="291" t="str">
        <f>IFERROR(VLOOKUP(F201,'G-7 WaterC'' Data'!$C$4:$D$8,2,FALSE),"")</f>
        <v/>
      </c>
      <c r="H201" s="38"/>
      <c r="I201" s="291" t="str">
        <f>IFERROR(INDEX('G-7 WaterC'' Data'!$H$4:$L$8,MATCH(D201,'G-7 WaterC'' Data'!$B$4:$B$8,0),MATCH(H201,'G-7 WaterC'' Data'!$H$3:$L$3,0)),"")</f>
        <v/>
      </c>
      <c r="J201" s="777"/>
      <c r="K201" s="325" t="str">
        <f>IF(J201="","",IF(VLOOKUP(J201,'G-7 WaterC'' Data'!$AK$4:$AM$6,2,FALSE)=0,"Spatial Data Missing ⚠",VLOOKUP(J201,'G-7 WaterC'' Data'!$AK$4:$AM$6,2,FALSE)))</f>
        <v/>
      </c>
      <c r="L201" s="296" t="str">
        <f>IF(J201="","",IF(VLOOKUP(J201,'G-7 WaterC'' Data'!$AK$4:$AM$9,3,FALSE)=0,"Spatial Data Missing ⚠",VLOOKUP(J201,'G-7 WaterC'' Data'!$AK$4:$AM$6,3,FALSE)))</f>
        <v/>
      </c>
      <c r="M201" s="38"/>
      <c r="N201" s="291" t="str">
        <f>IF(M201="","",IF(AND(D201&lt;&gt;"Culvert",M201="N/A - Culvert"),"Not possible ▲",IF(AND(D201="Culvert",M201&lt;&gt;"N/A - Culvert"),"Not possible ▲",IF(VLOOKUP(M201,'G-7 WaterC'' Data'!$AA$4:$AB$7,2,FALSE)=0,"Spatial Data Missing ⚠",VLOOKUP(M201,'G-7 WaterC'' Data'!$AA$4:$AB$7,2,FALSE)))))</f>
        <v/>
      </c>
      <c r="O201" s="44"/>
      <c r="P201" s="291" t="str">
        <f>IF(O201="","",IF(AND(O201="N/A - Culvert", D201&lt;&gt;"Culvert"),"Not possible ▲", IF(AND(D201="Culvert",O201&lt;&gt;"N/A - Culvert"),"Not possible ▲",IF(VLOOKUP(O201,'G-7 WaterC'' Data'!$AD$4:$AE$14,2,FALSE)=0,"Spatial Data Missing ⚠",VLOOKUP(O201,'G-7 WaterC'' Data'!$AD$4:$AE$14,2,FALSE)))))</f>
        <v/>
      </c>
      <c r="Q201" s="297" t="str">
        <f>IF(D201="","",VLOOKUP(D201,'G-7 WaterC'' Data'!$B$2:$G$8,6,FALSE))</f>
        <v/>
      </c>
      <c r="R201" s="304" t="str">
        <f>IFERROR(IF(AND(Q201='G-1 All Habitats'!$X$3, AE201&gt;0, U201&lt;=0, V201&lt;=0, OR(AA201="No", AA201="")),"Any Loss Unacceptable ⚠", (IF(AND(Q201='G-1 All Habitats'!$X$3, AE201&gt;0, U201&lt;=0, V201&lt;=0, AA201="Yes"), 0, (IF(AND(Q201='G-1 All Habitats'!$X$3,(U201+V201)&lt;E201, OR(AA201="No", AA201="")),"Any Loss Unacceptable ⚠", (IF(AND(Q201='G-1 All Habitats'!$X$3,(U201+V201)&gt;E201), E201*G201*I201*L201*N201*P201, (IF(Q201="","",IF(AND(Q201='G-1 All Habitats'!$X$3,V201&gt;0),W201+X201,IF(AND(Q201='G-1 All Habitats'!$X$3,U201&gt;0), W201+X201, IF(AND(S201="Yes", V201&gt;(E201-U201)),(E201-U201)*G201*I201*L201*N201*P201, IF(AND(S201="Yes", V201&lt;=(E201-U201)), X201, E201*G201*I201*L201*N201*P201 ))))))))))))),"Check Data ▲")</f>
        <v/>
      </c>
      <c r="S201" s="671" t="str">
        <f t="shared" si="18"/>
        <v/>
      </c>
      <c r="T201" s="17"/>
      <c r="U201" s="95"/>
      <c r="V201" s="106"/>
      <c r="W201" s="302" t="str">
        <f t="shared" si="19"/>
        <v/>
      </c>
      <c r="X201" s="302" t="str">
        <f t="shared" si="20"/>
        <v/>
      </c>
      <c r="Y201" s="302" t="str">
        <f t="shared" si="21"/>
        <v/>
      </c>
      <c r="Z201" s="471" t="str">
        <f t="shared" si="22"/>
        <v/>
      </c>
      <c r="AA201" s="488"/>
      <c r="AB201" s="486"/>
      <c r="AC201" s="101"/>
      <c r="AD201" s="101"/>
      <c r="AE201" s="41" t="str">
        <f>IF(OR(Q201="",AA201="Yes"),"",IF(Q201='G-1 All Habitats'!$X$3,E201-U201-V201,"None"))</f>
        <v/>
      </c>
      <c r="AF201" s="42" t="str">
        <f>IF(Q201="","", IF(Q201='G-1 All Habitats'!$X$3, AE201*G201*I201*L201*N201*P201,"None"))</f>
        <v/>
      </c>
      <c r="AI201" s="15">
        <f t="shared" si="23"/>
        <v>0</v>
      </c>
      <c r="AJ201" s="105" t="str">
        <f t="shared" si="24"/>
        <v/>
      </c>
      <c r="AK201" s="105" t="str">
        <f t="shared" si="25"/>
        <v/>
      </c>
      <c r="AM201" s="105">
        <v>192</v>
      </c>
      <c r="AO201" s="105" t="str">
        <f t="array" ref="AO201">IFERROR(INDEX($AM$10:$AM$258, MATCH(0, IF(TRUE=$AJ$10:$AJ$258, COUNTIF($AO$9:$AO200, $AM$10:$AM$258), ""), 0)),"")</f>
        <v/>
      </c>
      <c r="AP201" s="105" t="str">
        <f t="array" ref="AP201">IFERROR(INDEX($AM$10:$AM$258, MATCH(0, IF(TRUE=$AK$10:$AK$258, COUNTIF($AP$9:$AP200, $AM$10:$AM$258), ""), 0)),"")</f>
        <v/>
      </c>
      <c r="AR201" s="15" t="str">
        <f>IFERROR(INDEX('G-7 WaterC'' Data'!$AZ$3:$AZ$7,MATCH(D201,'G-7 WaterC'' Data'!$AY$3:$AY$7,0)),"")</f>
        <v/>
      </c>
      <c r="AS201" s="15" t="str">
        <f>IFERROR(INDEX('G-7 WaterC'' Data'!AZ201:AZ205,MATCH(D201,'G-7 WaterC'' Data'!$AY$10:$AY$14,0)),"")</f>
        <v/>
      </c>
      <c r="AU201" s="15" t="str">
        <f>IF(D201="","",VLOOKUP(D201,'G-7 WaterC'' Data'!B$4:M$8,12,FALSE))</f>
        <v/>
      </c>
      <c r="AV201" s="15" t="str">
        <f t="shared" si="26"/>
        <v/>
      </c>
    </row>
    <row r="202" spans="3:48" ht="14" x14ac:dyDescent="0.3">
      <c r="C202" s="92">
        <v>193</v>
      </c>
      <c r="D202" s="271"/>
      <c r="E202" s="120"/>
      <c r="F202" s="290" t="str">
        <f>IF(D202="","",VLOOKUP(D202,'G-7 WaterC'' Data'!$B$2:$G$8,2,FALSE))</f>
        <v/>
      </c>
      <c r="G202" s="291" t="str">
        <f>IFERROR(VLOOKUP(F202,'G-7 WaterC'' Data'!$C$4:$D$8,2,FALSE),"")</f>
        <v/>
      </c>
      <c r="H202" s="38"/>
      <c r="I202" s="291" t="str">
        <f>IFERROR(INDEX('G-7 WaterC'' Data'!$H$4:$L$8,MATCH(D202,'G-7 WaterC'' Data'!$B$4:$B$8,0),MATCH(H202,'G-7 WaterC'' Data'!$H$3:$L$3,0)),"")</f>
        <v/>
      </c>
      <c r="J202" s="777"/>
      <c r="K202" s="325" t="str">
        <f>IF(J202="","",IF(VLOOKUP(J202,'G-7 WaterC'' Data'!$AK$4:$AM$6,2,FALSE)=0,"Spatial Data Missing ⚠",VLOOKUP(J202,'G-7 WaterC'' Data'!$AK$4:$AM$6,2,FALSE)))</f>
        <v/>
      </c>
      <c r="L202" s="296" t="str">
        <f>IF(J202="","",IF(VLOOKUP(J202,'G-7 WaterC'' Data'!$AK$4:$AM$9,3,FALSE)=0,"Spatial Data Missing ⚠",VLOOKUP(J202,'G-7 WaterC'' Data'!$AK$4:$AM$6,3,FALSE)))</f>
        <v/>
      </c>
      <c r="M202" s="38"/>
      <c r="N202" s="291" t="str">
        <f>IF(M202="","",IF(AND(D202&lt;&gt;"Culvert",M202="N/A - Culvert"),"Not possible ▲",IF(AND(D202="Culvert",M202&lt;&gt;"N/A - Culvert"),"Not possible ▲",IF(VLOOKUP(M202,'G-7 WaterC'' Data'!$AA$4:$AB$7,2,FALSE)=0,"Spatial Data Missing ⚠",VLOOKUP(M202,'G-7 WaterC'' Data'!$AA$4:$AB$7,2,FALSE)))))</f>
        <v/>
      </c>
      <c r="O202" s="44"/>
      <c r="P202" s="291" t="str">
        <f>IF(O202="","",IF(AND(O202="N/A - Culvert", D202&lt;&gt;"Culvert"),"Not possible ▲", IF(AND(D202="Culvert",O202&lt;&gt;"N/A - Culvert"),"Not possible ▲",IF(VLOOKUP(O202,'G-7 WaterC'' Data'!$AD$4:$AE$14,2,FALSE)=0,"Spatial Data Missing ⚠",VLOOKUP(O202,'G-7 WaterC'' Data'!$AD$4:$AE$14,2,FALSE)))))</f>
        <v/>
      </c>
      <c r="Q202" s="297" t="str">
        <f>IF(D202="","",VLOOKUP(D202,'G-7 WaterC'' Data'!$B$2:$G$8,6,FALSE))</f>
        <v/>
      </c>
      <c r="R202" s="304" t="str">
        <f>IFERROR(IF(AND(Q202='G-1 All Habitats'!$X$3, AE202&gt;0, U202&lt;=0, V202&lt;=0, OR(AA202="No", AA202="")),"Any Loss Unacceptable ⚠", (IF(AND(Q202='G-1 All Habitats'!$X$3, AE202&gt;0, U202&lt;=0, V202&lt;=0, AA202="Yes"), 0, (IF(AND(Q202='G-1 All Habitats'!$X$3,(U202+V202)&lt;E202, OR(AA202="No", AA202="")),"Any Loss Unacceptable ⚠", (IF(AND(Q202='G-1 All Habitats'!$X$3,(U202+V202)&gt;E202), E202*G202*I202*L202*N202*P202, (IF(Q202="","",IF(AND(Q202='G-1 All Habitats'!$X$3,V202&gt;0),W202+X202,IF(AND(Q202='G-1 All Habitats'!$X$3,U202&gt;0), W202+X202, IF(AND(S202="Yes", V202&gt;(E202-U202)),(E202-U202)*G202*I202*L202*N202*P202, IF(AND(S202="Yes", V202&lt;=(E202-U202)), X202, E202*G202*I202*L202*N202*P202 ))))))))))))),"Check Data ▲")</f>
        <v/>
      </c>
      <c r="S202" s="671" t="str">
        <f t="shared" si="18"/>
        <v/>
      </c>
      <c r="T202" s="17"/>
      <c r="U202" s="95"/>
      <c r="V202" s="106"/>
      <c r="W202" s="302" t="str">
        <f t="shared" si="19"/>
        <v/>
      </c>
      <c r="X202" s="302" t="str">
        <f t="shared" si="20"/>
        <v/>
      </c>
      <c r="Y202" s="302" t="str">
        <f t="shared" si="21"/>
        <v/>
      </c>
      <c r="Z202" s="471" t="str">
        <f t="shared" si="22"/>
        <v/>
      </c>
      <c r="AA202" s="488"/>
      <c r="AB202" s="486"/>
      <c r="AC202" s="101"/>
      <c r="AD202" s="101"/>
      <c r="AE202" s="41" t="str">
        <f>IF(OR(Q202="",AA202="Yes"),"",IF(Q202='G-1 All Habitats'!$X$3,E202-U202-V202,"None"))</f>
        <v/>
      </c>
      <c r="AF202" s="42" t="str">
        <f>IF(Q202="","", IF(Q202='G-1 All Habitats'!$X$3, AE202*G202*I202*L202*N202*P202,"None"))</f>
        <v/>
      </c>
      <c r="AI202" s="15">
        <f t="shared" si="23"/>
        <v>0</v>
      </c>
      <c r="AJ202" s="105" t="str">
        <f t="shared" si="24"/>
        <v/>
      </c>
      <c r="AK202" s="105" t="str">
        <f t="shared" si="25"/>
        <v/>
      </c>
      <c r="AM202" s="105">
        <v>193</v>
      </c>
      <c r="AO202" s="105" t="str">
        <f t="array" ref="AO202">IFERROR(INDEX($AM$10:$AM$258, MATCH(0, IF(TRUE=$AJ$10:$AJ$258, COUNTIF($AO$9:$AO201, $AM$10:$AM$258), ""), 0)),"")</f>
        <v/>
      </c>
      <c r="AP202" s="105" t="str">
        <f t="array" ref="AP202">IFERROR(INDEX($AM$10:$AM$258, MATCH(0, IF(TRUE=$AK$10:$AK$258, COUNTIF($AP$9:$AP201, $AM$10:$AM$258), ""), 0)),"")</f>
        <v/>
      </c>
      <c r="AR202" s="15" t="str">
        <f>IFERROR(INDEX('G-7 WaterC'' Data'!$AZ$3:$AZ$7,MATCH(D202,'G-7 WaterC'' Data'!$AY$3:$AY$7,0)),"")</f>
        <v/>
      </c>
      <c r="AS202" s="15" t="str">
        <f>IFERROR(INDEX('G-7 WaterC'' Data'!AZ202:AZ206,MATCH(D202,'G-7 WaterC'' Data'!$AY$10:$AY$14,0)),"")</f>
        <v/>
      </c>
      <c r="AU202" s="15" t="str">
        <f>IF(D202="","",VLOOKUP(D202,'G-7 WaterC'' Data'!B$4:M$8,12,FALSE))</f>
        <v/>
      </c>
      <c r="AV202" s="15" t="str">
        <f t="shared" si="26"/>
        <v/>
      </c>
    </row>
    <row r="203" spans="3:48" ht="14" x14ac:dyDescent="0.3">
      <c r="C203" s="92">
        <v>194</v>
      </c>
      <c r="D203" s="271"/>
      <c r="E203" s="120"/>
      <c r="F203" s="290" t="str">
        <f>IF(D203="","",VLOOKUP(D203,'G-7 WaterC'' Data'!$B$2:$G$8,2,FALSE))</f>
        <v/>
      </c>
      <c r="G203" s="291" t="str">
        <f>IFERROR(VLOOKUP(F203,'G-7 WaterC'' Data'!$C$4:$D$8,2,FALSE),"")</f>
        <v/>
      </c>
      <c r="H203" s="38"/>
      <c r="I203" s="291" t="str">
        <f>IFERROR(INDEX('G-7 WaterC'' Data'!$H$4:$L$8,MATCH(D203,'G-7 WaterC'' Data'!$B$4:$B$8,0),MATCH(H203,'G-7 WaterC'' Data'!$H$3:$L$3,0)),"")</f>
        <v/>
      </c>
      <c r="J203" s="777"/>
      <c r="K203" s="325" t="str">
        <f>IF(J203="","",IF(VLOOKUP(J203,'G-7 WaterC'' Data'!$AK$4:$AM$6,2,FALSE)=0,"Spatial Data Missing ⚠",VLOOKUP(J203,'G-7 WaterC'' Data'!$AK$4:$AM$6,2,FALSE)))</f>
        <v/>
      </c>
      <c r="L203" s="296" t="str">
        <f>IF(J203="","",IF(VLOOKUP(J203,'G-7 WaterC'' Data'!$AK$4:$AM$9,3,FALSE)=0,"Spatial Data Missing ⚠",VLOOKUP(J203,'G-7 WaterC'' Data'!$AK$4:$AM$6,3,FALSE)))</f>
        <v/>
      </c>
      <c r="M203" s="38"/>
      <c r="N203" s="291" t="str">
        <f>IF(M203="","",IF(AND(D203&lt;&gt;"Culvert",M203="N/A - Culvert"),"Not possible ▲",IF(AND(D203="Culvert",M203&lt;&gt;"N/A - Culvert"),"Not possible ▲",IF(VLOOKUP(M203,'G-7 WaterC'' Data'!$AA$4:$AB$7,2,FALSE)=0,"Spatial Data Missing ⚠",VLOOKUP(M203,'G-7 WaterC'' Data'!$AA$4:$AB$7,2,FALSE)))))</f>
        <v/>
      </c>
      <c r="O203" s="44"/>
      <c r="P203" s="291" t="str">
        <f>IF(O203="","",IF(AND(O203="N/A - Culvert", D203&lt;&gt;"Culvert"),"Not possible ▲", IF(AND(D203="Culvert",O203&lt;&gt;"N/A - Culvert"),"Not possible ▲",IF(VLOOKUP(O203,'G-7 WaterC'' Data'!$AD$4:$AE$14,2,FALSE)=0,"Spatial Data Missing ⚠",VLOOKUP(O203,'G-7 WaterC'' Data'!$AD$4:$AE$14,2,FALSE)))))</f>
        <v/>
      </c>
      <c r="Q203" s="297" t="str">
        <f>IF(D203="","",VLOOKUP(D203,'G-7 WaterC'' Data'!$B$2:$G$8,6,FALSE))</f>
        <v/>
      </c>
      <c r="R203" s="304" t="str">
        <f>IFERROR(IF(AND(Q203='G-1 All Habitats'!$X$3, AE203&gt;0, U203&lt;=0, V203&lt;=0, OR(AA203="No", AA203="")),"Any Loss Unacceptable ⚠", (IF(AND(Q203='G-1 All Habitats'!$X$3, AE203&gt;0, U203&lt;=0, V203&lt;=0, AA203="Yes"), 0, (IF(AND(Q203='G-1 All Habitats'!$X$3,(U203+V203)&lt;E203, OR(AA203="No", AA203="")),"Any Loss Unacceptable ⚠", (IF(AND(Q203='G-1 All Habitats'!$X$3,(U203+V203)&gt;E203), E203*G203*I203*L203*N203*P203, (IF(Q203="","",IF(AND(Q203='G-1 All Habitats'!$X$3,V203&gt;0),W203+X203,IF(AND(Q203='G-1 All Habitats'!$X$3,U203&gt;0), W203+X203, IF(AND(S203="Yes", V203&gt;(E203-U203)),(E203-U203)*G203*I203*L203*N203*P203, IF(AND(S203="Yes", V203&lt;=(E203-U203)), X203, E203*G203*I203*L203*N203*P203 ))))))))))))),"Check Data ▲")</f>
        <v/>
      </c>
      <c r="S203" s="671" t="str">
        <f t="shared" ref="S203:S257" si="27">AU203</f>
        <v/>
      </c>
      <c r="T203" s="17"/>
      <c r="U203" s="95"/>
      <c r="V203" s="106"/>
      <c r="W203" s="302" t="str">
        <f t="shared" ref="W203:W257" si="28">IFERROR(IF(U203&gt;E203,"Error in Lengths ▲",U203*G203*I203*L203*N203*P203),"")</f>
        <v/>
      </c>
      <c r="X203" s="302" t="str">
        <f t="shared" ref="X203:X257" si="29">IFERROR(IF(D203="","",V203*G203*I203*L203*N203*P203),"")</f>
        <v/>
      </c>
      <c r="Y203" s="302" t="str">
        <f t="shared" ref="Y203:Y257" si="30">IFERROR(IF(D203="","", IF(E203&gt;(U203+V203),E203-U203-V203,0)),"")</f>
        <v/>
      </c>
      <c r="Z203" s="471" t="str">
        <f t="shared" ref="Z203:Z257" si="31">IFERROR(IF(AND(AA203="Yes", D203="Priority habitat"), "Alternative compensation agreed ✓", IF(E203="","", IF(AND(D203="Priority habitat", V203+U203&lt;E203),"Any loss unacceptable ▲", IF(OR(V203+U203=E203,V203+U203&gt;E203),"0.00", IF((W203+X203)&gt;R203,0, R203-W203-X203))))),"Check Data ⚠")</f>
        <v/>
      </c>
      <c r="AA203" s="488"/>
      <c r="AB203" s="486"/>
      <c r="AC203" s="101"/>
      <c r="AD203" s="101"/>
      <c r="AE203" s="41" t="str">
        <f>IF(OR(Q203="",AA203="Yes"),"",IF(Q203='G-1 All Habitats'!$X$3,E203-U203-V203,"None"))</f>
        <v/>
      </c>
      <c r="AF203" s="42" t="str">
        <f>IF(Q203="","", IF(Q203='G-1 All Habitats'!$X$3, AE203*G203*I203*L203*N203*P203,"None"))</f>
        <v/>
      </c>
      <c r="AI203" s="15">
        <f t="shared" ref="AI203:AI257" si="32">IFERROR(IF(U203+V203&gt;E203,1,0),"")</f>
        <v>0</v>
      </c>
      <c r="AJ203" s="105" t="str">
        <f t="shared" ref="AJ203:AJ257" si="33">IF(D203="","",IF(U203&gt;0,TRUE,FALSE))</f>
        <v/>
      </c>
      <c r="AK203" s="105" t="str">
        <f t="shared" ref="AK203:AK257" si="34">IF(D203="","",IF(V203&gt;0,TRUE,FALSE))</f>
        <v/>
      </c>
      <c r="AM203" s="105">
        <v>194</v>
      </c>
      <c r="AO203" s="105" t="str">
        <f t="array" ref="AO203">IFERROR(INDEX($AM$10:$AM$258, MATCH(0, IF(TRUE=$AJ$10:$AJ$258, COUNTIF($AO$9:$AO202, $AM$10:$AM$258), ""), 0)),"")</f>
        <v/>
      </c>
      <c r="AP203" s="105" t="str">
        <f t="array" ref="AP203">IFERROR(INDEX($AM$10:$AM$258, MATCH(0, IF(TRUE=$AK$10:$AK$258, COUNTIF($AP$9:$AP202, $AM$10:$AM$258), ""), 0)),"")</f>
        <v/>
      </c>
      <c r="AR203" s="15" t="str">
        <f>IFERROR(INDEX('G-7 WaterC'' Data'!$AZ$3:$AZ$7,MATCH(D203,'G-7 WaterC'' Data'!$AY$3:$AY$7,0)),"")</f>
        <v/>
      </c>
      <c r="AS203" s="15" t="str">
        <f>IFERROR(INDEX('G-7 WaterC'' Data'!AZ203:AZ207,MATCH(D203,'G-7 WaterC'' Data'!$AY$10:$AY$14,0)),"")</f>
        <v/>
      </c>
      <c r="AU203" s="15" t="str">
        <f>IF(D203="","",VLOOKUP(D203,'G-7 WaterC'' Data'!B$4:M$8,12,FALSE))</f>
        <v/>
      </c>
      <c r="AV203" s="15" t="str">
        <f t="shared" ref="AV203:AV257" si="35">IF(AA203="","", IF(AA203="Yes", "Yes ✓", "No ▲"))</f>
        <v/>
      </c>
    </row>
    <row r="204" spans="3:48" ht="14" x14ac:dyDescent="0.3">
      <c r="C204" s="92">
        <v>195</v>
      </c>
      <c r="D204" s="271"/>
      <c r="E204" s="120"/>
      <c r="F204" s="290" t="str">
        <f>IF(D204="","",VLOOKUP(D204,'G-7 WaterC'' Data'!$B$2:$G$8,2,FALSE))</f>
        <v/>
      </c>
      <c r="G204" s="291" t="str">
        <f>IFERROR(VLOOKUP(F204,'G-7 WaterC'' Data'!$C$4:$D$8,2,FALSE),"")</f>
        <v/>
      </c>
      <c r="H204" s="38"/>
      <c r="I204" s="291" t="str">
        <f>IFERROR(INDEX('G-7 WaterC'' Data'!$H$4:$L$8,MATCH(D204,'G-7 WaterC'' Data'!$B$4:$B$8,0),MATCH(H204,'G-7 WaterC'' Data'!$H$3:$L$3,0)),"")</f>
        <v/>
      </c>
      <c r="J204" s="777"/>
      <c r="K204" s="325" t="str">
        <f>IF(J204="","",IF(VLOOKUP(J204,'G-7 WaterC'' Data'!$AK$4:$AM$6,2,FALSE)=0,"Spatial Data Missing ⚠",VLOOKUP(J204,'G-7 WaterC'' Data'!$AK$4:$AM$6,2,FALSE)))</f>
        <v/>
      </c>
      <c r="L204" s="296" t="str">
        <f>IF(J204="","",IF(VLOOKUP(J204,'G-7 WaterC'' Data'!$AK$4:$AM$9,3,FALSE)=0,"Spatial Data Missing ⚠",VLOOKUP(J204,'G-7 WaterC'' Data'!$AK$4:$AM$6,3,FALSE)))</f>
        <v/>
      </c>
      <c r="M204" s="38"/>
      <c r="N204" s="291" t="str">
        <f>IF(M204="","",IF(AND(D204&lt;&gt;"Culvert",M204="N/A - Culvert"),"Not possible ▲",IF(AND(D204="Culvert",M204&lt;&gt;"N/A - Culvert"),"Not possible ▲",IF(VLOOKUP(M204,'G-7 WaterC'' Data'!$AA$4:$AB$7,2,FALSE)=0,"Spatial Data Missing ⚠",VLOOKUP(M204,'G-7 WaterC'' Data'!$AA$4:$AB$7,2,FALSE)))))</f>
        <v/>
      </c>
      <c r="O204" s="44"/>
      <c r="P204" s="291" t="str">
        <f>IF(O204="","",IF(AND(O204="N/A - Culvert", D204&lt;&gt;"Culvert"),"Not possible ▲", IF(AND(D204="Culvert",O204&lt;&gt;"N/A - Culvert"),"Not possible ▲",IF(VLOOKUP(O204,'G-7 WaterC'' Data'!$AD$4:$AE$14,2,FALSE)=0,"Spatial Data Missing ⚠",VLOOKUP(O204,'G-7 WaterC'' Data'!$AD$4:$AE$14,2,FALSE)))))</f>
        <v/>
      </c>
      <c r="Q204" s="297" t="str">
        <f>IF(D204="","",VLOOKUP(D204,'G-7 WaterC'' Data'!$B$2:$G$8,6,FALSE))</f>
        <v/>
      </c>
      <c r="R204" s="304" t="str">
        <f>IFERROR(IF(AND(Q204='G-1 All Habitats'!$X$3, AE204&gt;0, U204&lt;=0, V204&lt;=0, OR(AA204="No", AA204="")),"Any Loss Unacceptable ⚠", (IF(AND(Q204='G-1 All Habitats'!$X$3, AE204&gt;0, U204&lt;=0, V204&lt;=0, AA204="Yes"), 0, (IF(AND(Q204='G-1 All Habitats'!$X$3,(U204+V204)&lt;E204, OR(AA204="No", AA204="")),"Any Loss Unacceptable ⚠", (IF(AND(Q204='G-1 All Habitats'!$X$3,(U204+V204)&gt;E204), E204*G204*I204*L204*N204*P204, (IF(Q204="","",IF(AND(Q204='G-1 All Habitats'!$X$3,V204&gt;0),W204+X204,IF(AND(Q204='G-1 All Habitats'!$X$3,U204&gt;0), W204+X204, IF(AND(S204="Yes", V204&gt;(E204-U204)),(E204-U204)*G204*I204*L204*N204*P204, IF(AND(S204="Yes", V204&lt;=(E204-U204)), X204, E204*G204*I204*L204*N204*P204 ))))))))))))),"Check Data ▲")</f>
        <v/>
      </c>
      <c r="S204" s="671" t="str">
        <f t="shared" si="27"/>
        <v/>
      </c>
      <c r="T204" s="17"/>
      <c r="U204" s="95"/>
      <c r="V204" s="106"/>
      <c r="W204" s="302" t="str">
        <f t="shared" si="28"/>
        <v/>
      </c>
      <c r="X204" s="302" t="str">
        <f t="shared" si="29"/>
        <v/>
      </c>
      <c r="Y204" s="302" t="str">
        <f t="shared" si="30"/>
        <v/>
      </c>
      <c r="Z204" s="471" t="str">
        <f t="shared" si="31"/>
        <v/>
      </c>
      <c r="AA204" s="488"/>
      <c r="AB204" s="486"/>
      <c r="AC204" s="101"/>
      <c r="AD204" s="101"/>
      <c r="AE204" s="41" t="str">
        <f>IF(OR(Q204="",AA204="Yes"),"",IF(Q204='G-1 All Habitats'!$X$3,E204-U204-V204,"None"))</f>
        <v/>
      </c>
      <c r="AF204" s="42" t="str">
        <f>IF(Q204="","", IF(Q204='G-1 All Habitats'!$X$3, AE204*G204*I204*L204*N204*P204,"None"))</f>
        <v/>
      </c>
      <c r="AI204" s="15">
        <f t="shared" si="32"/>
        <v>0</v>
      </c>
      <c r="AJ204" s="105" t="str">
        <f t="shared" si="33"/>
        <v/>
      </c>
      <c r="AK204" s="105" t="str">
        <f t="shared" si="34"/>
        <v/>
      </c>
      <c r="AM204" s="105">
        <v>195</v>
      </c>
      <c r="AO204" s="105" t="str">
        <f t="array" ref="AO204">IFERROR(INDEX($AM$10:$AM$258, MATCH(0, IF(TRUE=$AJ$10:$AJ$258, COUNTIF($AO$9:$AO203, $AM$10:$AM$258), ""), 0)),"")</f>
        <v/>
      </c>
      <c r="AP204" s="105" t="str">
        <f t="array" ref="AP204">IFERROR(INDEX($AM$10:$AM$258, MATCH(0, IF(TRUE=$AK$10:$AK$258, COUNTIF($AP$9:$AP203, $AM$10:$AM$258), ""), 0)),"")</f>
        <v/>
      </c>
      <c r="AR204" s="15" t="str">
        <f>IFERROR(INDEX('G-7 WaterC'' Data'!$AZ$3:$AZ$7,MATCH(D204,'G-7 WaterC'' Data'!$AY$3:$AY$7,0)),"")</f>
        <v/>
      </c>
      <c r="AS204" s="15" t="str">
        <f>IFERROR(INDEX('G-7 WaterC'' Data'!AZ204:AZ208,MATCH(D204,'G-7 WaterC'' Data'!$AY$10:$AY$14,0)),"")</f>
        <v/>
      </c>
      <c r="AU204" s="15" t="str">
        <f>IF(D204="","",VLOOKUP(D204,'G-7 WaterC'' Data'!B$4:M$8,12,FALSE))</f>
        <v/>
      </c>
      <c r="AV204" s="15" t="str">
        <f t="shared" si="35"/>
        <v/>
      </c>
    </row>
    <row r="205" spans="3:48" ht="14" x14ac:dyDescent="0.3">
      <c r="C205" s="92">
        <v>196</v>
      </c>
      <c r="D205" s="271"/>
      <c r="E205" s="120"/>
      <c r="F205" s="290" t="str">
        <f>IF(D205="","",VLOOKUP(D205,'G-7 WaterC'' Data'!$B$2:$G$8,2,FALSE))</f>
        <v/>
      </c>
      <c r="G205" s="291" t="str">
        <f>IFERROR(VLOOKUP(F205,'G-7 WaterC'' Data'!$C$4:$D$8,2,FALSE),"")</f>
        <v/>
      </c>
      <c r="H205" s="38"/>
      <c r="I205" s="291" t="str">
        <f>IFERROR(INDEX('G-7 WaterC'' Data'!$H$4:$L$8,MATCH(D205,'G-7 WaterC'' Data'!$B$4:$B$8,0),MATCH(H205,'G-7 WaterC'' Data'!$H$3:$L$3,0)),"")</f>
        <v/>
      </c>
      <c r="J205" s="777"/>
      <c r="K205" s="325" t="str">
        <f>IF(J205="","",IF(VLOOKUP(J205,'G-7 WaterC'' Data'!$AK$4:$AM$6,2,FALSE)=0,"Spatial Data Missing ⚠",VLOOKUP(J205,'G-7 WaterC'' Data'!$AK$4:$AM$6,2,FALSE)))</f>
        <v/>
      </c>
      <c r="L205" s="296" t="str">
        <f>IF(J205="","",IF(VLOOKUP(J205,'G-7 WaterC'' Data'!$AK$4:$AM$9,3,FALSE)=0,"Spatial Data Missing ⚠",VLOOKUP(J205,'G-7 WaterC'' Data'!$AK$4:$AM$6,3,FALSE)))</f>
        <v/>
      </c>
      <c r="M205" s="38"/>
      <c r="N205" s="291" t="str">
        <f>IF(M205="","",IF(AND(D205&lt;&gt;"Culvert",M205="N/A - Culvert"),"Not possible ▲",IF(AND(D205="Culvert",M205&lt;&gt;"N/A - Culvert"),"Not possible ▲",IF(VLOOKUP(M205,'G-7 WaterC'' Data'!$AA$4:$AB$7,2,FALSE)=0,"Spatial Data Missing ⚠",VLOOKUP(M205,'G-7 WaterC'' Data'!$AA$4:$AB$7,2,FALSE)))))</f>
        <v/>
      </c>
      <c r="O205" s="44"/>
      <c r="P205" s="291" t="str">
        <f>IF(O205="","",IF(AND(O205="N/A - Culvert", D205&lt;&gt;"Culvert"),"Not possible ▲", IF(AND(D205="Culvert",O205&lt;&gt;"N/A - Culvert"),"Not possible ▲",IF(VLOOKUP(O205,'G-7 WaterC'' Data'!$AD$4:$AE$14,2,FALSE)=0,"Spatial Data Missing ⚠",VLOOKUP(O205,'G-7 WaterC'' Data'!$AD$4:$AE$14,2,FALSE)))))</f>
        <v/>
      </c>
      <c r="Q205" s="297" t="str">
        <f>IF(D205="","",VLOOKUP(D205,'G-7 WaterC'' Data'!$B$2:$G$8,6,FALSE))</f>
        <v/>
      </c>
      <c r="R205" s="304" t="str">
        <f>IFERROR(IF(AND(Q205='G-1 All Habitats'!$X$3, AE205&gt;0, U205&lt;=0, V205&lt;=0, OR(AA205="No", AA205="")),"Any Loss Unacceptable ⚠", (IF(AND(Q205='G-1 All Habitats'!$X$3, AE205&gt;0, U205&lt;=0, V205&lt;=0, AA205="Yes"), 0, (IF(AND(Q205='G-1 All Habitats'!$X$3,(U205+V205)&lt;E205, OR(AA205="No", AA205="")),"Any Loss Unacceptable ⚠", (IF(AND(Q205='G-1 All Habitats'!$X$3,(U205+V205)&gt;E205), E205*G205*I205*L205*N205*P205, (IF(Q205="","",IF(AND(Q205='G-1 All Habitats'!$X$3,V205&gt;0),W205+X205,IF(AND(Q205='G-1 All Habitats'!$X$3,U205&gt;0), W205+X205, IF(AND(S205="Yes", V205&gt;(E205-U205)),(E205-U205)*G205*I205*L205*N205*P205, IF(AND(S205="Yes", V205&lt;=(E205-U205)), X205, E205*G205*I205*L205*N205*P205 ))))))))))))),"Check Data ▲")</f>
        <v/>
      </c>
      <c r="S205" s="671" t="str">
        <f t="shared" si="27"/>
        <v/>
      </c>
      <c r="T205" s="17"/>
      <c r="U205" s="95"/>
      <c r="V205" s="106"/>
      <c r="W205" s="302" t="str">
        <f t="shared" si="28"/>
        <v/>
      </c>
      <c r="X205" s="302" t="str">
        <f t="shared" si="29"/>
        <v/>
      </c>
      <c r="Y205" s="302" t="str">
        <f t="shared" si="30"/>
        <v/>
      </c>
      <c r="Z205" s="471" t="str">
        <f t="shared" si="31"/>
        <v/>
      </c>
      <c r="AA205" s="488"/>
      <c r="AB205" s="486"/>
      <c r="AC205" s="101"/>
      <c r="AD205" s="101"/>
      <c r="AE205" s="41" t="str">
        <f>IF(OR(Q205="",AA205="Yes"),"",IF(Q205='G-1 All Habitats'!$X$3,E205-U205-V205,"None"))</f>
        <v/>
      </c>
      <c r="AF205" s="42" t="str">
        <f>IF(Q205="","", IF(Q205='G-1 All Habitats'!$X$3, AE205*G205*I205*L205*N205*P205,"None"))</f>
        <v/>
      </c>
      <c r="AI205" s="15">
        <f t="shared" si="32"/>
        <v>0</v>
      </c>
      <c r="AJ205" s="105" t="str">
        <f t="shared" si="33"/>
        <v/>
      </c>
      <c r="AK205" s="105" t="str">
        <f t="shared" si="34"/>
        <v/>
      </c>
      <c r="AM205" s="105">
        <v>196</v>
      </c>
      <c r="AO205" s="105" t="str">
        <f t="array" ref="AO205">IFERROR(INDEX($AM$10:$AM$258, MATCH(0, IF(TRUE=$AJ$10:$AJ$258, COUNTIF($AO$9:$AO204, $AM$10:$AM$258), ""), 0)),"")</f>
        <v/>
      </c>
      <c r="AP205" s="105" t="str">
        <f t="array" ref="AP205">IFERROR(INDEX($AM$10:$AM$258, MATCH(0, IF(TRUE=$AK$10:$AK$258, COUNTIF($AP$9:$AP204, $AM$10:$AM$258), ""), 0)),"")</f>
        <v/>
      </c>
      <c r="AR205" s="15" t="str">
        <f>IFERROR(INDEX('G-7 WaterC'' Data'!$AZ$3:$AZ$7,MATCH(D205,'G-7 WaterC'' Data'!$AY$3:$AY$7,0)),"")</f>
        <v/>
      </c>
      <c r="AS205" s="15" t="str">
        <f>IFERROR(INDEX('G-7 WaterC'' Data'!AZ205:AZ209,MATCH(D205,'G-7 WaterC'' Data'!$AY$10:$AY$14,0)),"")</f>
        <v/>
      </c>
      <c r="AU205" s="15" t="str">
        <f>IF(D205="","",VLOOKUP(D205,'G-7 WaterC'' Data'!B$4:M$8,12,FALSE))</f>
        <v/>
      </c>
      <c r="AV205" s="15" t="str">
        <f t="shared" si="35"/>
        <v/>
      </c>
    </row>
    <row r="206" spans="3:48" ht="14" x14ac:dyDescent="0.3">
      <c r="C206" s="92">
        <v>197</v>
      </c>
      <c r="D206" s="271"/>
      <c r="E206" s="120"/>
      <c r="F206" s="290" t="str">
        <f>IF(D206="","",VLOOKUP(D206,'G-7 WaterC'' Data'!$B$2:$G$8,2,FALSE))</f>
        <v/>
      </c>
      <c r="G206" s="291" t="str">
        <f>IFERROR(VLOOKUP(F206,'G-7 WaterC'' Data'!$C$4:$D$8,2,FALSE),"")</f>
        <v/>
      </c>
      <c r="H206" s="38"/>
      <c r="I206" s="291" t="str">
        <f>IFERROR(INDEX('G-7 WaterC'' Data'!$H$4:$L$8,MATCH(D206,'G-7 WaterC'' Data'!$B$4:$B$8,0),MATCH(H206,'G-7 WaterC'' Data'!$H$3:$L$3,0)),"")</f>
        <v/>
      </c>
      <c r="J206" s="777"/>
      <c r="K206" s="325" t="str">
        <f>IF(J206="","",IF(VLOOKUP(J206,'G-7 WaterC'' Data'!$AK$4:$AM$6,2,FALSE)=0,"Spatial Data Missing ⚠",VLOOKUP(J206,'G-7 WaterC'' Data'!$AK$4:$AM$6,2,FALSE)))</f>
        <v/>
      </c>
      <c r="L206" s="296" t="str">
        <f>IF(J206="","",IF(VLOOKUP(J206,'G-7 WaterC'' Data'!$AK$4:$AM$9,3,FALSE)=0,"Spatial Data Missing ⚠",VLOOKUP(J206,'G-7 WaterC'' Data'!$AK$4:$AM$6,3,FALSE)))</f>
        <v/>
      </c>
      <c r="M206" s="38"/>
      <c r="N206" s="291" t="str">
        <f>IF(M206="","",IF(AND(D206&lt;&gt;"Culvert",M206="N/A - Culvert"),"Not possible ▲",IF(AND(D206="Culvert",M206&lt;&gt;"N/A - Culvert"),"Not possible ▲",IF(VLOOKUP(M206,'G-7 WaterC'' Data'!$AA$4:$AB$7,2,FALSE)=0,"Spatial Data Missing ⚠",VLOOKUP(M206,'G-7 WaterC'' Data'!$AA$4:$AB$7,2,FALSE)))))</f>
        <v/>
      </c>
      <c r="O206" s="44"/>
      <c r="P206" s="291" t="str">
        <f>IF(O206="","",IF(AND(O206="N/A - Culvert", D206&lt;&gt;"Culvert"),"Not possible ▲", IF(AND(D206="Culvert",O206&lt;&gt;"N/A - Culvert"),"Not possible ▲",IF(VLOOKUP(O206,'G-7 WaterC'' Data'!$AD$4:$AE$14,2,FALSE)=0,"Spatial Data Missing ⚠",VLOOKUP(O206,'G-7 WaterC'' Data'!$AD$4:$AE$14,2,FALSE)))))</f>
        <v/>
      </c>
      <c r="Q206" s="297" t="str">
        <f>IF(D206="","",VLOOKUP(D206,'G-7 WaterC'' Data'!$B$2:$G$8,6,FALSE))</f>
        <v/>
      </c>
      <c r="R206" s="304" t="str">
        <f>IFERROR(IF(AND(Q206='G-1 All Habitats'!$X$3, AE206&gt;0, U206&lt;=0, V206&lt;=0, OR(AA206="No", AA206="")),"Any Loss Unacceptable ⚠", (IF(AND(Q206='G-1 All Habitats'!$X$3, AE206&gt;0, U206&lt;=0, V206&lt;=0, AA206="Yes"), 0, (IF(AND(Q206='G-1 All Habitats'!$X$3,(U206+V206)&lt;E206, OR(AA206="No", AA206="")),"Any Loss Unacceptable ⚠", (IF(AND(Q206='G-1 All Habitats'!$X$3,(U206+V206)&gt;E206), E206*G206*I206*L206*N206*P206, (IF(Q206="","",IF(AND(Q206='G-1 All Habitats'!$X$3,V206&gt;0),W206+X206,IF(AND(Q206='G-1 All Habitats'!$X$3,U206&gt;0), W206+X206, IF(AND(S206="Yes", V206&gt;(E206-U206)),(E206-U206)*G206*I206*L206*N206*P206, IF(AND(S206="Yes", V206&lt;=(E206-U206)), X206, E206*G206*I206*L206*N206*P206 ))))))))))))),"Check Data ▲")</f>
        <v/>
      </c>
      <c r="S206" s="671" t="str">
        <f t="shared" si="27"/>
        <v/>
      </c>
      <c r="T206" s="17"/>
      <c r="U206" s="95"/>
      <c r="V206" s="106"/>
      <c r="W206" s="302" t="str">
        <f t="shared" si="28"/>
        <v/>
      </c>
      <c r="X206" s="302" t="str">
        <f t="shared" si="29"/>
        <v/>
      </c>
      <c r="Y206" s="302" t="str">
        <f t="shared" si="30"/>
        <v/>
      </c>
      <c r="Z206" s="471" t="str">
        <f t="shared" si="31"/>
        <v/>
      </c>
      <c r="AA206" s="488"/>
      <c r="AB206" s="486"/>
      <c r="AC206" s="101"/>
      <c r="AD206" s="101"/>
      <c r="AE206" s="41" t="str">
        <f>IF(OR(Q206="",AA206="Yes"),"",IF(Q206='G-1 All Habitats'!$X$3,E206-U206-V206,"None"))</f>
        <v/>
      </c>
      <c r="AF206" s="42" t="str">
        <f>IF(Q206="","", IF(Q206='G-1 All Habitats'!$X$3, AE206*G206*I206*L206*N206*P206,"None"))</f>
        <v/>
      </c>
      <c r="AI206" s="15">
        <f t="shared" si="32"/>
        <v>0</v>
      </c>
      <c r="AJ206" s="105" t="str">
        <f t="shared" si="33"/>
        <v/>
      </c>
      <c r="AK206" s="105" t="str">
        <f t="shared" si="34"/>
        <v/>
      </c>
      <c r="AM206" s="105">
        <v>197</v>
      </c>
      <c r="AO206" s="105" t="str">
        <f t="array" ref="AO206">IFERROR(INDEX($AM$10:$AM$258, MATCH(0, IF(TRUE=$AJ$10:$AJ$258, COUNTIF($AO$9:$AO205, $AM$10:$AM$258), ""), 0)),"")</f>
        <v/>
      </c>
      <c r="AP206" s="105" t="str">
        <f t="array" ref="AP206">IFERROR(INDEX($AM$10:$AM$258, MATCH(0, IF(TRUE=$AK$10:$AK$258, COUNTIF($AP$9:$AP205, $AM$10:$AM$258), ""), 0)),"")</f>
        <v/>
      </c>
      <c r="AR206" s="15" t="str">
        <f>IFERROR(INDEX('G-7 WaterC'' Data'!$AZ$3:$AZ$7,MATCH(D206,'G-7 WaterC'' Data'!$AY$3:$AY$7,0)),"")</f>
        <v/>
      </c>
      <c r="AS206" s="15" t="str">
        <f>IFERROR(INDEX('G-7 WaterC'' Data'!AZ206:AZ210,MATCH(D206,'G-7 WaterC'' Data'!$AY$10:$AY$14,0)),"")</f>
        <v/>
      </c>
      <c r="AU206" s="15" t="str">
        <f>IF(D206="","",VLOOKUP(D206,'G-7 WaterC'' Data'!B$4:M$8,12,FALSE))</f>
        <v/>
      </c>
      <c r="AV206" s="15" t="str">
        <f t="shared" si="35"/>
        <v/>
      </c>
    </row>
    <row r="207" spans="3:48" ht="14" x14ac:dyDescent="0.3">
      <c r="C207" s="92">
        <v>198</v>
      </c>
      <c r="D207" s="271"/>
      <c r="E207" s="120"/>
      <c r="F207" s="290" t="str">
        <f>IF(D207="","",VLOOKUP(D207,'G-7 WaterC'' Data'!$B$2:$G$8,2,FALSE))</f>
        <v/>
      </c>
      <c r="G207" s="291" t="str">
        <f>IFERROR(VLOOKUP(F207,'G-7 WaterC'' Data'!$C$4:$D$8,2,FALSE),"")</f>
        <v/>
      </c>
      <c r="H207" s="38"/>
      <c r="I207" s="291" t="str">
        <f>IFERROR(INDEX('G-7 WaterC'' Data'!$H$4:$L$8,MATCH(D207,'G-7 WaterC'' Data'!$B$4:$B$8,0),MATCH(H207,'G-7 WaterC'' Data'!$H$3:$L$3,0)),"")</f>
        <v/>
      </c>
      <c r="J207" s="777"/>
      <c r="K207" s="325" t="str">
        <f>IF(J207="","",IF(VLOOKUP(J207,'G-7 WaterC'' Data'!$AK$4:$AM$6,2,FALSE)=0,"Spatial Data Missing ⚠",VLOOKUP(J207,'G-7 WaterC'' Data'!$AK$4:$AM$6,2,FALSE)))</f>
        <v/>
      </c>
      <c r="L207" s="296" t="str">
        <f>IF(J207="","",IF(VLOOKUP(J207,'G-7 WaterC'' Data'!$AK$4:$AM$9,3,FALSE)=0,"Spatial Data Missing ⚠",VLOOKUP(J207,'G-7 WaterC'' Data'!$AK$4:$AM$6,3,FALSE)))</f>
        <v/>
      </c>
      <c r="M207" s="38"/>
      <c r="N207" s="291" t="str">
        <f>IF(M207="","",IF(AND(D207&lt;&gt;"Culvert",M207="N/A - Culvert"),"Not possible ▲",IF(AND(D207="Culvert",M207&lt;&gt;"N/A - Culvert"),"Not possible ▲",IF(VLOOKUP(M207,'G-7 WaterC'' Data'!$AA$4:$AB$7,2,FALSE)=0,"Spatial Data Missing ⚠",VLOOKUP(M207,'G-7 WaterC'' Data'!$AA$4:$AB$7,2,FALSE)))))</f>
        <v/>
      </c>
      <c r="O207" s="44"/>
      <c r="P207" s="291" t="str">
        <f>IF(O207="","",IF(AND(O207="N/A - Culvert", D207&lt;&gt;"Culvert"),"Not possible ▲", IF(AND(D207="Culvert",O207&lt;&gt;"N/A - Culvert"),"Not possible ▲",IF(VLOOKUP(O207,'G-7 WaterC'' Data'!$AD$4:$AE$14,2,FALSE)=0,"Spatial Data Missing ⚠",VLOOKUP(O207,'G-7 WaterC'' Data'!$AD$4:$AE$14,2,FALSE)))))</f>
        <v/>
      </c>
      <c r="Q207" s="297" t="str">
        <f>IF(D207="","",VLOOKUP(D207,'G-7 WaterC'' Data'!$B$2:$G$8,6,FALSE))</f>
        <v/>
      </c>
      <c r="R207" s="304" t="str">
        <f>IFERROR(IF(AND(Q207='G-1 All Habitats'!$X$3, AE207&gt;0, U207&lt;=0, V207&lt;=0, OR(AA207="No", AA207="")),"Any Loss Unacceptable ⚠", (IF(AND(Q207='G-1 All Habitats'!$X$3, AE207&gt;0, U207&lt;=0, V207&lt;=0, AA207="Yes"), 0, (IF(AND(Q207='G-1 All Habitats'!$X$3,(U207+V207)&lt;E207, OR(AA207="No", AA207="")),"Any Loss Unacceptable ⚠", (IF(AND(Q207='G-1 All Habitats'!$X$3,(U207+V207)&gt;E207), E207*G207*I207*L207*N207*P207, (IF(Q207="","",IF(AND(Q207='G-1 All Habitats'!$X$3,V207&gt;0),W207+X207,IF(AND(Q207='G-1 All Habitats'!$X$3,U207&gt;0), W207+X207, IF(AND(S207="Yes", V207&gt;(E207-U207)),(E207-U207)*G207*I207*L207*N207*P207, IF(AND(S207="Yes", V207&lt;=(E207-U207)), X207, E207*G207*I207*L207*N207*P207 ))))))))))))),"Check Data ▲")</f>
        <v/>
      </c>
      <c r="S207" s="671" t="str">
        <f t="shared" si="27"/>
        <v/>
      </c>
      <c r="T207" s="17"/>
      <c r="U207" s="95"/>
      <c r="V207" s="106"/>
      <c r="W207" s="302" t="str">
        <f t="shared" si="28"/>
        <v/>
      </c>
      <c r="X207" s="302" t="str">
        <f t="shared" si="29"/>
        <v/>
      </c>
      <c r="Y207" s="302" t="str">
        <f t="shared" si="30"/>
        <v/>
      </c>
      <c r="Z207" s="471" t="str">
        <f t="shared" si="31"/>
        <v/>
      </c>
      <c r="AA207" s="488"/>
      <c r="AB207" s="486"/>
      <c r="AC207" s="101"/>
      <c r="AD207" s="101"/>
      <c r="AE207" s="41" t="str">
        <f>IF(OR(Q207="",AA207="Yes"),"",IF(Q207='G-1 All Habitats'!$X$3,E207-U207-V207,"None"))</f>
        <v/>
      </c>
      <c r="AF207" s="42" t="str">
        <f>IF(Q207="","", IF(Q207='G-1 All Habitats'!$X$3, AE207*G207*I207*L207*N207*P207,"None"))</f>
        <v/>
      </c>
      <c r="AI207" s="15">
        <f t="shared" si="32"/>
        <v>0</v>
      </c>
      <c r="AJ207" s="105" t="str">
        <f t="shared" si="33"/>
        <v/>
      </c>
      <c r="AK207" s="105" t="str">
        <f t="shared" si="34"/>
        <v/>
      </c>
      <c r="AM207" s="105">
        <v>198</v>
      </c>
      <c r="AO207" s="105" t="str">
        <f t="array" ref="AO207">IFERROR(INDEX($AM$10:$AM$258, MATCH(0, IF(TRUE=$AJ$10:$AJ$258, COUNTIF($AO$9:$AO206, $AM$10:$AM$258), ""), 0)),"")</f>
        <v/>
      </c>
      <c r="AP207" s="105" t="str">
        <f t="array" ref="AP207">IFERROR(INDEX($AM$10:$AM$258, MATCH(0, IF(TRUE=$AK$10:$AK$258, COUNTIF($AP$9:$AP206, $AM$10:$AM$258), ""), 0)),"")</f>
        <v/>
      </c>
      <c r="AR207" s="15" t="str">
        <f>IFERROR(INDEX('G-7 WaterC'' Data'!$AZ$3:$AZ$7,MATCH(D207,'G-7 WaterC'' Data'!$AY$3:$AY$7,0)),"")</f>
        <v/>
      </c>
      <c r="AS207" s="15" t="str">
        <f>IFERROR(INDEX('G-7 WaterC'' Data'!AZ207:AZ211,MATCH(D207,'G-7 WaterC'' Data'!$AY$10:$AY$14,0)),"")</f>
        <v/>
      </c>
      <c r="AU207" s="15" t="str">
        <f>IF(D207="","",VLOOKUP(D207,'G-7 WaterC'' Data'!B$4:M$8,12,FALSE))</f>
        <v/>
      </c>
      <c r="AV207" s="15" t="str">
        <f t="shared" si="35"/>
        <v/>
      </c>
    </row>
    <row r="208" spans="3:48" ht="14" x14ac:dyDescent="0.3">
      <c r="C208" s="92">
        <v>199</v>
      </c>
      <c r="D208" s="271"/>
      <c r="E208" s="120"/>
      <c r="F208" s="290" t="str">
        <f>IF(D208="","",VLOOKUP(D208,'G-7 WaterC'' Data'!$B$2:$G$8,2,FALSE))</f>
        <v/>
      </c>
      <c r="G208" s="291" t="str">
        <f>IFERROR(VLOOKUP(F208,'G-7 WaterC'' Data'!$C$4:$D$8,2,FALSE),"")</f>
        <v/>
      </c>
      <c r="H208" s="38"/>
      <c r="I208" s="291" t="str">
        <f>IFERROR(INDEX('G-7 WaterC'' Data'!$H$4:$L$8,MATCH(D208,'G-7 WaterC'' Data'!$B$4:$B$8,0),MATCH(H208,'G-7 WaterC'' Data'!$H$3:$L$3,0)),"")</f>
        <v/>
      </c>
      <c r="J208" s="777"/>
      <c r="K208" s="325" t="str">
        <f>IF(J208="","",IF(VLOOKUP(J208,'G-7 WaterC'' Data'!$AK$4:$AM$6,2,FALSE)=0,"Spatial Data Missing ⚠",VLOOKUP(J208,'G-7 WaterC'' Data'!$AK$4:$AM$6,2,FALSE)))</f>
        <v/>
      </c>
      <c r="L208" s="296" t="str">
        <f>IF(J208="","",IF(VLOOKUP(J208,'G-7 WaterC'' Data'!$AK$4:$AM$9,3,FALSE)=0,"Spatial Data Missing ⚠",VLOOKUP(J208,'G-7 WaterC'' Data'!$AK$4:$AM$6,3,FALSE)))</f>
        <v/>
      </c>
      <c r="M208" s="38"/>
      <c r="N208" s="291" t="str">
        <f>IF(M208="","",IF(AND(D208&lt;&gt;"Culvert",M208="N/A - Culvert"),"Not possible ▲",IF(AND(D208="Culvert",M208&lt;&gt;"N/A - Culvert"),"Not possible ▲",IF(VLOOKUP(M208,'G-7 WaterC'' Data'!$AA$4:$AB$7,2,FALSE)=0,"Spatial Data Missing ⚠",VLOOKUP(M208,'G-7 WaterC'' Data'!$AA$4:$AB$7,2,FALSE)))))</f>
        <v/>
      </c>
      <c r="O208" s="44"/>
      <c r="P208" s="291" t="str">
        <f>IF(O208="","",IF(AND(O208="N/A - Culvert", D208&lt;&gt;"Culvert"),"Not possible ▲", IF(AND(D208="Culvert",O208&lt;&gt;"N/A - Culvert"),"Not possible ▲",IF(VLOOKUP(O208,'G-7 WaterC'' Data'!$AD$4:$AE$14,2,FALSE)=0,"Spatial Data Missing ⚠",VLOOKUP(O208,'G-7 WaterC'' Data'!$AD$4:$AE$14,2,FALSE)))))</f>
        <v/>
      </c>
      <c r="Q208" s="297" t="str">
        <f>IF(D208="","",VLOOKUP(D208,'G-7 WaterC'' Data'!$B$2:$G$8,6,FALSE))</f>
        <v/>
      </c>
      <c r="R208" s="304" t="str">
        <f>IFERROR(IF(AND(Q208='G-1 All Habitats'!$X$3, AE208&gt;0, U208&lt;=0, V208&lt;=0, OR(AA208="No", AA208="")),"Any Loss Unacceptable ⚠", (IF(AND(Q208='G-1 All Habitats'!$X$3, AE208&gt;0, U208&lt;=0, V208&lt;=0, AA208="Yes"), 0, (IF(AND(Q208='G-1 All Habitats'!$X$3,(U208+V208)&lt;E208, OR(AA208="No", AA208="")),"Any Loss Unacceptable ⚠", (IF(AND(Q208='G-1 All Habitats'!$X$3,(U208+V208)&gt;E208), E208*G208*I208*L208*N208*P208, (IF(Q208="","",IF(AND(Q208='G-1 All Habitats'!$X$3,V208&gt;0),W208+X208,IF(AND(Q208='G-1 All Habitats'!$X$3,U208&gt;0), W208+X208, IF(AND(S208="Yes", V208&gt;(E208-U208)),(E208-U208)*G208*I208*L208*N208*P208, IF(AND(S208="Yes", V208&lt;=(E208-U208)), X208, E208*G208*I208*L208*N208*P208 ))))))))))))),"Check Data ▲")</f>
        <v/>
      </c>
      <c r="S208" s="671" t="str">
        <f t="shared" si="27"/>
        <v/>
      </c>
      <c r="T208" s="17"/>
      <c r="U208" s="95"/>
      <c r="V208" s="106"/>
      <c r="W208" s="302" t="str">
        <f t="shared" si="28"/>
        <v/>
      </c>
      <c r="X208" s="302" t="str">
        <f t="shared" si="29"/>
        <v/>
      </c>
      <c r="Y208" s="302" t="str">
        <f t="shared" si="30"/>
        <v/>
      </c>
      <c r="Z208" s="471" t="str">
        <f t="shared" si="31"/>
        <v/>
      </c>
      <c r="AA208" s="488"/>
      <c r="AB208" s="486"/>
      <c r="AC208" s="101"/>
      <c r="AD208" s="101"/>
      <c r="AE208" s="41" t="str">
        <f>IF(OR(Q208="",AA208="Yes"),"",IF(Q208='G-1 All Habitats'!$X$3,E208-U208-V208,"None"))</f>
        <v/>
      </c>
      <c r="AF208" s="42" t="str">
        <f>IF(Q208="","", IF(Q208='G-1 All Habitats'!$X$3, AE208*G208*I208*L208*N208*P208,"None"))</f>
        <v/>
      </c>
      <c r="AI208" s="15">
        <f t="shared" si="32"/>
        <v>0</v>
      </c>
      <c r="AJ208" s="105" t="str">
        <f t="shared" si="33"/>
        <v/>
      </c>
      <c r="AK208" s="105" t="str">
        <f t="shared" si="34"/>
        <v/>
      </c>
      <c r="AM208" s="105">
        <v>199</v>
      </c>
      <c r="AO208" s="105" t="str">
        <f t="array" ref="AO208">IFERROR(INDEX($AM$10:$AM$258, MATCH(0, IF(TRUE=$AJ$10:$AJ$258, COUNTIF($AO$9:$AO207, $AM$10:$AM$258), ""), 0)),"")</f>
        <v/>
      </c>
      <c r="AP208" s="105" t="str">
        <f t="array" ref="AP208">IFERROR(INDEX($AM$10:$AM$258, MATCH(0, IF(TRUE=$AK$10:$AK$258, COUNTIF($AP$9:$AP207, $AM$10:$AM$258), ""), 0)),"")</f>
        <v/>
      </c>
      <c r="AR208" s="15" t="str">
        <f>IFERROR(INDEX('G-7 WaterC'' Data'!$AZ$3:$AZ$7,MATCH(D208,'G-7 WaterC'' Data'!$AY$3:$AY$7,0)),"")</f>
        <v/>
      </c>
      <c r="AS208" s="15" t="str">
        <f>IFERROR(INDEX('G-7 WaterC'' Data'!AZ208:AZ212,MATCH(D208,'G-7 WaterC'' Data'!$AY$10:$AY$14,0)),"")</f>
        <v/>
      </c>
      <c r="AU208" s="15" t="str">
        <f>IF(D208="","",VLOOKUP(D208,'G-7 WaterC'' Data'!B$4:M$8,12,FALSE))</f>
        <v/>
      </c>
      <c r="AV208" s="15" t="str">
        <f t="shared" si="35"/>
        <v/>
      </c>
    </row>
    <row r="209" spans="3:48" ht="14" x14ac:dyDescent="0.3">
      <c r="C209" s="92">
        <v>200</v>
      </c>
      <c r="D209" s="271"/>
      <c r="E209" s="120"/>
      <c r="F209" s="290" t="str">
        <f>IF(D209="","",VLOOKUP(D209,'G-7 WaterC'' Data'!$B$2:$G$8,2,FALSE))</f>
        <v/>
      </c>
      <c r="G209" s="291" t="str">
        <f>IFERROR(VLOOKUP(F209,'G-7 WaterC'' Data'!$C$4:$D$8,2,FALSE),"")</f>
        <v/>
      </c>
      <c r="H209" s="38"/>
      <c r="I209" s="291" t="str">
        <f>IFERROR(INDEX('G-7 WaterC'' Data'!$H$4:$L$8,MATCH(D209,'G-7 WaterC'' Data'!$B$4:$B$8,0),MATCH(H209,'G-7 WaterC'' Data'!$H$3:$L$3,0)),"")</f>
        <v/>
      </c>
      <c r="J209" s="777"/>
      <c r="K209" s="325" t="str">
        <f>IF(J209="","",IF(VLOOKUP(J209,'G-7 WaterC'' Data'!$AK$4:$AM$6,2,FALSE)=0,"Spatial Data Missing ⚠",VLOOKUP(J209,'G-7 WaterC'' Data'!$AK$4:$AM$6,2,FALSE)))</f>
        <v/>
      </c>
      <c r="L209" s="296" t="str">
        <f>IF(J209="","",IF(VLOOKUP(J209,'G-7 WaterC'' Data'!$AK$4:$AM$9,3,FALSE)=0,"Spatial Data Missing ⚠",VLOOKUP(J209,'G-7 WaterC'' Data'!$AK$4:$AM$6,3,FALSE)))</f>
        <v/>
      </c>
      <c r="M209" s="38"/>
      <c r="N209" s="291" t="str">
        <f>IF(M209="","",IF(AND(D209&lt;&gt;"Culvert",M209="N/A - Culvert"),"Not possible ▲",IF(AND(D209="Culvert",M209&lt;&gt;"N/A - Culvert"),"Not possible ▲",IF(VLOOKUP(M209,'G-7 WaterC'' Data'!$AA$4:$AB$7,2,FALSE)=0,"Spatial Data Missing ⚠",VLOOKUP(M209,'G-7 WaterC'' Data'!$AA$4:$AB$7,2,FALSE)))))</f>
        <v/>
      </c>
      <c r="O209" s="44"/>
      <c r="P209" s="291" t="str">
        <f>IF(O209="","",IF(AND(O209="N/A - Culvert", D209&lt;&gt;"Culvert"),"Not possible ▲", IF(AND(D209="Culvert",O209&lt;&gt;"N/A - Culvert"),"Not possible ▲",IF(VLOOKUP(O209,'G-7 WaterC'' Data'!$AD$4:$AE$14,2,FALSE)=0,"Spatial Data Missing ⚠",VLOOKUP(O209,'G-7 WaterC'' Data'!$AD$4:$AE$14,2,FALSE)))))</f>
        <v/>
      </c>
      <c r="Q209" s="297" t="str">
        <f>IF(D209="","",VLOOKUP(D209,'G-7 WaterC'' Data'!$B$2:$G$8,6,FALSE))</f>
        <v/>
      </c>
      <c r="R209" s="304" t="str">
        <f>IFERROR(IF(AND(Q209='G-1 All Habitats'!$X$3, AE209&gt;0, U209&lt;=0, V209&lt;=0, OR(AA209="No", AA209="")),"Any Loss Unacceptable ⚠", (IF(AND(Q209='G-1 All Habitats'!$X$3, AE209&gt;0, U209&lt;=0, V209&lt;=0, AA209="Yes"), 0, (IF(AND(Q209='G-1 All Habitats'!$X$3,(U209+V209)&lt;E209, OR(AA209="No", AA209="")),"Any Loss Unacceptable ⚠", (IF(AND(Q209='G-1 All Habitats'!$X$3,(U209+V209)&gt;E209), E209*G209*I209*L209*N209*P209, (IF(Q209="","",IF(AND(Q209='G-1 All Habitats'!$X$3,V209&gt;0),W209+X209,IF(AND(Q209='G-1 All Habitats'!$X$3,U209&gt;0), W209+X209, IF(AND(S209="Yes", V209&gt;(E209-U209)),(E209-U209)*G209*I209*L209*N209*P209, IF(AND(S209="Yes", V209&lt;=(E209-U209)), X209, E209*G209*I209*L209*N209*P209 ))))))))))))),"Check Data ▲")</f>
        <v/>
      </c>
      <c r="S209" s="671" t="str">
        <f t="shared" si="27"/>
        <v/>
      </c>
      <c r="T209" s="17"/>
      <c r="U209" s="95"/>
      <c r="V209" s="106"/>
      <c r="W209" s="302" t="str">
        <f t="shared" si="28"/>
        <v/>
      </c>
      <c r="X209" s="302" t="str">
        <f t="shared" si="29"/>
        <v/>
      </c>
      <c r="Y209" s="302" t="str">
        <f t="shared" si="30"/>
        <v/>
      </c>
      <c r="Z209" s="471" t="str">
        <f t="shared" si="31"/>
        <v/>
      </c>
      <c r="AA209" s="488"/>
      <c r="AB209" s="486"/>
      <c r="AC209" s="101"/>
      <c r="AD209" s="101"/>
      <c r="AE209" s="41" t="str">
        <f>IF(OR(Q209="",AA209="Yes"),"",IF(Q209='G-1 All Habitats'!$X$3,E209-U209-V209,"None"))</f>
        <v/>
      </c>
      <c r="AF209" s="42" t="str">
        <f>IF(Q209="","", IF(Q209='G-1 All Habitats'!$X$3, AE209*G209*I209*L209*N209*P209,"None"))</f>
        <v/>
      </c>
      <c r="AI209" s="15">
        <f t="shared" si="32"/>
        <v>0</v>
      </c>
      <c r="AJ209" s="105" t="str">
        <f t="shared" si="33"/>
        <v/>
      </c>
      <c r="AK209" s="105" t="str">
        <f t="shared" si="34"/>
        <v/>
      </c>
      <c r="AM209" s="105">
        <v>200</v>
      </c>
      <c r="AO209" s="105" t="str">
        <f t="array" ref="AO209">IFERROR(INDEX($AM$10:$AM$258, MATCH(0, IF(TRUE=$AJ$10:$AJ$258, COUNTIF($AO$9:$AO208, $AM$10:$AM$258), ""), 0)),"")</f>
        <v/>
      </c>
      <c r="AP209" s="105" t="str">
        <f t="array" ref="AP209">IFERROR(INDEX($AM$10:$AM$258, MATCH(0, IF(TRUE=$AK$10:$AK$258, COUNTIF($AP$9:$AP208, $AM$10:$AM$258), ""), 0)),"")</f>
        <v/>
      </c>
      <c r="AR209" s="15" t="str">
        <f>IFERROR(INDEX('G-7 WaterC'' Data'!$AZ$3:$AZ$7,MATCH(D209,'G-7 WaterC'' Data'!$AY$3:$AY$7,0)),"")</f>
        <v/>
      </c>
      <c r="AS209" s="15" t="str">
        <f>IFERROR(INDEX('G-7 WaterC'' Data'!AZ209:AZ213,MATCH(D209,'G-7 WaterC'' Data'!$AY$10:$AY$14,0)),"")</f>
        <v/>
      </c>
      <c r="AU209" s="15" t="str">
        <f>IF(D209="","",VLOOKUP(D209,'G-7 WaterC'' Data'!B$4:M$8,12,FALSE))</f>
        <v/>
      </c>
      <c r="AV209" s="15" t="str">
        <f t="shared" si="35"/>
        <v/>
      </c>
    </row>
    <row r="210" spans="3:48" ht="14" x14ac:dyDescent="0.3">
      <c r="C210" s="92">
        <v>201</v>
      </c>
      <c r="D210" s="271"/>
      <c r="E210" s="120"/>
      <c r="F210" s="290" t="str">
        <f>IF(D210="","",VLOOKUP(D210,'G-7 WaterC'' Data'!$B$2:$G$8,2,FALSE))</f>
        <v/>
      </c>
      <c r="G210" s="291" t="str">
        <f>IFERROR(VLOOKUP(F210,'G-7 WaterC'' Data'!$C$4:$D$8,2,FALSE),"")</f>
        <v/>
      </c>
      <c r="H210" s="38"/>
      <c r="I210" s="291" t="str">
        <f>IFERROR(INDEX('G-7 WaterC'' Data'!$H$4:$L$8,MATCH(D210,'G-7 WaterC'' Data'!$B$4:$B$8,0),MATCH(H210,'G-7 WaterC'' Data'!$H$3:$L$3,0)),"")</f>
        <v/>
      </c>
      <c r="J210" s="777"/>
      <c r="K210" s="325" t="str">
        <f>IF(J210="","",IF(VLOOKUP(J210,'G-7 WaterC'' Data'!$AK$4:$AM$6,2,FALSE)=0,"Spatial Data Missing ⚠",VLOOKUP(J210,'G-7 WaterC'' Data'!$AK$4:$AM$6,2,FALSE)))</f>
        <v/>
      </c>
      <c r="L210" s="296" t="str">
        <f>IF(J210="","",IF(VLOOKUP(J210,'G-7 WaterC'' Data'!$AK$4:$AM$9,3,FALSE)=0,"Spatial Data Missing ⚠",VLOOKUP(J210,'G-7 WaterC'' Data'!$AK$4:$AM$6,3,FALSE)))</f>
        <v/>
      </c>
      <c r="M210" s="38"/>
      <c r="N210" s="291" t="str">
        <f>IF(M210="","",IF(AND(D210&lt;&gt;"Culvert",M210="N/A - Culvert"),"Not possible ▲",IF(AND(D210="Culvert",M210&lt;&gt;"N/A - Culvert"),"Not possible ▲",IF(VLOOKUP(M210,'G-7 WaterC'' Data'!$AA$4:$AB$7,2,FALSE)=0,"Spatial Data Missing ⚠",VLOOKUP(M210,'G-7 WaterC'' Data'!$AA$4:$AB$7,2,FALSE)))))</f>
        <v/>
      </c>
      <c r="O210" s="44"/>
      <c r="P210" s="291" t="str">
        <f>IF(O210="","",IF(AND(O210="N/A - Culvert", D210&lt;&gt;"Culvert"),"Not possible ▲", IF(AND(D210="Culvert",O210&lt;&gt;"N/A - Culvert"),"Not possible ▲",IF(VLOOKUP(O210,'G-7 WaterC'' Data'!$AD$4:$AE$14,2,FALSE)=0,"Spatial Data Missing ⚠",VLOOKUP(O210,'G-7 WaterC'' Data'!$AD$4:$AE$14,2,FALSE)))))</f>
        <v/>
      </c>
      <c r="Q210" s="297" t="str">
        <f>IF(D210="","",VLOOKUP(D210,'G-7 WaterC'' Data'!$B$2:$G$8,6,FALSE))</f>
        <v/>
      </c>
      <c r="R210" s="304" t="str">
        <f>IFERROR(IF(AND(Q210='G-1 All Habitats'!$X$3, AE210&gt;0, U210&lt;=0, V210&lt;=0, OR(AA210="No", AA210="")),"Any Loss Unacceptable ⚠", (IF(AND(Q210='G-1 All Habitats'!$X$3, AE210&gt;0, U210&lt;=0, V210&lt;=0, AA210="Yes"), 0, (IF(AND(Q210='G-1 All Habitats'!$X$3,(U210+V210)&lt;E210, OR(AA210="No", AA210="")),"Any Loss Unacceptable ⚠", (IF(AND(Q210='G-1 All Habitats'!$X$3,(U210+V210)&gt;E210), E210*G210*I210*L210*N210*P210, (IF(Q210="","",IF(AND(Q210='G-1 All Habitats'!$X$3,V210&gt;0),W210+X210,IF(AND(Q210='G-1 All Habitats'!$X$3,U210&gt;0), W210+X210, IF(AND(S210="Yes", V210&gt;(E210-U210)),(E210-U210)*G210*I210*L210*N210*P210, IF(AND(S210="Yes", V210&lt;=(E210-U210)), X210, E210*G210*I210*L210*N210*P210 ))))))))))))),"Check Data ▲")</f>
        <v/>
      </c>
      <c r="S210" s="671" t="str">
        <f t="shared" si="27"/>
        <v/>
      </c>
      <c r="T210" s="17"/>
      <c r="U210" s="95"/>
      <c r="V210" s="106"/>
      <c r="W210" s="302" t="str">
        <f t="shared" si="28"/>
        <v/>
      </c>
      <c r="X210" s="302" t="str">
        <f t="shared" si="29"/>
        <v/>
      </c>
      <c r="Y210" s="302" t="str">
        <f t="shared" si="30"/>
        <v/>
      </c>
      <c r="Z210" s="471" t="str">
        <f t="shared" si="31"/>
        <v/>
      </c>
      <c r="AA210" s="488"/>
      <c r="AB210" s="486"/>
      <c r="AC210" s="101"/>
      <c r="AD210" s="101"/>
      <c r="AE210" s="41" t="str">
        <f>IF(OR(Q210="",AA210="Yes"),"",IF(Q210='G-1 All Habitats'!$X$3,E210-U210-V210,"None"))</f>
        <v/>
      </c>
      <c r="AF210" s="42" t="str">
        <f>IF(Q210="","", IF(Q210='G-1 All Habitats'!$X$3, AE210*G210*I210*L210*N210*P210,"None"))</f>
        <v/>
      </c>
      <c r="AI210" s="15">
        <f t="shared" si="32"/>
        <v>0</v>
      </c>
      <c r="AJ210" s="105" t="str">
        <f t="shared" si="33"/>
        <v/>
      </c>
      <c r="AK210" s="105" t="str">
        <f t="shared" si="34"/>
        <v/>
      </c>
      <c r="AM210" s="105">
        <v>201</v>
      </c>
      <c r="AO210" s="105" t="str">
        <f t="array" ref="AO210">IFERROR(INDEX($AM$10:$AM$258, MATCH(0, IF(TRUE=$AJ$10:$AJ$258, COUNTIF($AO$9:$AO209, $AM$10:$AM$258), ""), 0)),"")</f>
        <v/>
      </c>
      <c r="AP210" s="105" t="str">
        <f t="array" ref="AP210">IFERROR(INDEX($AM$10:$AM$258, MATCH(0, IF(TRUE=$AK$10:$AK$258, COUNTIF($AP$9:$AP209, $AM$10:$AM$258), ""), 0)),"")</f>
        <v/>
      </c>
      <c r="AR210" s="15" t="str">
        <f>IFERROR(INDEX('G-7 WaterC'' Data'!$AZ$3:$AZ$7,MATCH(D210,'G-7 WaterC'' Data'!$AY$3:$AY$7,0)),"")</f>
        <v/>
      </c>
      <c r="AS210" s="15" t="str">
        <f>IFERROR(INDEX('G-7 WaterC'' Data'!AZ210:AZ214,MATCH(D210,'G-7 WaterC'' Data'!$AY$10:$AY$14,0)),"")</f>
        <v/>
      </c>
      <c r="AU210" s="15" t="str">
        <f>IF(D210="","",VLOOKUP(D210,'G-7 WaterC'' Data'!B$4:M$8,12,FALSE))</f>
        <v/>
      </c>
      <c r="AV210" s="15" t="str">
        <f t="shared" si="35"/>
        <v/>
      </c>
    </row>
    <row r="211" spans="3:48" ht="14" x14ac:dyDescent="0.3">
      <c r="C211" s="92">
        <v>202</v>
      </c>
      <c r="D211" s="271"/>
      <c r="E211" s="120"/>
      <c r="F211" s="290" t="str">
        <f>IF(D211="","",VLOOKUP(D211,'G-7 WaterC'' Data'!$B$2:$G$8,2,FALSE))</f>
        <v/>
      </c>
      <c r="G211" s="291" t="str">
        <f>IFERROR(VLOOKUP(F211,'G-7 WaterC'' Data'!$C$4:$D$8,2,FALSE),"")</f>
        <v/>
      </c>
      <c r="H211" s="38"/>
      <c r="I211" s="291" t="str">
        <f>IFERROR(INDEX('G-7 WaterC'' Data'!$H$4:$L$8,MATCH(D211,'G-7 WaterC'' Data'!$B$4:$B$8,0),MATCH(H211,'G-7 WaterC'' Data'!$H$3:$L$3,0)),"")</f>
        <v/>
      </c>
      <c r="J211" s="777"/>
      <c r="K211" s="325" t="str">
        <f>IF(J211="","",IF(VLOOKUP(J211,'G-7 WaterC'' Data'!$AK$4:$AM$6,2,FALSE)=0,"Spatial Data Missing ⚠",VLOOKUP(J211,'G-7 WaterC'' Data'!$AK$4:$AM$6,2,FALSE)))</f>
        <v/>
      </c>
      <c r="L211" s="296" t="str">
        <f>IF(J211="","",IF(VLOOKUP(J211,'G-7 WaterC'' Data'!$AK$4:$AM$9,3,FALSE)=0,"Spatial Data Missing ⚠",VLOOKUP(J211,'G-7 WaterC'' Data'!$AK$4:$AM$6,3,FALSE)))</f>
        <v/>
      </c>
      <c r="M211" s="38"/>
      <c r="N211" s="291" t="str">
        <f>IF(M211="","",IF(AND(D211&lt;&gt;"Culvert",M211="N/A - Culvert"),"Not possible ▲",IF(AND(D211="Culvert",M211&lt;&gt;"N/A - Culvert"),"Not possible ▲",IF(VLOOKUP(M211,'G-7 WaterC'' Data'!$AA$4:$AB$7,2,FALSE)=0,"Spatial Data Missing ⚠",VLOOKUP(M211,'G-7 WaterC'' Data'!$AA$4:$AB$7,2,FALSE)))))</f>
        <v/>
      </c>
      <c r="O211" s="44"/>
      <c r="P211" s="291" t="str">
        <f>IF(O211="","",IF(AND(O211="N/A - Culvert", D211&lt;&gt;"Culvert"),"Not possible ▲", IF(AND(D211="Culvert",O211&lt;&gt;"N/A - Culvert"),"Not possible ▲",IF(VLOOKUP(O211,'G-7 WaterC'' Data'!$AD$4:$AE$14,2,FALSE)=0,"Spatial Data Missing ⚠",VLOOKUP(O211,'G-7 WaterC'' Data'!$AD$4:$AE$14,2,FALSE)))))</f>
        <v/>
      </c>
      <c r="Q211" s="297" t="str">
        <f>IF(D211="","",VLOOKUP(D211,'G-7 WaterC'' Data'!$B$2:$G$8,6,FALSE))</f>
        <v/>
      </c>
      <c r="R211" s="304" t="str">
        <f>IFERROR(IF(AND(Q211='G-1 All Habitats'!$X$3, AE211&gt;0, U211&lt;=0, V211&lt;=0, OR(AA211="No", AA211="")),"Any Loss Unacceptable ⚠", (IF(AND(Q211='G-1 All Habitats'!$X$3, AE211&gt;0, U211&lt;=0, V211&lt;=0, AA211="Yes"), 0, (IF(AND(Q211='G-1 All Habitats'!$X$3,(U211+V211)&lt;E211, OR(AA211="No", AA211="")),"Any Loss Unacceptable ⚠", (IF(AND(Q211='G-1 All Habitats'!$X$3,(U211+V211)&gt;E211), E211*G211*I211*L211*N211*P211, (IF(Q211="","",IF(AND(Q211='G-1 All Habitats'!$X$3,V211&gt;0),W211+X211,IF(AND(Q211='G-1 All Habitats'!$X$3,U211&gt;0), W211+X211, IF(AND(S211="Yes", V211&gt;(E211-U211)),(E211-U211)*G211*I211*L211*N211*P211, IF(AND(S211="Yes", V211&lt;=(E211-U211)), X211, E211*G211*I211*L211*N211*P211 ))))))))))))),"Check Data ▲")</f>
        <v/>
      </c>
      <c r="S211" s="671" t="str">
        <f t="shared" si="27"/>
        <v/>
      </c>
      <c r="T211" s="17"/>
      <c r="U211" s="95"/>
      <c r="V211" s="106"/>
      <c r="W211" s="302" t="str">
        <f t="shared" si="28"/>
        <v/>
      </c>
      <c r="X211" s="302" t="str">
        <f t="shared" si="29"/>
        <v/>
      </c>
      <c r="Y211" s="302" t="str">
        <f t="shared" si="30"/>
        <v/>
      </c>
      <c r="Z211" s="471" t="str">
        <f t="shared" si="31"/>
        <v/>
      </c>
      <c r="AA211" s="488"/>
      <c r="AB211" s="486"/>
      <c r="AC211" s="101"/>
      <c r="AD211" s="101"/>
      <c r="AE211" s="41" t="str">
        <f>IF(OR(Q211="",AA211="Yes"),"",IF(Q211='G-1 All Habitats'!$X$3,E211-U211-V211,"None"))</f>
        <v/>
      </c>
      <c r="AF211" s="42" t="str">
        <f>IF(Q211="","", IF(Q211='G-1 All Habitats'!$X$3, AE211*G211*I211*L211*N211*P211,"None"))</f>
        <v/>
      </c>
      <c r="AI211" s="15">
        <f t="shared" si="32"/>
        <v>0</v>
      </c>
      <c r="AJ211" s="105" t="str">
        <f t="shared" si="33"/>
        <v/>
      </c>
      <c r="AK211" s="105" t="str">
        <f t="shared" si="34"/>
        <v/>
      </c>
      <c r="AM211" s="105">
        <v>202</v>
      </c>
      <c r="AO211" s="105" t="str">
        <f t="array" ref="AO211">IFERROR(INDEX($AM$10:$AM$258, MATCH(0, IF(TRUE=$AJ$10:$AJ$258, COUNTIF($AO$9:$AO210, $AM$10:$AM$258), ""), 0)),"")</f>
        <v/>
      </c>
      <c r="AP211" s="105" t="str">
        <f t="array" ref="AP211">IFERROR(INDEX($AM$10:$AM$258, MATCH(0, IF(TRUE=$AK$10:$AK$258, COUNTIF($AP$9:$AP210, $AM$10:$AM$258), ""), 0)),"")</f>
        <v/>
      </c>
      <c r="AR211" s="15" t="str">
        <f>IFERROR(INDEX('G-7 WaterC'' Data'!$AZ$3:$AZ$7,MATCH(D211,'G-7 WaterC'' Data'!$AY$3:$AY$7,0)),"")</f>
        <v/>
      </c>
      <c r="AS211" s="15" t="str">
        <f>IFERROR(INDEX('G-7 WaterC'' Data'!AZ211:AZ215,MATCH(D211,'G-7 WaterC'' Data'!$AY$10:$AY$14,0)),"")</f>
        <v/>
      </c>
      <c r="AU211" s="15" t="str">
        <f>IF(D211="","",VLOOKUP(D211,'G-7 WaterC'' Data'!B$4:M$8,12,FALSE))</f>
        <v/>
      </c>
      <c r="AV211" s="15" t="str">
        <f t="shared" si="35"/>
        <v/>
      </c>
    </row>
    <row r="212" spans="3:48" ht="14" x14ac:dyDescent="0.3">
      <c r="C212" s="92">
        <v>203</v>
      </c>
      <c r="D212" s="271"/>
      <c r="E212" s="120"/>
      <c r="F212" s="290" t="str">
        <f>IF(D212="","",VLOOKUP(D212,'G-7 WaterC'' Data'!$B$2:$G$8,2,FALSE))</f>
        <v/>
      </c>
      <c r="G212" s="291" t="str">
        <f>IFERROR(VLOOKUP(F212,'G-7 WaterC'' Data'!$C$4:$D$8,2,FALSE),"")</f>
        <v/>
      </c>
      <c r="H212" s="38"/>
      <c r="I212" s="291" t="str">
        <f>IFERROR(INDEX('G-7 WaterC'' Data'!$H$4:$L$8,MATCH(D212,'G-7 WaterC'' Data'!$B$4:$B$8,0),MATCH(H212,'G-7 WaterC'' Data'!$H$3:$L$3,0)),"")</f>
        <v/>
      </c>
      <c r="J212" s="777"/>
      <c r="K212" s="325" t="str">
        <f>IF(J212="","",IF(VLOOKUP(J212,'G-7 WaterC'' Data'!$AK$4:$AM$6,2,FALSE)=0,"Spatial Data Missing ⚠",VLOOKUP(J212,'G-7 WaterC'' Data'!$AK$4:$AM$6,2,FALSE)))</f>
        <v/>
      </c>
      <c r="L212" s="296" t="str">
        <f>IF(J212="","",IF(VLOOKUP(J212,'G-7 WaterC'' Data'!$AK$4:$AM$9,3,FALSE)=0,"Spatial Data Missing ⚠",VLOOKUP(J212,'G-7 WaterC'' Data'!$AK$4:$AM$6,3,FALSE)))</f>
        <v/>
      </c>
      <c r="M212" s="38"/>
      <c r="N212" s="291" t="str">
        <f>IF(M212="","",IF(AND(D212&lt;&gt;"Culvert",M212="N/A - Culvert"),"Not possible ▲",IF(AND(D212="Culvert",M212&lt;&gt;"N/A - Culvert"),"Not possible ▲",IF(VLOOKUP(M212,'G-7 WaterC'' Data'!$AA$4:$AB$7,2,FALSE)=0,"Spatial Data Missing ⚠",VLOOKUP(M212,'G-7 WaterC'' Data'!$AA$4:$AB$7,2,FALSE)))))</f>
        <v/>
      </c>
      <c r="O212" s="44"/>
      <c r="P212" s="291" t="str">
        <f>IF(O212="","",IF(AND(O212="N/A - Culvert", D212&lt;&gt;"Culvert"),"Not possible ▲", IF(AND(D212="Culvert",O212&lt;&gt;"N/A - Culvert"),"Not possible ▲",IF(VLOOKUP(O212,'G-7 WaterC'' Data'!$AD$4:$AE$14,2,FALSE)=0,"Spatial Data Missing ⚠",VLOOKUP(O212,'G-7 WaterC'' Data'!$AD$4:$AE$14,2,FALSE)))))</f>
        <v/>
      </c>
      <c r="Q212" s="297" t="str">
        <f>IF(D212="","",VLOOKUP(D212,'G-7 WaterC'' Data'!$B$2:$G$8,6,FALSE))</f>
        <v/>
      </c>
      <c r="R212" s="304" t="str">
        <f>IFERROR(IF(AND(Q212='G-1 All Habitats'!$X$3, AE212&gt;0, U212&lt;=0, V212&lt;=0, OR(AA212="No", AA212="")),"Any Loss Unacceptable ⚠", (IF(AND(Q212='G-1 All Habitats'!$X$3, AE212&gt;0, U212&lt;=0, V212&lt;=0, AA212="Yes"), 0, (IF(AND(Q212='G-1 All Habitats'!$X$3,(U212+V212)&lt;E212, OR(AA212="No", AA212="")),"Any Loss Unacceptable ⚠", (IF(AND(Q212='G-1 All Habitats'!$X$3,(U212+V212)&gt;E212), E212*G212*I212*L212*N212*P212, (IF(Q212="","",IF(AND(Q212='G-1 All Habitats'!$X$3,V212&gt;0),W212+X212,IF(AND(Q212='G-1 All Habitats'!$X$3,U212&gt;0), W212+X212, IF(AND(S212="Yes", V212&gt;(E212-U212)),(E212-U212)*G212*I212*L212*N212*P212, IF(AND(S212="Yes", V212&lt;=(E212-U212)), X212, E212*G212*I212*L212*N212*P212 ))))))))))))),"Check Data ▲")</f>
        <v/>
      </c>
      <c r="S212" s="671" t="str">
        <f t="shared" si="27"/>
        <v/>
      </c>
      <c r="T212" s="17"/>
      <c r="U212" s="95"/>
      <c r="V212" s="106"/>
      <c r="W212" s="302" t="str">
        <f t="shared" si="28"/>
        <v/>
      </c>
      <c r="X212" s="302" t="str">
        <f t="shared" si="29"/>
        <v/>
      </c>
      <c r="Y212" s="302" t="str">
        <f t="shared" si="30"/>
        <v/>
      </c>
      <c r="Z212" s="471" t="str">
        <f t="shared" si="31"/>
        <v/>
      </c>
      <c r="AA212" s="488"/>
      <c r="AB212" s="486"/>
      <c r="AC212" s="101"/>
      <c r="AD212" s="101"/>
      <c r="AE212" s="41" t="str">
        <f>IF(OR(Q212="",AA212="Yes"),"",IF(Q212='G-1 All Habitats'!$X$3,E212-U212-V212,"None"))</f>
        <v/>
      </c>
      <c r="AF212" s="42" t="str">
        <f>IF(Q212="","", IF(Q212='G-1 All Habitats'!$X$3, AE212*G212*I212*L212*N212*P212,"None"))</f>
        <v/>
      </c>
      <c r="AI212" s="15">
        <f t="shared" si="32"/>
        <v>0</v>
      </c>
      <c r="AJ212" s="105" t="str">
        <f t="shared" si="33"/>
        <v/>
      </c>
      <c r="AK212" s="105" t="str">
        <f t="shared" si="34"/>
        <v/>
      </c>
      <c r="AM212" s="105">
        <v>203</v>
      </c>
      <c r="AO212" s="105" t="str">
        <f t="array" ref="AO212">IFERROR(INDEX($AM$10:$AM$258, MATCH(0, IF(TRUE=$AJ$10:$AJ$258, COUNTIF($AO$9:$AO211, $AM$10:$AM$258), ""), 0)),"")</f>
        <v/>
      </c>
      <c r="AP212" s="105" t="str">
        <f t="array" ref="AP212">IFERROR(INDEX($AM$10:$AM$258, MATCH(0, IF(TRUE=$AK$10:$AK$258, COUNTIF($AP$9:$AP211, $AM$10:$AM$258), ""), 0)),"")</f>
        <v/>
      </c>
      <c r="AR212" s="15" t="str">
        <f>IFERROR(INDEX('G-7 WaterC'' Data'!$AZ$3:$AZ$7,MATCH(D212,'G-7 WaterC'' Data'!$AY$3:$AY$7,0)),"")</f>
        <v/>
      </c>
      <c r="AS212" s="15" t="str">
        <f>IFERROR(INDEX('G-7 WaterC'' Data'!AZ212:AZ216,MATCH(D212,'G-7 WaterC'' Data'!$AY$10:$AY$14,0)),"")</f>
        <v/>
      </c>
      <c r="AU212" s="15" t="str">
        <f>IF(D212="","",VLOOKUP(D212,'G-7 WaterC'' Data'!B$4:M$8,12,FALSE))</f>
        <v/>
      </c>
      <c r="AV212" s="15" t="str">
        <f t="shared" si="35"/>
        <v/>
      </c>
    </row>
    <row r="213" spans="3:48" ht="14" x14ac:dyDescent="0.3">
      <c r="C213" s="92">
        <v>204</v>
      </c>
      <c r="D213" s="271"/>
      <c r="E213" s="120"/>
      <c r="F213" s="290" t="str">
        <f>IF(D213="","",VLOOKUP(D213,'G-7 WaterC'' Data'!$B$2:$G$8,2,FALSE))</f>
        <v/>
      </c>
      <c r="G213" s="291" t="str">
        <f>IFERROR(VLOOKUP(F213,'G-7 WaterC'' Data'!$C$4:$D$8,2,FALSE),"")</f>
        <v/>
      </c>
      <c r="H213" s="38"/>
      <c r="I213" s="291" t="str">
        <f>IFERROR(INDEX('G-7 WaterC'' Data'!$H$4:$L$8,MATCH(D213,'G-7 WaterC'' Data'!$B$4:$B$8,0),MATCH(H213,'G-7 WaterC'' Data'!$H$3:$L$3,0)),"")</f>
        <v/>
      </c>
      <c r="J213" s="777"/>
      <c r="K213" s="325" t="str">
        <f>IF(J213="","",IF(VLOOKUP(J213,'G-7 WaterC'' Data'!$AK$4:$AM$6,2,FALSE)=0,"Spatial Data Missing ⚠",VLOOKUP(J213,'G-7 WaterC'' Data'!$AK$4:$AM$6,2,FALSE)))</f>
        <v/>
      </c>
      <c r="L213" s="296" t="str">
        <f>IF(J213="","",IF(VLOOKUP(J213,'G-7 WaterC'' Data'!$AK$4:$AM$9,3,FALSE)=0,"Spatial Data Missing ⚠",VLOOKUP(J213,'G-7 WaterC'' Data'!$AK$4:$AM$6,3,FALSE)))</f>
        <v/>
      </c>
      <c r="M213" s="38"/>
      <c r="N213" s="291" t="str">
        <f>IF(M213="","",IF(AND(D213&lt;&gt;"Culvert",M213="N/A - Culvert"),"Not possible ▲",IF(AND(D213="Culvert",M213&lt;&gt;"N/A - Culvert"),"Not possible ▲",IF(VLOOKUP(M213,'G-7 WaterC'' Data'!$AA$4:$AB$7,2,FALSE)=0,"Spatial Data Missing ⚠",VLOOKUP(M213,'G-7 WaterC'' Data'!$AA$4:$AB$7,2,FALSE)))))</f>
        <v/>
      </c>
      <c r="O213" s="44"/>
      <c r="P213" s="291" t="str">
        <f>IF(O213="","",IF(AND(O213="N/A - Culvert", D213&lt;&gt;"Culvert"),"Not possible ▲", IF(AND(D213="Culvert",O213&lt;&gt;"N/A - Culvert"),"Not possible ▲",IF(VLOOKUP(O213,'G-7 WaterC'' Data'!$AD$4:$AE$14,2,FALSE)=0,"Spatial Data Missing ⚠",VLOOKUP(O213,'G-7 WaterC'' Data'!$AD$4:$AE$14,2,FALSE)))))</f>
        <v/>
      </c>
      <c r="Q213" s="297" t="str">
        <f>IF(D213="","",VLOOKUP(D213,'G-7 WaterC'' Data'!$B$2:$G$8,6,FALSE))</f>
        <v/>
      </c>
      <c r="R213" s="304" t="str">
        <f>IFERROR(IF(AND(Q213='G-1 All Habitats'!$X$3, AE213&gt;0, U213&lt;=0, V213&lt;=0, OR(AA213="No", AA213="")),"Any Loss Unacceptable ⚠", (IF(AND(Q213='G-1 All Habitats'!$X$3, AE213&gt;0, U213&lt;=0, V213&lt;=0, AA213="Yes"), 0, (IF(AND(Q213='G-1 All Habitats'!$X$3,(U213+V213)&lt;E213, OR(AA213="No", AA213="")),"Any Loss Unacceptable ⚠", (IF(AND(Q213='G-1 All Habitats'!$X$3,(U213+V213)&gt;E213), E213*G213*I213*L213*N213*P213, (IF(Q213="","",IF(AND(Q213='G-1 All Habitats'!$X$3,V213&gt;0),W213+X213,IF(AND(Q213='G-1 All Habitats'!$X$3,U213&gt;0), W213+X213, IF(AND(S213="Yes", V213&gt;(E213-U213)),(E213-U213)*G213*I213*L213*N213*P213, IF(AND(S213="Yes", V213&lt;=(E213-U213)), X213, E213*G213*I213*L213*N213*P213 ))))))))))))),"Check Data ▲")</f>
        <v/>
      </c>
      <c r="S213" s="671" t="str">
        <f t="shared" si="27"/>
        <v/>
      </c>
      <c r="T213" s="17"/>
      <c r="U213" s="95"/>
      <c r="V213" s="106"/>
      <c r="W213" s="302" t="str">
        <f t="shared" si="28"/>
        <v/>
      </c>
      <c r="X213" s="302" t="str">
        <f t="shared" si="29"/>
        <v/>
      </c>
      <c r="Y213" s="302" t="str">
        <f t="shared" si="30"/>
        <v/>
      </c>
      <c r="Z213" s="471" t="str">
        <f t="shared" si="31"/>
        <v/>
      </c>
      <c r="AA213" s="488"/>
      <c r="AB213" s="486"/>
      <c r="AC213" s="101"/>
      <c r="AD213" s="101"/>
      <c r="AE213" s="41" t="str">
        <f>IF(OR(Q213="",AA213="Yes"),"",IF(Q213='G-1 All Habitats'!$X$3,E213-U213-V213,"None"))</f>
        <v/>
      </c>
      <c r="AF213" s="42" t="str">
        <f>IF(Q213="","", IF(Q213='G-1 All Habitats'!$X$3, AE213*G213*I213*L213*N213*P213,"None"))</f>
        <v/>
      </c>
      <c r="AI213" s="15">
        <f t="shared" si="32"/>
        <v>0</v>
      </c>
      <c r="AJ213" s="105" t="str">
        <f t="shared" si="33"/>
        <v/>
      </c>
      <c r="AK213" s="105" t="str">
        <f t="shared" si="34"/>
        <v/>
      </c>
      <c r="AM213" s="105">
        <v>204</v>
      </c>
      <c r="AO213" s="105" t="str">
        <f t="array" ref="AO213">IFERROR(INDEX($AM$10:$AM$258, MATCH(0, IF(TRUE=$AJ$10:$AJ$258, COUNTIF($AO$9:$AO212, $AM$10:$AM$258), ""), 0)),"")</f>
        <v/>
      </c>
      <c r="AP213" s="105" t="str">
        <f t="array" ref="AP213">IFERROR(INDEX($AM$10:$AM$258, MATCH(0, IF(TRUE=$AK$10:$AK$258, COUNTIF($AP$9:$AP212, $AM$10:$AM$258), ""), 0)),"")</f>
        <v/>
      </c>
      <c r="AR213" s="15" t="str">
        <f>IFERROR(INDEX('G-7 WaterC'' Data'!$AZ$3:$AZ$7,MATCH(D213,'G-7 WaterC'' Data'!$AY$3:$AY$7,0)),"")</f>
        <v/>
      </c>
      <c r="AS213" s="15" t="str">
        <f>IFERROR(INDEX('G-7 WaterC'' Data'!AZ213:AZ217,MATCH(D213,'G-7 WaterC'' Data'!$AY$10:$AY$14,0)),"")</f>
        <v/>
      </c>
      <c r="AU213" s="15" t="str">
        <f>IF(D213="","",VLOOKUP(D213,'G-7 WaterC'' Data'!B$4:M$8,12,FALSE))</f>
        <v/>
      </c>
      <c r="AV213" s="15" t="str">
        <f t="shared" si="35"/>
        <v/>
      </c>
    </row>
    <row r="214" spans="3:48" ht="14" x14ac:dyDescent="0.3">
      <c r="C214" s="92">
        <v>205</v>
      </c>
      <c r="D214" s="271"/>
      <c r="E214" s="120"/>
      <c r="F214" s="290" t="str">
        <f>IF(D214="","",VLOOKUP(D214,'G-7 WaterC'' Data'!$B$2:$G$8,2,FALSE))</f>
        <v/>
      </c>
      <c r="G214" s="291" t="str">
        <f>IFERROR(VLOOKUP(F214,'G-7 WaterC'' Data'!$C$4:$D$8,2,FALSE),"")</f>
        <v/>
      </c>
      <c r="H214" s="38"/>
      <c r="I214" s="291" t="str">
        <f>IFERROR(INDEX('G-7 WaterC'' Data'!$H$4:$L$8,MATCH(D214,'G-7 WaterC'' Data'!$B$4:$B$8,0),MATCH(H214,'G-7 WaterC'' Data'!$H$3:$L$3,0)),"")</f>
        <v/>
      </c>
      <c r="J214" s="777"/>
      <c r="K214" s="325" t="str">
        <f>IF(J214="","",IF(VLOOKUP(J214,'G-7 WaterC'' Data'!$AK$4:$AM$6,2,FALSE)=0,"Spatial Data Missing ⚠",VLOOKUP(J214,'G-7 WaterC'' Data'!$AK$4:$AM$6,2,FALSE)))</f>
        <v/>
      </c>
      <c r="L214" s="296" t="str">
        <f>IF(J214="","",IF(VLOOKUP(J214,'G-7 WaterC'' Data'!$AK$4:$AM$9,3,FALSE)=0,"Spatial Data Missing ⚠",VLOOKUP(J214,'G-7 WaterC'' Data'!$AK$4:$AM$6,3,FALSE)))</f>
        <v/>
      </c>
      <c r="M214" s="38"/>
      <c r="N214" s="291" t="str">
        <f>IF(M214="","",IF(AND(D214&lt;&gt;"Culvert",M214="N/A - Culvert"),"Not possible ▲",IF(AND(D214="Culvert",M214&lt;&gt;"N/A - Culvert"),"Not possible ▲",IF(VLOOKUP(M214,'G-7 WaterC'' Data'!$AA$4:$AB$7,2,FALSE)=0,"Spatial Data Missing ⚠",VLOOKUP(M214,'G-7 WaterC'' Data'!$AA$4:$AB$7,2,FALSE)))))</f>
        <v/>
      </c>
      <c r="O214" s="44"/>
      <c r="P214" s="291" t="str">
        <f>IF(O214="","",IF(AND(O214="N/A - Culvert", D214&lt;&gt;"Culvert"),"Not possible ▲", IF(AND(D214="Culvert",O214&lt;&gt;"N/A - Culvert"),"Not possible ▲",IF(VLOOKUP(O214,'G-7 WaterC'' Data'!$AD$4:$AE$14,2,FALSE)=0,"Spatial Data Missing ⚠",VLOOKUP(O214,'G-7 WaterC'' Data'!$AD$4:$AE$14,2,FALSE)))))</f>
        <v/>
      </c>
      <c r="Q214" s="297" t="str">
        <f>IF(D214="","",VLOOKUP(D214,'G-7 WaterC'' Data'!$B$2:$G$8,6,FALSE))</f>
        <v/>
      </c>
      <c r="R214" s="304" t="str">
        <f>IFERROR(IF(AND(Q214='G-1 All Habitats'!$X$3, AE214&gt;0, U214&lt;=0, V214&lt;=0, OR(AA214="No", AA214="")),"Any Loss Unacceptable ⚠", (IF(AND(Q214='G-1 All Habitats'!$X$3, AE214&gt;0, U214&lt;=0, V214&lt;=0, AA214="Yes"), 0, (IF(AND(Q214='G-1 All Habitats'!$X$3,(U214+V214)&lt;E214, OR(AA214="No", AA214="")),"Any Loss Unacceptable ⚠", (IF(AND(Q214='G-1 All Habitats'!$X$3,(U214+V214)&gt;E214), E214*G214*I214*L214*N214*P214, (IF(Q214="","",IF(AND(Q214='G-1 All Habitats'!$X$3,V214&gt;0),W214+X214,IF(AND(Q214='G-1 All Habitats'!$X$3,U214&gt;0), W214+X214, IF(AND(S214="Yes", V214&gt;(E214-U214)),(E214-U214)*G214*I214*L214*N214*P214, IF(AND(S214="Yes", V214&lt;=(E214-U214)), X214, E214*G214*I214*L214*N214*P214 ))))))))))))),"Check Data ▲")</f>
        <v/>
      </c>
      <c r="S214" s="671" t="str">
        <f t="shared" si="27"/>
        <v/>
      </c>
      <c r="T214" s="17"/>
      <c r="U214" s="95"/>
      <c r="V214" s="106"/>
      <c r="W214" s="302" t="str">
        <f t="shared" si="28"/>
        <v/>
      </c>
      <c r="X214" s="302" t="str">
        <f t="shared" si="29"/>
        <v/>
      </c>
      <c r="Y214" s="302" t="str">
        <f t="shared" si="30"/>
        <v/>
      </c>
      <c r="Z214" s="471" t="str">
        <f t="shared" si="31"/>
        <v/>
      </c>
      <c r="AA214" s="488"/>
      <c r="AB214" s="486"/>
      <c r="AC214" s="101"/>
      <c r="AD214" s="101"/>
      <c r="AE214" s="41" t="str">
        <f>IF(OR(Q214="",AA214="Yes"),"",IF(Q214='G-1 All Habitats'!$X$3,E214-U214-V214,"None"))</f>
        <v/>
      </c>
      <c r="AF214" s="42" t="str">
        <f>IF(Q214="","", IF(Q214='G-1 All Habitats'!$X$3, AE214*G214*I214*L214*N214*P214,"None"))</f>
        <v/>
      </c>
      <c r="AI214" s="15">
        <f t="shared" si="32"/>
        <v>0</v>
      </c>
      <c r="AJ214" s="105" t="str">
        <f t="shared" si="33"/>
        <v/>
      </c>
      <c r="AK214" s="105" t="str">
        <f t="shared" si="34"/>
        <v/>
      </c>
      <c r="AM214" s="105">
        <v>205</v>
      </c>
      <c r="AO214" s="105" t="str">
        <f t="array" ref="AO214">IFERROR(INDEX($AM$10:$AM$258, MATCH(0, IF(TRUE=$AJ$10:$AJ$258, COUNTIF($AO$9:$AO213, $AM$10:$AM$258), ""), 0)),"")</f>
        <v/>
      </c>
      <c r="AP214" s="105" t="str">
        <f t="array" ref="AP214">IFERROR(INDEX($AM$10:$AM$258, MATCH(0, IF(TRUE=$AK$10:$AK$258, COUNTIF($AP$9:$AP213, $AM$10:$AM$258), ""), 0)),"")</f>
        <v/>
      </c>
      <c r="AR214" s="15" t="str">
        <f>IFERROR(INDEX('G-7 WaterC'' Data'!$AZ$3:$AZ$7,MATCH(D214,'G-7 WaterC'' Data'!$AY$3:$AY$7,0)),"")</f>
        <v/>
      </c>
      <c r="AS214" s="15" t="str">
        <f>IFERROR(INDEX('G-7 WaterC'' Data'!AZ214:AZ218,MATCH(D214,'G-7 WaterC'' Data'!$AY$10:$AY$14,0)),"")</f>
        <v/>
      </c>
      <c r="AU214" s="15" t="str">
        <f>IF(D214="","",VLOOKUP(D214,'G-7 WaterC'' Data'!B$4:M$8,12,FALSE))</f>
        <v/>
      </c>
      <c r="AV214" s="15" t="str">
        <f t="shared" si="35"/>
        <v/>
      </c>
    </row>
    <row r="215" spans="3:48" ht="14" x14ac:dyDescent="0.3">
      <c r="C215" s="92">
        <v>206</v>
      </c>
      <c r="D215" s="271"/>
      <c r="E215" s="120"/>
      <c r="F215" s="290" t="str">
        <f>IF(D215="","",VLOOKUP(D215,'G-7 WaterC'' Data'!$B$2:$G$8,2,FALSE))</f>
        <v/>
      </c>
      <c r="G215" s="291" t="str">
        <f>IFERROR(VLOOKUP(F215,'G-7 WaterC'' Data'!$C$4:$D$8,2,FALSE),"")</f>
        <v/>
      </c>
      <c r="H215" s="38"/>
      <c r="I215" s="291" t="str">
        <f>IFERROR(INDEX('G-7 WaterC'' Data'!$H$4:$L$8,MATCH(D215,'G-7 WaterC'' Data'!$B$4:$B$8,0),MATCH(H215,'G-7 WaterC'' Data'!$H$3:$L$3,0)),"")</f>
        <v/>
      </c>
      <c r="J215" s="777"/>
      <c r="K215" s="325" t="str">
        <f>IF(J215="","",IF(VLOOKUP(J215,'G-7 WaterC'' Data'!$AK$4:$AM$6,2,FALSE)=0,"Spatial Data Missing ⚠",VLOOKUP(J215,'G-7 WaterC'' Data'!$AK$4:$AM$6,2,FALSE)))</f>
        <v/>
      </c>
      <c r="L215" s="296" t="str">
        <f>IF(J215="","",IF(VLOOKUP(J215,'G-7 WaterC'' Data'!$AK$4:$AM$9,3,FALSE)=0,"Spatial Data Missing ⚠",VLOOKUP(J215,'G-7 WaterC'' Data'!$AK$4:$AM$6,3,FALSE)))</f>
        <v/>
      </c>
      <c r="M215" s="38"/>
      <c r="N215" s="291" t="str">
        <f>IF(M215="","",IF(AND(D215&lt;&gt;"Culvert",M215="N/A - Culvert"),"Not possible ▲",IF(AND(D215="Culvert",M215&lt;&gt;"N/A - Culvert"),"Not possible ▲",IF(VLOOKUP(M215,'G-7 WaterC'' Data'!$AA$4:$AB$7,2,FALSE)=0,"Spatial Data Missing ⚠",VLOOKUP(M215,'G-7 WaterC'' Data'!$AA$4:$AB$7,2,FALSE)))))</f>
        <v/>
      </c>
      <c r="O215" s="44"/>
      <c r="P215" s="291" t="str">
        <f>IF(O215="","",IF(AND(O215="N/A - Culvert", D215&lt;&gt;"Culvert"),"Not possible ▲", IF(AND(D215="Culvert",O215&lt;&gt;"N/A - Culvert"),"Not possible ▲",IF(VLOOKUP(O215,'G-7 WaterC'' Data'!$AD$4:$AE$14,2,FALSE)=0,"Spatial Data Missing ⚠",VLOOKUP(O215,'G-7 WaterC'' Data'!$AD$4:$AE$14,2,FALSE)))))</f>
        <v/>
      </c>
      <c r="Q215" s="297" t="str">
        <f>IF(D215="","",VLOOKUP(D215,'G-7 WaterC'' Data'!$B$2:$G$8,6,FALSE))</f>
        <v/>
      </c>
      <c r="R215" s="304" t="str">
        <f>IFERROR(IF(AND(Q215='G-1 All Habitats'!$X$3, AE215&gt;0, U215&lt;=0, V215&lt;=0, OR(AA215="No", AA215="")),"Any Loss Unacceptable ⚠", (IF(AND(Q215='G-1 All Habitats'!$X$3, AE215&gt;0, U215&lt;=0, V215&lt;=0, AA215="Yes"), 0, (IF(AND(Q215='G-1 All Habitats'!$X$3,(U215+V215)&lt;E215, OR(AA215="No", AA215="")),"Any Loss Unacceptable ⚠", (IF(AND(Q215='G-1 All Habitats'!$X$3,(U215+V215)&gt;E215), E215*G215*I215*L215*N215*P215, (IF(Q215="","",IF(AND(Q215='G-1 All Habitats'!$X$3,V215&gt;0),W215+X215,IF(AND(Q215='G-1 All Habitats'!$X$3,U215&gt;0), W215+X215, IF(AND(S215="Yes", V215&gt;(E215-U215)),(E215-U215)*G215*I215*L215*N215*P215, IF(AND(S215="Yes", V215&lt;=(E215-U215)), X215, E215*G215*I215*L215*N215*P215 ))))))))))))),"Check Data ▲")</f>
        <v/>
      </c>
      <c r="S215" s="671" t="str">
        <f t="shared" si="27"/>
        <v/>
      </c>
      <c r="T215" s="17"/>
      <c r="U215" s="95"/>
      <c r="V215" s="106"/>
      <c r="W215" s="302" t="str">
        <f t="shared" si="28"/>
        <v/>
      </c>
      <c r="X215" s="302" t="str">
        <f t="shared" si="29"/>
        <v/>
      </c>
      <c r="Y215" s="302" t="str">
        <f t="shared" si="30"/>
        <v/>
      </c>
      <c r="Z215" s="471" t="str">
        <f t="shared" si="31"/>
        <v/>
      </c>
      <c r="AA215" s="488"/>
      <c r="AB215" s="486"/>
      <c r="AC215" s="101"/>
      <c r="AD215" s="101"/>
      <c r="AE215" s="41" t="str">
        <f>IF(OR(Q215="",AA215="Yes"),"",IF(Q215='G-1 All Habitats'!$X$3,E215-U215-V215,"None"))</f>
        <v/>
      </c>
      <c r="AF215" s="42" t="str">
        <f>IF(Q215="","", IF(Q215='G-1 All Habitats'!$X$3, AE215*G215*I215*L215*N215*P215,"None"))</f>
        <v/>
      </c>
      <c r="AI215" s="15">
        <f t="shared" si="32"/>
        <v>0</v>
      </c>
      <c r="AJ215" s="105" t="str">
        <f t="shared" si="33"/>
        <v/>
      </c>
      <c r="AK215" s="105" t="str">
        <f t="shared" si="34"/>
        <v/>
      </c>
      <c r="AM215" s="105">
        <v>206</v>
      </c>
      <c r="AO215" s="105" t="str">
        <f t="array" ref="AO215">IFERROR(INDEX($AM$10:$AM$258, MATCH(0, IF(TRUE=$AJ$10:$AJ$258, COUNTIF($AO$9:$AO214, $AM$10:$AM$258), ""), 0)),"")</f>
        <v/>
      </c>
      <c r="AP215" s="105" t="str">
        <f t="array" ref="AP215">IFERROR(INDEX($AM$10:$AM$258, MATCH(0, IF(TRUE=$AK$10:$AK$258, COUNTIF($AP$9:$AP214, $AM$10:$AM$258), ""), 0)),"")</f>
        <v/>
      </c>
      <c r="AR215" s="15" t="str">
        <f>IFERROR(INDEX('G-7 WaterC'' Data'!$AZ$3:$AZ$7,MATCH(D215,'G-7 WaterC'' Data'!$AY$3:$AY$7,0)),"")</f>
        <v/>
      </c>
      <c r="AS215" s="15" t="str">
        <f>IFERROR(INDEX('G-7 WaterC'' Data'!AZ215:AZ219,MATCH(D215,'G-7 WaterC'' Data'!$AY$10:$AY$14,0)),"")</f>
        <v/>
      </c>
      <c r="AU215" s="15" t="str">
        <f>IF(D215="","",VLOOKUP(D215,'G-7 WaterC'' Data'!B$4:M$8,12,FALSE))</f>
        <v/>
      </c>
      <c r="AV215" s="15" t="str">
        <f t="shared" si="35"/>
        <v/>
      </c>
    </row>
    <row r="216" spans="3:48" ht="14" x14ac:dyDescent="0.3">
      <c r="C216" s="92">
        <v>207</v>
      </c>
      <c r="D216" s="271"/>
      <c r="E216" s="120"/>
      <c r="F216" s="290" t="str">
        <f>IF(D216="","",VLOOKUP(D216,'G-7 WaterC'' Data'!$B$2:$G$8,2,FALSE))</f>
        <v/>
      </c>
      <c r="G216" s="291" t="str">
        <f>IFERROR(VLOOKUP(F216,'G-7 WaterC'' Data'!$C$4:$D$8,2,FALSE),"")</f>
        <v/>
      </c>
      <c r="H216" s="38"/>
      <c r="I216" s="291" t="str">
        <f>IFERROR(INDEX('G-7 WaterC'' Data'!$H$4:$L$8,MATCH(D216,'G-7 WaterC'' Data'!$B$4:$B$8,0),MATCH(H216,'G-7 WaterC'' Data'!$H$3:$L$3,0)),"")</f>
        <v/>
      </c>
      <c r="J216" s="777"/>
      <c r="K216" s="325" t="str">
        <f>IF(J216="","",IF(VLOOKUP(J216,'G-7 WaterC'' Data'!$AK$4:$AM$6,2,FALSE)=0,"Spatial Data Missing ⚠",VLOOKUP(J216,'G-7 WaterC'' Data'!$AK$4:$AM$6,2,FALSE)))</f>
        <v/>
      </c>
      <c r="L216" s="296" t="str">
        <f>IF(J216="","",IF(VLOOKUP(J216,'G-7 WaterC'' Data'!$AK$4:$AM$9,3,FALSE)=0,"Spatial Data Missing ⚠",VLOOKUP(J216,'G-7 WaterC'' Data'!$AK$4:$AM$6,3,FALSE)))</f>
        <v/>
      </c>
      <c r="M216" s="38"/>
      <c r="N216" s="291" t="str">
        <f>IF(M216="","",IF(AND(D216&lt;&gt;"Culvert",M216="N/A - Culvert"),"Not possible ▲",IF(AND(D216="Culvert",M216&lt;&gt;"N/A - Culvert"),"Not possible ▲",IF(VLOOKUP(M216,'G-7 WaterC'' Data'!$AA$4:$AB$7,2,FALSE)=0,"Spatial Data Missing ⚠",VLOOKUP(M216,'G-7 WaterC'' Data'!$AA$4:$AB$7,2,FALSE)))))</f>
        <v/>
      </c>
      <c r="O216" s="44"/>
      <c r="P216" s="291" t="str">
        <f>IF(O216="","",IF(AND(O216="N/A - Culvert", D216&lt;&gt;"Culvert"),"Not possible ▲", IF(AND(D216="Culvert",O216&lt;&gt;"N/A - Culvert"),"Not possible ▲",IF(VLOOKUP(O216,'G-7 WaterC'' Data'!$AD$4:$AE$14,2,FALSE)=0,"Spatial Data Missing ⚠",VLOOKUP(O216,'G-7 WaterC'' Data'!$AD$4:$AE$14,2,FALSE)))))</f>
        <v/>
      </c>
      <c r="Q216" s="297" t="str">
        <f>IF(D216="","",VLOOKUP(D216,'G-7 WaterC'' Data'!$B$2:$G$8,6,FALSE))</f>
        <v/>
      </c>
      <c r="R216" s="304" t="str">
        <f>IFERROR(IF(AND(Q216='G-1 All Habitats'!$X$3, AE216&gt;0, U216&lt;=0, V216&lt;=0, OR(AA216="No", AA216="")),"Any Loss Unacceptable ⚠", (IF(AND(Q216='G-1 All Habitats'!$X$3, AE216&gt;0, U216&lt;=0, V216&lt;=0, AA216="Yes"), 0, (IF(AND(Q216='G-1 All Habitats'!$X$3,(U216+V216)&lt;E216, OR(AA216="No", AA216="")),"Any Loss Unacceptable ⚠", (IF(AND(Q216='G-1 All Habitats'!$X$3,(U216+V216)&gt;E216), E216*G216*I216*L216*N216*P216, (IF(Q216="","",IF(AND(Q216='G-1 All Habitats'!$X$3,V216&gt;0),W216+X216,IF(AND(Q216='G-1 All Habitats'!$X$3,U216&gt;0), W216+X216, IF(AND(S216="Yes", V216&gt;(E216-U216)),(E216-U216)*G216*I216*L216*N216*P216, IF(AND(S216="Yes", V216&lt;=(E216-U216)), X216, E216*G216*I216*L216*N216*P216 ))))))))))))),"Check Data ▲")</f>
        <v/>
      </c>
      <c r="S216" s="671" t="str">
        <f t="shared" si="27"/>
        <v/>
      </c>
      <c r="T216" s="17"/>
      <c r="U216" s="95"/>
      <c r="V216" s="106"/>
      <c r="W216" s="302" t="str">
        <f t="shared" si="28"/>
        <v/>
      </c>
      <c r="X216" s="302" t="str">
        <f t="shared" si="29"/>
        <v/>
      </c>
      <c r="Y216" s="302" t="str">
        <f t="shared" si="30"/>
        <v/>
      </c>
      <c r="Z216" s="471" t="str">
        <f t="shared" si="31"/>
        <v/>
      </c>
      <c r="AA216" s="488"/>
      <c r="AB216" s="486"/>
      <c r="AC216" s="101"/>
      <c r="AD216" s="101"/>
      <c r="AE216" s="41" t="str">
        <f>IF(OR(Q216="",AA216="Yes"),"",IF(Q216='G-1 All Habitats'!$X$3,E216-U216-V216,"None"))</f>
        <v/>
      </c>
      <c r="AF216" s="42" t="str">
        <f>IF(Q216="","", IF(Q216='G-1 All Habitats'!$X$3, AE216*G216*I216*L216*N216*P216,"None"))</f>
        <v/>
      </c>
      <c r="AI216" s="15">
        <f t="shared" si="32"/>
        <v>0</v>
      </c>
      <c r="AJ216" s="105" t="str">
        <f t="shared" si="33"/>
        <v/>
      </c>
      <c r="AK216" s="105" t="str">
        <f t="shared" si="34"/>
        <v/>
      </c>
      <c r="AM216" s="105">
        <v>207</v>
      </c>
      <c r="AO216" s="105" t="str">
        <f t="array" ref="AO216">IFERROR(INDEX($AM$10:$AM$258, MATCH(0, IF(TRUE=$AJ$10:$AJ$258, COUNTIF($AO$9:$AO215, $AM$10:$AM$258), ""), 0)),"")</f>
        <v/>
      </c>
      <c r="AP216" s="105" t="str">
        <f t="array" ref="AP216">IFERROR(INDEX($AM$10:$AM$258, MATCH(0, IF(TRUE=$AK$10:$AK$258, COUNTIF($AP$9:$AP215, $AM$10:$AM$258), ""), 0)),"")</f>
        <v/>
      </c>
      <c r="AR216" s="15" t="str">
        <f>IFERROR(INDEX('G-7 WaterC'' Data'!$AZ$3:$AZ$7,MATCH(D216,'G-7 WaterC'' Data'!$AY$3:$AY$7,0)),"")</f>
        <v/>
      </c>
      <c r="AS216" s="15" t="str">
        <f>IFERROR(INDEX('G-7 WaterC'' Data'!AZ216:AZ220,MATCH(D216,'G-7 WaterC'' Data'!$AY$10:$AY$14,0)),"")</f>
        <v/>
      </c>
      <c r="AU216" s="15" t="str">
        <f>IF(D216="","",VLOOKUP(D216,'G-7 WaterC'' Data'!B$4:M$8,12,FALSE))</f>
        <v/>
      </c>
      <c r="AV216" s="15" t="str">
        <f t="shared" si="35"/>
        <v/>
      </c>
    </row>
    <row r="217" spans="3:48" ht="14" x14ac:dyDescent="0.3">
      <c r="C217" s="92">
        <v>208</v>
      </c>
      <c r="D217" s="271"/>
      <c r="E217" s="120"/>
      <c r="F217" s="290" t="str">
        <f>IF(D217="","",VLOOKUP(D217,'G-7 WaterC'' Data'!$B$2:$G$8,2,FALSE))</f>
        <v/>
      </c>
      <c r="G217" s="291" t="str">
        <f>IFERROR(VLOOKUP(F217,'G-7 WaterC'' Data'!$C$4:$D$8,2,FALSE),"")</f>
        <v/>
      </c>
      <c r="H217" s="38"/>
      <c r="I217" s="291" t="str">
        <f>IFERROR(INDEX('G-7 WaterC'' Data'!$H$4:$L$8,MATCH(D217,'G-7 WaterC'' Data'!$B$4:$B$8,0),MATCH(H217,'G-7 WaterC'' Data'!$H$3:$L$3,0)),"")</f>
        <v/>
      </c>
      <c r="J217" s="777"/>
      <c r="K217" s="325" t="str">
        <f>IF(J217="","",IF(VLOOKUP(J217,'G-7 WaterC'' Data'!$AK$4:$AM$6,2,FALSE)=0,"Spatial Data Missing ⚠",VLOOKUP(J217,'G-7 WaterC'' Data'!$AK$4:$AM$6,2,FALSE)))</f>
        <v/>
      </c>
      <c r="L217" s="296" t="str">
        <f>IF(J217="","",IF(VLOOKUP(J217,'G-7 WaterC'' Data'!$AK$4:$AM$9,3,FALSE)=0,"Spatial Data Missing ⚠",VLOOKUP(J217,'G-7 WaterC'' Data'!$AK$4:$AM$6,3,FALSE)))</f>
        <v/>
      </c>
      <c r="M217" s="38"/>
      <c r="N217" s="291" t="str">
        <f>IF(M217="","",IF(AND(D217&lt;&gt;"Culvert",M217="N/A - Culvert"),"Not possible ▲",IF(AND(D217="Culvert",M217&lt;&gt;"N/A - Culvert"),"Not possible ▲",IF(VLOOKUP(M217,'G-7 WaterC'' Data'!$AA$4:$AB$7,2,FALSE)=0,"Spatial Data Missing ⚠",VLOOKUP(M217,'G-7 WaterC'' Data'!$AA$4:$AB$7,2,FALSE)))))</f>
        <v/>
      </c>
      <c r="O217" s="44"/>
      <c r="P217" s="291" t="str">
        <f>IF(O217="","",IF(AND(O217="N/A - Culvert", D217&lt;&gt;"Culvert"),"Not possible ▲", IF(AND(D217="Culvert",O217&lt;&gt;"N/A - Culvert"),"Not possible ▲",IF(VLOOKUP(O217,'G-7 WaterC'' Data'!$AD$4:$AE$14,2,FALSE)=0,"Spatial Data Missing ⚠",VLOOKUP(O217,'G-7 WaterC'' Data'!$AD$4:$AE$14,2,FALSE)))))</f>
        <v/>
      </c>
      <c r="Q217" s="297" t="str">
        <f>IF(D217="","",VLOOKUP(D217,'G-7 WaterC'' Data'!$B$2:$G$8,6,FALSE))</f>
        <v/>
      </c>
      <c r="R217" s="304" t="str">
        <f>IFERROR(IF(AND(Q217='G-1 All Habitats'!$X$3, AE217&gt;0, U217&lt;=0, V217&lt;=0, OR(AA217="No", AA217="")),"Any Loss Unacceptable ⚠", (IF(AND(Q217='G-1 All Habitats'!$X$3, AE217&gt;0, U217&lt;=0, V217&lt;=0, AA217="Yes"), 0, (IF(AND(Q217='G-1 All Habitats'!$X$3,(U217+V217)&lt;E217, OR(AA217="No", AA217="")),"Any Loss Unacceptable ⚠", (IF(AND(Q217='G-1 All Habitats'!$X$3,(U217+V217)&gt;E217), E217*G217*I217*L217*N217*P217, (IF(Q217="","",IF(AND(Q217='G-1 All Habitats'!$X$3,V217&gt;0),W217+X217,IF(AND(Q217='G-1 All Habitats'!$X$3,U217&gt;0), W217+X217, IF(AND(S217="Yes", V217&gt;(E217-U217)),(E217-U217)*G217*I217*L217*N217*P217, IF(AND(S217="Yes", V217&lt;=(E217-U217)), X217, E217*G217*I217*L217*N217*P217 ))))))))))))),"Check Data ▲")</f>
        <v/>
      </c>
      <c r="S217" s="671" t="str">
        <f t="shared" si="27"/>
        <v/>
      </c>
      <c r="T217" s="17"/>
      <c r="U217" s="95"/>
      <c r="V217" s="106"/>
      <c r="W217" s="302" t="str">
        <f t="shared" si="28"/>
        <v/>
      </c>
      <c r="X217" s="302" t="str">
        <f t="shared" si="29"/>
        <v/>
      </c>
      <c r="Y217" s="302" t="str">
        <f t="shared" si="30"/>
        <v/>
      </c>
      <c r="Z217" s="471" t="str">
        <f t="shared" si="31"/>
        <v/>
      </c>
      <c r="AA217" s="488"/>
      <c r="AB217" s="486"/>
      <c r="AC217" s="101"/>
      <c r="AD217" s="101"/>
      <c r="AE217" s="41" t="str">
        <f>IF(OR(Q217="",AA217="Yes"),"",IF(Q217='G-1 All Habitats'!$X$3,E217-U217-V217,"None"))</f>
        <v/>
      </c>
      <c r="AF217" s="42" t="str">
        <f>IF(Q217="","", IF(Q217='G-1 All Habitats'!$X$3, AE217*G217*I217*L217*N217*P217,"None"))</f>
        <v/>
      </c>
      <c r="AI217" s="15">
        <f t="shared" si="32"/>
        <v>0</v>
      </c>
      <c r="AJ217" s="105" t="str">
        <f t="shared" si="33"/>
        <v/>
      </c>
      <c r="AK217" s="105" t="str">
        <f t="shared" si="34"/>
        <v/>
      </c>
      <c r="AM217" s="105">
        <v>208</v>
      </c>
      <c r="AO217" s="105" t="str">
        <f t="array" ref="AO217">IFERROR(INDEX($AM$10:$AM$258, MATCH(0, IF(TRUE=$AJ$10:$AJ$258, COUNTIF($AO$9:$AO216, $AM$10:$AM$258), ""), 0)),"")</f>
        <v/>
      </c>
      <c r="AP217" s="105" t="str">
        <f t="array" ref="AP217">IFERROR(INDEX($AM$10:$AM$258, MATCH(0, IF(TRUE=$AK$10:$AK$258, COUNTIF($AP$9:$AP216, $AM$10:$AM$258), ""), 0)),"")</f>
        <v/>
      </c>
      <c r="AR217" s="15" t="str">
        <f>IFERROR(INDEX('G-7 WaterC'' Data'!$AZ$3:$AZ$7,MATCH(D217,'G-7 WaterC'' Data'!$AY$3:$AY$7,0)),"")</f>
        <v/>
      </c>
      <c r="AS217" s="15" t="str">
        <f>IFERROR(INDEX('G-7 WaterC'' Data'!AZ217:AZ221,MATCH(D217,'G-7 WaterC'' Data'!$AY$10:$AY$14,0)),"")</f>
        <v/>
      </c>
      <c r="AU217" s="15" t="str">
        <f>IF(D217="","",VLOOKUP(D217,'G-7 WaterC'' Data'!B$4:M$8,12,FALSE))</f>
        <v/>
      </c>
      <c r="AV217" s="15" t="str">
        <f t="shared" si="35"/>
        <v/>
      </c>
    </row>
    <row r="218" spans="3:48" ht="14" x14ac:dyDescent="0.3">
      <c r="C218" s="92">
        <v>209</v>
      </c>
      <c r="D218" s="271"/>
      <c r="E218" s="120"/>
      <c r="F218" s="290" t="str">
        <f>IF(D218="","",VLOOKUP(D218,'G-7 WaterC'' Data'!$B$2:$G$8,2,FALSE))</f>
        <v/>
      </c>
      <c r="G218" s="291" t="str">
        <f>IFERROR(VLOOKUP(F218,'G-7 WaterC'' Data'!$C$4:$D$8,2,FALSE),"")</f>
        <v/>
      </c>
      <c r="H218" s="38"/>
      <c r="I218" s="291" t="str">
        <f>IFERROR(INDEX('G-7 WaterC'' Data'!$H$4:$L$8,MATCH(D218,'G-7 WaterC'' Data'!$B$4:$B$8,0),MATCH(H218,'G-7 WaterC'' Data'!$H$3:$L$3,0)),"")</f>
        <v/>
      </c>
      <c r="J218" s="777"/>
      <c r="K218" s="325" t="str">
        <f>IF(J218="","",IF(VLOOKUP(J218,'G-7 WaterC'' Data'!$AK$4:$AM$6,2,FALSE)=0,"Spatial Data Missing ⚠",VLOOKUP(J218,'G-7 WaterC'' Data'!$AK$4:$AM$6,2,FALSE)))</f>
        <v/>
      </c>
      <c r="L218" s="296" t="str">
        <f>IF(J218="","",IF(VLOOKUP(J218,'G-7 WaterC'' Data'!$AK$4:$AM$9,3,FALSE)=0,"Spatial Data Missing ⚠",VLOOKUP(J218,'G-7 WaterC'' Data'!$AK$4:$AM$6,3,FALSE)))</f>
        <v/>
      </c>
      <c r="M218" s="38"/>
      <c r="N218" s="291" t="str">
        <f>IF(M218="","",IF(AND(D218&lt;&gt;"Culvert",M218="N/A - Culvert"),"Not possible ▲",IF(AND(D218="Culvert",M218&lt;&gt;"N/A - Culvert"),"Not possible ▲",IF(VLOOKUP(M218,'G-7 WaterC'' Data'!$AA$4:$AB$7,2,FALSE)=0,"Spatial Data Missing ⚠",VLOOKUP(M218,'G-7 WaterC'' Data'!$AA$4:$AB$7,2,FALSE)))))</f>
        <v/>
      </c>
      <c r="O218" s="44"/>
      <c r="P218" s="291" t="str">
        <f>IF(O218="","",IF(AND(O218="N/A - Culvert", D218&lt;&gt;"Culvert"),"Not possible ▲", IF(AND(D218="Culvert",O218&lt;&gt;"N/A - Culvert"),"Not possible ▲",IF(VLOOKUP(O218,'G-7 WaterC'' Data'!$AD$4:$AE$14,2,FALSE)=0,"Spatial Data Missing ⚠",VLOOKUP(O218,'G-7 WaterC'' Data'!$AD$4:$AE$14,2,FALSE)))))</f>
        <v/>
      </c>
      <c r="Q218" s="297" t="str">
        <f>IF(D218="","",VLOOKUP(D218,'G-7 WaterC'' Data'!$B$2:$G$8,6,FALSE))</f>
        <v/>
      </c>
      <c r="R218" s="304" t="str">
        <f>IFERROR(IF(AND(Q218='G-1 All Habitats'!$X$3, AE218&gt;0, U218&lt;=0, V218&lt;=0, OR(AA218="No", AA218="")),"Any Loss Unacceptable ⚠", (IF(AND(Q218='G-1 All Habitats'!$X$3, AE218&gt;0, U218&lt;=0, V218&lt;=0, AA218="Yes"), 0, (IF(AND(Q218='G-1 All Habitats'!$X$3,(U218+V218)&lt;E218, OR(AA218="No", AA218="")),"Any Loss Unacceptable ⚠", (IF(AND(Q218='G-1 All Habitats'!$X$3,(U218+V218)&gt;E218), E218*G218*I218*L218*N218*P218, (IF(Q218="","",IF(AND(Q218='G-1 All Habitats'!$X$3,V218&gt;0),W218+X218,IF(AND(Q218='G-1 All Habitats'!$X$3,U218&gt;0), W218+X218, IF(AND(S218="Yes", V218&gt;(E218-U218)),(E218-U218)*G218*I218*L218*N218*P218, IF(AND(S218="Yes", V218&lt;=(E218-U218)), X218, E218*G218*I218*L218*N218*P218 ))))))))))))),"Check Data ▲")</f>
        <v/>
      </c>
      <c r="S218" s="671" t="str">
        <f t="shared" si="27"/>
        <v/>
      </c>
      <c r="T218" s="17"/>
      <c r="U218" s="95"/>
      <c r="V218" s="106"/>
      <c r="W218" s="302" t="str">
        <f t="shared" si="28"/>
        <v/>
      </c>
      <c r="X218" s="302" t="str">
        <f t="shared" si="29"/>
        <v/>
      </c>
      <c r="Y218" s="302" t="str">
        <f t="shared" si="30"/>
        <v/>
      </c>
      <c r="Z218" s="471" t="str">
        <f t="shared" si="31"/>
        <v/>
      </c>
      <c r="AA218" s="488"/>
      <c r="AB218" s="486"/>
      <c r="AC218" s="101"/>
      <c r="AD218" s="101"/>
      <c r="AE218" s="41" t="str">
        <f>IF(OR(Q218="",AA218="Yes"),"",IF(Q218='G-1 All Habitats'!$X$3,E218-U218-V218,"None"))</f>
        <v/>
      </c>
      <c r="AF218" s="42" t="str">
        <f>IF(Q218="","", IF(Q218='G-1 All Habitats'!$X$3, AE218*G218*I218*L218*N218*P218,"None"))</f>
        <v/>
      </c>
      <c r="AI218" s="15">
        <f t="shared" si="32"/>
        <v>0</v>
      </c>
      <c r="AJ218" s="105" t="str">
        <f t="shared" si="33"/>
        <v/>
      </c>
      <c r="AK218" s="105" t="str">
        <f t="shared" si="34"/>
        <v/>
      </c>
      <c r="AM218" s="105">
        <v>209</v>
      </c>
      <c r="AO218" s="105" t="str">
        <f t="array" ref="AO218">IFERROR(INDEX($AM$10:$AM$258, MATCH(0, IF(TRUE=$AJ$10:$AJ$258, COUNTIF($AO$9:$AO217, $AM$10:$AM$258), ""), 0)),"")</f>
        <v/>
      </c>
      <c r="AP218" s="105" t="str">
        <f t="array" ref="AP218">IFERROR(INDEX($AM$10:$AM$258, MATCH(0, IF(TRUE=$AK$10:$AK$258, COUNTIF($AP$9:$AP217, $AM$10:$AM$258), ""), 0)),"")</f>
        <v/>
      </c>
      <c r="AR218" s="15" t="str">
        <f>IFERROR(INDEX('G-7 WaterC'' Data'!$AZ$3:$AZ$7,MATCH(D218,'G-7 WaterC'' Data'!$AY$3:$AY$7,0)),"")</f>
        <v/>
      </c>
      <c r="AS218" s="15" t="str">
        <f>IFERROR(INDEX('G-7 WaterC'' Data'!AZ218:AZ222,MATCH(D218,'G-7 WaterC'' Data'!$AY$10:$AY$14,0)),"")</f>
        <v/>
      </c>
      <c r="AU218" s="15" t="str">
        <f>IF(D218="","",VLOOKUP(D218,'G-7 WaterC'' Data'!B$4:M$8,12,FALSE))</f>
        <v/>
      </c>
      <c r="AV218" s="15" t="str">
        <f t="shared" si="35"/>
        <v/>
      </c>
    </row>
    <row r="219" spans="3:48" ht="14" x14ac:dyDescent="0.3">
      <c r="C219" s="92">
        <v>210</v>
      </c>
      <c r="D219" s="271"/>
      <c r="E219" s="120"/>
      <c r="F219" s="290" t="str">
        <f>IF(D219="","",VLOOKUP(D219,'G-7 WaterC'' Data'!$B$2:$G$8,2,FALSE))</f>
        <v/>
      </c>
      <c r="G219" s="291" t="str">
        <f>IFERROR(VLOOKUP(F219,'G-7 WaterC'' Data'!$C$4:$D$8,2,FALSE),"")</f>
        <v/>
      </c>
      <c r="H219" s="38"/>
      <c r="I219" s="291" t="str">
        <f>IFERROR(INDEX('G-7 WaterC'' Data'!$H$4:$L$8,MATCH(D219,'G-7 WaterC'' Data'!$B$4:$B$8,0),MATCH(H219,'G-7 WaterC'' Data'!$H$3:$L$3,0)),"")</f>
        <v/>
      </c>
      <c r="J219" s="777"/>
      <c r="K219" s="325" t="str">
        <f>IF(J219="","",IF(VLOOKUP(J219,'G-7 WaterC'' Data'!$AK$4:$AM$6,2,FALSE)=0,"Spatial Data Missing ⚠",VLOOKUP(J219,'G-7 WaterC'' Data'!$AK$4:$AM$6,2,FALSE)))</f>
        <v/>
      </c>
      <c r="L219" s="296" t="str">
        <f>IF(J219="","",IF(VLOOKUP(J219,'G-7 WaterC'' Data'!$AK$4:$AM$9,3,FALSE)=0,"Spatial Data Missing ⚠",VLOOKUP(J219,'G-7 WaterC'' Data'!$AK$4:$AM$6,3,FALSE)))</f>
        <v/>
      </c>
      <c r="M219" s="38"/>
      <c r="N219" s="291" t="str">
        <f>IF(M219="","",IF(AND(D219&lt;&gt;"Culvert",M219="N/A - Culvert"),"Not possible ▲",IF(AND(D219="Culvert",M219&lt;&gt;"N/A - Culvert"),"Not possible ▲",IF(VLOOKUP(M219,'G-7 WaterC'' Data'!$AA$4:$AB$7,2,FALSE)=0,"Spatial Data Missing ⚠",VLOOKUP(M219,'G-7 WaterC'' Data'!$AA$4:$AB$7,2,FALSE)))))</f>
        <v/>
      </c>
      <c r="O219" s="44"/>
      <c r="P219" s="291" t="str">
        <f>IF(O219="","",IF(AND(O219="N/A - Culvert", D219&lt;&gt;"Culvert"),"Not possible ▲", IF(AND(D219="Culvert",O219&lt;&gt;"N/A - Culvert"),"Not possible ▲",IF(VLOOKUP(O219,'G-7 WaterC'' Data'!$AD$4:$AE$14,2,FALSE)=0,"Spatial Data Missing ⚠",VLOOKUP(O219,'G-7 WaterC'' Data'!$AD$4:$AE$14,2,FALSE)))))</f>
        <v/>
      </c>
      <c r="Q219" s="297" t="str">
        <f>IF(D219="","",VLOOKUP(D219,'G-7 WaterC'' Data'!$B$2:$G$8,6,FALSE))</f>
        <v/>
      </c>
      <c r="R219" s="304" t="str">
        <f>IFERROR(IF(AND(Q219='G-1 All Habitats'!$X$3, AE219&gt;0, U219&lt;=0, V219&lt;=0, OR(AA219="No", AA219="")),"Any Loss Unacceptable ⚠", (IF(AND(Q219='G-1 All Habitats'!$X$3, AE219&gt;0, U219&lt;=0, V219&lt;=0, AA219="Yes"), 0, (IF(AND(Q219='G-1 All Habitats'!$X$3,(U219+V219)&lt;E219, OR(AA219="No", AA219="")),"Any Loss Unacceptable ⚠", (IF(AND(Q219='G-1 All Habitats'!$X$3,(U219+V219)&gt;E219), E219*G219*I219*L219*N219*P219, (IF(Q219="","",IF(AND(Q219='G-1 All Habitats'!$X$3,V219&gt;0),W219+X219,IF(AND(Q219='G-1 All Habitats'!$X$3,U219&gt;0), W219+X219, IF(AND(S219="Yes", V219&gt;(E219-U219)),(E219-U219)*G219*I219*L219*N219*P219, IF(AND(S219="Yes", V219&lt;=(E219-U219)), X219, E219*G219*I219*L219*N219*P219 ))))))))))))),"Check Data ▲")</f>
        <v/>
      </c>
      <c r="S219" s="671" t="str">
        <f t="shared" si="27"/>
        <v/>
      </c>
      <c r="T219" s="17"/>
      <c r="U219" s="95"/>
      <c r="V219" s="106"/>
      <c r="W219" s="302" t="str">
        <f t="shared" si="28"/>
        <v/>
      </c>
      <c r="X219" s="302" t="str">
        <f t="shared" si="29"/>
        <v/>
      </c>
      <c r="Y219" s="302" t="str">
        <f t="shared" si="30"/>
        <v/>
      </c>
      <c r="Z219" s="471" t="str">
        <f t="shared" si="31"/>
        <v/>
      </c>
      <c r="AA219" s="488"/>
      <c r="AB219" s="486"/>
      <c r="AC219" s="101"/>
      <c r="AD219" s="101"/>
      <c r="AE219" s="41" t="str">
        <f>IF(OR(Q219="",AA219="Yes"),"",IF(Q219='G-1 All Habitats'!$X$3,E219-U219-V219,"None"))</f>
        <v/>
      </c>
      <c r="AF219" s="42" t="str">
        <f>IF(Q219="","", IF(Q219='G-1 All Habitats'!$X$3, AE219*G219*I219*L219*N219*P219,"None"))</f>
        <v/>
      </c>
      <c r="AI219" s="15">
        <f t="shared" si="32"/>
        <v>0</v>
      </c>
      <c r="AJ219" s="105" t="str">
        <f t="shared" si="33"/>
        <v/>
      </c>
      <c r="AK219" s="105" t="str">
        <f t="shared" si="34"/>
        <v/>
      </c>
      <c r="AM219" s="105">
        <v>210</v>
      </c>
      <c r="AO219" s="105" t="str">
        <f t="array" ref="AO219">IFERROR(INDEX($AM$10:$AM$258, MATCH(0, IF(TRUE=$AJ$10:$AJ$258, COUNTIF($AO$9:$AO218, $AM$10:$AM$258), ""), 0)),"")</f>
        <v/>
      </c>
      <c r="AP219" s="105" t="str">
        <f t="array" ref="AP219">IFERROR(INDEX($AM$10:$AM$258, MATCH(0, IF(TRUE=$AK$10:$AK$258, COUNTIF($AP$9:$AP218, $AM$10:$AM$258), ""), 0)),"")</f>
        <v/>
      </c>
      <c r="AR219" s="15" t="str">
        <f>IFERROR(INDEX('G-7 WaterC'' Data'!$AZ$3:$AZ$7,MATCH(D219,'G-7 WaterC'' Data'!$AY$3:$AY$7,0)),"")</f>
        <v/>
      </c>
      <c r="AS219" s="15" t="str">
        <f>IFERROR(INDEX('G-7 WaterC'' Data'!AZ219:AZ223,MATCH(D219,'G-7 WaterC'' Data'!$AY$10:$AY$14,0)),"")</f>
        <v/>
      </c>
      <c r="AU219" s="15" t="str">
        <f>IF(D219="","",VLOOKUP(D219,'G-7 WaterC'' Data'!B$4:M$8,12,FALSE))</f>
        <v/>
      </c>
      <c r="AV219" s="15" t="str">
        <f t="shared" si="35"/>
        <v/>
      </c>
    </row>
    <row r="220" spans="3:48" ht="14" x14ac:dyDescent="0.3">
      <c r="C220" s="92">
        <v>211</v>
      </c>
      <c r="D220" s="271"/>
      <c r="E220" s="120"/>
      <c r="F220" s="290" t="str">
        <f>IF(D220="","",VLOOKUP(D220,'G-7 WaterC'' Data'!$B$2:$G$8,2,FALSE))</f>
        <v/>
      </c>
      <c r="G220" s="291" t="str">
        <f>IFERROR(VLOOKUP(F220,'G-7 WaterC'' Data'!$C$4:$D$8,2,FALSE),"")</f>
        <v/>
      </c>
      <c r="H220" s="38"/>
      <c r="I220" s="291" t="str">
        <f>IFERROR(INDEX('G-7 WaterC'' Data'!$H$4:$L$8,MATCH(D220,'G-7 WaterC'' Data'!$B$4:$B$8,0),MATCH(H220,'G-7 WaterC'' Data'!$H$3:$L$3,0)),"")</f>
        <v/>
      </c>
      <c r="J220" s="777"/>
      <c r="K220" s="325" t="str">
        <f>IF(J220="","",IF(VLOOKUP(J220,'G-7 WaterC'' Data'!$AK$4:$AM$6,2,FALSE)=0,"Spatial Data Missing ⚠",VLOOKUP(J220,'G-7 WaterC'' Data'!$AK$4:$AM$6,2,FALSE)))</f>
        <v/>
      </c>
      <c r="L220" s="296" t="str">
        <f>IF(J220="","",IF(VLOOKUP(J220,'G-7 WaterC'' Data'!$AK$4:$AM$9,3,FALSE)=0,"Spatial Data Missing ⚠",VLOOKUP(J220,'G-7 WaterC'' Data'!$AK$4:$AM$6,3,FALSE)))</f>
        <v/>
      </c>
      <c r="M220" s="38"/>
      <c r="N220" s="291" t="str">
        <f>IF(M220="","",IF(AND(D220&lt;&gt;"Culvert",M220="N/A - Culvert"),"Not possible ▲",IF(AND(D220="Culvert",M220&lt;&gt;"N/A - Culvert"),"Not possible ▲",IF(VLOOKUP(M220,'G-7 WaterC'' Data'!$AA$4:$AB$7,2,FALSE)=0,"Spatial Data Missing ⚠",VLOOKUP(M220,'G-7 WaterC'' Data'!$AA$4:$AB$7,2,FALSE)))))</f>
        <v/>
      </c>
      <c r="O220" s="44"/>
      <c r="P220" s="291" t="str">
        <f>IF(O220="","",IF(AND(O220="N/A - Culvert", D220&lt;&gt;"Culvert"),"Not possible ▲", IF(AND(D220="Culvert",O220&lt;&gt;"N/A - Culvert"),"Not possible ▲",IF(VLOOKUP(O220,'G-7 WaterC'' Data'!$AD$4:$AE$14,2,FALSE)=0,"Spatial Data Missing ⚠",VLOOKUP(O220,'G-7 WaterC'' Data'!$AD$4:$AE$14,2,FALSE)))))</f>
        <v/>
      </c>
      <c r="Q220" s="297" t="str">
        <f>IF(D220="","",VLOOKUP(D220,'G-7 WaterC'' Data'!$B$2:$G$8,6,FALSE))</f>
        <v/>
      </c>
      <c r="R220" s="304" t="str">
        <f>IFERROR(IF(AND(Q220='G-1 All Habitats'!$X$3, AE220&gt;0, U220&lt;=0, V220&lt;=0, OR(AA220="No", AA220="")),"Any Loss Unacceptable ⚠", (IF(AND(Q220='G-1 All Habitats'!$X$3, AE220&gt;0, U220&lt;=0, V220&lt;=0, AA220="Yes"), 0, (IF(AND(Q220='G-1 All Habitats'!$X$3,(U220+V220)&lt;E220, OR(AA220="No", AA220="")),"Any Loss Unacceptable ⚠", (IF(AND(Q220='G-1 All Habitats'!$X$3,(U220+V220)&gt;E220), E220*G220*I220*L220*N220*P220, (IF(Q220="","",IF(AND(Q220='G-1 All Habitats'!$X$3,V220&gt;0),W220+X220,IF(AND(Q220='G-1 All Habitats'!$X$3,U220&gt;0), W220+X220, IF(AND(S220="Yes", V220&gt;(E220-U220)),(E220-U220)*G220*I220*L220*N220*P220, IF(AND(S220="Yes", V220&lt;=(E220-U220)), X220, E220*G220*I220*L220*N220*P220 ))))))))))))),"Check Data ▲")</f>
        <v/>
      </c>
      <c r="S220" s="671" t="str">
        <f t="shared" si="27"/>
        <v/>
      </c>
      <c r="T220" s="17"/>
      <c r="U220" s="95"/>
      <c r="V220" s="106"/>
      <c r="W220" s="302" t="str">
        <f t="shared" si="28"/>
        <v/>
      </c>
      <c r="X220" s="302" t="str">
        <f t="shared" si="29"/>
        <v/>
      </c>
      <c r="Y220" s="302" t="str">
        <f t="shared" si="30"/>
        <v/>
      </c>
      <c r="Z220" s="471" t="str">
        <f t="shared" si="31"/>
        <v/>
      </c>
      <c r="AA220" s="488"/>
      <c r="AB220" s="486"/>
      <c r="AC220" s="101"/>
      <c r="AD220" s="101"/>
      <c r="AE220" s="41" t="str">
        <f>IF(OR(Q220="",AA220="Yes"),"",IF(Q220='G-1 All Habitats'!$X$3,E220-U220-V220,"None"))</f>
        <v/>
      </c>
      <c r="AF220" s="42" t="str">
        <f>IF(Q220="","", IF(Q220='G-1 All Habitats'!$X$3, AE220*G220*I220*L220*N220*P220,"None"))</f>
        <v/>
      </c>
      <c r="AI220" s="15">
        <f t="shared" si="32"/>
        <v>0</v>
      </c>
      <c r="AJ220" s="105" t="str">
        <f t="shared" si="33"/>
        <v/>
      </c>
      <c r="AK220" s="105" t="str">
        <f t="shared" si="34"/>
        <v/>
      </c>
      <c r="AM220" s="105">
        <v>211</v>
      </c>
      <c r="AO220" s="105" t="str">
        <f t="array" ref="AO220">IFERROR(INDEX($AM$10:$AM$258, MATCH(0, IF(TRUE=$AJ$10:$AJ$258, COUNTIF($AO$9:$AO219, $AM$10:$AM$258), ""), 0)),"")</f>
        <v/>
      </c>
      <c r="AP220" s="105" t="str">
        <f t="array" ref="AP220">IFERROR(INDEX($AM$10:$AM$258, MATCH(0, IF(TRUE=$AK$10:$AK$258, COUNTIF($AP$9:$AP219, $AM$10:$AM$258), ""), 0)),"")</f>
        <v/>
      </c>
      <c r="AR220" s="15" t="str">
        <f>IFERROR(INDEX('G-7 WaterC'' Data'!$AZ$3:$AZ$7,MATCH(D220,'G-7 WaterC'' Data'!$AY$3:$AY$7,0)),"")</f>
        <v/>
      </c>
      <c r="AS220" s="15" t="str">
        <f>IFERROR(INDEX('G-7 WaterC'' Data'!AZ220:AZ224,MATCH(D220,'G-7 WaterC'' Data'!$AY$10:$AY$14,0)),"")</f>
        <v/>
      </c>
      <c r="AU220" s="15" t="str">
        <f>IF(D220="","",VLOOKUP(D220,'G-7 WaterC'' Data'!B$4:M$8,12,FALSE))</f>
        <v/>
      </c>
      <c r="AV220" s="15" t="str">
        <f t="shared" si="35"/>
        <v/>
      </c>
    </row>
    <row r="221" spans="3:48" ht="14" x14ac:dyDescent="0.3">
      <c r="C221" s="92">
        <v>212</v>
      </c>
      <c r="D221" s="271"/>
      <c r="E221" s="120"/>
      <c r="F221" s="290" t="str">
        <f>IF(D221="","",VLOOKUP(D221,'G-7 WaterC'' Data'!$B$2:$G$8,2,FALSE))</f>
        <v/>
      </c>
      <c r="G221" s="291" t="str">
        <f>IFERROR(VLOOKUP(F221,'G-7 WaterC'' Data'!$C$4:$D$8,2,FALSE),"")</f>
        <v/>
      </c>
      <c r="H221" s="38"/>
      <c r="I221" s="291" t="str">
        <f>IFERROR(INDEX('G-7 WaterC'' Data'!$H$4:$L$8,MATCH(D221,'G-7 WaterC'' Data'!$B$4:$B$8,0),MATCH(H221,'G-7 WaterC'' Data'!$H$3:$L$3,0)),"")</f>
        <v/>
      </c>
      <c r="J221" s="777"/>
      <c r="K221" s="325" t="str">
        <f>IF(J221="","",IF(VLOOKUP(J221,'G-7 WaterC'' Data'!$AK$4:$AM$6,2,FALSE)=0,"Spatial Data Missing ⚠",VLOOKUP(J221,'G-7 WaterC'' Data'!$AK$4:$AM$6,2,FALSE)))</f>
        <v/>
      </c>
      <c r="L221" s="296" t="str">
        <f>IF(J221="","",IF(VLOOKUP(J221,'G-7 WaterC'' Data'!$AK$4:$AM$9,3,FALSE)=0,"Spatial Data Missing ⚠",VLOOKUP(J221,'G-7 WaterC'' Data'!$AK$4:$AM$6,3,FALSE)))</f>
        <v/>
      </c>
      <c r="M221" s="38"/>
      <c r="N221" s="291" t="str">
        <f>IF(M221="","",IF(AND(D221&lt;&gt;"Culvert",M221="N/A - Culvert"),"Not possible ▲",IF(AND(D221="Culvert",M221&lt;&gt;"N/A - Culvert"),"Not possible ▲",IF(VLOOKUP(M221,'G-7 WaterC'' Data'!$AA$4:$AB$7,2,FALSE)=0,"Spatial Data Missing ⚠",VLOOKUP(M221,'G-7 WaterC'' Data'!$AA$4:$AB$7,2,FALSE)))))</f>
        <v/>
      </c>
      <c r="O221" s="44"/>
      <c r="P221" s="291" t="str">
        <f>IF(O221="","",IF(AND(O221="N/A - Culvert", D221&lt;&gt;"Culvert"),"Not possible ▲", IF(AND(D221="Culvert",O221&lt;&gt;"N/A - Culvert"),"Not possible ▲",IF(VLOOKUP(O221,'G-7 WaterC'' Data'!$AD$4:$AE$14,2,FALSE)=0,"Spatial Data Missing ⚠",VLOOKUP(O221,'G-7 WaterC'' Data'!$AD$4:$AE$14,2,FALSE)))))</f>
        <v/>
      </c>
      <c r="Q221" s="297" t="str">
        <f>IF(D221="","",VLOOKUP(D221,'G-7 WaterC'' Data'!$B$2:$G$8,6,FALSE))</f>
        <v/>
      </c>
      <c r="R221" s="304" t="str">
        <f>IFERROR(IF(AND(Q221='G-1 All Habitats'!$X$3, AE221&gt;0, U221&lt;=0, V221&lt;=0, OR(AA221="No", AA221="")),"Any Loss Unacceptable ⚠", (IF(AND(Q221='G-1 All Habitats'!$X$3, AE221&gt;0, U221&lt;=0, V221&lt;=0, AA221="Yes"), 0, (IF(AND(Q221='G-1 All Habitats'!$X$3,(U221+V221)&lt;E221, OR(AA221="No", AA221="")),"Any Loss Unacceptable ⚠", (IF(AND(Q221='G-1 All Habitats'!$X$3,(U221+V221)&gt;E221), E221*G221*I221*L221*N221*P221, (IF(Q221="","",IF(AND(Q221='G-1 All Habitats'!$X$3,V221&gt;0),W221+X221,IF(AND(Q221='G-1 All Habitats'!$X$3,U221&gt;0), W221+X221, IF(AND(S221="Yes", V221&gt;(E221-U221)),(E221-U221)*G221*I221*L221*N221*P221, IF(AND(S221="Yes", V221&lt;=(E221-U221)), X221, E221*G221*I221*L221*N221*P221 ))))))))))))),"Check Data ▲")</f>
        <v/>
      </c>
      <c r="S221" s="671" t="str">
        <f t="shared" si="27"/>
        <v/>
      </c>
      <c r="T221" s="17"/>
      <c r="U221" s="95"/>
      <c r="V221" s="106"/>
      <c r="W221" s="302" t="str">
        <f t="shared" si="28"/>
        <v/>
      </c>
      <c r="X221" s="302" t="str">
        <f t="shared" si="29"/>
        <v/>
      </c>
      <c r="Y221" s="302" t="str">
        <f t="shared" si="30"/>
        <v/>
      </c>
      <c r="Z221" s="471" t="str">
        <f t="shared" si="31"/>
        <v/>
      </c>
      <c r="AA221" s="488"/>
      <c r="AB221" s="486"/>
      <c r="AC221" s="101"/>
      <c r="AD221" s="101"/>
      <c r="AE221" s="41" t="str">
        <f>IF(OR(Q221="",AA221="Yes"),"",IF(Q221='G-1 All Habitats'!$X$3,E221-U221-V221,"None"))</f>
        <v/>
      </c>
      <c r="AF221" s="42" t="str">
        <f>IF(Q221="","", IF(Q221='G-1 All Habitats'!$X$3, AE221*G221*I221*L221*N221*P221,"None"))</f>
        <v/>
      </c>
      <c r="AI221" s="15">
        <f t="shared" si="32"/>
        <v>0</v>
      </c>
      <c r="AJ221" s="105" t="str">
        <f t="shared" si="33"/>
        <v/>
      </c>
      <c r="AK221" s="105" t="str">
        <f t="shared" si="34"/>
        <v/>
      </c>
      <c r="AM221" s="105">
        <v>212</v>
      </c>
      <c r="AO221" s="105" t="str">
        <f t="array" ref="AO221">IFERROR(INDEX($AM$10:$AM$258, MATCH(0, IF(TRUE=$AJ$10:$AJ$258, COUNTIF($AO$9:$AO220, $AM$10:$AM$258), ""), 0)),"")</f>
        <v/>
      </c>
      <c r="AP221" s="105" t="str">
        <f t="array" ref="AP221">IFERROR(INDEX($AM$10:$AM$258, MATCH(0, IF(TRUE=$AK$10:$AK$258, COUNTIF($AP$9:$AP220, $AM$10:$AM$258), ""), 0)),"")</f>
        <v/>
      </c>
      <c r="AR221" s="15" t="str">
        <f>IFERROR(INDEX('G-7 WaterC'' Data'!$AZ$3:$AZ$7,MATCH(D221,'G-7 WaterC'' Data'!$AY$3:$AY$7,0)),"")</f>
        <v/>
      </c>
      <c r="AS221" s="15" t="str">
        <f>IFERROR(INDEX('G-7 WaterC'' Data'!AZ221:AZ225,MATCH(D221,'G-7 WaterC'' Data'!$AY$10:$AY$14,0)),"")</f>
        <v/>
      </c>
      <c r="AU221" s="15" t="str">
        <f>IF(D221="","",VLOOKUP(D221,'G-7 WaterC'' Data'!B$4:M$8,12,FALSE))</f>
        <v/>
      </c>
      <c r="AV221" s="15" t="str">
        <f t="shared" si="35"/>
        <v/>
      </c>
    </row>
    <row r="222" spans="3:48" ht="14" x14ac:dyDescent="0.3">
      <c r="C222" s="92">
        <v>213</v>
      </c>
      <c r="D222" s="271"/>
      <c r="E222" s="120"/>
      <c r="F222" s="290" t="str">
        <f>IF(D222="","",VLOOKUP(D222,'G-7 WaterC'' Data'!$B$2:$G$8,2,FALSE))</f>
        <v/>
      </c>
      <c r="G222" s="291" t="str">
        <f>IFERROR(VLOOKUP(F222,'G-7 WaterC'' Data'!$C$4:$D$8,2,FALSE),"")</f>
        <v/>
      </c>
      <c r="H222" s="38"/>
      <c r="I222" s="291" t="str">
        <f>IFERROR(INDEX('G-7 WaterC'' Data'!$H$4:$L$8,MATCH(D222,'G-7 WaterC'' Data'!$B$4:$B$8,0),MATCH(H222,'G-7 WaterC'' Data'!$H$3:$L$3,0)),"")</f>
        <v/>
      </c>
      <c r="J222" s="777"/>
      <c r="K222" s="325" t="str">
        <f>IF(J222="","",IF(VLOOKUP(J222,'G-7 WaterC'' Data'!$AK$4:$AM$6,2,FALSE)=0,"Spatial Data Missing ⚠",VLOOKUP(J222,'G-7 WaterC'' Data'!$AK$4:$AM$6,2,FALSE)))</f>
        <v/>
      </c>
      <c r="L222" s="296" t="str">
        <f>IF(J222="","",IF(VLOOKUP(J222,'G-7 WaterC'' Data'!$AK$4:$AM$9,3,FALSE)=0,"Spatial Data Missing ⚠",VLOOKUP(J222,'G-7 WaterC'' Data'!$AK$4:$AM$6,3,FALSE)))</f>
        <v/>
      </c>
      <c r="M222" s="38"/>
      <c r="N222" s="291" t="str">
        <f>IF(M222="","",IF(AND(D222&lt;&gt;"Culvert",M222="N/A - Culvert"),"Not possible ▲",IF(AND(D222="Culvert",M222&lt;&gt;"N/A - Culvert"),"Not possible ▲",IF(VLOOKUP(M222,'G-7 WaterC'' Data'!$AA$4:$AB$7,2,FALSE)=0,"Spatial Data Missing ⚠",VLOOKUP(M222,'G-7 WaterC'' Data'!$AA$4:$AB$7,2,FALSE)))))</f>
        <v/>
      </c>
      <c r="O222" s="44"/>
      <c r="P222" s="291" t="str">
        <f>IF(O222="","",IF(AND(O222="N/A - Culvert", D222&lt;&gt;"Culvert"),"Not possible ▲", IF(AND(D222="Culvert",O222&lt;&gt;"N/A - Culvert"),"Not possible ▲",IF(VLOOKUP(O222,'G-7 WaterC'' Data'!$AD$4:$AE$14,2,FALSE)=0,"Spatial Data Missing ⚠",VLOOKUP(O222,'G-7 WaterC'' Data'!$AD$4:$AE$14,2,FALSE)))))</f>
        <v/>
      </c>
      <c r="Q222" s="297" t="str">
        <f>IF(D222="","",VLOOKUP(D222,'G-7 WaterC'' Data'!$B$2:$G$8,6,FALSE))</f>
        <v/>
      </c>
      <c r="R222" s="304" t="str">
        <f>IFERROR(IF(AND(Q222='G-1 All Habitats'!$X$3, AE222&gt;0, U222&lt;=0, V222&lt;=0, OR(AA222="No", AA222="")),"Any Loss Unacceptable ⚠", (IF(AND(Q222='G-1 All Habitats'!$X$3, AE222&gt;0, U222&lt;=0, V222&lt;=0, AA222="Yes"), 0, (IF(AND(Q222='G-1 All Habitats'!$X$3,(U222+V222)&lt;E222, OR(AA222="No", AA222="")),"Any Loss Unacceptable ⚠", (IF(AND(Q222='G-1 All Habitats'!$X$3,(U222+V222)&gt;E222), E222*G222*I222*L222*N222*P222, (IF(Q222="","",IF(AND(Q222='G-1 All Habitats'!$X$3,V222&gt;0),W222+X222,IF(AND(Q222='G-1 All Habitats'!$X$3,U222&gt;0), W222+X222, IF(AND(S222="Yes", V222&gt;(E222-U222)),(E222-U222)*G222*I222*L222*N222*P222, IF(AND(S222="Yes", V222&lt;=(E222-U222)), X222, E222*G222*I222*L222*N222*P222 ))))))))))))),"Check Data ▲")</f>
        <v/>
      </c>
      <c r="S222" s="671" t="str">
        <f t="shared" si="27"/>
        <v/>
      </c>
      <c r="T222" s="17"/>
      <c r="U222" s="95"/>
      <c r="V222" s="106"/>
      <c r="W222" s="302" t="str">
        <f t="shared" si="28"/>
        <v/>
      </c>
      <c r="X222" s="302" t="str">
        <f t="shared" si="29"/>
        <v/>
      </c>
      <c r="Y222" s="302" t="str">
        <f t="shared" si="30"/>
        <v/>
      </c>
      <c r="Z222" s="471" t="str">
        <f t="shared" si="31"/>
        <v/>
      </c>
      <c r="AA222" s="488"/>
      <c r="AB222" s="486"/>
      <c r="AC222" s="101"/>
      <c r="AD222" s="101"/>
      <c r="AE222" s="41" t="str">
        <f>IF(OR(Q222="",AA222="Yes"),"",IF(Q222='G-1 All Habitats'!$X$3,E222-U222-V222,"None"))</f>
        <v/>
      </c>
      <c r="AF222" s="42" t="str">
        <f>IF(Q222="","", IF(Q222='G-1 All Habitats'!$X$3, AE222*G222*I222*L222*N222*P222,"None"))</f>
        <v/>
      </c>
      <c r="AI222" s="15">
        <f t="shared" si="32"/>
        <v>0</v>
      </c>
      <c r="AJ222" s="105" t="str">
        <f t="shared" si="33"/>
        <v/>
      </c>
      <c r="AK222" s="105" t="str">
        <f t="shared" si="34"/>
        <v/>
      </c>
      <c r="AM222" s="105">
        <v>213</v>
      </c>
      <c r="AO222" s="105" t="str">
        <f t="array" ref="AO222">IFERROR(INDEX($AM$10:$AM$258, MATCH(0, IF(TRUE=$AJ$10:$AJ$258, COUNTIF($AO$9:$AO221, $AM$10:$AM$258), ""), 0)),"")</f>
        <v/>
      </c>
      <c r="AP222" s="105" t="str">
        <f t="array" ref="AP222">IFERROR(INDEX($AM$10:$AM$258, MATCH(0, IF(TRUE=$AK$10:$AK$258, COUNTIF($AP$9:$AP221, $AM$10:$AM$258), ""), 0)),"")</f>
        <v/>
      </c>
      <c r="AR222" s="15" t="str">
        <f>IFERROR(INDEX('G-7 WaterC'' Data'!$AZ$3:$AZ$7,MATCH(D222,'G-7 WaterC'' Data'!$AY$3:$AY$7,0)),"")</f>
        <v/>
      </c>
      <c r="AS222" s="15" t="str">
        <f>IFERROR(INDEX('G-7 WaterC'' Data'!AZ222:AZ226,MATCH(D222,'G-7 WaterC'' Data'!$AY$10:$AY$14,0)),"")</f>
        <v/>
      </c>
      <c r="AU222" s="15" t="str">
        <f>IF(D222="","",VLOOKUP(D222,'G-7 WaterC'' Data'!B$4:M$8,12,FALSE))</f>
        <v/>
      </c>
      <c r="AV222" s="15" t="str">
        <f t="shared" si="35"/>
        <v/>
      </c>
    </row>
    <row r="223" spans="3:48" ht="14" x14ac:dyDescent="0.3">
      <c r="C223" s="92">
        <v>214</v>
      </c>
      <c r="D223" s="271"/>
      <c r="E223" s="120"/>
      <c r="F223" s="290" t="str">
        <f>IF(D223="","",VLOOKUP(D223,'G-7 WaterC'' Data'!$B$2:$G$8,2,FALSE))</f>
        <v/>
      </c>
      <c r="G223" s="291" t="str">
        <f>IFERROR(VLOOKUP(F223,'G-7 WaterC'' Data'!$C$4:$D$8,2,FALSE),"")</f>
        <v/>
      </c>
      <c r="H223" s="38"/>
      <c r="I223" s="291" t="str">
        <f>IFERROR(INDEX('G-7 WaterC'' Data'!$H$4:$L$8,MATCH(D223,'G-7 WaterC'' Data'!$B$4:$B$8,0),MATCH(H223,'G-7 WaterC'' Data'!$H$3:$L$3,0)),"")</f>
        <v/>
      </c>
      <c r="J223" s="777"/>
      <c r="K223" s="325" t="str">
        <f>IF(J223="","",IF(VLOOKUP(J223,'G-7 WaterC'' Data'!$AK$4:$AM$6,2,FALSE)=0,"Spatial Data Missing ⚠",VLOOKUP(J223,'G-7 WaterC'' Data'!$AK$4:$AM$6,2,FALSE)))</f>
        <v/>
      </c>
      <c r="L223" s="296" t="str">
        <f>IF(J223="","",IF(VLOOKUP(J223,'G-7 WaterC'' Data'!$AK$4:$AM$9,3,FALSE)=0,"Spatial Data Missing ⚠",VLOOKUP(J223,'G-7 WaterC'' Data'!$AK$4:$AM$6,3,FALSE)))</f>
        <v/>
      </c>
      <c r="M223" s="38"/>
      <c r="N223" s="291" t="str">
        <f>IF(M223="","",IF(AND(D223&lt;&gt;"Culvert",M223="N/A - Culvert"),"Not possible ▲",IF(AND(D223="Culvert",M223&lt;&gt;"N/A - Culvert"),"Not possible ▲",IF(VLOOKUP(M223,'G-7 WaterC'' Data'!$AA$4:$AB$7,2,FALSE)=0,"Spatial Data Missing ⚠",VLOOKUP(M223,'G-7 WaterC'' Data'!$AA$4:$AB$7,2,FALSE)))))</f>
        <v/>
      </c>
      <c r="O223" s="44"/>
      <c r="P223" s="291" t="str">
        <f>IF(O223="","",IF(AND(O223="N/A - Culvert", D223&lt;&gt;"Culvert"),"Not possible ▲", IF(AND(D223="Culvert",O223&lt;&gt;"N/A - Culvert"),"Not possible ▲",IF(VLOOKUP(O223,'G-7 WaterC'' Data'!$AD$4:$AE$14,2,FALSE)=0,"Spatial Data Missing ⚠",VLOOKUP(O223,'G-7 WaterC'' Data'!$AD$4:$AE$14,2,FALSE)))))</f>
        <v/>
      </c>
      <c r="Q223" s="297" t="str">
        <f>IF(D223="","",VLOOKUP(D223,'G-7 WaterC'' Data'!$B$2:$G$8,6,FALSE))</f>
        <v/>
      </c>
      <c r="R223" s="304" t="str">
        <f>IFERROR(IF(AND(Q223='G-1 All Habitats'!$X$3, AE223&gt;0, U223&lt;=0, V223&lt;=0, OR(AA223="No", AA223="")),"Any Loss Unacceptable ⚠", (IF(AND(Q223='G-1 All Habitats'!$X$3, AE223&gt;0, U223&lt;=0, V223&lt;=0, AA223="Yes"), 0, (IF(AND(Q223='G-1 All Habitats'!$X$3,(U223+V223)&lt;E223, OR(AA223="No", AA223="")),"Any Loss Unacceptable ⚠", (IF(AND(Q223='G-1 All Habitats'!$X$3,(U223+V223)&gt;E223), E223*G223*I223*L223*N223*P223, (IF(Q223="","",IF(AND(Q223='G-1 All Habitats'!$X$3,V223&gt;0),W223+X223,IF(AND(Q223='G-1 All Habitats'!$X$3,U223&gt;0), W223+X223, IF(AND(S223="Yes", V223&gt;(E223-U223)),(E223-U223)*G223*I223*L223*N223*P223, IF(AND(S223="Yes", V223&lt;=(E223-U223)), X223, E223*G223*I223*L223*N223*P223 ))))))))))))),"Check Data ▲")</f>
        <v/>
      </c>
      <c r="S223" s="671" t="str">
        <f t="shared" si="27"/>
        <v/>
      </c>
      <c r="T223" s="17"/>
      <c r="U223" s="95"/>
      <c r="V223" s="106"/>
      <c r="W223" s="302" t="str">
        <f t="shared" si="28"/>
        <v/>
      </c>
      <c r="X223" s="302" t="str">
        <f t="shared" si="29"/>
        <v/>
      </c>
      <c r="Y223" s="302" t="str">
        <f t="shared" si="30"/>
        <v/>
      </c>
      <c r="Z223" s="471" t="str">
        <f t="shared" si="31"/>
        <v/>
      </c>
      <c r="AA223" s="488"/>
      <c r="AB223" s="486"/>
      <c r="AC223" s="101"/>
      <c r="AD223" s="101"/>
      <c r="AE223" s="41" t="str">
        <f>IF(OR(Q223="",AA223="Yes"),"",IF(Q223='G-1 All Habitats'!$X$3,E223-U223-V223,"None"))</f>
        <v/>
      </c>
      <c r="AF223" s="42" t="str">
        <f>IF(Q223="","", IF(Q223='G-1 All Habitats'!$X$3, AE223*G223*I223*L223*N223*P223,"None"))</f>
        <v/>
      </c>
      <c r="AI223" s="15">
        <f t="shared" si="32"/>
        <v>0</v>
      </c>
      <c r="AJ223" s="105" t="str">
        <f t="shared" si="33"/>
        <v/>
      </c>
      <c r="AK223" s="105" t="str">
        <f t="shared" si="34"/>
        <v/>
      </c>
      <c r="AM223" s="105">
        <v>214</v>
      </c>
      <c r="AO223" s="105" t="str">
        <f t="array" ref="AO223">IFERROR(INDEX($AM$10:$AM$258, MATCH(0, IF(TRUE=$AJ$10:$AJ$258, COUNTIF($AO$9:$AO222, $AM$10:$AM$258), ""), 0)),"")</f>
        <v/>
      </c>
      <c r="AP223" s="105" t="str">
        <f t="array" ref="AP223">IFERROR(INDEX($AM$10:$AM$258, MATCH(0, IF(TRUE=$AK$10:$AK$258, COUNTIF($AP$9:$AP222, $AM$10:$AM$258), ""), 0)),"")</f>
        <v/>
      </c>
      <c r="AR223" s="15" t="str">
        <f>IFERROR(INDEX('G-7 WaterC'' Data'!$AZ$3:$AZ$7,MATCH(D223,'G-7 WaterC'' Data'!$AY$3:$AY$7,0)),"")</f>
        <v/>
      </c>
      <c r="AS223" s="15" t="str">
        <f>IFERROR(INDEX('G-7 WaterC'' Data'!AZ223:AZ227,MATCH(D223,'G-7 WaterC'' Data'!$AY$10:$AY$14,0)),"")</f>
        <v/>
      </c>
      <c r="AU223" s="15" t="str">
        <f>IF(D223="","",VLOOKUP(D223,'G-7 WaterC'' Data'!B$4:M$8,12,FALSE))</f>
        <v/>
      </c>
      <c r="AV223" s="15" t="str">
        <f t="shared" si="35"/>
        <v/>
      </c>
    </row>
    <row r="224" spans="3:48" ht="14" x14ac:dyDescent="0.3">
      <c r="C224" s="92">
        <v>215</v>
      </c>
      <c r="D224" s="271"/>
      <c r="E224" s="120"/>
      <c r="F224" s="290" t="str">
        <f>IF(D224="","",VLOOKUP(D224,'G-7 WaterC'' Data'!$B$2:$G$8,2,FALSE))</f>
        <v/>
      </c>
      <c r="G224" s="291" t="str">
        <f>IFERROR(VLOOKUP(F224,'G-7 WaterC'' Data'!$C$4:$D$8,2,FALSE),"")</f>
        <v/>
      </c>
      <c r="H224" s="38"/>
      <c r="I224" s="291" t="str">
        <f>IFERROR(INDEX('G-7 WaterC'' Data'!$H$4:$L$8,MATCH(D224,'G-7 WaterC'' Data'!$B$4:$B$8,0),MATCH(H224,'G-7 WaterC'' Data'!$H$3:$L$3,0)),"")</f>
        <v/>
      </c>
      <c r="J224" s="777"/>
      <c r="K224" s="325" t="str">
        <f>IF(J224="","",IF(VLOOKUP(J224,'G-7 WaterC'' Data'!$AK$4:$AM$6,2,FALSE)=0,"Spatial Data Missing ⚠",VLOOKUP(J224,'G-7 WaterC'' Data'!$AK$4:$AM$6,2,FALSE)))</f>
        <v/>
      </c>
      <c r="L224" s="296" t="str">
        <f>IF(J224="","",IF(VLOOKUP(J224,'G-7 WaterC'' Data'!$AK$4:$AM$9,3,FALSE)=0,"Spatial Data Missing ⚠",VLOOKUP(J224,'G-7 WaterC'' Data'!$AK$4:$AM$6,3,FALSE)))</f>
        <v/>
      </c>
      <c r="M224" s="38"/>
      <c r="N224" s="291" t="str">
        <f>IF(M224="","",IF(AND(D224&lt;&gt;"Culvert",M224="N/A - Culvert"),"Not possible ▲",IF(AND(D224="Culvert",M224&lt;&gt;"N/A - Culvert"),"Not possible ▲",IF(VLOOKUP(M224,'G-7 WaterC'' Data'!$AA$4:$AB$7,2,FALSE)=0,"Spatial Data Missing ⚠",VLOOKUP(M224,'G-7 WaterC'' Data'!$AA$4:$AB$7,2,FALSE)))))</f>
        <v/>
      </c>
      <c r="O224" s="44"/>
      <c r="P224" s="291" t="str">
        <f>IF(O224="","",IF(AND(O224="N/A - Culvert", D224&lt;&gt;"Culvert"),"Not possible ▲", IF(AND(D224="Culvert",O224&lt;&gt;"N/A - Culvert"),"Not possible ▲",IF(VLOOKUP(O224,'G-7 WaterC'' Data'!$AD$4:$AE$14,2,FALSE)=0,"Spatial Data Missing ⚠",VLOOKUP(O224,'G-7 WaterC'' Data'!$AD$4:$AE$14,2,FALSE)))))</f>
        <v/>
      </c>
      <c r="Q224" s="297" t="str">
        <f>IF(D224="","",VLOOKUP(D224,'G-7 WaterC'' Data'!$B$2:$G$8,6,FALSE))</f>
        <v/>
      </c>
      <c r="R224" s="304" t="str">
        <f>IFERROR(IF(AND(Q224='G-1 All Habitats'!$X$3, AE224&gt;0, U224&lt;=0, V224&lt;=0, OR(AA224="No", AA224="")),"Any Loss Unacceptable ⚠", (IF(AND(Q224='G-1 All Habitats'!$X$3, AE224&gt;0, U224&lt;=0, V224&lt;=0, AA224="Yes"), 0, (IF(AND(Q224='G-1 All Habitats'!$X$3,(U224+V224)&lt;E224, OR(AA224="No", AA224="")),"Any Loss Unacceptable ⚠", (IF(AND(Q224='G-1 All Habitats'!$X$3,(U224+V224)&gt;E224), E224*G224*I224*L224*N224*P224, (IF(Q224="","",IF(AND(Q224='G-1 All Habitats'!$X$3,V224&gt;0),W224+X224,IF(AND(Q224='G-1 All Habitats'!$X$3,U224&gt;0), W224+X224, IF(AND(S224="Yes", V224&gt;(E224-U224)),(E224-U224)*G224*I224*L224*N224*P224, IF(AND(S224="Yes", V224&lt;=(E224-U224)), X224, E224*G224*I224*L224*N224*P224 ))))))))))))),"Check Data ▲")</f>
        <v/>
      </c>
      <c r="S224" s="671" t="str">
        <f t="shared" si="27"/>
        <v/>
      </c>
      <c r="T224" s="17"/>
      <c r="U224" s="95"/>
      <c r="V224" s="106"/>
      <c r="W224" s="302" t="str">
        <f t="shared" si="28"/>
        <v/>
      </c>
      <c r="X224" s="302" t="str">
        <f t="shared" si="29"/>
        <v/>
      </c>
      <c r="Y224" s="302" t="str">
        <f t="shared" si="30"/>
        <v/>
      </c>
      <c r="Z224" s="471" t="str">
        <f t="shared" si="31"/>
        <v/>
      </c>
      <c r="AA224" s="488"/>
      <c r="AB224" s="486"/>
      <c r="AC224" s="101"/>
      <c r="AD224" s="101"/>
      <c r="AE224" s="41" t="str">
        <f>IF(OR(Q224="",AA224="Yes"),"",IF(Q224='G-1 All Habitats'!$X$3,E224-U224-V224,"None"))</f>
        <v/>
      </c>
      <c r="AF224" s="42" t="str">
        <f>IF(Q224="","", IF(Q224='G-1 All Habitats'!$X$3, AE224*G224*I224*L224*N224*P224,"None"))</f>
        <v/>
      </c>
      <c r="AI224" s="15">
        <f t="shared" si="32"/>
        <v>0</v>
      </c>
      <c r="AJ224" s="105" t="str">
        <f t="shared" si="33"/>
        <v/>
      </c>
      <c r="AK224" s="105" t="str">
        <f t="shared" si="34"/>
        <v/>
      </c>
      <c r="AM224" s="105">
        <v>215</v>
      </c>
      <c r="AO224" s="105" t="str">
        <f t="array" ref="AO224">IFERROR(INDEX($AM$10:$AM$258, MATCH(0, IF(TRUE=$AJ$10:$AJ$258, COUNTIF($AO$9:$AO223, $AM$10:$AM$258), ""), 0)),"")</f>
        <v/>
      </c>
      <c r="AP224" s="105" t="str">
        <f t="array" ref="AP224">IFERROR(INDEX($AM$10:$AM$258, MATCH(0, IF(TRUE=$AK$10:$AK$258, COUNTIF($AP$9:$AP223, $AM$10:$AM$258), ""), 0)),"")</f>
        <v/>
      </c>
      <c r="AR224" s="15" t="str">
        <f>IFERROR(INDEX('G-7 WaterC'' Data'!$AZ$3:$AZ$7,MATCH(D224,'G-7 WaterC'' Data'!$AY$3:$AY$7,0)),"")</f>
        <v/>
      </c>
      <c r="AS224" s="15" t="str">
        <f>IFERROR(INDEX('G-7 WaterC'' Data'!AZ224:AZ228,MATCH(D224,'G-7 WaterC'' Data'!$AY$10:$AY$14,0)),"")</f>
        <v/>
      </c>
      <c r="AU224" s="15" t="str">
        <f>IF(D224="","",VLOOKUP(D224,'G-7 WaterC'' Data'!B$4:M$8,12,FALSE))</f>
        <v/>
      </c>
      <c r="AV224" s="15" t="str">
        <f t="shared" si="35"/>
        <v/>
      </c>
    </row>
    <row r="225" spans="3:48" ht="14" x14ac:dyDescent="0.3">
      <c r="C225" s="92">
        <v>216</v>
      </c>
      <c r="D225" s="271"/>
      <c r="E225" s="120"/>
      <c r="F225" s="290" t="str">
        <f>IF(D225="","",VLOOKUP(D225,'G-7 WaterC'' Data'!$B$2:$G$8,2,FALSE))</f>
        <v/>
      </c>
      <c r="G225" s="291" t="str">
        <f>IFERROR(VLOOKUP(F225,'G-7 WaterC'' Data'!$C$4:$D$8,2,FALSE),"")</f>
        <v/>
      </c>
      <c r="H225" s="38"/>
      <c r="I225" s="291" t="str">
        <f>IFERROR(INDEX('G-7 WaterC'' Data'!$H$4:$L$8,MATCH(D225,'G-7 WaterC'' Data'!$B$4:$B$8,0),MATCH(H225,'G-7 WaterC'' Data'!$H$3:$L$3,0)),"")</f>
        <v/>
      </c>
      <c r="J225" s="777"/>
      <c r="K225" s="325" t="str">
        <f>IF(J225="","",IF(VLOOKUP(J225,'G-7 WaterC'' Data'!$AK$4:$AM$6,2,FALSE)=0,"Spatial Data Missing ⚠",VLOOKUP(J225,'G-7 WaterC'' Data'!$AK$4:$AM$6,2,FALSE)))</f>
        <v/>
      </c>
      <c r="L225" s="296" t="str">
        <f>IF(J225="","",IF(VLOOKUP(J225,'G-7 WaterC'' Data'!$AK$4:$AM$9,3,FALSE)=0,"Spatial Data Missing ⚠",VLOOKUP(J225,'G-7 WaterC'' Data'!$AK$4:$AM$6,3,FALSE)))</f>
        <v/>
      </c>
      <c r="M225" s="38"/>
      <c r="N225" s="291" t="str">
        <f>IF(M225="","",IF(AND(D225&lt;&gt;"Culvert",M225="N/A - Culvert"),"Not possible ▲",IF(AND(D225="Culvert",M225&lt;&gt;"N/A - Culvert"),"Not possible ▲",IF(VLOOKUP(M225,'G-7 WaterC'' Data'!$AA$4:$AB$7,2,FALSE)=0,"Spatial Data Missing ⚠",VLOOKUP(M225,'G-7 WaterC'' Data'!$AA$4:$AB$7,2,FALSE)))))</f>
        <v/>
      </c>
      <c r="O225" s="44"/>
      <c r="P225" s="291" t="str">
        <f>IF(O225="","",IF(AND(O225="N/A - Culvert", D225&lt;&gt;"Culvert"),"Not possible ▲", IF(AND(D225="Culvert",O225&lt;&gt;"N/A - Culvert"),"Not possible ▲",IF(VLOOKUP(O225,'G-7 WaterC'' Data'!$AD$4:$AE$14,2,FALSE)=0,"Spatial Data Missing ⚠",VLOOKUP(O225,'G-7 WaterC'' Data'!$AD$4:$AE$14,2,FALSE)))))</f>
        <v/>
      </c>
      <c r="Q225" s="297" t="str">
        <f>IF(D225="","",VLOOKUP(D225,'G-7 WaterC'' Data'!$B$2:$G$8,6,FALSE))</f>
        <v/>
      </c>
      <c r="R225" s="304" t="str">
        <f>IFERROR(IF(AND(Q225='G-1 All Habitats'!$X$3, AE225&gt;0, U225&lt;=0, V225&lt;=0, OR(AA225="No", AA225="")),"Any Loss Unacceptable ⚠", (IF(AND(Q225='G-1 All Habitats'!$X$3, AE225&gt;0, U225&lt;=0, V225&lt;=0, AA225="Yes"), 0, (IF(AND(Q225='G-1 All Habitats'!$X$3,(U225+V225)&lt;E225, OR(AA225="No", AA225="")),"Any Loss Unacceptable ⚠", (IF(AND(Q225='G-1 All Habitats'!$X$3,(U225+V225)&gt;E225), E225*G225*I225*L225*N225*P225, (IF(Q225="","",IF(AND(Q225='G-1 All Habitats'!$X$3,V225&gt;0),W225+X225,IF(AND(Q225='G-1 All Habitats'!$X$3,U225&gt;0), W225+X225, IF(AND(S225="Yes", V225&gt;(E225-U225)),(E225-U225)*G225*I225*L225*N225*P225, IF(AND(S225="Yes", V225&lt;=(E225-U225)), X225, E225*G225*I225*L225*N225*P225 ))))))))))))),"Check Data ▲")</f>
        <v/>
      </c>
      <c r="S225" s="671" t="str">
        <f t="shared" si="27"/>
        <v/>
      </c>
      <c r="T225" s="17"/>
      <c r="U225" s="95"/>
      <c r="V225" s="106"/>
      <c r="W225" s="302" t="str">
        <f t="shared" si="28"/>
        <v/>
      </c>
      <c r="X225" s="302" t="str">
        <f t="shared" si="29"/>
        <v/>
      </c>
      <c r="Y225" s="302" t="str">
        <f t="shared" si="30"/>
        <v/>
      </c>
      <c r="Z225" s="471" t="str">
        <f t="shared" si="31"/>
        <v/>
      </c>
      <c r="AA225" s="488"/>
      <c r="AB225" s="486"/>
      <c r="AC225" s="101"/>
      <c r="AD225" s="101"/>
      <c r="AE225" s="41" t="str">
        <f>IF(OR(Q225="",AA225="Yes"),"",IF(Q225='G-1 All Habitats'!$X$3,E225-U225-V225,"None"))</f>
        <v/>
      </c>
      <c r="AF225" s="42" t="str">
        <f>IF(Q225="","", IF(Q225='G-1 All Habitats'!$X$3, AE225*G225*I225*L225*N225*P225,"None"))</f>
        <v/>
      </c>
      <c r="AI225" s="15">
        <f t="shared" si="32"/>
        <v>0</v>
      </c>
      <c r="AJ225" s="105" t="str">
        <f t="shared" si="33"/>
        <v/>
      </c>
      <c r="AK225" s="105" t="str">
        <f t="shared" si="34"/>
        <v/>
      </c>
      <c r="AM225" s="105">
        <v>216</v>
      </c>
      <c r="AO225" s="105" t="str">
        <f t="array" ref="AO225">IFERROR(INDEX($AM$10:$AM$258, MATCH(0, IF(TRUE=$AJ$10:$AJ$258, COUNTIF($AO$9:$AO224, $AM$10:$AM$258), ""), 0)),"")</f>
        <v/>
      </c>
      <c r="AP225" s="105" t="str">
        <f t="array" ref="AP225">IFERROR(INDEX($AM$10:$AM$258, MATCH(0, IF(TRUE=$AK$10:$AK$258, COUNTIF($AP$9:$AP224, $AM$10:$AM$258), ""), 0)),"")</f>
        <v/>
      </c>
      <c r="AR225" s="15" t="str">
        <f>IFERROR(INDEX('G-7 WaterC'' Data'!$AZ$3:$AZ$7,MATCH(D225,'G-7 WaterC'' Data'!$AY$3:$AY$7,0)),"")</f>
        <v/>
      </c>
      <c r="AS225" s="15" t="str">
        <f>IFERROR(INDEX('G-7 WaterC'' Data'!AZ225:AZ229,MATCH(D225,'G-7 WaterC'' Data'!$AY$10:$AY$14,0)),"")</f>
        <v/>
      </c>
      <c r="AU225" s="15" t="str">
        <f>IF(D225="","",VLOOKUP(D225,'G-7 WaterC'' Data'!B$4:M$8,12,FALSE))</f>
        <v/>
      </c>
      <c r="AV225" s="15" t="str">
        <f t="shared" si="35"/>
        <v/>
      </c>
    </row>
    <row r="226" spans="3:48" ht="14" x14ac:dyDescent="0.3">
      <c r="C226" s="92">
        <v>217</v>
      </c>
      <c r="D226" s="271"/>
      <c r="E226" s="120"/>
      <c r="F226" s="290" t="str">
        <f>IF(D226="","",VLOOKUP(D226,'G-7 WaterC'' Data'!$B$2:$G$8,2,FALSE))</f>
        <v/>
      </c>
      <c r="G226" s="291" t="str">
        <f>IFERROR(VLOOKUP(F226,'G-7 WaterC'' Data'!$C$4:$D$8,2,FALSE),"")</f>
        <v/>
      </c>
      <c r="H226" s="38"/>
      <c r="I226" s="291" t="str">
        <f>IFERROR(INDEX('G-7 WaterC'' Data'!$H$4:$L$8,MATCH(D226,'G-7 WaterC'' Data'!$B$4:$B$8,0),MATCH(H226,'G-7 WaterC'' Data'!$H$3:$L$3,0)),"")</f>
        <v/>
      </c>
      <c r="J226" s="777"/>
      <c r="K226" s="325" t="str">
        <f>IF(J226="","",IF(VLOOKUP(J226,'G-7 WaterC'' Data'!$AK$4:$AM$6,2,FALSE)=0,"Spatial Data Missing ⚠",VLOOKUP(J226,'G-7 WaterC'' Data'!$AK$4:$AM$6,2,FALSE)))</f>
        <v/>
      </c>
      <c r="L226" s="296" t="str">
        <f>IF(J226="","",IF(VLOOKUP(J226,'G-7 WaterC'' Data'!$AK$4:$AM$9,3,FALSE)=0,"Spatial Data Missing ⚠",VLOOKUP(J226,'G-7 WaterC'' Data'!$AK$4:$AM$6,3,FALSE)))</f>
        <v/>
      </c>
      <c r="M226" s="38"/>
      <c r="N226" s="291" t="str">
        <f>IF(M226="","",IF(AND(D226&lt;&gt;"Culvert",M226="N/A - Culvert"),"Not possible ▲",IF(AND(D226="Culvert",M226&lt;&gt;"N/A - Culvert"),"Not possible ▲",IF(VLOOKUP(M226,'G-7 WaterC'' Data'!$AA$4:$AB$7,2,FALSE)=0,"Spatial Data Missing ⚠",VLOOKUP(M226,'G-7 WaterC'' Data'!$AA$4:$AB$7,2,FALSE)))))</f>
        <v/>
      </c>
      <c r="O226" s="44"/>
      <c r="P226" s="291" t="str">
        <f>IF(O226="","",IF(AND(O226="N/A - Culvert", D226&lt;&gt;"Culvert"),"Not possible ▲", IF(AND(D226="Culvert",O226&lt;&gt;"N/A - Culvert"),"Not possible ▲",IF(VLOOKUP(O226,'G-7 WaterC'' Data'!$AD$4:$AE$14,2,FALSE)=0,"Spatial Data Missing ⚠",VLOOKUP(O226,'G-7 WaterC'' Data'!$AD$4:$AE$14,2,FALSE)))))</f>
        <v/>
      </c>
      <c r="Q226" s="297" t="str">
        <f>IF(D226="","",VLOOKUP(D226,'G-7 WaterC'' Data'!$B$2:$G$8,6,FALSE))</f>
        <v/>
      </c>
      <c r="R226" s="304" t="str">
        <f>IFERROR(IF(AND(Q226='G-1 All Habitats'!$X$3, AE226&gt;0, U226&lt;=0, V226&lt;=0, OR(AA226="No", AA226="")),"Any Loss Unacceptable ⚠", (IF(AND(Q226='G-1 All Habitats'!$X$3, AE226&gt;0, U226&lt;=0, V226&lt;=0, AA226="Yes"), 0, (IF(AND(Q226='G-1 All Habitats'!$X$3,(U226+V226)&lt;E226, OR(AA226="No", AA226="")),"Any Loss Unacceptable ⚠", (IF(AND(Q226='G-1 All Habitats'!$X$3,(U226+V226)&gt;E226), E226*G226*I226*L226*N226*P226, (IF(Q226="","",IF(AND(Q226='G-1 All Habitats'!$X$3,V226&gt;0),W226+X226,IF(AND(Q226='G-1 All Habitats'!$X$3,U226&gt;0), W226+X226, IF(AND(S226="Yes", V226&gt;(E226-U226)),(E226-U226)*G226*I226*L226*N226*P226, IF(AND(S226="Yes", V226&lt;=(E226-U226)), X226, E226*G226*I226*L226*N226*P226 ))))))))))))),"Check Data ▲")</f>
        <v/>
      </c>
      <c r="S226" s="671" t="str">
        <f t="shared" si="27"/>
        <v/>
      </c>
      <c r="T226" s="17"/>
      <c r="U226" s="95"/>
      <c r="V226" s="106"/>
      <c r="W226" s="302" t="str">
        <f t="shared" si="28"/>
        <v/>
      </c>
      <c r="X226" s="302" t="str">
        <f t="shared" si="29"/>
        <v/>
      </c>
      <c r="Y226" s="302" t="str">
        <f t="shared" si="30"/>
        <v/>
      </c>
      <c r="Z226" s="471" t="str">
        <f t="shared" si="31"/>
        <v/>
      </c>
      <c r="AA226" s="488"/>
      <c r="AB226" s="486"/>
      <c r="AC226" s="101"/>
      <c r="AD226" s="101"/>
      <c r="AE226" s="41" t="str">
        <f>IF(OR(Q226="",AA226="Yes"),"",IF(Q226='G-1 All Habitats'!$X$3,E226-U226-V226,"None"))</f>
        <v/>
      </c>
      <c r="AF226" s="42" t="str">
        <f>IF(Q226="","", IF(Q226='G-1 All Habitats'!$X$3, AE226*G226*I226*L226*N226*P226,"None"))</f>
        <v/>
      </c>
      <c r="AI226" s="15">
        <f t="shared" si="32"/>
        <v>0</v>
      </c>
      <c r="AJ226" s="105" t="str">
        <f t="shared" si="33"/>
        <v/>
      </c>
      <c r="AK226" s="105" t="str">
        <f t="shared" si="34"/>
        <v/>
      </c>
      <c r="AM226" s="105">
        <v>217</v>
      </c>
      <c r="AO226" s="105" t="str">
        <f t="array" ref="AO226">IFERROR(INDEX($AM$10:$AM$258, MATCH(0, IF(TRUE=$AJ$10:$AJ$258, COUNTIF($AO$9:$AO225, $AM$10:$AM$258), ""), 0)),"")</f>
        <v/>
      </c>
      <c r="AP226" s="105" t="str">
        <f t="array" ref="AP226">IFERROR(INDEX($AM$10:$AM$258, MATCH(0, IF(TRUE=$AK$10:$AK$258, COUNTIF($AP$9:$AP225, $AM$10:$AM$258), ""), 0)),"")</f>
        <v/>
      </c>
      <c r="AR226" s="15" t="str">
        <f>IFERROR(INDEX('G-7 WaterC'' Data'!$AZ$3:$AZ$7,MATCH(D226,'G-7 WaterC'' Data'!$AY$3:$AY$7,0)),"")</f>
        <v/>
      </c>
      <c r="AS226" s="15" t="str">
        <f>IFERROR(INDEX('G-7 WaterC'' Data'!AZ226:AZ230,MATCH(D226,'G-7 WaterC'' Data'!$AY$10:$AY$14,0)),"")</f>
        <v/>
      </c>
      <c r="AU226" s="15" t="str">
        <f>IF(D226="","",VLOOKUP(D226,'G-7 WaterC'' Data'!B$4:M$8,12,FALSE))</f>
        <v/>
      </c>
      <c r="AV226" s="15" t="str">
        <f t="shared" si="35"/>
        <v/>
      </c>
    </row>
    <row r="227" spans="3:48" ht="14" x14ac:dyDescent="0.3">
      <c r="C227" s="92">
        <v>218</v>
      </c>
      <c r="D227" s="271"/>
      <c r="E227" s="120"/>
      <c r="F227" s="290" t="str">
        <f>IF(D227="","",VLOOKUP(D227,'G-7 WaterC'' Data'!$B$2:$G$8,2,FALSE))</f>
        <v/>
      </c>
      <c r="G227" s="291" t="str">
        <f>IFERROR(VLOOKUP(F227,'G-7 WaterC'' Data'!$C$4:$D$8,2,FALSE),"")</f>
        <v/>
      </c>
      <c r="H227" s="38"/>
      <c r="I227" s="291" t="str">
        <f>IFERROR(INDEX('G-7 WaterC'' Data'!$H$4:$L$8,MATCH(D227,'G-7 WaterC'' Data'!$B$4:$B$8,0),MATCH(H227,'G-7 WaterC'' Data'!$H$3:$L$3,0)),"")</f>
        <v/>
      </c>
      <c r="J227" s="777"/>
      <c r="K227" s="325" t="str">
        <f>IF(J227="","",IF(VLOOKUP(J227,'G-7 WaterC'' Data'!$AK$4:$AM$6,2,FALSE)=0,"Spatial Data Missing ⚠",VLOOKUP(J227,'G-7 WaterC'' Data'!$AK$4:$AM$6,2,FALSE)))</f>
        <v/>
      </c>
      <c r="L227" s="296" t="str">
        <f>IF(J227="","",IF(VLOOKUP(J227,'G-7 WaterC'' Data'!$AK$4:$AM$9,3,FALSE)=0,"Spatial Data Missing ⚠",VLOOKUP(J227,'G-7 WaterC'' Data'!$AK$4:$AM$6,3,FALSE)))</f>
        <v/>
      </c>
      <c r="M227" s="38"/>
      <c r="N227" s="291" t="str">
        <f>IF(M227="","",IF(AND(D227&lt;&gt;"Culvert",M227="N/A - Culvert"),"Not possible ▲",IF(AND(D227="Culvert",M227&lt;&gt;"N/A - Culvert"),"Not possible ▲",IF(VLOOKUP(M227,'G-7 WaterC'' Data'!$AA$4:$AB$7,2,FALSE)=0,"Spatial Data Missing ⚠",VLOOKUP(M227,'G-7 WaterC'' Data'!$AA$4:$AB$7,2,FALSE)))))</f>
        <v/>
      </c>
      <c r="O227" s="44"/>
      <c r="P227" s="291" t="str">
        <f>IF(O227="","",IF(AND(O227="N/A - Culvert", D227&lt;&gt;"Culvert"),"Not possible ▲", IF(AND(D227="Culvert",O227&lt;&gt;"N/A - Culvert"),"Not possible ▲",IF(VLOOKUP(O227,'G-7 WaterC'' Data'!$AD$4:$AE$14,2,FALSE)=0,"Spatial Data Missing ⚠",VLOOKUP(O227,'G-7 WaterC'' Data'!$AD$4:$AE$14,2,FALSE)))))</f>
        <v/>
      </c>
      <c r="Q227" s="297" t="str">
        <f>IF(D227="","",VLOOKUP(D227,'G-7 WaterC'' Data'!$B$2:$G$8,6,FALSE))</f>
        <v/>
      </c>
      <c r="R227" s="304" t="str">
        <f>IFERROR(IF(AND(Q227='G-1 All Habitats'!$X$3, AE227&gt;0, U227&lt;=0, V227&lt;=0, OR(AA227="No", AA227="")),"Any Loss Unacceptable ⚠", (IF(AND(Q227='G-1 All Habitats'!$X$3, AE227&gt;0, U227&lt;=0, V227&lt;=0, AA227="Yes"), 0, (IF(AND(Q227='G-1 All Habitats'!$X$3,(U227+V227)&lt;E227, OR(AA227="No", AA227="")),"Any Loss Unacceptable ⚠", (IF(AND(Q227='G-1 All Habitats'!$X$3,(U227+V227)&gt;E227), E227*G227*I227*L227*N227*P227, (IF(Q227="","",IF(AND(Q227='G-1 All Habitats'!$X$3,V227&gt;0),W227+X227,IF(AND(Q227='G-1 All Habitats'!$X$3,U227&gt;0), W227+X227, IF(AND(S227="Yes", V227&gt;(E227-U227)),(E227-U227)*G227*I227*L227*N227*P227, IF(AND(S227="Yes", V227&lt;=(E227-U227)), X227, E227*G227*I227*L227*N227*P227 ))))))))))))),"Check Data ▲")</f>
        <v/>
      </c>
      <c r="S227" s="671" t="str">
        <f t="shared" si="27"/>
        <v/>
      </c>
      <c r="T227" s="17"/>
      <c r="U227" s="95"/>
      <c r="V227" s="106"/>
      <c r="W227" s="302" t="str">
        <f t="shared" si="28"/>
        <v/>
      </c>
      <c r="X227" s="302" t="str">
        <f t="shared" si="29"/>
        <v/>
      </c>
      <c r="Y227" s="302" t="str">
        <f t="shared" si="30"/>
        <v/>
      </c>
      <c r="Z227" s="471" t="str">
        <f t="shared" si="31"/>
        <v/>
      </c>
      <c r="AA227" s="488"/>
      <c r="AB227" s="486"/>
      <c r="AC227" s="101"/>
      <c r="AD227" s="101"/>
      <c r="AE227" s="41" t="str">
        <f>IF(OR(Q227="",AA227="Yes"),"",IF(Q227='G-1 All Habitats'!$X$3,E227-U227-V227,"None"))</f>
        <v/>
      </c>
      <c r="AF227" s="42" t="str">
        <f>IF(Q227="","", IF(Q227='G-1 All Habitats'!$X$3, AE227*G227*I227*L227*N227*P227,"None"))</f>
        <v/>
      </c>
      <c r="AI227" s="15">
        <f t="shared" si="32"/>
        <v>0</v>
      </c>
      <c r="AJ227" s="105" t="str">
        <f t="shared" si="33"/>
        <v/>
      </c>
      <c r="AK227" s="105" t="str">
        <f t="shared" si="34"/>
        <v/>
      </c>
      <c r="AM227" s="105">
        <v>218</v>
      </c>
      <c r="AO227" s="105" t="str">
        <f t="array" ref="AO227">IFERROR(INDEX($AM$10:$AM$258, MATCH(0, IF(TRUE=$AJ$10:$AJ$258, COUNTIF($AO$9:$AO226, $AM$10:$AM$258), ""), 0)),"")</f>
        <v/>
      </c>
      <c r="AP227" s="105" t="str">
        <f t="array" ref="AP227">IFERROR(INDEX($AM$10:$AM$258, MATCH(0, IF(TRUE=$AK$10:$AK$258, COUNTIF($AP$9:$AP226, $AM$10:$AM$258), ""), 0)),"")</f>
        <v/>
      </c>
      <c r="AR227" s="15" t="str">
        <f>IFERROR(INDEX('G-7 WaterC'' Data'!$AZ$3:$AZ$7,MATCH(D227,'G-7 WaterC'' Data'!$AY$3:$AY$7,0)),"")</f>
        <v/>
      </c>
      <c r="AS227" s="15" t="str">
        <f>IFERROR(INDEX('G-7 WaterC'' Data'!AZ227:AZ231,MATCH(D227,'G-7 WaterC'' Data'!$AY$10:$AY$14,0)),"")</f>
        <v/>
      </c>
      <c r="AU227" s="15" t="str">
        <f>IF(D227="","",VLOOKUP(D227,'G-7 WaterC'' Data'!B$4:M$8,12,FALSE))</f>
        <v/>
      </c>
      <c r="AV227" s="15" t="str">
        <f t="shared" si="35"/>
        <v/>
      </c>
    </row>
    <row r="228" spans="3:48" ht="14" x14ac:dyDescent="0.3">
      <c r="C228" s="92">
        <v>219</v>
      </c>
      <c r="D228" s="271"/>
      <c r="E228" s="120"/>
      <c r="F228" s="290" t="str">
        <f>IF(D228="","",VLOOKUP(D228,'G-7 WaterC'' Data'!$B$2:$G$8,2,FALSE))</f>
        <v/>
      </c>
      <c r="G228" s="291" t="str">
        <f>IFERROR(VLOOKUP(F228,'G-7 WaterC'' Data'!$C$4:$D$8,2,FALSE),"")</f>
        <v/>
      </c>
      <c r="H228" s="38"/>
      <c r="I228" s="291" t="str">
        <f>IFERROR(INDEX('G-7 WaterC'' Data'!$H$4:$L$8,MATCH(D228,'G-7 WaterC'' Data'!$B$4:$B$8,0),MATCH(H228,'G-7 WaterC'' Data'!$H$3:$L$3,0)),"")</f>
        <v/>
      </c>
      <c r="J228" s="777"/>
      <c r="K228" s="325" t="str">
        <f>IF(J228="","",IF(VLOOKUP(J228,'G-7 WaterC'' Data'!$AK$4:$AM$6,2,FALSE)=0,"Spatial Data Missing ⚠",VLOOKUP(J228,'G-7 WaterC'' Data'!$AK$4:$AM$6,2,FALSE)))</f>
        <v/>
      </c>
      <c r="L228" s="296" t="str">
        <f>IF(J228="","",IF(VLOOKUP(J228,'G-7 WaterC'' Data'!$AK$4:$AM$9,3,FALSE)=0,"Spatial Data Missing ⚠",VLOOKUP(J228,'G-7 WaterC'' Data'!$AK$4:$AM$6,3,FALSE)))</f>
        <v/>
      </c>
      <c r="M228" s="38"/>
      <c r="N228" s="291" t="str">
        <f>IF(M228="","",IF(AND(D228&lt;&gt;"Culvert",M228="N/A - Culvert"),"Not possible ▲",IF(AND(D228="Culvert",M228&lt;&gt;"N/A - Culvert"),"Not possible ▲",IF(VLOOKUP(M228,'G-7 WaterC'' Data'!$AA$4:$AB$7,2,FALSE)=0,"Spatial Data Missing ⚠",VLOOKUP(M228,'G-7 WaterC'' Data'!$AA$4:$AB$7,2,FALSE)))))</f>
        <v/>
      </c>
      <c r="O228" s="44"/>
      <c r="P228" s="291" t="str">
        <f>IF(O228="","",IF(AND(O228="N/A - Culvert", D228&lt;&gt;"Culvert"),"Not possible ▲", IF(AND(D228="Culvert",O228&lt;&gt;"N/A - Culvert"),"Not possible ▲",IF(VLOOKUP(O228,'G-7 WaterC'' Data'!$AD$4:$AE$14,2,FALSE)=0,"Spatial Data Missing ⚠",VLOOKUP(O228,'G-7 WaterC'' Data'!$AD$4:$AE$14,2,FALSE)))))</f>
        <v/>
      </c>
      <c r="Q228" s="297" t="str">
        <f>IF(D228="","",VLOOKUP(D228,'G-7 WaterC'' Data'!$B$2:$G$8,6,FALSE))</f>
        <v/>
      </c>
      <c r="R228" s="304" t="str">
        <f>IFERROR(IF(AND(Q228='G-1 All Habitats'!$X$3, AE228&gt;0, U228&lt;=0, V228&lt;=0, OR(AA228="No", AA228="")),"Any Loss Unacceptable ⚠", (IF(AND(Q228='G-1 All Habitats'!$X$3, AE228&gt;0, U228&lt;=0, V228&lt;=0, AA228="Yes"), 0, (IF(AND(Q228='G-1 All Habitats'!$X$3,(U228+V228)&lt;E228, OR(AA228="No", AA228="")),"Any Loss Unacceptable ⚠", (IF(AND(Q228='G-1 All Habitats'!$X$3,(U228+V228)&gt;E228), E228*G228*I228*L228*N228*P228, (IF(Q228="","",IF(AND(Q228='G-1 All Habitats'!$X$3,V228&gt;0),W228+X228,IF(AND(Q228='G-1 All Habitats'!$X$3,U228&gt;0), W228+X228, IF(AND(S228="Yes", V228&gt;(E228-U228)),(E228-U228)*G228*I228*L228*N228*P228, IF(AND(S228="Yes", V228&lt;=(E228-U228)), X228, E228*G228*I228*L228*N228*P228 ))))))))))))),"Check Data ▲")</f>
        <v/>
      </c>
      <c r="S228" s="671" t="str">
        <f t="shared" si="27"/>
        <v/>
      </c>
      <c r="T228" s="17"/>
      <c r="U228" s="95"/>
      <c r="V228" s="106"/>
      <c r="W228" s="302" t="str">
        <f t="shared" si="28"/>
        <v/>
      </c>
      <c r="X228" s="302" t="str">
        <f t="shared" si="29"/>
        <v/>
      </c>
      <c r="Y228" s="302" t="str">
        <f t="shared" si="30"/>
        <v/>
      </c>
      <c r="Z228" s="471" t="str">
        <f t="shared" si="31"/>
        <v/>
      </c>
      <c r="AA228" s="488"/>
      <c r="AB228" s="486"/>
      <c r="AC228" s="101"/>
      <c r="AD228" s="101"/>
      <c r="AE228" s="41" t="str">
        <f>IF(OR(Q228="",AA228="Yes"),"",IF(Q228='G-1 All Habitats'!$X$3,E228-U228-V228,"None"))</f>
        <v/>
      </c>
      <c r="AF228" s="42" t="str">
        <f>IF(Q228="","", IF(Q228='G-1 All Habitats'!$X$3, AE228*G228*I228*L228*N228*P228,"None"))</f>
        <v/>
      </c>
      <c r="AI228" s="15">
        <f t="shared" si="32"/>
        <v>0</v>
      </c>
      <c r="AJ228" s="105" t="str">
        <f t="shared" si="33"/>
        <v/>
      </c>
      <c r="AK228" s="105" t="str">
        <f t="shared" si="34"/>
        <v/>
      </c>
      <c r="AM228" s="105">
        <v>219</v>
      </c>
      <c r="AO228" s="105" t="str">
        <f t="array" ref="AO228">IFERROR(INDEX($AM$10:$AM$258, MATCH(0, IF(TRUE=$AJ$10:$AJ$258, COUNTIF($AO$9:$AO227, $AM$10:$AM$258), ""), 0)),"")</f>
        <v/>
      </c>
      <c r="AP228" s="105" t="str">
        <f t="array" ref="AP228">IFERROR(INDEX($AM$10:$AM$258, MATCH(0, IF(TRUE=$AK$10:$AK$258, COUNTIF($AP$9:$AP227, $AM$10:$AM$258), ""), 0)),"")</f>
        <v/>
      </c>
      <c r="AR228" s="15" t="str">
        <f>IFERROR(INDEX('G-7 WaterC'' Data'!$AZ$3:$AZ$7,MATCH(D228,'G-7 WaterC'' Data'!$AY$3:$AY$7,0)),"")</f>
        <v/>
      </c>
      <c r="AS228" s="15" t="str">
        <f>IFERROR(INDEX('G-7 WaterC'' Data'!AZ228:AZ232,MATCH(D228,'G-7 WaterC'' Data'!$AY$10:$AY$14,0)),"")</f>
        <v/>
      </c>
      <c r="AU228" s="15" t="str">
        <f>IF(D228="","",VLOOKUP(D228,'G-7 WaterC'' Data'!B$4:M$8,12,FALSE))</f>
        <v/>
      </c>
      <c r="AV228" s="15" t="str">
        <f t="shared" si="35"/>
        <v/>
      </c>
    </row>
    <row r="229" spans="3:48" ht="14" x14ac:dyDescent="0.3">
      <c r="C229" s="92">
        <v>220</v>
      </c>
      <c r="D229" s="271"/>
      <c r="E229" s="120"/>
      <c r="F229" s="290" t="str">
        <f>IF(D229="","",VLOOKUP(D229,'G-7 WaterC'' Data'!$B$2:$G$8,2,FALSE))</f>
        <v/>
      </c>
      <c r="G229" s="291" t="str">
        <f>IFERROR(VLOOKUP(F229,'G-7 WaterC'' Data'!$C$4:$D$8,2,FALSE),"")</f>
        <v/>
      </c>
      <c r="H229" s="38"/>
      <c r="I229" s="291" t="str">
        <f>IFERROR(INDEX('G-7 WaterC'' Data'!$H$4:$L$8,MATCH(D229,'G-7 WaterC'' Data'!$B$4:$B$8,0),MATCH(H229,'G-7 WaterC'' Data'!$H$3:$L$3,0)),"")</f>
        <v/>
      </c>
      <c r="J229" s="777"/>
      <c r="K229" s="325" t="str">
        <f>IF(J229="","",IF(VLOOKUP(J229,'G-7 WaterC'' Data'!$AK$4:$AM$6,2,FALSE)=0,"Spatial Data Missing ⚠",VLOOKUP(J229,'G-7 WaterC'' Data'!$AK$4:$AM$6,2,FALSE)))</f>
        <v/>
      </c>
      <c r="L229" s="296" t="str">
        <f>IF(J229="","",IF(VLOOKUP(J229,'G-7 WaterC'' Data'!$AK$4:$AM$9,3,FALSE)=0,"Spatial Data Missing ⚠",VLOOKUP(J229,'G-7 WaterC'' Data'!$AK$4:$AM$6,3,FALSE)))</f>
        <v/>
      </c>
      <c r="M229" s="38"/>
      <c r="N229" s="291" t="str">
        <f>IF(M229="","",IF(AND(D229&lt;&gt;"Culvert",M229="N/A - Culvert"),"Not possible ▲",IF(AND(D229="Culvert",M229&lt;&gt;"N/A - Culvert"),"Not possible ▲",IF(VLOOKUP(M229,'G-7 WaterC'' Data'!$AA$4:$AB$7,2,FALSE)=0,"Spatial Data Missing ⚠",VLOOKUP(M229,'G-7 WaterC'' Data'!$AA$4:$AB$7,2,FALSE)))))</f>
        <v/>
      </c>
      <c r="O229" s="44"/>
      <c r="P229" s="291" t="str">
        <f>IF(O229="","",IF(AND(O229="N/A - Culvert", D229&lt;&gt;"Culvert"),"Not possible ▲", IF(AND(D229="Culvert",O229&lt;&gt;"N/A - Culvert"),"Not possible ▲",IF(VLOOKUP(O229,'G-7 WaterC'' Data'!$AD$4:$AE$14,2,FALSE)=0,"Spatial Data Missing ⚠",VLOOKUP(O229,'G-7 WaterC'' Data'!$AD$4:$AE$14,2,FALSE)))))</f>
        <v/>
      </c>
      <c r="Q229" s="297" t="str">
        <f>IF(D229="","",VLOOKUP(D229,'G-7 WaterC'' Data'!$B$2:$G$8,6,FALSE))</f>
        <v/>
      </c>
      <c r="R229" s="304" t="str">
        <f>IFERROR(IF(AND(Q229='G-1 All Habitats'!$X$3, AE229&gt;0, U229&lt;=0, V229&lt;=0, OR(AA229="No", AA229="")),"Any Loss Unacceptable ⚠", (IF(AND(Q229='G-1 All Habitats'!$X$3, AE229&gt;0, U229&lt;=0, V229&lt;=0, AA229="Yes"), 0, (IF(AND(Q229='G-1 All Habitats'!$X$3,(U229+V229)&lt;E229, OR(AA229="No", AA229="")),"Any Loss Unacceptable ⚠", (IF(AND(Q229='G-1 All Habitats'!$X$3,(U229+V229)&gt;E229), E229*G229*I229*L229*N229*P229, (IF(Q229="","",IF(AND(Q229='G-1 All Habitats'!$X$3,V229&gt;0),W229+X229,IF(AND(Q229='G-1 All Habitats'!$X$3,U229&gt;0), W229+X229, IF(AND(S229="Yes", V229&gt;(E229-U229)),(E229-U229)*G229*I229*L229*N229*P229, IF(AND(S229="Yes", V229&lt;=(E229-U229)), X229, E229*G229*I229*L229*N229*P229 ))))))))))))),"Check Data ▲")</f>
        <v/>
      </c>
      <c r="S229" s="671" t="str">
        <f t="shared" si="27"/>
        <v/>
      </c>
      <c r="T229" s="17"/>
      <c r="U229" s="95"/>
      <c r="V229" s="106"/>
      <c r="W229" s="302" t="str">
        <f t="shared" si="28"/>
        <v/>
      </c>
      <c r="X229" s="302" t="str">
        <f t="shared" si="29"/>
        <v/>
      </c>
      <c r="Y229" s="302" t="str">
        <f t="shared" si="30"/>
        <v/>
      </c>
      <c r="Z229" s="471" t="str">
        <f t="shared" si="31"/>
        <v/>
      </c>
      <c r="AA229" s="488"/>
      <c r="AB229" s="486"/>
      <c r="AC229" s="101"/>
      <c r="AD229" s="101"/>
      <c r="AE229" s="41" t="str">
        <f>IF(OR(Q229="",AA229="Yes"),"",IF(Q229='G-1 All Habitats'!$X$3,E229-U229-V229,"None"))</f>
        <v/>
      </c>
      <c r="AF229" s="42" t="str">
        <f>IF(Q229="","", IF(Q229='G-1 All Habitats'!$X$3, AE229*G229*I229*L229*N229*P229,"None"))</f>
        <v/>
      </c>
      <c r="AI229" s="15">
        <f t="shared" si="32"/>
        <v>0</v>
      </c>
      <c r="AJ229" s="105" t="str">
        <f t="shared" si="33"/>
        <v/>
      </c>
      <c r="AK229" s="105" t="str">
        <f t="shared" si="34"/>
        <v/>
      </c>
      <c r="AM229" s="105">
        <v>220</v>
      </c>
      <c r="AO229" s="105" t="str">
        <f t="array" ref="AO229">IFERROR(INDEX($AM$10:$AM$258, MATCH(0, IF(TRUE=$AJ$10:$AJ$258, COUNTIF($AO$9:$AO228, $AM$10:$AM$258), ""), 0)),"")</f>
        <v/>
      </c>
      <c r="AP229" s="105" t="str">
        <f t="array" ref="AP229">IFERROR(INDEX($AM$10:$AM$258, MATCH(0, IF(TRUE=$AK$10:$AK$258, COUNTIF($AP$9:$AP228, $AM$10:$AM$258), ""), 0)),"")</f>
        <v/>
      </c>
      <c r="AR229" s="15" t="str">
        <f>IFERROR(INDEX('G-7 WaterC'' Data'!$AZ$3:$AZ$7,MATCH(D229,'G-7 WaterC'' Data'!$AY$3:$AY$7,0)),"")</f>
        <v/>
      </c>
      <c r="AS229" s="15" t="str">
        <f>IFERROR(INDEX('G-7 WaterC'' Data'!AZ229:AZ233,MATCH(D229,'G-7 WaterC'' Data'!$AY$10:$AY$14,0)),"")</f>
        <v/>
      </c>
      <c r="AU229" s="15" t="str">
        <f>IF(D229="","",VLOOKUP(D229,'G-7 WaterC'' Data'!B$4:M$8,12,FALSE))</f>
        <v/>
      </c>
      <c r="AV229" s="15" t="str">
        <f t="shared" si="35"/>
        <v/>
      </c>
    </row>
    <row r="230" spans="3:48" ht="14" x14ac:dyDescent="0.3">
      <c r="C230" s="92">
        <v>221</v>
      </c>
      <c r="D230" s="271"/>
      <c r="E230" s="120"/>
      <c r="F230" s="290" t="str">
        <f>IF(D230="","",VLOOKUP(D230,'G-7 WaterC'' Data'!$B$2:$G$8,2,FALSE))</f>
        <v/>
      </c>
      <c r="G230" s="291" t="str">
        <f>IFERROR(VLOOKUP(F230,'G-7 WaterC'' Data'!$C$4:$D$8,2,FALSE),"")</f>
        <v/>
      </c>
      <c r="H230" s="38"/>
      <c r="I230" s="291" t="str">
        <f>IFERROR(INDEX('G-7 WaterC'' Data'!$H$4:$L$8,MATCH(D230,'G-7 WaterC'' Data'!$B$4:$B$8,0),MATCH(H230,'G-7 WaterC'' Data'!$H$3:$L$3,0)),"")</f>
        <v/>
      </c>
      <c r="J230" s="777"/>
      <c r="K230" s="325" t="str">
        <f>IF(J230="","",IF(VLOOKUP(J230,'G-7 WaterC'' Data'!$AK$4:$AM$6,2,FALSE)=0,"Spatial Data Missing ⚠",VLOOKUP(J230,'G-7 WaterC'' Data'!$AK$4:$AM$6,2,FALSE)))</f>
        <v/>
      </c>
      <c r="L230" s="296" t="str">
        <f>IF(J230="","",IF(VLOOKUP(J230,'G-7 WaterC'' Data'!$AK$4:$AM$9,3,FALSE)=0,"Spatial Data Missing ⚠",VLOOKUP(J230,'G-7 WaterC'' Data'!$AK$4:$AM$6,3,FALSE)))</f>
        <v/>
      </c>
      <c r="M230" s="38"/>
      <c r="N230" s="291" t="str">
        <f>IF(M230="","",IF(AND(D230&lt;&gt;"Culvert",M230="N/A - Culvert"),"Not possible ▲",IF(AND(D230="Culvert",M230&lt;&gt;"N/A - Culvert"),"Not possible ▲",IF(VLOOKUP(M230,'G-7 WaterC'' Data'!$AA$4:$AB$7,2,FALSE)=0,"Spatial Data Missing ⚠",VLOOKUP(M230,'G-7 WaterC'' Data'!$AA$4:$AB$7,2,FALSE)))))</f>
        <v/>
      </c>
      <c r="O230" s="44"/>
      <c r="P230" s="291" t="str">
        <f>IF(O230="","",IF(AND(O230="N/A - Culvert", D230&lt;&gt;"Culvert"),"Not possible ▲", IF(AND(D230="Culvert",O230&lt;&gt;"N/A - Culvert"),"Not possible ▲",IF(VLOOKUP(O230,'G-7 WaterC'' Data'!$AD$4:$AE$14,2,FALSE)=0,"Spatial Data Missing ⚠",VLOOKUP(O230,'G-7 WaterC'' Data'!$AD$4:$AE$14,2,FALSE)))))</f>
        <v/>
      </c>
      <c r="Q230" s="297" t="str">
        <f>IF(D230="","",VLOOKUP(D230,'G-7 WaterC'' Data'!$B$2:$G$8,6,FALSE))</f>
        <v/>
      </c>
      <c r="R230" s="304" t="str">
        <f>IFERROR(IF(AND(Q230='G-1 All Habitats'!$X$3, AE230&gt;0, U230&lt;=0, V230&lt;=0, OR(AA230="No", AA230="")),"Any Loss Unacceptable ⚠", (IF(AND(Q230='G-1 All Habitats'!$X$3, AE230&gt;0, U230&lt;=0, V230&lt;=0, AA230="Yes"), 0, (IF(AND(Q230='G-1 All Habitats'!$X$3,(U230+V230)&lt;E230, OR(AA230="No", AA230="")),"Any Loss Unacceptable ⚠", (IF(AND(Q230='G-1 All Habitats'!$X$3,(U230+V230)&gt;E230), E230*G230*I230*L230*N230*P230, (IF(Q230="","",IF(AND(Q230='G-1 All Habitats'!$X$3,V230&gt;0),W230+X230,IF(AND(Q230='G-1 All Habitats'!$X$3,U230&gt;0), W230+X230, IF(AND(S230="Yes", V230&gt;(E230-U230)),(E230-U230)*G230*I230*L230*N230*P230, IF(AND(S230="Yes", V230&lt;=(E230-U230)), X230, E230*G230*I230*L230*N230*P230 ))))))))))))),"Check Data ▲")</f>
        <v/>
      </c>
      <c r="S230" s="671" t="str">
        <f t="shared" si="27"/>
        <v/>
      </c>
      <c r="T230" s="17"/>
      <c r="U230" s="95"/>
      <c r="V230" s="106"/>
      <c r="W230" s="302" t="str">
        <f t="shared" si="28"/>
        <v/>
      </c>
      <c r="X230" s="302" t="str">
        <f t="shared" si="29"/>
        <v/>
      </c>
      <c r="Y230" s="302" t="str">
        <f t="shared" si="30"/>
        <v/>
      </c>
      <c r="Z230" s="471" t="str">
        <f t="shared" si="31"/>
        <v/>
      </c>
      <c r="AA230" s="488"/>
      <c r="AB230" s="486"/>
      <c r="AC230" s="101"/>
      <c r="AD230" s="101"/>
      <c r="AE230" s="41" t="str">
        <f>IF(OR(Q230="",AA230="Yes"),"",IF(Q230='G-1 All Habitats'!$X$3,E230-U230-V230,"None"))</f>
        <v/>
      </c>
      <c r="AF230" s="42" t="str">
        <f>IF(Q230="","", IF(Q230='G-1 All Habitats'!$X$3, AE230*G230*I230*L230*N230*P230,"None"))</f>
        <v/>
      </c>
      <c r="AI230" s="15">
        <f t="shared" si="32"/>
        <v>0</v>
      </c>
      <c r="AJ230" s="105" t="str">
        <f t="shared" si="33"/>
        <v/>
      </c>
      <c r="AK230" s="105" t="str">
        <f t="shared" si="34"/>
        <v/>
      </c>
      <c r="AM230" s="105">
        <v>221</v>
      </c>
      <c r="AO230" s="105" t="str">
        <f t="array" ref="AO230">IFERROR(INDEX($AM$10:$AM$258, MATCH(0, IF(TRUE=$AJ$10:$AJ$258, COUNTIF($AO$9:$AO229, $AM$10:$AM$258), ""), 0)),"")</f>
        <v/>
      </c>
      <c r="AP230" s="105" t="str">
        <f t="array" ref="AP230">IFERROR(INDEX($AM$10:$AM$258, MATCH(0, IF(TRUE=$AK$10:$AK$258, COUNTIF($AP$9:$AP229, $AM$10:$AM$258), ""), 0)),"")</f>
        <v/>
      </c>
      <c r="AR230" s="15" t="str">
        <f>IFERROR(INDEX('G-7 WaterC'' Data'!$AZ$3:$AZ$7,MATCH(D230,'G-7 WaterC'' Data'!$AY$3:$AY$7,0)),"")</f>
        <v/>
      </c>
      <c r="AS230" s="15" t="str">
        <f>IFERROR(INDEX('G-7 WaterC'' Data'!AZ230:AZ234,MATCH(D230,'G-7 WaterC'' Data'!$AY$10:$AY$14,0)),"")</f>
        <v/>
      </c>
      <c r="AU230" s="15" t="str">
        <f>IF(D230="","",VLOOKUP(D230,'G-7 WaterC'' Data'!B$4:M$8,12,FALSE))</f>
        <v/>
      </c>
      <c r="AV230" s="15" t="str">
        <f t="shared" si="35"/>
        <v/>
      </c>
    </row>
    <row r="231" spans="3:48" ht="14" x14ac:dyDescent="0.3">
      <c r="C231" s="92">
        <v>222</v>
      </c>
      <c r="D231" s="271"/>
      <c r="E231" s="120"/>
      <c r="F231" s="290" t="str">
        <f>IF(D231="","",VLOOKUP(D231,'G-7 WaterC'' Data'!$B$2:$G$8,2,FALSE))</f>
        <v/>
      </c>
      <c r="G231" s="291" t="str">
        <f>IFERROR(VLOOKUP(F231,'G-7 WaterC'' Data'!$C$4:$D$8,2,FALSE),"")</f>
        <v/>
      </c>
      <c r="H231" s="38"/>
      <c r="I231" s="291" t="str">
        <f>IFERROR(INDEX('G-7 WaterC'' Data'!$H$4:$L$8,MATCH(D231,'G-7 WaterC'' Data'!$B$4:$B$8,0),MATCH(H231,'G-7 WaterC'' Data'!$H$3:$L$3,0)),"")</f>
        <v/>
      </c>
      <c r="J231" s="777"/>
      <c r="K231" s="325" t="str">
        <f>IF(J231="","",IF(VLOOKUP(J231,'G-7 WaterC'' Data'!$AK$4:$AM$6,2,FALSE)=0,"Spatial Data Missing ⚠",VLOOKUP(J231,'G-7 WaterC'' Data'!$AK$4:$AM$6,2,FALSE)))</f>
        <v/>
      </c>
      <c r="L231" s="296" t="str">
        <f>IF(J231="","",IF(VLOOKUP(J231,'G-7 WaterC'' Data'!$AK$4:$AM$9,3,FALSE)=0,"Spatial Data Missing ⚠",VLOOKUP(J231,'G-7 WaterC'' Data'!$AK$4:$AM$6,3,FALSE)))</f>
        <v/>
      </c>
      <c r="M231" s="38"/>
      <c r="N231" s="291" t="str">
        <f>IF(M231="","",IF(AND(D231&lt;&gt;"Culvert",M231="N/A - Culvert"),"Not possible ▲",IF(AND(D231="Culvert",M231&lt;&gt;"N/A - Culvert"),"Not possible ▲",IF(VLOOKUP(M231,'G-7 WaterC'' Data'!$AA$4:$AB$7,2,FALSE)=0,"Spatial Data Missing ⚠",VLOOKUP(M231,'G-7 WaterC'' Data'!$AA$4:$AB$7,2,FALSE)))))</f>
        <v/>
      </c>
      <c r="O231" s="44"/>
      <c r="P231" s="291" t="str">
        <f>IF(O231="","",IF(AND(O231="N/A - Culvert", D231&lt;&gt;"Culvert"),"Not possible ▲", IF(AND(D231="Culvert",O231&lt;&gt;"N/A - Culvert"),"Not possible ▲",IF(VLOOKUP(O231,'G-7 WaterC'' Data'!$AD$4:$AE$14,2,FALSE)=0,"Spatial Data Missing ⚠",VLOOKUP(O231,'G-7 WaterC'' Data'!$AD$4:$AE$14,2,FALSE)))))</f>
        <v/>
      </c>
      <c r="Q231" s="297" t="str">
        <f>IF(D231="","",VLOOKUP(D231,'G-7 WaterC'' Data'!$B$2:$G$8,6,FALSE))</f>
        <v/>
      </c>
      <c r="R231" s="304" t="str">
        <f>IFERROR(IF(AND(Q231='G-1 All Habitats'!$X$3, AE231&gt;0, U231&lt;=0, V231&lt;=0, OR(AA231="No", AA231="")),"Any Loss Unacceptable ⚠", (IF(AND(Q231='G-1 All Habitats'!$X$3, AE231&gt;0, U231&lt;=0, V231&lt;=0, AA231="Yes"), 0, (IF(AND(Q231='G-1 All Habitats'!$X$3,(U231+V231)&lt;E231, OR(AA231="No", AA231="")),"Any Loss Unacceptable ⚠", (IF(AND(Q231='G-1 All Habitats'!$X$3,(U231+V231)&gt;E231), E231*G231*I231*L231*N231*P231, (IF(Q231="","",IF(AND(Q231='G-1 All Habitats'!$X$3,V231&gt;0),W231+X231,IF(AND(Q231='G-1 All Habitats'!$X$3,U231&gt;0), W231+X231, IF(AND(S231="Yes", V231&gt;(E231-U231)),(E231-U231)*G231*I231*L231*N231*P231, IF(AND(S231="Yes", V231&lt;=(E231-U231)), X231, E231*G231*I231*L231*N231*P231 ))))))))))))),"Check Data ▲")</f>
        <v/>
      </c>
      <c r="S231" s="671" t="str">
        <f t="shared" si="27"/>
        <v/>
      </c>
      <c r="T231" s="17"/>
      <c r="U231" s="95"/>
      <c r="V231" s="106"/>
      <c r="W231" s="302" t="str">
        <f t="shared" si="28"/>
        <v/>
      </c>
      <c r="X231" s="302" t="str">
        <f t="shared" si="29"/>
        <v/>
      </c>
      <c r="Y231" s="302" t="str">
        <f t="shared" si="30"/>
        <v/>
      </c>
      <c r="Z231" s="471" t="str">
        <f t="shared" si="31"/>
        <v/>
      </c>
      <c r="AA231" s="488"/>
      <c r="AB231" s="486"/>
      <c r="AC231" s="101"/>
      <c r="AD231" s="101"/>
      <c r="AE231" s="41" t="str">
        <f>IF(OR(Q231="",AA231="Yes"),"",IF(Q231='G-1 All Habitats'!$X$3,E231-U231-V231,"None"))</f>
        <v/>
      </c>
      <c r="AF231" s="42" t="str">
        <f>IF(Q231="","", IF(Q231='G-1 All Habitats'!$X$3, AE231*G231*I231*L231*N231*P231,"None"))</f>
        <v/>
      </c>
      <c r="AI231" s="15">
        <f t="shared" si="32"/>
        <v>0</v>
      </c>
      <c r="AJ231" s="105" t="str">
        <f t="shared" si="33"/>
        <v/>
      </c>
      <c r="AK231" s="105" t="str">
        <f t="shared" si="34"/>
        <v/>
      </c>
      <c r="AM231" s="105">
        <v>222</v>
      </c>
      <c r="AO231" s="105" t="str">
        <f t="array" ref="AO231">IFERROR(INDEX($AM$10:$AM$258, MATCH(0, IF(TRUE=$AJ$10:$AJ$258, COUNTIF($AO$9:$AO230, $AM$10:$AM$258), ""), 0)),"")</f>
        <v/>
      </c>
      <c r="AP231" s="105" t="str">
        <f t="array" ref="AP231">IFERROR(INDEX($AM$10:$AM$258, MATCH(0, IF(TRUE=$AK$10:$AK$258, COUNTIF($AP$9:$AP230, $AM$10:$AM$258), ""), 0)),"")</f>
        <v/>
      </c>
      <c r="AR231" s="15" t="str">
        <f>IFERROR(INDEX('G-7 WaterC'' Data'!$AZ$3:$AZ$7,MATCH(D231,'G-7 WaterC'' Data'!$AY$3:$AY$7,0)),"")</f>
        <v/>
      </c>
      <c r="AS231" s="15" t="str">
        <f>IFERROR(INDEX('G-7 WaterC'' Data'!AZ231:AZ235,MATCH(D231,'G-7 WaterC'' Data'!$AY$10:$AY$14,0)),"")</f>
        <v/>
      </c>
      <c r="AU231" s="15" t="str">
        <f>IF(D231="","",VLOOKUP(D231,'G-7 WaterC'' Data'!B$4:M$8,12,FALSE))</f>
        <v/>
      </c>
      <c r="AV231" s="15" t="str">
        <f t="shared" si="35"/>
        <v/>
      </c>
    </row>
    <row r="232" spans="3:48" ht="14" x14ac:dyDescent="0.3">
      <c r="C232" s="92">
        <v>223</v>
      </c>
      <c r="D232" s="271"/>
      <c r="E232" s="120"/>
      <c r="F232" s="290" t="str">
        <f>IF(D232="","",VLOOKUP(D232,'G-7 WaterC'' Data'!$B$2:$G$8,2,FALSE))</f>
        <v/>
      </c>
      <c r="G232" s="291" t="str">
        <f>IFERROR(VLOOKUP(F232,'G-7 WaterC'' Data'!$C$4:$D$8,2,FALSE),"")</f>
        <v/>
      </c>
      <c r="H232" s="38"/>
      <c r="I232" s="291" t="str">
        <f>IFERROR(INDEX('G-7 WaterC'' Data'!$H$4:$L$8,MATCH(D232,'G-7 WaterC'' Data'!$B$4:$B$8,0),MATCH(H232,'G-7 WaterC'' Data'!$H$3:$L$3,0)),"")</f>
        <v/>
      </c>
      <c r="J232" s="777"/>
      <c r="K232" s="325" t="str">
        <f>IF(J232="","",IF(VLOOKUP(J232,'G-7 WaterC'' Data'!$AK$4:$AM$6,2,FALSE)=0,"Spatial Data Missing ⚠",VLOOKUP(J232,'G-7 WaterC'' Data'!$AK$4:$AM$6,2,FALSE)))</f>
        <v/>
      </c>
      <c r="L232" s="296" t="str">
        <f>IF(J232="","",IF(VLOOKUP(J232,'G-7 WaterC'' Data'!$AK$4:$AM$9,3,FALSE)=0,"Spatial Data Missing ⚠",VLOOKUP(J232,'G-7 WaterC'' Data'!$AK$4:$AM$6,3,FALSE)))</f>
        <v/>
      </c>
      <c r="M232" s="38"/>
      <c r="N232" s="291" t="str">
        <f>IF(M232="","",IF(AND(D232&lt;&gt;"Culvert",M232="N/A - Culvert"),"Not possible ▲",IF(AND(D232="Culvert",M232&lt;&gt;"N/A - Culvert"),"Not possible ▲",IF(VLOOKUP(M232,'G-7 WaterC'' Data'!$AA$4:$AB$7,2,FALSE)=0,"Spatial Data Missing ⚠",VLOOKUP(M232,'G-7 WaterC'' Data'!$AA$4:$AB$7,2,FALSE)))))</f>
        <v/>
      </c>
      <c r="O232" s="44"/>
      <c r="P232" s="291" t="str">
        <f>IF(O232="","",IF(AND(O232="N/A - Culvert", D232&lt;&gt;"Culvert"),"Not possible ▲", IF(AND(D232="Culvert",O232&lt;&gt;"N/A - Culvert"),"Not possible ▲",IF(VLOOKUP(O232,'G-7 WaterC'' Data'!$AD$4:$AE$14,2,FALSE)=0,"Spatial Data Missing ⚠",VLOOKUP(O232,'G-7 WaterC'' Data'!$AD$4:$AE$14,2,FALSE)))))</f>
        <v/>
      </c>
      <c r="Q232" s="297" t="str">
        <f>IF(D232="","",VLOOKUP(D232,'G-7 WaterC'' Data'!$B$2:$G$8,6,FALSE))</f>
        <v/>
      </c>
      <c r="R232" s="304" t="str">
        <f>IFERROR(IF(AND(Q232='G-1 All Habitats'!$X$3, AE232&gt;0, U232&lt;=0, V232&lt;=0, OR(AA232="No", AA232="")),"Any Loss Unacceptable ⚠", (IF(AND(Q232='G-1 All Habitats'!$X$3, AE232&gt;0, U232&lt;=0, V232&lt;=0, AA232="Yes"), 0, (IF(AND(Q232='G-1 All Habitats'!$X$3,(U232+V232)&lt;E232, OR(AA232="No", AA232="")),"Any Loss Unacceptable ⚠", (IF(AND(Q232='G-1 All Habitats'!$X$3,(U232+V232)&gt;E232), E232*G232*I232*L232*N232*P232, (IF(Q232="","",IF(AND(Q232='G-1 All Habitats'!$X$3,V232&gt;0),W232+X232,IF(AND(Q232='G-1 All Habitats'!$X$3,U232&gt;0), W232+X232, IF(AND(S232="Yes", V232&gt;(E232-U232)),(E232-U232)*G232*I232*L232*N232*P232, IF(AND(S232="Yes", V232&lt;=(E232-U232)), X232, E232*G232*I232*L232*N232*P232 ))))))))))))),"Check Data ▲")</f>
        <v/>
      </c>
      <c r="S232" s="671" t="str">
        <f t="shared" si="27"/>
        <v/>
      </c>
      <c r="T232" s="17"/>
      <c r="U232" s="95"/>
      <c r="V232" s="106"/>
      <c r="W232" s="302" t="str">
        <f t="shared" si="28"/>
        <v/>
      </c>
      <c r="X232" s="302" t="str">
        <f t="shared" si="29"/>
        <v/>
      </c>
      <c r="Y232" s="302" t="str">
        <f t="shared" si="30"/>
        <v/>
      </c>
      <c r="Z232" s="471" t="str">
        <f t="shared" si="31"/>
        <v/>
      </c>
      <c r="AA232" s="488"/>
      <c r="AB232" s="486"/>
      <c r="AC232" s="101"/>
      <c r="AD232" s="101"/>
      <c r="AE232" s="41" t="str">
        <f>IF(OR(Q232="",AA232="Yes"),"",IF(Q232='G-1 All Habitats'!$X$3,E232-U232-V232,"None"))</f>
        <v/>
      </c>
      <c r="AF232" s="42" t="str">
        <f>IF(Q232="","", IF(Q232='G-1 All Habitats'!$X$3, AE232*G232*I232*L232*N232*P232,"None"))</f>
        <v/>
      </c>
      <c r="AI232" s="15">
        <f t="shared" si="32"/>
        <v>0</v>
      </c>
      <c r="AJ232" s="105" t="str">
        <f t="shared" si="33"/>
        <v/>
      </c>
      <c r="AK232" s="105" t="str">
        <f t="shared" si="34"/>
        <v/>
      </c>
      <c r="AM232" s="105">
        <v>223</v>
      </c>
      <c r="AO232" s="105" t="str">
        <f t="array" ref="AO232">IFERROR(INDEX($AM$10:$AM$258, MATCH(0, IF(TRUE=$AJ$10:$AJ$258, COUNTIF($AO$9:$AO231, $AM$10:$AM$258), ""), 0)),"")</f>
        <v/>
      </c>
      <c r="AP232" s="105" t="str">
        <f t="array" ref="AP232">IFERROR(INDEX($AM$10:$AM$258, MATCH(0, IF(TRUE=$AK$10:$AK$258, COUNTIF($AP$9:$AP231, $AM$10:$AM$258), ""), 0)),"")</f>
        <v/>
      </c>
      <c r="AR232" s="15" t="str">
        <f>IFERROR(INDEX('G-7 WaterC'' Data'!$AZ$3:$AZ$7,MATCH(D232,'G-7 WaterC'' Data'!$AY$3:$AY$7,0)),"")</f>
        <v/>
      </c>
      <c r="AS232" s="15" t="str">
        <f>IFERROR(INDEX('G-7 WaterC'' Data'!AZ232:AZ236,MATCH(D232,'G-7 WaterC'' Data'!$AY$10:$AY$14,0)),"")</f>
        <v/>
      </c>
      <c r="AU232" s="15" t="str">
        <f>IF(D232="","",VLOOKUP(D232,'G-7 WaterC'' Data'!B$4:M$8,12,FALSE))</f>
        <v/>
      </c>
      <c r="AV232" s="15" t="str">
        <f t="shared" si="35"/>
        <v/>
      </c>
    </row>
    <row r="233" spans="3:48" ht="14" x14ac:dyDescent="0.3">
      <c r="C233" s="92">
        <v>224</v>
      </c>
      <c r="D233" s="271"/>
      <c r="E233" s="120"/>
      <c r="F233" s="290" t="str">
        <f>IF(D233="","",VLOOKUP(D233,'G-7 WaterC'' Data'!$B$2:$G$8,2,FALSE))</f>
        <v/>
      </c>
      <c r="G233" s="291" t="str">
        <f>IFERROR(VLOOKUP(F233,'G-7 WaterC'' Data'!$C$4:$D$8,2,FALSE),"")</f>
        <v/>
      </c>
      <c r="H233" s="38"/>
      <c r="I233" s="291" t="str">
        <f>IFERROR(INDEX('G-7 WaterC'' Data'!$H$4:$L$8,MATCH(D233,'G-7 WaterC'' Data'!$B$4:$B$8,0),MATCH(H233,'G-7 WaterC'' Data'!$H$3:$L$3,0)),"")</f>
        <v/>
      </c>
      <c r="J233" s="777"/>
      <c r="K233" s="325" t="str">
        <f>IF(J233="","",IF(VLOOKUP(J233,'G-7 WaterC'' Data'!$AK$4:$AM$6,2,FALSE)=0,"Spatial Data Missing ⚠",VLOOKUP(J233,'G-7 WaterC'' Data'!$AK$4:$AM$6,2,FALSE)))</f>
        <v/>
      </c>
      <c r="L233" s="296" t="str">
        <f>IF(J233="","",IF(VLOOKUP(J233,'G-7 WaterC'' Data'!$AK$4:$AM$9,3,FALSE)=0,"Spatial Data Missing ⚠",VLOOKUP(J233,'G-7 WaterC'' Data'!$AK$4:$AM$6,3,FALSE)))</f>
        <v/>
      </c>
      <c r="M233" s="38"/>
      <c r="N233" s="291" t="str">
        <f>IF(M233="","",IF(AND(D233&lt;&gt;"Culvert",M233="N/A - Culvert"),"Not possible ▲",IF(AND(D233="Culvert",M233&lt;&gt;"N/A - Culvert"),"Not possible ▲",IF(VLOOKUP(M233,'G-7 WaterC'' Data'!$AA$4:$AB$7,2,FALSE)=0,"Spatial Data Missing ⚠",VLOOKUP(M233,'G-7 WaterC'' Data'!$AA$4:$AB$7,2,FALSE)))))</f>
        <v/>
      </c>
      <c r="O233" s="44"/>
      <c r="P233" s="291" t="str">
        <f>IF(O233="","",IF(AND(O233="N/A - Culvert", D233&lt;&gt;"Culvert"),"Not possible ▲", IF(AND(D233="Culvert",O233&lt;&gt;"N/A - Culvert"),"Not possible ▲",IF(VLOOKUP(O233,'G-7 WaterC'' Data'!$AD$4:$AE$14,2,FALSE)=0,"Spatial Data Missing ⚠",VLOOKUP(O233,'G-7 WaterC'' Data'!$AD$4:$AE$14,2,FALSE)))))</f>
        <v/>
      </c>
      <c r="Q233" s="297" t="str">
        <f>IF(D233="","",VLOOKUP(D233,'G-7 WaterC'' Data'!$B$2:$G$8,6,FALSE))</f>
        <v/>
      </c>
      <c r="R233" s="304" t="str">
        <f>IFERROR(IF(AND(Q233='G-1 All Habitats'!$X$3, AE233&gt;0, U233&lt;=0, V233&lt;=0, OR(AA233="No", AA233="")),"Any Loss Unacceptable ⚠", (IF(AND(Q233='G-1 All Habitats'!$X$3, AE233&gt;0, U233&lt;=0, V233&lt;=0, AA233="Yes"), 0, (IF(AND(Q233='G-1 All Habitats'!$X$3,(U233+V233)&lt;E233, OR(AA233="No", AA233="")),"Any Loss Unacceptable ⚠", (IF(AND(Q233='G-1 All Habitats'!$X$3,(U233+V233)&gt;E233), E233*G233*I233*L233*N233*P233, (IF(Q233="","",IF(AND(Q233='G-1 All Habitats'!$X$3,V233&gt;0),W233+X233,IF(AND(Q233='G-1 All Habitats'!$X$3,U233&gt;0), W233+X233, IF(AND(S233="Yes", V233&gt;(E233-U233)),(E233-U233)*G233*I233*L233*N233*P233, IF(AND(S233="Yes", V233&lt;=(E233-U233)), X233, E233*G233*I233*L233*N233*P233 ))))))))))))),"Check Data ▲")</f>
        <v/>
      </c>
      <c r="S233" s="671" t="str">
        <f t="shared" si="27"/>
        <v/>
      </c>
      <c r="T233" s="17"/>
      <c r="U233" s="95"/>
      <c r="V233" s="106"/>
      <c r="W233" s="302" t="str">
        <f t="shared" si="28"/>
        <v/>
      </c>
      <c r="X233" s="302" t="str">
        <f t="shared" si="29"/>
        <v/>
      </c>
      <c r="Y233" s="302" t="str">
        <f t="shared" si="30"/>
        <v/>
      </c>
      <c r="Z233" s="471" t="str">
        <f t="shared" si="31"/>
        <v/>
      </c>
      <c r="AA233" s="488"/>
      <c r="AB233" s="486"/>
      <c r="AC233" s="101"/>
      <c r="AD233" s="101"/>
      <c r="AE233" s="41" t="str">
        <f>IF(OR(Q233="",AA233="Yes"),"",IF(Q233='G-1 All Habitats'!$X$3,E233-U233-V233,"None"))</f>
        <v/>
      </c>
      <c r="AF233" s="42" t="str">
        <f>IF(Q233="","", IF(Q233='G-1 All Habitats'!$X$3, AE233*G233*I233*L233*N233*P233,"None"))</f>
        <v/>
      </c>
      <c r="AI233" s="15">
        <f t="shared" si="32"/>
        <v>0</v>
      </c>
      <c r="AJ233" s="105" t="str">
        <f t="shared" si="33"/>
        <v/>
      </c>
      <c r="AK233" s="105" t="str">
        <f t="shared" si="34"/>
        <v/>
      </c>
      <c r="AM233" s="105">
        <v>224</v>
      </c>
      <c r="AO233" s="105" t="str">
        <f t="array" ref="AO233">IFERROR(INDEX($AM$10:$AM$258, MATCH(0, IF(TRUE=$AJ$10:$AJ$258, COUNTIF($AO$9:$AO232, $AM$10:$AM$258), ""), 0)),"")</f>
        <v/>
      </c>
      <c r="AP233" s="105" t="str">
        <f t="array" ref="AP233">IFERROR(INDEX($AM$10:$AM$258, MATCH(0, IF(TRUE=$AK$10:$AK$258, COUNTIF($AP$9:$AP232, $AM$10:$AM$258), ""), 0)),"")</f>
        <v/>
      </c>
      <c r="AR233" s="15" t="str">
        <f>IFERROR(INDEX('G-7 WaterC'' Data'!$AZ$3:$AZ$7,MATCH(D233,'G-7 WaterC'' Data'!$AY$3:$AY$7,0)),"")</f>
        <v/>
      </c>
      <c r="AS233" s="15" t="str">
        <f>IFERROR(INDEX('G-7 WaterC'' Data'!AZ233:AZ237,MATCH(D233,'G-7 WaterC'' Data'!$AY$10:$AY$14,0)),"")</f>
        <v/>
      </c>
      <c r="AU233" s="15" t="str">
        <f>IF(D233="","",VLOOKUP(D233,'G-7 WaterC'' Data'!B$4:M$8,12,FALSE))</f>
        <v/>
      </c>
      <c r="AV233" s="15" t="str">
        <f t="shared" si="35"/>
        <v/>
      </c>
    </row>
    <row r="234" spans="3:48" ht="14" x14ac:dyDescent="0.3">
      <c r="C234" s="92">
        <v>225</v>
      </c>
      <c r="D234" s="271"/>
      <c r="E234" s="120"/>
      <c r="F234" s="290" t="str">
        <f>IF(D234="","",VLOOKUP(D234,'G-7 WaterC'' Data'!$B$2:$G$8,2,FALSE))</f>
        <v/>
      </c>
      <c r="G234" s="291" t="str">
        <f>IFERROR(VLOOKUP(F234,'G-7 WaterC'' Data'!$C$4:$D$8,2,FALSE),"")</f>
        <v/>
      </c>
      <c r="H234" s="38"/>
      <c r="I234" s="291" t="str">
        <f>IFERROR(INDEX('G-7 WaterC'' Data'!$H$4:$L$8,MATCH(D234,'G-7 WaterC'' Data'!$B$4:$B$8,0),MATCH(H234,'G-7 WaterC'' Data'!$H$3:$L$3,0)),"")</f>
        <v/>
      </c>
      <c r="J234" s="777"/>
      <c r="K234" s="325" t="str">
        <f>IF(J234="","",IF(VLOOKUP(J234,'G-7 WaterC'' Data'!$AK$4:$AM$6,2,FALSE)=0,"Spatial Data Missing ⚠",VLOOKUP(J234,'G-7 WaterC'' Data'!$AK$4:$AM$6,2,FALSE)))</f>
        <v/>
      </c>
      <c r="L234" s="296" t="str">
        <f>IF(J234="","",IF(VLOOKUP(J234,'G-7 WaterC'' Data'!$AK$4:$AM$9,3,FALSE)=0,"Spatial Data Missing ⚠",VLOOKUP(J234,'G-7 WaterC'' Data'!$AK$4:$AM$6,3,FALSE)))</f>
        <v/>
      </c>
      <c r="M234" s="38"/>
      <c r="N234" s="291" t="str">
        <f>IF(M234="","",IF(AND(D234&lt;&gt;"Culvert",M234="N/A - Culvert"),"Not possible ▲",IF(AND(D234="Culvert",M234&lt;&gt;"N/A - Culvert"),"Not possible ▲",IF(VLOOKUP(M234,'G-7 WaterC'' Data'!$AA$4:$AB$7,2,FALSE)=0,"Spatial Data Missing ⚠",VLOOKUP(M234,'G-7 WaterC'' Data'!$AA$4:$AB$7,2,FALSE)))))</f>
        <v/>
      </c>
      <c r="O234" s="44"/>
      <c r="P234" s="291" t="str">
        <f>IF(O234="","",IF(AND(O234="N/A - Culvert", D234&lt;&gt;"Culvert"),"Not possible ▲", IF(AND(D234="Culvert",O234&lt;&gt;"N/A - Culvert"),"Not possible ▲",IF(VLOOKUP(O234,'G-7 WaterC'' Data'!$AD$4:$AE$14,2,FALSE)=0,"Spatial Data Missing ⚠",VLOOKUP(O234,'G-7 WaterC'' Data'!$AD$4:$AE$14,2,FALSE)))))</f>
        <v/>
      </c>
      <c r="Q234" s="297" t="str">
        <f>IF(D234="","",VLOOKUP(D234,'G-7 WaterC'' Data'!$B$2:$G$8,6,FALSE))</f>
        <v/>
      </c>
      <c r="R234" s="304" t="str">
        <f>IFERROR(IF(AND(Q234='G-1 All Habitats'!$X$3, AE234&gt;0, U234&lt;=0, V234&lt;=0, OR(AA234="No", AA234="")),"Any Loss Unacceptable ⚠", (IF(AND(Q234='G-1 All Habitats'!$X$3, AE234&gt;0, U234&lt;=0, V234&lt;=0, AA234="Yes"), 0, (IF(AND(Q234='G-1 All Habitats'!$X$3,(U234+V234)&lt;E234, OR(AA234="No", AA234="")),"Any Loss Unacceptable ⚠", (IF(AND(Q234='G-1 All Habitats'!$X$3,(U234+V234)&gt;E234), E234*G234*I234*L234*N234*P234, (IF(Q234="","",IF(AND(Q234='G-1 All Habitats'!$X$3,V234&gt;0),W234+X234,IF(AND(Q234='G-1 All Habitats'!$X$3,U234&gt;0), W234+X234, IF(AND(S234="Yes", V234&gt;(E234-U234)),(E234-U234)*G234*I234*L234*N234*P234, IF(AND(S234="Yes", V234&lt;=(E234-U234)), X234, E234*G234*I234*L234*N234*P234 ))))))))))))),"Check Data ▲")</f>
        <v/>
      </c>
      <c r="S234" s="671" t="str">
        <f t="shared" si="27"/>
        <v/>
      </c>
      <c r="T234" s="17"/>
      <c r="U234" s="95"/>
      <c r="V234" s="106"/>
      <c r="W234" s="302" t="str">
        <f t="shared" si="28"/>
        <v/>
      </c>
      <c r="X234" s="302" t="str">
        <f t="shared" si="29"/>
        <v/>
      </c>
      <c r="Y234" s="302" t="str">
        <f t="shared" si="30"/>
        <v/>
      </c>
      <c r="Z234" s="471" t="str">
        <f t="shared" si="31"/>
        <v/>
      </c>
      <c r="AA234" s="488"/>
      <c r="AB234" s="486"/>
      <c r="AC234" s="101"/>
      <c r="AD234" s="101"/>
      <c r="AE234" s="41" t="str">
        <f>IF(OR(Q234="",AA234="Yes"),"",IF(Q234='G-1 All Habitats'!$X$3,E234-U234-V234,"None"))</f>
        <v/>
      </c>
      <c r="AF234" s="42" t="str">
        <f>IF(Q234="","", IF(Q234='G-1 All Habitats'!$X$3, AE234*G234*I234*L234*N234*P234,"None"))</f>
        <v/>
      </c>
      <c r="AI234" s="15">
        <f t="shared" si="32"/>
        <v>0</v>
      </c>
      <c r="AJ234" s="105" t="str">
        <f t="shared" si="33"/>
        <v/>
      </c>
      <c r="AK234" s="105" t="str">
        <f t="shared" si="34"/>
        <v/>
      </c>
      <c r="AM234" s="105">
        <v>225</v>
      </c>
      <c r="AO234" s="105" t="str">
        <f t="array" ref="AO234">IFERROR(INDEX($AM$10:$AM$258, MATCH(0, IF(TRUE=$AJ$10:$AJ$258, COUNTIF($AO$9:$AO233, $AM$10:$AM$258), ""), 0)),"")</f>
        <v/>
      </c>
      <c r="AP234" s="105" t="str">
        <f t="array" ref="AP234">IFERROR(INDEX($AM$10:$AM$258, MATCH(0, IF(TRUE=$AK$10:$AK$258, COUNTIF($AP$9:$AP233, $AM$10:$AM$258), ""), 0)),"")</f>
        <v/>
      </c>
      <c r="AR234" s="15" t="str">
        <f>IFERROR(INDEX('G-7 WaterC'' Data'!$AZ$3:$AZ$7,MATCH(D234,'G-7 WaterC'' Data'!$AY$3:$AY$7,0)),"")</f>
        <v/>
      </c>
      <c r="AS234" s="15" t="str">
        <f>IFERROR(INDEX('G-7 WaterC'' Data'!AZ234:AZ238,MATCH(D234,'G-7 WaterC'' Data'!$AY$10:$AY$14,0)),"")</f>
        <v/>
      </c>
      <c r="AU234" s="15" t="str">
        <f>IF(D234="","",VLOOKUP(D234,'G-7 WaterC'' Data'!B$4:M$8,12,FALSE))</f>
        <v/>
      </c>
      <c r="AV234" s="15" t="str">
        <f t="shared" si="35"/>
        <v/>
      </c>
    </row>
    <row r="235" spans="3:48" ht="14" x14ac:dyDescent="0.3">
      <c r="C235" s="92">
        <v>226</v>
      </c>
      <c r="D235" s="271"/>
      <c r="E235" s="120"/>
      <c r="F235" s="290" t="str">
        <f>IF(D235="","",VLOOKUP(D235,'G-7 WaterC'' Data'!$B$2:$G$8,2,FALSE))</f>
        <v/>
      </c>
      <c r="G235" s="291" t="str">
        <f>IFERROR(VLOOKUP(F235,'G-7 WaterC'' Data'!$C$4:$D$8,2,FALSE),"")</f>
        <v/>
      </c>
      <c r="H235" s="38"/>
      <c r="I235" s="291" t="str">
        <f>IFERROR(INDEX('G-7 WaterC'' Data'!$H$4:$L$8,MATCH(D235,'G-7 WaterC'' Data'!$B$4:$B$8,0),MATCH(H235,'G-7 WaterC'' Data'!$H$3:$L$3,0)),"")</f>
        <v/>
      </c>
      <c r="J235" s="777"/>
      <c r="K235" s="325" t="str">
        <f>IF(J235="","",IF(VLOOKUP(J235,'G-7 WaterC'' Data'!$AK$4:$AM$6,2,FALSE)=0,"Spatial Data Missing ⚠",VLOOKUP(J235,'G-7 WaterC'' Data'!$AK$4:$AM$6,2,FALSE)))</f>
        <v/>
      </c>
      <c r="L235" s="296" t="str">
        <f>IF(J235="","",IF(VLOOKUP(J235,'G-7 WaterC'' Data'!$AK$4:$AM$9,3,FALSE)=0,"Spatial Data Missing ⚠",VLOOKUP(J235,'G-7 WaterC'' Data'!$AK$4:$AM$6,3,FALSE)))</f>
        <v/>
      </c>
      <c r="M235" s="38"/>
      <c r="N235" s="291" t="str">
        <f>IF(M235="","",IF(AND(D235&lt;&gt;"Culvert",M235="N/A - Culvert"),"Not possible ▲",IF(AND(D235="Culvert",M235&lt;&gt;"N/A - Culvert"),"Not possible ▲",IF(VLOOKUP(M235,'G-7 WaterC'' Data'!$AA$4:$AB$7,2,FALSE)=0,"Spatial Data Missing ⚠",VLOOKUP(M235,'G-7 WaterC'' Data'!$AA$4:$AB$7,2,FALSE)))))</f>
        <v/>
      </c>
      <c r="O235" s="44"/>
      <c r="P235" s="291" t="str">
        <f>IF(O235="","",IF(AND(O235="N/A - Culvert", D235&lt;&gt;"Culvert"),"Not possible ▲", IF(AND(D235="Culvert",O235&lt;&gt;"N/A - Culvert"),"Not possible ▲",IF(VLOOKUP(O235,'G-7 WaterC'' Data'!$AD$4:$AE$14,2,FALSE)=0,"Spatial Data Missing ⚠",VLOOKUP(O235,'G-7 WaterC'' Data'!$AD$4:$AE$14,2,FALSE)))))</f>
        <v/>
      </c>
      <c r="Q235" s="297" t="str">
        <f>IF(D235="","",VLOOKUP(D235,'G-7 WaterC'' Data'!$B$2:$G$8,6,FALSE))</f>
        <v/>
      </c>
      <c r="R235" s="304" t="str">
        <f>IFERROR(IF(AND(Q235='G-1 All Habitats'!$X$3, AE235&gt;0, U235&lt;=0, V235&lt;=0, OR(AA235="No", AA235="")),"Any Loss Unacceptable ⚠", (IF(AND(Q235='G-1 All Habitats'!$X$3, AE235&gt;0, U235&lt;=0, V235&lt;=0, AA235="Yes"), 0, (IF(AND(Q235='G-1 All Habitats'!$X$3,(U235+V235)&lt;E235, OR(AA235="No", AA235="")),"Any Loss Unacceptable ⚠", (IF(AND(Q235='G-1 All Habitats'!$X$3,(U235+V235)&gt;E235), E235*G235*I235*L235*N235*P235, (IF(Q235="","",IF(AND(Q235='G-1 All Habitats'!$X$3,V235&gt;0),W235+X235,IF(AND(Q235='G-1 All Habitats'!$X$3,U235&gt;0), W235+X235, IF(AND(S235="Yes", V235&gt;(E235-U235)),(E235-U235)*G235*I235*L235*N235*P235, IF(AND(S235="Yes", V235&lt;=(E235-U235)), X235, E235*G235*I235*L235*N235*P235 ))))))))))))),"Check Data ▲")</f>
        <v/>
      </c>
      <c r="S235" s="671" t="str">
        <f t="shared" si="27"/>
        <v/>
      </c>
      <c r="T235" s="17"/>
      <c r="U235" s="95"/>
      <c r="V235" s="106"/>
      <c r="W235" s="302" t="str">
        <f t="shared" si="28"/>
        <v/>
      </c>
      <c r="X235" s="302" t="str">
        <f t="shared" si="29"/>
        <v/>
      </c>
      <c r="Y235" s="302" t="str">
        <f t="shared" si="30"/>
        <v/>
      </c>
      <c r="Z235" s="471" t="str">
        <f t="shared" si="31"/>
        <v/>
      </c>
      <c r="AA235" s="488"/>
      <c r="AB235" s="486"/>
      <c r="AC235" s="101"/>
      <c r="AD235" s="101"/>
      <c r="AE235" s="41" t="str">
        <f>IF(OR(Q235="",AA235="Yes"),"",IF(Q235='G-1 All Habitats'!$X$3,E235-U235-V235,"None"))</f>
        <v/>
      </c>
      <c r="AF235" s="42" t="str">
        <f>IF(Q235="","", IF(Q235='G-1 All Habitats'!$X$3, AE235*G235*I235*L235*N235*P235,"None"))</f>
        <v/>
      </c>
      <c r="AI235" s="15">
        <f t="shared" si="32"/>
        <v>0</v>
      </c>
      <c r="AJ235" s="105" t="str">
        <f t="shared" si="33"/>
        <v/>
      </c>
      <c r="AK235" s="105" t="str">
        <f t="shared" si="34"/>
        <v/>
      </c>
      <c r="AM235" s="105">
        <v>226</v>
      </c>
      <c r="AO235" s="105" t="str">
        <f t="array" ref="AO235">IFERROR(INDEX($AM$10:$AM$258, MATCH(0, IF(TRUE=$AJ$10:$AJ$258, COUNTIF($AO$9:$AO234, $AM$10:$AM$258), ""), 0)),"")</f>
        <v/>
      </c>
      <c r="AP235" s="105" t="str">
        <f t="array" ref="AP235">IFERROR(INDEX($AM$10:$AM$258, MATCH(0, IF(TRUE=$AK$10:$AK$258, COUNTIF($AP$9:$AP234, $AM$10:$AM$258), ""), 0)),"")</f>
        <v/>
      </c>
      <c r="AR235" s="15" t="str">
        <f>IFERROR(INDEX('G-7 WaterC'' Data'!$AZ$3:$AZ$7,MATCH(D235,'G-7 WaterC'' Data'!$AY$3:$AY$7,0)),"")</f>
        <v/>
      </c>
      <c r="AS235" s="15" t="str">
        <f>IFERROR(INDEX('G-7 WaterC'' Data'!AZ235:AZ239,MATCH(D235,'G-7 WaterC'' Data'!$AY$10:$AY$14,0)),"")</f>
        <v/>
      </c>
      <c r="AU235" s="15" t="str">
        <f>IF(D235="","",VLOOKUP(D235,'G-7 WaterC'' Data'!B$4:M$8,12,FALSE))</f>
        <v/>
      </c>
      <c r="AV235" s="15" t="str">
        <f t="shared" si="35"/>
        <v/>
      </c>
    </row>
    <row r="236" spans="3:48" ht="14" x14ac:dyDescent="0.3">
      <c r="C236" s="92">
        <v>227</v>
      </c>
      <c r="D236" s="271"/>
      <c r="E236" s="120"/>
      <c r="F236" s="290" t="str">
        <f>IF(D236="","",VLOOKUP(D236,'G-7 WaterC'' Data'!$B$2:$G$8,2,FALSE))</f>
        <v/>
      </c>
      <c r="G236" s="291" t="str">
        <f>IFERROR(VLOOKUP(F236,'G-7 WaterC'' Data'!$C$4:$D$8,2,FALSE),"")</f>
        <v/>
      </c>
      <c r="H236" s="38"/>
      <c r="I236" s="291" t="str">
        <f>IFERROR(INDEX('G-7 WaterC'' Data'!$H$4:$L$8,MATCH(D236,'G-7 WaterC'' Data'!$B$4:$B$8,0),MATCH(H236,'G-7 WaterC'' Data'!$H$3:$L$3,0)),"")</f>
        <v/>
      </c>
      <c r="J236" s="777"/>
      <c r="K236" s="325" t="str">
        <f>IF(J236="","",IF(VLOOKUP(J236,'G-7 WaterC'' Data'!$AK$4:$AM$6,2,FALSE)=0,"Spatial Data Missing ⚠",VLOOKUP(J236,'G-7 WaterC'' Data'!$AK$4:$AM$6,2,FALSE)))</f>
        <v/>
      </c>
      <c r="L236" s="296" t="str">
        <f>IF(J236="","",IF(VLOOKUP(J236,'G-7 WaterC'' Data'!$AK$4:$AM$9,3,FALSE)=0,"Spatial Data Missing ⚠",VLOOKUP(J236,'G-7 WaterC'' Data'!$AK$4:$AM$6,3,FALSE)))</f>
        <v/>
      </c>
      <c r="M236" s="38"/>
      <c r="N236" s="291" t="str">
        <f>IF(M236="","",IF(AND(D236&lt;&gt;"Culvert",M236="N/A - Culvert"),"Not possible ▲",IF(AND(D236="Culvert",M236&lt;&gt;"N/A - Culvert"),"Not possible ▲",IF(VLOOKUP(M236,'G-7 WaterC'' Data'!$AA$4:$AB$7,2,FALSE)=0,"Spatial Data Missing ⚠",VLOOKUP(M236,'G-7 WaterC'' Data'!$AA$4:$AB$7,2,FALSE)))))</f>
        <v/>
      </c>
      <c r="O236" s="44"/>
      <c r="P236" s="291" t="str">
        <f>IF(O236="","",IF(AND(O236="N/A - Culvert", D236&lt;&gt;"Culvert"),"Not possible ▲", IF(AND(D236="Culvert",O236&lt;&gt;"N/A - Culvert"),"Not possible ▲",IF(VLOOKUP(O236,'G-7 WaterC'' Data'!$AD$4:$AE$14,2,FALSE)=0,"Spatial Data Missing ⚠",VLOOKUP(O236,'G-7 WaterC'' Data'!$AD$4:$AE$14,2,FALSE)))))</f>
        <v/>
      </c>
      <c r="Q236" s="297" t="str">
        <f>IF(D236="","",VLOOKUP(D236,'G-7 WaterC'' Data'!$B$2:$G$8,6,FALSE))</f>
        <v/>
      </c>
      <c r="R236" s="304" t="str">
        <f>IFERROR(IF(AND(Q236='G-1 All Habitats'!$X$3, AE236&gt;0, U236&lt;=0, V236&lt;=0, OR(AA236="No", AA236="")),"Any Loss Unacceptable ⚠", (IF(AND(Q236='G-1 All Habitats'!$X$3, AE236&gt;0, U236&lt;=0, V236&lt;=0, AA236="Yes"), 0, (IF(AND(Q236='G-1 All Habitats'!$X$3,(U236+V236)&lt;E236, OR(AA236="No", AA236="")),"Any Loss Unacceptable ⚠", (IF(AND(Q236='G-1 All Habitats'!$X$3,(U236+V236)&gt;E236), E236*G236*I236*L236*N236*P236, (IF(Q236="","",IF(AND(Q236='G-1 All Habitats'!$X$3,V236&gt;0),W236+X236,IF(AND(Q236='G-1 All Habitats'!$X$3,U236&gt;0), W236+X236, IF(AND(S236="Yes", V236&gt;(E236-U236)),(E236-U236)*G236*I236*L236*N236*P236, IF(AND(S236="Yes", V236&lt;=(E236-U236)), X236, E236*G236*I236*L236*N236*P236 ))))))))))))),"Check Data ▲")</f>
        <v/>
      </c>
      <c r="S236" s="671" t="str">
        <f t="shared" si="27"/>
        <v/>
      </c>
      <c r="T236" s="17"/>
      <c r="U236" s="95"/>
      <c r="V236" s="106"/>
      <c r="W236" s="302" t="str">
        <f t="shared" si="28"/>
        <v/>
      </c>
      <c r="X236" s="302" t="str">
        <f t="shared" si="29"/>
        <v/>
      </c>
      <c r="Y236" s="302" t="str">
        <f t="shared" si="30"/>
        <v/>
      </c>
      <c r="Z236" s="471" t="str">
        <f t="shared" si="31"/>
        <v/>
      </c>
      <c r="AA236" s="488"/>
      <c r="AB236" s="486"/>
      <c r="AC236" s="101"/>
      <c r="AD236" s="101"/>
      <c r="AE236" s="41" t="str">
        <f>IF(OR(Q236="",AA236="Yes"),"",IF(Q236='G-1 All Habitats'!$X$3,E236-U236-V236,"None"))</f>
        <v/>
      </c>
      <c r="AF236" s="42" t="str">
        <f>IF(Q236="","", IF(Q236='G-1 All Habitats'!$X$3, AE236*G236*I236*L236*N236*P236,"None"))</f>
        <v/>
      </c>
      <c r="AI236" s="15">
        <f t="shared" si="32"/>
        <v>0</v>
      </c>
      <c r="AJ236" s="105" t="str">
        <f t="shared" si="33"/>
        <v/>
      </c>
      <c r="AK236" s="105" t="str">
        <f t="shared" si="34"/>
        <v/>
      </c>
      <c r="AM236" s="105">
        <v>227</v>
      </c>
      <c r="AO236" s="105" t="str">
        <f t="array" ref="AO236">IFERROR(INDEX($AM$10:$AM$258, MATCH(0, IF(TRUE=$AJ$10:$AJ$258, COUNTIF($AO$9:$AO235, $AM$10:$AM$258), ""), 0)),"")</f>
        <v/>
      </c>
      <c r="AP236" s="105" t="str">
        <f t="array" ref="AP236">IFERROR(INDEX($AM$10:$AM$258, MATCH(0, IF(TRUE=$AK$10:$AK$258, COUNTIF($AP$9:$AP235, $AM$10:$AM$258), ""), 0)),"")</f>
        <v/>
      </c>
      <c r="AR236" s="15" t="str">
        <f>IFERROR(INDEX('G-7 WaterC'' Data'!$AZ$3:$AZ$7,MATCH(D236,'G-7 WaterC'' Data'!$AY$3:$AY$7,0)),"")</f>
        <v/>
      </c>
      <c r="AS236" s="15" t="str">
        <f>IFERROR(INDEX('G-7 WaterC'' Data'!AZ236:AZ240,MATCH(D236,'G-7 WaterC'' Data'!$AY$10:$AY$14,0)),"")</f>
        <v/>
      </c>
      <c r="AU236" s="15" t="str">
        <f>IF(D236="","",VLOOKUP(D236,'G-7 WaterC'' Data'!B$4:M$8,12,FALSE))</f>
        <v/>
      </c>
      <c r="AV236" s="15" t="str">
        <f t="shared" si="35"/>
        <v/>
      </c>
    </row>
    <row r="237" spans="3:48" ht="14" x14ac:dyDescent="0.3">
      <c r="C237" s="92">
        <v>228</v>
      </c>
      <c r="D237" s="271"/>
      <c r="E237" s="120"/>
      <c r="F237" s="290" t="str">
        <f>IF(D237="","",VLOOKUP(D237,'G-7 WaterC'' Data'!$B$2:$G$8,2,FALSE))</f>
        <v/>
      </c>
      <c r="G237" s="291" t="str">
        <f>IFERROR(VLOOKUP(F237,'G-7 WaterC'' Data'!$C$4:$D$8,2,FALSE),"")</f>
        <v/>
      </c>
      <c r="H237" s="38"/>
      <c r="I237" s="291" t="str">
        <f>IFERROR(INDEX('G-7 WaterC'' Data'!$H$4:$L$8,MATCH(D237,'G-7 WaterC'' Data'!$B$4:$B$8,0),MATCH(H237,'G-7 WaterC'' Data'!$H$3:$L$3,0)),"")</f>
        <v/>
      </c>
      <c r="J237" s="777"/>
      <c r="K237" s="325" t="str">
        <f>IF(J237="","",IF(VLOOKUP(J237,'G-7 WaterC'' Data'!$AK$4:$AM$6,2,FALSE)=0,"Spatial Data Missing ⚠",VLOOKUP(J237,'G-7 WaterC'' Data'!$AK$4:$AM$6,2,FALSE)))</f>
        <v/>
      </c>
      <c r="L237" s="296" t="str">
        <f>IF(J237="","",IF(VLOOKUP(J237,'G-7 WaterC'' Data'!$AK$4:$AM$9,3,FALSE)=0,"Spatial Data Missing ⚠",VLOOKUP(J237,'G-7 WaterC'' Data'!$AK$4:$AM$6,3,FALSE)))</f>
        <v/>
      </c>
      <c r="M237" s="38"/>
      <c r="N237" s="291" t="str">
        <f>IF(M237="","",IF(AND(D237&lt;&gt;"Culvert",M237="N/A - Culvert"),"Not possible ▲",IF(AND(D237="Culvert",M237&lt;&gt;"N/A - Culvert"),"Not possible ▲",IF(VLOOKUP(M237,'G-7 WaterC'' Data'!$AA$4:$AB$7,2,FALSE)=0,"Spatial Data Missing ⚠",VLOOKUP(M237,'G-7 WaterC'' Data'!$AA$4:$AB$7,2,FALSE)))))</f>
        <v/>
      </c>
      <c r="O237" s="44"/>
      <c r="P237" s="291" t="str">
        <f>IF(O237="","",IF(AND(O237="N/A - Culvert", D237&lt;&gt;"Culvert"),"Not possible ▲", IF(AND(D237="Culvert",O237&lt;&gt;"N/A - Culvert"),"Not possible ▲",IF(VLOOKUP(O237,'G-7 WaterC'' Data'!$AD$4:$AE$14,2,FALSE)=0,"Spatial Data Missing ⚠",VLOOKUP(O237,'G-7 WaterC'' Data'!$AD$4:$AE$14,2,FALSE)))))</f>
        <v/>
      </c>
      <c r="Q237" s="297" t="str">
        <f>IF(D237="","",VLOOKUP(D237,'G-7 WaterC'' Data'!$B$2:$G$8,6,FALSE))</f>
        <v/>
      </c>
      <c r="R237" s="304" t="str">
        <f>IFERROR(IF(AND(Q237='G-1 All Habitats'!$X$3, AE237&gt;0, U237&lt;=0, V237&lt;=0, OR(AA237="No", AA237="")),"Any Loss Unacceptable ⚠", (IF(AND(Q237='G-1 All Habitats'!$X$3, AE237&gt;0, U237&lt;=0, V237&lt;=0, AA237="Yes"), 0, (IF(AND(Q237='G-1 All Habitats'!$X$3,(U237+V237)&lt;E237, OR(AA237="No", AA237="")),"Any Loss Unacceptable ⚠", (IF(AND(Q237='G-1 All Habitats'!$X$3,(U237+V237)&gt;E237), E237*G237*I237*L237*N237*P237, (IF(Q237="","",IF(AND(Q237='G-1 All Habitats'!$X$3,V237&gt;0),W237+X237,IF(AND(Q237='G-1 All Habitats'!$X$3,U237&gt;0), W237+X237, IF(AND(S237="Yes", V237&gt;(E237-U237)),(E237-U237)*G237*I237*L237*N237*P237, IF(AND(S237="Yes", V237&lt;=(E237-U237)), X237, E237*G237*I237*L237*N237*P237 ))))))))))))),"Check Data ▲")</f>
        <v/>
      </c>
      <c r="S237" s="671" t="str">
        <f t="shared" si="27"/>
        <v/>
      </c>
      <c r="T237" s="17"/>
      <c r="U237" s="95"/>
      <c r="V237" s="106"/>
      <c r="W237" s="302" t="str">
        <f t="shared" si="28"/>
        <v/>
      </c>
      <c r="X237" s="302" t="str">
        <f t="shared" si="29"/>
        <v/>
      </c>
      <c r="Y237" s="302" t="str">
        <f t="shared" si="30"/>
        <v/>
      </c>
      <c r="Z237" s="471" t="str">
        <f t="shared" si="31"/>
        <v/>
      </c>
      <c r="AA237" s="488"/>
      <c r="AB237" s="486"/>
      <c r="AC237" s="101"/>
      <c r="AD237" s="101"/>
      <c r="AE237" s="41" t="str">
        <f>IF(OR(Q237="",AA237="Yes"),"",IF(Q237='G-1 All Habitats'!$X$3,E237-U237-V237,"None"))</f>
        <v/>
      </c>
      <c r="AF237" s="42" t="str">
        <f>IF(Q237="","", IF(Q237='G-1 All Habitats'!$X$3, AE237*G237*I237*L237*N237*P237,"None"))</f>
        <v/>
      </c>
      <c r="AI237" s="15">
        <f t="shared" si="32"/>
        <v>0</v>
      </c>
      <c r="AJ237" s="105" t="str">
        <f t="shared" si="33"/>
        <v/>
      </c>
      <c r="AK237" s="105" t="str">
        <f t="shared" si="34"/>
        <v/>
      </c>
      <c r="AM237" s="105">
        <v>228</v>
      </c>
      <c r="AO237" s="105" t="str">
        <f t="array" ref="AO237">IFERROR(INDEX($AM$10:$AM$258, MATCH(0, IF(TRUE=$AJ$10:$AJ$258, COUNTIF($AO$9:$AO236, $AM$10:$AM$258), ""), 0)),"")</f>
        <v/>
      </c>
      <c r="AP237" s="105" t="str">
        <f t="array" ref="AP237">IFERROR(INDEX($AM$10:$AM$258, MATCH(0, IF(TRUE=$AK$10:$AK$258, COUNTIF($AP$9:$AP236, $AM$10:$AM$258), ""), 0)),"")</f>
        <v/>
      </c>
      <c r="AR237" s="15" t="str">
        <f>IFERROR(INDEX('G-7 WaterC'' Data'!$AZ$3:$AZ$7,MATCH(D237,'G-7 WaterC'' Data'!$AY$3:$AY$7,0)),"")</f>
        <v/>
      </c>
      <c r="AS237" s="15" t="str">
        <f>IFERROR(INDEX('G-7 WaterC'' Data'!AZ237:AZ241,MATCH(D237,'G-7 WaterC'' Data'!$AY$10:$AY$14,0)),"")</f>
        <v/>
      </c>
      <c r="AU237" s="15" t="str">
        <f>IF(D237="","",VLOOKUP(D237,'G-7 WaterC'' Data'!B$4:M$8,12,FALSE))</f>
        <v/>
      </c>
      <c r="AV237" s="15" t="str">
        <f t="shared" si="35"/>
        <v/>
      </c>
    </row>
    <row r="238" spans="3:48" ht="14" x14ac:dyDescent="0.3">
      <c r="C238" s="92">
        <v>229</v>
      </c>
      <c r="D238" s="271"/>
      <c r="E238" s="120"/>
      <c r="F238" s="290" t="str">
        <f>IF(D238="","",VLOOKUP(D238,'G-7 WaterC'' Data'!$B$2:$G$8,2,FALSE))</f>
        <v/>
      </c>
      <c r="G238" s="291" t="str">
        <f>IFERROR(VLOOKUP(F238,'G-7 WaterC'' Data'!$C$4:$D$8,2,FALSE),"")</f>
        <v/>
      </c>
      <c r="H238" s="38"/>
      <c r="I238" s="291" t="str">
        <f>IFERROR(INDEX('G-7 WaterC'' Data'!$H$4:$L$8,MATCH(D238,'G-7 WaterC'' Data'!$B$4:$B$8,0),MATCH(H238,'G-7 WaterC'' Data'!$H$3:$L$3,0)),"")</f>
        <v/>
      </c>
      <c r="J238" s="777"/>
      <c r="K238" s="325" t="str">
        <f>IF(J238="","",IF(VLOOKUP(J238,'G-7 WaterC'' Data'!$AK$4:$AM$6,2,FALSE)=0,"Spatial Data Missing ⚠",VLOOKUP(J238,'G-7 WaterC'' Data'!$AK$4:$AM$6,2,FALSE)))</f>
        <v/>
      </c>
      <c r="L238" s="296" t="str">
        <f>IF(J238="","",IF(VLOOKUP(J238,'G-7 WaterC'' Data'!$AK$4:$AM$9,3,FALSE)=0,"Spatial Data Missing ⚠",VLOOKUP(J238,'G-7 WaterC'' Data'!$AK$4:$AM$6,3,FALSE)))</f>
        <v/>
      </c>
      <c r="M238" s="38"/>
      <c r="N238" s="291" t="str">
        <f>IF(M238="","",IF(AND(D238&lt;&gt;"Culvert",M238="N/A - Culvert"),"Not possible ▲",IF(AND(D238="Culvert",M238&lt;&gt;"N/A - Culvert"),"Not possible ▲",IF(VLOOKUP(M238,'G-7 WaterC'' Data'!$AA$4:$AB$7,2,FALSE)=0,"Spatial Data Missing ⚠",VLOOKUP(M238,'G-7 WaterC'' Data'!$AA$4:$AB$7,2,FALSE)))))</f>
        <v/>
      </c>
      <c r="O238" s="44"/>
      <c r="P238" s="291" t="str">
        <f>IF(O238="","",IF(AND(O238="N/A - Culvert", D238&lt;&gt;"Culvert"),"Not possible ▲", IF(AND(D238="Culvert",O238&lt;&gt;"N/A - Culvert"),"Not possible ▲",IF(VLOOKUP(O238,'G-7 WaterC'' Data'!$AD$4:$AE$14,2,FALSE)=0,"Spatial Data Missing ⚠",VLOOKUP(O238,'G-7 WaterC'' Data'!$AD$4:$AE$14,2,FALSE)))))</f>
        <v/>
      </c>
      <c r="Q238" s="297" t="str">
        <f>IF(D238="","",VLOOKUP(D238,'G-7 WaterC'' Data'!$B$2:$G$8,6,FALSE))</f>
        <v/>
      </c>
      <c r="R238" s="304" t="str">
        <f>IFERROR(IF(AND(Q238='G-1 All Habitats'!$X$3, AE238&gt;0, U238&lt;=0, V238&lt;=0, OR(AA238="No", AA238="")),"Any Loss Unacceptable ⚠", (IF(AND(Q238='G-1 All Habitats'!$X$3, AE238&gt;0, U238&lt;=0, V238&lt;=0, AA238="Yes"), 0, (IF(AND(Q238='G-1 All Habitats'!$X$3,(U238+V238)&lt;E238, OR(AA238="No", AA238="")),"Any Loss Unacceptable ⚠", (IF(AND(Q238='G-1 All Habitats'!$X$3,(U238+V238)&gt;E238), E238*G238*I238*L238*N238*P238, (IF(Q238="","",IF(AND(Q238='G-1 All Habitats'!$X$3,V238&gt;0),W238+X238,IF(AND(Q238='G-1 All Habitats'!$X$3,U238&gt;0), W238+X238, IF(AND(S238="Yes", V238&gt;(E238-U238)),(E238-U238)*G238*I238*L238*N238*P238, IF(AND(S238="Yes", V238&lt;=(E238-U238)), X238, E238*G238*I238*L238*N238*P238 ))))))))))))),"Check Data ▲")</f>
        <v/>
      </c>
      <c r="S238" s="671" t="str">
        <f t="shared" si="27"/>
        <v/>
      </c>
      <c r="T238" s="17"/>
      <c r="U238" s="95"/>
      <c r="V238" s="106"/>
      <c r="W238" s="302" t="str">
        <f t="shared" si="28"/>
        <v/>
      </c>
      <c r="X238" s="302" t="str">
        <f t="shared" si="29"/>
        <v/>
      </c>
      <c r="Y238" s="302" t="str">
        <f t="shared" si="30"/>
        <v/>
      </c>
      <c r="Z238" s="471" t="str">
        <f t="shared" si="31"/>
        <v/>
      </c>
      <c r="AA238" s="488"/>
      <c r="AB238" s="486"/>
      <c r="AC238" s="101"/>
      <c r="AD238" s="101"/>
      <c r="AE238" s="41" t="str">
        <f>IF(OR(Q238="",AA238="Yes"),"",IF(Q238='G-1 All Habitats'!$X$3,E238-U238-V238,"None"))</f>
        <v/>
      </c>
      <c r="AF238" s="42" t="str">
        <f>IF(Q238="","", IF(Q238='G-1 All Habitats'!$X$3, AE238*G238*I238*L238*N238*P238,"None"))</f>
        <v/>
      </c>
      <c r="AI238" s="15">
        <f t="shared" si="32"/>
        <v>0</v>
      </c>
      <c r="AJ238" s="105" t="str">
        <f t="shared" si="33"/>
        <v/>
      </c>
      <c r="AK238" s="105" t="str">
        <f t="shared" si="34"/>
        <v/>
      </c>
      <c r="AM238" s="105">
        <v>229</v>
      </c>
      <c r="AO238" s="105" t="str">
        <f t="array" ref="AO238">IFERROR(INDEX($AM$10:$AM$258, MATCH(0, IF(TRUE=$AJ$10:$AJ$258, COUNTIF($AO$9:$AO237, $AM$10:$AM$258), ""), 0)),"")</f>
        <v/>
      </c>
      <c r="AP238" s="105" t="str">
        <f t="array" ref="AP238">IFERROR(INDEX($AM$10:$AM$258, MATCH(0, IF(TRUE=$AK$10:$AK$258, COUNTIF($AP$9:$AP237, $AM$10:$AM$258), ""), 0)),"")</f>
        <v/>
      </c>
      <c r="AR238" s="15" t="str">
        <f>IFERROR(INDEX('G-7 WaterC'' Data'!$AZ$3:$AZ$7,MATCH(D238,'G-7 WaterC'' Data'!$AY$3:$AY$7,0)),"")</f>
        <v/>
      </c>
      <c r="AS238" s="15" t="str">
        <f>IFERROR(INDEX('G-7 WaterC'' Data'!AZ238:AZ242,MATCH(D238,'G-7 WaterC'' Data'!$AY$10:$AY$14,0)),"")</f>
        <v/>
      </c>
      <c r="AU238" s="15" t="str">
        <f>IF(D238="","",VLOOKUP(D238,'G-7 WaterC'' Data'!B$4:M$8,12,FALSE))</f>
        <v/>
      </c>
      <c r="AV238" s="15" t="str">
        <f t="shared" si="35"/>
        <v/>
      </c>
    </row>
    <row r="239" spans="3:48" ht="14" x14ac:dyDescent="0.3">
      <c r="C239" s="92">
        <v>230</v>
      </c>
      <c r="D239" s="271"/>
      <c r="E239" s="120"/>
      <c r="F239" s="290" t="str">
        <f>IF(D239="","",VLOOKUP(D239,'G-7 WaterC'' Data'!$B$2:$G$8,2,FALSE))</f>
        <v/>
      </c>
      <c r="G239" s="291" t="str">
        <f>IFERROR(VLOOKUP(F239,'G-7 WaterC'' Data'!$C$4:$D$8,2,FALSE),"")</f>
        <v/>
      </c>
      <c r="H239" s="38"/>
      <c r="I239" s="291" t="str">
        <f>IFERROR(INDEX('G-7 WaterC'' Data'!$H$4:$L$8,MATCH(D239,'G-7 WaterC'' Data'!$B$4:$B$8,0),MATCH(H239,'G-7 WaterC'' Data'!$H$3:$L$3,0)),"")</f>
        <v/>
      </c>
      <c r="J239" s="777"/>
      <c r="K239" s="325" t="str">
        <f>IF(J239="","",IF(VLOOKUP(J239,'G-7 WaterC'' Data'!$AK$4:$AM$6,2,FALSE)=0,"Spatial Data Missing ⚠",VLOOKUP(J239,'G-7 WaterC'' Data'!$AK$4:$AM$6,2,FALSE)))</f>
        <v/>
      </c>
      <c r="L239" s="296" t="str">
        <f>IF(J239="","",IF(VLOOKUP(J239,'G-7 WaterC'' Data'!$AK$4:$AM$9,3,FALSE)=0,"Spatial Data Missing ⚠",VLOOKUP(J239,'G-7 WaterC'' Data'!$AK$4:$AM$6,3,FALSE)))</f>
        <v/>
      </c>
      <c r="M239" s="38"/>
      <c r="N239" s="291" t="str">
        <f>IF(M239="","",IF(AND(D239&lt;&gt;"Culvert",M239="N/A - Culvert"),"Not possible ▲",IF(AND(D239="Culvert",M239&lt;&gt;"N/A - Culvert"),"Not possible ▲",IF(VLOOKUP(M239,'G-7 WaterC'' Data'!$AA$4:$AB$7,2,FALSE)=0,"Spatial Data Missing ⚠",VLOOKUP(M239,'G-7 WaterC'' Data'!$AA$4:$AB$7,2,FALSE)))))</f>
        <v/>
      </c>
      <c r="O239" s="44"/>
      <c r="P239" s="291" t="str">
        <f>IF(O239="","",IF(AND(O239="N/A - Culvert", D239&lt;&gt;"Culvert"),"Not possible ▲", IF(AND(D239="Culvert",O239&lt;&gt;"N/A - Culvert"),"Not possible ▲",IF(VLOOKUP(O239,'G-7 WaterC'' Data'!$AD$4:$AE$14,2,FALSE)=0,"Spatial Data Missing ⚠",VLOOKUP(O239,'G-7 WaterC'' Data'!$AD$4:$AE$14,2,FALSE)))))</f>
        <v/>
      </c>
      <c r="Q239" s="297" t="str">
        <f>IF(D239="","",VLOOKUP(D239,'G-7 WaterC'' Data'!$B$2:$G$8,6,FALSE))</f>
        <v/>
      </c>
      <c r="R239" s="304" t="str">
        <f>IFERROR(IF(AND(Q239='G-1 All Habitats'!$X$3, AE239&gt;0, U239&lt;=0, V239&lt;=0, OR(AA239="No", AA239="")),"Any Loss Unacceptable ⚠", (IF(AND(Q239='G-1 All Habitats'!$X$3, AE239&gt;0, U239&lt;=0, V239&lt;=0, AA239="Yes"), 0, (IF(AND(Q239='G-1 All Habitats'!$X$3,(U239+V239)&lt;E239, OR(AA239="No", AA239="")),"Any Loss Unacceptable ⚠", (IF(AND(Q239='G-1 All Habitats'!$X$3,(U239+V239)&gt;E239), E239*G239*I239*L239*N239*P239, (IF(Q239="","",IF(AND(Q239='G-1 All Habitats'!$X$3,V239&gt;0),W239+X239,IF(AND(Q239='G-1 All Habitats'!$X$3,U239&gt;0), W239+X239, IF(AND(S239="Yes", V239&gt;(E239-U239)),(E239-U239)*G239*I239*L239*N239*P239, IF(AND(S239="Yes", V239&lt;=(E239-U239)), X239, E239*G239*I239*L239*N239*P239 ))))))))))))),"Check Data ▲")</f>
        <v/>
      </c>
      <c r="S239" s="671" t="str">
        <f t="shared" si="27"/>
        <v/>
      </c>
      <c r="T239" s="17"/>
      <c r="U239" s="95"/>
      <c r="V239" s="106"/>
      <c r="W239" s="302" t="str">
        <f t="shared" si="28"/>
        <v/>
      </c>
      <c r="X239" s="302" t="str">
        <f t="shared" si="29"/>
        <v/>
      </c>
      <c r="Y239" s="302" t="str">
        <f t="shared" si="30"/>
        <v/>
      </c>
      <c r="Z239" s="471" t="str">
        <f t="shared" si="31"/>
        <v/>
      </c>
      <c r="AA239" s="488"/>
      <c r="AB239" s="486"/>
      <c r="AC239" s="101"/>
      <c r="AD239" s="101"/>
      <c r="AE239" s="41" t="str">
        <f>IF(OR(Q239="",AA239="Yes"),"",IF(Q239='G-1 All Habitats'!$X$3,E239-U239-V239,"None"))</f>
        <v/>
      </c>
      <c r="AF239" s="42" t="str">
        <f>IF(Q239="","", IF(Q239='G-1 All Habitats'!$X$3, AE239*G239*I239*L239*N239*P239,"None"))</f>
        <v/>
      </c>
      <c r="AI239" s="15">
        <f t="shared" si="32"/>
        <v>0</v>
      </c>
      <c r="AJ239" s="105" t="str">
        <f t="shared" si="33"/>
        <v/>
      </c>
      <c r="AK239" s="105" t="str">
        <f t="shared" si="34"/>
        <v/>
      </c>
      <c r="AM239" s="105">
        <v>230</v>
      </c>
      <c r="AO239" s="105" t="str">
        <f t="array" ref="AO239">IFERROR(INDEX($AM$10:$AM$258, MATCH(0, IF(TRUE=$AJ$10:$AJ$258, COUNTIF($AO$9:$AO238, $AM$10:$AM$258), ""), 0)),"")</f>
        <v/>
      </c>
      <c r="AP239" s="105" t="str">
        <f t="array" ref="AP239">IFERROR(INDEX($AM$10:$AM$258, MATCH(0, IF(TRUE=$AK$10:$AK$258, COUNTIF($AP$9:$AP238, $AM$10:$AM$258), ""), 0)),"")</f>
        <v/>
      </c>
      <c r="AR239" s="15" t="str">
        <f>IFERROR(INDEX('G-7 WaterC'' Data'!$AZ$3:$AZ$7,MATCH(D239,'G-7 WaterC'' Data'!$AY$3:$AY$7,0)),"")</f>
        <v/>
      </c>
      <c r="AS239" s="15" t="str">
        <f>IFERROR(INDEX('G-7 WaterC'' Data'!AZ239:AZ243,MATCH(D239,'G-7 WaterC'' Data'!$AY$10:$AY$14,0)),"")</f>
        <v/>
      </c>
      <c r="AU239" s="15" t="str">
        <f>IF(D239="","",VLOOKUP(D239,'G-7 WaterC'' Data'!B$4:M$8,12,FALSE))</f>
        <v/>
      </c>
      <c r="AV239" s="15" t="str">
        <f t="shared" si="35"/>
        <v/>
      </c>
    </row>
    <row r="240" spans="3:48" ht="14" x14ac:dyDescent="0.3">
      <c r="C240" s="92">
        <v>231</v>
      </c>
      <c r="D240" s="271"/>
      <c r="E240" s="120"/>
      <c r="F240" s="290" t="str">
        <f>IF(D240="","",VLOOKUP(D240,'G-7 WaterC'' Data'!$B$2:$G$8,2,FALSE))</f>
        <v/>
      </c>
      <c r="G240" s="291" t="str">
        <f>IFERROR(VLOOKUP(F240,'G-7 WaterC'' Data'!$C$4:$D$8,2,FALSE),"")</f>
        <v/>
      </c>
      <c r="H240" s="38"/>
      <c r="I240" s="291" t="str">
        <f>IFERROR(INDEX('G-7 WaterC'' Data'!$H$4:$L$8,MATCH(D240,'G-7 WaterC'' Data'!$B$4:$B$8,0),MATCH(H240,'G-7 WaterC'' Data'!$H$3:$L$3,0)),"")</f>
        <v/>
      </c>
      <c r="J240" s="777"/>
      <c r="K240" s="325" t="str">
        <f>IF(J240="","",IF(VLOOKUP(J240,'G-7 WaterC'' Data'!$AK$4:$AM$6,2,FALSE)=0,"Spatial Data Missing ⚠",VLOOKUP(J240,'G-7 WaterC'' Data'!$AK$4:$AM$6,2,FALSE)))</f>
        <v/>
      </c>
      <c r="L240" s="296" t="str">
        <f>IF(J240="","",IF(VLOOKUP(J240,'G-7 WaterC'' Data'!$AK$4:$AM$9,3,FALSE)=0,"Spatial Data Missing ⚠",VLOOKUP(J240,'G-7 WaterC'' Data'!$AK$4:$AM$6,3,FALSE)))</f>
        <v/>
      </c>
      <c r="M240" s="38"/>
      <c r="N240" s="291" t="str">
        <f>IF(M240="","",IF(AND(D240&lt;&gt;"Culvert",M240="N/A - Culvert"),"Not possible ▲",IF(AND(D240="Culvert",M240&lt;&gt;"N/A - Culvert"),"Not possible ▲",IF(VLOOKUP(M240,'G-7 WaterC'' Data'!$AA$4:$AB$7,2,FALSE)=0,"Spatial Data Missing ⚠",VLOOKUP(M240,'G-7 WaterC'' Data'!$AA$4:$AB$7,2,FALSE)))))</f>
        <v/>
      </c>
      <c r="O240" s="44"/>
      <c r="P240" s="291" t="str">
        <f>IF(O240="","",IF(AND(O240="N/A - Culvert", D240&lt;&gt;"Culvert"),"Not possible ▲", IF(AND(D240="Culvert",O240&lt;&gt;"N/A - Culvert"),"Not possible ▲",IF(VLOOKUP(O240,'G-7 WaterC'' Data'!$AD$4:$AE$14,2,FALSE)=0,"Spatial Data Missing ⚠",VLOOKUP(O240,'G-7 WaterC'' Data'!$AD$4:$AE$14,2,FALSE)))))</f>
        <v/>
      </c>
      <c r="Q240" s="297" t="str">
        <f>IF(D240="","",VLOOKUP(D240,'G-7 WaterC'' Data'!$B$2:$G$8,6,FALSE))</f>
        <v/>
      </c>
      <c r="R240" s="304" t="str">
        <f>IFERROR(IF(AND(Q240='G-1 All Habitats'!$X$3, AE240&gt;0, U240&lt;=0, V240&lt;=0, OR(AA240="No", AA240="")),"Any Loss Unacceptable ⚠", (IF(AND(Q240='G-1 All Habitats'!$X$3, AE240&gt;0, U240&lt;=0, V240&lt;=0, AA240="Yes"), 0, (IF(AND(Q240='G-1 All Habitats'!$X$3,(U240+V240)&lt;E240, OR(AA240="No", AA240="")),"Any Loss Unacceptable ⚠", (IF(AND(Q240='G-1 All Habitats'!$X$3,(U240+V240)&gt;E240), E240*G240*I240*L240*N240*P240, (IF(Q240="","",IF(AND(Q240='G-1 All Habitats'!$X$3,V240&gt;0),W240+X240,IF(AND(Q240='G-1 All Habitats'!$X$3,U240&gt;0), W240+X240, IF(AND(S240="Yes", V240&gt;(E240-U240)),(E240-U240)*G240*I240*L240*N240*P240, IF(AND(S240="Yes", V240&lt;=(E240-U240)), X240, E240*G240*I240*L240*N240*P240 ))))))))))))),"Check Data ▲")</f>
        <v/>
      </c>
      <c r="S240" s="671" t="str">
        <f t="shared" si="27"/>
        <v/>
      </c>
      <c r="T240" s="17"/>
      <c r="U240" s="95"/>
      <c r="V240" s="106"/>
      <c r="W240" s="302" t="str">
        <f t="shared" si="28"/>
        <v/>
      </c>
      <c r="X240" s="302" t="str">
        <f t="shared" si="29"/>
        <v/>
      </c>
      <c r="Y240" s="302" t="str">
        <f t="shared" si="30"/>
        <v/>
      </c>
      <c r="Z240" s="471" t="str">
        <f t="shared" si="31"/>
        <v/>
      </c>
      <c r="AA240" s="488"/>
      <c r="AB240" s="486"/>
      <c r="AC240" s="101"/>
      <c r="AD240" s="101"/>
      <c r="AE240" s="41" t="str">
        <f>IF(OR(Q240="",AA240="Yes"),"",IF(Q240='G-1 All Habitats'!$X$3,E240-U240-V240,"None"))</f>
        <v/>
      </c>
      <c r="AF240" s="42" t="str">
        <f>IF(Q240="","", IF(Q240='G-1 All Habitats'!$X$3, AE240*G240*I240*L240*N240*P240,"None"))</f>
        <v/>
      </c>
      <c r="AI240" s="15">
        <f t="shared" si="32"/>
        <v>0</v>
      </c>
      <c r="AJ240" s="105" t="str">
        <f t="shared" si="33"/>
        <v/>
      </c>
      <c r="AK240" s="105" t="str">
        <f t="shared" si="34"/>
        <v/>
      </c>
      <c r="AM240" s="105">
        <v>231</v>
      </c>
      <c r="AO240" s="105" t="str">
        <f t="array" ref="AO240">IFERROR(INDEX($AM$10:$AM$258, MATCH(0, IF(TRUE=$AJ$10:$AJ$258, COUNTIF($AO$9:$AO239, $AM$10:$AM$258), ""), 0)),"")</f>
        <v/>
      </c>
      <c r="AP240" s="105" t="str">
        <f t="array" ref="AP240">IFERROR(INDEX($AM$10:$AM$258, MATCH(0, IF(TRUE=$AK$10:$AK$258, COUNTIF($AP$9:$AP239, $AM$10:$AM$258), ""), 0)),"")</f>
        <v/>
      </c>
      <c r="AR240" s="15" t="str">
        <f>IFERROR(INDEX('G-7 WaterC'' Data'!$AZ$3:$AZ$7,MATCH(D240,'G-7 WaterC'' Data'!$AY$3:$AY$7,0)),"")</f>
        <v/>
      </c>
      <c r="AS240" s="15" t="str">
        <f>IFERROR(INDEX('G-7 WaterC'' Data'!AZ240:AZ244,MATCH(D240,'G-7 WaterC'' Data'!$AY$10:$AY$14,0)),"")</f>
        <v/>
      </c>
      <c r="AU240" s="15" t="str">
        <f>IF(D240="","",VLOOKUP(D240,'G-7 WaterC'' Data'!B$4:M$8,12,FALSE))</f>
        <v/>
      </c>
      <c r="AV240" s="15" t="str">
        <f t="shared" si="35"/>
        <v/>
      </c>
    </row>
    <row r="241" spans="3:48" ht="14" x14ac:dyDescent="0.3">
      <c r="C241" s="92">
        <v>232</v>
      </c>
      <c r="D241" s="271"/>
      <c r="E241" s="120"/>
      <c r="F241" s="290" t="str">
        <f>IF(D241="","",VLOOKUP(D241,'G-7 WaterC'' Data'!$B$2:$G$8,2,FALSE))</f>
        <v/>
      </c>
      <c r="G241" s="291" t="str">
        <f>IFERROR(VLOOKUP(F241,'G-7 WaterC'' Data'!$C$4:$D$8,2,FALSE),"")</f>
        <v/>
      </c>
      <c r="H241" s="38"/>
      <c r="I241" s="291" t="str">
        <f>IFERROR(INDEX('G-7 WaterC'' Data'!$H$4:$L$8,MATCH(D241,'G-7 WaterC'' Data'!$B$4:$B$8,0),MATCH(H241,'G-7 WaterC'' Data'!$H$3:$L$3,0)),"")</f>
        <v/>
      </c>
      <c r="J241" s="777"/>
      <c r="K241" s="325" t="str">
        <f>IF(J241="","",IF(VLOOKUP(J241,'G-7 WaterC'' Data'!$AK$4:$AM$6,2,FALSE)=0,"Spatial Data Missing ⚠",VLOOKUP(J241,'G-7 WaterC'' Data'!$AK$4:$AM$6,2,FALSE)))</f>
        <v/>
      </c>
      <c r="L241" s="296" t="str">
        <f>IF(J241="","",IF(VLOOKUP(J241,'G-7 WaterC'' Data'!$AK$4:$AM$9,3,FALSE)=0,"Spatial Data Missing ⚠",VLOOKUP(J241,'G-7 WaterC'' Data'!$AK$4:$AM$6,3,FALSE)))</f>
        <v/>
      </c>
      <c r="M241" s="38"/>
      <c r="N241" s="291" t="str">
        <f>IF(M241="","",IF(AND(D241&lt;&gt;"Culvert",M241="N/A - Culvert"),"Not possible ▲",IF(AND(D241="Culvert",M241&lt;&gt;"N/A - Culvert"),"Not possible ▲",IF(VLOOKUP(M241,'G-7 WaterC'' Data'!$AA$4:$AB$7,2,FALSE)=0,"Spatial Data Missing ⚠",VLOOKUP(M241,'G-7 WaterC'' Data'!$AA$4:$AB$7,2,FALSE)))))</f>
        <v/>
      </c>
      <c r="O241" s="44"/>
      <c r="P241" s="291" t="str">
        <f>IF(O241="","",IF(AND(O241="N/A - Culvert", D241&lt;&gt;"Culvert"),"Not possible ▲", IF(AND(D241="Culvert",O241&lt;&gt;"N/A - Culvert"),"Not possible ▲",IF(VLOOKUP(O241,'G-7 WaterC'' Data'!$AD$4:$AE$14,2,FALSE)=0,"Spatial Data Missing ⚠",VLOOKUP(O241,'G-7 WaterC'' Data'!$AD$4:$AE$14,2,FALSE)))))</f>
        <v/>
      </c>
      <c r="Q241" s="297" t="str">
        <f>IF(D241="","",VLOOKUP(D241,'G-7 WaterC'' Data'!$B$2:$G$8,6,FALSE))</f>
        <v/>
      </c>
      <c r="R241" s="304" t="str">
        <f>IFERROR(IF(AND(Q241='G-1 All Habitats'!$X$3, AE241&gt;0, U241&lt;=0, V241&lt;=0, OR(AA241="No", AA241="")),"Any Loss Unacceptable ⚠", (IF(AND(Q241='G-1 All Habitats'!$X$3, AE241&gt;0, U241&lt;=0, V241&lt;=0, AA241="Yes"), 0, (IF(AND(Q241='G-1 All Habitats'!$X$3,(U241+V241)&lt;E241, OR(AA241="No", AA241="")),"Any Loss Unacceptable ⚠", (IF(AND(Q241='G-1 All Habitats'!$X$3,(U241+V241)&gt;E241), E241*G241*I241*L241*N241*P241, (IF(Q241="","",IF(AND(Q241='G-1 All Habitats'!$X$3,V241&gt;0),W241+X241,IF(AND(Q241='G-1 All Habitats'!$X$3,U241&gt;0), W241+X241, IF(AND(S241="Yes", V241&gt;(E241-U241)),(E241-U241)*G241*I241*L241*N241*P241, IF(AND(S241="Yes", V241&lt;=(E241-U241)), X241, E241*G241*I241*L241*N241*P241 ))))))))))))),"Check Data ▲")</f>
        <v/>
      </c>
      <c r="S241" s="671" t="str">
        <f t="shared" si="27"/>
        <v/>
      </c>
      <c r="T241" s="17"/>
      <c r="U241" s="95"/>
      <c r="V241" s="106"/>
      <c r="W241" s="302" t="str">
        <f t="shared" si="28"/>
        <v/>
      </c>
      <c r="X241" s="302" t="str">
        <f t="shared" si="29"/>
        <v/>
      </c>
      <c r="Y241" s="302" t="str">
        <f t="shared" si="30"/>
        <v/>
      </c>
      <c r="Z241" s="471" t="str">
        <f t="shared" si="31"/>
        <v/>
      </c>
      <c r="AA241" s="488"/>
      <c r="AB241" s="486"/>
      <c r="AC241" s="101"/>
      <c r="AD241" s="101"/>
      <c r="AE241" s="41" t="str">
        <f>IF(OR(Q241="",AA241="Yes"),"",IF(Q241='G-1 All Habitats'!$X$3,E241-U241-V241,"None"))</f>
        <v/>
      </c>
      <c r="AF241" s="42" t="str">
        <f>IF(Q241="","", IF(Q241='G-1 All Habitats'!$X$3, AE241*G241*I241*L241*N241*P241,"None"))</f>
        <v/>
      </c>
      <c r="AI241" s="15">
        <f t="shared" si="32"/>
        <v>0</v>
      </c>
      <c r="AJ241" s="105" t="str">
        <f t="shared" si="33"/>
        <v/>
      </c>
      <c r="AK241" s="105" t="str">
        <f t="shared" si="34"/>
        <v/>
      </c>
      <c r="AM241" s="105">
        <v>232</v>
      </c>
      <c r="AO241" s="105" t="str">
        <f t="array" ref="AO241">IFERROR(INDEX($AM$10:$AM$258, MATCH(0, IF(TRUE=$AJ$10:$AJ$258, COUNTIF($AO$9:$AO240, $AM$10:$AM$258), ""), 0)),"")</f>
        <v/>
      </c>
      <c r="AP241" s="105" t="str">
        <f t="array" ref="AP241">IFERROR(INDEX($AM$10:$AM$258, MATCH(0, IF(TRUE=$AK$10:$AK$258, COUNTIF($AP$9:$AP240, $AM$10:$AM$258), ""), 0)),"")</f>
        <v/>
      </c>
      <c r="AR241" s="15" t="str">
        <f>IFERROR(INDEX('G-7 WaterC'' Data'!$AZ$3:$AZ$7,MATCH(D241,'G-7 WaterC'' Data'!$AY$3:$AY$7,0)),"")</f>
        <v/>
      </c>
      <c r="AS241" s="15" t="str">
        <f>IFERROR(INDEX('G-7 WaterC'' Data'!AZ241:AZ245,MATCH(D241,'G-7 WaterC'' Data'!$AY$10:$AY$14,0)),"")</f>
        <v/>
      </c>
      <c r="AU241" s="15" t="str">
        <f>IF(D241="","",VLOOKUP(D241,'G-7 WaterC'' Data'!B$4:M$8,12,FALSE))</f>
        <v/>
      </c>
      <c r="AV241" s="15" t="str">
        <f t="shared" si="35"/>
        <v/>
      </c>
    </row>
    <row r="242" spans="3:48" ht="14" x14ac:dyDescent="0.3">
      <c r="C242" s="92">
        <v>233</v>
      </c>
      <c r="D242" s="271"/>
      <c r="E242" s="120"/>
      <c r="F242" s="290" t="str">
        <f>IF(D242="","",VLOOKUP(D242,'G-7 WaterC'' Data'!$B$2:$G$8,2,FALSE))</f>
        <v/>
      </c>
      <c r="G242" s="291" t="str">
        <f>IFERROR(VLOOKUP(F242,'G-7 WaterC'' Data'!$C$4:$D$8,2,FALSE),"")</f>
        <v/>
      </c>
      <c r="H242" s="38"/>
      <c r="I242" s="291" t="str">
        <f>IFERROR(INDEX('G-7 WaterC'' Data'!$H$4:$L$8,MATCH(D242,'G-7 WaterC'' Data'!$B$4:$B$8,0),MATCH(H242,'G-7 WaterC'' Data'!$H$3:$L$3,0)),"")</f>
        <v/>
      </c>
      <c r="J242" s="777"/>
      <c r="K242" s="325" t="str">
        <f>IF(J242="","",IF(VLOOKUP(J242,'G-7 WaterC'' Data'!$AK$4:$AM$6,2,FALSE)=0,"Spatial Data Missing ⚠",VLOOKUP(J242,'G-7 WaterC'' Data'!$AK$4:$AM$6,2,FALSE)))</f>
        <v/>
      </c>
      <c r="L242" s="296" t="str">
        <f>IF(J242="","",IF(VLOOKUP(J242,'G-7 WaterC'' Data'!$AK$4:$AM$9,3,FALSE)=0,"Spatial Data Missing ⚠",VLOOKUP(J242,'G-7 WaterC'' Data'!$AK$4:$AM$6,3,FALSE)))</f>
        <v/>
      </c>
      <c r="M242" s="38"/>
      <c r="N242" s="291" t="str">
        <f>IF(M242="","",IF(AND(D242&lt;&gt;"Culvert",M242="N/A - Culvert"),"Not possible ▲",IF(AND(D242="Culvert",M242&lt;&gt;"N/A - Culvert"),"Not possible ▲",IF(VLOOKUP(M242,'G-7 WaterC'' Data'!$AA$4:$AB$7,2,FALSE)=0,"Spatial Data Missing ⚠",VLOOKUP(M242,'G-7 WaterC'' Data'!$AA$4:$AB$7,2,FALSE)))))</f>
        <v/>
      </c>
      <c r="O242" s="44"/>
      <c r="P242" s="291" t="str">
        <f>IF(O242="","",IF(AND(O242="N/A - Culvert", D242&lt;&gt;"Culvert"),"Not possible ▲", IF(AND(D242="Culvert",O242&lt;&gt;"N/A - Culvert"),"Not possible ▲",IF(VLOOKUP(O242,'G-7 WaterC'' Data'!$AD$4:$AE$14,2,FALSE)=0,"Spatial Data Missing ⚠",VLOOKUP(O242,'G-7 WaterC'' Data'!$AD$4:$AE$14,2,FALSE)))))</f>
        <v/>
      </c>
      <c r="Q242" s="297" t="str">
        <f>IF(D242="","",VLOOKUP(D242,'G-7 WaterC'' Data'!$B$2:$G$8,6,FALSE))</f>
        <v/>
      </c>
      <c r="R242" s="304" t="str">
        <f>IFERROR(IF(AND(Q242='G-1 All Habitats'!$X$3, AE242&gt;0, U242&lt;=0, V242&lt;=0, OR(AA242="No", AA242="")),"Any Loss Unacceptable ⚠", (IF(AND(Q242='G-1 All Habitats'!$X$3, AE242&gt;0, U242&lt;=0, V242&lt;=0, AA242="Yes"), 0, (IF(AND(Q242='G-1 All Habitats'!$X$3,(U242+V242)&lt;E242, OR(AA242="No", AA242="")),"Any Loss Unacceptable ⚠", (IF(AND(Q242='G-1 All Habitats'!$X$3,(U242+V242)&gt;E242), E242*G242*I242*L242*N242*P242, (IF(Q242="","",IF(AND(Q242='G-1 All Habitats'!$X$3,V242&gt;0),W242+X242,IF(AND(Q242='G-1 All Habitats'!$X$3,U242&gt;0), W242+X242, IF(AND(S242="Yes", V242&gt;(E242-U242)),(E242-U242)*G242*I242*L242*N242*P242, IF(AND(S242="Yes", V242&lt;=(E242-U242)), X242, E242*G242*I242*L242*N242*P242 ))))))))))))),"Check Data ▲")</f>
        <v/>
      </c>
      <c r="S242" s="671" t="str">
        <f t="shared" si="27"/>
        <v/>
      </c>
      <c r="T242" s="17"/>
      <c r="U242" s="95"/>
      <c r="V242" s="106"/>
      <c r="W242" s="302" t="str">
        <f t="shared" si="28"/>
        <v/>
      </c>
      <c r="X242" s="302" t="str">
        <f t="shared" si="29"/>
        <v/>
      </c>
      <c r="Y242" s="302" t="str">
        <f t="shared" si="30"/>
        <v/>
      </c>
      <c r="Z242" s="471" t="str">
        <f t="shared" si="31"/>
        <v/>
      </c>
      <c r="AA242" s="488"/>
      <c r="AB242" s="486"/>
      <c r="AC242" s="101"/>
      <c r="AD242" s="101"/>
      <c r="AE242" s="41" t="str">
        <f>IF(OR(Q242="",AA242="Yes"),"",IF(Q242='G-1 All Habitats'!$X$3,E242-U242-V242,"None"))</f>
        <v/>
      </c>
      <c r="AF242" s="42" t="str">
        <f>IF(Q242="","", IF(Q242='G-1 All Habitats'!$X$3, AE242*G242*I242*L242*N242*P242,"None"))</f>
        <v/>
      </c>
      <c r="AI242" s="15">
        <f t="shared" si="32"/>
        <v>0</v>
      </c>
      <c r="AJ242" s="105" t="str">
        <f t="shared" si="33"/>
        <v/>
      </c>
      <c r="AK242" s="105" t="str">
        <f t="shared" si="34"/>
        <v/>
      </c>
      <c r="AM242" s="105">
        <v>233</v>
      </c>
      <c r="AO242" s="105" t="str">
        <f t="array" ref="AO242">IFERROR(INDEX($AM$10:$AM$258, MATCH(0, IF(TRUE=$AJ$10:$AJ$258, COUNTIF($AO$9:$AO241, $AM$10:$AM$258), ""), 0)),"")</f>
        <v/>
      </c>
      <c r="AP242" s="105" t="str">
        <f t="array" ref="AP242">IFERROR(INDEX($AM$10:$AM$258, MATCH(0, IF(TRUE=$AK$10:$AK$258, COUNTIF($AP$9:$AP241, $AM$10:$AM$258), ""), 0)),"")</f>
        <v/>
      </c>
      <c r="AR242" s="15" t="str">
        <f>IFERROR(INDEX('G-7 WaterC'' Data'!$AZ$3:$AZ$7,MATCH(D242,'G-7 WaterC'' Data'!$AY$3:$AY$7,0)),"")</f>
        <v/>
      </c>
      <c r="AS242" s="15" t="str">
        <f>IFERROR(INDEX('G-7 WaterC'' Data'!AZ242:AZ246,MATCH(D242,'G-7 WaterC'' Data'!$AY$10:$AY$14,0)),"")</f>
        <v/>
      </c>
      <c r="AU242" s="15" t="str">
        <f>IF(D242="","",VLOOKUP(D242,'G-7 WaterC'' Data'!B$4:M$8,12,FALSE))</f>
        <v/>
      </c>
      <c r="AV242" s="15" t="str">
        <f t="shared" si="35"/>
        <v/>
      </c>
    </row>
    <row r="243" spans="3:48" ht="14" x14ac:dyDescent="0.3">
      <c r="C243" s="92">
        <v>234</v>
      </c>
      <c r="D243" s="271"/>
      <c r="E243" s="120"/>
      <c r="F243" s="290" t="str">
        <f>IF(D243="","",VLOOKUP(D243,'G-7 WaterC'' Data'!$B$2:$G$8,2,FALSE))</f>
        <v/>
      </c>
      <c r="G243" s="291" t="str">
        <f>IFERROR(VLOOKUP(F243,'G-7 WaterC'' Data'!$C$4:$D$8,2,FALSE),"")</f>
        <v/>
      </c>
      <c r="H243" s="38"/>
      <c r="I243" s="291" t="str">
        <f>IFERROR(INDEX('G-7 WaterC'' Data'!$H$4:$L$8,MATCH(D243,'G-7 WaterC'' Data'!$B$4:$B$8,0),MATCH(H243,'G-7 WaterC'' Data'!$H$3:$L$3,0)),"")</f>
        <v/>
      </c>
      <c r="J243" s="777"/>
      <c r="K243" s="325" t="str">
        <f>IF(J243="","",IF(VLOOKUP(J243,'G-7 WaterC'' Data'!$AK$4:$AM$6,2,FALSE)=0,"Spatial Data Missing ⚠",VLOOKUP(J243,'G-7 WaterC'' Data'!$AK$4:$AM$6,2,FALSE)))</f>
        <v/>
      </c>
      <c r="L243" s="296" t="str">
        <f>IF(J243="","",IF(VLOOKUP(J243,'G-7 WaterC'' Data'!$AK$4:$AM$9,3,FALSE)=0,"Spatial Data Missing ⚠",VLOOKUP(J243,'G-7 WaterC'' Data'!$AK$4:$AM$6,3,FALSE)))</f>
        <v/>
      </c>
      <c r="M243" s="38"/>
      <c r="N243" s="291" t="str">
        <f>IF(M243="","",IF(AND(D243&lt;&gt;"Culvert",M243="N/A - Culvert"),"Not possible ▲",IF(AND(D243="Culvert",M243&lt;&gt;"N/A - Culvert"),"Not possible ▲",IF(VLOOKUP(M243,'G-7 WaterC'' Data'!$AA$4:$AB$7,2,FALSE)=0,"Spatial Data Missing ⚠",VLOOKUP(M243,'G-7 WaterC'' Data'!$AA$4:$AB$7,2,FALSE)))))</f>
        <v/>
      </c>
      <c r="O243" s="44"/>
      <c r="P243" s="291" t="str">
        <f>IF(O243="","",IF(AND(O243="N/A - Culvert", D243&lt;&gt;"Culvert"),"Not possible ▲", IF(AND(D243="Culvert",O243&lt;&gt;"N/A - Culvert"),"Not possible ▲",IF(VLOOKUP(O243,'G-7 WaterC'' Data'!$AD$4:$AE$14,2,FALSE)=0,"Spatial Data Missing ⚠",VLOOKUP(O243,'G-7 WaterC'' Data'!$AD$4:$AE$14,2,FALSE)))))</f>
        <v/>
      </c>
      <c r="Q243" s="297" t="str">
        <f>IF(D243="","",VLOOKUP(D243,'G-7 WaterC'' Data'!$B$2:$G$8,6,FALSE))</f>
        <v/>
      </c>
      <c r="R243" s="304" t="str">
        <f>IFERROR(IF(AND(Q243='G-1 All Habitats'!$X$3, AE243&gt;0, U243&lt;=0, V243&lt;=0, OR(AA243="No", AA243="")),"Any Loss Unacceptable ⚠", (IF(AND(Q243='G-1 All Habitats'!$X$3, AE243&gt;0, U243&lt;=0, V243&lt;=0, AA243="Yes"), 0, (IF(AND(Q243='G-1 All Habitats'!$X$3,(U243+V243)&lt;E243, OR(AA243="No", AA243="")),"Any Loss Unacceptable ⚠", (IF(AND(Q243='G-1 All Habitats'!$X$3,(U243+V243)&gt;E243), E243*G243*I243*L243*N243*P243, (IF(Q243="","",IF(AND(Q243='G-1 All Habitats'!$X$3,V243&gt;0),W243+X243,IF(AND(Q243='G-1 All Habitats'!$X$3,U243&gt;0), W243+X243, IF(AND(S243="Yes", V243&gt;(E243-U243)),(E243-U243)*G243*I243*L243*N243*P243, IF(AND(S243="Yes", V243&lt;=(E243-U243)), X243, E243*G243*I243*L243*N243*P243 ))))))))))))),"Check Data ▲")</f>
        <v/>
      </c>
      <c r="S243" s="671" t="str">
        <f t="shared" si="27"/>
        <v/>
      </c>
      <c r="T243" s="17"/>
      <c r="U243" s="95"/>
      <c r="V243" s="106"/>
      <c r="W243" s="302" t="str">
        <f t="shared" si="28"/>
        <v/>
      </c>
      <c r="X243" s="302" t="str">
        <f t="shared" si="29"/>
        <v/>
      </c>
      <c r="Y243" s="302" t="str">
        <f t="shared" si="30"/>
        <v/>
      </c>
      <c r="Z243" s="471" t="str">
        <f t="shared" si="31"/>
        <v/>
      </c>
      <c r="AA243" s="488"/>
      <c r="AB243" s="486"/>
      <c r="AC243" s="101"/>
      <c r="AD243" s="101"/>
      <c r="AE243" s="41" t="str">
        <f>IF(OR(Q243="",AA243="Yes"),"",IF(Q243='G-1 All Habitats'!$X$3,E243-U243-V243,"None"))</f>
        <v/>
      </c>
      <c r="AF243" s="42" t="str">
        <f>IF(Q243="","", IF(Q243='G-1 All Habitats'!$X$3, AE243*G243*I243*L243*N243*P243,"None"))</f>
        <v/>
      </c>
      <c r="AI243" s="15">
        <f t="shared" si="32"/>
        <v>0</v>
      </c>
      <c r="AJ243" s="105" t="str">
        <f t="shared" si="33"/>
        <v/>
      </c>
      <c r="AK243" s="105" t="str">
        <f t="shared" si="34"/>
        <v/>
      </c>
      <c r="AM243" s="105">
        <v>234</v>
      </c>
      <c r="AO243" s="105" t="str">
        <f t="array" ref="AO243">IFERROR(INDEX($AM$10:$AM$258, MATCH(0, IF(TRUE=$AJ$10:$AJ$258, COUNTIF($AO$9:$AO242, $AM$10:$AM$258), ""), 0)),"")</f>
        <v/>
      </c>
      <c r="AP243" s="105" t="str">
        <f t="array" ref="AP243">IFERROR(INDEX($AM$10:$AM$258, MATCH(0, IF(TRUE=$AK$10:$AK$258, COUNTIF($AP$9:$AP242, $AM$10:$AM$258), ""), 0)),"")</f>
        <v/>
      </c>
      <c r="AR243" s="15" t="str">
        <f>IFERROR(INDEX('G-7 WaterC'' Data'!$AZ$3:$AZ$7,MATCH(D243,'G-7 WaterC'' Data'!$AY$3:$AY$7,0)),"")</f>
        <v/>
      </c>
      <c r="AS243" s="15" t="str">
        <f>IFERROR(INDEX('G-7 WaterC'' Data'!AZ243:AZ247,MATCH(D243,'G-7 WaterC'' Data'!$AY$10:$AY$14,0)),"")</f>
        <v/>
      </c>
      <c r="AU243" s="15" t="str">
        <f>IF(D243="","",VLOOKUP(D243,'G-7 WaterC'' Data'!B$4:M$8,12,FALSE))</f>
        <v/>
      </c>
      <c r="AV243" s="15" t="str">
        <f t="shared" si="35"/>
        <v/>
      </c>
    </row>
    <row r="244" spans="3:48" ht="14" x14ac:dyDescent="0.3">
      <c r="C244" s="92">
        <v>235</v>
      </c>
      <c r="D244" s="271"/>
      <c r="E244" s="120"/>
      <c r="F244" s="290" t="str">
        <f>IF(D244="","",VLOOKUP(D244,'G-7 WaterC'' Data'!$B$2:$G$8,2,FALSE))</f>
        <v/>
      </c>
      <c r="G244" s="291" t="str">
        <f>IFERROR(VLOOKUP(F244,'G-7 WaterC'' Data'!$C$4:$D$8,2,FALSE),"")</f>
        <v/>
      </c>
      <c r="H244" s="38"/>
      <c r="I244" s="291" t="str">
        <f>IFERROR(INDEX('G-7 WaterC'' Data'!$H$4:$L$8,MATCH(D244,'G-7 WaterC'' Data'!$B$4:$B$8,0),MATCH(H244,'G-7 WaterC'' Data'!$H$3:$L$3,0)),"")</f>
        <v/>
      </c>
      <c r="J244" s="777"/>
      <c r="K244" s="325" t="str">
        <f>IF(J244="","",IF(VLOOKUP(J244,'G-7 WaterC'' Data'!$AK$4:$AM$6,2,FALSE)=0,"Spatial Data Missing ⚠",VLOOKUP(J244,'G-7 WaterC'' Data'!$AK$4:$AM$6,2,FALSE)))</f>
        <v/>
      </c>
      <c r="L244" s="296" t="str">
        <f>IF(J244="","",IF(VLOOKUP(J244,'G-7 WaterC'' Data'!$AK$4:$AM$9,3,FALSE)=0,"Spatial Data Missing ⚠",VLOOKUP(J244,'G-7 WaterC'' Data'!$AK$4:$AM$6,3,FALSE)))</f>
        <v/>
      </c>
      <c r="M244" s="38"/>
      <c r="N244" s="291" t="str">
        <f>IF(M244="","",IF(AND(D244&lt;&gt;"Culvert",M244="N/A - Culvert"),"Not possible ▲",IF(AND(D244="Culvert",M244&lt;&gt;"N/A - Culvert"),"Not possible ▲",IF(VLOOKUP(M244,'G-7 WaterC'' Data'!$AA$4:$AB$7,2,FALSE)=0,"Spatial Data Missing ⚠",VLOOKUP(M244,'G-7 WaterC'' Data'!$AA$4:$AB$7,2,FALSE)))))</f>
        <v/>
      </c>
      <c r="O244" s="44"/>
      <c r="P244" s="291" t="str">
        <f>IF(O244="","",IF(AND(O244="N/A - Culvert", D244&lt;&gt;"Culvert"),"Not possible ▲", IF(AND(D244="Culvert",O244&lt;&gt;"N/A - Culvert"),"Not possible ▲",IF(VLOOKUP(O244,'G-7 WaterC'' Data'!$AD$4:$AE$14,2,FALSE)=0,"Spatial Data Missing ⚠",VLOOKUP(O244,'G-7 WaterC'' Data'!$AD$4:$AE$14,2,FALSE)))))</f>
        <v/>
      </c>
      <c r="Q244" s="297" t="str">
        <f>IF(D244="","",VLOOKUP(D244,'G-7 WaterC'' Data'!$B$2:$G$8,6,FALSE))</f>
        <v/>
      </c>
      <c r="R244" s="304" t="str">
        <f>IFERROR(IF(AND(Q244='G-1 All Habitats'!$X$3, AE244&gt;0, U244&lt;=0, V244&lt;=0, OR(AA244="No", AA244="")),"Any Loss Unacceptable ⚠", (IF(AND(Q244='G-1 All Habitats'!$X$3, AE244&gt;0, U244&lt;=0, V244&lt;=0, AA244="Yes"), 0, (IF(AND(Q244='G-1 All Habitats'!$X$3,(U244+V244)&lt;E244, OR(AA244="No", AA244="")),"Any Loss Unacceptable ⚠", (IF(AND(Q244='G-1 All Habitats'!$X$3,(U244+V244)&gt;E244), E244*G244*I244*L244*N244*P244, (IF(Q244="","",IF(AND(Q244='G-1 All Habitats'!$X$3,V244&gt;0),W244+X244,IF(AND(Q244='G-1 All Habitats'!$X$3,U244&gt;0), W244+X244, IF(AND(S244="Yes", V244&gt;(E244-U244)),(E244-U244)*G244*I244*L244*N244*P244, IF(AND(S244="Yes", V244&lt;=(E244-U244)), X244, E244*G244*I244*L244*N244*P244 ))))))))))))),"Check Data ▲")</f>
        <v/>
      </c>
      <c r="S244" s="671" t="str">
        <f t="shared" si="27"/>
        <v/>
      </c>
      <c r="T244" s="17"/>
      <c r="U244" s="95"/>
      <c r="V244" s="106"/>
      <c r="W244" s="302" t="str">
        <f t="shared" si="28"/>
        <v/>
      </c>
      <c r="X244" s="302" t="str">
        <f t="shared" si="29"/>
        <v/>
      </c>
      <c r="Y244" s="302" t="str">
        <f t="shared" si="30"/>
        <v/>
      </c>
      <c r="Z244" s="471" t="str">
        <f t="shared" si="31"/>
        <v/>
      </c>
      <c r="AA244" s="488"/>
      <c r="AB244" s="486"/>
      <c r="AC244" s="101"/>
      <c r="AD244" s="101"/>
      <c r="AE244" s="41" t="str">
        <f>IF(OR(Q244="",AA244="Yes"),"",IF(Q244='G-1 All Habitats'!$X$3,E244-U244-V244,"None"))</f>
        <v/>
      </c>
      <c r="AF244" s="42" t="str">
        <f>IF(Q244="","", IF(Q244='G-1 All Habitats'!$X$3, AE244*G244*I244*L244*N244*P244,"None"))</f>
        <v/>
      </c>
      <c r="AI244" s="15">
        <f t="shared" si="32"/>
        <v>0</v>
      </c>
      <c r="AJ244" s="105" t="str">
        <f t="shared" si="33"/>
        <v/>
      </c>
      <c r="AK244" s="105" t="str">
        <f t="shared" si="34"/>
        <v/>
      </c>
      <c r="AM244" s="105">
        <v>235</v>
      </c>
      <c r="AO244" s="105" t="str">
        <f t="array" ref="AO244">IFERROR(INDEX($AM$10:$AM$258, MATCH(0, IF(TRUE=$AJ$10:$AJ$258, COUNTIF($AO$9:$AO243, $AM$10:$AM$258), ""), 0)),"")</f>
        <v/>
      </c>
      <c r="AP244" s="105" t="str">
        <f t="array" ref="AP244">IFERROR(INDEX($AM$10:$AM$258, MATCH(0, IF(TRUE=$AK$10:$AK$258, COUNTIF($AP$9:$AP243, $AM$10:$AM$258), ""), 0)),"")</f>
        <v/>
      </c>
      <c r="AR244" s="15" t="str">
        <f>IFERROR(INDEX('G-7 WaterC'' Data'!$AZ$3:$AZ$7,MATCH(D244,'G-7 WaterC'' Data'!$AY$3:$AY$7,0)),"")</f>
        <v/>
      </c>
      <c r="AS244" s="15" t="str">
        <f>IFERROR(INDEX('G-7 WaterC'' Data'!AZ244:AZ248,MATCH(D244,'G-7 WaterC'' Data'!$AY$10:$AY$14,0)),"")</f>
        <v/>
      </c>
      <c r="AU244" s="15" t="str">
        <f>IF(D244="","",VLOOKUP(D244,'G-7 WaterC'' Data'!B$4:M$8,12,FALSE))</f>
        <v/>
      </c>
      <c r="AV244" s="15" t="str">
        <f t="shared" si="35"/>
        <v/>
      </c>
    </row>
    <row r="245" spans="3:48" ht="14" x14ac:dyDescent="0.3">
      <c r="C245" s="92">
        <v>236</v>
      </c>
      <c r="D245" s="271"/>
      <c r="E245" s="120"/>
      <c r="F245" s="290" t="str">
        <f>IF(D245="","",VLOOKUP(D245,'G-7 WaterC'' Data'!$B$2:$G$8,2,FALSE))</f>
        <v/>
      </c>
      <c r="G245" s="291" t="str">
        <f>IFERROR(VLOOKUP(F245,'G-7 WaterC'' Data'!$C$4:$D$8,2,FALSE),"")</f>
        <v/>
      </c>
      <c r="H245" s="38"/>
      <c r="I245" s="291" t="str">
        <f>IFERROR(INDEX('G-7 WaterC'' Data'!$H$4:$L$8,MATCH(D245,'G-7 WaterC'' Data'!$B$4:$B$8,0),MATCH(H245,'G-7 WaterC'' Data'!$H$3:$L$3,0)),"")</f>
        <v/>
      </c>
      <c r="J245" s="777"/>
      <c r="K245" s="325" t="str">
        <f>IF(J245="","",IF(VLOOKUP(J245,'G-7 WaterC'' Data'!$AK$4:$AM$6,2,FALSE)=0,"Spatial Data Missing ⚠",VLOOKUP(J245,'G-7 WaterC'' Data'!$AK$4:$AM$6,2,FALSE)))</f>
        <v/>
      </c>
      <c r="L245" s="296" t="str">
        <f>IF(J245="","",IF(VLOOKUP(J245,'G-7 WaterC'' Data'!$AK$4:$AM$9,3,FALSE)=0,"Spatial Data Missing ⚠",VLOOKUP(J245,'G-7 WaterC'' Data'!$AK$4:$AM$6,3,FALSE)))</f>
        <v/>
      </c>
      <c r="M245" s="38"/>
      <c r="N245" s="291" t="str">
        <f>IF(M245="","",IF(AND(D245&lt;&gt;"Culvert",M245="N/A - Culvert"),"Not possible ▲",IF(AND(D245="Culvert",M245&lt;&gt;"N/A - Culvert"),"Not possible ▲",IF(VLOOKUP(M245,'G-7 WaterC'' Data'!$AA$4:$AB$7,2,FALSE)=0,"Spatial Data Missing ⚠",VLOOKUP(M245,'G-7 WaterC'' Data'!$AA$4:$AB$7,2,FALSE)))))</f>
        <v/>
      </c>
      <c r="O245" s="44"/>
      <c r="P245" s="291" t="str">
        <f>IF(O245="","",IF(AND(O245="N/A - Culvert", D245&lt;&gt;"Culvert"),"Not possible ▲", IF(AND(D245="Culvert",O245&lt;&gt;"N/A - Culvert"),"Not possible ▲",IF(VLOOKUP(O245,'G-7 WaterC'' Data'!$AD$4:$AE$14,2,FALSE)=0,"Spatial Data Missing ⚠",VLOOKUP(O245,'G-7 WaterC'' Data'!$AD$4:$AE$14,2,FALSE)))))</f>
        <v/>
      </c>
      <c r="Q245" s="297" t="str">
        <f>IF(D245="","",VLOOKUP(D245,'G-7 WaterC'' Data'!$B$2:$G$8,6,FALSE))</f>
        <v/>
      </c>
      <c r="R245" s="304" t="str">
        <f>IFERROR(IF(AND(Q245='G-1 All Habitats'!$X$3, AE245&gt;0, U245&lt;=0, V245&lt;=0, OR(AA245="No", AA245="")),"Any Loss Unacceptable ⚠", (IF(AND(Q245='G-1 All Habitats'!$X$3, AE245&gt;0, U245&lt;=0, V245&lt;=0, AA245="Yes"), 0, (IF(AND(Q245='G-1 All Habitats'!$X$3,(U245+V245)&lt;E245, OR(AA245="No", AA245="")),"Any Loss Unacceptable ⚠", (IF(AND(Q245='G-1 All Habitats'!$X$3,(U245+V245)&gt;E245), E245*G245*I245*L245*N245*P245, (IF(Q245="","",IF(AND(Q245='G-1 All Habitats'!$X$3,V245&gt;0),W245+X245,IF(AND(Q245='G-1 All Habitats'!$X$3,U245&gt;0), W245+X245, IF(AND(S245="Yes", V245&gt;(E245-U245)),(E245-U245)*G245*I245*L245*N245*P245, IF(AND(S245="Yes", V245&lt;=(E245-U245)), X245, E245*G245*I245*L245*N245*P245 ))))))))))))),"Check Data ▲")</f>
        <v/>
      </c>
      <c r="S245" s="671" t="str">
        <f t="shared" si="27"/>
        <v/>
      </c>
      <c r="T245" s="17"/>
      <c r="U245" s="95"/>
      <c r="V245" s="106"/>
      <c r="W245" s="302" t="str">
        <f t="shared" si="28"/>
        <v/>
      </c>
      <c r="X245" s="302" t="str">
        <f t="shared" si="29"/>
        <v/>
      </c>
      <c r="Y245" s="302" t="str">
        <f t="shared" si="30"/>
        <v/>
      </c>
      <c r="Z245" s="471" t="str">
        <f t="shared" si="31"/>
        <v/>
      </c>
      <c r="AA245" s="488"/>
      <c r="AB245" s="486"/>
      <c r="AC245" s="101"/>
      <c r="AD245" s="101"/>
      <c r="AE245" s="41" t="str">
        <f>IF(OR(Q245="",AA245="Yes"),"",IF(Q245='G-1 All Habitats'!$X$3,E245-U245-V245,"None"))</f>
        <v/>
      </c>
      <c r="AF245" s="42" t="str">
        <f>IF(Q245="","", IF(Q245='G-1 All Habitats'!$X$3, AE245*G245*I245*L245*N245*P245,"None"))</f>
        <v/>
      </c>
      <c r="AI245" s="15">
        <f t="shared" si="32"/>
        <v>0</v>
      </c>
      <c r="AJ245" s="105" t="str">
        <f t="shared" si="33"/>
        <v/>
      </c>
      <c r="AK245" s="105" t="str">
        <f t="shared" si="34"/>
        <v/>
      </c>
      <c r="AM245" s="105">
        <v>236</v>
      </c>
      <c r="AO245" s="105" t="str">
        <f t="array" ref="AO245">IFERROR(INDEX($AM$10:$AM$258, MATCH(0, IF(TRUE=$AJ$10:$AJ$258, COUNTIF($AO$9:$AO244, $AM$10:$AM$258), ""), 0)),"")</f>
        <v/>
      </c>
      <c r="AP245" s="105" t="str">
        <f t="array" ref="AP245">IFERROR(INDEX($AM$10:$AM$258, MATCH(0, IF(TRUE=$AK$10:$AK$258, COUNTIF($AP$9:$AP244, $AM$10:$AM$258), ""), 0)),"")</f>
        <v/>
      </c>
      <c r="AR245" s="15" t="str">
        <f>IFERROR(INDEX('G-7 WaterC'' Data'!$AZ$3:$AZ$7,MATCH(D245,'G-7 WaterC'' Data'!$AY$3:$AY$7,0)),"")</f>
        <v/>
      </c>
      <c r="AS245" s="15" t="str">
        <f>IFERROR(INDEX('G-7 WaterC'' Data'!AZ245:AZ249,MATCH(D245,'G-7 WaterC'' Data'!$AY$10:$AY$14,0)),"")</f>
        <v/>
      </c>
      <c r="AU245" s="15" t="str">
        <f>IF(D245="","",VLOOKUP(D245,'G-7 WaterC'' Data'!B$4:M$8,12,FALSE))</f>
        <v/>
      </c>
      <c r="AV245" s="15" t="str">
        <f t="shared" si="35"/>
        <v/>
      </c>
    </row>
    <row r="246" spans="3:48" ht="14" x14ac:dyDescent="0.3">
      <c r="C246" s="92">
        <v>237</v>
      </c>
      <c r="D246" s="271"/>
      <c r="E246" s="120"/>
      <c r="F246" s="290" t="str">
        <f>IF(D246="","",VLOOKUP(D246,'G-7 WaterC'' Data'!$B$2:$G$8,2,FALSE))</f>
        <v/>
      </c>
      <c r="G246" s="291" t="str">
        <f>IFERROR(VLOOKUP(F246,'G-7 WaterC'' Data'!$C$4:$D$8,2,FALSE),"")</f>
        <v/>
      </c>
      <c r="H246" s="38"/>
      <c r="I246" s="291" t="str">
        <f>IFERROR(INDEX('G-7 WaterC'' Data'!$H$4:$L$8,MATCH(D246,'G-7 WaterC'' Data'!$B$4:$B$8,0),MATCH(H246,'G-7 WaterC'' Data'!$H$3:$L$3,0)),"")</f>
        <v/>
      </c>
      <c r="J246" s="777"/>
      <c r="K246" s="325" t="str">
        <f>IF(J246="","",IF(VLOOKUP(J246,'G-7 WaterC'' Data'!$AK$4:$AM$6,2,FALSE)=0,"Spatial Data Missing ⚠",VLOOKUP(J246,'G-7 WaterC'' Data'!$AK$4:$AM$6,2,FALSE)))</f>
        <v/>
      </c>
      <c r="L246" s="296" t="str">
        <f>IF(J246="","",IF(VLOOKUP(J246,'G-7 WaterC'' Data'!$AK$4:$AM$9,3,FALSE)=0,"Spatial Data Missing ⚠",VLOOKUP(J246,'G-7 WaterC'' Data'!$AK$4:$AM$6,3,FALSE)))</f>
        <v/>
      </c>
      <c r="M246" s="38"/>
      <c r="N246" s="291" t="str">
        <f>IF(M246="","",IF(AND(D246&lt;&gt;"Culvert",M246="N/A - Culvert"),"Not possible ▲",IF(AND(D246="Culvert",M246&lt;&gt;"N/A - Culvert"),"Not possible ▲",IF(VLOOKUP(M246,'G-7 WaterC'' Data'!$AA$4:$AB$7,2,FALSE)=0,"Spatial Data Missing ⚠",VLOOKUP(M246,'G-7 WaterC'' Data'!$AA$4:$AB$7,2,FALSE)))))</f>
        <v/>
      </c>
      <c r="O246" s="44"/>
      <c r="P246" s="291" t="str">
        <f>IF(O246="","",IF(AND(O246="N/A - Culvert", D246&lt;&gt;"Culvert"),"Not possible ▲", IF(AND(D246="Culvert",O246&lt;&gt;"N/A - Culvert"),"Not possible ▲",IF(VLOOKUP(O246,'G-7 WaterC'' Data'!$AD$4:$AE$14,2,FALSE)=0,"Spatial Data Missing ⚠",VLOOKUP(O246,'G-7 WaterC'' Data'!$AD$4:$AE$14,2,FALSE)))))</f>
        <v/>
      </c>
      <c r="Q246" s="297" t="str">
        <f>IF(D246="","",VLOOKUP(D246,'G-7 WaterC'' Data'!$B$2:$G$8,6,FALSE))</f>
        <v/>
      </c>
      <c r="R246" s="304" t="str">
        <f>IFERROR(IF(AND(Q246='G-1 All Habitats'!$X$3, AE246&gt;0, U246&lt;=0, V246&lt;=0, OR(AA246="No", AA246="")),"Any Loss Unacceptable ⚠", (IF(AND(Q246='G-1 All Habitats'!$X$3, AE246&gt;0, U246&lt;=0, V246&lt;=0, AA246="Yes"), 0, (IF(AND(Q246='G-1 All Habitats'!$X$3,(U246+V246)&lt;E246, OR(AA246="No", AA246="")),"Any Loss Unacceptable ⚠", (IF(AND(Q246='G-1 All Habitats'!$X$3,(U246+V246)&gt;E246), E246*G246*I246*L246*N246*P246, (IF(Q246="","",IF(AND(Q246='G-1 All Habitats'!$X$3,V246&gt;0),W246+X246,IF(AND(Q246='G-1 All Habitats'!$X$3,U246&gt;0), W246+X246, IF(AND(S246="Yes", V246&gt;(E246-U246)),(E246-U246)*G246*I246*L246*N246*P246, IF(AND(S246="Yes", V246&lt;=(E246-U246)), X246, E246*G246*I246*L246*N246*P246 ))))))))))))),"Check Data ▲")</f>
        <v/>
      </c>
      <c r="S246" s="671" t="str">
        <f t="shared" si="27"/>
        <v/>
      </c>
      <c r="T246" s="17"/>
      <c r="U246" s="95"/>
      <c r="V246" s="106"/>
      <c r="W246" s="302" t="str">
        <f t="shared" si="28"/>
        <v/>
      </c>
      <c r="X246" s="302" t="str">
        <f t="shared" si="29"/>
        <v/>
      </c>
      <c r="Y246" s="302" t="str">
        <f t="shared" si="30"/>
        <v/>
      </c>
      <c r="Z246" s="471" t="str">
        <f t="shared" si="31"/>
        <v/>
      </c>
      <c r="AA246" s="488"/>
      <c r="AB246" s="486"/>
      <c r="AC246" s="101"/>
      <c r="AD246" s="101"/>
      <c r="AE246" s="41" t="str">
        <f>IF(OR(Q246="",AA246="Yes"),"",IF(Q246='G-1 All Habitats'!$X$3,E246-U246-V246,"None"))</f>
        <v/>
      </c>
      <c r="AF246" s="42" t="str">
        <f>IF(Q246="","", IF(Q246='G-1 All Habitats'!$X$3, AE246*G246*I246*L246*N246*P246,"None"))</f>
        <v/>
      </c>
      <c r="AI246" s="15">
        <f t="shared" si="32"/>
        <v>0</v>
      </c>
      <c r="AJ246" s="105" t="str">
        <f t="shared" si="33"/>
        <v/>
      </c>
      <c r="AK246" s="105" t="str">
        <f t="shared" si="34"/>
        <v/>
      </c>
      <c r="AM246" s="105">
        <v>237</v>
      </c>
      <c r="AO246" s="105" t="str">
        <f t="array" ref="AO246">IFERROR(INDEX($AM$10:$AM$258, MATCH(0, IF(TRUE=$AJ$10:$AJ$258, COUNTIF($AO$9:$AO245, $AM$10:$AM$258), ""), 0)),"")</f>
        <v/>
      </c>
      <c r="AP246" s="105" t="str">
        <f t="array" ref="AP246">IFERROR(INDEX($AM$10:$AM$258, MATCH(0, IF(TRUE=$AK$10:$AK$258, COUNTIF($AP$9:$AP245, $AM$10:$AM$258), ""), 0)),"")</f>
        <v/>
      </c>
      <c r="AR246" s="15" t="str">
        <f>IFERROR(INDEX('G-7 WaterC'' Data'!$AZ$3:$AZ$7,MATCH(D246,'G-7 WaterC'' Data'!$AY$3:$AY$7,0)),"")</f>
        <v/>
      </c>
      <c r="AS246" s="15" t="str">
        <f>IFERROR(INDEX('G-7 WaterC'' Data'!AZ246:AZ250,MATCH(D246,'G-7 WaterC'' Data'!$AY$10:$AY$14,0)),"")</f>
        <v/>
      </c>
      <c r="AU246" s="15" t="str">
        <f>IF(D246="","",VLOOKUP(D246,'G-7 WaterC'' Data'!B$4:M$8,12,FALSE))</f>
        <v/>
      </c>
      <c r="AV246" s="15" t="str">
        <f t="shared" si="35"/>
        <v/>
      </c>
    </row>
    <row r="247" spans="3:48" ht="14" x14ac:dyDescent="0.3">
      <c r="C247" s="92">
        <v>238</v>
      </c>
      <c r="D247" s="271"/>
      <c r="E247" s="120"/>
      <c r="F247" s="290" t="str">
        <f>IF(D247="","",VLOOKUP(D247,'G-7 WaterC'' Data'!$B$2:$G$8,2,FALSE))</f>
        <v/>
      </c>
      <c r="G247" s="291" t="str">
        <f>IFERROR(VLOOKUP(F247,'G-7 WaterC'' Data'!$C$4:$D$8,2,FALSE),"")</f>
        <v/>
      </c>
      <c r="H247" s="38"/>
      <c r="I247" s="291" t="str">
        <f>IFERROR(INDEX('G-7 WaterC'' Data'!$H$4:$L$8,MATCH(D247,'G-7 WaterC'' Data'!$B$4:$B$8,0),MATCH(H247,'G-7 WaterC'' Data'!$H$3:$L$3,0)),"")</f>
        <v/>
      </c>
      <c r="J247" s="777"/>
      <c r="K247" s="325" t="str">
        <f>IF(J247="","",IF(VLOOKUP(J247,'G-7 WaterC'' Data'!$AK$4:$AM$6,2,FALSE)=0,"Spatial Data Missing ⚠",VLOOKUP(J247,'G-7 WaterC'' Data'!$AK$4:$AM$6,2,FALSE)))</f>
        <v/>
      </c>
      <c r="L247" s="296" t="str">
        <f>IF(J247="","",IF(VLOOKUP(J247,'G-7 WaterC'' Data'!$AK$4:$AM$9,3,FALSE)=0,"Spatial Data Missing ⚠",VLOOKUP(J247,'G-7 WaterC'' Data'!$AK$4:$AM$6,3,FALSE)))</f>
        <v/>
      </c>
      <c r="M247" s="38"/>
      <c r="N247" s="291" t="str">
        <f>IF(M247="","",IF(AND(D247&lt;&gt;"Culvert",M247="N/A - Culvert"),"Not possible ▲",IF(AND(D247="Culvert",M247&lt;&gt;"N/A - Culvert"),"Not possible ▲",IF(VLOOKUP(M247,'G-7 WaterC'' Data'!$AA$4:$AB$7,2,FALSE)=0,"Spatial Data Missing ⚠",VLOOKUP(M247,'G-7 WaterC'' Data'!$AA$4:$AB$7,2,FALSE)))))</f>
        <v/>
      </c>
      <c r="O247" s="44"/>
      <c r="P247" s="291" t="str">
        <f>IF(O247="","",IF(AND(O247="N/A - Culvert", D247&lt;&gt;"Culvert"),"Not possible ▲", IF(AND(D247="Culvert",O247&lt;&gt;"N/A - Culvert"),"Not possible ▲",IF(VLOOKUP(O247,'G-7 WaterC'' Data'!$AD$4:$AE$14,2,FALSE)=0,"Spatial Data Missing ⚠",VLOOKUP(O247,'G-7 WaterC'' Data'!$AD$4:$AE$14,2,FALSE)))))</f>
        <v/>
      </c>
      <c r="Q247" s="297" t="str">
        <f>IF(D247="","",VLOOKUP(D247,'G-7 WaterC'' Data'!$B$2:$G$8,6,FALSE))</f>
        <v/>
      </c>
      <c r="R247" s="304" t="str">
        <f>IFERROR(IF(AND(Q247='G-1 All Habitats'!$X$3, AE247&gt;0, U247&lt;=0, V247&lt;=0, OR(AA247="No", AA247="")),"Any Loss Unacceptable ⚠", (IF(AND(Q247='G-1 All Habitats'!$X$3, AE247&gt;0, U247&lt;=0, V247&lt;=0, AA247="Yes"), 0, (IF(AND(Q247='G-1 All Habitats'!$X$3,(U247+V247)&lt;E247, OR(AA247="No", AA247="")),"Any Loss Unacceptable ⚠", (IF(AND(Q247='G-1 All Habitats'!$X$3,(U247+V247)&gt;E247), E247*G247*I247*L247*N247*P247, (IF(Q247="","",IF(AND(Q247='G-1 All Habitats'!$X$3,V247&gt;0),W247+X247,IF(AND(Q247='G-1 All Habitats'!$X$3,U247&gt;0), W247+X247, IF(AND(S247="Yes", V247&gt;(E247-U247)),(E247-U247)*G247*I247*L247*N247*P247, IF(AND(S247="Yes", V247&lt;=(E247-U247)), X247, E247*G247*I247*L247*N247*P247 ))))))))))))),"Check Data ▲")</f>
        <v/>
      </c>
      <c r="S247" s="671" t="str">
        <f t="shared" si="27"/>
        <v/>
      </c>
      <c r="T247" s="17"/>
      <c r="U247" s="95"/>
      <c r="V247" s="106"/>
      <c r="W247" s="302" t="str">
        <f t="shared" si="28"/>
        <v/>
      </c>
      <c r="X247" s="302" t="str">
        <f t="shared" si="29"/>
        <v/>
      </c>
      <c r="Y247" s="302" t="str">
        <f t="shared" si="30"/>
        <v/>
      </c>
      <c r="Z247" s="471" t="str">
        <f t="shared" si="31"/>
        <v/>
      </c>
      <c r="AA247" s="488"/>
      <c r="AB247" s="486"/>
      <c r="AC247" s="101"/>
      <c r="AD247" s="101"/>
      <c r="AE247" s="41" t="str">
        <f>IF(OR(Q247="",AA247="Yes"),"",IF(Q247='G-1 All Habitats'!$X$3,E247-U247-V247,"None"))</f>
        <v/>
      </c>
      <c r="AF247" s="42" t="str">
        <f>IF(Q247="","", IF(Q247='G-1 All Habitats'!$X$3, AE247*G247*I247*L247*N247*P247,"None"))</f>
        <v/>
      </c>
      <c r="AI247" s="15">
        <f t="shared" si="32"/>
        <v>0</v>
      </c>
      <c r="AJ247" s="105" t="str">
        <f t="shared" si="33"/>
        <v/>
      </c>
      <c r="AK247" s="105" t="str">
        <f t="shared" si="34"/>
        <v/>
      </c>
      <c r="AM247" s="105">
        <v>238</v>
      </c>
      <c r="AO247" s="105" t="str">
        <f t="array" ref="AO247">IFERROR(INDEX($AM$10:$AM$258, MATCH(0, IF(TRUE=$AJ$10:$AJ$258, COUNTIF($AO$9:$AO246, $AM$10:$AM$258), ""), 0)),"")</f>
        <v/>
      </c>
      <c r="AP247" s="105" t="str">
        <f t="array" ref="AP247">IFERROR(INDEX($AM$10:$AM$258, MATCH(0, IF(TRUE=$AK$10:$AK$258, COUNTIF($AP$9:$AP246, $AM$10:$AM$258), ""), 0)),"")</f>
        <v/>
      </c>
      <c r="AR247" s="15" t="str">
        <f>IFERROR(INDEX('G-7 WaterC'' Data'!$AZ$3:$AZ$7,MATCH(D247,'G-7 WaterC'' Data'!$AY$3:$AY$7,0)),"")</f>
        <v/>
      </c>
      <c r="AS247" s="15" t="str">
        <f>IFERROR(INDEX('G-7 WaterC'' Data'!AZ247:AZ251,MATCH(D247,'G-7 WaterC'' Data'!$AY$10:$AY$14,0)),"")</f>
        <v/>
      </c>
      <c r="AU247" s="15" t="str">
        <f>IF(D247="","",VLOOKUP(D247,'G-7 WaterC'' Data'!B$4:M$8,12,FALSE))</f>
        <v/>
      </c>
      <c r="AV247" s="15" t="str">
        <f t="shared" si="35"/>
        <v/>
      </c>
    </row>
    <row r="248" spans="3:48" ht="14" x14ac:dyDescent="0.3">
      <c r="C248" s="92">
        <v>239</v>
      </c>
      <c r="D248" s="271"/>
      <c r="E248" s="120"/>
      <c r="F248" s="290" t="str">
        <f>IF(D248="","",VLOOKUP(D248,'G-7 WaterC'' Data'!$B$2:$G$8,2,FALSE))</f>
        <v/>
      </c>
      <c r="G248" s="291" t="str">
        <f>IFERROR(VLOOKUP(F248,'G-7 WaterC'' Data'!$C$4:$D$8,2,FALSE),"")</f>
        <v/>
      </c>
      <c r="H248" s="38"/>
      <c r="I248" s="291" t="str">
        <f>IFERROR(INDEX('G-7 WaterC'' Data'!$H$4:$L$8,MATCH(D248,'G-7 WaterC'' Data'!$B$4:$B$8,0),MATCH(H248,'G-7 WaterC'' Data'!$H$3:$L$3,0)),"")</f>
        <v/>
      </c>
      <c r="J248" s="777"/>
      <c r="K248" s="325" t="str">
        <f>IF(J248="","",IF(VLOOKUP(J248,'G-7 WaterC'' Data'!$AK$4:$AM$6,2,FALSE)=0,"Spatial Data Missing ⚠",VLOOKUP(J248,'G-7 WaterC'' Data'!$AK$4:$AM$6,2,FALSE)))</f>
        <v/>
      </c>
      <c r="L248" s="296" t="str">
        <f>IF(J248="","",IF(VLOOKUP(J248,'G-7 WaterC'' Data'!$AK$4:$AM$9,3,FALSE)=0,"Spatial Data Missing ⚠",VLOOKUP(J248,'G-7 WaterC'' Data'!$AK$4:$AM$6,3,FALSE)))</f>
        <v/>
      </c>
      <c r="M248" s="38"/>
      <c r="N248" s="291" t="str">
        <f>IF(M248="","",IF(AND(D248&lt;&gt;"Culvert",M248="N/A - Culvert"),"Not possible ▲",IF(AND(D248="Culvert",M248&lt;&gt;"N/A - Culvert"),"Not possible ▲",IF(VLOOKUP(M248,'G-7 WaterC'' Data'!$AA$4:$AB$7,2,FALSE)=0,"Spatial Data Missing ⚠",VLOOKUP(M248,'G-7 WaterC'' Data'!$AA$4:$AB$7,2,FALSE)))))</f>
        <v/>
      </c>
      <c r="O248" s="44"/>
      <c r="P248" s="291" t="str">
        <f>IF(O248="","",IF(AND(O248="N/A - Culvert", D248&lt;&gt;"Culvert"),"Not possible ▲", IF(AND(D248="Culvert",O248&lt;&gt;"N/A - Culvert"),"Not possible ▲",IF(VLOOKUP(O248,'G-7 WaterC'' Data'!$AD$4:$AE$14,2,FALSE)=0,"Spatial Data Missing ⚠",VLOOKUP(O248,'G-7 WaterC'' Data'!$AD$4:$AE$14,2,FALSE)))))</f>
        <v/>
      </c>
      <c r="Q248" s="297" t="str">
        <f>IF(D248="","",VLOOKUP(D248,'G-7 WaterC'' Data'!$B$2:$G$8,6,FALSE))</f>
        <v/>
      </c>
      <c r="R248" s="304" t="str">
        <f>IFERROR(IF(AND(Q248='G-1 All Habitats'!$X$3, AE248&gt;0, U248&lt;=0, V248&lt;=0, OR(AA248="No", AA248="")),"Any Loss Unacceptable ⚠", (IF(AND(Q248='G-1 All Habitats'!$X$3, AE248&gt;0, U248&lt;=0, V248&lt;=0, AA248="Yes"), 0, (IF(AND(Q248='G-1 All Habitats'!$X$3,(U248+V248)&lt;E248, OR(AA248="No", AA248="")),"Any Loss Unacceptable ⚠", (IF(AND(Q248='G-1 All Habitats'!$X$3,(U248+V248)&gt;E248), E248*G248*I248*L248*N248*P248, (IF(Q248="","",IF(AND(Q248='G-1 All Habitats'!$X$3,V248&gt;0),W248+X248,IF(AND(Q248='G-1 All Habitats'!$X$3,U248&gt;0), W248+X248, IF(AND(S248="Yes", V248&gt;(E248-U248)),(E248-U248)*G248*I248*L248*N248*P248, IF(AND(S248="Yes", V248&lt;=(E248-U248)), X248, E248*G248*I248*L248*N248*P248 ))))))))))))),"Check Data ▲")</f>
        <v/>
      </c>
      <c r="S248" s="671" t="str">
        <f t="shared" si="27"/>
        <v/>
      </c>
      <c r="T248" s="17"/>
      <c r="U248" s="95"/>
      <c r="V248" s="106"/>
      <c r="W248" s="302" t="str">
        <f t="shared" si="28"/>
        <v/>
      </c>
      <c r="X248" s="302" t="str">
        <f t="shared" si="29"/>
        <v/>
      </c>
      <c r="Y248" s="302" t="str">
        <f t="shared" si="30"/>
        <v/>
      </c>
      <c r="Z248" s="471" t="str">
        <f t="shared" si="31"/>
        <v/>
      </c>
      <c r="AA248" s="488"/>
      <c r="AB248" s="486"/>
      <c r="AC248" s="101"/>
      <c r="AD248" s="101"/>
      <c r="AE248" s="41" t="str">
        <f>IF(OR(Q248="",AA248="Yes"),"",IF(Q248='G-1 All Habitats'!$X$3,E248-U248-V248,"None"))</f>
        <v/>
      </c>
      <c r="AF248" s="42" t="str">
        <f>IF(Q248="","", IF(Q248='G-1 All Habitats'!$X$3, AE248*G248*I248*L248*N248*P248,"None"))</f>
        <v/>
      </c>
      <c r="AI248" s="15">
        <f t="shared" si="32"/>
        <v>0</v>
      </c>
      <c r="AJ248" s="105" t="str">
        <f t="shared" si="33"/>
        <v/>
      </c>
      <c r="AK248" s="105" t="str">
        <f t="shared" si="34"/>
        <v/>
      </c>
      <c r="AM248" s="105">
        <v>239</v>
      </c>
      <c r="AO248" s="105" t="str">
        <f t="array" ref="AO248">IFERROR(INDEX($AM$10:$AM$258, MATCH(0, IF(TRUE=$AJ$10:$AJ$258, COUNTIF($AO$9:$AO247, $AM$10:$AM$258), ""), 0)),"")</f>
        <v/>
      </c>
      <c r="AP248" s="105" t="str">
        <f t="array" ref="AP248">IFERROR(INDEX($AM$10:$AM$258, MATCH(0, IF(TRUE=$AK$10:$AK$258, COUNTIF($AP$9:$AP247, $AM$10:$AM$258), ""), 0)),"")</f>
        <v/>
      </c>
      <c r="AR248" s="15" t="str">
        <f>IFERROR(INDEX('G-7 WaterC'' Data'!$AZ$3:$AZ$7,MATCH(D248,'G-7 WaterC'' Data'!$AY$3:$AY$7,0)),"")</f>
        <v/>
      </c>
      <c r="AS248" s="15" t="str">
        <f>IFERROR(INDEX('G-7 WaterC'' Data'!AZ248:AZ252,MATCH(D248,'G-7 WaterC'' Data'!$AY$10:$AY$14,0)),"")</f>
        <v/>
      </c>
      <c r="AU248" s="15" t="str">
        <f>IF(D248="","",VLOOKUP(D248,'G-7 WaterC'' Data'!B$4:M$8,12,FALSE))</f>
        <v/>
      </c>
      <c r="AV248" s="15" t="str">
        <f t="shared" si="35"/>
        <v/>
      </c>
    </row>
    <row r="249" spans="3:48" ht="14" x14ac:dyDescent="0.3">
      <c r="C249" s="92">
        <v>240</v>
      </c>
      <c r="D249" s="271"/>
      <c r="E249" s="120"/>
      <c r="F249" s="290" t="str">
        <f>IF(D249="","",VLOOKUP(D249,'G-7 WaterC'' Data'!$B$2:$G$8,2,FALSE))</f>
        <v/>
      </c>
      <c r="G249" s="291" t="str">
        <f>IFERROR(VLOOKUP(F249,'G-7 WaterC'' Data'!$C$4:$D$8,2,FALSE),"")</f>
        <v/>
      </c>
      <c r="H249" s="38"/>
      <c r="I249" s="291" t="str">
        <f>IFERROR(INDEX('G-7 WaterC'' Data'!$H$4:$L$8,MATCH(D249,'G-7 WaterC'' Data'!$B$4:$B$8,0),MATCH(H249,'G-7 WaterC'' Data'!$H$3:$L$3,0)),"")</f>
        <v/>
      </c>
      <c r="J249" s="777"/>
      <c r="K249" s="325" t="str">
        <f>IF(J249="","",IF(VLOOKUP(J249,'G-7 WaterC'' Data'!$AK$4:$AM$6,2,FALSE)=0,"Spatial Data Missing ⚠",VLOOKUP(J249,'G-7 WaterC'' Data'!$AK$4:$AM$6,2,FALSE)))</f>
        <v/>
      </c>
      <c r="L249" s="296" t="str">
        <f>IF(J249="","",IF(VLOOKUP(J249,'G-7 WaterC'' Data'!$AK$4:$AM$9,3,FALSE)=0,"Spatial Data Missing ⚠",VLOOKUP(J249,'G-7 WaterC'' Data'!$AK$4:$AM$6,3,FALSE)))</f>
        <v/>
      </c>
      <c r="M249" s="38"/>
      <c r="N249" s="291" t="str">
        <f>IF(M249="","",IF(AND(D249&lt;&gt;"Culvert",M249="N/A - Culvert"),"Not possible ▲",IF(AND(D249="Culvert",M249&lt;&gt;"N/A - Culvert"),"Not possible ▲",IF(VLOOKUP(M249,'G-7 WaterC'' Data'!$AA$4:$AB$7,2,FALSE)=0,"Spatial Data Missing ⚠",VLOOKUP(M249,'G-7 WaterC'' Data'!$AA$4:$AB$7,2,FALSE)))))</f>
        <v/>
      </c>
      <c r="O249" s="44"/>
      <c r="P249" s="291" t="str">
        <f>IF(O249="","",IF(AND(O249="N/A - Culvert", D249&lt;&gt;"Culvert"),"Not possible ▲", IF(AND(D249="Culvert",O249&lt;&gt;"N/A - Culvert"),"Not possible ▲",IF(VLOOKUP(O249,'G-7 WaterC'' Data'!$AD$4:$AE$14,2,FALSE)=0,"Spatial Data Missing ⚠",VLOOKUP(O249,'G-7 WaterC'' Data'!$AD$4:$AE$14,2,FALSE)))))</f>
        <v/>
      </c>
      <c r="Q249" s="297" t="str">
        <f>IF(D249="","",VLOOKUP(D249,'G-7 WaterC'' Data'!$B$2:$G$8,6,FALSE))</f>
        <v/>
      </c>
      <c r="R249" s="304" t="str">
        <f>IFERROR(IF(AND(Q249='G-1 All Habitats'!$X$3, AE249&gt;0, U249&lt;=0, V249&lt;=0, OR(AA249="No", AA249="")),"Any Loss Unacceptable ⚠", (IF(AND(Q249='G-1 All Habitats'!$X$3, AE249&gt;0, U249&lt;=0, V249&lt;=0, AA249="Yes"), 0, (IF(AND(Q249='G-1 All Habitats'!$X$3,(U249+V249)&lt;E249, OR(AA249="No", AA249="")),"Any Loss Unacceptable ⚠", (IF(AND(Q249='G-1 All Habitats'!$X$3,(U249+V249)&gt;E249), E249*G249*I249*L249*N249*P249, (IF(Q249="","",IF(AND(Q249='G-1 All Habitats'!$X$3,V249&gt;0),W249+X249,IF(AND(Q249='G-1 All Habitats'!$X$3,U249&gt;0), W249+X249, IF(AND(S249="Yes", V249&gt;(E249-U249)),(E249-U249)*G249*I249*L249*N249*P249, IF(AND(S249="Yes", V249&lt;=(E249-U249)), X249, E249*G249*I249*L249*N249*P249 ))))))))))))),"Check Data ▲")</f>
        <v/>
      </c>
      <c r="S249" s="671" t="str">
        <f t="shared" si="27"/>
        <v/>
      </c>
      <c r="T249" s="17"/>
      <c r="U249" s="95"/>
      <c r="V249" s="106"/>
      <c r="W249" s="302" t="str">
        <f t="shared" si="28"/>
        <v/>
      </c>
      <c r="X249" s="302" t="str">
        <f t="shared" si="29"/>
        <v/>
      </c>
      <c r="Y249" s="302" t="str">
        <f t="shared" si="30"/>
        <v/>
      </c>
      <c r="Z249" s="471" t="str">
        <f t="shared" si="31"/>
        <v/>
      </c>
      <c r="AA249" s="488"/>
      <c r="AB249" s="486"/>
      <c r="AC249" s="101"/>
      <c r="AD249" s="101"/>
      <c r="AE249" s="41" t="str">
        <f>IF(OR(Q249="",AA249="Yes"),"",IF(Q249='G-1 All Habitats'!$X$3,E249-U249-V249,"None"))</f>
        <v/>
      </c>
      <c r="AF249" s="42" t="str">
        <f>IF(Q249="","", IF(Q249='G-1 All Habitats'!$X$3, AE249*G249*I249*L249*N249*P249,"None"))</f>
        <v/>
      </c>
      <c r="AI249" s="15">
        <f t="shared" si="32"/>
        <v>0</v>
      </c>
      <c r="AJ249" s="105" t="str">
        <f t="shared" si="33"/>
        <v/>
      </c>
      <c r="AK249" s="105" t="str">
        <f t="shared" si="34"/>
        <v/>
      </c>
      <c r="AM249" s="105">
        <v>240</v>
      </c>
      <c r="AO249" s="105" t="str">
        <f t="array" ref="AO249">IFERROR(INDEX($AM$10:$AM$258, MATCH(0, IF(TRUE=$AJ$10:$AJ$258, COUNTIF($AO$9:$AO248, $AM$10:$AM$258), ""), 0)),"")</f>
        <v/>
      </c>
      <c r="AP249" s="105" t="str">
        <f t="array" ref="AP249">IFERROR(INDEX($AM$10:$AM$258, MATCH(0, IF(TRUE=$AK$10:$AK$258, COUNTIF($AP$9:$AP248, $AM$10:$AM$258), ""), 0)),"")</f>
        <v/>
      </c>
      <c r="AR249" s="15" t="str">
        <f>IFERROR(INDEX('G-7 WaterC'' Data'!$AZ$3:$AZ$7,MATCH(D249,'G-7 WaterC'' Data'!$AY$3:$AY$7,0)),"")</f>
        <v/>
      </c>
      <c r="AS249" s="15" t="str">
        <f>IFERROR(INDEX('G-7 WaterC'' Data'!AZ249:AZ253,MATCH(D249,'G-7 WaterC'' Data'!$AY$10:$AY$14,0)),"")</f>
        <v/>
      </c>
      <c r="AU249" s="15" t="str">
        <f>IF(D249="","",VLOOKUP(D249,'G-7 WaterC'' Data'!B$4:M$8,12,FALSE))</f>
        <v/>
      </c>
      <c r="AV249" s="15" t="str">
        <f t="shared" si="35"/>
        <v/>
      </c>
    </row>
    <row r="250" spans="3:48" ht="14" x14ac:dyDescent="0.3">
      <c r="C250" s="92">
        <v>241</v>
      </c>
      <c r="D250" s="271"/>
      <c r="E250" s="120"/>
      <c r="F250" s="290" t="str">
        <f>IF(D250="","",VLOOKUP(D250,'G-7 WaterC'' Data'!$B$2:$G$8,2,FALSE))</f>
        <v/>
      </c>
      <c r="G250" s="291" t="str">
        <f>IFERROR(VLOOKUP(F250,'G-7 WaterC'' Data'!$C$4:$D$8,2,FALSE),"")</f>
        <v/>
      </c>
      <c r="H250" s="38"/>
      <c r="I250" s="291" t="str">
        <f>IFERROR(INDEX('G-7 WaterC'' Data'!$H$4:$L$8,MATCH(D250,'G-7 WaterC'' Data'!$B$4:$B$8,0),MATCH(H250,'G-7 WaterC'' Data'!$H$3:$L$3,0)),"")</f>
        <v/>
      </c>
      <c r="J250" s="777"/>
      <c r="K250" s="325" t="str">
        <f>IF(J250="","",IF(VLOOKUP(J250,'G-7 WaterC'' Data'!$AK$4:$AM$6,2,FALSE)=0,"Spatial Data Missing ⚠",VLOOKUP(J250,'G-7 WaterC'' Data'!$AK$4:$AM$6,2,FALSE)))</f>
        <v/>
      </c>
      <c r="L250" s="296" t="str">
        <f>IF(J250="","",IF(VLOOKUP(J250,'G-7 WaterC'' Data'!$AK$4:$AM$9,3,FALSE)=0,"Spatial Data Missing ⚠",VLOOKUP(J250,'G-7 WaterC'' Data'!$AK$4:$AM$6,3,FALSE)))</f>
        <v/>
      </c>
      <c r="M250" s="38"/>
      <c r="N250" s="291" t="str">
        <f>IF(M250="","",IF(AND(D250&lt;&gt;"Culvert",M250="N/A - Culvert"),"Not possible ▲",IF(AND(D250="Culvert",M250&lt;&gt;"N/A - Culvert"),"Not possible ▲",IF(VLOOKUP(M250,'G-7 WaterC'' Data'!$AA$4:$AB$7,2,FALSE)=0,"Spatial Data Missing ⚠",VLOOKUP(M250,'G-7 WaterC'' Data'!$AA$4:$AB$7,2,FALSE)))))</f>
        <v/>
      </c>
      <c r="O250" s="44"/>
      <c r="P250" s="291" t="str">
        <f>IF(O250="","",IF(AND(O250="N/A - Culvert", D250&lt;&gt;"Culvert"),"Not possible ▲", IF(AND(D250="Culvert",O250&lt;&gt;"N/A - Culvert"),"Not possible ▲",IF(VLOOKUP(O250,'G-7 WaterC'' Data'!$AD$4:$AE$14,2,FALSE)=0,"Spatial Data Missing ⚠",VLOOKUP(O250,'G-7 WaterC'' Data'!$AD$4:$AE$14,2,FALSE)))))</f>
        <v/>
      </c>
      <c r="Q250" s="297" t="str">
        <f>IF(D250="","",VLOOKUP(D250,'G-7 WaterC'' Data'!$B$2:$G$8,6,FALSE))</f>
        <v/>
      </c>
      <c r="R250" s="304" t="str">
        <f>IFERROR(IF(AND(Q250='G-1 All Habitats'!$X$3, AE250&gt;0, U250&lt;=0, V250&lt;=0, OR(AA250="No", AA250="")),"Any Loss Unacceptable ⚠", (IF(AND(Q250='G-1 All Habitats'!$X$3, AE250&gt;0, U250&lt;=0, V250&lt;=0, AA250="Yes"), 0, (IF(AND(Q250='G-1 All Habitats'!$X$3,(U250+V250)&lt;E250, OR(AA250="No", AA250="")),"Any Loss Unacceptable ⚠", (IF(AND(Q250='G-1 All Habitats'!$X$3,(U250+V250)&gt;E250), E250*G250*I250*L250*N250*P250, (IF(Q250="","",IF(AND(Q250='G-1 All Habitats'!$X$3,V250&gt;0),W250+X250,IF(AND(Q250='G-1 All Habitats'!$X$3,U250&gt;0), W250+X250, IF(AND(S250="Yes", V250&gt;(E250-U250)),(E250-U250)*G250*I250*L250*N250*P250, IF(AND(S250="Yes", V250&lt;=(E250-U250)), X250, E250*G250*I250*L250*N250*P250 ))))))))))))),"Check Data ▲")</f>
        <v/>
      </c>
      <c r="S250" s="671" t="str">
        <f t="shared" si="27"/>
        <v/>
      </c>
      <c r="T250" s="17"/>
      <c r="U250" s="95"/>
      <c r="V250" s="106"/>
      <c r="W250" s="302" t="str">
        <f t="shared" si="28"/>
        <v/>
      </c>
      <c r="X250" s="302" t="str">
        <f t="shared" si="29"/>
        <v/>
      </c>
      <c r="Y250" s="302" t="str">
        <f t="shared" si="30"/>
        <v/>
      </c>
      <c r="Z250" s="471" t="str">
        <f t="shared" si="31"/>
        <v/>
      </c>
      <c r="AA250" s="488"/>
      <c r="AB250" s="486"/>
      <c r="AC250" s="101"/>
      <c r="AD250" s="101"/>
      <c r="AE250" s="41" t="str">
        <f>IF(OR(Q250="",AA250="Yes"),"",IF(Q250='G-1 All Habitats'!$X$3,E250-U250-V250,"None"))</f>
        <v/>
      </c>
      <c r="AF250" s="42" t="str">
        <f>IF(Q250="","", IF(Q250='G-1 All Habitats'!$X$3, AE250*G250*I250*L250*N250*P250,"None"))</f>
        <v/>
      </c>
      <c r="AI250" s="15">
        <f t="shared" si="32"/>
        <v>0</v>
      </c>
      <c r="AJ250" s="105" t="str">
        <f t="shared" si="33"/>
        <v/>
      </c>
      <c r="AK250" s="105" t="str">
        <f t="shared" si="34"/>
        <v/>
      </c>
      <c r="AM250" s="105">
        <v>241</v>
      </c>
      <c r="AO250" s="105" t="str">
        <f t="array" ref="AO250">IFERROR(INDEX($AM$10:$AM$258, MATCH(0, IF(TRUE=$AJ$10:$AJ$258, COUNTIF($AO$9:$AO249, $AM$10:$AM$258), ""), 0)),"")</f>
        <v/>
      </c>
      <c r="AP250" s="105" t="str">
        <f t="array" ref="AP250">IFERROR(INDEX($AM$10:$AM$258, MATCH(0, IF(TRUE=$AK$10:$AK$258, COUNTIF($AP$9:$AP249, $AM$10:$AM$258), ""), 0)),"")</f>
        <v/>
      </c>
      <c r="AR250" s="15" t="str">
        <f>IFERROR(INDEX('G-7 WaterC'' Data'!$AZ$3:$AZ$7,MATCH(D250,'G-7 WaterC'' Data'!$AY$3:$AY$7,0)),"")</f>
        <v/>
      </c>
      <c r="AS250" s="15" t="str">
        <f>IFERROR(INDEX('G-7 WaterC'' Data'!AZ250:AZ254,MATCH(D250,'G-7 WaterC'' Data'!$AY$10:$AY$14,0)),"")</f>
        <v/>
      </c>
      <c r="AU250" s="15" t="str">
        <f>IF(D250="","",VLOOKUP(D250,'G-7 WaterC'' Data'!B$4:M$8,12,FALSE))</f>
        <v/>
      </c>
      <c r="AV250" s="15" t="str">
        <f t="shared" si="35"/>
        <v/>
      </c>
    </row>
    <row r="251" spans="3:48" ht="14" x14ac:dyDescent="0.3">
      <c r="C251" s="92">
        <v>242</v>
      </c>
      <c r="D251" s="271"/>
      <c r="E251" s="120"/>
      <c r="F251" s="290" t="str">
        <f>IF(D251="","",VLOOKUP(D251,'G-7 WaterC'' Data'!$B$2:$G$8,2,FALSE))</f>
        <v/>
      </c>
      <c r="G251" s="291" t="str">
        <f>IFERROR(VLOOKUP(F251,'G-7 WaterC'' Data'!$C$4:$D$8,2,FALSE),"")</f>
        <v/>
      </c>
      <c r="H251" s="38"/>
      <c r="I251" s="291" t="str">
        <f>IFERROR(INDEX('G-7 WaterC'' Data'!$H$4:$L$8,MATCH(D251,'G-7 WaterC'' Data'!$B$4:$B$8,0),MATCH(H251,'G-7 WaterC'' Data'!$H$3:$L$3,0)),"")</f>
        <v/>
      </c>
      <c r="J251" s="777"/>
      <c r="K251" s="325" t="str">
        <f>IF(J251="","",IF(VLOOKUP(J251,'G-7 WaterC'' Data'!$AK$4:$AM$6,2,FALSE)=0,"Spatial Data Missing ⚠",VLOOKUP(J251,'G-7 WaterC'' Data'!$AK$4:$AM$6,2,FALSE)))</f>
        <v/>
      </c>
      <c r="L251" s="296" t="str">
        <f>IF(J251="","",IF(VLOOKUP(J251,'G-7 WaterC'' Data'!$AK$4:$AM$9,3,FALSE)=0,"Spatial Data Missing ⚠",VLOOKUP(J251,'G-7 WaterC'' Data'!$AK$4:$AM$6,3,FALSE)))</f>
        <v/>
      </c>
      <c r="M251" s="38"/>
      <c r="N251" s="291" t="str">
        <f>IF(M251="","",IF(AND(D251&lt;&gt;"Culvert",M251="N/A - Culvert"),"Not possible ▲",IF(AND(D251="Culvert",M251&lt;&gt;"N/A - Culvert"),"Not possible ▲",IF(VLOOKUP(M251,'G-7 WaterC'' Data'!$AA$4:$AB$7,2,FALSE)=0,"Spatial Data Missing ⚠",VLOOKUP(M251,'G-7 WaterC'' Data'!$AA$4:$AB$7,2,FALSE)))))</f>
        <v/>
      </c>
      <c r="O251" s="44"/>
      <c r="P251" s="291" t="str">
        <f>IF(O251="","",IF(AND(O251="N/A - Culvert", D251&lt;&gt;"Culvert"),"Not possible ▲", IF(AND(D251="Culvert",O251&lt;&gt;"N/A - Culvert"),"Not possible ▲",IF(VLOOKUP(O251,'G-7 WaterC'' Data'!$AD$4:$AE$14,2,FALSE)=0,"Spatial Data Missing ⚠",VLOOKUP(O251,'G-7 WaterC'' Data'!$AD$4:$AE$14,2,FALSE)))))</f>
        <v/>
      </c>
      <c r="Q251" s="297" t="str">
        <f>IF(D251="","",VLOOKUP(D251,'G-7 WaterC'' Data'!$B$2:$G$8,6,FALSE))</f>
        <v/>
      </c>
      <c r="R251" s="304" t="str">
        <f>IFERROR(IF(AND(Q251='G-1 All Habitats'!$X$3, AE251&gt;0, U251&lt;=0, V251&lt;=0, OR(AA251="No", AA251="")),"Any Loss Unacceptable ⚠", (IF(AND(Q251='G-1 All Habitats'!$X$3, AE251&gt;0, U251&lt;=0, V251&lt;=0, AA251="Yes"), 0, (IF(AND(Q251='G-1 All Habitats'!$X$3,(U251+V251)&lt;E251, OR(AA251="No", AA251="")),"Any Loss Unacceptable ⚠", (IF(AND(Q251='G-1 All Habitats'!$X$3,(U251+V251)&gt;E251), E251*G251*I251*L251*N251*P251, (IF(Q251="","",IF(AND(Q251='G-1 All Habitats'!$X$3,V251&gt;0),W251+X251,IF(AND(Q251='G-1 All Habitats'!$X$3,U251&gt;0), W251+X251, IF(AND(S251="Yes", V251&gt;(E251-U251)),(E251-U251)*G251*I251*L251*N251*P251, IF(AND(S251="Yes", V251&lt;=(E251-U251)), X251, E251*G251*I251*L251*N251*P251 ))))))))))))),"Check Data ▲")</f>
        <v/>
      </c>
      <c r="S251" s="671" t="str">
        <f t="shared" si="27"/>
        <v/>
      </c>
      <c r="T251" s="17"/>
      <c r="U251" s="95"/>
      <c r="V251" s="106"/>
      <c r="W251" s="302" t="str">
        <f t="shared" si="28"/>
        <v/>
      </c>
      <c r="X251" s="302" t="str">
        <f t="shared" si="29"/>
        <v/>
      </c>
      <c r="Y251" s="302" t="str">
        <f t="shared" si="30"/>
        <v/>
      </c>
      <c r="Z251" s="471" t="str">
        <f t="shared" si="31"/>
        <v/>
      </c>
      <c r="AA251" s="488"/>
      <c r="AB251" s="486"/>
      <c r="AC251" s="101"/>
      <c r="AD251" s="101"/>
      <c r="AE251" s="41" t="str">
        <f>IF(OR(Q251="",AA251="Yes"),"",IF(Q251='G-1 All Habitats'!$X$3,E251-U251-V251,"None"))</f>
        <v/>
      </c>
      <c r="AF251" s="42" t="str">
        <f>IF(Q251="","", IF(Q251='G-1 All Habitats'!$X$3, AE251*G251*I251*L251*N251*P251,"None"))</f>
        <v/>
      </c>
      <c r="AI251" s="15">
        <f t="shared" si="32"/>
        <v>0</v>
      </c>
      <c r="AJ251" s="105" t="str">
        <f t="shared" si="33"/>
        <v/>
      </c>
      <c r="AK251" s="105" t="str">
        <f t="shared" si="34"/>
        <v/>
      </c>
      <c r="AM251" s="105">
        <v>242</v>
      </c>
      <c r="AO251" s="105" t="str">
        <f t="array" ref="AO251">IFERROR(INDEX($AM$10:$AM$258, MATCH(0, IF(TRUE=$AJ$10:$AJ$258, COUNTIF($AO$9:$AO250, $AM$10:$AM$258), ""), 0)),"")</f>
        <v/>
      </c>
      <c r="AP251" s="105" t="str">
        <f t="array" ref="AP251">IFERROR(INDEX($AM$10:$AM$258, MATCH(0, IF(TRUE=$AK$10:$AK$258, COUNTIF($AP$9:$AP250, $AM$10:$AM$258), ""), 0)),"")</f>
        <v/>
      </c>
      <c r="AR251" s="15" t="str">
        <f>IFERROR(INDEX('G-7 WaterC'' Data'!$AZ$3:$AZ$7,MATCH(D251,'G-7 WaterC'' Data'!$AY$3:$AY$7,0)),"")</f>
        <v/>
      </c>
      <c r="AS251" s="15" t="str">
        <f>IFERROR(INDEX('G-7 WaterC'' Data'!AZ251:AZ255,MATCH(D251,'G-7 WaterC'' Data'!$AY$10:$AY$14,0)),"")</f>
        <v/>
      </c>
      <c r="AU251" s="15" t="str">
        <f>IF(D251="","",VLOOKUP(D251,'G-7 WaterC'' Data'!B$4:M$8,12,FALSE))</f>
        <v/>
      </c>
      <c r="AV251" s="15" t="str">
        <f t="shared" si="35"/>
        <v/>
      </c>
    </row>
    <row r="252" spans="3:48" ht="14" x14ac:dyDescent="0.3">
      <c r="C252" s="92">
        <v>243</v>
      </c>
      <c r="D252" s="271"/>
      <c r="E252" s="120"/>
      <c r="F252" s="290" t="str">
        <f>IF(D252="","",VLOOKUP(D252,'G-7 WaterC'' Data'!$B$2:$G$8,2,FALSE))</f>
        <v/>
      </c>
      <c r="G252" s="291" t="str">
        <f>IFERROR(VLOOKUP(F252,'G-7 WaterC'' Data'!$C$4:$D$8,2,FALSE),"")</f>
        <v/>
      </c>
      <c r="H252" s="38"/>
      <c r="I252" s="291" t="str">
        <f>IFERROR(INDEX('G-7 WaterC'' Data'!$H$4:$L$8,MATCH(D252,'G-7 WaterC'' Data'!$B$4:$B$8,0),MATCH(H252,'G-7 WaterC'' Data'!$H$3:$L$3,0)),"")</f>
        <v/>
      </c>
      <c r="J252" s="777"/>
      <c r="K252" s="325" t="str">
        <f>IF(J252="","",IF(VLOOKUP(J252,'G-7 WaterC'' Data'!$AK$4:$AM$6,2,FALSE)=0,"Spatial Data Missing ⚠",VLOOKUP(J252,'G-7 WaterC'' Data'!$AK$4:$AM$6,2,FALSE)))</f>
        <v/>
      </c>
      <c r="L252" s="296" t="str">
        <f>IF(J252="","",IF(VLOOKUP(J252,'G-7 WaterC'' Data'!$AK$4:$AM$9,3,FALSE)=0,"Spatial Data Missing ⚠",VLOOKUP(J252,'G-7 WaterC'' Data'!$AK$4:$AM$6,3,FALSE)))</f>
        <v/>
      </c>
      <c r="M252" s="38"/>
      <c r="N252" s="291" t="str">
        <f>IF(M252="","",IF(AND(D252&lt;&gt;"Culvert",M252="N/A - Culvert"),"Not possible ▲",IF(AND(D252="Culvert",M252&lt;&gt;"N/A - Culvert"),"Not possible ▲",IF(VLOOKUP(M252,'G-7 WaterC'' Data'!$AA$4:$AB$7,2,FALSE)=0,"Spatial Data Missing ⚠",VLOOKUP(M252,'G-7 WaterC'' Data'!$AA$4:$AB$7,2,FALSE)))))</f>
        <v/>
      </c>
      <c r="O252" s="44"/>
      <c r="P252" s="291" t="str">
        <f>IF(O252="","",IF(AND(O252="N/A - Culvert", D252&lt;&gt;"Culvert"),"Not possible ▲", IF(AND(D252="Culvert",O252&lt;&gt;"N/A - Culvert"),"Not possible ▲",IF(VLOOKUP(O252,'G-7 WaterC'' Data'!$AD$4:$AE$14,2,FALSE)=0,"Spatial Data Missing ⚠",VLOOKUP(O252,'G-7 WaterC'' Data'!$AD$4:$AE$14,2,FALSE)))))</f>
        <v/>
      </c>
      <c r="Q252" s="297" t="str">
        <f>IF(D252="","",VLOOKUP(D252,'G-7 WaterC'' Data'!$B$2:$G$8,6,FALSE))</f>
        <v/>
      </c>
      <c r="R252" s="304" t="str">
        <f>IFERROR(IF(AND(Q252='G-1 All Habitats'!$X$3, AE252&gt;0, U252&lt;=0, V252&lt;=0, OR(AA252="No", AA252="")),"Any Loss Unacceptable ⚠", (IF(AND(Q252='G-1 All Habitats'!$X$3, AE252&gt;0, U252&lt;=0, V252&lt;=0, AA252="Yes"), 0, (IF(AND(Q252='G-1 All Habitats'!$X$3,(U252+V252)&lt;E252, OR(AA252="No", AA252="")),"Any Loss Unacceptable ⚠", (IF(AND(Q252='G-1 All Habitats'!$X$3,(U252+V252)&gt;E252), E252*G252*I252*L252*N252*P252, (IF(Q252="","",IF(AND(Q252='G-1 All Habitats'!$X$3,V252&gt;0),W252+X252,IF(AND(Q252='G-1 All Habitats'!$X$3,U252&gt;0), W252+X252, IF(AND(S252="Yes", V252&gt;(E252-U252)),(E252-U252)*G252*I252*L252*N252*P252, IF(AND(S252="Yes", V252&lt;=(E252-U252)), X252, E252*G252*I252*L252*N252*P252 ))))))))))))),"Check Data ▲")</f>
        <v/>
      </c>
      <c r="S252" s="671" t="str">
        <f t="shared" si="27"/>
        <v/>
      </c>
      <c r="T252" s="17"/>
      <c r="U252" s="95"/>
      <c r="V252" s="106"/>
      <c r="W252" s="302" t="str">
        <f t="shared" si="28"/>
        <v/>
      </c>
      <c r="X252" s="302" t="str">
        <f t="shared" si="29"/>
        <v/>
      </c>
      <c r="Y252" s="302" t="str">
        <f t="shared" si="30"/>
        <v/>
      </c>
      <c r="Z252" s="471" t="str">
        <f t="shared" si="31"/>
        <v/>
      </c>
      <c r="AA252" s="488"/>
      <c r="AB252" s="486"/>
      <c r="AC252" s="101"/>
      <c r="AD252" s="101"/>
      <c r="AE252" s="41" t="str">
        <f>IF(OR(Q252="",AA252="Yes"),"",IF(Q252='G-1 All Habitats'!$X$3,E252-U252-V252,"None"))</f>
        <v/>
      </c>
      <c r="AF252" s="42" t="str">
        <f>IF(Q252="","", IF(Q252='G-1 All Habitats'!$X$3, AE252*G252*I252*L252*N252*P252,"None"))</f>
        <v/>
      </c>
      <c r="AI252" s="15">
        <f t="shared" si="32"/>
        <v>0</v>
      </c>
      <c r="AJ252" s="105" t="str">
        <f t="shared" si="33"/>
        <v/>
      </c>
      <c r="AK252" s="105" t="str">
        <f t="shared" si="34"/>
        <v/>
      </c>
      <c r="AM252" s="105">
        <v>243</v>
      </c>
      <c r="AO252" s="105" t="str">
        <f t="array" ref="AO252">IFERROR(INDEX($AM$10:$AM$258, MATCH(0, IF(TRUE=$AJ$10:$AJ$258, COUNTIF($AO$9:$AO251, $AM$10:$AM$258), ""), 0)),"")</f>
        <v/>
      </c>
      <c r="AP252" s="105" t="str">
        <f t="array" ref="AP252">IFERROR(INDEX($AM$10:$AM$258, MATCH(0, IF(TRUE=$AK$10:$AK$258, COUNTIF($AP$9:$AP251, $AM$10:$AM$258), ""), 0)),"")</f>
        <v/>
      </c>
      <c r="AR252" s="15" t="str">
        <f>IFERROR(INDEX('G-7 WaterC'' Data'!$AZ$3:$AZ$7,MATCH(D252,'G-7 WaterC'' Data'!$AY$3:$AY$7,0)),"")</f>
        <v/>
      </c>
      <c r="AS252" s="15" t="str">
        <f>IFERROR(INDEX('G-7 WaterC'' Data'!AZ252:AZ256,MATCH(D252,'G-7 WaterC'' Data'!$AY$10:$AY$14,0)),"")</f>
        <v/>
      </c>
      <c r="AU252" s="15" t="str">
        <f>IF(D252="","",VLOOKUP(D252,'G-7 WaterC'' Data'!B$4:M$8,12,FALSE))</f>
        <v/>
      </c>
      <c r="AV252" s="15" t="str">
        <f t="shared" si="35"/>
        <v/>
      </c>
    </row>
    <row r="253" spans="3:48" ht="14" x14ac:dyDescent="0.3">
      <c r="C253" s="92">
        <v>244</v>
      </c>
      <c r="D253" s="271"/>
      <c r="E253" s="120"/>
      <c r="F253" s="290" t="str">
        <f>IF(D253="","",VLOOKUP(D253,'G-7 WaterC'' Data'!$B$2:$G$8,2,FALSE))</f>
        <v/>
      </c>
      <c r="G253" s="291" t="str">
        <f>IFERROR(VLOOKUP(F253,'G-7 WaterC'' Data'!$C$4:$D$8,2,FALSE),"")</f>
        <v/>
      </c>
      <c r="H253" s="38"/>
      <c r="I253" s="291" t="str">
        <f>IFERROR(INDEX('G-7 WaterC'' Data'!$H$4:$L$8,MATCH(D253,'G-7 WaterC'' Data'!$B$4:$B$8,0),MATCH(H253,'G-7 WaterC'' Data'!$H$3:$L$3,0)),"")</f>
        <v/>
      </c>
      <c r="J253" s="777"/>
      <c r="K253" s="325" t="str">
        <f>IF(J253="","",IF(VLOOKUP(J253,'G-7 WaterC'' Data'!$AK$4:$AM$6,2,FALSE)=0,"Spatial Data Missing ⚠",VLOOKUP(J253,'G-7 WaterC'' Data'!$AK$4:$AM$6,2,FALSE)))</f>
        <v/>
      </c>
      <c r="L253" s="296" t="str">
        <f>IF(J253="","",IF(VLOOKUP(J253,'G-7 WaterC'' Data'!$AK$4:$AM$9,3,FALSE)=0,"Spatial Data Missing ⚠",VLOOKUP(J253,'G-7 WaterC'' Data'!$AK$4:$AM$6,3,FALSE)))</f>
        <v/>
      </c>
      <c r="M253" s="38"/>
      <c r="N253" s="291" t="str">
        <f>IF(M253="","",IF(AND(D253&lt;&gt;"Culvert",M253="N/A - Culvert"),"Not possible ▲",IF(AND(D253="Culvert",M253&lt;&gt;"N/A - Culvert"),"Not possible ▲",IF(VLOOKUP(M253,'G-7 WaterC'' Data'!$AA$4:$AB$7,2,FALSE)=0,"Spatial Data Missing ⚠",VLOOKUP(M253,'G-7 WaterC'' Data'!$AA$4:$AB$7,2,FALSE)))))</f>
        <v/>
      </c>
      <c r="O253" s="44"/>
      <c r="P253" s="291" t="str">
        <f>IF(O253="","",IF(AND(O253="N/A - Culvert", D253&lt;&gt;"Culvert"),"Not possible ▲", IF(AND(D253="Culvert",O253&lt;&gt;"N/A - Culvert"),"Not possible ▲",IF(VLOOKUP(O253,'G-7 WaterC'' Data'!$AD$4:$AE$14,2,FALSE)=0,"Spatial Data Missing ⚠",VLOOKUP(O253,'G-7 WaterC'' Data'!$AD$4:$AE$14,2,FALSE)))))</f>
        <v/>
      </c>
      <c r="Q253" s="297" t="str">
        <f>IF(D253="","",VLOOKUP(D253,'G-7 WaterC'' Data'!$B$2:$G$8,6,FALSE))</f>
        <v/>
      </c>
      <c r="R253" s="304" t="str">
        <f>IFERROR(IF(AND(Q253='G-1 All Habitats'!$X$3, AE253&gt;0, U253&lt;=0, V253&lt;=0, OR(AA253="No", AA253="")),"Any Loss Unacceptable ⚠", (IF(AND(Q253='G-1 All Habitats'!$X$3, AE253&gt;0, U253&lt;=0, V253&lt;=0, AA253="Yes"), 0, (IF(AND(Q253='G-1 All Habitats'!$X$3,(U253+V253)&lt;E253, OR(AA253="No", AA253="")),"Any Loss Unacceptable ⚠", (IF(AND(Q253='G-1 All Habitats'!$X$3,(U253+V253)&gt;E253), E253*G253*I253*L253*N253*P253, (IF(Q253="","",IF(AND(Q253='G-1 All Habitats'!$X$3,V253&gt;0),W253+X253,IF(AND(Q253='G-1 All Habitats'!$X$3,U253&gt;0), W253+X253, IF(AND(S253="Yes", V253&gt;(E253-U253)),(E253-U253)*G253*I253*L253*N253*P253, IF(AND(S253="Yes", V253&lt;=(E253-U253)), X253, E253*G253*I253*L253*N253*P253 ))))))))))))),"Check Data ▲")</f>
        <v/>
      </c>
      <c r="S253" s="671" t="str">
        <f t="shared" si="27"/>
        <v/>
      </c>
      <c r="T253" s="17"/>
      <c r="U253" s="95"/>
      <c r="V253" s="106"/>
      <c r="W253" s="302" t="str">
        <f t="shared" si="28"/>
        <v/>
      </c>
      <c r="X253" s="302" t="str">
        <f t="shared" si="29"/>
        <v/>
      </c>
      <c r="Y253" s="302" t="str">
        <f t="shared" si="30"/>
        <v/>
      </c>
      <c r="Z253" s="471" t="str">
        <f t="shared" si="31"/>
        <v/>
      </c>
      <c r="AA253" s="488"/>
      <c r="AB253" s="486"/>
      <c r="AC253" s="101"/>
      <c r="AD253" s="101"/>
      <c r="AE253" s="41" t="str">
        <f>IF(OR(Q253="",AA253="Yes"),"",IF(Q253='G-1 All Habitats'!$X$3,E253-U253-V253,"None"))</f>
        <v/>
      </c>
      <c r="AF253" s="42" t="str">
        <f>IF(Q253="","", IF(Q253='G-1 All Habitats'!$X$3, AE253*G253*I253*L253*N253*P253,"None"))</f>
        <v/>
      </c>
      <c r="AI253" s="15">
        <f t="shared" si="32"/>
        <v>0</v>
      </c>
      <c r="AJ253" s="105" t="str">
        <f t="shared" si="33"/>
        <v/>
      </c>
      <c r="AK253" s="105" t="str">
        <f t="shared" si="34"/>
        <v/>
      </c>
      <c r="AM253" s="105">
        <v>244</v>
      </c>
      <c r="AO253" s="105" t="str">
        <f t="array" ref="AO253">IFERROR(INDEX($AM$10:$AM$258, MATCH(0, IF(TRUE=$AJ$10:$AJ$258, COUNTIF($AO$9:$AO252, $AM$10:$AM$258), ""), 0)),"")</f>
        <v/>
      </c>
      <c r="AP253" s="105" t="str">
        <f t="array" ref="AP253">IFERROR(INDEX($AM$10:$AM$258, MATCH(0, IF(TRUE=$AK$10:$AK$258, COUNTIF($AP$9:$AP252, $AM$10:$AM$258), ""), 0)),"")</f>
        <v/>
      </c>
      <c r="AR253" s="15" t="str">
        <f>IFERROR(INDEX('G-7 WaterC'' Data'!$AZ$3:$AZ$7,MATCH(D253,'G-7 WaterC'' Data'!$AY$3:$AY$7,0)),"")</f>
        <v/>
      </c>
      <c r="AS253" s="15" t="str">
        <f>IFERROR(INDEX('G-7 WaterC'' Data'!AZ253:AZ257,MATCH(D253,'G-7 WaterC'' Data'!$AY$10:$AY$14,0)),"")</f>
        <v/>
      </c>
      <c r="AU253" s="15" t="str">
        <f>IF(D253="","",VLOOKUP(D253,'G-7 WaterC'' Data'!B$4:M$8,12,FALSE))</f>
        <v/>
      </c>
      <c r="AV253" s="15" t="str">
        <f t="shared" si="35"/>
        <v/>
      </c>
    </row>
    <row r="254" spans="3:48" ht="14" x14ac:dyDescent="0.3">
      <c r="C254" s="92">
        <v>245</v>
      </c>
      <c r="D254" s="271"/>
      <c r="E254" s="120"/>
      <c r="F254" s="290" t="str">
        <f>IF(D254="","",VLOOKUP(D254,'G-7 WaterC'' Data'!$B$2:$G$8,2,FALSE))</f>
        <v/>
      </c>
      <c r="G254" s="291" t="str">
        <f>IFERROR(VLOOKUP(F254,'G-7 WaterC'' Data'!$C$4:$D$8,2,FALSE),"")</f>
        <v/>
      </c>
      <c r="H254" s="38"/>
      <c r="I254" s="291" t="str">
        <f>IFERROR(INDEX('G-7 WaterC'' Data'!$H$4:$L$8,MATCH(D254,'G-7 WaterC'' Data'!$B$4:$B$8,0),MATCH(H254,'G-7 WaterC'' Data'!$H$3:$L$3,0)),"")</f>
        <v/>
      </c>
      <c r="J254" s="777"/>
      <c r="K254" s="325" t="str">
        <f>IF(J254="","",IF(VLOOKUP(J254,'G-7 WaterC'' Data'!$AK$4:$AM$6,2,FALSE)=0,"Spatial Data Missing ⚠",VLOOKUP(J254,'G-7 WaterC'' Data'!$AK$4:$AM$6,2,FALSE)))</f>
        <v/>
      </c>
      <c r="L254" s="296" t="str">
        <f>IF(J254="","",IF(VLOOKUP(J254,'G-7 WaterC'' Data'!$AK$4:$AM$9,3,FALSE)=0,"Spatial Data Missing ⚠",VLOOKUP(J254,'G-7 WaterC'' Data'!$AK$4:$AM$6,3,FALSE)))</f>
        <v/>
      </c>
      <c r="M254" s="38"/>
      <c r="N254" s="291" t="str">
        <f>IF(M254="","",IF(AND(D254&lt;&gt;"Culvert",M254="N/A - Culvert"),"Not possible ▲",IF(AND(D254="Culvert",M254&lt;&gt;"N/A - Culvert"),"Not possible ▲",IF(VLOOKUP(M254,'G-7 WaterC'' Data'!$AA$4:$AB$7,2,FALSE)=0,"Spatial Data Missing ⚠",VLOOKUP(M254,'G-7 WaterC'' Data'!$AA$4:$AB$7,2,FALSE)))))</f>
        <v/>
      </c>
      <c r="O254" s="44"/>
      <c r="P254" s="291" t="str">
        <f>IF(O254="","",IF(AND(O254="N/A - Culvert", D254&lt;&gt;"Culvert"),"Not possible ▲", IF(AND(D254="Culvert",O254&lt;&gt;"N/A - Culvert"),"Not possible ▲",IF(VLOOKUP(O254,'G-7 WaterC'' Data'!$AD$4:$AE$14,2,FALSE)=0,"Spatial Data Missing ⚠",VLOOKUP(O254,'G-7 WaterC'' Data'!$AD$4:$AE$14,2,FALSE)))))</f>
        <v/>
      </c>
      <c r="Q254" s="297" t="str">
        <f>IF(D254="","",VLOOKUP(D254,'G-7 WaterC'' Data'!$B$2:$G$8,6,FALSE))</f>
        <v/>
      </c>
      <c r="R254" s="304" t="str">
        <f>IFERROR(IF(AND(Q254='G-1 All Habitats'!$X$3, AE254&gt;0, U254&lt;=0, V254&lt;=0, OR(AA254="No", AA254="")),"Any Loss Unacceptable ⚠", (IF(AND(Q254='G-1 All Habitats'!$X$3, AE254&gt;0, U254&lt;=0, V254&lt;=0, AA254="Yes"), 0, (IF(AND(Q254='G-1 All Habitats'!$X$3,(U254+V254)&lt;E254, OR(AA254="No", AA254="")),"Any Loss Unacceptable ⚠", (IF(AND(Q254='G-1 All Habitats'!$X$3,(U254+V254)&gt;E254), E254*G254*I254*L254*N254*P254, (IF(Q254="","",IF(AND(Q254='G-1 All Habitats'!$X$3,V254&gt;0),W254+X254,IF(AND(Q254='G-1 All Habitats'!$X$3,U254&gt;0), W254+X254, IF(AND(S254="Yes", V254&gt;(E254-U254)),(E254-U254)*G254*I254*L254*N254*P254, IF(AND(S254="Yes", V254&lt;=(E254-U254)), X254, E254*G254*I254*L254*N254*P254 ))))))))))))),"Check Data ▲")</f>
        <v/>
      </c>
      <c r="S254" s="671" t="str">
        <f t="shared" si="27"/>
        <v/>
      </c>
      <c r="T254" s="17"/>
      <c r="U254" s="95"/>
      <c r="V254" s="106"/>
      <c r="W254" s="302" t="str">
        <f t="shared" si="28"/>
        <v/>
      </c>
      <c r="X254" s="302" t="str">
        <f t="shared" si="29"/>
        <v/>
      </c>
      <c r="Y254" s="302" t="str">
        <f t="shared" si="30"/>
        <v/>
      </c>
      <c r="Z254" s="471" t="str">
        <f t="shared" si="31"/>
        <v/>
      </c>
      <c r="AA254" s="488"/>
      <c r="AB254" s="486"/>
      <c r="AC254" s="101"/>
      <c r="AD254" s="101"/>
      <c r="AE254" s="41" t="str">
        <f>IF(OR(Q254="",AA254="Yes"),"",IF(Q254='G-1 All Habitats'!$X$3,E254-U254-V254,"None"))</f>
        <v/>
      </c>
      <c r="AF254" s="42" t="str">
        <f>IF(Q254="","", IF(Q254='G-1 All Habitats'!$X$3, AE254*G254*I254*L254*N254*P254,"None"))</f>
        <v/>
      </c>
      <c r="AI254" s="15">
        <f t="shared" si="32"/>
        <v>0</v>
      </c>
      <c r="AJ254" s="105" t="str">
        <f t="shared" si="33"/>
        <v/>
      </c>
      <c r="AK254" s="105" t="str">
        <f t="shared" si="34"/>
        <v/>
      </c>
      <c r="AM254" s="105">
        <v>245</v>
      </c>
      <c r="AO254" s="105" t="str">
        <f t="array" ref="AO254">IFERROR(INDEX($AM$10:$AM$258, MATCH(0, IF(TRUE=$AJ$10:$AJ$258, COUNTIF($AO$9:$AO253, $AM$10:$AM$258), ""), 0)),"")</f>
        <v/>
      </c>
      <c r="AP254" s="105" t="str">
        <f t="array" ref="AP254">IFERROR(INDEX($AM$10:$AM$258, MATCH(0, IF(TRUE=$AK$10:$AK$258, COUNTIF($AP$9:$AP253, $AM$10:$AM$258), ""), 0)),"")</f>
        <v/>
      </c>
      <c r="AR254" s="15" t="str">
        <f>IFERROR(INDEX('G-7 WaterC'' Data'!$AZ$3:$AZ$7,MATCH(D254,'G-7 WaterC'' Data'!$AY$3:$AY$7,0)),"")</f>
        <v/>
      </c>
      <c r="AS254" s="15" t="str">
        <f>IFERROR(INDEX('G-7 WaterC'' Data'!AZ254:AZ258,MATCH(D254,'G-7 WaterC'' Data'!$AY$10:$AY$14,0)),"")</f>
        <v/>
      </c>
      <c r="AU254" s="15" t="str">
        <f>IF(D254="","",VLOOKUP(D254,'G-7 WaterC'' Data'!B$4:M$8,12,FALSE))</f>
        <v/>
      </c>
      <c r="AV254" s="15" t="str">
        <f t="shared" si="35"/>
        <v/>
      </c>
    </row>
    <row r="255" spans="3:48" ht="14" x14ac:dyDescent="0.3">
      <c r="C255" s="92">
        <v>246</v>
      </c>
      <c r="D255" s="271"/>
      <c r="E255" s="120"/>
      <c r="F255" s="290" t="str">
        <f>IF(D255="","",VLOOKUP(D255,'G-7 WaterC'' Data'!$B$2:$G$8,2,FALSE))</f>
        <v/>
      </c>
      <c r="G255" s="291" t="str">
        <f>IFERROR(VLOOKUP(F255,'G-7 WaterC'' Data'!$C$4:$D$8,2,FALSE),"")</f>
        <v/>
      </c>
      <c r="H255" s="38"/>
      <c r="I255" s="291" t="str">
        <f>IFERROR(INDEX('G-7 WaterC'' Data'!$H$4:$L$8,MATCH(D255,'G-7 WaterC'' Data'!$B$4:$B$8,0),MATCH(H255,'G-7 WaterC'' Data'!$H$3:$L$3,0)),"")</f>
        <v/>
      </c>
      <c r="J255" s="777"/>
      <c r="K255" s="325" t="str">
        <f>IF(J255="","",IF(VLOOKUP(J255,'G-7 WaterC'' Data'!$AK$4:$AM$6,2,FALSE)=0,"Spatial Data Missing ⚠",VLOOKUP(J255,'G-7 WaterC'' Data'!$AK$4:$AM$6,2,FALSE)))</f>
        <v/>
      </c>
      <c r="L255" s="296" t="str">
        <f>IF(J255="","",IF(VLOOKUP(J255,'G-7 WaterC'' Data'!$AK$4:$AM$9,3,FALSE)=0,"Spatial Data Missing ⚠",VLOOKUP(J255,'G-7 WaterC'' Data'!$AK$4:$AM$6,3,FALSE)))</f>
        <v/>
      </c>
      <c r="M255" s="38"/>
      <c r="N255" s="291" t="str">
        <f>IF(M255="","",IF(AND(D255&lt;&gt;"Culvert",M255="N/A - Culvert"),"Not possible ▲",IF(AND(D255="Culvert",M255&lt;&gt;"N/A - Culvert"),"Not possible ▲",IF(VLOOKUP(M255,'G-7 WaterC'' Data'!$AA$4:$AB$7,2,FALSE)=0,"Spatial Data Missing ⚠",VLOOKUP(M255,'G-7 WaterC'' Data'!$AA$4:$AB$7,2,FALSE)))))</f>
        <v/>
      </c>
      <c r="O255" s="44"/>
      <c r="P255" s="291" t="str">
        <f>IF(O255="","",IF(AND(O255="N/A - Culvert", D255&lt;&gt;"Culvert"),"Not possible ▲", IF(AND(D255="Culvert",O255&lt;&gt;"N/A - Culvert"),"Not possible ▲",IF(VLOOKUP(O255,'G-7 WaterC'' Data'!$AD$4:$AE$14,2,FALSE)=0,"Spatial Data Missing ⚠",VLOOKUP(O255,'G-7 WaterC'' Data'!$AD$4:$AE$14,2,FALSE)))))</f>
        <v/>
      </c>
      <c r="Q255" s="297" t="str">
        <f>IF(D255="","",VLOOKUP(D255,'G-7 WaterC'' Data'!$B$2:$G$8,6,FALSE))</f>
        <v/>
      </c>
      <c r="R255" s="304" t="str">
        <f>IFERROR(IF(AND(Q255='G-1 All Habitats'!$X$3, AE255&gt;0, U255&lt;=0, V255&lt;=0, OR(AA255="No", AA255="")),"Any Loss Unacceptable ⚠", (IF(AND(Q255='G-1 All Habitats'!$X$3, AE255&gt;0, U255&lt;=0, V255&lt;=0, AA255="Yes"), 0, (IF(AND(Q255='G-1 All Habitats'!$X$3,(U255+V255)&lt;E255, OR(AA255="No", AA255="")),"Any Loss Unacceptable ⚠", (IF(AND(Q255='G-1 All Habitats'!$X$3,(U255+V255)&gt;E255), E255*G255*I255*L255*N255*P255, (IF(Q255="","",IF(AND(Q255='G-1 All Habitats'!$X$3,V255&gt;0),W255+X255,IF(AND(Q255='G-1 All Habitats'!$X$3,U255&gt;0), W255+X255, IF(AND(S255="Yes", V255&gt;(E255-U255)),(E255-U255)*G255*I255*L255*N255*P255, IF(AND(S255="Yes", V255&lt;=(E255-U255)), X255, E255*G255*I255*L255*N255*P255 ))))))))))))),"Check Data ▲")</f>
        <v/>
      </c>
      <c r="S255" s="671" t="str">
        <f t="shared" si="27"/>
        <v/>
      </c>
      <c r="T255" s="17"/>
      <c r="U255" s="95"/>
      <c r="V255" s="106"/>
      <c r="W255" s="302" t="str">
        <f t="shared" si="28"/>
        <v/>
      </c>
      <c r="X255" s="302" t="str">
        <f t="shared" si="29"/>
        <v/>
      </c>
      <c r="Y255" s="302" t="str">
        <f t="shared" si="30"/>
        <v/>
      </c>
      <c r="Z255" s="471" t="str">
        <f t="shared" si="31"/>
        <v/>
      </c>
      <c r="AA255" s="488"/>
      <c r="AB255" s="486"/>
      <c r="AC255" s="101"/>
      <c r="AD255" s="101"/>
      <c r="AE255" s="41" t="str">
        <f>IF(OR(Q255="",AA255="Yes"),"",IF(Q255='G-1 All Habitats'!$X$3,E255-U255-V255,"None"))</f>
        <v/>
      </c>
      <c r="AF255" s="42" t="str">
        <f>IF(Q255="","", IF(Q255='G-1 All Habitats'!$X$3, AE255*G255*I255*L255*N255*P255,"None"))</f>
        <v/>
      </c>
      <c r="AI255" s="15">
        <f t="shared" si="32"/>
        <v>0</v>
      </c>
      <c r="AJ255" s="105" t="str">
        <f t="shared" si="33"/>
        <v/>
      </c>
      <c r="AK255" s="105" t="str">
        <f t="shared" si="34"/>
        <v/>
      </c>
      <c r="AM255" s="105">
        <v>246</v>
      </c>
      <c r="AO255" s="105" t="str">
        <f t="array" ref="AO255">IFERROR(INDEX($AM$10:$AM$258, MATCH(0, IF(TRUE=$AJ$10:$AJ$258, COUNTIF($AO$9:$AO254, $AM$10:$AM$258), ""), 0)),"")</f>
        <v/>
      </c>
      <c r="AP255" s="105" t="str">
        <f t="array" ref="AP255">IFERROR(INDEX($AM$10:$AM$258, MATCH(0, IF(TRUE=$AK$10:$AK$258, COUNTIF($AP$9:$AP254, $AM$10:$AM$258), ""), 0)),"")</f>
        <v/>
      </c>
      <c r="AR255" s="15" t="str">
        <f>IFERROR(INDEX('G-7 WaterC'' Data'!$AZ$3:$AZ$7,MATCH(D255,'G-7 WaterC'' Data'!$AY$3:$AY$7,0)),"")</f>
        <v/>
      </c>
      <c r="AS255" s="15" t="str">
        <f>IFERROR(INDEX('G-7 WaterC'' Data'!AZ255:AZ259,MATCH(D255,'G-7 WaterC'' Data'!$AY$10:$AY$14,0)),"")</f>
        <v/>
      </c>
      <c r="AU255" s="15" t="str">
        <f>IF(D255="","",VLOOKUP(D255,'G-7 WaterC'' Data'!B$4:M$8,12,FALSE))</f>
        <v/>
      </c>
      <c r="AV255" s="15" t="str">
        <f t="shared" si="35"/>
        <v/>
      </c>
    </row>
    <row r="256" spans="3:48" ht="14" x14ac:dyDescent="0.3">
      <c r="C256" s="92">
        <v>247</v>
      </c>
      <c r="D256" s="271"/>
      <c r="E256" s="120"/>
      <c r="F256" s="290" t="str">
        <f>IF(D256="","",VLOOKUP(D256,'G-7 WaterC'' Data'!$B$2:$G$8,2,FALSE))</f>
        <v/>
      </c>
      <c r="G256" s="291" t="str">
        <f>IFERROR(VLOOKUP(F256,'G-7 WaterC'' Data'!$C$4:$D$8,2,FALSE),"")</f>
        <v/>
      </c>
      <c r="H256" s="38"/>
      <c r="I256" s="291" t="str">
        <f>IFERROR(INDEX('G-7 WaterC'' Data'!$H$4:$L$8,MATCH(D256,'G-7 WaterC'' Data'!$B$4:$B$8,0),MATCH(H256,'G-7 WaterC'' Data'!$H$3:$L$3,0)),"")</f>
        <v/>
      </c>
      <c r="J256" s="777"/>
      <c r="K256" s="325" t="str">
        <f>IF(J256="","",IF(VLOOKUP(J256,'G-7 WaterC'' Data'!$AK$4:$AM$6,2,FALSE)=0,"Spatial Data Missing ⚠",VLOOKUP(J256,'G-7 WaterC'' Data'!$AK$4:$AM$6,2,FALSE)))</f>
        <v/>
      </c>
      <c r="L256" s="296" t="str">
        <f>IF(J256="","",IF(VLOOKUP(J256,'G-7 WaterC'' Data'!$AK$4:$AM$9,3,FALSE)=0,"Spatial Data Missing ⚠",VLOOKUP(J256,'G-7 WaterC'' Data'!$AK$4:$AM$6,3,FALSE)))</f>
        <v/>
      </c>
      <c r="M256" s="38"/>
      <c r="N256" s="291" t="str">
        <f>IF(M256="","",IF(AND(D256&lt;&gt;"Culvert",M256="N/A - Culvert"),"Not possible ▲",IF(AND(D256="Culvert",M256&lt;&gt;"N/A - Culvert"),"Not possible ▲",IF(VLOOKUP(M256,'G-7 WaterC'' Data'!$AA$4:$AB$7,2,FALSE)=0,"Spatial Data Missing ⚠",VLOOKUP(M256,'G-7 WaterC'' Data'!$AA$4:$AB$7,2,FALSE)))))</f>
        <v/>
      </c>
      <c r="O256" s="44"/>
      <c r="P256" s="291" t="str">
        <f>IF(O256="","",IF(AND(O256="N/A - Culvert", D256&lt;&gt;"Culvert"),"Not possible ▲", IF(AND(D256="Culvert",O256&lt;&gt;"N/A - Culvert"),"Not possible ▲",IF(VLOOKUP(O256,'G-7 WaterC'' Data'!$AD$4:$AE$14,2,FALSE)=0,"Spatial Data Missing ⚠",VLOOKUP(O256,'G-7 WaterC'' Data'!$AD$4:$AE$14,2,FALSE)))))</f>
        <v/>
      </c>
      <c r="Q256" s="297" t="str">
        <f>IF(D256="","",VLOOKUP(D256,'G-7 WaterC'' Data'!$B$2:$G$8,6,FALSE))</f>
        <v/>
      </c>
      <c r="R256" s="304" t="str">
        <f>IFERROR(IF(AND(Q256='G-1 All Habitats'!$X$3, AE256&gt;0, U256&lt;=0, V256&lt;=0, OR(AA256="No", AA256="")),"Any Loss Unacceptable ⚠", (IF(AND(Q256='G-1 All Habitats'!$X$3, AE256&gt;0, U256&lt;=0, V256&lt;=0, AA256="Yes"), 0, (IF(AND(Q256='G-1 All Habitats'!$X$3,(U256+V256)&lt;E256, OR(AA256="No", AA256="")),"Any Loss Unacceptable ⚠", (IF(AND(Q256='G-1 All Habitats'!$X$3,(U256+V256)&gt;E256), E256*G256*I256*L256*N256*P256, (IF(Q256="","",IF(AND(Q256='G-1 All Habitats'!$X$3,V256&gt;0),W256+X256,IF(AND(Q256='G-1 All Habitats'!$X$3,U256&gt;0), W256+X256, IF(AND(S256="Yes", V256&gt;(E256-U256)),(E256-U256)*G256*I256*L256*N256*P256, IF(AND(S256="Yes", V256&lt;=(E256-U256)), X256, E256*G256*I256*L256*N256*P256 ))))))))))))),"Check Data ▲")</f>
        <v/>
      </c>
      <c r="S256" s="671" t="str">
        <f t="shared" si="27"/>
        <v/>
      </c>
      <c r="T256" s="17"/>
      <c r="U256" s="95"/>
      <c r="V256" s="106"/>
      <c r="W256" s="302" t="str">
        <f t="shared" si="28"/>
        <v/>
      </c>
      <c r="X256" s="302" t="str">
        <f t="shared" si="29"/>
        <v/>
      </c>
      <c r="Y256" s="302" t="str">
        <f t="shared" si="30"/>
        <v/>
      </c>
      <c r="Z256" s="471" t="str">
        <f t="shared" si="31"/>
        <v/>
      </c>
      <c r="AA256" s="488"/>
      <c r="AB256" s="486"/>
      <c r="AC256" s="101"/>
      <c r="AD256" s="101"/>
      <c r="AE256" s="41" t="str">
        <f>IF(OR(Q256="",AA256="Yes"),"",IF(Q256='G-1 All Habitats'!$X$3,E256-U256-V256,"None"))</f>
        <v/>
      </c>
      <c r="AF256" s="42" t="str">
        <f>IF(Q256="","", IF(Q256='G-1 All Habitats'!$X$3, AE256*G256*I256*L256*N256*P256,"None"))</f>
        <v/>
      </c>
      <c r="AI256" s="15">
        <f t="shared" si="32"/>
        <v>0</v>
      </c>
      <c r="AJ256" s="105" t="str">
        <f t="shared" si="33"/>
        <v/>
      </c>
      <c r="AK256" s="105" t="str">
        <f t="shared" si="34"/>
        <v/>
      </c>
      <c r="AM256" s="105">
        <v>247</v>
      </c>
      <c r="AO256" s="105" t="str">
        <f t="array" ref="AO256">IFERROR(INDEX($AM$10:$AM$258, MATCH(0, IF(TRUE=$AJ$10:$AJ$258, COUNTIF($AO$9:$AO255, $AM$10:$AM$258), ""), 0)),"")</f>
        <v/>
      </c>
      <c r="AP256" s="105" t="str">
        <f t="array" ref="AP256">IFERROR(INDEX($AM$10:$AM$258, MATCH(0, IF(TRUE=$AK$10:$AK$258, COUNTIF($AP$9:$AP255, $AM$10:$AM$258), ""), 0)),"")</f>
        <v/>
      </c>
      <c r="AR256" s="15" t="str">
        <f>IFERROR(INDEX('G-7 WaterC'' Data'!$AZ$3:$AZ$7,MATCH(D256,'G-7 WaterC'' Data'!$AY$3:$AY$7,0)),"")</f>
        <v/>
      </c>
      <c r="AS256" s="15" t="str">
        <f>IFERROR(INDEX('G-7 WaterC'' Data'!AZ256:AZ260,MATCH(D256,'G-7 WaterC'' Data'!$AY$10:$AY$14,0)),"")</f>
        <v/>
      </c>
      <c r="AU256" s="15" t="str">
        <f>IF(D256="","",VLOOKUP(D256,'G-7 WaterC'' Data'!B$4:M$8,12,FALSE))</f>
        <v/>
      </c>
      <c r="AV256" s="15" t="str">
        <f t="shared" si="35"/>
        <v/>
      </c>
    </row>
    <row r="257" spans="2:48" ht="14.5" thickBot="1" x14ac:dyDescent="0.35">
      <c r="C257" s="107">
        <v>248</v>
      </c>
      <c r="D257" s="271"/>
      <c r="E257" s="120"/>
      <c r="F257" s="292" t="str">
        <f>IF(D257="","",VLOOKUP(D257,'G-7 WaterC'' Data'!$B$2:$G$8,2,FALSE))</f>
        <v/>
      </c>
      <c r="G257" s="293" t="str">
        <f>IFERROR(VLOOKUP(F257,'G-7 WaterC'' Data'!$C$4:$D$8,2,FALSE),"")</f>
        <v/>
      </c>
      <c r="H257" s="38"/>
      <c r="I257" s="291" t="str">
        <f>IFERROR(INDEX('G-7 WaterC'' Data'!$H$4:$L$8,MATCH(D257,'G-7 WaterC'' Data'!$B$4:$B$8,0),MATCH(H257,'G-7 WaterC'' Data'!$H$3:$L$3,0)),"")</f>
        <v/>
      </c>
      <c r="J257" s="777"/>
      <c r="K257" s="325" t="str">
        <f>IF(J257="","",IF(VLOOKUP(J257,'G-7 WaterC'' Data'!$AK$4:$AM$6,2,FALSE)=0,"Spatial Data Missing ⚠",VLOOKUP(J257,'G-7 WaterC'' Data'!$AK$4:$AM$6,2,FALSE)))</f>
        <v/>
      </c>
      <c r="L257" s="296" t="str">
        <f>IF(J257="","",IF(VLOOKUP(J257,'G-7 WaterC'' Data'!$AK$4:$AM$9,3,FALSE)=0,"Spatial Data Missing ⚠",VLOOKUP(J257,'G-7 WaterC'' Data'!$AK$4:$AM$6,3,FALSE)))</f>
        <v/>
      </c>
      <c r="M257" s="38"/>
      <c r="N257" s="291" t="str">
        <f>IF(M257="","",IF(AND(D257&lt;&gt;"Culvert",M257="N/A - Culvert"),"Not possible ▲",IF(AND(D257="Culvert",M257&lt;&gt;"N/A - Culvert"),"Not possible ▲",IF(VLOOKUP(M257,'G-7 WaterC'' Data'!$AA$4:$AB$7,2,FALSE)=0,"Spatial Data Missing ⚠",VLOOKUP(M257,'G-7 WaterC'' Data'!$AA$4:$AB$7,2,FALSE)))))</f>
        <v/>
      </c>
      <c r="O257" s="44"/>
      <c r="P257" s="291" t="str">
        <f>IF(O257="","",IF(AND(O257="N/A - Culvert", D257&lt;&gt;"Culvert"),"Not possible ▲", IF(AND(D257="Culvert",O257&lt;&gt;"N/A - Culvert"),"Not possible ▲",IF(VLOOKUP(O257,'G-7 WaterC'' Data'!$AD$4:$AE$14,2,FALSE)=0,"Spatial Data Missing ⚠",VLOOKUP(O257,'G-7 WaterC'' Data'!$AD$4:$AE$14,2,FALSE)))))</f>
        <v/>
      </c>
      <c r="Q257" s="301" t="str">
        <f>IF(D257="","",VLOOKUP(D257,'G-7 WaterC'' Data'!$B$2:$G$8,6,FALSE))</f>
        <v/>
      </c>
      <c r="R257" s="276" t="str">
        <f>IFERROR(IF(AND(Q257='G-1 All Habitats'!$X$3, AE257&gt;0, U257&lt;=0, V257&lt;=0, OR(AA257="No", AA257="")),"Any Loss Unacceptable ⚠", (IF(AND(Q257='G-1 All Habitats'!$X$3, AE257&gt;0, U257&lt;=0, V257&lt;=0, AA257="Yes"), 0, (IF(AND(Q257='G-1 All Habitats'!$X$3,(U257+V257)&lt;E257, OR(AA257="No", AA257="")),"Any Loss Unacceptable ⚠", (IF(AND(Q257='G-1 All Habitats'!$X$3,(U257+V257)&gt;E257), E257*G257*I257*L257*N257*P257, (IF(Q257="","",IF(AND(Q257='G-1 All Habitats'!$X$3,V257&gt;0),W257+X257,IF(AND(Q257='G-1 All Habitats'!$X$3,U257&gt;0), W257+X257, IF(AND(S257="Yes", V257&gt;(E257-U257)),(E257-U257)*G257*I257*L257*N257*P257, IF(AND(S257="Yes", V257&lt;=(E257-U257)), X257, E257*G257*I257*L257*N257*P257 ))))))))))))),"Check Data ▲")</f>
        <v/>
      </c>
      <c r="S257" s="672" t="str">
        <f t="shared" si="27"/>
        <v/>
      </c>
      <c r="T257" s="17"/>
      <c r="U257" s="587"/>
      <c r="V257" s="591"/>
      <c r="W257" s="555" t="str">
        <f t="shared" si="28"/>
        <v/>
      </c>
      <c r="X257" s="555" t="str">
        <f t="shared" si="29"/>
        <v/>
      </c>
      <c r="Y257" s="302" t="str">
        <f t="shared" si="30"/>
        <v/>
      </c>
      <c r="Z257" s="592" t="str">
        <f t="shared" si="31"/>
        <v/>
      </c>
      <c r="AA257" s="593"/>
      <c r="AB257" s="487"/>
      <c r="AC257" s="112"/>
      <c r="AD257" s="112"/>
      <c r="AE257" s="41" t="str">
        <f>IF(OR(Q257="",AA257="Yes"),"",IF(Q257='G-1 All Habitats'!$X$3,E257-U257-V257,"None"))</f>
        <v/>
      </c>
      <c r="AF257" s="42" t="str">
        <f>IF(Q257="","", IF(Q257='G-1 All Habitats'!$X$3, AE257*G257*I257*L257*N257*P257,"None"))</f>
        <v/>
      </c>
      <c r="AI257" s="15">
        <f t="shared" si="32"/>
        <v>0</v>
      </c>
      <c r="AJ257" s="105" t="str">
        <f t="shared" si="33"/>
        <v/>
      </c>
      <c r="AK257" s="105" t="str">
        <f t="shared" si="34"/>
        <v/>
      </c>
      <c r="AM257" s="105">
        <v>248</v>
      </c>
      <c r="AO257" s="105" t="str">
        <f t="array" ref="AO257">IFERROR(INDEX($AM$10:$AM$258, MATCH(0, IF(TRUE=$AJ$10:$AJ$258, COUNTIF($AO$9:$AO256, $AM$10:$AM$258), ""), 0)),"")</f>
        <v/>
      </c>
      <c r="AP257" s="105" t="str">
        <f t="array" ref="AP257">IFERROR(INDEX($AM$10:$AM$258, MATCH(0, IF(TRUE=$AK$10:$AK$258, COUNTIF($AP$9:$AP256, $AM$10:$AM$258), ""), 0)),"")</f>
        <v/>
      </c>
      <c r="AR257" s="15" t="str">
        <f>IFERROR(INDEX('G-7 WaterC'' Data'!$AZ$3:$AZ$7,MATCH(D257,'G-7 WaterC'' Data'!$AY$3:$AY$7,0)),"")</f>
        <v/>
      </c>
      <c r="AS257" s="15" t="str">
        <f>IFERROR(INDEX('G-7 WaterC'' Data'!AZ257:AZ261,MATCH(D257,'G-7 WaterC'' Data'!$AY$10:$AY$14,0)),"")</f>
        <v/>
      </c>
      <c r="AU257" s="15" t="str">
        <f>IF(D257="","",VLOOKUP(D257,'G-7 WaterC'' Data'!B$4:M$8,12,FALSE))</f>
        <v/>
      </c>
      <c r="AV257" s="15" t="str">
        <f t="shared" si="35"/>
        <v/>
      </c>
    </row>
    <row r="258" spans="2:48" ht="13.9" customHeight="1" thickBot="1" x14ac:dyDescent="0.35">
      <c r="B258" s="15"/>
      <c r="C258" s="19"/>
      <c r="D258" s="266"/>
      <c r="E258" s="343">
        <f>SUM(E10:E257)</f>
        <v>0</v>
      </c>
      <c r="F258" s="19"/>
      <c r="G258" s="19"/>
      <c r="H258" s="19"/>
      <c r="I258" s="19"/>
      <c r="J258" s="19"/>
      <c r="K258" s="19"/>
      <c r="L258" s="19"/>
      <c r="M258" s="19"/>
      <c r="N258" s="19"/>
      <c r="O258" s="19"/>
      <c r="P258" s="1229"/>
      <c r="Q258" s="1279"/>
      <c r="R258" s="343">
        <f>SUM(R10:R257)</f>
        <v>0</v>
      </c>
      <c r="S258" s="669"/>
      <c r="T258" s="114"/>
      <c r="U258" s="455">
        <f>SUM(U10:U257)</f>
        <v>0</v>
      </c>
      <c r="V258" s="456">
        <f>SUM(V10:V257)</f>
        <v>0</v>
      </c>
      <c r="W258" s="456" cm="1">
        <f t="array" ref="W258">IF(OR(W10:W257="Error in Lengths ▲", W10:W257="Error"), "Error ▲",SUM(W10:W257))</f>
        <v>0</v>
      </c>
      <c r="X258" s="456" cm="1">
        <f t="array" ref="X258">IF(OR(W10:W257="Error in Lengths ▲",X10:X257="Error"),"Error ▲",SUM(X10:X257))</f>
        <v>0</v>
      </c>
      <c r="Y258" s="456">
        <f>SUM(Y10:Y257)</f>
        <v>0</v>
      </c>
      <c r="Z258" s="456">
        <f>IFERROR(IF(E258="","",IF((W258+X258)&gt;R258,0,R258-W258-X258)),"Check Data ⚠")</f>
        <v>0</v>
      </c>
      <c r="AA258" s="436"/>
      <c r="AE258" s="677">
        <f>SUM(AE10:AE257)</f>
        <v>0</v>
      </c>
      <c r="AU258" s="15" t="str">
        <f>IF(D258="","",VLOOKUP(D258,'G-7 WaterC'' Data'!B$4:M$8,12,FALSE))</f>
        <v/>
      </c>
    </row>
    <row r="259" spans="2:48" ht="14" x14ac:dyDescent="0.3">
      <c r="B259" s="15"/>
      <c r="C259" s="15"/>
      <c r="T259" s="114"/>
      <c r="U259" s="114"/>
      <c r="V259" s="114"/>
      <c r="W259" s="114"/>
      <c r="X259" s="114"/>
      <c r="Y259" s="114"/>
      <c r="Z259" s="114"/>
      <c r="AA259" s="114"/>
    </row>
    <row r="260" spans="2:48" ht="14" x14ac:dyDescent="0.3"/>
    <row r="261" spans="2:48" ht="14" x14ac:dyDescent="0.3"/>
    <row r="262" spans="2:48" ht="14" x14ac:dyDescent="0.3"/>
    <row r="263" spans="2:48" ht="14" x14ac:dyDescent="0.3"/>
    <row r="264" spans="2:48" ht="14" x14ac:dyDescent="0.3"/>
    <row r="265" spans="2:48" ht="14" x14ac:dyDescent="0.3"/>
    <row r="266" spans="2:48" ht="14" x14ac:dyDescent="0.3"/>
    <row r="267" spans="2:48" ht="14" x14ac:dyDescent="0.3"/>
    <row r="268" spans="2:48" ht="14" x14ac:dyDescent="0.3"/>
    <row r="269" spans="2:48" ht="14" x14ac:dyDescent="0.3"/>
    <row r="270" spans="2:48" ht="14" x14ac:dyDescent="0.3"/>
    <row r="271" spans="2:48" ht="14" x14ac:dyDescent="0.3"/>
    <row r="272" spans="2:48" ht="14" x14ac:dyDescent="0.3"/>
  </sheetData>
  <sheetProtection algorithmName="SHA-512" hashValue="sxqbqI6/mmZHjCHRywVkTyuMSGjJey5aTZdey1o/WVJE1rG3Zu2R2dCq8rwLgSg/jwmYSN1t5tgXT/TxAH1IyA==" saltValue="odCeikBEvZ5gDEplWLwkBw==" spinCount="100000" sheet="1" objects="1" scenarios="1"/>
  <customSheetViews>
    <customSheetView guid="{8BDA793C-C9C5-4FC6-A0A5-F1109F6D4F22}" state="hidden">
      <pane ySplit="9" topLeftCell="A10" activePane="bottomLeft" state="frozen"/>
      <selection pane="bottomLeft" activeCell="D14" sqref="D14"/>
    </customSheetView>
  </customSheetViews>
  <mergeCells count="23">
    <mergeCell ref="AA8:AA9"/>
    <mergeCell ref="S8:S9"/>
    <mergeCell ref="AB8:AD8"/>
    <mergeCell ref="L2:R4"/>
    <mergeCell ref="U5:Z6"/>
    <mergeCell ref="U8:Z8"/>
    <mergeCell ref="P258:Q258"/>
    <mergeCell ref="J8:L8"/>
    <mergeCell ref="M8:N8"/>
    <mergeCell ref="O8:P8"/>
    <mergeCell ref="Q8:Q9"/>
    <mergeCell ref="B2:D2"/>
    <mergeCell ref="B3:D4"/>
    <mergeCell ref="C8:E8"/>
    <mergeCell ref="F8:G8"/>
    <mergeCell ref="H8:I8"/>
    <mergeCell ref="F3:H3"/>
    <mergeCell ref="F4:H4"/>
    <mergeCell ref="I3:J3"/>
    <mergeCell ref="I4:J4"/>
    <mergeCell ref="F2:J2"/>
    <mergeCell ref="F5:H5"/>
    <mergeCell ref="I5:J5"/>
  </mergeCells>
  <conditionalFormatting sqref="Q10:Q257">
    <cfRule type="containsText" dxfId="138" priority="7" operator="containsText" text="Same">
      <formula>NOT(ISERROR(SEARCH("Same",Q10)))</formula>
    </cfRule>
    <cfRule type="containsText" dxfId="137" priority="35" operator="containsText" text="Bespoke">
      <formula>NOT(ISERROR(SEARCH("Bespoke",Q10)))</formula>
    </cfRule>
    <cfRule type="containsText" dxfId="136" priority="74" operator="containsText" text="Restore">
      <formula>NOT(ISERROR(SEARCH("Restore",Q10)))</formula>
    </cfRule>
  </conditionalFormatting>
  <conditionalFormatting sqref="K10:L257">
    <cfRule type="containsText" dxfId="135" priority="69" operator="containsText" text="Spatial">
      <formula>NOT(ISERROR(SEARCH("Spatial",K10)))</formula>
    </cfRule>
  </conditionalFormatting>
  <conditionalFormatting sqref="P10:P257">
    <cfRule type="containsText" dxfId="134" priority="68" operator="containsText" text="Spatial">
      <formula>NOT(ISERROR(SEARCH("Spatial",P10)))</formula>
    </cfRule>
  </conditionalFormatting>
  <conditionalFormatting sqref="Y10:Y257">
    <cfRule type="containsText" dxfId="133" priority="67" operator="containsText" text="Error">
      <formula>NOT(ISERROR(SEARCH("Error",Y10)))</formula>
    </cfRule>
  </conditionalFormatting>
  <conditionalFormatting sqref="Z10:AA257">
    <cfRule type="containsText" dxfId="132" priority="65" operator="containsText" text="Check">
      <formula>NOT(ISERROR(SEARCH("Check",Z10)))</formula>
    </cfRule>
    <cfRule type="containsText" dxfId="131" priority="66" operator="containsText" text="Error">
      <formula>NOT(ISERROR(SEARCH("Error",Z10)))</formula>
    </cfRule>
  </conditionalFormatting>
  <conditionalFormatting sqref="U5:AA6">
    <cfRule type="containsText" dxfId="130" priority="56" operator="containsText" text="Check">
      <formula>NOT(ISERROR(SEARCH("Check",U5)))</formula>
    </cfRule>
  </conditionalFormatting>
  <conditionalFormatting sqref="I4">
    <cfRule type="containsText" dxfId="129" priority="42" operator="containsText" text="Error">
      <formula>NOT(ISERROR(SEARCH("Error",I4)))</formula>
    </cfRule>
    <cfRule type="containsText" dxfId="128" priority="43" operator="containsText" text="Check">
      <formula>NOT(ISERROR(SEARCH("Check",I4)))</formula>
    </cfRule>
  </conditionalFormatting>
  <conditionalFormatting sqref="I3">
    <cfRule type="containsText" dxfId="127" priority="54" operator="containsText" text="Error">
      <formula>NOT(ISERROR(SEARCH("Error",I3)))</formula>
    </cfRule>
    <cfRule type="containsText" dxfId="126" priority="55" operator="containsText" text="Check">
      <formula>NOT(ISERROR(SEARCH("Check",I3)))</formula>
    </cfRule>
  </conditionalFormatting>
  <conditionalFormatting sqref="L2:S4">
    <cfRule type="containsText" dxfId="125" priority="49" operator="containsText" text="Check">
      <formula>NOT(ISERROR(SEARCH("Check",L2)))</formula>
    </cfRule>
  </conditionalFormatting>
  <conditionalFormatting sqref="I5">
    <cfRule type="containsText" dxfId="124" priority="47" operator="containsText" text="No">
      <formula>NOT(ISERROR(SEARCH("No",I5)))</formula>
    </cfRule>
    <cfRule type="containsText" dxfId="123" priority="48" operator="containsText" text="Yes">
      <formula>NOT(ISERROR(SEARCH("Yes",I5)))</formula>
    </cfRule>
  </conditionalFormatting>
  <conditionalFormatting sqref="I10:I257">
    <cfRule type="containsText" dxfId="122" priority="46" operator="containsText" text="Not possible">
      <formula>NOT(ISERROR(SEARCH("Not possible",I10)))</formula>
    </cfRule>
  </conditionalFormatting>
  <conditionalFormatting sqref="W258:X258">
    <cfRule type="containsText" dxfId="121" priority="45" operator="containsText" text="Error">
      <formula>NOT(ISERROR(SEARCH("Error",W258)))</formula>
    </cfRule>
  </conditionalFormatting>
  <conditionalFormatting sqref="W10:W257">
    <cfRule type="containsText" dxfId="120" priority="44" operator="containsText" text="Error">
      <formula>NOT(ISERROR(SEARCH("Error",W10)))</formula>
    </cfRule>
  </conditionalFormatting>
  <conditionalFormatting sqref="I4:J4">
    <cfRule type="cellIs" dxfId="119" priority="41" operator="equal">
      <formula>0</formula>
    </cfRule>
    <cfRule type="cellIs" dxfId="118" priority="51" operator="lessThan">
      <formula>0</formula>
    </cfRule>
  </conditionalFormatting>
  <conditionalFormatting sqref="AA1:AA1048576">
    <cfRule type="containsText" dxfId="117" priority="38" operator="containsText" text="Yes">
      <formula>NOT(ISERROR(SEARCH("Yes",AA1)))</formula>
    </cfRule>
    <cfRule type="containsText" dxfId="116" priority="39" operator="containsText" text="No">
      <formula>NOT(ISERROR(SEARCH("No",AA1)))</formula>
    </cfRule>
  </conditionalFormatting>
  <conditionalFormatting sqref="Z10:Z257">
    <cfRule type="containsText" dxfId="115" priority="6" operator="containsText" text="⚠">
      <formula>NOT(ISERROR(SEARCH("⚠",Z10)))</formula>
    </cfRule>
    <cfRule type="containsText" dxfId="114" priority="36" operator="containsText" text="▲">
      <formula>NOT(ISERROR(SEARCH("▲",Z10)))</formula>
    </cfRule>
    <cfRule type="containsText" dxfId="113" priority="37" operator="containsText" text="✓">
      <formula>NOT(ISERROR(SEARCH("✓",Z10)))</formula>
    </cfRule>
  </conditionalFormatting>
  <conditionalFormatting sqref="R10:S257">
    <cfRule type="containsText" dxfId="112" priority="34" operator="containsText" text="⚠">
      <formula>NOT(ISERROR(SEARCH("⚠",R10)))</formula>
    </cfRule>
  </conditionalFormatting>
  <conditionalFormatting sqref="Y10:Y257">
    <cfRule type="containsText" dxfId="111" priority="33" operator="containsText" text="⚠">
      <formula>NOT(ISERROR(SEARCH("⚠",Y10)))</formula>
    </cfRule>
  </conditionalFormatting>
  <conditionalFormatting sqref="U258:Z258">
    <cfRule type="containsText" dxfId="110" priority="32" operator="containsText" text="▲">
      <formula>NOT(ISERROR(SEARCH("▲",U258)))</formula>
    </cfRule>
  </conditionalFormatting>
  <conditionalFormatting sqref="R258:S258">
    <cfRule type="containsText" dxfId="109" priority="31" operator="containsText" text="▲">
      <formula>NOT(ISERROR(SEARCH("▲",R258)))</formula>
    </cfRule>
  </conditionalFormatting>
  <conditionalFormatting sqref="E258">
    <cfRule type="containsText" dxfId="108" priority="30" operator="containsText" text="▲">
      <formula>NOT(ISERROR(SEARCH("▲",E258)))</formula>
    </cfRule>
  </conditionalFormatting>
  <conditionalFormatting sqref="AE10:AE257">
    <cfRule type="cellIs" dxfId="107" priority="26" operator="equal">
      <formula>""</formula>
    </cfRule>
    <cfRule type="cellIs" dxfId="106" priority="27" operator="equal">
      <formula>"None"</formula>
    </cfRule>
    <cfRule type="cellIs" dxfId="105" priority="29" operator="greaterThan">
      <formula>0</formula>
    </cfRule>
  </conditionalFormatting>
  <conditionalFormatting sqref="AF11">
    <cfRule type="cellIs" dxfId="104" priority="24" operator="equal">
      <formula>"None"</formula>
    </cfRule>
    <cfRule type="cellIs" dxfId="103" priority="25" operator="equal">
      <formula>""</formula>
    </cfRule>
    <cfRule type="cellIs" dxfId="102" priority="28" operator="greaterThan">
      <formula>0</formula>
    </cfRule>
  </conditionalFormatting>
  <conditionalFormatting sqref="AE10:AE257">
    <cfRule type="cellIs" dxfId="101" priority="20" operator="equal">
      <formula>""</formula>
    </cfRule>
    <cfRule type="cellIs" dxfId="100" priority="21" operator="equal">
      <formula>"None"</formula>
    </cfRule>
    <cfRule type="cellIs" dxfId="99" priority="23" operator="greaterThan">
      <formula>0</formula>
    </cfRule>
  </conditionalFormatting>
  <conditionalFormatting sqref="AF10:AF257">
    <cfRule type="cellIs" dxfId="98" priority="18" operator="equal">
      <formula>"None"</formula>
    </cfRule>
    <cfRule type="cellIs" dxfId="97" priority="19" operator="equal">
      <formula>""</formula>
    </cfRule>
    <cfRule type="cellIs" dxfId="96" priority="22" operator="greaterThan">
      <formula>0</formula>
    </cfRule>
  </conditionalFormatting>
  <conditionalFormatting sqref="AE10:AE257">
    <cfRule type="cellIs" dxfId="95" priority="14" operator="equal">
      <formula>""</formula>
    </cfRule>
    <cfRule type="cellIs" dxfId="94" priority="15" operator="equal">
      <formula>"None"</formula>
    </cfRule>
    <cfRule type="cellIs" dxfId="93" priority="17" operator="greaterThan">
      <formula>0</formula>
    </cfRule>
  </conditionalFormatting>
  <conditionalFormatting sqref="AF12:AF257">
    <cfRule type="cellIs" dxfId="92" priority="12" operator="equal">
      <formula>"None"</formula>
    </cfRule>
    <cfRule type="cellIs" dxfId="91" priority="13" operator="equal">
      <formula>""</formula>
    </cfRule>
    <cfRule type="cellIs" dxfId="90" priority="16" operator="greaterThan">
      <formula>0</formula>
    </cfRule>
  </conditionalFormatting>
  <conditionalFormatting sqref="AE10:AE257">
    <cfRule type="cellIs" dxfId="89" priority="11" operator="equal">
      <formula>0</formula>
    </cfRule>
  </conditionalFormatting>
  <conditionalFormatting sqref="I3:J5">
    <cfRule type="containsText" dxfId="88" priority="40" operator="containsText" text="N/A">
      <formula>NOT(ISERROR(SEARCH("N/A",I3)))</formula>
    </cfRule>
  </conditionalFormatting>
  <conditionalFormatting sqref="S1:S1048576">
    <cfRule type="containsText" dxfId="87" priority="9" operator="containsText" text="Yes">
      <formula>NOT(ISERROR(SEARCH("Yes",S1)))</formula>
    </cfRule>
  </conditionalFormatting>
  <conditionalFormatting sqref="W1:W1048576">
    <cfRule type="containsText" dxfId="86" priority="8" operator="containsText" text="⚠">
      <formula>NOT(ISERROR(SEARCH("⚠",W1)))</formula>
    </cfRule>
  </conditionalFormatting>
  <conditionalFormatting sqref="R10:R257">
    <cfRule type="containsText" dxfId="85" priority="5" operator="containsText" text="▲">
      <formula>NOT(ISERROR(SEARCH("▲",R10)))</formula>
    </cfRule>
  </conditionalFormatting>
  <conditionalFormatting sqref="N1:N1048576">
    <cfRule type="containsText" dxfId="84" priority="4" operator="containsText" text="Not possible">
      <formula>NOT(ISERROR(SEARCH("Not possible",N1)))</formula>
    </cfRule>
  </conditionalFormatting>
  <conditionalFormatting sqref="P1:P1048576">
    <cfRule type="containsText" dxfId="83" priority="3" operator="containsText" text="Not possible">
      <formula>NOT(ISERROR(SEARCH("Not possible",P1)))</formula>
    </cfRule>
  </conditionalFormatting>
  <conditionalFormatting sqref="K1:K1048576">
    <cfRule type="containsText" dxfId="82" priority="1" operator="containsText" text="▲">
      <formula>NOT(ISERROR(SEARCH("▲",K1)))</formula>
    </cfRule>
  </conditionalFormatting>
  <dataValidations count="4">
    <dataValidation type="list" allowBlank="1" showInputMessage="1" showErrorMessage="1" sqref="H10:H257" xr:uid="{00000000-0002-0000-1700-000000000000}">
      <formula1>INDIRECT(AR10)</formula1>
    </dataValidation>
    <dataValidation type="list" allowBlank="1" showInputMessage="1" showErrorMessage="1" sqref="M10:M257" xr:uid="{52B43732-67F4-43E1-836B-58A40E91B558}">
      <formula1>IF(D10="Culvert",riparianencroachment2,riparianencroachment1)</formula1>
    </dataValidation>
    <dataValidation type="list" allowBlank="1" showInputMessage="1" showErrorMessage="1" sqref="AA10:AA257" xr:uid="{1C83826F-6F3B-4C35-93D3-3FA428A7CAE5}">
      <formula1>"Yes, No"</formula1>
    </dataValidation>
    <dataValidation type="list" allowBlank="1" showInputMessage="1" showErrorMessage="1" sqref="O10:O257" xr:uid="{7D324509-9B5C-44C8-8954-F6948F29EBF9}">
      <formula1>IF(D10="Culvert",Encroachment2,Encroachment1)</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2" id="{E04A5AF3-797E-4166-99BD-284E1101BFA3}">
            <xm:f>#REF!=0</xm:f>
            <x14:dxf>
              <font>
                <color auto="1"/>
              </font>
              <fill>
                <patternFill>
                  <bgColor rgb="FFE0DCD3"/>
                </patternFill>
              </fill>
            </x14:dxf>
          </x14:cfRule>
          <xm:sqref>I4:J4</xm:sqref>
        </x14:conditionalFormatting>
        <x14:conditionalFormatting xmlns:xm="http://schemas.microsoft.com/office/excel/2006/main">
          <x14:cfRule type="cellIs" priority="479" operator="greaterThanOrEqual" id="{E42BCD5D-E6B2-4B5A-8037-E67C2416228B}">
            <xm:f>Start!$F$22</xm:f>
            <x14:dxf>
              <font>
                <color rgb="FF383745"/>
              </font>
              <fill>
                <patternFill>
                  <bgColor rgb="FF92D050"/>
                </patternFill>
              </fill>
            </x14:dxf>
          </x14:cfRule>
          <xm:sqref>I4:J4</xm:sqref>
        </x14:conditionalFormatting>
        <x14:conditionalFormatting xmlns:xm="http://schemas.microsoft.com/office/excel/2006/main">
          <x14:cfRule type="cellIs" priority="10" operator="lessThan" id="{571EE12E-7470-4D31-9B2B-F99DC7D2579B}">
            <xm:f>Start!$F$22</xm:f>
            <x14:dxf>
              <font>
                <color rgb="FF383745"/>
              </font>
              <fill>
                <patternFill>
                  <bgColor rgb="FFFFC000"/>
                </patternFill>
              </fill>
            </x14:dxf>
          </x14:cfRule>
          <xm:sqref>I4:J4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'G-7 WaterC'' Data'!$B$4:$B$8</xm:f>
          </x14:formula1>
          <xm:sqref>D10:D257</xm:sqref>
        </x14:dataValidation>
        <x14:dataValidation type="list" allowBlank="1" showInputMessage="1" showErrorMessage="1" xr:uid="{E07AE834-6A9A-4C77-9596-8FE9AEDCE850}">
          <x14:formula1>
            <xm:f>'G-7 WaterC'' Data'!$AK$4:$AK$6</xm:f>
          </x14:formula1>
          <xm:sqref>J10:J257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33CC"/>
  </sheetPr>
  <dimension ref="A1:AH268"/>
  <sheetViews>
    <sheetView topLeftCell="K2" zoomScaleNormal="80" workbookViewId="0">
      <pane ySplit="11" topLeftCell="A13" activePane="bottomLeft" state="frozen"/>
      <selection activeCell="U12" sqref="U12"/>
      <selection pane="bottomLeft" activeCell="U12" sqref="U12"/>
    </sheetView>
  </sheetViews>
  <sheetFormatPr defaultColWidth="0" defaultRowHeight="0" customHeight="1" zeroHeight="1" x14ac:dyDescent="0.3"/>
  <cols>
    <col min="1" max="1" width="2.81640625" style="15" customWidth="1"/>
    <col min="2" max="2" width="10.7265625" style="15" customWidth="1"/>
    <col min="3" max="3" width="41" style="15" customWidth="1"/>
    <col min="4" max="4" width="10" style="15" customWidth="1"/>
    <col min="5" max="5" width="18.26953125" style="15" customWidth="1"/>
    <col min="6" max="6" width="13.1796875" style="15" customWidth="1"/>
    <col min="7" max="7" width="12.54296875" style="15" bestFit="1" customWidth="1"/>
    <col min="8" max="8" width="12.54296875" style="15" customWidth="1"/>
    <col min="9" max="9" width="33.7265625" style="15" customWidth="1"/>
    <col min="10" max="10" width="22.26953125" style="15" customWidth="1"/>
    <col min="11" max="11" width="12.26953125" style="15" customWidth="1"/>
    <col min="12" max="12" width="20.81640625" style="15" customWidth="1"/>
    <col min="13" max="14" width="17.7265625" style="15" customWidth="1"/>
    <col min="15" max="15" width="23.54296875" style="15" customWidth="1"/>
    <col min="16" max="16" width="20.453125" style="15" customWidth="1"/>
    <col min="17" max="17" width="15.26953125" style="15" customWidth="1"/>
    <col min="18" max="18" width="15" style="15" customWidth="1"/>
    <col min="19" max="19" width="21.81640625" style="15" customWidth="1"/>
    <col min="20" max="20" width="15.54296875" style="15" customWidth="1"/>
    <col min="21" max="21" width="13.81640625" style="15" customWidth="1"/>
    <col min="22" max="22" width="17.81640625" style="15" customWidth="1"/>
    <col min="23" max="23" width="13.1796875" style="15" customWidth="1"/>
    <col min="24" max="24" width="21.26953125" style="15" customWidth="1"/>
    <col min="25" max="25" width="13.26953125" style="15" customWidth="1"/>
    <col min="26" max="26" width="17.26953125" style="15" customWidth="1"/>
    <col min="27" max="28" width="34.81640625" style="15" customWidth="1"/>
    <col min="29" max="29" width="14.1796875" style="15" customWidth="1"/>
    <col min="30" max="32" width="8.81640625" style="15" customWidth="1"/>
    <col min="33" max="33" width="8.81640625" style="15" hidden="1" customWidth="1"/>
    <col min="34" max="34" width="10.81640625" style="15" hidden="1" customWidth="1"/>
    <col min="35" max="16384" width="8.81640625" style="15" hidden="1"/>
  </cols>
  <sheetData>
    <row r="1" spans="2:34" ht="14.5" hidden="1" thickBot="1" x14ac:dyDescent="0.35"/>
    <row r="2" spans="2:34" ht="24.65" customHeight="1" thickBot="1" x14ac:dyDescent="0.4">
      <c r="B2" s="1272" t="str">
        <f>CONCATENATE("Project Name:", " ", Start!F12, "     ", "Map Reference:", " ", Start!K55)</f>
        <v xml:space="preserve">Project Name: Gain Site 2 for Digital     Map Reference: </v>
      </c>
      <c r="C2" s="1274"/>
      <c r="D2" s="1274"/>
      <c r="E2" s="1273"/>
      <c r="J2" s="255"/>
      <c r="K2" s="255"/>
      <c r="V2" s="1171" t="str">
        <f>IF(OR(COUNTIF(L$12:$L260,"*30+*")&gt;0,COUNTIF(P$12:$P260,"*30+*")&gt;0),"Note; Habitat selected has a time to target condition greater than 30 years. Non standard agreement may be required. ⚠","")</f>
        <v/>
      </c>
      <c r="W2" s="1171"/>
      <c r="X2" s="1171"/>
      <c r="Y2" s="1171"/>
      <c r="Z2" s="1171"/>
      <c r="AA2" s="1171"/>
    </row>
    <row r="3" spans="2:34" ht="15.65" customHeight="1" thickBot="1" x14ac:dyDescent="0.4">
      <c r="B3" s="1282" t="str">
        <f ca="1">MID(CELL("filename",A1),FIND("]",CELL("filename",A1))+1,256)</f>
        <v>C-2 On-Site WaterC' Creation</v>
      </c>
      <c r="C3" s="1283"/>
      <c r="D3" s="1283"/>
      <c r="E3" s="1284"/>
      <c r="I3" s="1118" t="s">
        <v>245</v>
      </c>
      <c r="J3" s="1119"/>
      <c r="K3" s="1119"/>
      <c r="L3" s="1119"/>
      <c r="M3" s="1119"/>
      <c r="N3" s="1119"/>
      <c r="O3" s="1120"/>
      <c r="Q3" s="256"/>
      <c r="R3" s="256"/>
      <c r="S3" s="256"/>
      <c r="V3" s="1171"/>
      <c r="W3" s="1171"/>
      <c r="X3" s="1171"/>
      <c r="Y3" s="1171"/>
      <c r="Z3" s="1171"/>
      <c r="AA3" s="1171"/>
    </row>
    <row r="4" spans="2:34" ht="15" customHeight="1" thickBot="1" x14ac:dyDescent="0.35">
      <c r="B4" s="1282"/>
      <c r="C4" s="1283"/>
      <c r="D4" s="1283"/>
      <c r="E4" s="1284"/>
      <c r="I4" s="1217" t="s">
        <v>131</v>
      </c>
      <c r="J4" s="908"/>
      <c r="K4" s="908"/>
      <c r="L4" s="908"/>
      <c r="M4" s="1212" t="e">
        <f>#REF!</f>
        <v>#REF!</v>
      </c>
      <c r="N4" s="1212"/>
      <c r="O4" s="1213"/>
      <c r="Q4" s="256"/>
      <c r="R4" s="256"/>
      <c r="S4" s="256"/>
      <c r="V4" s="1171"/>
      <c r="W4" s="1171"/>
      <c r="X4" s="1171"/>
      <c r="Y4" s="1171"/>
      <c r="Z4" s="1171"/>
      <c r="AA4" s="1171"/>
    </row>
    <row r="5" spans="2:34" ht="22" customHeight="1" x14ac:dyDescent="0.3">
      <c r="I5" s="1260" t="s">
        <v>133</v>
      </c>
      <c r="J5" s="909"/>
      <c r="K5" s="909"/>
      <c r="L5" s="909"/>
      <c r="M5" s="1257" t="e">
        <f>#REF!</f>
        <v>#REF!</v>
      </c>
      <c r="N5" s="1257"/>
      <c r="O5" s="1258"/>
      <c r="Q5" s="256"/>
      <c r="R5" s="256"/>
      <c r="S5" s="256"/>
      <c r="V5" s="1281" t="str" cm="1">
        <f t="array" ref="V5">IF(OR(G12:G259 = "Fairly Good", G12:G259 = "Fairly Poor"),"A 'Fairly' Category has been used - check evidence to ensure this is appropriate ⚠", "")</f>
        <v/>
      </c>
      <c r="W5" s="1281"/>
      <c r="X5" s="1281"/>
      <c r="Y5" s="1281"/>
      <c r="Z5" s="1281"/>
    </row>
    <row r="6" spans="2:34" ht="26.15" customHeight="1" thickBot="1" x14ac:dyDescent="0.35">
      <c r="I6" s="1261" t="s">
        <v>135</v>
      </c>
      <c r="J6" s="917"/>
      <c r="K6" s="917"/>
      <c r="L6" s="917"/>
      <c r="M6" s="917" t="e" cm="1">
        <f t="array" ref="M6">IF(OR('Trading Summary WaterC''s'!G5:H8="No ▲"), "No - check trading summary ▲", "Yes ✓")</f>
        <v>#REF!</v>
      </c>
      <c r="N6" s="917"/>
      <c r="O6" s="1259"/>
      <c r="P6" s="256"/>
      <c r="Q6" s="256"/>
      <c r="R6" s="256"/>
      <c r="S6" s="256"/>
      <c r="V6" s="1281"/>
      <c r="W6" s="1281"/>
      <c r="X6" s="1281"/>
      <c r="Y6" s="1281"/>
      <c r="Z6" s="1281"/>
    </row>
    <row r="7" spans="2:34" ht="6" customHeight="1" x14ac:dyDescent="0.3">
      <c r="L7" s="256"/>
      <c r="M7" s="256"/>
      <c r="N7" s="256"/>
      <c r="O7" s="256"/>
      <c r="P7" s="256"/>
    </row>
    <row r="8" spans="2:34" ht="6" customHeight="1" x14ac:dyDescent="0.3"/>
    <row r="9" spans="2:34" ht="15.75" customHeight="1" thickBot="1" x14ac:dyDescent="0.35"/>
    <row r="10" spans="2:34" s="18" customFormat="1" ht="29.25" customHeight="1" thickBot="1" x14ac:dyDescent="0.35">
      <c r="B10" s="167"/>
      <c r="C10" s="1241" t="s">
        <v>235</v>
      </c>
      <c r="D10" s="1241"/>
      <c r="E10" s="1241" t="s">
        <v>137</v>
      </c>
      <c r="F10" s="1241"/>
      <c r="G10" s="1241" t="s">
        <v>222</v>
      </c>
      <c r="H10" s="1241"/>
      <c r="I10" s="1241" t="s">
        <v>139</v>
      </c>
      <c r="J10" s="1241"/>
      <c r="K10" s="1241"/>
      <c r="L10" s="1252" t="s">
        <v>180</v>
      </c>
      <c r="M10" s="1253"/>
      <c r="N10" s="1253"/>
      <c r="O10" s="1253"/>
      <c r="P10" s="1253"/>
      <c r="Q10" s="1254"/>
      <c r="R10" s="1252" t="s">
        <v>181</v>
      </c>
      <c r="S10" s="1253"/>
      <c r="T10" s="1253"/>
      <c r="U10" s="1254"/>
      <c r="V10" s="1241" t="s">
        <v>247</v>
      </c>
      <c r="W10" s="1241"/>
      <c r="X10" s="1241" t="s">
        <v>248</v>
      </c>
      <c r="Y10" s="1241"/>
      <c r="Z10" s="1228" t="s">
        <v>259</v>
      </c>
      <c r="AA10" s="1233" t="s">
        <v>144</v>
      </c>
      <c r="AB10" s="1234"/>
      <c r="AC10" s="1235"/>
    </row>
    <row r="11" spans="2:34" s="18" customFormat="1" ht="62.15" customHeight="1" thickBot="1" x14ac:dyDescent="0.35">
      <c r="B11" s="493" t="s">
        <v>204</v>
      </c>
      <c r="C11" s="113" t="s">
        <v>78</v>
      </c>
      <c r="D11" s="507" t="s">
        <v>28</v>
      </c>
      <c r="E11" s="113" t="s">
        <v>137</v>
      </c>
      <c r="F11" s="507" t="s">
        <v>154</v>
      </c>
      <c r="G11" s="113" t="s">
        <v>138</v>
      </c>
      <c r="H11" s="507" t="s">
        <v>154</v>
      </c>
      <c r="I11" s="113" t="s">
        <v>139</v>
      </c>
      <c r="J11" s="562" t="s">
        <v>139</v>
      </c>
      <c r="K11" s="507" t="s">
        <v>183</v>
      </c>
      <c r="L11" s="113" t="s">
        <v>238</v>
      </c>
      <c r="M11" s="562" t="s">
        <v>185</v>
      </c>
      <c r="N11" s="562" t="s">
        <v>186</v>
      </c>
      <c r="O11" s="562" t="s">
        <v>187</v>
      </c>
      <c r="P11" s="562" t="s">
        <v>188</v>
      </c>
      <c r="Q11" s="507" t="s">
        <v>242</v>
      </c>
      <c r="R11" s="113" t="s">
        <v>190</v>
      </c>
      <c r="S11" s="562" t="s">
        <v>260</v>
      </c>
      <c r="T11" s="562" t="s">
        <v>192</v>
      </c>
      <c r="U11" s="507" t="s">
        <v>193</v>
      </c>
      <c r="V11" s="107" t="s">
        <v>250</v>
      </c>
      <c r="W11" s="580" t="s">
        <v>251</v>
      </c>
      <c r="X11" s="107" t="s">
        <v>252</v>
      </c>
      <c r="Y11" s="580" t="s">
        <v>251</v>
      </c>
      <c r="Z11" s="1228"/>
      <c r="AA11" s="682" t="s">
        <v>163</v>
      </c>
      <c r="AB11" s="680" t="s">
        <v>164</v>
      </c>
      <c r="AC11" s="586" t="s">
        <v>1539</v>
      </c>
      <c r="AH11" s="170" t="s">
        <v>148</v>
      </c>
    </row>
    <row r="12" spans="2:34" ht="14" x14ac:dyDescent="0.3">
      <c r="B12" s="242">
        <v>1</v>
      </c>
      <c r="C12" s="169"/>
      <c r="D12" s="37"/>
      <c r="E12" s="290" t="str">
        <f>IF(C12="","",VLOOKUP(C12,'G-7 WaterC'' Data'!$B$2:$G$8,2,FALSE))</f>
        <v/>
      </c>
      <c r="F12" s="291" t="str">
        <f>IFERROR(VLOOKUP(E12,'G-7 WaterC'' Data'!$C$4:$D$8,2,FALSE),"")</f>
        <v/>
      </c>
      <c r="G12" s="95"/>
      <c r="H12" s="291" t="str">
        <f>IFERROR(INDEX('G-7 WaterC'' Data'!$H$4:$L$8,MATCH(C12,'G-7 WaterC'' Data'!$B$4:$B$8,0),MATCH(G12,'G-7 WaterC'' Data'!$H$3:$L$3,0)),"")</f>
        <v/>
      </c>
      <c r="I12" s="38"/>
      <c r="J12" s="298" t="str">
        <f>IF(I12="","",IF(VLOOKUP(I12,'G-7 WaterC'' Data'!$AK$4:$AM$6,2,FALSE)=0,"Spatial Data Missing ⚠",VLOOKUP(I12,'G-7 WaterC'' Data'!$AK$4:$AM$6,2,FALSE)))</f>
        <v/>
      </c>
      <c r="K12" s="291" t="str">
        <f>IF(I12="","",IF(VLOOKUP(I12,'G-7 WaterC'' Data'!$AK$4:$AM$6,3,FALSE)=0,"Spatial Data Missing ⚠",VLOOKUP(I12,'G-7 WaterC'' Data'!$AK$4:$AM$6,3,FALSE)))</f>
        <v/>
      </c>
      <c r="L12" s="290" t="str">
        <f>IFERROR(INDEX('G-7 WaterC'' Data'!$O$3:$O$7,MATCH(G12,'G-7 WaterC'' Data'!$N$3:$N$7,0)),"")</f>
        <v/>
      </c>
      <c r="M12" s="47"/>
      <c r="N12" s="47"/>
      <c r="O12" s="298" t="str">
        <f>IF(L12="","",IF(AND(M12&gt;0,N12&gt;0),"Error -both advance and delayed habitat creation ▲",IF(AND(OR(M12="Habitat already in target condition",L12&lt;=M12),N12=0),"Check details - Is there evidence that habitat has reached target condition? ⚠",IF(M12&gt;0,"Check details - Is there evidence habitat creation started/in place? ⚠",IF(N12&gt;0,"Check details- Delay in starting habitat in required condition? ⚠","Standard time to target condition applied")))))</f>
        <v/>
      </c>
      <c r="P12" s="311" t="str">
        <f>IF(O12="Error -both advance and delayed habitat creation ▲","Check Data ⚠",IF(L12="","",IF(M12="30+",0,IF(N12="30+","30+",IF(L12+N12&gt;30,"30+ ",IF(L12+N12-M12&gt;0,L12+N12-M12,IF(L12-M12&lt;0,0,L12+N12-M12)))))))</f>
        <v/>
      </c>
      <c r="Q12" s="344" t="str">
        <f>IFERROR(IF(P12="Check Data ⚠","Check Data ⚠",VLOOKUP(P12,'G-4 Temporal multipliers'!$A$4:$C$37,3,FALSE)),"")</f>
        <v/>
      </c>
      <c r="R12" s="290" t="str">
        <f>IF(C12="","",VLOOKUP(C12,'G-7 WaterC'' Data'!$B$4:$G$8,4,FALSE))</f>
        <v/>
      </c>
      <c r="S12" s="298" t="str">
        <f>IF(C12="","",IF(P12="Check Data ⚠","Check Data ⚠",IF(G12="","",IF($O12="Check details - Is there evidence that habitat has reached target condition? ⚠","Low Difficulty - only applicable if all habitat created before losses ⚠","Standard difficulty applied"))))</f>
        <v/>
      </c>
      <c r="T12" s="328" t="str">
        <f>(IF(AND(S12="Standard difficulty applied",L12&gt;M12),R12,IF(AND(S12="Low Difficulty - only applicable if all habitat created before losses ⚠",M12&gt;=L12),"Low",R12)))</f>
        <v/>
      </c>
      <c r="U12" s="291" t="str">
        <f>IF(C12="","",VLOOKUP(T12,'G-3 Multipliers'!$P$2:$Q$6,2,FALSE))</f>
        <v/>
      </c>
      <c r="V12" s="38"/>
      <c r="W12" s="291" t="str">
        <f>IF(V12="","",IF(AND(V12="N/A - Culvert",C12&lt;&gt;"Culvert"),"Not possible ▲",IF(AND(C12="Culvert",V12&lt;&gt;"N/A - Culvert"),"Not possible ▲",IF(VLOOKUP(V12,'G-7 WaterC'' Data'!$AA$4:$AB$7,2,FALSE)=0,"Spatial Data Missing ⚠",VLOOKUP(V12,'G-7 WaterC'' Data'!$AA$4:$AB$7,2,FALSE)))))</f>
        <v/>
      </c>
      <c r="X12" s="44"/>
      <c r="Y12" s="291" t="str">
        <f>IF(X12="","",IF(AND(X12="N/A - Culvert", C12&lt;&gt;"Culvert"), "Not possible ▲",IF(AND(C12="Culvert",X12&lt;&gt;"N/A - Culvert"),"Not possible ▲",IF(VLOOKUP(X12,'G-7 WaterC'' Data'!$AD$4:$AE$14,2,FALSE)=0,"Enrcoachment Data Missing ⚠",VLOOKUP(X12,'G-7 WaterC'' Data'!$AD$4:$AE$14,2,FALSE)))))</f>
        <v/>
      </c>
      <c r="Z12" s="332" t="str">
        <f>IFERROR(IF(C12="","",D12*F12*H12*K12*Q12*U12*Y12*W12),"")</f>
        <v/>
      </c>
      <c r="AA12" s="98"/>
      <c r="AB12" s="99"/>
      <c r="AC12" s="99"/>
      <c r="AH12" s="15" t="str">
        <f>IFERROR(INDEX('G-7 WaterC'' Data'!$AZ$3:$AZ$7,MATCH(C12,'G-7 WaterC'' Data'!$AY$3:$AY$7,0)),"")</f>
        <v/>
      </c>
    </row>
    <row r="13" spans="2:34" ht="14" x14ac:dyDescent="0.3">
      <c r="B13" s="92">
        <v>2</v>
      </c>
      <c r="C13" s="116"/>
      <c r="D13" s="37"/>
      <c r="E13" s="290" t="str">
        <f>IF(C13="","",VLOOKUP(C13,'G-7 WaterC'' Data'!$B$2:$G$8,2,FALSE))</f>
        <v/>
      </c>
      <c r="F13" s="291" t="str">
        <f>IFERROR(VLOOKUP(E13,'G-7 WaterC'' Data'!$C$4:$D$8,2,FALSE),"")</f>
        <v/>
      </c>
      <c r="G13" s="95"/>
      <c r="H13" s="291" t="str">
        <f>IFERROR(INDEX('G-7 WaterC'' Data'!$H$4:$L$8,MATCH(C13,'G-7 WaterC'' Data'!$B$4:$B$8,0),MATCH(G13,'G-7 WaterC'' Data'!$H$3:$L$3,0)),"")</f>
        <v/>
      </c>
      <c r="I13" s="38"/>
      <c r="J13" s="298" t="str">
        <f>IF(I13="","",IF(VLOOKUP(I13,'G-7 WaterC'' Data'!$AK$4:$AM$6,2,FALSE)=0,"Spatial Data Missing ⚠",VLOOKUP(I13,'G-7 WaterC'' Data'!$AK$4:$AM$6,2,FALSE)))</f>
        <v/>
      </c>
      <c r="K13" s="291" t="str">
        <f>IF(I13="","",IF(VLOOKUP(I13,'G-7 WaterC'' Data'!$AK$4:$AM$6,3,FALSE)=0,"Spatial Data Missing ⚠",VLOOKUP(I13,'G-7 WaterC'' Data'!$AK$4:$AM$6,3,FALSE)))</f>
        <v/>
      </c>
      <c r="L13" s="290" t="str">
        <f>IFERROR(INDEX('G-7 WaterC'' Data'!$O$3:$O$7,MATCH(G13,'G-7 WaterC'' Data'!$N$3:$N$7,0)),"")</f>
        <v/>
      </c>
      <c r="M13" s="47"/>
      <c r="N13" s="47"/>
      <c r="O13" s="298" t="str">
        <f t="shared" ref="O13:O76" si="0">IF(L13="","",IF(AND(M13&gt;0,N13&gt;0),"Error -both advance and delayed habitat creation ▲",IF(AND(OR(M13="Habitat already in target condition",L13&lt;=M13),N13=0),"Check details - Is there evidence that habitat has reached target condition? ⚠",IF(M13&gt;0,"Check details - Is there evidence habitat creation started/in place? ⚠",IF(N13&gt;0,"Check details- Delay in starting habitat in required condition? ⚠","Standard time to target condition applied")))))</f>
        <v/>
      </c>
      <c r="P13" s="311" t="str">
        <f t="shared" ref="P13:P76" si="1">IF(O13="Error -both advance and delayed habitat creation ▲","Check Data ⚠",IF(L13="","",IF(M13="30+",0,IF(N13="30+","30+",IF(L13+N13&gt;30,"30+ ",IF(L13+N13-M13&gt;0,L13+N13-M13,IF(L13-M13&lt;0,0,L13+N13-M13)))))))</f>
        <v/>
      </c>
      <c r="Q13" s="344" t="str">
        <f>IFERROR(IF(P13="Check Data ⚠","Check Data ⚠",VLOOKUP(P13,'G-4 Temporal multipliers'!$A$4:$C$37,3,FALSE)),"")</f>
        <v/>
      </c>
      <c r="R13" s="290" t="str">
        <f>IF(C13="","",VLOOKUP(C13,'G-7 WaterC'' Data'!$B$4:$G$8,4,FALSE))</f>
        <v/>
      </c>
      <c r="S13" s="298" t="str">
        <f t="shared" ref="S13:S76" si="2">IF(C13="","",IF(P13="Check Data ⚠","Check Data ⚠",IF(G13="","",IF($O13="Check details - Is there evidence that habitat has reached target condition? ⚠","Low Difficulty - only applicable if all habitat created before losses ⚠","Standard difficulty applied"))))</f>
        <v/>
      </c>
      <c r="T13" s="328" t="str">
        <f t="shared" ref="T13:T76" si="3">(IF(AND(S13="Standard difficulty applied",L13&gt;M13),R13,IF(AND(S13="Low Difficulty - only applicable if all habitat created before losses ⚠",M13&gt;=L13),"Low",R13)))</f>
        <v/>
      </c>
      <c r="U13" s="291" t="str">
        <f>IF(C13="","",VLOOKUP(T13,'G-3 Multipliers'!$P$2:$Q$6,2,FALSE))</f>
        <v/>
      </c>
      <c r="V13" s="96"/>
      <c r="W13" s="291" t="str">
        <f>IF(V13="","",IF(AND(V13="N/A - Culvert",C13&lt;&gt;"Culvert"),"Not possible ▲",IF(AND(C13="Culvert",V13&lt;&gt;"N/A - Culvert"),"Not possible ▲",IF(VLOOKUP(V13,'G-7 WaterC'' Data'!$AA$4:$AB$7,2,FALSE)=0,"Spatial Data Missing ⚠",VLOOKUP(V13,'G-7 WaterC'' Data'!$AA$4:$AB$7,2,FALSE)))))</f>
        <v/>
      </c>
      <c r="X13" s="44"/>
      <c r="Y13" s="291" t="str">
        <f>IF(X13="","",IF(AND(X13="N/A - Culvert", C13&lt;&gt;"Culvert"), "Not possible ▲",IF(AND(C13="Culvert",X13&lt;&gt;"N/A - Culvert"),"Not possible ▲",IF(VLOOKUP(X13,'G-7 WaterC'' Data'!$AD$4:$AE$14,2,FALSE)=0,"Enrcoachment Data Missing ⚠",VLOOKUP(X13,'G-7 WaterC'' Data'!$AD$4:$AE$14,2,FALSE)))))</f>
        <v/>
      </c>
      <c r="Z13" s="332" t="str">
        <f t="shared" ref="Z13:Z76" si="4">IFERROR(IF(C13="","",D13*F13*H13*K13*Q13*U13*Y13*W13),"")</f>
        <v/>
      </c>
      <c r="AA13" s="98"/>
      <c r="AB13" s="99"/>
      <c r="AC13" s="101"/>
      <c r="AH13" s="15" t="str">
        <f>IFERROR(INDEX('G-7 WaterC'' Data'!$AZ$3:$AZ$7,MATCH(C13,'G-7 WaterC'' Data'!$AY$3:$AY$7,0)),"")</f>
        <v/>
      </c>
    </row>
    <row r="14" spans="2:34" ht="14" x14ac:dyDescent="0.3">
      <c r="B14" s="92">
        <v>3</v>
      </c>
      <c r="C14" s="116"/>
      <c r="D14" s="37"/>
      <c r="E14" s="290" t="str">
        <f>IF(C14="","",VLOOKUP(C14,'G-7 WaterC'' Data'!$B$2:$G$8,2,FALSE))</f>
        <v/>
      </c>
      <c r="F14" s="291" t="str">
        <f>IFERROR(VLOOKUP(E14,'G-7 WaterC'' Data'!$C$4:$D$8,2,FALSE),"")</f>
        <v/>
      </c>
      <c r="G14" s="95"/>
      <c r="H14" s="291" t="str">
        <f>IFERROR(INDEX('G-7 WaterC'' Data'!$H$4:$L$8,MATCH(C14,'G-7 WaterC'' Data'!$B$4:$B$8,0),MATCH(G14,'G-7 WaterC'' Data'!$H$3:$L$3,0)),"")</f>
        <v/>
      </c>
      <c r="I14" s="38"/>
      <c r="J14" s="298" t="str">
        <f>IF(I14="","",IF(VLOOKUP(I14,'G-7 WaterC'' Data'!$AK$4:$AM$6,2,FALSE)=0,"Spatial Data Missing ⚠",VLOOKUP(I14,'G-7 WaterC'' Data'!$AK$4:$AM$6,2,FALSE)))</f>
        <v/>
      </c>
      <c r="K14" s="291" t="str">
        <f>IF(I14="","",IF(VLOOKUP(I14,'G-7 WaterC'' Data'!$AK$4:$AM$6,3,FALSE)=0,"Spatial Data Missing ⚠",VLOOKUP(I14,'G-7 WaterC'' Data'!$AK$4:$AM$6,3,FALSE)))</f>
        <v/>
      </c>
      <c r="L14" s="290" t="str">
        <f>IFERROR(INDEX('G-7 WaterC'' Data'!$O$3:$O$7,MATCH(G14,'G-7 WaterC'' Data'!$N$3:$N$7,0)),"")</f>
        <v/>
      </c>
      <c r="M14" s="47"/>
      <c r="N14" s="47"/>
      <c r="O14" s="298" t="str">
        <f t="shared" si="0"/>
        <v/>
      </c>
      <c r="P14" s="311" t="str">
        <f t="shared" si="1"/>
        <v/>
      </c>
      <c r="Q14" s="344" t="str">
        <f>IFERROR(IF(P14="Check Data ⚠","Check Data ⚠",VLOOKUP(P14,'G-4 Temporal multipliers'!$A$4:$C$37,3,FALSE)),"")</f>
        <v/>
      </c>
      <c r="R14" s="290" t="str">
        <f>IF(C14="","",VLOOKUP(C14,'G-7 WaterC'' Data'!$B$4:$G$8,4,FALSE))</f>
        <v/>
      </c>
      <c r="S14" s="298" t="str">
        <f t="shared" si="2"/>
        <v/>
      </c>
      <c r="T14" s="328" t="str">
        <f t="shared" si="3"/>
        <v/>
      </c>
      <c r="U14" s="291" t="str">
        <f>IF(C14="","",VLOOKUP(T14,'G-3 Multipliers'!$P$2:$Q$6,2,FALSE))</f>
        <v/>
      </c>
      <c r="V14" s="96"/>
      <c r="W14" s="291" t="str">
        <f>IF(V14="","",IF(AND(V14="N/A - Culvert",C14&lt;&gt;"Culvert"),"Not possible ▲",IF(AND(C14="Culvert",V14&lt;&gt;"N/A - Culvert"),"Not possible ▲",IF(VLOOKUP(V14,'G-7 WaterC'' Data'!$AA$4:$AB$7,2,FALSE)=0,"Spatial Data Missing ⚠",VLOOKUP(V14,'G-7 WaterC'' Data'!$AA$4:$AB$7,2,FALSE)))))</f>
        <v/>
      </c>
      <c r="X14" s="44"/>
      <c r="Y14" s="291" t="str">
        <f>IF(X14="","",IF(AND(X14="N/A - Culvert", C14&lt;&gt;"Culvert"), "Not possible ▲",IF(AND(C14="Culvert",X14&lt;&gt;"N/A - Culvert"),"Not possible ▲",IF(VLOOKUP(X14,'G-7 WaterC'' Data'!$AD$4:$AE$14,2,FALSE)=0,"Enrcoachment Data Missing ⚠",VLOOKUP(X14,'G-7 WaterC'' Data'!$AD$4:$AE$14,2,FALSE)))))</f>
        <v/>
      </c>
      <c r="Z14" s="332" t="str">
        <f t="shared" si="4"/>
        <v/>
      </c>
      <c r="AA14" s="98"/>
      <c r="AB14" s="99"/>
      <c r="AC14" s="101"/>
      <c r="AH14" s="15" t="str">
        <f>IFERROR(INDEX('G-7 WaterC'' Data'!$AZ$3:$AZ$7,MATCH(C14,'G-7 WaterC'' Data'!$AY$3:$AY$7,0)),"")</f>
        <v/>
      </c>
    </row>
    <row r="15" spans="2:34" ht="14" x14ac:dyDescent="0.3">
      <c r="B15" s="92">
        <v>4</v>
      </c>
      <c r="C15" s="116"/>
      <c r="D15" s="37"/>
      <c r="E15" s="290" t="str">
        <f>IF(C15="","",VLOOKUP(C15,'G-7 WaterC'' Data'!$B$2:$G$8,2,FALSE))</f>
        <v/>
      </c>
      <c r="F15" s="291" t="str">
        <f>IFERROR(VLOOKUP(E15,'G-7 WaterC'' Data'!$C$4:$D$8,2,FALSE),"")</f>
        <v/>
      </c>
      <c r="G15" s="95"/>
      <c r="H15" s="291" t="str">
        <f>IFERROR(INDEX('G-7 WaterC'' Data'!$H$4:$L$8,MATCH(C15,'G-7 WaterC'' Data'!$B$4:$B$8,0),MATCH(G15,'G-7 WaterC'' Data'!$H$3:$L$3,0)),"")</f>
        <v/>
      </c>
      <c r="I15" s="38"/>
      <c r="J15" s="298" t="str">
        <f>IF(I15="","",IF(VLOOKUP(I15,'G-7 WaterC'' Data'!$AK$4:$AM$6,2,FALSE)=0,"Spatial Data Missing ⚠",VLOOKUP(I15,'G-7 WaterC'' Data'!$AK$4:$AM$6,2,FALSE)))</f>
        <v/>
      </c>
      <c r="K15" s="291" t="str">
        <f>IF(I15="","",IF(VLOOKUP(I15,'G-7 WaterC'' Data'!$AK$4:$AM$6,3,FALSE)=0,"Spatial Data Missing ⚠",VLOOKUP(I15,'G-7 WaterC'' Data'!$AK$4:$AM$6,3,FALSE)))</f>
        <v/>
      </c>
      <c r="L15" s="290" t="str">
        <f>IFERROR(INDEX('G-7 WaterC'' Data'!$O$3:$O$7,MATCH(G15,'G-7 WaterC'' Data'!$N$3:$N$7,0)),"")</f>
        <v/>
      </c>
      <c r="M15" s="47"/>
      <c r="N15" s="47"/>
      <c r="O15" s="298" t="str">
        <f t="shared" si="0"/>
        <v/>
      </c>
      <c r="P15" s="311" t="str">
        <f t="shared" si="1"/>
        <v/>
      </c>
      <c r="Q15" s="344" t="str">
        <f>IFERROR(IF(P15="Check Data ⚠","Check Data ⚠",VLOOKUP(P15,'G-4 Temporal multipliers'!$A$4:$C$37,3,FALSE)),"")</f>
        <v/>
      </c>
      <c r="R15" s="290" t="str">
        <f>IF(C15="","",VLOOKUP(C15,'G-7 WaterC'' Data'!$B$4:$G$8,4,FALSE))</f>
        <v/>
      </c>
      <c r="S15" s="298" t="str">
        <f t="shared" si="2"/>
        <v/>
      </c>
      <c r="T15" s="328" t="str">
        <f t="shared" si="3"/>
        <v/>
      </c>
      <c r="U15" s="291" t="str">
        <f>IF(C15="","",VLOOKUP(T15,'G-3 Multipliers'!$P$2:$Q$6,2,FALSE))</f>
        <v/>
      </c>
      <c r="V15" s="96"/>
      <c r="W15" s="291" t="str">
        <f>IF(V15="","",IF(AND(V15="N/A - Culvert",C15&lt;&gt;"Culvert"),"Not possible ▲",IF(AND(C15="Culvert",V15&lt;&gt;"N/A - Culvert"),"Not possible ▲",IF(VLOOKUP(V15,'G-7 WaterC'' Data'!$AA$4:$AB$7,2,FALSE)=0,"Spatial Data Missing ⚠",VLOOKUP(V15,'G-7 WaterC'' Data'!$AA$4:$AB$7,2,FALSE)))))</f>
        <v/>
      </c>
      <c r="X15" s="44"/>
      <c r="Y15" s="291" t="str">
        <f>IF(X15="","",IF(AND(X15="N/A - Culvert", C15&lt;&gt;"Culvert"), "Not possible ▲",IF(AND(C15="Culvert",X15&lt;&gt;"N/A - Culvert"),"Not possible ▲",IF(VLOOKUP(X15,'G-7 WaterC'' Data'!$AD$4:$AE$14,2,FALSE)=0,"Enrcoachment Data Missing ⚠",VLOOKUP(X15,'G-7 WaterC'' Data'!$AD$4:$AE$14,2,FALSE)))))</f>
        <v/>
      </c>
      <c r="Z15" s="332" t="str">
        <f t="shared" si="4"/>
        <v/>
      </c>
      <c r="AA15" s="98"/>
      <c r="AB15" s="99"/>
      <c r="AC15" s="101"/>
      <c r="AH15" s="15" t="str">
        <f>IFERROR(INDEX('G-7 WaterC'' Data'!$AZ$3:$AZ$7,MATCH(C15,'G-7 WaterC'' Data'!$AY$3:$AY$7,0)),"")</f>
        <v/>
      </c>
    </row>
    <row r="16" spans="2:34" ht="14" x14ac:dyDescent="0.3">
      <c r="B16" s="92">
        <v>5</v>
      </c>
      <c r="C16" s="119"/>
      <c r="D16" s="120"/>
      <c r="E16" s="290" t="str">
        <f>IF(C16="","",VLOOKUP(C16,'G-7 WaterC'' Data'!$B$2:$G$8,2,FALSE))</f>
        <v/>
      </c>
      <c r="F16" s="291" t="str">
        <f>IFERROR(VLOOKUP(E16,'G-7 WaterC'' Data'!$C$4:$D$8,2,FALSE),"")</f>
        <v/>
      </c>
      <c r="G16" s="95"/>
      <c r="H16" s="291" t="str">
        <f>IFERROR(INDEX('G-7 WaterC'' Data'!$H$4:$L$8,MATCH(C16,'G-7 WaterC'' Data'!$B$4:$B$8,0),MATCH(G16,'G-7 WaterC'' Data'!$H$3:$L$3,0)),"")</f>
        <v/>
      </c>
      <c r="I16" s="38"/>
      <c r="J16" s="298" t="str">
        <f>IF(I16="","",IF(VLOOKUP(I16,'G-7 WaterC'' Data'!$AK$4:$AM$6,2,FALSE)=0,"Spatial Data Missing ⚠",VLOOKUP(I16,'G-7 WaterC'' Data'!$AK$4:$AM$6,2,FALSE)))</f>
        <v/>
      </c>
      <c r="K16" s="291" t="str">
        <f>IF(I16="","",IF(VLOOKUP(I16,'G-7 WaterC'' Data'!$AK$4:$AM$6,3,FALSE)=0,"Spatial Data Missing ⚠",VLOOKUP(I16,'G-7 WaterC'' Data'!$AK$4:$AM$6,3,FALSE)))</f>
        <v/>
      </c>
      <c r="L16" s="290" t="str">
        <f>IFERROR(INDEX('G-7 WaterC'' Data'!$O$3:$O$7,MATCH(G16,'G-7 WaterC'' Data'!$N$3:$N$7,0)),"")</f>
        <v/>
      </c>
      <c r="M16" s="47"/>
      <c r="N16" s="138"/>
      <c r="O16" s="298" t="str">
        <f t="shared" si="0"/>
        <v/>
      </c>
      <c r="P16" s="311" t="str">
        <f t="shared" si="1"/>
        <v/>
      </c>
      <c r="Q16" s="344" t="str">
        <f>IFERROR(IF(P16="Check Data ⚠","Check Data ⚠",VLOOKUP(P16,'G-4 Temporal multipliers'!$A$4:$C$37,3,FALSE)),"")</f>
        <v/>
      </c>
      <c r="R16" s="290" t="str">
        <f>IF(C16="","",VLOOKUP(C16,'G-7 WaterC'' Data'!$B$4:$G$8,4,FALSE))</f>
        <v/>
      </c>
      <c r="S16" s="298" t="str">
        <f t="shared" si="2"/>
        <v/>
      </c>
      <c r="T16" s="328" t="str">
        <f t="shared" si="3"/>
        <v/>
      </c>
      <c r="U16" s="291" t="str">
        <f>IF(C16="","",VLOOKUP(T16,'G-3 Multipliers'!$P$2:$Q$6,2,FALSE))</f>
        <v/>
      </c>
      <c r="V16" s="96"/>
      <c r="W16" s="291" t="str">
        <f>IF(V16="","",IF(AND(V16="N/A - Culvert",C16&lt;&gt;"Culvert"),"Not possible ▲",IF(AND(C16="Culvert",V16&lt;&gt;"N/A - Culvert"),"Not possible ▲",IF(VLOOKUP(V16,'G-7 WaterC'' Data'!$AA$4:$AB$7,2,FALSE)=0,"Spatial Data Missing ⚠",VLOOKUP(V16,'G-7 WaterC'' Data'!$AA$4:$AB$7,2,FALSE)))))</f>
        <v/>
      </c>
      <c r="X16" s="44"/>
      <c r="Y16" s="291" t="str">
        <f>IF(X16="","",IF(AND(X16="N/A - Culvert", C16&lt;&gt;"Culvert"), "Not possible ▲",IF(AND(C16="Culvert",X16&lt;&gt;"N/A - Culvert"),"Not possible ▲",IF(VLOOKUP(X16,'G-7 WaterC'' Data'!$AD$4:$AE$14,2,FALSE)=0,"Enrcoachment Data Missing ⚠",VLOOKUP(X16,'G-7 WaterC'' Data'!$AD$4:$AE$14,2,FALSE)))))</f>
        <v/>
      </c>
      <c r="Z16" s="332" t="str">
        <f t="shared" si="4"/>
        <v/>
      </c>
      <c r="AA16" s="98"/>
      <c r="AB16" s="99"/>
      <c r="AC16" s="101"/>
      <c r="AH16" s="15" t="str">
        <f>IFERROR(INDEX('G-7 WaterC'' Data'!$AZ$3:$AZ$7,MATCH(C16,'G-7 WaterC'' Data'!$AY$3:$AY$7,0)),"")</f>
        <v/>
      </c>
    </row>
    <row r="17" spans="2:34" ht="14" x14ac:dyDescent="0.3">
      <c r="B17" s="92">
        <v>6</v>
      </c>
      <c r="C17" s="119"/>
      <c r="D17" s="120"/>
      <c r="E17" s="290" t="str">
        <f>IF(C17="","",VLOOKUP(C17,'G-7 WaterC'' Data'!$B$2:$G$8,2,FALSE))</f>
        <v/>
      </c>
      <c r="F17" s="291" t="str">
        <f>IFERROR(VLOOKUP(E17,'G-7 WaterC'' Data'!$C$4:$D$8,2,FALSE),"")</f>
        <v/>
      </c>
      <c r="G17" s="95"/>
      <c r="H17" s="291" t="str">
        <f>IFERROR(INDEX('G-7 WaterC'' Data'!$H$4:$L$8,MATCH(C17,'G-7 WaterC'' Data'!$B$4:$B$8,0),MATCH(G17,'G-7 WaterC'' Data'!$H$3:$L$3,0)),"")</f>
        <v/>
      </c>
      <c r="I17" s="38"/>
      <c r="J17" s="298" t="str">
        <f>IF(I17="","",IF(VLOOKUP(I17,'G-7 WaterC'' Data'!$AK$4:$AM$6,2,FALSE)=0,"Spatial Data Missing ⚠",VLOOKUP(I17,'G-7 WaterC'' Data'!$AK$4:$AM$6,2,FALSE)))</f>
        <v/>
      </c>
      <c r="K17" s="291" t="str">
        <f>IF(I17="","",IF(VLOOKUP(I17,'G-7 WaterC'' Data'!$AK$4:$AM$6,3,FALSE)=0,"Spatial Data Missing ⚠",VLOOKUP(I17,'G-7 WaterC'' Data'!$AK$4:$AM$6,3,FALSE)))</f>
        <v/>
      </c>
      <c r="L17" s="290" t="str">
        <f>IFERROR(INDEX('G-7 WaterC'' Data'!$O$3:$O$7,MATCH(G17,'G-7 WaterC'' Data'!$N$3:$N$7,0)),"")</f>
        <v/>
      </c>
      <c r="M17" s="47"/>
      <c r="N17" s="138"/>
      <c r="O17" s="298" t="str">
        <f t="shared" si="0"/>
        <v/>
      </c>
      <c r="P17" s="311" t="str">
        <f t="shared" si="1"/>
        <v/>
      </c>
      <c r="Q17" s="344" t="str">
        <f>IFERROR(IF(P17="Check Data ⚠","Check Data ⚠",VLOOKUP(P17,'G-4 Temporal multipliers'!$A$4:$C$37,3,FALSE)),"")</f>
        <v/>
      </c>
      <c r="R17" s="290" t="str">
        <f>IF(C17="","",VLOOKUP(C17,'G-7 WaterC'' Data'!$B$4:$G$8,4,FALSE))</f>
        <v/>
      </c>
      <c r="S17" s="298" t="str">
        <f t="shared" si="2"/>
        <v/>
      </c>
      <c r="T17" s="328" t="str">
        <f t="shared" si="3"/>
        <v/>
      </c>
      <c r="U17" s="291" t="str">
        <f>IF(C17="","",VLOOKUP(T17,'G-3 Multipliers'!$P$2:$Q$6,2,FALSE))</f>
        <v/>
      </c>
      <c r="V17" s="96"/>
      <c r="W17" s="291" t="str">
        <f>IF(V17="","",IF(AND(V17="N/A - Culvert",C17&lt;&gt;"Culvert"),"Not possible ▲",IF(AND(C17="Culvert",V17&lt;&gt;"N/A - Culvert"),"Not possible ▲",IF(VLOOKUP(V17,'G-7 WaterC'' Data'!$AA$4:$AB$7,2,FALSE)=0,"Spatial Data Missing ⚠",VLOOKUP(V17,'G-7 WaterC'' Data'!$AA$4:$AB$7,2,FALSE)))))</f>
        <v/>
      </c>
      <c r="X17" s="44"/>
      <c r="Y17" s="291" t="str">
        <f>IF(X17="","",IF(AND(X17="N/A - Culvert", C17&lt;&gt;"Culvert"), "Not possible ▲",IF(AND(C17="Culvert",X17&lt;&gt;"N/A - Culvert"),"Not possible ▲",IF(VLOOKUP(X17,'G-7 WaterC'' Data'!$AD$4:$AE$14,2,FALSE)=0,"Enrcoachment Data Missing ⚠",VLOOKUP(X17,'G-7 WaterC'' Data'!$AD$4:$AE$14,2,FALSE)))))</f>
        <v/>
      </c>
      <c r="Z17" s="332" t="str">
        <f t="shared" si="4"/>
        <v/>
      </c>
      <c r="AA17" s="98"/>
      <c r="AB17" s="99"/>
      <c r="AC17" s="101"/>
      <c r="AH17" s="15" t="str">
        <f>IFERROR(INDEX('G-7 WaterC'' Data'!$AZ$3:$AZ$7,MATCH(C17,'G-7 WaterC'' Data'!$AY$3:$AY$7,0)),"")</f>
        <v/>
      </c>
    </row>
    <row r="18" spans="2:34" ht="14" x14ac:dyDescent="0.3">
      <c r="B18" s="92">
        <v>7</v>
      </c>
      <c r="C18" s="119"/>
      <c r="D18" s="120"/>
      <c r="E18" s="290" t="str">
        <f>IF(C18="","",VLOOKUP(C18,'G-7 WaterC'' Data'!$B$2:$G$8,2,FALSE))</f>
        <v/>
      </c>
      <c r="F18" s="291" t="str">
        <f>IFERROR(VLOOKUP(E18,'G-7 WaterC'' Data'!$C$4:$D$8,2,FALSE),"")</f>
        <v/>
      </c>
      <c r="G18" s="95"/>
      <c r="H18" s="291" t="str">
        <f>IFERROR(INDEX('G-7 WaterC'' Data'!$H$4:$L$8,MATCH(C18,'G-7 WaterC'' Data'!$B$4:$B$8,0),MATCH(G18,'G-7 WaterC'' Data'!$H$3:$L$3,0)),"")</f>
        <v/>
      </c>
      <c r="I18" s="38"/>
      <c r="J18" s="298" t="str">
        <f>IF(I18="","",IF(VLOOKUP(I18,'G-7 WaterC'' Data'!$AK$4:$AM$6,2,FALSE)=0,"Spatial Data Missing ⚠",VLOOKUP(I18,'G-7 WaterC'' Data'!$AK$4:$AM$6,2,FALSE)))</f>
        <v/>
      </c>
      <c r="K18" s="291" t="str">
        <f>IF(I18="","",IF(VLOOKUP(I18,'G-7 WaterC'' Data'!$AK$4:$AM$6,3,FALSE)=0,"Spatial Data Missing ⚠",VLOOKUP(I18,'G-7 WaterC'' Data'!$AK$4:$AM$6,3,FALSE)))</f>
        <v/>
      </c>
      <c r="L18" s="290" t="str">
        <f>IFERROR(INDEX('G-7 WaterC'' Data'!$O$3:$O$7,MATCH(G18,'G-7 WaterC'' Data'!$N$3:$N$7,0)),"")</f>
        <v/>
      </c>
      <c r="M18" s="47"/>
      <c r="N18" s="138"/>
      <c r="O18" s="298" t="str">
        <f t="shared" si="0"/>
        <v/>
      </c>
      <c r="P18" s="311" t="str">
        <f t="shared" si="1"/>
        <v/>
      </c>
      <c r="Q18" s="344" t="str">
        <f>IFERROR(IF(P18="Check Data ⚠","Check Data ⚠",VLOOKUP(P18,'G-4 Temporal multipliers'!$A$4:$C$37,3,FALSE)),"")</f>
        <v/>
      </c>
      <c r="R18" s="290" t="str">
        <f>IF(C18="","",VLOOKUP(C18,'G-7 WaterC'' Data'!$B$4:$G$8,4,FALSE))</f>
        <v/>
      </c>
      <c r="S18" s="298" t="str">
        <f t="shared" si="2"/>
        <v/>
      </c>
      <c r="T18" s="328" t="str">
        <f t="shared" si="3"/>
        <v/>
      </c>
      <c r="U18" s="291" t="str">
        <f>IF(C18="","",VLOOKUP(T18,'G-3 Multipliers'!$P$2:$Q$6,2,FALSE))</f>
        <v/>
      </c>
      <c r="V18" s="96"/>
      <c r="W18" s="291" t="str">
        <f>IF(V18="","",IF(AND(V18="N/A - Culvert",C18&lt;&gt;"Culvert"),"Not possible ▲",IF(AND(C18="Culvert",V18&lt;&gt;"N/A - Culvert"),"Not possible ▲",IF(VLOOKUP(V18,'G-7 WaterC'' Data'!$AA$4:$AB$7,2,FALSE)=0,"Spatial Data Missing ⚠",VLOOKUP(V18,'G-7 WaterC'' Data'!$AA$4:$AB$7,2,FALSE)))))</f>
        <v/>
      </c>
      <c r="X18" s="44"/>
      <c r="Y18" s="291" t="str">
        <f>IF(X18="","",IF(AND(X18="N/A - Culvert", C18&lt;&gt;"Culvert"), "Not possible ▲",IF(AND(C18="Culvert",X18&lt;&gt;"N/A - Culvert"),"Not possible ▲",IF(VLOOKUP(X18,'G-7 WaterC'' Data'!$AD$4:$AE$14,2,FALSE)=0,"Enrcoachment Data Missing ⚠",VLOOKUP(X18,'G-7 WaterC'' Data'!$AD$4:$AE$14,2,FALSE)))))</f>
        <v/>
      </c>
      <c r="Z18" s="332" t="str">
        <f t="shared" si="4"/>
        <v/>
      </c>
      <c r="AA18" s="98"/>
      <c r="AB18" s="99"/>
      <c r="AC18" s="101"/>
      <c r="AH18" s="15" t="str">
        <f>IFERROR(INDEX('G-7 WaterC'' Data'!$AZ$3:$AZ$7,MATCH(C18,'G-7 WaterC'' Data'!$AY$3:$AY$7,0)),"")</f>
        <v/>
      </c>
    </row>
    <row r="19" spans="2:34" ht="14" x14ac:dyDescent="0.3">
      <c r="B19" s="92">
        <v>8</v>
      </c>
      <c r="C19" s="119"/>
      <c r="D19" s="120"/>
      <c r="E19" s="290" t="str">
        <f>IF(C19="","",VLOOKUP(C19,'G-7 WaterC'' Data'!$B$2:$G$8,2,FALSE))</f>
        <v/>
      </c>
      <c r="F19" s="291" t="str">
        <f>IFERROR(VLOOKUP(E19,'G-7 WaterC'' Data'!$C$4:$D$8,2,FALSE),"")</f>
        <v/>
      </c>
      <c r="G19" s="95"/>
      <c r="H19" s="291" t="str">
        <f>IFERROR(INDEX('G-7 WaterC'' Data'!$H$4:$L$8,MATCH(C19,'G-7 WaterC'' Data'!$B$4:$B$8,0),MATCH(G19,'G-7 WaterC'' Data'!$H$3:$L$3,0)),"")</f>
        <v/>
      </c>
      <c r="I19" s="38"/>
      <c r="J19" s="298" t="str">
        <f>IF(I19="","",IF(VLOOKUP(I19,'G-7 WaterC'' Data'!$AK$4:$AM$6,2,FALSE)=0,"Spatial Data Missing ⚠",VLOOKUP(I19,'G-7 WaterC'' Data'!$AK$4:$AM$6,2,FALSE)))</f>
        <v/>
      </c>
      <c r="K19" s="291" t="str">
        <f>IF(I19="","",IF(VLOOKUP(I19,'G-7 WaterC'' Data'!$AK$4:$AM$6,3,FALSE)=0,"Spatial Data Missing ⚠",VLOOKUP(I19,'G-7 WaterC'' Data'!$AK$4:$AM$6,3,FALSE)))</f>
        <v/>
      </c>
      <c r="L19" s="290" t="str">
        <f>IFERROR(INDEX('G-7 WaterC'' Data'!$O$3:$O$7,MATCH(G19,'G-7 WaterC'' Data'!$N$3:$N$7,0)),"")</f>
        <v/>
      </c>
      <c r="M19" s="47"/>
      <c r="N19" s="138"/>
      <c r="O19" s="298" t="str">
        <f t="shared" si="0"/>
        <v/>
      </c>
      <c r="P19" s="311" t="str">
        <f t="shared" si="1"/>
        <v/>
      </c>
      <c r="Q19" s="344" t="str">
        <f>IFERROR(IF(P19="Check Data ⚠","Check Data ⚠",VLOOKUP(P19,'G-4 Temporal multipliers'!$A$4:$C$37,3,FALSE)),"")</f>
        <v/>
      </c>
      <c r="R19" s="290" t="str">
        <f>IF(C19="","",VLOOKUP(C19,'G-7 WaterC'' Data'!$B$4:$G$8,4,FALSE))</f>
        <v/>
      </c>
      <c r="S19" s="298" t="str">
        <f t="shared" si="2"/>
        <v/>
      </c>
      <c r="T19" s="328" t="str">
        <f t="shared" si="3"/>
        <v/>
      </c>
      <c r="U19" s="291" t="str">
        <f>IF(C19="","",VLOOKUP(T19,'G-3 Multipliers'!$P$2:$Q$6,2,FALSE))</f>
        <v/>
      </c>
      <c r="V19" s="96"/>
      <c r="W19" s="291" t="str">
        <f>IF(V19="","",IF(AND(V19="N/A - Culvert",C19&lt;&gt;"Culvert"),"Not possible ▲",IF(AND(C19="Culvert",V19&lt;&gt;"N/A - Culvert"),"Not possible ▲",IF(VLOOKUP(V19,'G-7 WaterC'' Data'!$AA$4:$AB$7,2,FALSE)=0,"Spatial Data Missing ⚠",VLOOKUP(V19,'G-7 WaterC'' Data'!$AA$4:$AB$7,2,FALSE)))))</f>
        <v/>
      </c>
      <c r="X19" s="44"/>
      <c r="Y19" s="291" t="str">
        <f>IF(X19="","",IF(AND(X19="N/A - Culvert", C19&lt;&gt;"Culvert"), "Not possible ▲",IF(AND(C19="Culvert",X19&lt;&gt;"N/A - Culvert"),"Not possible ▲",IF(VLOOKUP(X19,'G-7 WaterC'' Data'!$AD$4:$AE$14,2,FALSE)=0,"Enrcoachment Data Missing ⚠",VLOOKUP(X19,'G-7 WaterC'' Data'!$AD$4:$AE$14,2,FALSE)))))</f>
        <v/>
      </c>
      <c r="Z19" s="332" t="str">
        <f t="shared" si="4"/>
        <v/>
      </c>
      <c r="AA19" s="98"/>
      <c r="AB19" s="99"/>
      <c r="AC19" s="101"/>
      <c r="AH19" s="15" t="str">
        <f>IFERROR(INDEX('G-7 WaterC'' Data'!$AZ$3:$AZ$7,MATCH(C19,'G-7 WaterC'' Data'!$AY$3:$AY$7,0)),"")</f>
        <v/>
      </c>
    </row>
    <row r="20" spans="2:34" ht="14" x14ac:dyDescent="0.3">
      <c r="B20" s="92">
        <v>9</v>
      </c>
      <c r="C20" s="119"/>
      <c r="D20" s="120"/>
      <c r="E20" s="290" t="str">
        <f>IF(C20="","",VLOOKUP(C20,'G-7 WaterC'' Data'!$B$2:$G$8,2,FALSE))</f>
        <v/>
      </c>
      <c r="F20" s="291" t="str">
        <f>IFERROR(VLOOKUP(E20,'G-7 WaterC'' Data'!$C$4:$D$8,2,FALSE),"")</f>
        <v/>
      </c>
      <c r="G20" s="95"/>
      <c r="H20" s="291" t="str">
        <f>IFERROR(INDEX('G-7 WaterC'' Data'!$H$4:$L$8,MATCH(C20,'G-7 WaterC'' Data'!$B$4:$B$8,0),MATCH(G20,'G-7 WaterC'' Data'!$H$3:$L$3,0)),"")</f>
        <v/>
      </c>
      <c r="I20" s="38"/>
      <c r="J20" s="298" t="str">
        <f>IF(I20="","",IF(VLOOKUP(I20,'G-7 WaterC'' Data'!$AK$4:$AM$6,2,FALSE)=0,"Spatial Data Missing ⚠",VLOOKUP(I20,'G-7 WaterC'' Data'!$AK$4:$AM$6,2,FALSE)))</f>
        <v/>
      </c>
      <c r="K20" s="291" t="str">
        <f>IF(I20="","",IF(VLOOKUP(I20,'G-7 WaterC'' Data'!$AK$4:$AM$6,3,FALSE)=0,"Spatial Data Missing ⚠",VLOOKUP(I20,'G-7 WaterC'' Data'!$AK$4:$AM$6,3,FALSE)))</f>
        <v/>
      </c>
      <c r="L20" s="290" t="str">
        <f>IFERROR(INDEX('G-7 WaterC'' Data'!$O$3:$O$7,MATCH(G20,'G-7 WaterC'' Data'!$N$3:$N$7,0)),"")</f>
        <v/>
      </c>
      <c r="M20" s="47"/>
      <c r="N20" s="138"/>
      <c r="O20" s="298" t="str">
        <f t="shared" si="0"/>
        <v/>
      </c>
      <c r="P20" s="311" t="str">
        <f t="shared" si="1"/>
        <v/>
      </c>
      <c r="Q20" s="344" t="str">
        <f>IFERROR(IF(P20="Check Data ⚠","Check Data ⚠",VLOOKUP(P20,'G-4 Temporal multipliers'!$A$4:$C$37,3,FALSE)),"")</f>
        <v/>
      </c>
      <c r="R20" s="290" t="str">
        <f>IF(C20="","",VLOOKUP(C20,'G-7 WaterC'' Data'!$B$4:$G$8,4,FALSE))</f>
        <v/>
      </c>
      <c r="S20" s="298" t="str">
        <f t="shared" si="2"/>
        <v/>
      </c>
      <c r="T20" s="328" t="str">
        <f t="shared" si="3"/>
        <v/>
      </c>
      <c r="U20" s="291" t="str">
        <f>IF(C20="","",VLOOKUP(T20,'G-3 Multipliers'!$P$2:$Q$6,2,FALSE))</f>
        <v/>
      </c>
      <c r="V20" s="96"/>
      <c r="W20" s="291" t="str">
        <f>IF(V20="","",IF(AND(V20="N/A - Culvert",C20&lt;&gt;"Culvert"),"Not possible ▲",IF(AND(C20="Culvert",V20&lt;&gt;"N/A - Culvert"),"Not possible ▲",IF(VLOOKUP(V20,'G-7 WaterC'' Data'!$AA$4:$AB$7,2,FALSE)=0,"Spatial Data Missing ⚠",VLOOKUP(V20,'G-7 WaterC'' Data'!$AA$4:$AB$7,2,FALSE)))))</f>
        <v/>
      </c>
      <c r="X20" s="44"/>
      <c r="Y20" s="291" t="str">
        <f>IF(X20="","",IF(AND(X20="N/A - Culvert", C20&lt;&gt;"Culvert"), "Not possible ▲",IF(AND(C20="Culvert",X20&lt;&gt;"N/A - Culvert"),"Not possible ▲",IF(VLOOKUP(X20,'G-7 WaterC'' Data'!$AD$4:$AE$14,2,FALSE)=0,"Enrcoachment Data Missing ⚠",VLOOKUP(X20,'G-7 WaterC'' Data'!$AD$4:$AE$14,2,FALSE)))))</f>
        <v/>
      </c>
      <c r="Z20" s="332" t="str">
        <f t="shared" si="4"/>
        <v/>
      </c>
      <c r="AA20" s="98"/>
      <c r="AB20" s="99"/>
      <c r="AC20" s="101"/>
      <c r="AH20" s="15" t="str">
        <f>IFERROR(INDEX('G-7 WaterC'' Data'!$AZ$3:$AZ$7,MATCH(C20,'G-7 WaterC'' Data'!$AY$3:$AY$7,0)),"")</f>
        <v/>
      </c>
    </row>
    <row r="21" spans="2:34" ht="14" x14ac:dyDescent="0.3">
      <c r="B21" s="92">
        <v>10</v>
      </c>
      <c r="C21" s="119"/>
      <c r="D21" s="120"/>
      <c r="E21" s="290" t="str">
        <f>IF(C21="","",VLOOKUP(C21,'G-7 WaterC'' Data'!$B$2:$G$8,2,FALSE))</f>
        <v/>
      </c>
      <c r="F21" s="291" t="str">
        <f>IFERROR(VLOOKUP(E21,'G-7 WaterC'' Data'!$C$4:$D$8,2,FALSE),"")</f>
        <v/>
      </c>
      <c r="G21" s="95"/>
      <c r="H21" s="291" t="str">
        <f>IFERROR(INDEX('G-7 WaterC'' Data'!$H$4:$L$8,MATCH(C21,'G-7 WaterC'' Data'!$B$4:$B$8,0),MATCH(G21,'G-7 WaterC'' Data'!$H$3:$L$3,0)),"")</f>
        <v/>
      </c>
      <c r="I21" s="38"/>
      <c r="J21" s="298" t="str">
        <f>IF(I21="","",IF(VLOOKUP(I21,'G-7 WaterC'' Data'!$AK$4:$AM$6,2,FALSE)=0,"Spatial Data Missing ⚠",VLOOKUP(I21,'G-7 WaterC'' Data'!$AK$4:$AM$6,2,FALSE)))</f>
        <v/>
      </c>
      <c r="K21" s="291" t="str">
        <f>IF(I21="","",IF(VLOOKUP(I21,'G-7 WaterC'' Data'!$AK$4:$AM$6,3,FALSE)=0,"Spatial Data Missing ⚠",VLOOKUP(I21,'G-7 WaterC'' Data'!$AK$4:$AM$6,3,FALSE)))</f>
        <v/>
      </c>
      <c r="L21" s="290" t="str">
        <f>IFERROR(INDEX('G-7 WaterC'' Data'!$O$3:$O$7,MATCH(G21,'G-7 WaterC'' Data'!$N$3:$N$7,0)),"")</f>
        <v/>
      </c>
      <c r="M21" s="47"/>
      <c r="N21" s="138"/>
      <c r="O21" s="298" t="str">
        <f t="shared" si="0"/>
        <v/>
      </c>
      <c r="P21" s="311" t="str">
        <f t="shared" si="1"/>
        <v/>
      </c>
      <c r="Q21" s="344" t="str">
        <f>IFERROR(IF(P21="Check Data ⚠","Check Data ⚠",VLOOKUP(P21,'G-4 Temporal multipliers'!$A$4:$C$37,3,FALSE)),"")</f>
        <v/>
      </c>
      <c r="R21" s="290" t="str">
        <f>IF(C21="","",VLOOKUP(C21,'G-7 WaterC'' Data'!$B$4:$G$8,4,FALSE))</f>
        <v/>
      </c>
      <c r="S21" s="298" t="str">
        <f t="shared" si="2"/>
        <v/>
      </c>
      <c r="T21" s="328" t="str">
        <f t="shared" si="3"/>
        <v/>
      </c>
      <c r="U21" s="291" t="str">
        <f>IF(C21="","",VLOOKUP(T21,'G-3 Multipliers'!$P$2:$Q$6,2,FALSE))</f>
        <v/>
      </c>
      <c r="V21" s="96"/>
      <c r="W21" s="291" t="str">
        <f>IF(V21="","",IF(AND(V21="N/A - Culvert",C21&lt;&gt;"Culvert"),"Not possible ▲",IF(AND(C21="Culvert",V21&lt;&gt;"N/A - Culvert"),"Not possible ▲",IF(VLOOKUP(V21,'G-7 WaterC'' Data'!$AA$4:$AB$7,2,FALSE)=0,"Spatial Data Missing ⚠",VLOOKUP(V21,'G-7 WaterC'' Data'!$AA$4:$AB$7,2,FALSE)))))</f>
        <v/>
      </c>
      <c r="X21" s="44"/>
      <c r="Y21" s="291" t="str">
        <f>IF(X21="","",IF(AND(X21="N/A - Culvert", C21&lt;&gt;"Culvert"), "Not possible ▲",IF(AND(C21="Culvert",X21&lt;&gt;"N/A - Culvert"),"Not possible ▲",IF(VLOOKUP(X21,'G-7 WaterC'' Data'!$AD$4:$AE$14,2,FALSE)=0,"Enrcoachment Data Missing ⚠",VLOOKUP(X21,'G-7 WaterC'' Data'!$AD$4:$AE$14,2,FALSE)))))</f>
        <v/>
      </c>
      <c r="Z21" s="332" t="str">
        <f t="shared" si="4"/>
        <v/>
      </c>
      <c r="AA21" s="98"/>
      <c r="AB21" s="99"/>
      <c r="AC21" s="101"/>
      <c r="AH21" s="15" t="str">
        <f>IFERROR(INDEX('G-7 WaterC'' Data'!$AZ$3:$AZ$7,MATCH(C21,'G-7 WaterC'' Data'!$AY$3:$AY$7,0)),"")</f>
        <v/>
      </c>
    </row>
    <row r="22" spans="2:34" ht="14" x14ac:dyDescent="0.3">
      <c r="B22" s="92">
        <v>11</v>
      </c>
      <c r="C22" s="119"/>
      <c r="D22" s="120"/>
      <c r="E22" s="290" t="str">
        <f>IF(C22="","",VLOOKUP(C22,'G-7 WaterC'' Data'!$B$2:$G$8,2,FALSE))</f>
        <v/>
      </c>
      <c r="F22" s="291" t="str">
        <f>IFERROR(VLOOKUP(E22,'G-7 WaterC'' Data'!$C$4:$D$8,2,FALSE),"")</f>
        <v/>
      </c>
      <c r="G22" s="95"/>
      <c r="H22" s="291" t="str">
        <f>IFERROR(INDEX('G-7 WaterC'' Data'!$H$4:$L$8,MATCH(C22,'G-7 WaterC'' Data'!$B$4:$B$8,0),MATCH(G22,'G-7 WaterC'' Data'!$H$3:$L$3,0)),"")</f>
        <v/>
      </c>
      <c r="I22" s="38"/>
      <c r="J22" s="298" t="str">
        <f>IF(I22="","",IF(VLOOKUP(I22,'G-7 WaterC'' Data'!$AK$4:$AM$6,2,FALSE)=0,"Spatial Data Missing ⚠",VLOOKUP(I22,'G-7 WaterC'' Data'!$AK$4:$AM$6,2,FALSE)))</f>
        <v/>
      </c>
      <c r="K22" s="291" t="str">
        <f>IF(I22="","",IF(VLOOKUP(I22,'G-7 WaterC'' Data'!$AK$4:$AM$6,3,FALSE)=0,"Spatial Data Missing ⚠",VLOOKUP(I22,'G-7 WaterC'' Data'!$AK$4:$AM$6,3,FALSE)))</f>
        <v/>
      </c>
      <c r="L22" s="290" t="str">
        <f>IFERROR(INDEX('G-7 WaterC'' Data'!$O$3:$O$7,MATCH(G22,'G-7 WaterC'' Data'!$N$3:$N$7,0)),"")</f>
        <v/>
      </c>
      <c r="M22" s="47"/>
      <c r="N22" s="138"/>
      <c r="O22" s="298" t="str">
        <f t="shared" si="0"/>
        <v/>
      </c>
      <c r="P22" s="311" t="str">
        <f t="shared" si="1"/>
        <v/>
      </c>
      <c r="Q22" s="344" t="str">
        <f>IFERROR(IF(P22="Check Data ⚠","Check Data ⚠",VLOOKUP(P22,'G-4 Temporal multipliers'!$A$4:$C$37,3,FALSE)),"")</f>
        <v/>
      </c>
      <c r="R22" s="290" t="str">
        <f>IF(C22="","",VLOOKUP(C22,'G-7 WaterC'' Data'!$B$4:$G$8,4,FALSE))</f>
        <v/>
      </c>
      <c r="S22" s="298" t="str">
        <f t="shared" si="2"/>
        <v/>
      </c>
      <c r="T22" s="328" t="str">
        <f t="shared" si="3"/>
        <v/>
      </c>
      <c r="U22" s="291" t="str">
        <f>IF(C22="","",VLOOKUP(T22,'G-3 Multipliers'!$P$2:$Q$6,2,FALSE))</f>
        <v/>
      </c>
      <c r="V22" s="96"/>
      <c r="W22" s="291" t="str">
        <f>IF(V22="","",IF(AND(V22="N/A - Culvert",C22&lt;&gt;"Culvert"),"Not possible ▲",IF(AND(C22="Culvert",V22&lt;&gt;"N/A - Culvert"),"Not possible ▲",IF(VLOOKUP(V22,'G-7 WaterC'' Data'!$AA$4:$AB$7,2,FALSE)=0,"Spatial Data Missing ⚠",VLOOKUP(V22,'G-7 WaterC'' Data'!$AA$4:$AB$7,2,FALSE)))))</f>
        <v/>
      </c>
      <c r="X22" s="44"/>
      <c r="Y22" s="291" t="str">
        <f>IF(X22="","",IF(AND(X22="N/A - Culvert", C22&lt;&gt;"Culvert"), "Not possible ▲",IF(AND(C22="Culvert",X22&lt;&gt;"N/A - Culvert"),"Not possible ▲",IF(VLOOKUP(X22,'G-7 WaterC'' Data'!$AD$4:$AE$14,2,FALSE)=0,"Enrcoachment Data Missing ⚠",VLOOKUP(X22,'G-7 WaterC'' Data'!$AD$4:$AE$14,2,FALSE)))))</f>
        <v/>
      </c>
      <c r="Z22" s="332" t="str">
        <f t="shared" si="4"/>
        <v/>
      </c>
      <c r="AA22" s="98"/>
      <c r="AB22" s="99"/>
      <c r="AC22" s="101"/>
      <c r="AH22" s="15" t="str">
        <f>IFERROR(INDEX('G-7 WaterC'' Data'!$AZ$3:$AZ$7,MATCH(C22,'G-7 WaterC'' Data'!$AY$3:$AY$7,0)),"")</f>
        <v/>
      </c>
    </row>
    <row r="23" spans="2:34" ht="14" x14ac:dyDescent="0.3">
      <c r="B23" s="92">
        <v>12</v>
      </c>
      <c r="C23" s="119"/>
      <c r="D23" s="120"/>
      <c r="E23" s="290" t="str">
        <f>IF(C23="","",VLOOKUP(C23,'G-7 WaterC'' Data'!$B$2:$G$8,2,FALSE))</f>
        <v/>
      </c>
      <c r="F23" s="291" t="str">
        <f>IFERROR(VLOOKUP(E23,'G-7 WaterC'' Data'!$C$4:$D$8,2,FALSE),"")</f>
        <v/>
      </c>
      <c r="G23" s="95"/>
      <c r="H23" s="291" t="str">
        <f>IFERROR(INDEX('G-7 WaterC'' Data'!$H$4:$L$8,MATCH(C23,'G-7 WaterC'' Data'!$B$4:$B$8,0),MATCH(G23,'G-7 WaterC'' Data'!$H$3:$L$3,0)),"")</f>
        <v/>
      </c>
      <c r="I23" s="38"/>
      <c r="J23" s="298" t="str">
        <f>IF(I23="","",IF(VLOOKUP(I23,'G-7 WaterC'' Data'!$AK$4:$AM$6,2,FALSE)=0,"Spatial Data Missing ⚠",VLOOKUP(I23,'G-7 WaterC'' Data'!$AK$4:$AM$6,2,FALSE)))</f>
        <v/>
      </c>
      <c r="K23" s="291" t="str">
        <f>IF(I23="","",IF(VLOOKUP(I23,'G-7 WaterC'' Data'!$AK$4:$AM$6,3,FALSE)=0,"Spatial Data Missing ⚠",VLOOKUP(I23,'G-7 WaterC'' Data'!$AK$4:$AM$6,3,FALSE)))</f>
        <v/>
      </c>
      <c r="L23" s="290" t="str">
        <f>IFERROR(INDEX('G-7 WaterC'' Data'!$O$3:$O$7,MATCH(G23,'G-7 WaterC'' Data'!$N$3:$N$7,0)),"")</f>
        <v/>
      </c>
      <c r="M23" s="47"/>
      <c r="N23" s="138"/>
      <c r="O23" s="298" t="str">
        <f t="shared" si="0"/>
        <v/>
      </c>
      <c r="P23" s="311" t="str">
        <f t="shared" si="1"/>
        <v/>
      </c>
      <c r="Q23" s="344" t="str">
        <f>IFERROR(IF(P23="Check Data ⚠","Check Data ⚠",VLOOKUP(P23,'G-4 Temporal multipliers'!$A$4:$C$37,3,FALSE)),"")</f>
        <v/>
      </c>
      <c r="R23" s="290" t="str">
        <f>IF(C23="","",VLOOKUP(C23,'G-7 WaterC'' Data'!$B$4:$G$8,4,FALSE))</f>
        <v/>
      </c>
      <c r="S23" s="298" t="str">
        <f t="shared" si="2"/>
        <v/>
      </c>
      <c r="T23" s="328" t="str">
        <f t="shared" si="3"/>
        <v/>
      </c>
      <c r="U23" s="291" t="str">
        <f>IF(C23="","",VLOOKUP(T23,'G-3 Multipliers'!$P$2:$Q$6,2,FALSE))</f>
        <v/>
      </c>
      <c r="V23" s="96"/>
      <c r="W23" s="291" t="str">
        <f>IF(V23="","",IF(AND(V23="N/A - Culvert",C23&lt;&gt;"Culvert"),"Not possible ▲",IF(AND(C23="Culvert",V23&lt;&gt;"N/A - Culvert"),"Not possible ▲",IF(VLOOKUP(V23,'G-7 WaterC'' Data'!$AA$4:$AB$7,2,FALSE)=0,"Spatial Data Missing ⚠",VLOOKUP(V23,'G-7 WaterC'' Data'!$AA$4:$AB$7,2,FALSE)))))</f>
        <v/>
      </c>
      <c r="X23" s="44"/>
      <c r="Y23" s="291" t="str">
        <f>IF(X23="","",IF(AND(X23="N/A - Culvert", C23&lt;&gt;"Culvert"), "Not possible ▲",IF(AND(C23="Culvert",X23&lt;&gt;"N/A - Culvert"),"Not possible ▲",IF(VLOOKUP(X23,'G-7 WaterC'' Data'!$AD$4:$AE$14,2,FALSE)=0,"Enrcoachment Data Missing ⚠",VLOOKUP(X23,'G-7 WaterC'' Data'!$AD$4:$AE$14,2,FALSE)))))</f>
        <v/>
      </c>
      <c r="Z23" s="332" t="str">
        <f t="shared" si="4"/>
        <v/>
      </c>
      <c r="AA23" s="98"/>
      <c r="AB23" s="99"/>
      <c r="AC23" s="101"/>
      <c r="AH23" s="15" t="str">
        <f>IFERROR(INDEX('G-7 WaterC'' Data'!$AZ$3:$AZ$7,MATCH(C23,'G-7 WaterC'' Data'!$AY$3:$AY$7,0)),"")</f>
        <v/>
      </c>
    </row>
    <row r="24" spans="2:34" ht="14" x14ac:dyDescent="0.3">
      <c r="B24" s="92">
        <v>13</v>
      </c>
      <c r="C24" s="119"/>
      <c r="D24" s="120"/>
      <c r="E24" s="290" t="str">
        <f>IF(C24="","",VLOOKUP(C24,'G-7 WaterC'' Data'!$B$2:$G$8,2,FALSE))</f>
        <v/>
      </c>
      <c r="F24" s="291" t="str">
        <f>IFERROR(VLOOKUP(E24,'G-7 WaterC'' Data'!$C$4:$D$8,2,FALSE),"")</f>
        <v/>
      </c>
      <c r="G24" s="95"/>
      <c r="H24" s="291" t="str">
        <f>IFERROR(INDEX('G-7 WaterC'' Data'!$H$4:$L$8,MATCH(C24,'G-7 WaterC'' Data'!$B$4:$B$8,0),MATCH(G24,'G-7 WaterC'' Data'!$H$3:$L$3,0)),"")</f>
        <v/>
      </c>
      <c r="I24" s="38"/>
      <c r="J24" s="298" t="str">
        <f>IF(I24="","",IF(VLOOKUP(I24,'G-7 WaterC'' Data'!$AK$4:$AM$6,2,FALSE)=0,"Spatial Data Missing ⚠",VLOOKUP(I24,'G-7 WaterC'' Data'!$AK$4:$AM$6,2,FALSE)))</f>
        <v/>
      </c>
      <c r="K24" s="291" t="str">
        <f>IF(I24="","",IF(VLOOKUP(I24,'G-7 WaterC'' Data'!$AK$4:$AM$6,3,FALSE)=0,"Spatial Data Missing ⚠",VLOOKUP(I24,'G-7 WaterC'' Data'!$AK$4:$AM$6,3,FALSE)))</f>
        <v/>
      </c>
      <c r="L24" s="290" t="str">
        <f>IFERROR(INDEX('G-7 WaterC'' Data'!$O$3:$O$7,MATCH(G24,'G-7 WaterC'' Data'!$N$3:$N$7,0)),"")</f>
        <v/>
      </c>
      <c r="M24" s="47"/>
      <c r="N24" s="138"/>
      <c r="O24" s="298" t="str">
        <f t="shared" si="0"/>
        <v/>
      </c>
      <c r="P24" s="311" t="str">
        <f t="shared" si="1"/>
        <v/>
      </c>
      <c r="Q24" s="344" t="str">
        <f>IFERROR(IF(P24="Check Data ⚠","Check Data ⚠",VLOOKUP(P24,'G-4 Temporal multipliers'!$A$4:$C$37,3,FALSE)),"")</f>
        <v/>
      </c>
      <c r="R24" s="290" t="str">
        <f>IF(C24="","",VLOOKUP(C24,'G-7 WaterC'' Data'!$B$4:$G$8,4,FALSE))</f>
        <v/>
      </c>
      <c r="S24" s="298" t="str">
        <f t="shared" si="2"/>
        <v/>
      </c>
      <c r="T24" s="328" t="str">
        <f t="shared" si="3"/>
        <v/>
      </c>
      <c r="U24" s="291" t="str">
        <f>IF(C24="","",VLOOKUP(T24,'G-3 Multipliers'!$P$2:$Q$6,2,FALSE))</f>
        <v/>
      </c>
      <c r="V24" s="96"/>
      <c r="W24" s="291" t="str">
        <f>IF(V24="","",IF(AND(V24="N/A - Culvert",C24&lt;&gt;"Culvert"),"Not possible ▲",IF(AND(C24="Culvert",V24&lt;&gt;"N/A - Culvert"),"Not possible ▲",IF(VLOOKUP(V24,'G-7 WaterC'' Data'!$AA$4:$AB$7,2,FALSE)=0,"Spatial Data Missing ⚠",VLOOKUP(V24,'G-7 WaterC'' Data'!$AA$4:$AB$7,2,FALSE)))))</f>
        <v/>
      </c>
      <c r="X24" s="44"/>
      <c r="Y24" s="291" t="str">
        <f>IF(X24="","",IF(AND(X24="N/A - Culvert", C24&lt;&gt;"Culvert"), "Not possible ▲",IF(AND(C24="Culvert",X24&lt;&gt;"N/A - Culvert"),"Not possible ▲",IF(VLOOKUP(X24,'G-7 WaterC'' Data'!$AD$4:$AE$14,2,FALSE)=0,"Enrcoachment Data Missing ⚠",VLOOKUP(X24,'G-7 WaterC'' Data'!$AD$4:$AE$14,2,FALSE)))))</f>
        <v/>
      </c>
      <c r="Z24" s="332" t="str">
        <f t="shared" si="4"/>
        <v/>
      </c>
      <c r="AA24" s="98"/>
      <c r="AB24" s="99"/>
      <c r="AC24" s="101"/>
      <c r="AH24" s="15" t="str">
        <f>IFERROR(INDEX('G-7 WaterC'' Data'!$AZ$3:$AZ$7,MATCH(C24,'G-7 WaterC'' Data'!$AY$3:$AY$7,0)),"")</f>
        <v/>
      </c>
    </row>
    <row r="25" spans="2:34" ht="14" x14ac:dyDescent="0.3">
      <c r="B25" s="92">
        <v>14</v>
      </c>
      <c r="C25" s="119"/>
      <c r="D25" s="120"/>
      <c r="E25" s="290" t="str">
        <f>IF(C25="","",VLOOKUP(C25,'G-7 WaterC'' Data'!$B$2:$G$8,2,FALSE))</f>
        <v/>
      </c>
      <c r="F25" s="291" t="str">
        <f>IFERROR(VLOOKUP(E25,'G-7 WaterC'' Data'!$C$4:$D$8,2,FALSE),"")</f>
        <v/>
      </c>
      <c r="G25" s="95"/>
      <c r="H25" s="291" t="str">
        <f>IFERROR(INDEX('G-7 WaterC'' Data'!$H$4:$L$8,MATCH(C25,'G-7 WaterC'' Data'!$B$4:$B$8,0),MATCH(G25,'G-7 WaterC'' Data'!$H$3:$L$3,0)),"")</f>
        <v/>
      </c>
      <c r="I25" s="38"/>
      <c r="J25" s="298" t="str">
        <f>IF(I25="","",IF(VLOOKUP(I25,'G-7 WaterC'' Data'!$AK$4:$AM$6,2,FALSE)=0,"Spatial Data Missing ⚠",VLOOKUP(I25,'G-7 WaterC'' Data'!$AK$4:$AM$6,2,FALSE)))</f>
        <v/>
      </c>
      <c r="K25" s="291" t="str">
        <f>IF(I25="","",IF(VLOOKUP(I25,'G-7 WaterC'' Data'!$AK$4:$AM$6,3,FALSE)=0,"Spatial Data Missing ⚠",VLOOKUP(I25,'G-7 WaterC'' Data'!$AK$4:$AM$6,3,FALSE)))</f>
        <v/>
      </c>
      <c r="L25" s="290" t="str">
        <f>IFERROR(INDEX('G-7 WaterC'' Data'!$O$3:$O$7,MATCH(G25,'G-7 WaterC'' Data'!$N$3:$N$7,0)),"")</f>
        <v/>
      </c>
      <c r="M25" s="47"/>
      <c r="N25" s="138"/>
      <c r="O25" s="298" t="str">
        <f t="shared" si="0"/>
        <v/>
      </c>
      <c r="P25" s="311" t="str">
        <f t="shared" si="1"/>
        <v/>
      </c>
      <c r="Q25" s="344" t="str">
        <f>IFERROR(IF(P25="Check Data ⚠","Check Data ⚠",VLOOKUP(P25,'G-4 Temporal multipliers'!$A$4:$C$37,3,FALSE)),"")</f>
        <v/>
      </c>
      <c r="R25" s="290" t="str">
        <f>IF(C25="","",VLOOKUP(C25,'G-7 WaterC'' Data'!$B$4:$G$8,4,FALSE))</f>
        <v/>
      </c>
      <c r="S25" s="298" t="str">
        <f t="shared" si="2"/>
        <v/>
      </c>
      <c r="T25" s="328" t="str">
        <f t="shared" si="3"/>
        <v/>
      </c>
      <c r="U25" s="291" t="str">
        <f>IF(C25="","",VLOOKUP(T25,'G-3 Multipliers'!$P$2:$Q$6,2,FALSE))</f>
        <v/>
      </c>
      <c r="V25" s="96"/>
      <c r="W25" s="291" t="str">
        <f>IF(V25="","",IF(AND(V25="N/A - Culvert",C25&lt;&gt;"Culvert"),"Not possible ▲",IF(AND(C25="Culvert",V25&lt;&gt;"N/A - Culvert"),"Not possible ▲",IF(VLOOKUP(V25,'G-7 WaterC'' Data'!$AA$4:$AB$7,2,FALSE)=0,"Spatial Data Missing ⚠",VLOOKUP(V25,'G-7 WaterC'' Data'!$AA$4:$AB$7,2,FALSE)))))</f>
        <v/>
      </c>
      <c r="X25" s="44"/>
      <c r="Y25" s="291" t="str">
        <f>IF(X25="","",IF(AND(X25="N/A - Culvert", C25&lt;&gt;"Culvert"), "Not possible ▲",IF(AND(C25="Culvert",X25&lt;&gt;"N/A - Culvert"),"Not possible ▲",IF(VLOOKUP(X25,'G-7 WaterC'' Data'!$AD$4:$AE$14,2,FALSE)=0,"Enrcoachment Data Missing ⚠",VLOOKUP(X25,'G-7 WaterC'' Data'!$AD$4:$AE$14,2,FALSE)))))</f>
        <v/>
      </c>
      <c r="Z25" s="332" t="str">
        <f t="shared" si="4"/>
        <v/>
      </c>
      <c r="AA25" s="98"/>
      <c r="AB25" s="99"/>
      <c r="AC25" s="101"/>
      <c r="AH25" s="15" t="str">
        <f>IFERROR(INDEX('G-7 WaterC'' Data'!$AZ$3:$AZ$7,MATCH(C25,'G-7 WaterC'' Data'!$AY$3:$AY$7,0)),"")</f>
        <v/>
      </c>
    </row>
    <row r="26" spans="2:34" ht="14" x14ac:dyDescent="0.3">
      <c r="B26" s="92">
        <v>15</v>
      </c>
      <c r="C26" s="119"/>
      <c r="D26" s="120"/>
      <c r="E26" s="290" t="str">
        <f>IF(C26="","",VLOOKUP(C26,'G-7 WaterC'' Data'!$B$2:$G$8,2,FALSE))</f>
        <v/>
      </c>
      <c r="F26" s="291" t="str">
        <f>IFERROR(VLOOKUP(E26,'G-7 WaterC'' Data'!$C$4:$D$8,2,FALSE),"")</f>
        <v/>
      </c>
      <c r="G26" s="95"/>
      <c r="H26" s="291" t="str">
        <f>IFERROR(INDEX('G-7 WaterC'' Data'!$H$4:$L$8,MATCH(C26,'G-7 WaterC'' Data'!$B$4:$B$8,0),MATCH(G26,'G-7 WaterC'' Data'!$H$3:$L$3,0)),"")</f>
        <v/>
      </c>
      <c r="I26" s="38"/>
      <c r="J26" s="298" t="str">
        <f>IF(I26="","",IF(VLOOKUP(I26,'G-7 WaterC'' Data'!$AK$4:$AM$6,2,FALSE)=0,"Spatial Data Missing ⚠",VLOOKUP(I26,'G-7 WaterC'' Data'!$AK$4:$AM$6,2,FALSE)))</f>
        <v/>
      </c>
      <c r="K26" s="291" t="str">
        <f>IF(I26="","",IF(VLOOKUP(I26,'G-7 WaterC'' Data'!$AK$4:$AM$6,3,FALSE)=0,"Spatial Data Missing ⚠",VLOOKUP(I26,'G-7 WaterC'' Data'!$AK$4:$AM$6,3,FALSE)))</f>
        <v/>
      </c>
      <c r="L26" s="290" t="str">
        <f>IFERROR(INDEX('G-7 WaterC'' Data'!$O$3:$O$7,MATCH(G26,'G-7 WaterC'' Data'!$N$3:$N$7,0)),"")</f>
        <v/>
      </c>
      <c r="M26" s="47"/>
      <c r="N26" s="138"/>
      <c r="O26" s="298" t="str">
        <f t="shared" si="0"/>
        <v/>
      </c>
      <c r="P26" s="311" t="str">
        <f t="shared" si="1"/>
        <v/>
      </c>
      <c r="Q26" s="344" t="str">
        <f>IFERROR(IF(P26="Check Data ⚠","Check Data ⚠",VLOOKUP(P26,'G-4 Temporal multipliers'!$A$4:$C$37,3,FALSE)),"")</f>
        <v/>
      </c>
      <c r="R26" s="290" t="str">
        <f>IF(C26="","",VLOOKUP(C26,'G-7 WaterC'' Data'!$B$4:$G$8,4,FALSE))</f>
        <v/>
      </c>
      <c r="S26" s="298" t="str">
        <f t="shared" si="2"/>
        <v/>
      </c>
      <c r="T26" s="328" t="str">
        <f t="shared" si="3"/>
        <v/>
      </c>
      <c r="U26" s="291" t="str">
        <f>IF(C26="","",VLOOKUP(T26,'G-3 Multipliers'!$P$2:$Q$6,2,FALSE))</f>
        <v/>
      </c>
      <c r="V26" s="96"/>
      <c r="W26" s="291" t="str">
        <f>IF(V26="","",IF(AND(V26="N/A - Culvert",C26&lt;&gt;"Culvert"),"Not possible ▲",IF(AND(C26="Culvert",V26&lt;&gt;"N/A - Culvert"),"Not possible ▲",IF(VLOOKUP(V26,'G-7 WaterC'' Data'!$AA$4:$AB$7,2,FALSE)=0,"Spatial Data Missing ⚠",VLOOKUP(V26,'G-7 WaterC'' Data'!$AA$4:$AB$7,2,FALSE)))))</f>
        <v/>
      </c>
      <c r="X26" s="44"/>
      <c r="Y26" s="291" t="str">
        <f>IF(X26="","",IF(AND(X26="N/A - Culvert", C26&lt;&gt;"Culvert"), "Not possible ▲",IF(AND(C26="Culvert",X26&lt;&gt;"N/A - Culvert"),"Not possible ▲",IF(VLOOKUP(X26,'G-7 WaterC'' Data'!$AD$4:$AE$14,2,FALSE)=0,"Enrcoachment Data Missing ⚠",VLOOKUP(X26,'G-7 WaterC'' Data'!$AD$4:$AE$14,2,FALSE)))))</f>
        <v/>
      </c>
      <c r="Z26" s="332" t="str">
        <f t="shared" si="4"/>
        <v/>
      </c>
      <c r="AA26" s="98"/>
      <c r="AB26" s="99"/>
      <c r="AC26" s="101"/>
      <c r="AH26" s="15" t="str">
        <f>IFERROR(INDEX('G-7 WaterC'' Data'!$AZ$3:$AZ$7,MATCH(C26,'G-7 WaterC'' Data'!$AY$3:$AY$7,0)),"")</f>
        <v/>
      </c>
    </row>
    <row r="27" spans="2:34" ht="14" x14ac:dyDescent="0.3">
      <c r="B27" s="92">
        <v>16</v>
      </c>
      <c r="C27" s="119"/>
      <c r="D27" s="120"/>
      <c r="E27" s="290" t="str">
        <f>IF(C27="","",VLOOKUP(C27,'G-7 WaterC'' Data'!$B$2:$G$8,2,FALSE))</f>
        <v/>
      </c>
      <c r="F27" s="291" t="str">
        <f>IFERROR(VLOOKUP(E27,'G-7 WaterC'' Data'!$C$4:$D$8,2,FALSE),"")</f>
        <v/>
      </c>
      <c r="G27" s="95"/>
      <c r="H27" s="291" t="str">
        <f>IFERROR(INDEX('G-7 WaterC'' Data'!$H$4:$L$8,MATCH(C27,'G-7 WaterC'' Data'!$B$4:$B$8,0),MATCH(G27,'G-7 WaterC'' Data'!$H$3:$L$3,0)),"")</f>
        <v/>
      </c>
      <c r="I27" s="38"/>
      <c r="J27" s="298" t="str">
        <f>IF(I27="","",IF(VLOOKUP(I27,'G-7 WaterC'' Data'!$AK$4:$AM$6,2,FALSE)=0,"Spatial Data Missing ⚠",VLOOKUP(I27,'G-7 WaterC'' Data'!$AK$4:$AM$6,2,FALSE)))</f>
        <v/>
      </c>
      <c r="K27" s="291" t="str">
        <f>IF(I27="","",IF(VLOOKUP(I27,'G-7 WaterC'' Data'!$AK$4:$AM$6,3,FALSE)=0,"Spatial Data Missing ⚠",VLOOKUP(I27,'G-7 WaterC'' Data'!$AK$4:$AM$6,3,FALSE)))</f>
        <v/>
      </c>
      <c r="L27" s="290" t="str">
        <f>IFERROR(INDEX('G-7 WaterC'' Data'!$O$3:$O$7,MATCH(G27,'G-7 WaterC'' Data'!$N$3:$N$7,0)),"")</f>
        <v/>
      </c>
      <c r="M27" s="47"/>
      <c r="N27" s="138"/>
      <c r="O27" s="298" t="str">
        <f t="shared" si="0"/>
        <v/>
      </c>
      <c r="P27" s="311" t="str">
        <f t="shared" si="1"/>
        <v/>
      </c>
      <c r="Q27" s="344" t="str">
        <f>IFERROR(IF(P27="Check Data ⚠","Check Data ⚠",VLOOKUP(P27,'G-4 Temporal multipliers'!$A$4:$C$37,3,FALSE)),"")</f>
        <v/>
      </c>
      <c r="R27" s="290" t="str">
        <f>IF(C27="","",VLOOKUP(C27,'G-7 WaterC'' Data'!$B$4:$G$8,4,FALSE))</f>
        <v/>
      </c>
      <c r="S27" s="298" t="str">
        <f t="shared" si="2"/>
        <v/>
      </c>
      <c r="T27" s="328" t="str">
        <f t="shared" si="3"/>
        <v/>
      </c>
      <c r="U27" s="291" t="str">
        <f>IF(C27="","",VLOOKUP(T27,'G-3 Multipliers'!$P$2:$Q$6,2,FALSE))</f>
        <v/>
      </c>
      <c r="V27" s="96"/>
      <c r="W27" s="291" t="str">
        <f>IF(V27="","",IF(AND(V27="N/A - Culvert",C27&lt;&gt;"Culvert"),"Not possible ▲",IF(AND(C27="Culvert",V27&lt;&gt;"N/A - Culvert"),"Not possible ▲",IF(VLOOKUP(V27,'G-7 WaterC'' Data'!$AA$4:$AB$7,2,FALSE)=0,"Spatial Data Missing ⚠",VLOOKUP(V27,'G-7 WaterC'' Data'!$AA$4:$AB$7,2,FALSE)))))</f>
        <v/>
      </c>
      <c r="X27" s="44"/>
      <c r="Y27" s="291" t="str">
        <f>IF(X27="","",IF(AND(X27="N/A - Culvert", C27&lt;&gt;"Culvert"), "Not possible ▲",IF(AND(C27="Culvert",X27&lt;&gt;"N/A - Culvert"),"Not possible ▲",IF(VLOOKUP(X27,'G-7 WaterC'' Data'!$AD$4:$AE$14,2,FALSE)=0,"Enrcoachment Data Missing ⚠",VLOOKUP(X27,'G-7 WaterC'' Data'!$AD$4:$AE$14,2,FALSE)))))</f>
        <v/>
      </c>
      <c r="Z27" s="332" t="str">
        <f t="shared" si="4"/>
        <v/>
      </c>
      <c r="AA27" s="98"/>
      <c r="AB27" s="99"/>
      <c r="AC27" s="101"/>
      <c r="AH27" s="15" t="str">
        <f>IFERROR(INDEX('G-7 WaterC'' Data'!$AZ$3:$AZ$7,MATCH(C27,'G-7 WaterC'' Data'!$AY$3:$AY$7,0)),"")</f>
        <v/>
      </c>
    </row>
    <row r="28" spans="2:34" ht="14" x14ac:dyDescent="0.3">
      <c r="B28" s="92">
        <v>17</v>
      </c>
      <c r="C28" s="119"/>
      <c r="D28" s="120"/>
      <c r="E28" s="290" t="str">
        <f>IF(C28="","",VLOOKUP(C28,'G-7 WaterC'' Data'!$B$2:$G$8,2,FALSE))</f>
        <v/>
      </c>
      <c r="F28" s="291" t="str">
        <f>IFERROR(VLOOKUP(E28,'G-7 WaterC'' Data'!$C$4:$D$8,2,FALSE),"")</f>
        <v/>
      </c>
      <c r="G28" s="95"/>
      <c r="H28" s="291" t="str">
        <f>IFERROR(INDEX('G-7 WaterC'' Data'!$H$4:$L$8,MATCH(C28,'G-7 WaterC'' Data'!$B$4:$B$8,0),MATCH(G28,'G-7 WaterC'' Data'!$H$3:$L$3,0)),"")</f>
        <v/>
      </c>
      <c r="I28" s="38"/>
      <c r="J28" s="298" t="str">
        <f>IF(I28="","",IF(VLOOKUP(I28,'G-7 WaterC'' Data'!$AK$4:$AM$6,2,FALSE)=0,"Spatial Data Missing ⚠",VLOOKUP(I28,'G-7 WaterC'' Data'!$AK$4:$AM$6,2,FALSE)))</f>
        <v/>
      </c>
      <c r="K28" s="291" t="str">
        <f>IF(I28="","",IF(VLOOKUP(I28,'G-7 WaterC'' Data'!$AK$4:$AM$6,3,FALSE)=0,"Spatial Data Missing ⚠",VLOOKUP(I28,'G-7 WaterC'' Data'!$AK$4:$AM$6,3,FALSE)))</f>
        <v/>
      </c>
      <c r="L28" s="290" t="str">
        <f>IFERROR(INDEX('G-7 WaterC'' Data'!$O$3:$O$7,MATCH(G28,'G-7 WaterC'' Data'!$N$3:$N$7,0)),"")</f>
        <v/>
      </c>
      <c r="M28" s="47"/>
      <c r="N28" s="138"/>
      <c r="O28" s="298" t="str">
        <f t="shared" si="0"/>
        <v/>
      </c>
      <c r="P28" s="311" t="str">
        <f t="shared" si="1"/>
        <v/>
      </c>
      <c r="Q28" s="344" t="str">
        <f>IFERROR(IF(P28="Check Data ⚠","Check Data ⚠",VLOOKUP(P28,'G-4 Temporal multipliers'!$A$4:$C$37,3,FALSE)),"")</f>
        <v/>
      </c>
      <c r="R28" s="290" t="str">
        <f>IF(C28="","",VLOOKUP(C28,'G-7 WaterC'' Data'!$B$4:$G$8,4,FALSE))</f>
        <v/>
      </c>
      <c r="S28" s="298" t="str">
        <f t="shared" si="2"/>
        <v/>
      </c>
      <c r="T28" s="328" t="str">
        <f t="shared" si="3"/>
        <v/>
      </c>
      <c r="U28" s="291" t="str">
        <f>IF(C28="","",VLOOKUP(T28,'G-3 Multipliers'!$P$2:$Q$6,2,FALSE))</f>
        <v/>
      </c>
      <c r="V28" s="96"/>
      <c r="W28" s="291" t="str">
        <f>IF(V28="","",IF(AND(V28="N/A - Culvert",C28&lt;&gt;"Culvert"),"Not possible ▲",IF(AND(C28="Culvert",V28&lt;&gt;"N/A - Culvert"),"Not possible ▲",IF(VLOOKUP(V28,'G-7 WaterC'' Data'!$AA$4:$AB$7,2,FALSE)=0,"Spatial Data Missing ⚠",VLOOKUP(V28,'G-7 WaterC'' Data'!$AA$4:$AB$7,2,FALSE)))))</f>
        <v/>
      </c>
      <c r="X28" s="44"/>
      <c r="Y28" s="291" t="str">
        <f>IF(X28="","",IF(AND(X28="N/A - Culvert", C28&lt;&gt;"Culvert"), "Not possible ▲",IF(AND(C28="Culvert",X28&lt;&gt;"N/A - Culvert"),"Not possible ▲",IF(VLOOKUP(X28,'G-7 WaterC'' Data'!$AD$4:$AE$14,2,FALSE)=0,"Enrcoachment Data Missing ⚠",VLOOKUP(X28,'G-7 WaterC'' Data'!$AD$4:$AE$14,2,FALSE)))))</f>
        <v/>
      </c>
      <c r="Z28" s="332" t="str">
        <f t="shared" si="4"/>
        <v/>
      </c>
      <c r="AA28" s="98"/>
      <c r="AB28" s="99"/>
      <c r="AC28" s="101"/>
      <c r="AH28" s="15" t="str">
        <f>IFERROR(INDEX('G-7 WaterC'' Data'!$AZ$3:$AZ$7,MATCH(C28,'G-7 WaterC'' Data'!$AY$3:$AY$7,0)),"")</f>
        <v/>
      </c>
    </row>
    <row r="29" spans="2:34" ht="14" x14ac:dyDescent="0.3">
      <c r="B29" s="92">
        <v>18</v>
      </c>
      <c r="C29" s="119"/>
      <c r="D29" s="120"/>
      <c r="E29" s="290" t="str">
        <f>IF(C29="","",VLOOKUP(C29,'G-7 WaterC'' Data'!$B$2:$G$8,2,FALSE))</f>
        <v/>
      </c>
      <c r="F29" s="291" t="str">
        <f>IFERROR(VLOOKUP(E29,'G-7 WaterC'' Data'!$C$4:$D$8,2,FALSE),"")</f>
        <v/>
      </c>
      <c r="G29" s="95"/>
      <c r="H29" s="291" t="str">
        <f>IFERROR(INDEX('G-7 WaterC'' Data'!$H$4:$L$8,MATCH(C29,'G-7 WaterC'' Data'!$B$4:$B$8,0),MATCH(G29,'G-7 WaterC'' Data'!$H$3:$L$3,0)),"")</f>
        <v/>
      </c>
      <c r="I29" s="38"/>
      <c r="J29" s="298" t="str">
        <f>IF(I29="","",IF(VLOOKUP(I29,'G-7 WaterC'' Data'!$AK$4:$AM$6,2,FALSE)=0,"Spatial Data Missing ⚠",VLOOKUP(I29,'G-7 WaterC'' Data'!$AK$4:$AM$6,2,FALSE)))</f>
        <v/>
      </c>
      <c r="K29" s="291" t="str">
        <f>IF(I29="","",IF(VLOOKUP(I29,'G-7 WaterC'' Data'!$AK$4:$AM$6,3,FALSE)=0,"Spatial Data Missing ⚠",VLOOKUP(I29,'G-7 WaterC'' Data'!$AK$4:$AM$6,3,FALSE)))</f>
        <v/>
      </c>
      <c r="L29" s="290" t="str">
        <f>IFERROR(INDEX('G-7 WaterC'' Data'!$O$3:$O$7,MATCH(G29,'G-7 WaterC'' Data'!$N$3:$N$7,0)),"")</f>
        <v/>
      </c>
      <c r="M29" s="47"/>
      <c r="N29" s="138"/>
      <c r="O29" s="298" t="str">
        <f t="shared" si="0"/>
        <v/>
      </c>
      <c r="P29" s="311" t="str">
        <f t="shared" si="1"/>
        <v/>
      </c>
      <c r="Q29" s="344" t="str">
        <f>IFERROR(IF(P29="Check Data ⚠","Check Data ⚠",VLOOKUP(P29,'G-4 Temporal multipliers'!$A$4:$C$37,3,FALSE)),"")</f>
        <v/>
      </c>
      <c r="R29" s="290" t="str">
        <f>IF(C29="","",VLOOKUP(C29,'G-7 WaterC'' Data'!$B$4:$G$8,4,FALSE))</f>
        <v/>
      </c>
      <c r="S29" s="298" t="str">
        <f t="shared" si="2"/>
        <v/>
      </c>
      <c r="T29" s="328" t="str">
        <f t="shared" si="3"/>
        <v/>
      </c>
      <c r="U29" s="291" t="str">
        <f>IF(C29="","",VLOOKUP(T29,'G-3 Multipliers'!$P$2:$Q$6,2,FALSE))</f>
        <v/>
      </c>
      <c r="V29" s="96"/>
      <c r="W29" s="291" t="str">
        <f>IF(V29="","",IF(AND(V29="N/A - Culvert",C29&lt;&gt;"Culvert"),"Not possible ▲",IF(AND(C29="Culvert",V29&lt;&gt;"N/A - Culvert"),"Not possible ▲",IF(VLOOKUP(V29,'G-7 WaterC'' Data'!$AA$4:$AB$7,2,FALSE)=0,"Spatial Data Missing ⚠",VLOOKUP(V29,'G-7 WaterC'' Data'!$AA$4:$AB$7,2,FALSE)))))</f>
        <v/>
      </c>
      <c r="X29" s="44"/>
      <c r="Y29" s="291" t="str">
        <f>IF(X29="","",IF(AND(X29="N/A - Culvert", C29&lt;&gt;"Culvert"), "Not possible ▲",IF(AND(C29="Culvert",X29&lt;&gt;"N/A - Culvert"),"Not possible ▲",IF(VLOOKUP(X29,'G-7 WaterC'' Data'!$AD$4:$AE$14,2,FALSE)=0,"Enrcoachment Data Missing ⚠",VLOOKUP(X29,'G-7 WaterC'' Data'!$AD$4:$AE$14,2,FALSE)))))</f>
        <v/>
      </c>
      <c r="Z29" s="332" t="str">
        <f t="shared" si="4"/>
        <v/>
      </c>
      <c r="AA29" s="98"/>
      <c r="AB29" s="99"/>
      <c r="AC29" s="101"/>
      <c r="AH29" s="15" t="str">
        <f>IFERROR(INDEX('G-7 WaterC'' Data'!$AZ$3:$AZ$7,MATCH(C29,'G-7 WaterC'' Data'!$AY$3:$AY$7,0)),"")</f>
        <v/>
      </c>
    </row>
    <row r="30" spans="2:34" ht="14" x14ac:dyDescent="0.3">
      <c r="B30" s="92">
        <v>19</v>
      </c>
      <c r="C30" s="119"/>
      <c r="D30" s="120"/>
      <c r="E30" s="290" t="str">
        <f>IF(C30="","",VLOOKUP(C30,'G-7 WaterC'' Data'!$B$2:$G$8,2,FALSE))</f>
        <v/>
      </c>
      <c r="F30" s="291" t="str">
        <f>IFERROR(VLOOKUP(E30,'G-7 WaterC'' Data'!$C$4:$D$8,2,FALSE),"")</f>
        <v/>
      </c>
      <c r="G30" s="95"/>
      <c r="H30" s="291" t="str">
        <f>IFERROR(INDEX('G-7 WaterC'' Data'!$H$4:$L$8,MATCH(C30,'G-7 WaterC'' Data'!$B$4:$B$8,0),MATCH(G30,'G-7 WaterC'' Data'!$H$3:$L$3,0)),"")</f>
        <v/>
      </c>
      <c r="I30" s="38"/>
      <c r="J30" s="298" t="str">
        <f>IF(I30="","",IF(VLOOKUP(I30,'G-7 WaterC'' Data'!$AK$4:$AM$6,2,FALSE)=0,"Spatial Data Missing ⚠",VLOOKUP(I30,'G-7 WaterC'' Data'!$AK$4:$AM$6,2,FALSE)))</f>
        <v/>
      </c>
      <c r="K30" s="291" t="str">
        <f>IF(I30="","",IF(VLOOKUP(I30,'G-7 WaterC'' Data'!$AK$4:$AM$6,3,FALSE)=0,"Spatial Data Missing ⚠",VLOOKUP(I30,'G-7 WaterC'' Data'!$AK$4:$AM$6,3,FALSE)))</f>
        <v/>
      </c>
      <c r="L30" s="290" t="str">
        <f>IFERROR(INDEX('G-7 WaterC'' Data'!$O$3:$O$7,MATCH(G30,'G-7 WaterC'' Data'!$N$3:$N$7,0)),"")</f>
        <v/>
      </c>
      <c r="M30" s="47"/>
      <c r="N30" s="138"/>
      <c r="O30" s="298" t="str">
        <f t="shared" si="0"/>
        <v/>
      </c>
      <c r="P30" s="311" t="str">
        <f t="shared" si="1"/>
        <v/>
      </c>
      <c r="Q30" s="344" t="str">
        <f>IFERROR(IF(P30="Check Data ⚠","Check Data ⚠",VLOOKUP(P30,'G-4 Temporal multipliers'!$A$4:$C$37,3,FALSE)),"")</f>
        <v/>
      </c>
      <c r="R30" s="290" t="str">
        <f>IF(C30="","",VLOOKUP(C30,'G-7 WaterC'' Data'!$B$4:$G$8,4,FALSE))</f>
        <v/>
      </c>
      <c r="S30" s="298" t="str">
        <f t="shared" si="2"/>
        <v/>
      </c>
      <c r="T30" s="328" t="str">
        <f t="shared" si="3"/>
        <v/>
      </c>
      <c r="U30" s="291" t="str">
        <f>IF(C30="","",VLOOKUP(T30,'G-3 Multipliers'!$P$2:$Q$6,2,FALSE))</f>
        <v/>
      </c>
      <c r="V30" s="96"/>
      <c r="W30" s="291" t="str">
        <f>IF(V30="","",IF(AND(V30="N/A - Culvert",C30&lt;&gt;"Culvert"),"Not possible ▲",IF(AND(C30="Culvert",V30&lt;&gt;"N/A - Culvert"),"Not possible ▲",IF(VLOOKUP(V30,'G-7 WaterC'' Data'!$AA$4:$AB$7,2,FALSE)=0,"Spatial Data Missing ⚠",VLOOKUP(V30,'G-7 WaterC'' Data'!$AA$4:$AB$7,2,FALSE)))))</f>
        <v/>
      </c>
      <c r="X30" s="44"/>
      <c r="Y30" s="291" t="str">
        <f>IF(X30="","",IF(AND(X30="N/A - Culvert", C30&lt;&gt;"Culvert"), "Not possible ▲",IF(AND(C30="Culvert",X30&lt;&gt;"N/A - Culvert"),"Not possible ▲",IF(VLOOKUP(X30,'G-7 WaterC'' Data'!$AD$4:$AE$14,2,FALSE)=0,"Enrcoachment Data Missing ⚠",VLOOKUP(X30,'G-7 WaterC'' Data'!$AD$4:$AE$14,2,FALSE)))))</f>
        <v/>
      </c>
      <c r="Z30" s="332" t="str">
        <f t="shared" si="4"/>
        <v/>
      </c>
      <c r="AA30" s="98"/>
      <c r="AB30" s="99"/>
      <c r="AC30" s="101"/>
      <c r="AH30" s="15" t="str">
        <f>IFERROR(INDEX('G-7 WaterC'' Data'!$AZ$3:$AZ$7,MATCH(C30,'G-7 WaterC'' Data'!$AY$3:$AY$7,0)),"")</f>
        <v/>
      </c>
    </row>
    <row r="31" spans="2:34" ht="14" x14ac:dyDescent="0.3">
      <c r="B31" s="92">
        <v>20</v>
      </c>
      <c r="C31" s="119"/>
      <c r="D31" s="120"/>
      <c r="E31" s="290" t="str">
        <f>IF(C31="","",VLOOKUP(C31,'G-7 WaterC'' Data'!$B$2:$G$8,2,FALSE))</f>
        <v/>
      </c>
      <c r="F31" s="291" t="str">
        <f>IFERROR(VLOOKUP(E31,'G-7 WaterC'' Data'!$C$4:$D$8,2,FALSE),"")</f>
        <v/>
      </c>
      <c r="G31" s="95"/>
      <c r="H31" s="291" t="str">
        <f>IFERROR(INDEX('G-7 WaterC'' Data'!$H$4:$L$8,MATCH(C31,'G-7 WaterC'' Data'!$B$4:$B$8,0),MATCH(G31,'G-7 WaterC'' Data'!$H$3:$L$3,0)),"")</f>
        <v/>
      </c>
      <c r="I31" s="38"/>
      <c r="J31" s="298" t="str">
        <f>IF(I31="","",IF(VLOOKUP(I31,'G-7 WaterC'' Data'!$AK$4:$AM$6,2,FALSE)=0,"Spatial Data Missing ⚠",VLOOKUP(I31,'G-7 WaterC'' Data'!$AK$4:$AM$6,2,FALSE)))</f>
        <v/>
      </c>
      <c r="K31" s="291" t="str">
        <f>IF(I31="","",IF(VLOOKUP(I31,'G-7 WaterC'' Data'!$AK$4:$AM$6,3,FALSE)=0,"Spatial Data Missing ⚠",VLOOKUP(I31,'G-7 WaterC'' Data'!$AK$4:$AM$6,3,FALSE)))</f>
        <v/>
      </c>
      <c r="L31" s="290" t="str">
        <f>IFERROR(INDEX('G-7 WaterC'' Data'!$O$3:$O$7,MATCH(G31,'G-7 WaterC'' Data'!$N$3:$N$7,0)),"")</f>
        <v/>
      </c>
      <c r="M31" s="47"/>
      <c r="N31" s="138"/>
      <c r="O31" s="298" t="str">
        <f t="shared" si="0"/>
        <v/>
      </c>
      <c r="P31" s="311" t="str">
        <f t="shared" si="1"/>
        <v/>
      </c>
      <c r="Q31" s="344" t="str">
        <f>IFERROR(IF(P31="Check Data ⚠","Check Data ⚠",VLOOKUP(P31,'G-4 Temporal multipliers'!$A$4:$C$37,3,FALSE)),"")</f>
        <v/>
      </c>
      <c r="R31" s="290" t="str">
        <f>IF(C31="","",VLOOKUP(C31,'G-7 WaterC'' Data'!$B$4:$G$8,4,FALSE))</f>
        <v/>
      </c>
      <c r="S31" s="298" t="str">
        <f t="shared" si="2"/>
        <v/>
      </c>
      <c r="T31" s="328" t="str">
        <f t="shared" si="3"/>
        <v/>
      </c>
      <c r="U31" s="291" t="str">
        <f>IF(C31="","",VLOOKUP(T31,'G-3 Multipliers'!$P$2:$Q$6,2,FALSE))</f>
        <v/>
      </c>
      <c r="V31" s="96"/>
      <c r="W31" s="291" t="str">
        <f>IF(V31="","",IF(AND(V31="N/A - Culvert",C31&lt;&gt;"Culvert"),"Not possible ▲",IF(AND(C31="Culvert",V31&lt;&gt;"N/A - Culvert"),"Not possible ▲",IF(VLOOKUP(V31,'G-7 WaterC'' Data'!$AA$4:$AB$7,2,FALSE)=0,"Spatial Data Missing ⚠",VLOOKUP(V31,'G-7 WaterC'' Data'!$AA$4:$AB$7,2,FALSE)))))</f>
        <v/>
      </c>
      <c r="X31" s="44"/>
      <c r="Y31" s="291" t="str">
        <f>IF(X31="","",IF(AND(X31="N/A - Culvert", C31&lt;&gt;"Culvert"), "Not possible ▲",IF(AND(C31="Culvert",X31&lt;&gt;"N/A - Culvert"),"Not possible ▲",IF(VLOOKUP(X31,'G-7 WaterC'' Data'!$AD$4:$AE$14,2,FALSE)=0,"Enrcoachment Data Missing ⚠",VLOOKUP(X31,'G-7 WaterC'' Data'!$AD$4:$AE$14,2,FALSE)))))</f>
        <v/>
      </c>
      <c r="Z31" s="332" t="str">
        <f t="shared" si="4"/>
        <v/>
      </c>
      <c r="AA31" s="98"/>
      <c r="AB31" s="99"/>
      <c r="AC31" s="101"/>
      <c r="AH31" s="15" t="str">
        <f>IFERROR(INDEX('G-7 WaterC'' Data'!$AZ$3:$AZ$7,MATCH(C31,'G-7 WaterC'' Data'!$AY$3:$AY$7,0)),"")</f>
        <v/>
      </c>
    </row>
    <row r="32" spans="2:34" ht="14" x14ac:dyDescent="0.3">
      <c r="B32" s="92">
        <v>21</v>
      </c>
      <c r="C32" s="119"/>
      <c r="D32" s="120"/>
      <c r="E32" s="290" t="str">
        <f>IF(C32="","",VLOOKUP(C32,'G-7 WaterC'' Data'!$B$2:$G$8,2,FALSE))</f>
        <v/>
      </c>
      <c r="F32" s="291" t="str">
        <f>IFERROR(VLOOKUP(E32,'G-7 WaterC'' Data'!$C$4:$D$8,2,FALSE),"")</f>
        <v/>
      </c>
      <c r="G32" s="95"/>
      <c r="H32" s="291" t="str">
        <f>IFERROR(INDEX('G-7 WaterC'' Data'!$H$4:$L$8,MATCH(C32,'G-7 WaterC'' Data'!$B$4:$B$8,0),MATCH(G32,'G-7 WaterC'' Data'!$H$3:$L$3,0)),"")</f>
        <v/>
      </c>
      <c r="I32" s="38"/>
      <c r="J32" s="298" t="str">
        <f>IF(I32="","",IF(VLOOKUP(I32,'G-7 WaterC'' Data'!$AK$4:$AM$6,2,FALSE)=0,"Spatial Data Missing ⚠",VLOOKUP(I32,'G-7 WaterC'' Data'!$AK$4:$AM$6,2,FALSE)))</f>
        <v/>
      </c>
      <c r="K32" s="291" t="str">
        <f>IF(I32="","",IF(VLOOKUP(I32,'G-7 WaterC'' Data'!$AK$4:$AM$6,3,FALSE)=0,"Spatial Data Missing ⚠",VLOOKUP(I32,'G-7 WaterC'' Data'!$AK$4:$AM$6,3,FALSE)))</f>
        <v/>
      </c>
      <c r="L32" s="290" t="str">
        <f>IFERROR(INDEX('G-7 WaterC'' Data'!$O$3:$O$7,MATCH(G32,'G-7 WaterC'' Data'!$N$3:$N$7,0)),"")</f>
        <v/>
      </c>
      <c r="M32" s="47"/>
      <c r="N32" s="138"/>
      <c r="O32" s="298" t="str">
        <f t="shared" si="0"/>
        <v/>
      </c>
      <c r="P32" s="311" t="str">
        <f t="shared" si="1"/>
        <v/>
      </c>
      <c r="Q32" s="344" t="str">
        <f>IFERROR(IF(P32="Check Data ⚠","Check Data ⚠",VLOOKUP(P32,'G-4 Temporal multipliers'!$A$4:$C$37,3,FALSE)),"")</f>
        <v/>
      </c>
      <c r="R32" s="290" t="str">
        <f>IF(C32="","",VLOOKUP(C32,'G-7 WaterC'' Data'!$B$4:$G$8,4,FALSE))</f>
        <v/>
      </c>
      <c r="S32" s="298" t="str">
        <f t="shared" si="2"/>
        <v/>
      </c>
      <c r="T32" s="328" t="str">
        <f t="shared" si="3"/>
        <v/>
      </c>
      <c r="U32" s="291" t="str">
        <f>IF(C32="","",VLOOKUP(T32,'G-3 Multipliers'!$P$2:$Q$6,2,FALSE))</f>
        <v/>
      </c>
      <c r="V32" s="96"/>
      <c r="W32" s="291" t="str">
        <f>IF(V32="","",IF(AND(V32="N/A - Culvert",C32&lt;&gt;"Culvert"),"Not possible ▲",IF(AND(C32="Culvert",V32&lt;&gt;"N/A - Culvert"),"Not possible ▲",IF(VLOOKUP(V32,'G-7 WaterC'' Data'!$AA$4:$AB$7,2,FALSE)=0,"Spatial Data Missing ⚠",VLOOKUP(V32,'G-7 WaterC'' Data'!$AA$4:$AB$7,2,FALSE)))))</f>
        <v/>
      </c>
      <c r="X32" s="44"/>
      <c r="Y32" s="291" t="str">
        <f>IF(X32="","",IF(AND(X32="N/A - Culvert", C32&lt;&gt;"Culvert"), "Not possible ▲",IF(AND(C32="Culvert",X32&lt;&gt;"N/A - Culvert"),"Not possible ▲",IF(VLOOKUP(X32,'G-7 WaterC'' Data'!$AD$4:$AE$14,2,FALSE)=0,"Enrcoachment Data Missing ⚠",VLOOKUP(X32,'G-7 WaterC'' Data'!$AD$4:$AE$14,2,FALSE)))))</f>
        <v/>
      </c>
      <c r="Z32" s="332" t="str">
        <f t="shared" si="4"/>
        <v/>
      </c>
      <c r="AA32" s="98"/>
      <c r="AB32" s="99"/>
      <c r="AC32" s="101"/>
      <c r="AH32" s="15" t="str">
        <f>IFERROR(INDEX('G-7 WaterC'' Data'!$AZ$3:$AZ$7,MATCH(C32,'G-7 WaterC'' Data'!$AY$3:$AY$7,0)),"")</f>
        <v/>
      </c>
    </row>
    <row r="33" spans="2:34" ht="14" x14ac:dyDescent="0.3">
      <c r="B33" s="92">
        <v>22</v>
      </c>
      <c r="C33" s="119"/>
      <c r="D33" s="120"/>
      <c r="E33" s="290" t="str">
        <f>IF(C33="","",VLOOKUP(C33,'G-7 WaterC'' Data'!$B$2:$G$8,2,FALSE))</f>
        <v/>
      </c>
      <c r="F33" s="291" t="str">
        <f>IFERROR(VLOOKUP(E33,'G-7 WaterC'' Data'!$C$4:$D$8,2,FALSE),"")</f>
        <v/>
      </c>
      <c r="G33" s="95"/>
      <c r="H33" s="291" t="str">
        <f>IFERROR(INDEX('G-7 WaterC'' Data'!$H$4:$L$8,MATCH(C33,'G-7 WaterC'' Data'!$B$4:$B$8,0),MATCH(G33,'G-7 WaterC'' Data'!$H$3:$L$3,0)),"")</f>
        <v/>
      </c>
      <c r="I33" s="38"/>
      <c r="J33" s="298" t="str">
        <f>IF(I33="","",IF(VLOOKUP(I33,'G-7 WaterC'' Data'!$AK$4:$AM$6,2,FALSE)=0,"Spatial Data Missing ⚠",VLOOKUP(I33,'G-7 WaterC'' Data'!$AK$4:$AM$6,2,FALSE)))</f>
        <v/>
      </c>
      <c r="K33" s="291" t="str">
        <f>IF(I33="","",IF(VLOOKUP(I33,'G-7 WaterC'' Data'!$AK$4:$AM$6,3,FALSE)=0,"Spatial Data Missing ⚠",VLOOKUP(I33,'G-7 WaterC'' Data'!$AK$4:$AM$6,3,FALSE)))</f>
        <v/>
      </c>
      <c r="L33" s="290" t="str">
        <f>IFERROR(INDEX('G-7 WaterC'' Data'!$O$3:$O$7,MATCH(G33,'G-7 WaterC'' Data'!$N$3:$N$7,0)),"")</f>
        <v/>
      </c>
      <c r="M33" s="47"/>
      <c r="N33" s="138"/>
      <c r="O33" s="298" t="str">
        <f t="shared" si="0"/>
        <v/>
      </c>
      <c r="P33" s="311" t="str">
        <f t="shared" si="1"/>
        <v/>
      </c>
      <c r="Q33" s="344" t="str">
        <f>IFERROR(IF(P33="Check Data ⚠","Check Data ⚠",VLOOKUP(P33,'G-4 Temporal multipliers'!$A$4:$C$37,3,FALSE)),"")</f>
        <v/>
      </c>
      <c r="R33" s="290" t="str">
        <f>IF(C33="","",VLOOKUP(C33,'G-7 WaterC'' Data'!$B$4:$G$8,4,FALSE))</f>
        <v/>
      </c>
      <c r="S33" s="298" t="str">
        <f t="shared" si="2"/>
        <v/>
      </c>
      <c r="T33" s="328" t="str">
        <f t="shared" si="3"/>
        <v/>
      </c>
      <c r="U33" s="291" t="str">
        <f>IF(C33="","",VLOOKUP(T33,'G-3 Multipliers'!$P$2:$Q$6,2,FALSE))</f>
        <v/>
      </c>
      <c r="V33" s="96"/>
      <c r="W33" s="291" t="str">
        <f>IF(V33="","",IF(AND(V33="N/A - Culvert",C33&lt;&gt;"Culvert"),"Not possible ▲",IF(AND(C33="Culvert",V33&lt;&gt;"N/A - Culvert"),"Not possible ▲",IF(VLOOKUP(V33,'G-7 WaterC'' Data'!$AA$4:$AB$7,2,FALSE)=0,"Spatial Data Missing ⚠",VLOOKUP(V33,'G-7 WaterC'' Data'!$AA$4:$AB$7,2,FALSE)))))</f>
        <v/>
      </c>
      <c r="X33" s="44"/>
      <c r="Y33" s="291" t="str">
        <f>IF(X33="","",IF(AND(X33="N/A - Culvert", C33&lt;&gt;"Culvert"), "Not possible ▲",IF(AND(C33="Culvert",X33&lt;&gt;"N/A - Culvert"),"Not possible ▲",IF(VLOOKUP(X33,'G-7 WaterC'' Data'!$AD$4:$AE$14,2,FALSE)=0,"Enrcoachment Data Missing ⚠",VLOOKUP(X33,'G-7 WaterC'' Data'!$AD$4:$AE$14,2,FALSE)))))</f>
        <v/>
      </c>
      <c r="Z33" s="332" t="str">
        <f t="shared" si="4"/>
        <v/>
      </c>
      <c r="AA33" s="98"/>
      <c r="AB33" s="99"/>
      <c r="AC33" s="101"/>
      <c r="AH33" s="15" t="str">
        <f>IFERROR(INDEX('G-7 WaterC'' Data'!$AZ$3:$AZ$7,MATCH(C33,'G-7 WaterC'' Data'!$AY$3:$AY$7,0)),"")</f>
        <v/>
      </c>
    </row>
    <row r="34" spans="2:34" ht="14" x14ac:dyDescent="0.3">
      <c r="B34" s="92">
        <v>23</v>
      </c>
      <c r="C34" s="119"/>
      <c r="D34" s="120"/>
      <c r="E34" s="290" t="str">
        <f>IF(C34="","",VLOOKUP(C34,'G-7 WaterC'' Data'!$B$2:$G$8,2,FALSE))</f>
        <v/>
      </c>
      <c r="F34" s="291" t="str">
        <f>IFERROR(VLOOKUP(E34,'G-7 WaterC'' Data'!$C$4:$D$8,2,FALSE),"")</f>
        <v/>
      </c>
      <c r="G34" s="95"/>
      <c r="H34" s="291" t="str">
        <f>IFERROR(INDEX('G-7 WaterC'' Data'!$H$4:$L$8,MATCH(C34,'G-7 WaterC'' Data'!$B$4:$B$8,0),MATCH(G34,'G-7 WaterC'' Data'!$H$3:$L$3,0)),"")</f>
        <v/>
      </c>
      <c r="I34" s="38"/>
      <c r="J34" s="298" t="str">
        <f>IF(I34="","",IF(VLOOKUP(I34,'G-7 WaterC'' Data'!$AK$4:$AM$6,2,FALSE)=0,"Spatial Data Missing ⚠",VLOOKUP(I34,'G-7 WaterC'' Data'!$AK$4:$AM$6,2,FALSE)))</f>
        <v/>
      </c>
      <c r="K34" s="291" t="str">
        <f>IF(I34="","",IF(VLOOKUP(I34,'G-7 WaterC'' Data'!$AK$4:$AM$6,3,FALSE)=0,"Spatial Data Missing ⚠",VLOOKUP(I34,'G-7 WaterC'' Data'!$AK$4:$AM$6,3,FALSE)))</f>
        <v/>
      </c>
      <c r="L34" s="290" t="str">
        <f>IFERROR(INDEX('G-7 WaterC'' Data'!$O$3:$O$7,MATCH(G34,'G-7 WaterC'' Data'!$N$3:$N$7,0)),"")</f>
        <v/>
      </c>
      <c r="M34" s="47"/>
      <c r="N34" s="138"/>
      <c r="O34" s="298" t="str">
        <f t="shared" si="0"/>
        <v/>
      </c>
      <c r="P34" s="311" t="str">
        <f t="shared" si="1"/>
        <v/>
      </c>
      <c r="Q34" s="344" t="str">
        <f>IFERROR(IF(P34="Check Data ⚠","Check Data ⚠",VLOOKUP(P34,'G-4 Temporal multipliers'!$A$4:$C$37,3,FALSE)),"")</f>
        <v/>
      </c>
      <c r="R34" s="290" t="str">
        <f>IF(C34="","",VLOOKUP(C34,'G-7 WaterC'' Data'!$B$4:$G$8,4,FALSE))</f>
        <v/>
      </c>
      <c r="S34" s="298" t="str">
        <f t="shared" si="2"/>
        <v/>
      </c>
      <c r="T34" s="328" t="str">
        <f t="shared" si="3"/>
        <v/>
      </c>
      <c r="U34" s="291" t="str">
        <f>IF(C34="","",VLOOKUP(T34,'G-3 Multipliers'!$P$2:$Q$6,2,FALSE))</f>
        <v/>
      </c>
      <c r="V34" s="96"/>
      <c r="W34" s="291" t="str">
        <f>IF(V34="","",IF(AND(V34="N/A - Culvert",C34&lt;&gt;"Culvert"),"Not possible ▲",IF(AND(C34="Culvert",V34&lt;&gt;"N/A - Culvert"),"Not possible ▲",IF(VLOOKUP(V34,'G-7 WaterC'' Data'!$AA$4:$AB$7,2,FALSE)=0,"Spatial Data Missing ⚠",VLOOKUP(V34,'G-7 WaterC'' Data'!$AA$4:$AB$7,2,FALSE)))))</f>
        <v/>
      </c>
      <c r="X34" s="44"/>
      <c r="Y34" s="291" t="str">
        <f>IF(X34="","",IF(AND(X34="N/A - Culvert", C34&lt;&gt;"Culvert"), "Not possible ▲",IF(AND(C34="Culvert",X34&lt;&gt;"N/A - Culvert"),"Not possible ▲",IF(VLOOKUP(X34,'G-7 WaterC'' Data'!$AD$4:$AE$14,2,FALSE)=0,"Enrcoachment Data Missing ⚠",VLOOKUP(X34,'G-7 WaterC'' Data'!$AD$4:$AE$14,2,FALSE)))))</f>
        <v/>
      </c>
      <c r="Z34" s="332" t="str">
        <f t="shared" si="4"/>
        <v/>
      </c>
      <c r="AA34" s="98"/>
      <c r="AB34" s="99"/>
      <c r="AC34" s="101"/>
      <c r="AH34" s="15" t="str">
        <f>IFERROR(INDEX('G-7 WaterC'' Data'!$AZ$3:$AZ$7,MATCH(C34,'G-7 WaterC'' Data'!$AY$3:$AY$7,0)),"")</f>
        <v/>
      </c>
    </row>
    <row r="35" spans="2:34" ht="14" x14ac:dyDescent="0.3">
      <c r="B35" s="92">
        <v>24</v>
      </c>
      <c r="C35" s="119"/>
      <c r="D35" s="120"/>
      <c r="E35" s="290" t="str">
        <f>IF(C35="","",VLOOKUP(C35,'G-7 WaterC'' Data'!$B$2:$G$8,2,FALSE))</f>
        <v/>
      </c>
      <c r="F35" s="291" t="str">
        <f>IFERROR(VLOOKUP(E35,'G-7 WaterC'' Data'!$C$4:$D$8,2,FALSE),"")</f>
        <v/>
      </c>
      <c r="G35" s="95"/>
      <c r="H35" s="291" t="str">
        <f>IFERROR(INDEX('G-7 WaterC'' Data'!$H$4:$L$8,MATCH(C35,'G-7 WaterC'' Data'!$B$4:$B$8,0),MATCH(G35,'G-7 WaterC'' Data'!$H$3:$L$3,0)),"")</f>
        <v/>
      </c>
      <c r="I35" s="38"/>
      <c r="J35" s="298" t="str">
        <f>IF(I35="","",IF(VLOOKUP(I35,'G-7 WaterC'' Data'!$AK$4:$AM$6,2,FALSE)=0,"Spatial Data Missing ⚠",VLOOKUP(I35,'G-7 WaterC'' Data'!$AK$4:$AM$6,2,FALSE)))</f>
        <v/>
      </c>
      <c r="K35" s="291" t="str">
        <f>IF(I35="","",IF(VLOOKUP(I35,'G-7 WaterC'' Data'!$AK$4:$AM$6,3,FALSE)=0,"Spatial Data Missing ⚠",VLOOKUP(I35,'G-7 WaterC'' Data'!$AK$4:$AM$6,3,FALSE)))</f>
        <v/>
      </c>
      <c r="L35" s="290" t="str">
        <f>IFERROR(INDEX('G-7 WaterC'' Data'!$O$3:$O$7,MATCH(G35,'G-7 WaterC'' Data'!$N$3:$N$7,0)),"")</f>
        <v/>
      </c>
      <c r="M35" s="47"/>
      <c r="N35" s="138"/>
      <c r="O35" s="298" t="str">
        <f t="shared" si="0"/>
        <v/>
      </c>
      <c r="P35" s="311" t="str">
        <f t="shared" si="1"/>
        <v/>
      </c>
      <c r="Q35" s="344" t="str">
        <f>IFERROR(IF(P35="Check Data ⚠","Check Data ⚠",VLOOKUP(P35,'G-4 Temporal multipliers'!$A$4:$C$37,3,FALSE)),"")</f>
        <v/>
      </c>
      <c r="R35" s="290" t="str">
        <f>IF(C35="","",VLOOKUP(C35,'G-7 WaterC'' Data'!$B$4:$G$8,4,FALSE))</f>
        <v/>
      </c>
      <c r="S35" s="298" t="str">
        <f t="shared" si="2"/>
        <v/>
      </c>
      <c r="T35" s="328" t="str">
        <f t="shared" si="3"/>
        <v/>
      </c>
      <c r="U35" s="291" t="str">
        <f>IF(C35="","",VLOOKUP(T35,'G-3 Multipliers'!$P$2:$Q$6,2,FALSE))</f>
        <v/>
      </c>
      <c r="V35" s="96"/>
      <c r="W35" s="291" t="str">
        <f>IF(V35="","",IF(AND(V35="N/A - Culvert",C35&lt;&gt;"Culvert"),"Not possible ▲",IF(AND(C35="Culvert",V35&lt;&gt;"N/A - Culvert"),"Not possible ▲",IF(VLOOKUP(V35,'G-7 WaterC'' Data'!$AA$4:$AB$7,2,FALSE)=0,"Spatial Data Missing ⚠",VLOOKUP(V35,'G-7 WaterC'' Data'!$AA$4:$AB$7,2,FALSE)))))</f>
        <v/>
      </c>
      <c r="X35" s="44"/>
      <c r="Y35" s="291" t="str">
        <f>IF(X35="","",IF(AND(X35="N/A - Culvert", C35&lt;&gt;"Culvert"), "Not possible ▲",IF(AND(C35="Culvert",X35&lt;&gt;"N/A - Culvert"),"Not possible ▲",IF(VLOOKUP(X35,'G-7 WaterC'' Data'!$AD$4:$AE$14,2,FALSE)=0,"Enrcoachment Data Missing ⚠",VLOOKUP(X35,'G-7 WaterC'' Data'!$AD$4:$AE$14,2,FALSE)))))</f>
        <v/>
      </c>
      <c r="Z35" s="332" t="str">
        <f t="shared" si="4"/>
        <v/>
      </c>
      <c r="AA35" s="98"/>
      <c r="AB35" s="99"/>
      <c r="AC35" s="101"/>
      <c r="AH35" s="15" t="str">
        <f>IFERROR(INDEX('G-7 WaterC'' Data'!$AZ$3:$AZ$7,MATCH(C35,'G-7 WaterC'' Data'!$AY$3:$AY$7,0)),"")</f>
        <v/>
      </c>
    </row>
    <row r="36" spans="2:34" ht="14" x14ac:dyDescent="0.3">
      <c r="B36" s="92">
        <v>25</v>
      </c>
      <c r="C36" s="119"/>
      <c r="D36" s="120"/>
      <c r="E36" s="290" t="str">
        <f>IF(C36="","",VLOOKUP(C36,'G-7 WaterC'' Data'!$B$2:$G$8,2,FALSE))</f>
        <v/>
      </c>
      <c r="F36" s="291" t="str">
        <f>IFERROR(VLOOKUP(E36,'G-7 WaterC'' Data'!$C$4:$D$8,2,FALSE),"")</f>
        <v/>
      </c>
      <c r="G36" s="95"/>
      <c r="H36" s="291" t="str">
        <f>IFERROR(INDEX('G-7 WaterC'' Data'!$H$4:$L$8,MATCH(C36,'G-7 WaterC'' Data'!$B$4:$B$8,0),MATCH(G36,'G-7 WaterC'' Data'!$H$3:$L$3,0)),"")</f>
        <v/>
      </c>
      <c r="I36" s="38"/>
      <c r="J36" s="298" t="str">
        <f>IF(I36="","",IF(VLOOKUP(I36,'G-7 WaterC'' Data'!$AK$4:$AM$6,2,FALSE)=0,"Spatial Data Missing ⚠",VLOOKUP(I36,'G-7 WaterC'' Data'!$AK$4:$AM$6,2,FALSE)))</f>
        <v/>
      </c>
      <c r="K36" s="291" t="str">
        <f>IF(I36="","",IF(VLOOKUP(I36,'G-7 WaterC'' Data'!$AK$4:$AM$6,3,FALSE)=0,"Spatial Data Missing ⚠",VLOOKUP(I36,'G-7 WaterC'' Data'!$AK$4:$AM$6,3,FALSE)))</f>
        <v/>
      </c>
      <c r="L36" s="290" t="str">
        <f>IFERROR(INDEX('G-7 WaterC'' Data'!$O$3:$O$7,MATCH(G36,'G-7 WaterC'' Data'!$N$3:$N$7,0)),"")</f>
        <v/>
      </c>
      <c r="M36" s="47"/>
      <c r="N36" s="138"/>
      <c r="O36" s="298" t="str">
        <f t="shared" si="0"/>
        <v/>
      </c>
      <c r="P36" s="311" t="str">
        <f t="shared" si="1"/>
        <v/>
      </c>
      <c r="Q36" s="344" t="str">
        <f>IFERROR(IF(P36="Check Data ⚠","Check Data ⚠",VLOOKUP(P36,'G-4 Temporal multipliers'!$A$4:$C$37,3,FALSE)),"")</f>
        <v/>
      </c>
      <c r="R36" s="290" t="str">
        <f>IF(C36="","",VLOOKUP(C36,'G-7 WaterC'' Data'!$B$4:$G$8,4,FALSE))</f>
        <v/>
      </c>
      <c r="S36" s="298" t="str">
        <f t="shared" si="2"/>
        <v/>
      </c>
      <c r="T36" s="328" t="str">
        <f t="shared" si="3"/>
        <v/>
      </c>
      <c r="U36" s="291" t="str">
        <f>IF(C36="","",VLOOKUP(T36,'G-3 Multipliers'!$P$2:$Q$6,2,FALSE))</f>
        <v/>
      </c>
      <c r="V36" s="96"/>
      <c r="W36" s="291" t="str">
        <f>IF(V36="","",IF(AND(V36="N/A - Culvert",C36&lt;&gt;"Culvert"),"Not possible ▲",IF(AND(C36="Culvert",V36&lt;&gt;"N/A - Culvert"),"Not possible ▲",IF(VLOOKUP(V36,'G-7 WaterC'' Data'!$AA$4:$AB$7,2,FALSE)=0,"Spatial Data Missing ⚠",VLOOKUP(V36,'G-7 WaterC'' Data'!$AA$4:$AB$7,2,FALSE)))))</f>
        <v/>
      </c>
      <c r="X36" s="44"/>
      <c r="Y36" s="291" t="str">
        <f>IF(X36="","",IF(AND(X36="N/A - Culvert", C36&lt;&gt;"Culvert"), "Not possible ▲",IF(AND(C36="Culvert",X36&lt;&gt;"N/A - Culvert"),"Not possible ▲",IF(VLOOKUP(X36,'G-7 WaterC'' Data'!$AD$4:$AE$14,2,FALSE)=0,"Enrcoachment Data Missing ⚠",VLOOKUP(X36,'G-7 WaterC'' Data'!$AD$4:$AE$14,2,FALSE)))))</f>
        <v/>
      </c>
      <c r="Z36" s="332" t="str">
        <f t="shared" si="4"/>
        <v/>
      </c>
      <c r="AA36" s="98"/>
      <c r="AB36" s="99"/>
      <c r="AC36" s="101"/>
      <c r="AH36" s="15" t="str">
        <f>IFERROR(INDEX('G-7 WaterC'' Data'!$AZ$3:$AZ$7,MATCH(C36,'G-7 WaterC'' Data'!$AY$3:$AY$7,0)),"")</f>
        <v/>
      </c>
    </row>
    <row r="37" spans="2:34" ht="14" x14ac:dyDescent="0.3">
      <c r="B37" s="92">
        <v>26</v>
      </c>
      <c r="C37" s="119"/>
      <c r="D37" s="120"/>
      <c r="E37" s="290" t="str">
        <f>IF(C37="","",VLOOKUP(C37,'G-7 WaterC'' Data'!$B$2:$G$8,2,FALSE))</f>
        <v/>
      </c>
      <c r="F37" s="291" t="str">
        <f>IFERROR(VLOOKUP(E37,'G-7 WaterC'' Data'!$C$4:$D$8,2,FALSE),"")</f>
        <v/>
      </c>
      <c r="G37" s="95"/>
      <c r="H37" s="291" t="str">
        <f>IFERROR(INDEX('G-7 WaterC'' Data'!$H$4:$L$8,MATCH(C37,'G-7 WaterC'' Data'!$B$4:$B$8,0),MATCH(G37,'G-7 WaterC'' Data'!$H$3:$L$3,0)),"")</f>
        <v/>
      </c>
      <c r="I37" s="38"/>
      <c r="J37" s="298" t="str">
        <f>IF(I37="","",IF(VLOOKUP(I37,'G-7 WaterC'' Data'!$AK$4:$AM$6,2,FALSE)=0,"Spatial Data Missing ⚠",VLOOKUP(I37,'G-7 WaterC'' Data'!$AK$4:$AM$6,2,FALSE)))</f>
        <v/>
      </c>
      <c r="K37" s="291" t="str">
        <f>IF(I37="","",IF(VLOOKUP(I37,'G-7 WaterC'' Data'!$AK$4:$AM$6,3,FALSE)=0,"Spatial Data Missing ⚠",VLOOKUP(I37,'G-7 WaterC'' Data'!$AK$4:$AM$6,3,FALSE)))</f>
        <v/>
      </c>
      <c r="L37" s="290" t="str">
        <f>IFERROR(INDEX('G-7 WaterC'' Data'!$O$3:$O$7,MATCH(G37,'G-7 WaterC'' Data'!$N$3:$N$7,0)),"")</f>
        <v/>
      </c>
      <c r="M37" s="47"/>
      <c r="N37" s="138"/>
      <c r="O37" s="298" t="str">
        <f t="shared" si="0"/>
        <v/>
      </c>
      <c r="P37" s="311" t="str">
        <f t="shared" si="1"/>
        <v/>
      </c>
      <c r="Q37" s="344" t="str">
        <f>IFERROR(IF(P37="Check Data ⚠","Check Data ⚠",VLOOKUP(P37,'G-4 Temporal multipliers'!$A$4:$C$37,3,FALSE)),"")</f>
        <v/>
      </c>
      <c r="R37" s="290" t="str">
        <f>IF(C37="","",VLOOKUP(C37,'G-7 WaterC'' Data'!$B$4:$G$8,4,FALSE))</f>
        <v/>
      </c>
      <c r="S37" s="298" t="str">
        <f t="shared" si="2"/>
        <v/>
      </c>
      <c r="T37" s="328" t="str">
        <f t="shared" si="3"/>
        <v/>
      </c>
      <c r="U37" s="291" t="str">
        <f>IF(C37="","",VLOOKUP(T37,'G-3 Multipliers'!$P$2:$Q$6,2,FALSE))</f>
        <v/>
      </c>
      <c r="V37" s="96"/>
      <c r="W37" s="291" t="str">
        <f>IF(V37="","",IF(AND(V37="N/A - Culvert",C37&lt;&gt;"Culvert"),"Not possible ▲",IF(AND(C37="Culvert",V37&lt;&gt;"N/A - Culvert"),"Not possible ▲",IF(VLOOKUP(V37,'G-7 WaterC'' Data'!$AA$4:$AB$7,2,FALSE)=0,"Spatial Data Missing ⚠",VLOOKUP(V37,'G-7 WaterC'' Data'!$AA$4:$AB$7,2,FALSE)))))</f>
        <v/>
      </c>
      <c r="X37" s="44"/>
      <c r="Y37" s="291" t="str">
        <f>IF(X37="","",IF(AND(X37="N/A - Culvert", C37&lt;&gt;"Culvert"), "Not possible ▲",IF(AND(C37="Culvert",X37&lt;&gt;"N/A - Culvert"),"Not possible ▲",IF(VLOOKUP(X37,'G-7 WaterC'' Data'!$AD$4:$AE$14,2,FALSE)=0,"Enrcoachment Data Missing ⚠",VLOOKUP(X37,'G-7 WaterC'' Data'!$AD$4:$AE$14,2,FALSE)))))</f>
        <v/>
      </c>
      <c r="Z37" s="332" t="str">
        <f t="shared" si="4"/>
        <v/>
      </c>
      <c r="AA37" s="98"/>
      <c r="AB37" s="99"/>
      <c r="AC37" s="101"/>
      <c r="AH37" s="15" t="str">
        <f>IFERROR(INDEX('G-7 WaterC'' Data'!$AZ$3:$AZ$7,MATCH(C37,'G-7 WaterC'' Data'!$AY$3:$AY$7,0)),"")</f>
        <v/>
      </c>
    </row>
    <row r="38" spans="2:34" ht="14" x14ac:dyDescent="0.3">
      <c r="B38" s="92">
        <v>27</v>
      </c>
      <c r="C38" s="119"/>
      <c r="D38" s="120"/>
      <c r="E38" s="290" t="str">
        <f>IF(C38="","",VLOOKUP(C38,'G-7 WaterC'' Data'!$B$2:$G$8,2,FALSE))</f>
        <v/>
      </c>
      <c r="F38" s="291" t="str">
        <f>IFERROR(VLOOKUP(E38,'G-7 WaterC'' Data'!$C$4:$D$8,2,FALSE),"")</f>
        <v/>
      </c>
      <c r="G38" s="95"/>
      <c r="H38" s="291" t="str">
        <f>IFERROR(INDEX('G-7 WaterC'' Data'!$H$4:$L$8,MATCH(C38,'G-7 WaterC'' Data'!$B$4:$B$8,0),MATCH(G38,'G-7 WaterC'' Data'!$H$3:$L$3,0)),"")</f>
        <v/>
      </c>
      <c r="I38" s="38"/>
      <c r="J38" s="298" t="str">
        <f>IF(I38="","",IF(VLOOKUP(I38,'G-7 WaterC'' Data'!$AK$4:$AM$6,2,FALSE)=0,"Spatial Data Missing ⚠",VLOOKUP(I38,'G-7 WaterC'' Data'!$AK$4:$AM$6,2,FALSE)))</f>
        <v/>
      </c>
      <c r="K38" s="291" t="str">
        <f>IF(I38="","",IF(VLOOKUP(I38,'G-7 WaterC'' Data'!$AK$4:$AM$6,3,FALSE)=0,"Spatial Data Missing ⚠",VLOOKUP(I38,'G-7 WaterC'' Data'!$AK$4:$AM$6,3,FALSE)))</f>
        <v/>
      </c>
      <c r="L38" s="290" t="str">
        <f>IFERROR(INDEX('G-7 WaterC'' Data'!$O$3:$O$7,MATCH(G38,'G-7 WaterC'' Data'!$N$3:$N$7,0)),"")</f>
        <v/>
      </c>
      <c r="M38" s="47"/>
      <c r="N38" s="138"/>
      <c r="O38" s="298" t="str">
        <f t="shared" si="0"/>
        <v/>
      </c>
      <c r="P38" s="311" t="str">
        <f t="shared" si="1"/>
        <v/>
      </c>
      <c r="Q38" s="344" t="str">
        <f>IFERROR(IF(P38="Check Data ⚠","Check Data ⚠",VLOOKUP(P38,'G-4 Temporal multipliers'!$A$4:$C$37,3,FALSE)),"")</f>
        <v/>
      </c>
      <c r="R38" s="290" t="str">
        <f>IF(C38="","",VLOOKUP(C38,'G-7 WaterC'' Data'!$B$4:$G$8,4,FALSE))</f>
        <v/>
      </c>
      <c r="S38" s="298" t="str">
        <f t="shared" si="2"/>
        <v/>
      </c>
      <c r="T38" s="328" t="str">
        <f t="shared" si="3"/>
        <v/>
      </c>
      <c r="U38" s="291" t="str">
        <f>IF(C38="","",VLOOKUP(T38,'G-3 Multipliers'!$P$2:$Q$6,2,FALSE))</f>
        <v/>
      </c>
      <c r="V38" s="96"/>
      <c r="W38" s="291" t="str">
        <f>IF(V38="","",IF(AND(V38="N/A - Culvert",C38&lt;&gt;"Culvert"),"Not possible ▲",IF(AND(C38="Culvert",V38&lt;&gt;"N/A - Culvert"),"Not possible ▲",IF(VLOOKUP(V38,'G-7 WaterC'' Data'!$AA$4:$AB$7,2,FALSE)=0,"Spatial Data Missing ⚠",VLOOKUP(V38,'G-7 WaterC'' Data'!$AA$4:$AB$7,2,FALSE)))))</f>
        <v/>
      </c>
      <c r="X38" s="44"/>
      <c r="Y38" s="291" t="str">
        <f>IF(X38="","",IF(AND(X38="N/A - Culvert", C38&lt;&gt;"Culvert"), "Not possible ▲",IF(AND(C38="Culvert",X38&lt;&gt;"N/A - Culvert"),"Not possible ▲",IF(VLOOKUP(X38,'G-7 WaterC'' Data'!$AD$4:$AE$14,2,FALSE)=0,"Enrcoachment Data Missing ⚠",VLOOKUP(X38,'G-7 WaterC'' Data'!$AD$4:$AE$14,2,FALSE)))))</f>
        <v/>
      </c>
      <c r="Z38" s="332" t="str">
        <f t="shared" si="4"/>
        <v/>
      </c>
      <c r="AA38" s="98"/>
      <c r="AB38" s="99"/>
      <c r="AC38" s="101"/>
      <c r="AH38" s="15" t="str">
        <f>IFERROR(INDEX('G-7 WaterC'' Data'!$AZ$3:$AZ$7,MATCH(C38,'G-7 WaterC'' Data'!$AY$3:$AY$7,0)),"")</f>
        <v/>
      </c>
    </row>
    <row r="39" spans="2:34" ht="14" x14ac:dyDescent="0.3">
      <c r="B39" s="92">
        <v>28</v>
      </c>
      <c r="C39" s="119"/>
      <c r="D39" s="120"/>
      <c r="E39" s="290" t="str">
        <f>IF(C39="","",VLOOKUP(C39,'G-7 WaterC'' Data'!$B$2:$G$8,2,FALSE))</f>
        <v/>
      </c>
      <c r="F39" s="291" t="str">
        <f>IFERROR(VLOOKUP(E39,'G-7 WaterC'' Data'!$C$4:$D$8,2,FALSE),"")</f>
        <v/>
      </c>
      <c r="G39" s="95"/>
      <c r="H39" s="291" t="str">
        <f>IFERROR(INDEX('G-7 WaterC'' Data'!$H$4:$L$8,MATCH(C39,'G-7 WaterC'' Data'!$B$4:$B$8,0),MATCH(G39,'G-7 WaterC'' Data'!$H$3:$L$3,0)),"")</f>
        <v/>
      </c>
      <c r="I39" s="38"/>
      <c r="J39" s="298" t="str">
        <f>IF(I39="","",IF(VLOOKUP(I39,'G-7 WaterC'' Data'!$AK$4:$AM$6,2,FALSE)=0,"Spatial Data Missing ⚠",VLOOKUP(I39,'G-7 WaterC'' Data'!$AK$4:$AM$6,2,FALSE)))</f>
        <v/>
      </c>
      <c r="K39" s="291" t="str">
        <f>IF(I39="","",IF(VLOOKUP(I39,'G-7 WaterC'' Data'!$AK$4:$AM$6,3,FALSE)=0,"Spatial Data Missing ⚠",VLOOKUP(I39,'G-7 WaterC'' Data'!$AK$4:$AM$6,3,FALSE)))</f>
        <v/>
      </c>
      <c r="L39" s="290" t="str">
        <f>IFERROR(INDEX('G-7 WaterC'' Data'!$O$3:$O$7,MATCH(G39,'G-7 WaterC'' Data'!$N$3:$N$7,0)),"")</f>
        <v/>
      </c>
      <c r="M39" s="47"/>
      <c r="N39" s="138"/>
      <c r="O39" s="298" t="str">
        <f t="shared" si="0"/>
        <v/>
      </c>
      <c r="P39" s="311" t="str">
        <f t="shared" si="1"/>
        <v/>
      </c>
      <c r="Q39" s="344" t="str">
        <f>IFERROR(IF(P39="Check Data ⚠","Check Data ⚠",VLOOKUP(P39,'G-4 Temporal multipliers'!$A$4:$C$37,3,FALSE)),"")</f>
        <v/>
      </c>
      <c r="R39" s="290" t="str">
        <f>IF(C39="","",VLOOKUP(C39,'G-7 WaterC'' Data'!$B$4:$G$8,4,FALSE))</f>
        <v/>
      </c>
      <c r="S39" s="298" t="str">
        <f t="shared" si="2"/>
        <v/>
      </c>
      <c r="T39" s="328" t="str">
        <f t="shared" si="3"/>
        <v/>
      </c>
      <c r="U39" s="291" t="str">
        <f>IF(C39="","",VLOOKUP(T39,'G-3 Multipliers'!$P$2:$Q$6,2,FALSE))</f>
        <v/>
      </c>
      <c r="V39" s="96"/>
      <c r="W39" s="291" t="str">
        <f>IF(V39="","",IF(AND(V39="N/A - Culvert",C39&lt;&gt;"Culvert"),"Not possible ▲",IF(AND(C39="Culvert",V39&lt;&gt;"N/A - Culvert"),"Not possible ▲",IF(VLOOKUP(V39,'G-7 WaterC'' Data'!$AA$4:$AB$7,2,FALSE)=0,"Spatial Data Missing ⚠",VLOOKUP(V39,'G-7 WaterC'' Data'!$AA$4:$AB$7,2,FALSE)))))</f>
        <v/>
      </c>
      <c r="X39" s="44"/>
      <c r="Y39" s="291" t="str">
        <f>IF(X39="","",IF(AND(X39="N/A - Culvert", C39&lt;&gt;"Culvert"), "Not possible ▲",IF(AND(C39="Culvert",X39&lt;&gt;"N/A - Culvert"),"Not possible ▲",IF(VLOOKUP(X39,'G-7 WaterC'' Data'!$AD$4:$AE$14,2,FALSE)=0,"Enrcoachment Data Missing ⚠",VLOOKUP(X39,'G-7 WaterC'' Data'!$AD$4:$AE$14,2,FALSE)))))</f>
        <v/>
      </c>
      <c r="Z39" s="332" t="str">
        <f t="shared" si="4"/>
        <v/>
      </c>
      <c r="AA39" s="98"/>
      <c r="AB39" s="99"/>
      <c r="AC39" s="101"/>
      <c r="AH39" s="15" t="str">
        <f>IFERROR(INDEX('G-7 WaterC'' Data'!$AZ$3:$AZ$7,MATCH(C39,'G-7 WaterC'' Data'!$AY$3:$AY$7,0)),"")</f>
        <v/>
      </c>
    </row>
    <row r="40" spans="2:34" ht="14" x14ac:dyDescent="0.3">
      <c r="B40" s="92">
        <v>29</v>
      </c>
      <c r="C40" s="119"/>
      <c r="D40" s="120"/>
      <c r="E40" s="290" t="str">
        <f>IF(C40="","",VLOOKUP(C40,'G-7 WaterC'' Data'!$B$2:$G$8,2,FALSE))</f>
        <v/>
      </c>
      <c r="F40" s="291" t="str">
        <f>IFERROR(VLOOKUP(E40,'G-7 WaterC'' Data'!$C$4:$D$8,2,FALSE),"")</f>
        <v/>
      </c>
      <c r="G40" s="95"/>
      <c r="H40" s="291" t="str">
        <f>IFERROR(INDEX('G-7 WaterC'' Data'!$H$4:$L$8,MATCH(C40,'G-7 WaterC'' Data'!$B$4:$B$8,0),MATCH(G40,'G-7 WaterC'' Data'!$H$3:$L$3,0)),"")</f>
        <v/>
      </c>
      <c r="I40" s="38"/>
      <c r="J40" s="298" t="str">
        <f>IF(I40="","",IF(VLOOKUP(I40,'G-7 WaterC'' Data'!$AK$4:$AM$6,2,FALSE)=0,"Spatial Data Missing ⚠",VLOOKUP(I40,'G-7 WaterC'' Data'!$AK$4:$AM$6,2,FALSE)))</f>
        <v/>
      </c>
      <c r="K40" s="291" t="str">
        <f>IF(I40="","",IF(VLOOKUP(I40,'G-7 WaterC'' Data'!$AK$4:$AM$6,3,FALSE)=0,"Spatial Data Missing ⚠",VLOOKUP(I40,'G-7 WaterC'' Data'!$AK$4:$AM$6,3,FALSE)))</f>
        <v/>
      </c>
      <c r="L40" s="290" t="str">
        <f>IFERROR(INDEX('G-7 WaterC'' Data'!$O$3:$O$7,MATCH(G40,'G-7 WaterC'' Data'!$N$3:$N$7,0)),"")</f>
        <v/>
      </c>
      <c r="M40" s="47"/>
      <c r="N40" s="138"/>
      <c r="O40" s="298" t="str">
        <f t="shared" si="0"/>
        <v/>
      </c>
      <c r="P40" s="311" t="str">
        <f t="shared" si="1"/>
        <v/>
      </c>
      <c r="Q40" s="344" t="str">
        <f>IFERROR(IF(P40="Check Data ⚠","Check Data ⚠",VLOOKUP(P40,'G-4 Temporal multipliers'!$A$4:$C$37,3,FALSE)),"")</f>
        <v/>
      </c>
      <c r="R40" s="290" t="str">
        <f>IF(C40="","",VLOOKUP(C40,'G-7 WaterC'' Data'!$B$4:$G$8,4,FALSE))</f>
        <v/>
      </c>
      <c r="S40" s="298" t="str">
        <f t="shared" si="2"/>
        <v/>
      </c>
      <c r="T40" s="328" t="str">
        <f t="shared" si="3"/>
        <v/>
      </c>
      <c r="U40" s="291" t="str">
        <f>IF(C40="","",VLOOKUP(T40,'G-3 Multipliers'!$P$2:$Q$6,2,FALSE))</f>
        <v/>
      </c>
      <c r="V40" s="96"/>
      <c r="W40" s="291" t="str">
        <f>IF(V40="","",IF(AND(V40="N/A - Culvert",C40&lt;&gt;"Culvert"),"Not possible ▲",IF(AND(C40="Culvert",V40&lt;&gt;"N/A - Culvert"),"Not possible ▲",IF(VLOOKUP(V40,'G-7 WaterC'' Data'!$AA$4:$AB$7,2,FALSE)=0,"Spatial Data Missing ⚠",VLOOKUP(V40,'G-7 WaterC'' Data'!$AA$4:$AB$7,2,FALSE)))))</f>
        <v/>
      </c>
      <c r="X40" s="44"/>
      <c r="Y40" s="291" t="str">
        <f>IF(X40="","",IF(AND(X40="N/A - Culvert", C40&lt;&gt;"Culvert"), "Not possible ▲",IF(AND(C40="Culvert",X40&lt;&gt;"N/A - Culvert"),"Not possible ▲",IF(VLOOKUP(X40,'G-7 WaterC'' Data'!$AD$4:$AE$14,2,FALSE)=0,"Enrcoachment Data Missing ⚠",VLOOKUP(X40,'G-7 WaterC'' Data'!$AD$4:$AE$14,2,FALSE)))))</f>
        <v/>
      </c>
      <c r="Z40" s="332" t="str">
        <f t="shared" si="4"/>
        <v/>
      </c>
      <c r="AA40" s="98"/>
      <c r="AB40" s="99"/>
      <c r="AC40" s="101"/>
      <c r="AH40" s="15" t="str">
        <f>IFERROR(INDEX('G-7 WaterC'' Data'!$AZ$3:$AZ$7,MATCH(C40,'G-7 WaterC'' Data'!$AY$3:$AY$7,0)),"")</f>
        <v/>
      </c>
    </row>
    <row r="41" spans="2:34" ht="14" x14ac:dyDescent="0.3">
      <c r="B41" s="92">
        <v>30</v>
      </c>
      <c r="C41" s="119"/>
      <c r="D41" s="120"/>
      <c r="E41" s="290" t="str">
        <f>IF(C41="","",VLOOKUP(C41,'G-7 WaterC'' Data'!$B$2:$G$8,2,FALSE))</f>
        <v/>
      </c>
      <c r="F41" s="291" t="str">
        <f>IFERROR(VLOOKUP(E41,'G-7 WaterC'' Data'!$C$4:$D$8,2,FALSE),"")</f>
        <v/>
      </c>
      <c r="G41" s="95"/>
      <c r="H41" s="291" t="str">
        <f>IFERROR(INDEX('G-7 WaterC'' Data'!$H$4:$L$8,MATCH(C41,'G-7 WaterC'' Data'!$B$4:$B$8,0),MATCH(G41,'G-7 WaterC'' Data'!$H$3:$L$3,0)),"")</f>
        <v/>
      </c>
      <c r="I41" s="38"/>
      <c r="J41" s="298" t="str">
        <f>IF(I41="","",IF(VLOOKUP(I41,'G-7 WaterC'' Data'!$AK$4:$AM$6,2,FALSE)=0,"Spatial Data Missing ⚠",VLOOKUP(I41,'G-7 WaterC'' Data'!$AK$4:$AM$6,2,FALSE)))</f>
        <v/>
      </c>
      <c r="K41" s="291" t="str">
        <f>IF(I41="","",IF(VLOOKUP(I41,'G-7 WaterC'' Data'!$AK$4:$AM$6,3,FALSE)=0,"Spatial Data Missing ⚠",VLOOKUP(I41,'G-7 WaterC'' Data'!$AK$4:$AM$6,3,FALSE)))</f>
        <v/>
      </c>
      <c r="L41" s="290" t="str">
        <f>IFERROR(INDEX('G-7 WaterC'' Data'!$O$3:$O$7,MATCH(G41,'G-7 WaterC'' Data'!$N$3:$N$7,0)),"")</f>
        <v/>
      </c>
      <c r="M41" s="47"/>
      <c r="N41" s="138"/>
      <c r="O41" s="298" t="str">
        <f t="shared" si="0"/>
        <v/>
      </c>
      <c r="P41" s="311" t="str">
        <f t="shared" si="1"/>
        <v/>
      </c>
      <c r="Q41" s="344" t="str">
        <f>IFERROR(IF(P41="Check Data ⚠","Check Data ⚠",VLOOKUP(P41,'G-4 Temporal multipliers'!$A$4:$C$37,3,FALSE)),"")</f>
        <v/>
      </c>
      <c r="R41" s="290" t="str">
        <f>IF(C41="","",VLOOKUP(C41,'G-7 WaterC'' Data'!$B$4:$G$8,4,FALSE))</f>
        <v/>
      </c>
      <c r="S41" s="298" t="str">
        <f t="shared" si="2"/>
        <v/>
      </c>
      <c r="T41" s="328" t="str">
        <f t="shared" si="3"/>
        <v/>
      </c>
      <c r="U41" s="291" t="str">
        <f>IF(C41="","",VLOOKUP(T41,'G-3 Multipliers'!$P$2:$Q$6,2,FALSE))</f>
        <v/>
      </c>
      <c r="V41" s="96"/>
      <c r="W41" s="291" t="str">
        <f>IF(V41="","",IF(AND(V41="N/A - Culvert",C41&lt;&gt;"Culvert"),"Not possible ▲",IF(AND(C41="Culvert",V41&lt;&gt;"N/A - Culvert"),"Not possible ▲",IF(VLOOKUP(V41,'G-7 WaterC'' Data'!$AA$4:$AB$7,2,FALSE)=0,"Spatial Data Missing ⚠",VLOOKUP(V41,'G-7 WaterC'' Data'!$AA$4:$AB$7,2,FALSE)))))</f>
        <v/>
      </c>
      <c r="X41" s="44"/>
      <c r="Y41" s="291" t="str">
        <f>IF(X41="","",IF(AND(X41="N/A - Culvert", C41&lt;&gt;"Culvert"), "Not possible ▲",IF(AND(C41="Culvert",X41&lt;&gt;"N/A - Culvert"),"Not possible ▲",IF(VLOOKUP(X41,'G-7 WaterC'' Data'!$AD$4:$AE$14,2,FALSE)=0,"Enrcoachment Data Missing ⚠",VLOOKUP(X41,'G-7 WaterC'' Data'!$AD$4:$AE$14,2,FALSE)))))</f>
        <v/>
      </c>
      <c r="Z41" s="332" t="str">
        <f t="shared" si="4"/>
        <v/>
      </c>
      <c r="AA41" s="98"/>
      <c r="AB41" s="99"/>
      <c r="AC41" s="101"/>
      <c r="AH41" s="15" t="str">
        <f>IFERROR(INDEX('G-7 WaterC'' Data'!$AZ$3:$AZ$7,MATCH(C41,'G-7 WaterC'' Data'!$AY$3:$AY$7,0)),"")</f>
        <v/>
      </c>
    </row>
    <row r="42" spans="2:34" ht="14" x14ac:dyDescent="0.3">
      <c r="B42" s="92">
        <v>31</v>
      </c>
      <c r="C42" s="119"/>
      <c r="D42" s="120"/>
      <c r="E42" s="290" t="str">
        <f>IF(C42="","",VLOOKUP(C42,'G-7 WaterC'' Data'!$B$2:$G$8,2,FALSE))</f>
        <v/>
      </c>
      <c r="F42" s="291" t="str">
        <f>IFERROR(VLOOKUP(E42,'G-7 WaterC'' Data'!$C$4:$D$8,2,FALSE),"")</f>
        <v/>
      </c>
      <c r="G42" s="95"/>
      <c r="H42" s="291" t="str">
        <f>IFERROR(INDEX('G-7 WaterC'' Data'!$H$4:$L$8,MATCH(C42,'G-7 WaterC'' Data'!$B$4:$B$8,0),MATCH(G42,'G-7 WaterC'' Data'!$H$3:$L$3,0)),"")</f>
        <v/>
      </c>
      <c r="I42" s="38"/>
      <c r="J42" s="298" t="str">
        <f>IF(I42="","",IF(VLOOKUP(I42,'G-7 WaterC'' Data'!$AK$4:$AM$6,2,FALSE)=0,"Spatial Data Missing ⚠",VLOOKUP(I42,'G-7 WaterC'' Data'!$AK$4:$AM$6,2,FALSE)))</f>
        <v/>
      </c>
      <c r="K42" s="291" t="str">
        <f>IF(I42="","",IF(VLOOKUP(I42,'G-7 WaterC'' Data'!$AK$4:$AM$6,3,FALSE)=0,"Spatial Data Missing ⚠",VLOOKUP(I42,'G-7 WaterC'' Data'!$AK$4:$AM$6,3,FALSE)))</f>
        <v/>
      </c>
      <c r="L42" s="290" t="str">
        <f>IFERROR(INDEX('G-7 WaterC'' Data'!$O$3:$O$7,MATCH(G42,'G-7 WaterC'' Data'!$N$3:$N$7,0)),"")</f>
        <v/>
      </c>
      <c r="M42" s="47"/>
      <c r="N42" s="138"/>
      <c r="O42" s="298" t="str">
        <f t="shared" si="0"/>
        <v/>
      </c>
      <c r="P42" s="311" t="str">
        <f t="shared" si="1"/>
        <v/>
      </c>
      <c r="Q42" s="344" t="str">
        <f>IFERROR(IF(P42="Check Data ⚠","Check Data ⚠",VLOOKUP(P42,'G-4 Temporal multipliers'!$A$4:$C$37,3,FALSE)),"")</f>
        <v/>
      </c>
      <c r="R42" s="290" t="str">
        <f>IF(C42="","",VLOOKUP(C42,'G-7 WaterC'' Data'!$B$4:$G$8,4,FALSE))</f>
        <v/>
      </c>
      <c r="S42" s="298" t="str">
        <f t="shared" si="2"/>
        <v/>
      </c>
      <c r="T42" s="328" t="str">
        <f t="shared" si="3"/>
        <v/>
      </c>
      <c r="U42" s="291" t="str">
        <f>IF(C42="","",VLOOKUP(T42,'G-3 Multipliers'!$P$2:$Q$6,2,FALSE))</f>
        <v/>
      </c>
      <c r="V42" s="96"/>
      <c r="W42" s="291" t="str">
        <f>IF(V42="","",IF(AND(V42="N/A - Culvert",C42&lt;&gt;"Culvert"),"Not possible ▲",IF(AND(C42="Culvert",V42&lt;&gt;"N/A - Culvert"),"Not possible ▲",IF(VLOOKUP(V42,'G-7 WaterC'' Data'!$AA$4:$AB$7,2,FALSE)=0,"Spatial Data Missing ⚠",VLOOKUP(V42,'G-7 WaterC'' Data'!$AA$4:$AB$7,2,FALSE)))))</f>
        <v/>
      </c>
      <c r="X42" s="44"/>
      <c r="Y42" s="291" t="str">
        <f>IF(X42="","",IF(AND(X42="N/A - Culvert", C42&lt;&gt;"Culvert"), "Not possible ▲",IF(AND(C42="Culvert",X42&lt;&gt;"N/A - Culvert"),"Not possible ▲",IF(VLOOKUP(X42,'G-7 WaterC'' Data'!$AD$4:$AE$14,2,FALSE)=0,"Enrcoachment Data Missing ⚠",VLOOKUP(X42,'G-7 WaterC'' Data'!$AD$4:$AE$14,2,FALSE)))))</f>
        <v/>
      </c>
      <c r="Z42" s="332" t="str">
        <f t="shared" si="4"/>
        <v/>
      </c>
      <c r="AA42" s="98"/>
      <c r="AB42" s="99"/>
      <c r="AC42" s="101"/>
      <c r="AH42" s="15" t="str">
        <f>IFERROR(INDEX('G-7 WaterC'' Data'!$AZ$3:$AZ$7,MATCH(C42,'G-7 WaterC'' Data'!$AY$3:$AY$7,0)),"")</f>
        <v/>
      </c>
    </row>
    <row r="43" spans="2:34" ht="14" x14ac:dyDescent="0.3">
      <c r="B43" s="92">
        <v>32</v>
      </c>
      <c r="C43" s="119"/>
      <c r="D43" s="120"/>
      <c r="E43" s="290" t="str">
        <f>IF(C43="","",VLOOKUP(C43,'G-7 WaterC'' Data'!$B$2:$G$8,2,FALSE))</f>
        <v/>
      </c>
      <c r="F43" s="291" t="str">
        <f>IFERROR(VLOOKUP(E43,'G-7 WaterC'' Data'!$C$4:$D$8,2,FALSE),"")</f>
        <v/>
      </c>
      <c r="G43" s="95"/>
      <c r="H43" s="291" t="str">
        <f>IFERROR(INDEX('G-7 WaterC'' Data'!$H$4:$L$8,MATCH(C43,'G-7 WaterC'' Data'!$B$4:$B$8,0),MATCH(G43,'G-7 WaterC'' Data'!$H$3:$L$3,0)),"")</f>
        <v/>
      </c>
      <c r="I43" s="38"/>
      <c r="J43" s="298" t="str">
        <f>IF(I43="","",IF(VLOOKUP(I43,'G-7 WaterC'' Data'!$AK$4:$AM$6,2,FALSE)=0,"Spatial Data Missing ⚠",VLOOKUP(I43,'G-7 WaterC'' Data'!$AK$4:$AM$6,2,FALSE)))</f>
        <v/>
      </c>
      <c r="K43" s="291" t="str">
        <f>IF(I43="","",IF(VLOOKUP(I43,'G-7 WaterC'' Data'!$AK$4:$AM$6,3,FALSE)=0,"Spatial Data Missing ⚠",VLOOKUP(I43,'G-7 WaterC'' Data'!$AK$4:$AM$6,3,FALSE)))</f>
        <v/>
      </c>
      <c r="L43" s="290" t="str">
        <f>IFERROR(INDEX('G-7 WaterC'' Data'!$O$3:$O$7,MATCH(G43,'G-7 WaterC'' Data'!$N$3:$N$7,0)),"")</f>
        <v/>
      </c>
      <c r="M43" s="47"/>
      <c r="N43" s="138"/>
      <c r="O43" s="298" t="str">
        <f t="shared" si="0"/>
        <v/>
      </c>
      <c r="P43" s="311" t="str">
        <f t="shared" si="1"/>
        <v/>
      </c>
      <c r="Q43" s="344" t="str">
        <f>IFERROR(IF(P43="Check Data ⚠","Check Data ⚠",VLOOKUP(P43,'G-4 Temporal multipliers'!$A$4:$C$37,3,FALSE)),"")</f>
        <v/>
      </c>
      <c r="R43" s="290" t="str">
        <f>IF(C43="","",VLOOKUP(C43,'G-7 WaterC'' Data'!$B$4:$G$8,4,FALSE))</f>
        <v/>
      </c>
      <c r="S43" s="298" t="str">
        <f t="shared" si="2"/>
        <v/>
      </c>
      <c r="T43" s="328" t="str">
        <f t="shared" si="3"/>
        <v/>
      </c>
      <c r="U43" s="291" t="str">
        <f>IF(C43="","",VLOOKUP(T43,'G-3 Multipliers'!$P$2:$Q$6,2,FALSE))</f>
        <v/>
      </c>
      <c r="V43" s="96"/>
      <c r="W43" s="291" t="str">
        <f>IF(V43="","",IF(AND(V43="N/A - Culvert",C43&lt;&gt;"Culvert"),"Not possible ▲",IF(AND(C43="Culvert",V43&lt;&gt;"N/A - Culvert"),"Not possible ▲",IF(VLOOKUP(V43,'G-7 WaterC'' Data'!$AA$4:$AB$7,2,FALSE)=0,"Spatial Data Missing ⚠",VLOOKUP(V43,'G-7 WaterC'' Data'!$AA$4:$AB$7,2,FALSE)))))</f>
        <v/>
      </c>
      <c r="X43" s="44"/>
      <c r="Y43" s="291" t="str">
        <f>IF(X43="","",IF(AND(X43="N/A - Culvert", C43&lt;&gt;"Culvert"), "Not possible ▲",IF(AND(C43="Culvert",X43&lt;&gt;"N/A - Culvert"),"Not possible ▲",IF(VLOOKUP(X43,'G-7 WaterC'' Data'!$AD$4:$AE$14,2,FALSE)=0,"Enrcoachment Data Missing ⚠",VLOOKUP(X43,'G-7 WaterC'' Data'!$AD$4:$AE$14,2,FALSE)))))</f>
        <v/>
      </c>
      <c r="Z43" s="332" t="str">
        <f t="shared" si="4"/>
        <v/>
      </c>
      <c r="AA43" s="98"/>
      <c r="AB43" s="99"/>
      <c r="AC43" s="101"/>
      <c r="AH43" s="15" t="str">
        <f>IFERROR(INDEX('G-7 WaterC'' Data'!$AZ$3:$AZ$7,MATCH(C43,'G-7 WaterC'' Data'!$AY$3:$AY$7,0)),"")</f>
        <v/>
      </c>
    </row>
    <row r="44" spans="2:34" ht="14" x14ac:dyDescent="0.3">
      <c r="B44" s="92">
        <v>33</v>
      </c>
      <c r="C44" s="119"/>
      <c r="D44" s="120"/>
      <c r="E44" s="290" t="str">
        <f>IF(C44="","",VLOOKUP(C44,'G-7 WaterC'' Data'!$B$2:$G$8,2,FALSE))</f>
        <v/>
      </c>
      <c r="F44" s="291" t="str">
        <f>IFERROR(VLOOKUP(E44,'G-7 WaterC'' Data'!$C$4:$D$8,2,FALSE),"")</f>
        <v/>
      </c>
      <c r="G44" s="95"/>
      <c r="H44" s="291" t="str">
        <f>IFERROR(INDEX('G-7 WaterC'' Data'!$H$4:$L$8,MATCH(C44,'G-7 WaterC'' Data'!$B$4:$B$8,0),MATCH(G44,'G-7 WaterC'' Data'!$H$3:$L$3,0)),"")</f>
        <v/>
      </c>
      <c r="I44" s="38"/>
      <c r="J44" s="298" t="str">
        <f>IF(I44="","",IF(VLOOKUP(I44,'G-7 WaterC'' Data'!$AK$4:$AM$6,2,FALSE)=0,"Spatial Data Missing ⚠",VLOOKUP(I44,'G-7 WaterC'' Data'!$AK$4:$AM$6,2,FALSE)))</f>
        <v/>
      </c>
      <c r="K44" s="291" t="str">
        <f>IF(I44="","",IF(VLOOKUP(I44,'G-7 WaterC'' Data'!$AK$4:$AM$6,3,FALSE)=0,"Spatial Data Missing ⚠",VLOOKUP(I44,'G-7 WaterC'' Data'!$AK$4:$AM$6,3,FALSE)))</f>
        <v/>
      </c>
      <c r="L44" s="290" t="str">
        <f>IFERROR(INDEX('G-7 WaterC'' Data'!$O$3:$O$7,MATCH(G44,'G-7 WaterC'' Data'!$N$3:$N$7,0)),"")</f>
        <v/>
      </c>
      <c r="M44" s="47"/>
      <c r="N44" s="138"/>
      <c r="O44" s="298" t="str">
        <f t="shared" si="0"/>
        <v/>
      </c>
      <c r="P44" s="311" t="str">
        <f t="shared" si="1"/>
        <v/>
      </c>
      <c r="Q44" s="344" t="str">
        <f>IFERROR(IF(P44="Check Data ⚠","Check Data ⚠",VLOOKUP(P44,'G-4 Temporal multipliers'!$A$4:$C$37,3,FALSE)),"")</f>
        <v/>
      </c>
      <c r="R44" s="290" t="str">
        <f>IF(C44="","",VLOOKUP(C44,'G-7 WaterC'' Data'!$B$4:$G$8,4,FALSE))</f>
        <v/>
      </c>
      <c r="S44" s="298" t="str">
        <f t="shared" si="2"/>
        <v/>
      </c>
      <c r="T44" s="328" t="str">
        <f t="shared" si="3"/>
        <v/>
      </c>
      <c r="U44" s="291" t="str">
        <f>IF(C44="","",VLOOKUP(T44,'G-3 Multipliers'!$P$2:$Q$6,2,FALSE))</f>
        <v/>
      </c>
      <c r="V44" s="96"/>
      <c r="W44" s="291" t="str">
        <f>IF(V44="","",IF(AND(V44="N/A - Culvert",C44&lt;&gt;"Culvert"),"Not possible ▲",IF(AND(C44="Culvert",V44&lt;&gt;"N/A - Culvert"),"Not possible ▲",IF(VLOOKUP(V44,'G-7 WaterC'' Data'!$AA$4:$AB$7,2,FALSE)=0,"Spatial Data Missing ⚠",VLOOKUP(V44,'G-7 WaterC'' Data'!$AA$4:$AB$7,2,FALSE)))))</f>
        <v/>
      </c>
      <c r="X44" s="44"/>
      <c r="Y44" s="291" t="str">
        <f>IF(X44="","",IF(AND(X44="N/A - Culvert", C44&lt;&gt;"Culvert"), "Not possible ▲",IF(AND(C44="Culvert",X44&lt;&gt;"N/A - Culvert"),"Not possible ▲",IF(VLOOKUP(X44,'G-7 WaterC'' Data'!$AD$4:$AE$14,2,FALSE)=0,"Enrcoachment Data Missing ⚠",VLOOKUP(X44,'G-7 WaterC'' Data'!$AD$4:$AE$14,2,FALSE)))))</f>
        <v/>
      </c>
      <c r="Z44" s="332" t="str">
        <f t="shared" si="4"/>
        <v/>
      </c>
      <c r="AA44" s="98"/>
      <c r="AB44" s="99"/>
      <c r="AC44" s="101"/>
      <c r="AH44" s="15" t="str">
        <f>IFERROR(INDEX('G-7 WaterC'' Data'!$AZ$3:$AZ$7,MATCH(C44,'G-7 WaterC'' Data'!$AY$3:$AY$7,0)),"")</f>
        <v/>
      </c>
    </row>
    <row r="45" spans="2:34" ht="14" x14ac:dyDescent="0.3">
      <c r="B45" s="92">
        <v>34</v>
      </c>
      <c r="C45" s="119"/>
      <c r="D45" s="120"/>
      <c r="E45" s="290" t="str">
        <f>IF(C45="","",VLOOKUP(C45,'G-7 WaterC'' Data'!$B$2:$G$8,2,FALSE))</f>
        <v/>
      </c>
      <c r="F45" s="291" t="str">
        <f>IFERROR(VLOOKUP(E45,'G-7 WaterC'' Data'!$C$4:$D$8,2,FALSE),"")</f>
        <v/>
      </c>
      <c r="G45" s="95"/>
      <c r="H45" s="291" t="str">
        <f>IFERROR(INDEX('G-7 WaterC'' Data'!$H$4:$L$8,MATCH(C45,'G-7 WaterC'' Data'!$B$4:$B$8,0),MATCH(G45,'G-7 WaterC'' Data'!$H$3:$L$3,0)),"")</f>
        <v/>
      </c>
      <c r="I45" s="38"/>
      <c r="J45" s="298" t="str">
        <f>IF(I45="","",IF(VLOOKUP(I45,'G-7 WaterC'' Data'!$AK$4:$AM$6,2,FALSE)=0,"Spatial Data Missing ⚠",VLOOKUP(I45,'G-7 WaterC'' Data'!$AK$4:$AM$6,2,FALSE)))</f>
        <v/>
      </c>
      <c r="K45" s="291" t="str">
        <f>IF(I45="","",IF(VLOOKUP(I45,'G-7 WaterC'' Data'!$AK$4:$AM$6,3,FALSE)=0,"Spatial Data Missing ⚠",VLOOKUP(I45,'G-7 WaterC'' Data'!$AK$4:$AM$6,3,FALSE)))</f>
        <v/>
      </c>
      <c r="L45" s="290" t="str">
        <f>IFERROR(INDEX('G-7 WaterC'' Data'!$O$3:$O$7,MATCH(G45,'G-7 WaterC'' Data'!$N$3:$N$7,0)),"")</f>
        <v/>
      </c>
      <c r="M45" s="47"/>
      <c r="N45" s="138"/>
      <c r="O45" s="298" t="str">
        <f t="shared" si="0"/>
        <v/>
      </c>
      <c r="P45" s="311" t="str">
        <f t="shared" si="1"/>
        <v/>
      </c>
      <c r="Q45" s="344" t="str">
        <f>IFERROR(IF(P45="Check Data ⚠","Check Data ⚠",VLOOKUP(P45,'G-4 Temporal multipliers'!$A$4:$C$37,3,FALSE)),"")</f>
        <v/>
      </c>
      <c r="R45" s="290" t="str">
        <f>IF(C45="","",VLOOKUP(C45,'G-7 WaterC'' Data'!$B$4:$G$8,4,FALSE))</f>
        <v/>
      </c>
      <c r="S45" s="298" t="str">
        <f t="shared" si="2"/>
        <v/>
      </c>
      <c r="T45" s="328" t="str">
        <f t="shared" si="3"/>
        <v/>
      </c>
      <c r="U45" s="291" t="str">
        <f>IF(C45="","",VLOOKUP(T45,'G-3 Multipliers'!$P$2:$Q$6,2,FALSE))</f>
        <v/>
      </c>
      <c r="V45" s="96"/>
      <c r="W45" s="291" t="str">
        <f>IF(V45="","",IF(AND(V45="N/A - Culvert",C45&lt;&gt;"Culvert"),"Not possible ▲",IF(AND(C45="Culvert",V45&lt;&gt;"N/A - Culvert"),"Not possible ▲",IF(VLOOKUP(V45,'G-7 WaterC'' Data'!$AA$4:$AB$7,2,FALSE)=0,"Spatial Data Missing ⚠",VLOOKUP(V45,'G-7 WaterC'' Data'!$AA$4:$AB$7,2,FALSE)))))</f>
        <v/>
      </c>
      <c r="X45" s="44"/>
      <c r="Y45" s="291" t="str">
        <f>IF(X45="","",IF(AND(X45="N/A - Culvert", C45&lt;&gt;"Culvert"), "Not possible ▲",IF(AND(C45="Culvert",X45&lt;&gt;"N/A - Culvert"),"Not possible ▲",IF(VLOOKUP(X45,'G-7 WaterC'' Data'!$AD$4:$AE$14,2,FALSE)=0,"Enrcoachment Data Missing ⚠",VLOOKUP(X45,'G-7 WaterC'' Data'!$AD$4:$AE$14,2,FALSE)))))</f>
        <v/>
      </c>
      <c r="Z45" s="332" t="str">
        <f t="shared" si="4"/>
        <v/>
      </c>
      <c r="AA45" s="98"/>
      <c r="AB45" s="99"/>
      <c r="AC45" s="101"/>
      <c r="AH45" s="15" t="str">
        <f>IFERROR(INDEX('G-7 WaterC'' Data'!$AZ$3:$AZ$7,MATCH(C45,'G-7 WaterC'' Data'!$AY$3:$AY$7,0)),"")</f>
        <v/>
      </c>
    </row>
    <row r="46" spans="2:34" ht="14" x14ac:dyDescent="0.3">
      <c r="B46" s="92">
        <v>35</v>
      </c>
      <c r="C46" s="119"/>
      <c r="D46" s="120"/>
      <c r="E46" s="290" t="str">
        <f>IF(C46="","",VLOOKUP(C46,'G-7 WaterC'' Data'!$B$2:$G$8,2,FALSE))</f>
        <v/>
      </c>
      <c r="F46" s="291" t="str">
        <f>IFERROR(VLOOKUP(E46,'G-7 WaterC'' Data'!$C$4:$D$8,2,FALSE),"")</f>
        <v/>
      </c>
      <c r="G46" s="95"/>
      <c r="H46" s="291" t="str">
        <f>IFERROR(INDEX('G-7 WaterC'' Data'!$H$4:$L$8,MATCH(C46,'G-7 WaterC'' Data'!$B$4:$B$8,0),MATCH(G46,'G-7 WaterC'' Data'!$H$3:$L$3,0)),"")</f>
        <v/>
      </c>
      <c r="I46" s="38"/>
      <c r="J46" s="298" t="str">
        <f>IF(I46="","",IF(VLOOKUP(I46,'G-7 WaterC'' Data'!$AK$4:$AM$6,2,FALSE)=0,"Spatial Data Missing ⚠",VLOOKUP(I46,'G-7 WaterC'' Data'!$AK$4:$AM$6,2,FALSE)))</f>
        <v/>
      </c>
      <c r="K46" s="291" t="str">
        <f>IF(I46="","",IF(VLOOKUP(I46,'G-7 WaterC'' Data'!$AK$4:$AM$6,3,FALSE)=0,"Spatial Data Missing ⚠",VLOOKUP(I46,'G-7 WaterC'' Data'!$AK$4:$AM$6,3,FALSE)))</f>
        <v/>
      </c>
      <c r="L46" s="290" t="str">
        <f>IFERROR(INDEX('G-7 WaterC'' Data'!$O$3:$O$7,MATCH(G46,'G-7 WaterC'' Data'!$N$3:$N$7,0)),"")</f>
        <v/>
      </c>
      <c r="M46" s="47"/>
      <c r="N46" s="138"/>
      <c r="O46" s="298" t="str">
        <f t="shared" si="0"/>
        <v/>
      </c>
      <c r="P46" s="311" t="str">
        <f t="shared" si="1"/>
        <v/>
      </c>
      <c r="Q46" s="344" t="str">
        <f>IFERROR(IF(P46="Check Data ⚠","Check Data ⚠",VLOOKUP(P46,'G-4 Temporal multipliers'!$A$4:$C$37,3,FALSE)),"")</f>
        <v/>
      </c>
      <c r="R46" s="290" t="str">
        <f>IF(C46="","",VLOOKUP(C46,'G-7 WaterC'' Data'!$B$4:$G$8,4,FALSE))</f>
        <v/>
      </c>
      <c r="S46" s="298" t="str">
        <f t="shared" si="2"/>
        <v/>
      </c>
      <c r="T46" s="328" t="str">
        <f t="shared" si="3"/>
        <v/>
      </c>
      <c r="U46" s="291" t="str">
        <f>IF(C46="","",VLOOKUP(T46,'G-3 Multipliers'!$P$2:$Q$6,2,FALSE))</f>
        <v/>
      </c>
      <c r="V46" s="96"/>
      <c r="W46" s="291" t="str">
        <f>IF(V46="","",IF(AND(V46="N/A - Culvert",C46&lt;&gt;"Culvert"),"Not possible ▲",IF(AND(C46="Culvert",V46&lt;&gt;"N/A - Culvert"),"Not possible ▲",IF(VLOOKUP(V46,'G-7 WaterC'' Data'!$AA$4:$AB$7,2,FALSE)=0,"Spatial Data Missing ⚠",VLOOKUP(V46,'G-7 WaterC'' Data'!$AA$4:$AB$7,2,FALSE)))))</f>
        <v/>
      </c>
      <c r="X46" s="44"/>
      <c r="Y46" s="291" t="str">
        <f>IF(X46="","",IF(AND(X46="N/A - Culvert", C46&lt;&gt;"Culvert"), "Not possible ▲",IF(AND(C46="Culvert",X46&lt;&gt;"N/A - Culvert"),"Not possible ▲",IF(VLOOKUP(X46,'G-7 WaterC'' Data'!$AD$4:$AE$14,2,FALSE)=0,"Enrcoachment Data Missing ⚠",VLOOKUP(X46,'G-7 WaterC'' Data'!$AD$4:$AE$14,2,FALSE)))))</f>
        <v/>
      </c>
      <c r="Z46" s="332" t="str">
        <f t="shared" si="4"/>
        <v/>
      </c>
      <c r="AA46" s="98"/>
      <c r="AB46" s="99"/>
      <c r="AC46" s="101"/>
      <c r="AH46" s="15" t="str">
        <f>IFERROR(INDEX('G-7 WaterC'' Data'!$AZ$3:$AZ$7,MATCH(C46,'G-7 WaterC'' Data'!$AY$3:$AY$7,0)),"")</f>
        <v/>
      </c>
    </row>
    <row r="47" spans="2:34" ht="14" x14ac:dyDescent="0.3">
      <c r="B47" s="92">
        <v>36</v>
      </c>
      <c r="C47" s="119"/>
      <c r="D47" s="120"/>
      <c r="E47" s="290" t="str">
        <f>IF(C47="","",VLOOKUP(C47,'G-7 WaterC'' Data'!$B$2:$G$8,2,FALSE))</f>
        <v/>
      </c>
      <c r="F47" s="291" t="str">
        <f>IFERROR(VLOOKUP(E47,'G-7 WaterC'' Data'!$C$4:$D$8,2,FALSE),"")</f>
        <v/>
      </c>
      <c r="G47" s="95"/>
      <c r="H47" s="291" t="str">
        <f>IFERROR(INDEX('G-7 WaterC'' Data'!$H$4:$L$8,MATCH(C47,'G-7 WaterC'' Data'!$B$4:$B$8,0),MATCH(G47,'G-7 WaterC'' Data'!$H$3:$L$3,0)),"")</f>
        <v/>
      </c>
      <c r="I47" s="38"/>
      <c r="J47" s="298" t="str">
        <f>IF(I47="","",IF(VLOOKUP(I47,'G-7 WaterC'' Data'!$AK$4:$AM$6,2,FALSE)=0,"Spatial Data Missing ⚠",VLOOKUP(I47,'G-7 WaterC'' Data'!$AK$4:$AM$6,2,FALSE)))</f>
        <v/>
      </c>
      <c r="K47" s="291" t="str">
        <f>IF(I47="","",IF(VLOOKUP(I47,'G-7 WaterC'' Data'!$AK$4:$AM$6,3,FALSE)=0,"Spatial Data Missing ⚠",VLOOKUP(I47,'G-7 WaterC'' Data'!$AK$4:$AM$6,3,FALSE)))</f>
        <v/>
      </c>
      <c r="L47" s="290" t="str">
        <f>IFERROR(INDEX('G-7 WaterC'' Data'!$O$3:$O$7,MATCH(G47,'G-7 WaterC'' Data'!$N$3:$N$7,0)),"")</f>
        <v/>
      </c>
      <c r="M47" s="47"/>
      <c r="N47" s="138"/>
      <c r="O47" s="298" t="str">
        <f t="shared" si="0"/>
        <v/>
      </c>
      <c r="P47" s="311" t="str">
        <f t="shared" si="1"/>
        <v/>
      </c>
      <c r="Q47" s="344" t="str">
        <f>IFERROR(IF(P47="Check Data ⚠","Check Data ⚠",VLOOKUP(P47,'G-4 Temporal multipliers'!$A$4:$C$37,3,FALSE)),"")</f>
        <v/>
      </c>
      <c r="R47" s="290" t="str">
        <f>IF(C47="","",VLOOKUP(C47,'G-7 WaterC'' Data'!$B$4:$G$8,4,FALSE))</f>
        <v/>
      </c>
      <c r="S47" s="298" t="str">
        <f t="shared" si="2"/>
        <v/>
      </c>
      <c r="T47" s="328" t="str">
        <f t="shared" si="3"/>
        <v/>
      </c>
      <c r="U47" s="291" t="str">
        <f>IF(C47="","",VLOOKUP(T47,'G-3 Multipliers'!$P$2:$Q$6,2,FALSE))</f>
        <v/>
      </c>
      <c r="V47" s="96"/>
      <c r="W47" s="291" t="str">
        <f>IF(V47="","",IF(AND(V47="N/A - Culvert",C47&lt;&gt;"Culvert"),"Not possible ▲",IF(AND(C47="Culvert",V47&lt;&gt;"N/A - Culvert"),"Not possible ▲",IF(VLOOKUP(V47,'G-7 WaterC'' Data'!$AA$4:$AB$7,2,FALSE)=0,"Spatial Data Missing ⚠",VLOOKUP(V47,'G-7 WaterC'' Data'!$AA$4:$AB$7,2,FALSE)))))</f>
        <v/>
      </c>
      <c r="X47" s="44"/>
      <c r="Y47" s="291" t="str">
        <f>IF(X47="","",IF(AND(X47="N/A - Culvert", C47&lt;&gt;"Culvert"), "Not possible ▲",IF(AND(C47="Culvert",X47&lt;&gt;"N/A - Culvert"),"Not possible ▲",IF(VLOOKUP(X47,'G-7 WaterC'' Data'!$AD$4:$AE$14,2,FALSE)=0,"Enrcoachment Data Missing ⚠",VLOOKUP(X47,'G-7 WaterC'' Data'!$AD$4:$AE$14,2,FALSE)))))</f>
        <v/>
      </c>
      <c r="Z47" s="332" t="str">
        <f t="shared" si="4"/>
        <v/>
      </c>
      <c r="AA47" s="98"/>
      <c r="AB47" s="99"/>
      <c r="AC47" s="101"/>
      <c r="AH47" s="15" t="str">
        <f>IFERROR(INDEX('G-7 WaterC'' Data'!$AZ$3:$AZ$7,MATCH(C47,'G-7 WaterC'' Data'!$AY$3:$AY$7,0)),"")</f>
        <v/>
      </c>
    </row>
    <row r="48" spans="2:34" ht="14" x14ac:dyDescent="0.3">
      <c r="B48" s="92">
        <v>37</v>
      </c>
      <c r="C48" s="119"/>
      <c r="D48" s="120"/>
      <c r="E48" s="290" t="str">
        <f>IF(C48="","",VLOOKUP(C48,'G-7 WaterC'' Data'!$B$2:$G$8,2,FALSE))</f>
        <v/>
      </c>
      <c r="F48" s="291" t="str">
        <f>IFERROR(VLOOKUP(E48,'G-7 WaterC'' Data'!$C$4:$D$8,2,FALSE),"")</f>
        <v/>
      </c>
      <c r="G48" s="95"/>
      <c r="H48" s="291" t="str">
        <f>IFERROR(INDEX('G-7 WaterC'' Data'!$H$4:$L$8,MATCH(C48,'G-7 WaterC'' Data'!$B$4:$B$8,0),MATCH(G48,'G-7 WaterC'' Data'!$H$3:$L$3,0)),"")</f>
        <v/>
      </c>
      <c r="I48" s="38"/>
      <c r="J48" s="298" t="str">
        <f>IF(I48="","",IF(VLOOKUP(I48,'G-7 WaterC'' Data'!$AK$4:$AM$6,2,FALSE)=0,"Spatial Data Missing ⚠",VLOOKUP(I48,'G-7 WaterC'' Data'!$AK$4:$AM$6,2,FALSE)))</f>
        <v/>
      </c>
      <c r="K48" s="291" t="str">
        <f>IF(I48="","",IF(VLOOKUP(I48,'G-7 WaterC'' Data'!$AK$4:$AM$6,3,FALSE)=0,"Spatial Data Missing ⚠",VLOOKUP(I48,'G-7 WaterC'' Data'!$AK$4:$AM$6,3,FALSE)))</f>
        <v/>
      </c>
      <c r="L48" s="290" t="str">
        <f>IFERROR(INDEX('G-7 WaterC'' Data'!$O$3:$O$7,MATCH(G48,'G-7 WaterC'' Data'!$N$3:$N$7,0)),"")</f>
        <v/>
      </c>
      <c r="M48" s="47"/>
      <c r="N48" s="138"/>
      <c r="O48" s="298" t="str">
        <f t="shared" si="0"/>
        <v/>
      </c>
      <c r="P48" s="311" t="str">
        <f t="shared" si="1"/>
        <v/>
      </c>
      <c r="Q48" s="344" t="str">
        <f>IFERROR(IF(P48="Check Data ⚠","Check Data ⚠",VLOOKUP(P48,'G-4 Temporal multipliers'!$A$4:$C$37,3,FALSE)),"")</f>
        <v/>
      </c>
      <c r="R48" s="290" t="str">
        <f>IF(C48="","",VLOOKUP(C48,'G-7 WaterC'' Data'!$B$4:$G$8,4,FALSE))</f>
        <v/>
      </c>
      <c r="S48" s="298" t="str">
        <f t="shared" si="2"/>
        <v/>
      </c>
      <c r="T48" s="328" t="str">
        <f t="shared" si="3"/>
        <v/>
      </c>
      <c r="U48" s="291" t="str">
        <f>IF(C48="","",VLOOKUP(T48,'G-3 Multipliers'!$P$2:$Q$6,2,FALSE))</f>
        <v/>
      </c>
      <c r="V48" s="96"/>
      <c r="W48" s="291" t="str">
        <f>IF(V48="","",IF(AND(V48="N/A - Culvert",C48&lt;&gt;"Culvert"),"Not possible ▲",IF(AND(C48="Culvert",V48&lt;&gt;"N/A - Culvert"),"Not possible ▲",IF(VLOOKUP(V48,'G-7 WaterC'' Data'!$AA$4:$AB$7,2,FALSE)=0,"Spatial Data Missing ⚠",VLOOKUP(V48,'G-7 WaterC'' Data'!$AA$4:$AB$7,2,FALSE)))))</f>
        <v/>
      </c>
      <c r="X48" s="44"/>
      <c r="Y48" s="291" t="str">
        <f>IF(X48="","",IF(AND(X48="N/A - Culvert", C48&lt;&gt;"Culvert"), "Not possible ▲",IF(AND(C48="Culvert",X48&lt;&gt;"N/A - Culvert"),"Not possible ▲",IF(VLOOKUP(X48,'G-7 WaterC'' Data'!$AD$4:$AE$14,2,FALSE)=0,"Enrcoachment Data Missing ⚠",VLOOKUP(X48,'G-7 WaterC'' Data'!$AD$4:$AE$14,2,FALSE)))))</f>
        <v/>
      </c>
      <c r="Z48" s="332" t="str">
        <f t="shared" si="4"/>
        <v/>
      </c>
      <c r="AA48" s="98"/>
      <c r="AB48" s="99"/>
      <c r="AC48" s="101"/>
      <c r="AH48" s="15" t="str">
        <f>IFERROR(INDEX('G-7 WaterC'' Data'!$AZ$3:$AZ$7,MATCH(C48,'G-7 WaterC'' Data'!$AY$3:$AY$7,0)),"")</f>
        <v/>
      </c>
    </row>
    <row r="49" spans="2:34" ht="14" x14ac:dyDescent="0.3">
      <c r="B49" s="92">
        <v>38</v>
      </c>
      <c r="C49" s="119"/>
      <c r="D49" s="120"/>
      <c r="E49" s="290" t="str">
        <f>IF(C49="","",VLOOKUP(C49,'G-7 WaterC'' Data'!$B$2:$G$8,2,FALSE))</f>
        <v/>
      </c>
      <c r="F49" s="291" t="str">
        <f>IFERROR(VLOOKUP(E49,'G-7 WaterC'' Data'!$C$4:$D$8,2,FALSE),"")</f>
        <v/>
      </c>
      <c r="G49" s="95"/>
      <c r="H49" s="291" t="str">
        <f>IFERROR(INDEX('G-7 WaterC'' Data'!$H$4:$L$8,MATCH(C49,'G-7 WaterC'' Data'!$B$4:$B$8,0),MATCH(G49,'G-7 WaterC'' Data'!$H$3:$L$3,0)),"")</f>
        <v/>
      </c>
      <c r="I49" s="38"/>
      <c r="J49" s="298" t="str">
        <f>IF(I49="","",IF(VLOOKUP(I49,'G-7 WaterC'' Data'!$AK$4:$AM$6,2,FALSE)=0,"Spatial Data Missing ⚠",VLOOKUP(I49,'G-7 WaterC'' Data'!$AK$4:$AM$6,2,FALSE)))</f>
        <v/>
      </c>
      <c r="K49" s="291" t="str">
        <f>IF(I49="","",IF(VLOOKUP(I49,'G-7 WaterC'' Data'!$AK$4:$AM$6,3,FALSE)=0,"Spatial Data Missing ⚠",VLOOKUP(I49,'G-7 WaterC'' Data'!$AK$4:$AM$6,3,FALSE)))</f>
        <v/>
      </c>
      <c r="L49" s="290" t="str">
        <f>IFERROR(INDEX('G-7 WaterC'' Data'!$O$3:$O$7,MATCH(G49,'G-7 WaterC'' Data'!$N$3:$N$7,0)),"")</f>
        <v/>
      </c>
      <c r="M49" s="47"/>
      <c r="N49" s="138"/>
      <c r="O49" s="298" t="str">
        <f t="shared" si="0"/>
        <v/>
      </c>
      <c r="P49" s="311" t="str">
        <f t="shared" si="1"/>
        <v/>
      </c>
      <c r="Q49" s="344" t="str">
        <f>IFERROR(IF(P49="Check Data ⚠","Check Data ⚠",VLOOKUP(P49,'G-4 Temporal multipliers'!$A$4:$C$37,3,FALSE)),"")</f>
        <v/>
      </c>
      <c r="R49" s="290" t="str">
        <f>IF(C49="","",VLOOKUP(C49,'G-7 WaterC'' Data'!$B$4:$G$8,4,FALSE))</f>
        <v/>
      </c>
      <c r="S49" s="298" t="str">
        <f t="shared" si="2"/>
        <v/>
      </c>
      <c r="T49" s="328" t="str">
        <f t="shared" si="3"/>
        <v/>
      </c>
      <c r="U49" s="291" t="str">
        <f>IF(C49="","",VLOOKUP(T49,'G-3 Multipliers'!$P$2:$Q$6,2,FALSE))</f>
        <v/>
      </c>
      <c r="V49" s="96"/>
      <c r="W49" s="291" t="str">
        <f>IF(V49="","",IF(AND(V49="N/A - Culvert",C49&lt;&gt;"Culvert"),"Not possible ▲",IF(AND(C49="Culvert",V49&lt;&gt;"N/A - Culvert"),"Not possible ▲",IF(VLOOKUP(V49,'G-7 WaterC'' Data'!$AA$4:$AB$7,2,FALSE)=0,"Spatial Data Missing ⚠",VLOOKUP(V49,'G-7 WaterC'' Data'!$AA$4:$AB$7,2,FALSE)))))</f>
        <v/>
      </c>
      <c r="X49" s="44"/>
      <c r="Y49" s="291" t="str">
        <f>IF(X49="","",IF(AND(X49="N/A - Culvert", C49&lt;&gt;"Culvert"), "Not possible ▲",IF(AND(C49="Culvert",X49&lt;&gt;"N/A - Culvert"),"Not possible ▲",IF(VLOOKUP(X49,'G-7 WaterC'' Data'!$AD$4:$AE$14,2,FALSE)=0,"Enrcoachment Data Missing ⚠",VLOOKUP(X49,'G-7 WaterC'' Data'!$AD$4:$AE$14,2,FALSE)))))</f>
        <v/>
      </c>
      <c r="Z49" s="332" t="str">
        <f t="shared" si="4"/>
        <v/>
      </c>
      <c r="AA49" s="98"/>
      <c r="AB49" s="99"/>
      <c r="AC49" s="101"/>
      <c r="AH49" s="15" t="str">
        <f>IFERROR(INDEX('G-7 WaterC'' Data'!$AZ$3:$AZ$7,MATCH(C49,'G-7 WaterC'' Data'!$AY$3:$AY$7,0)),"")</f>
        <v/>
      </c>
    </row>
    <row r="50" spans="2:34" ht="14" x14ac:dyDescent="0.3">
      <c r="B50" s="92">
        <v>39</v>
      </c>
      <c r="C50" s="119"/>
      <c r="D50" s="120"/>
      <c r="E50" s="290" t="str">
        <f>IF(C50="","",VLOOKUP(C50,'G-7 WaterC'' Data'!$B$2:$G$8,2,FALSE))</f>
        <v/>
      </c>
      <c r="F50" s="291" t="str">
        <f>IFERROR(VLOOKUP(E50,'G-7 WaterC'' Data'!$C$4:$D$8,2,FALSE),"")</f>
        <v/>
      </c>
      <c r="G50" s="95"/>
      <c r="H50" s="291" t="str">
        <f>IFERROR(INDEX('G-7 WaterC'' Data'!$H$4:$L$8,MATCH(C50,'G-7 WaterC'' Data'!$B$4:$B$8,0),MATCH(G50,'G-7 WaterC'' Data'!$H$3:$L$3,0)),"")</f>
        <v/>
      </c>
      <c r="I50" s="38"/>
      <c r="J50" s="298" t="str">
        <f>IF(I50="","",IF(VLOOKUP(I50,'G-7 WaterC'' Data'!$AK$4:$AM$6,2,FALSE)=0,"Spatial Data Missing ⚠",VLOOKUP(I50,'G-7 WaterC'' Data'!$AK$4:$AM$6,2,FALSE)))</f>
        <v/>
      </c>
      <c r="K50" s="291" t="str">
        <f>IF(I50="","",IF(VLOOKUP(I50,'G-7 WaterC'' Data'!$AK$4:$AM$6,3,FALSE)=0,"Spatial Data Missing ⚠",VLOOKUP(I50,'G-7 WaterC'' Data'!$AK$4:$AM$6,3,FALSE)))</f>
        <v/>
      </c>
      <c r="L50" s="290" t="str">
        <f>IFERROR(INDEX('G-7 WaterC'' Data'!$O$3:$O$7,MATCH(G50,'G-7 WaterC'' Data'!$N$3:$N$7,0)),"")</f>
        <v/>
      </c>
      <c r="M50" s="47"/>
      <c r="N50" s="138"/>
      <c r="O50" s="298" t="str">
        <f t="shared" si="0"/>
        <v/>
      </c>
      <c r="P50" s="311" t="str">
        <f t="shared" si="1"/>
        <v/>
      </c>
      <c r="Q50" s="344" t="str">
        <f>IFERROR(IF(P50="Check Data ⚠","Check Data ⚠",VLOOKUP(P50,'G-4 Temporal multipliers'!$A$4:$C$37,3,FALSE)),"")</f>
        <v/>
      </c>
      <c r="R50" s="290" t="str">
        <f>IF(C50="","",VLOOKUP(C50,'G-7 WaterC'' Data'!$B$4:$G$8,4,FALSE))</f>
        <v/>
      </c>
      <c r="S50" s="298" t="str">
        <f t="shared" si="2"/>
        <v/>
      </c>
      <c r="T50" s="328" t="str">
        <f t="shared" si="3"/>
        <v/>
      </c>
      <c r="U50" s="291" t="str">
        <f>IF(C50="","",VLOOKUP(T50,'G-3 Multipliers'!$P$2:$Q$6,2,FALSE))</f>
        <v/>
      </c>
      <c r="V50" s="96"/>
      <c r="W50" s="291" t="str">
        <f>IF(V50="","",IF(AND(V50="N/A - Culvert",C50&lt;&gt;"Culvert"),"Not possible ▲",IF(AND(C50="Culvert",V50&lt;&gt;"N/A - Culvert"),"Not possible ▲",IF(VLOOKUP(V50,'G-7 WaterC'' Data'!$AA$4:$AB$7,2,FALSE)=0,"Spatial Data Missing ⚠",VLOOKUP(V50,'G-7 WaterC'' Data'!$AA$4:$AB$7,2,FALSE)))))</f>
        <v/>
      </c>
      <c r="X50" s="44"/>
      <c r="Y50" s="291" t="str">
        <f>IF(X50="","",IF(AND(X50="N/A - Culvert", C50&lt;&gt;"Culvert"), "Not possible ▲",IF(AND(C50="Culvert",X50&lt;&gt;"N/A - Culvert"),"Not possible ▲",IF(VLOOKUP(X50,'G-7 WaterC'' Data'!$AD$4:$AE$14,2,FALSE)=0,"Enrcoachment Data Missing ⚠",VLOOKUP(X50,'G-7 WaterC'' Data'!$AD$4:$AE$14,2,FALSE)))))</f>
        <v/>
      </c>
      <c r="Z50" s="332" t="str">
        <f t="shared" si="4"/>
        <v/>
      </c>
      <c r="AA50" s="98"/>
      <c r="AB50" s="99"/>
      <c r="AC50" s="101"/>
      <c r="AH50" s="15" t="str">
        <f>IFERROR(INDEX('G-7 WaterC'' Data'!$AZ$3:$AZ$7,MATCH(C50,'G-7 WaterC'' Data'!$AY$3:$AY$7,0)),"")</f>
        <v/>
      </c>
    </row>
    <row r="51" spans="2:34" ht="14" x14ac:dyDescent="0.3">
      <c r="B51" s="92">
        <v>40</v>
      </c>
      <c r="C51" s="119"/>
      <c r="D51" s="120"/>
      <c r="E51" s="290" t="str">
        <f>IF(C51="","",VLOOKUP(C51,'G-7 WaterC'' Data'!$B$2:$G$8,2,FALSE))</f>
        <v/>
      </c>
      <c r="F51" s="291" t="str">
        <f>IFERROR(VLOOKUP(E51,'G-7 WaterC'' Data'!$C$4:$D$8,2,FALSE),"")</f>
        <v/>
      </c>
      <c r="G51" s="95"/>
      <c r="H51" s="291" t="str">
        <f>IFERROR(INDEX('G-7 WaterC'' Data'!$H$4:$L$8,MATCH(C51,'G-7 WaterC'' Data'!$B$4:$B$8,0),MATCH(G51,'G-7 WaterC'' Data'!$H$3:$L$3,0)),"")</f>
        <v/>
      </c>
      <c r="I51" s="38"/>
      <c r="J51" s="298" t="str">
        <f>IF(I51="","",IF(VLOOKUP(I51,'G-7 WaterC'' Data'!$AK$4:$AM$6,2,FALSE)=0,"Spatial Data Missing ⚠",VLOOKUP(I51,'G-7 WaterC'' Data'!$AK$4:$AM$6,2,FALSE)))</f>
        <v/>
      </c>
      <c r="K51" s="291" t="str">
        <f>IF(I51="","",IF(VLOOKUP(I51,'G-7 WaterC'' Data'!$AK$4:$AM$6,3,FALSE)=0,"Spatial Data Missing ⚠",VLOOKUP(I51,'G-7 WaterC'' Data'!$AK$4:$AM$6,3,FALSE)))</f>
        <v/>
      </c>
      <c r="L51" s="290" t="str">
        <f>IFERROR(INDEX('G-7 WaterC'' Data'!$O$3:$O$7,MATCH(G51,'G-7 WaterC'' Data'!$N$3:$N$7,0)),"")</f>
        <v/>
      </c>
      <c r="M51" s="47"/>
      <c r="N51" s="138"/>
      <c r="O51" s="298" t="str">
        <f t="shared" si="0"/>
        <v/>
      </c>
      <c r="P51" s="311" t="str">
        <f t="shared" si="1"/>
        <v/>
      </c>
      <c r="Q51" s="344" t="str">
        <f>IFERROR(IF(P51="Check Data ⚠","Check Data ⚠",VLOOKUP(P51,'G-4 Temporal multipliers'!$A$4:$C$37,3,FALSE)),"")</f>
        <v/>
      </c>
      <c r="R51" s="290" t="str">
        <f>IF(C51="","",VLOOKUP(C51,'G-7 WaterC'' Data'!$B$4:$G$8,4,FALSE))</f>
        <v/>
      </c>
      <c r="S51" s="298" t="str">
        <f t="shared" si="2"/>
        <v/>
      </c>
      <c r="T51" s="328" t="str">
        <f t="shared" si="3"/>
        <v/>
      </c>
      <c r="U51" s="291" t="str">
        <f>IF(C51="","",VLOOKUP(T51,'G-3 Multipliers'!$P$2:$Q$6,2,FALSE))</f>
        <v/>
      </c>
      <c r="V51" s="96"/>
      <c r="W51" s="291" t="str">
        <f>IF(V51="","",IF(AND(V51="N/A - Culvert",C51&lt;&gt;"Culvert"),"Not possible ▲",IF(AND(C51="Culvert",V51&lt;&gt;"N/A - Culvert"),"Not possible ▲",IF(VLOOKUP(V51,'G-7 WaterC'' Data'!$AA$4:$AB$7,2,FALSE)=0,"Spatial Data Missing ⚠",VLOOKUP(V51,'G-7 WaterC'' Data'!$AA$4:$AB$7,2,FALSE)))))</f>
        <v/>
      </c>
      <c r="X51" s="44"/>
      <c r="Y51" s="291" t="str">
        <f>IF(X51="","",IF(AND(X51="N/A - Culvert", C51&lt;&gt;"Culvert"), "Not possible ▲",IF(AND(C51="Culvert",X51&lt;&gt;"N/A - Culvert"),"Not possible ▲",IF(VLOOKUP(X51,'G-7 WaterC'' Data'!$AD$4:$AE$14,2,FALSE)=0,"Enrcoachment Data Missing ⚠",VLOOKUP(X51,'G-7 WaterC'' Data'!$AD$4:$AE$14,2,FALSE)))))</f>
        <v/>
      </c>
      <c r="Z51" s="332" t="str">
        <f t="shared" si="4"/>
        <v/>
      </c>
      <c r="AA51" s="98"/>
      <c r="AB51" s="99"/>
      <c r="AC51" s="101"/>
      <c r="AH51" s="15" t="str">
        <f>IFERROR(INDEX('G-7 WaterC'' Data'!$AZ$3:$AZ$7,MATCH(C51,'G-7 WaterC'' Data'!$AY$3:$AY$7,0)),"")</f>
        <v/>
      </c>
    </row>
    <row r="52" spans="2:34" ht="14" x14ac:dyDescent="0.3">
      <c r="B52" s="92">
        <v>41</v>
      </c>
      <c r="C52" s="119"/>
      <c r="D52" s="120"/>
      <c r="E52" s="290" t="str">
        <f>IF(C52="","",VLOOKUP(C52,'G-7 WaterC'' Data'!$B$2:$G$8,2,FALSE))</f>
        <v/>
      </c>
      <c r="F52" s="291" t="str">
        <f>IFERROR(VLOOKUP(E52,'G-7 WaterC'' Data'!$C$4:$D$8,2,FALSE),"")</f>
        <v/>
      </c>
      <c r="G52" s="95"/>
      <c r="H52" s="291" t="str">
        <f>IFERROR(INDEX('G-7 WaterC'' Data'!$H$4:$L$8,MATCH(C52,'G-7 WaterC'' Data'!$B$4:$B$8,0),MATCH(G52,'G-7 WaterC'' Data'!$H$3:$L$3,0)),"")</f>
        <v/>
      </c>
      <c r="I52" s="38"/>
      <c r="J52" s="298" t="str">
        <f>IF(I52="","",IF(VLOOKUP(I52,'G-7 WaterC'' Data'!$AK$4:$AM$6,2,FALSE)=0,"Spatial Data Missing ⚠",VLOOKUP(I52,'G-7 WaterC'' Data'!$AK$4:$AM$6,2,FALSE)))</f>
        <v/>
      </c>
      <c r="K52" s="291" t="str">
        <f>IF(I52="","",IF(VLOOKUP(I52,'G-7 WaterC'' Data'!$AK$4:$AM$6,3,FALSE)=0,"Spatial Data Missing ⚠",VLOOKUP(I52,'G-7 WaterC'' Data'!$AK$4:$AM$6,3,FALSE)))</f>
        <v/>
      </c>
      <c r="L52" s="290" t="str">
        <f>IFERROR(INDEX('G-7 WaterC'' Data'!$O$3:$O$7,MATCH(G52,'G-7 WaterC'' Data'!$N$3:$N$7,0)),"")</f>
        <v/>
      </c>
      <c r="M52" s="47"/>
      <c r="N52" s="138"/>
      <c r="O52" s="298" t="str">
        <f t="shared" si="0"/>
        <v/>
      </c>
      <c r="P52" s="311" t="str">
        <f t="shared" si="1"/>
        <v/>
      </c>
      <c r="Q52" s="344" t="str">
        <f>IFERROR(IF(P52="Check Data ⚠","Check Data ⚠",VLOOKUP(P52,'G-4 Temporal multipliers'!$A$4:$C$37,3,FALSE)),"")</f>
        <v/>
      </c>
      <c r="R52" s="290" t="str">
        <f>IF(C52="","",VLOOKUP(C52,'G-7 WaterC'' Data'!$B$4:$G$8,4,FALSE))</f>
        <v/>
      </c>
      <c r="S52" s="298" t="str">
        <f t="shared" si="2"/>
        <v/>
      </c>
      <c r="T52" s="328" t="str">
        <f t="shared" si="3"/>
        <v/>
      </c>
      <c r="U52" s="291" t="str">
        <f>IF(C52="","",VLOOKUP(T52,'G-3 Multipliers'!$P$2:$Q$6,2,FALSE))</f>
        <v/>
      </c>
      <c r="V52" s="96"/>
      <c r="W52" s="291" t="str">
        <f>IF(V52="","",IF(AND(V52="N/A - Culvert",C52&lt;&gt;"Culvert"),"Not possible ▲",IF(AND(C52="Culvert",V52&lt;&gt;"N/A - Culvert"),"Not possible ▲",IF(VLOOKUP(V52,'G-7 WaterC'' Data'!$AA$4:$AB$7,2,FALSE)=0,"Spatial Data Missing ⚠",VLOOKUP(V52,'G-7 WaterC'' Data'!$AA$4:$AB$7,2,FALSE)))))</f>
        <v/>
      </c>
      <c r="X52" s="44"/>
      <c r="Y52" s="291" t="str">
        <f>IF(X52="","",IF(AND(X52="N/A - Culvert", C52&lt;&gt;"Culvert"), "Not possible ▲",IF(AND(C52="Culvert",X52&lt;&gt;"N/A - Culvert"),"Not possible ▲",IF(VLOOKUP(X52,'G-7 WaterC'' Data'!$AD$4:$AE$14,2,FALSE)=0,"Enrcoachment Data Missing ⚠",VLOOKUP(X52,'G-7 WaterC'' Data'!$AD$4:$AE$14,2,FALSE)))))</f>
        <v/>
      </c>
      <c r="Z52" s="332" t="str">
        <f t="shared" si="4"/>
        <v/>
      </c>
      <c r="AA52" s="98"/>
      <c r="AB52" s="99"/>
      <c r="AC52" s="101"/>
      <c r="AH52" s="15" t="str">
        <f>IFERROR(INDEX('G-7 WaterC'' Data'!$AZ$3:$AZ$7,MATCH(C52,'G-7 WaterC'' Data'!$AY$3:$AY$7,0)),"")</f>
        <v/>
      </c>
    </row>
    <row r="53" spans="2:34" ht="14" x14ac:dyDescent="0.3">
      <c r="B53" s="92">
        <v>42</v>
      </c>
      <c r="C53" s="119"/>
      <c r="D53" s="120"/>
      <c r="E53" s="290" t="str">
        <f>IF(C53="","",VLOOKUP(C53,'G-7 WaterC'' Data'!$B$2:$G$8,2,FALSE))</f>
        <v/>
      </c>
      <c r="F53" s="291" t="str">
        <f>IFERROR(VLOOKUP(E53,'G-7 WaterC'' Data'!$C$4:$D$8,2,FALSE),"")</f>
        <v/>
      </c>
      <c r="G53" s="95"/>
      <c r="H53" s="291" t="str">
        <f>IFERROR(INDEX('G-7 WaterC'' Data'!$H$4:$L$8,MATCH(C53,'G-7 WaterC'' Data'!$B$4:$B$8,0),MATCH(G53,'G-7 WaterC'' Data'!$H$3:$L$3,0)),"")</f>
        <v/>
      </c>
      <c r="I53" s="38"/>
      <c r="J53" s="298" t="str">
        <f>IF(I53="","",IF(VLOOKUP(I53,'G-7 WaterC'' Data'!$AK$4:$AM$6,2,FALSE)=0,"Spatial Data Missing ⚠",VLOOKUP(I53,'G-7 WaterC'' Data'!$AK$4:$AM$6,2,FALSE)))</f>
        <v/>
      </c>
      <c r="K53" s="291" t="str">
        <f>IF(I53="","",IF(VLOOKUP(I53,'G-7 WaterC'' Data'!$AK$4:$AM$6,3,FALSE)=0,"Spatial Data Missing ⚠",VLOOKUP(I53,'G-7 WaterC'' Data'!$AK$4:$AM$6,3,FALSE)))</f>
        <v/>
      </c>
      <c r="L53" s="290" t="str">
        <f>IFERROR(INDEX('G-7 WaterC'' Data'!$O$3:$O$7,MATCH(G53,'G-7 WaterC'' Data'!$N$3:$N$7,0)),"")</f>
        <v/>
      </c>
      <c r="M53" s="47"/>
      <c r="N53" s="138"/>
      <c r="O53" s="298" t="str">
        <f t="shared" si="0"/>
        <v/>
      </c>
      <c r="P53" s="311" t="str">
        <f t="shared" si="1"/>
        <v/>
      </c>
      <c r="Q53" s="344" t="str">
        <f>IFERROR(IF(P53="Check Data ⚠","Check Data ⚠",VLOOKUP(P53,'G-4 Temporal multipliers'!$A$4:$C$37,3,FALSE)),"")</f>
        <v/>
      </c>
      <c r="R53" s="290" t="str">
        <f>IF(C53="","",VLOOKUP(C53,'G-7 WaterC'' Data'!$B$4:$G$8,4,FALSE))</f>
        <v/>
      </c>
      <c r="S53" s="298" t="str">
        <f t="shared" si="2"/>
        <v/>
      </c>
      <c r="T53" s="328" t="str">
        <f t="shared" si="3"/>
        <v/>
      </c>
      <c r="U53" s="291" t="str">
        <f>IF(C53="","",VLOOKUP(T53,'G-3 Multipliers'!$P$2:$Q$6,2,FALSE))</f>
        <v/>
      </c>
      <c r="V53" s="96"/>
      <c r="W53" s="291" t="str">
        <f>IF(V53="","",IF(AND(V53="N/A - Culvert",C53&lt;&gt;"Culvert"),"Not possible ▲",IF(AND(C53="Culvert",V53&lt;&gt;"N/A - Culvert"),"Not possible ▲",IF(VLOOKUP(V53,'G-7 WaterC'' Data'!$AA$4:$AB$7,2,FALSE)=0,"Spatial Data Missing ⚠",VLOOKUP(V53,'G-7 WaterC'' Data'!$AA$4:$AB$7,2,FALSE)))))</f>
        <v/>
      </c>
      <c r="X53" s="44"/>
      <c r="Y53" s="291" t="str">
        <f>IF(X53="","",IF(AND(X53="N/A - Culvert", C53&lt;&gt;"Culvert"), "Not possible ▲",IF(AND(C53="Culvert",X53&lt;&gt;"N/A - Culvert"),"Not possible ▲",IF(VLOOKUP(X53,'G-7 WaterC'' Data'!$AD$4:$AE$14,2,FALSE)=0,"Enrcoachment Data Missing ⚠",VLOOKUP(X53,'G-7 WaterC'' Data'!$AD$4:$AE$14,2,FALSE)))))</f>
        <v/>
      </c>
      <c r="Z53" s="332" t="str">
        <f t="shared" si="4"/>
        <v/>
      </c>
      <c r="AA53" s="98"/>
      <c r="AB53" s="99"/>
      <c r="AC53" s="101"/>
      <c r="AH53" s="15" t="str">
        <f>IFERROR(INDEX('G-7 WaterC'' Data'!$AZ$3:$AZ$7,MATCH(C53,'G-7 WaterC'' Data'!$AY$3:$AY$7,0)),"")</f>
        <v/>
      </c>
    </row>
    <row r="54" spans="2:34" ht="14" x14ac:dyDescent="0.3">
      <c r="B54" s="92">
        <v>43</v>
      </c>
      <c r="C54" s="119"/>
      <c r="D54" s="120"/>
      <c r="E54" s="290" t="str">
        <f>IF(C54="","",VLOOKUP(C54,'G-7 WaterC'' Data'!$B$2:$G$8,2,FALSE))</f>
        <v/>
      </c>
      <c r="F54" s="291" t="str">
        <f>IFERROR(VLOOKUP(E54,'G-7 WaterC'' Data'!$C$4:$D$8,2,FALSE),"")</f>
        <v/>
      </c>
      <c r="G54" s="95"/>
      <c r="H54" s="291" t="str">
        <f>IFERROR(INDEX('G-7 WaterC'' Data'!$H$4:$L$8,MATCH(C54,'G-7 WaterC'' Data'!$B$4:$B$8,0),MATCH(G54,'G-7 WaterC'' Data'!$H$3:$L$3,0)),"")</f>
        <v/>
      </c>
      <c r="I54" s="38"/>
      <c r="J54" s="298" t="str">
        <f>IF(I54="","",IF(VLOOKUP(I54,'G-7 WaterC'' Data'!$AK$4:$AM$6,2,FALSE)=0,"Spatial Data Missing ⚠",VLOOKUP(I54,'G-7 WaterC'' Data'!$AK$4:$AM$6,2,FALSE)))</f>
        <v/>
      </c>
      <c r="K54" s="291" t="str">
        <f>IF(I54="","",IF(VLOOKUP(I54,'G-7 WaterC'' Data'!$AK$4:$AM$6,3,FALSE)=0,"Spatial Data Missing ⚠",VLOOKUP(I54,'G-7 WaterC'' Data'!$AK$4:$AM$6,3,FALSE)))</f>
        <v/>
      </c>
      <c r="L54" s="290" t="str">
        <f>IFERROR(INDEX('G-7 WaterC'' Data'!$O$3:$O$7,MATCH(G54,'G-7 WaterC'' Data'!$N$3:$N$7,0)),"")</f>
        <v/>
      </c>
      <c r="M54" s="47"/>
      <c r="N54" s="138"/>
      <c r="O54" s="298" t="str">
        <f t="shared" si="0"/>
        <v/>
      </c>
      <c r="P54" s="311" t="str">
        <f t="shared" si="1"/>
        <v/>
      </c>
      <c r="Q54" s="344" t="str">
        <f>IFERROR(IF(P54="Check Data ⚠","Check Data ⚠",VLOOKUP(P54,'G-4 Temporal multipliers'!$A$4:$C$37,3,FALSE)),"")</f>
        <v/>
      </c>
      <c r="R54" s="290" t="str">
        <f>IF(C54="","",VLOOKUP(C54,'G-7 WaterC'' Data'!$B$4:$G$8,4,FALSE))</f>
        <v/>
      </c>
      <c r="S54" s="298" t="str">
        <f t="shared" si="2"/>
        <v/>
      </c>
      <c r="T54" s="328" t="str">
        <f t="shared" si="3"/>
        <v/>
      </c>
      <c r="U54" s="291" t="str">
        <f>IF(C54="","",VLOOKUP(T54,'G-3 Multipliers'!$P$2:$Q$6,2,FALSE))</f>
        <v/>
      </c>
      <c r="V54" s="96"/>
      <c r="W54" s="291" t="str">
        <f>IF(V54="","",IF(AND(V54="N/A - Culvert",C54&lt;&gt;"Culvert"),"Not possible ▲",IF(AND(C54="Culvert",V54&lt;&gt;"N/A - Culvert"),"Not possible ▲",IF(VLOOKUP(V54,'G-7 WaterC'' Data'!$AA$4:$AB$7,2,FALSE)=0,"Spatial Data Missing ⚠",VLOOKUP(V54,'G-7 WaterC'' Data'!$AA$4:$AB$7,2,FALSE)))))</f>
        <v/>
      </c>
      <c r="X54" s="44"/>
      <c r="Y54" s="291" t="str">
        <f>IF(X54="","",IF(AND(X54="N/A - Culvert", C54&lt;&gt;"Culvert"), "Not possible ▲",IF(AND(C54="Culvert",X54&lt;&gt;"N/A - Culvert"),"Not possible ▲",IF(VLOOKUP(X54,'G-7 WaterC'' Data'!$AD$4:$AE$14,2,FALSE)=0,"Enrcoachment Data Missing ⚠",VLOOKUP(X54,'G-7 WaterC'' Data'!$AD$4:$AE$14,2,FALSE)))))</f>
        <v/>
      </c>
      <c r="Z54" s="332" t="str">
        <f t="shared" si="4"/>
        <v/>
      </c>
      <c r="AA54" s="98"/>
      <c r="AB54" s="99"/>
      <c r="AC54" s="101"/>
      <c r="AH54" s="15" t="str">
        <f>IFERROR(INDEX('G-7 WaterC'' Data'!$AZ$3:$AZ$7,MATCH(C54,'G-7 WaterC'' Data'!$AY$3:$AY$7,0)),"")</f>
        <v/>
      </c>
    </row>
    <row r="55" spans="2:34" ht="14" x14ac:dyDescent="0.3">
      <c r="B55" s="92">
        <v>44</v>
      </c>
      <c r="C55" s="119"/>
      <c r="D55" s="120"/>
      <c r="E55" s="290" t="str">
        <f>IF(C55="","",VLOOKUP(C55,'G-7 WaterC'' Data'!$B$2:$G$8,2,FALSE))</f>
        <v/>
      </c>
      <c r="F55" s="291" t="str">
        <f>IFERROR(VLOOKUP(E55,'G-7 WaterC'' Data'!$C$4:$D$8,2,FALSE),"")</f>
        <v/>
      </c>
      <c r="G55" s="95"/>
      <c r="H55" s="291" t="str">
        <f>IFERROR(INDEX('G-7 WaterC'' Data'!$H$4:$L$8,MATCH(C55,'G-7 WaterC'' Data'!$B$4:$B$8,0),MATCH(G55,'G-7 WaterC'' Data'!$H$3:$L$3,0)),"")</f>
        <v/>
      </c>
      <c r="I55" s="38"/>
      <c r="J55" s="298" t="str">
        <f>IF(I55="","",IF(VLOOKUP(I55,'G-7 WaterC'' Data'!$AK$4:$AM$6,2,FALSE)=0,"Spatial Data Missing ⚠",VLOOKUP(I55,'G-7 WaterC'' Data'!$AK$4:$AM$6,2,FALSE)))</f>
        <v/>
      </c>
      <c r="K55" s="291" t="str">
        <f>IF(I55="","",IF(VLOOKUP(I55,'G-7 WaterC'' Data'!$AK$4:$AM$6,3,FALSE)=0,"Spatial Data Missing ⚠",VLOOKUP(I55,'G-7 WaterC'' Data'!$AK$4:$AM$6,3,FALSE)))</f>
        <v/>
      </c>
      <c r="L55" s="290" t="str">
        <f>IFERROR(INDEX('G-7 WaterC'' Data'!$O$3:$O$7,MATCH(G55,'G-7 WaterC'' Data'!$N$3:$N$7,0)),"")</f>
        <v/>
      </c>
      <c r="M55" s="47"/>
      <c r="N55" s="138"/>
      <c r="O55" s="298" t="str">
        <f t="shared" si="0"/>
        <v/>
      </c>
      <c r="P55" s="311" t="str">
        <f t="shared" si="1"/>
        <v/>
      </c>
      <c r="Q55" s="344" t="str">
        <f>IFERROR(IF(P55="Check Data ⚠","Check Data ⚠",VLOOKUP(P55,'G-4 Temporal multipliers'!$A$4:$C$37,3,FALSE)),"")</f>
        <v/>
      </c>
      <c r="R55" s="290" t="str">
        <f>IF(C55="","",VLOOKUP(C55,'G-7 WaterC'' Data'!$B$4:$G$8,4,FALSE))</f>
        <v/>
      </c>
      <c r="S55" s="298" t="str">
        <f t="shared" si="2"/>
        <v/>
      </c>
      <c r="T55" s="328" t="str">
        <f t="shared" si="3"/>
        <v/>
      </c>
      <c r="U55" s="291" t="str">
        <f>IF(C55="","",VLOOKUP(T55,'G-3 Multipliers'!$P$2:$Q$6,2,FALSE))</f>
        <v/>
      </c>
      <c r="V55" s="96"/>
      <c r="W55" s="291" t="str">
        <f>IF(V55="","",IF(AND(V55="N/A - Culvert",C55&lt;&gt;"Culvert"),"Not possible ▲",IF(AND(C55="Culvert",V55&lt;&gt;"N/A - Culvert"),"Not possible ▲",IF(VLOOKUP(V55,'G-7 WaterC'' Data'!$AA$4:$AB$7,2,FALSE)=0,"Spatial Data Missing ⚠",VLOOKUP(V55,'G-7 WaterC'' Data'!$AA$4:$AB$7,2,FALSE)))))</f>
        <v/>
      </c>
      <c r="X55" s="44"/>
      <c r="Y55" s="291" t="str">
        <f>IF(X55="","",IF(AND(X55="N/A - Culvert", C55&lt;&gt;"Culvert"), "Not possible ▲",IF(AND(C55="Culvert",X55&lt;&gt;"N/A - Culvert"),"Not possible ▲",IF(VLOOKUP(X55,'G-7 WaterC'' Data'!$AD$4:$AE$14,2,FALSE)=0,"Enrcoachment Data Missing ⚠",VLOOKUP(X55,'G-7 WaterC'' Data'!$AD$4:$AE$14,2,FALSE)))))</f>
        <v/>
      </c>
      <c r="Z55" s="332" t="str">
        <f t="shared" si="4"/>
        <v/>
      </c>
      <c r="AA55" s="98"/>
      <c r="AB55" s="99"/>
      <c r="AC55" s="101"/>
      <c r="AH55" s="15" t="str">
        <f>IFERROR(INDEX('G-7 WaterC'' Data'!$AZ$3:$AZ$7,MATCH(C55,'G-7 WaterC'' Data'!$AY$3:$AY$7,0)),"")</f>
        <v/>
      </c>
    </row>
    <row r="56" spans="2:34" ht="14" x14ac:dyDescent="0.3">
      <c r="B56" s="92">
        <v>45</v>
      </c>
      <c r="C56" s="119"/>
      <c r="D56" s="120"/>
      <c r="E56" s="290" t="str">
        <f>IF(C56="","",VLOOKUP(C56,'G-7 WaterC'' Data'!$B$2:$G$8,2,FALSE))</f>
        <v/>
      </c>
      <c r="F56" s="291" t="str">
        <f>IFERROR(VLOOKUP(E56,'G-7 WaterC'' Data'!$C$4:$D$8,2,FALSE),"")</f>
        <v/>
      </c>
      <c r="G56" s="95"/>
      <c r="H56" s="291" t="str">
        <f>IFERROR(INDEX('G-7 WaterC'' Data'!$H$4:$L$8,MATCH(C56,'G-7 WaterC'' Data'!$B$4:$B$8,0),MATCH(G56,'G-7 WaterC'' Data'!$H$3:$L$3,0)),"")</f>
        <v/>
      </c>
      <c r="I56" s="38"/>
      <c r="J56" s="298" t="str">
        <f>IF(I56="","",IF(VLOOKUP(I56,'G-7 WaterC'' Data'!$AK$4:$AM$6,2,FALSE)=0,"Spatial Data Missing ⚠",VLOOKUP(I56,'G-7 WaterC'' Data'!$AK$4:$AM$6,2,FALSE)))</f>
        <v/>
      </c>
      <c r="K56" s="291" t="str">
        <f>IF(I56="","",IF(VLOOKUP(I56,'G-7 WaterC'' Data'!$AK$4:$AM$6,3,FALSE)=0,"Spatial Data Missing ⚠",VLOOKUP(I56,'G-7 WaterC'' Data'!$AK$4:$AM$6,3,FALSE)))</f>
        <v/>
      </c>
      <c r="L56" s="290" t="str">
        <f>IFERROR(INDEX('G-7 WaterC'' Data'!$O$3:$O$7,MATCH(G56,'G-7 WaterC'' Data'!$N$3:$N$7,0)),"")</f>
        <v/>
      </c>
      <c r="M56" s="47"/>
      <c r="N56" s="138"/>
      <c r="O56" s="298" t="str">
        <f t="shared" si="0"/>
        <v/>
      </c>
      <c r="P56" s="311" t="str">
        <f t="shared" si="1"/>
        <v/>
      </c>
      <c r="Q56" s="344" t="str">
        <f>IFERROR(IF(P56="Check Data ⚠","Check Data ⚠",VLOOKUP(P56,'G-4 Temporal multipliers'!$A$4:$C$37,3,FALSE)),"")</f>
        <v/>
      </c>
      <c r="R56" s="290" t="str">
        <f>IF(C56="","",VLOOKUP(C56,'G-7 WaterC'' Data'!$B$4:$G$8,4,FALSE))</f>
        <v/>
      </c>
      <c r="S56" s="298" t="str">
        <f t="shared" si="2"/>
        <v/>
      </c>
      <c r="T56" s="328" t="str">
        <f t="shared" si="3"/>
        <v/>
      </c>
      <c r="U56" s="291" t="str">
        <f>IF(C56="","",VLOOKUP(T56,'G-3 Multipliers'!$P$2:$Q$6,2,FALSE))</f>
        <v/>
      </c>
      <c r="V56" s="96"/>
      <c r="W56" s="291" t="str">
        <f>IF(V56="","",IF(AND(V56="N/A - Culvert",C56&lt;&gt;"Culvert"),"Not possible ▲",IF(AND(C56="Culvert",V56&lt;&gt;"N/A - Culvert"),"Not possible ▲",IF(VLOOKUP(V56,'G-7 WaterC'' Data'!$AA$4:$AB$7,2,FALSE)=0,"Spatial Data Missing ⚠",VLOOKUP(V56,'G-7 WaterC'' Data'!$AA$4:$AB$7,2,FALSE)))))</f>
        <v/>
      </c>
      <c r="X56" s="44"/>
      <c r="Y56" s="291" t="str">
        <f>IF(X56="","",IF(AND(X56="N/A - Culvert", C56&lt;&gt;"Culvert"), "Not possible ▲",IF(AND(C56="Culvert",X56&lt;&gt;"N/A - Culvert"),"Not possible ▲",IF(VLOOKUP(X56,'G-7 WaterC'' Data'!$AD$4:$AE$14,2,FALSE)=0,"Enrcoachment Data Missing ⚠",VLOOKUP(X56,'G-7 WaterC'' Data'!$AD$4:$AE$14,2,FALSE)))))</f>
        <v/>
      </c>
      <c r="Z56" s="332" t="str">
        <f t="shared" si="4"/>
        <v/>
      </c>
      <c r="AA56" s="98"/>
      <c r="AB56" s="99"/>
      <c r="AC56" s="101"/>
      <c r="AH56" s="15" t="str">
        <f>IFERROR(INDEX('G-7 WaterC'' Data'!$AZ$3:$AZ$7,MATCH(C56,'G-7 WaterC'' Data'!$AY$3:$AY$7,0)),"")</f>
        <v/>
      </c>
    </row>
    <row r="57" spans="2:34" ht="14" x14ac:dyDescent="0.3">
      <c r="B57" s="92">
        <v>46</v>
      </c>
      <c r="C57" s="119"/>
      <c r="D57" s="120"/>
      <c r="E57" s="290" t="str">
        <f>IF(C57="","",VLOOKUP(C57,'G-7 WaterC'' Data'!$B$2:$G$8,2,FALSE))</f>
        <v/>
      </c>
      <c r="F57" s="291" t="str">
        <f>IFERROR(VLOOKUP(E57,'G-7 WaterC'' Data'!$C$4:$D$8,2,FALSE),"")</f>
        <v/>
      </c>
      <c r="G57" s="95"/>
      <c r="H57" s="291" t="str">
        <f>IFERROR(INDEX('G-7 WaterC'' Data'!$H$4:$L$8,MATCH(C57,'G-7 WaterC'' Data'!$B$4:$B$8,0),MATCH(G57,'G-7 WaterC'' Data'!$H$3:$L$3,0)),"")</f>
        <v/>
      </c>
      <c r="I57" s="38"/>
      <c r="J57" s="298" t="str">
        <f>IF(I57="","",IF(VLOOKUP(I57,'G-7 WaterC'' Data'!$AK$4:$AM$6,2,FALSE)=0,"Spatial Data Missing ⚠",VLOOKUP(I57,'G-7 WaterC'' Data'!$AK$4:$AM$6,2,FALSE)))</f>
        <v/>
      </c>
      <c r="K57" s="291" t="str">
        <f>IF(I57="","",IF(VLOOKUP(I57,'G-7 WaterC'' Data'!$AK$4:$AM$6,3,FALSE)=0,"Spatial Data Missing ⚠",VLOOKUP(I57,'G-7 WaterC'' Data'!$AK$4:$AM$6,3,FALSE)))</f>
        <v/>
      </c>
      <c r="L57" s="290" t="str">
        <f>IFERROR(INDEX('G-7 WaterC'' Data'!$O$3:$O$7,MATCH(G57,'G-7 WaterC'' Data'!$N$3:$N$7,0)),"")</f>
        <v/>
      </c>
      <c r="M57" s="47"/>
      <c r="N57" s="138"/>
      <c r="O57" s="298" t="str">
        <f t="shared" si="0"/>
        <v/>
      </c>
      <c r="P57" s="311" t="str">
        <f t="shared" si="1"/>
        <v/>
      </c>
      <c r="Q57" s="344" t="str">
        <f>IFERROR(IF(P57="Check Data ⚠","Check Data ⚠",VLOOKUP(P57,'G-4 Temporal multipliers'!$A$4:$C$37,3,FALSE)),"")</f>
        <v/>
      </c>
      <c r="R57" s="290" t="str">
        <f>IF(C57="","",VLOOKUP(C57,'G-7 WaterC'' Data'!$B$4:$G$8,4,FALSE))</f>
        <v/>
      </c>
      <c r="S57" s="298" t="str">
        <f t="shared" si="2"/>
        <v/>
      </c>
      <c r="T57" s="328" t="str">
        <f t="shared" si="3"/>
        <v/>
      </c>
      <c r="U57" s="291" t="str">
        <f>IF(C57="","",VLOOKUP(T57,'G-3 Multipliers'!$P$2:$Q$6,2,FALSE))</f>
        <v/>
      </c>
      <c r="V57" s="96"/>
      <c r="W57" s="291" t="str">
        <f>IF(V57="","",IF(AND(V57="N/A - Culvert",C57&lt;&gt;"Culvert"),"Not possible ▲",IF(AND(C57="Culvert",V57&lt;&gt;"N/A - Culvert"),"Not possible ▲",IF(VLOOKUP(V57,'G-7 WaterC'' Data'!$AA$4:$AB$7,2,FALSE)=0,"Spatial Data Missing ⚠",VLOOKUP(V57,'G-7 WaterC'' Data'!$AA$4:$AB$7,2,FALSE)))))</f>
        <v/>
      </c>
      <c r="X57" s="44"/>
      <c r="Y57" s="291" t="str">
        <f>IF(X57="","",IF(AND(X57="N/A - Culvert", C57&lt;&gt;"Culvert"), "Not possible ▲",IF(AND(C57="Culvert",X57&lt;&gt;"N/A - Culvert"),"Not possible ▲",IF(VLOOKUP(X57,'G-7 WaterC'' Data'!$AD$4:$AE$14,2,FALSE)=0,"Enrcoachment Data Missing ⚠",VLOOKUP(X57,'G-7 WaterC'' Data'!$AD$4:$AE$14,2,FALSE)))))</f>
        <v/>
      </c>
      <c r="Z57" s="332" t="str">
        <f t="shared" si="4"/>
        <v/>
      </c>
      <c r="AA57" s="98"/>
      <c r="AB57" s="99"/>
      <c r="AC57" s="101"/>
      <c r="AH57" s="15" t="str">
        <f>IFERROR(INDEX('G-7 WaterC'' Data'!$AZ$3:$AZ$7,MATCH(C57,'G-7 WaterC'' Data'!$AY$3:$AY$7,0)),"")</f>
        <v/>
      </c>
    </row>
    <row r="58" spans="2:34" ht="14" x14ac:dyDescent="0.3">
      <c r="B58" s="92">
        <v>47</v>
      </c>
      <c r="C58" s="119"/>
      <c r="D58" s="120"/>
      <c r="E58" s="290" t="str">
        <f>IF(C58="","",VLOOKUP(C58,'G-7 WaterC'' Data'!$B$2:$G$8,2,FALSE))</f>
        <v/>
      </c>
      <c r="F58" s="291" t="str">
        <f>IFERROR(VLOOKUP(E58,'G-7 WaterC'' Data'!$C$4:$D$8,2,FALSE),"")</f>
        <v/>
      </c>
      <c r="G58" s="95"/>
      <c r="H58" s="291" t="str">
        <f>IFERROR(INDEX('G-7 WaterC'' Data'!$H$4:$L$8,MATCH(C58,'G-7 WaterC'' Data'!$B$4:$B$8,0),MATCH(G58,'G-7 WaterC'' Data'!$H$3:$L$3,0)),"")</f>
        <v/>
      </c>
      <c r="I58" s="38"/>
      <c r="J58" s="298" t="str">
        <f>IF(I58="","",IF(VLOOKUP(I58,'G-7 WaterC'' Data'!$AK$4:$AM$6,2,FALSE)=0,"Spatial Data Missing ⚠",VLOOKUP(I58,'G-7 WaterC'' Data'!$AK$4:$AM$6,2,FALSE)))</f>
        <v/>
      </c>
      <c r="K58" s="291" t="str">
        <f>IF(I58="","",IF(VLOOKUP(I58,'G-7 WaterC'' Data'!$AK$4:$AM$6,3,FALSE)=0,"Spatial Data Missing ⚠",VLOOKUP(I58,'G-7 WaterC'' Data'!$AK$4:$AM$6,3,FALSE)))</f>
        <v/>
      </c>
      <c r="L58" s="290" t="str">
        <f>IFERROR(INDEX('G-7 WaterC'' Data'!$O$3:$O$7,MATCH(G58,'G-7 WaterC'' Data'!$N$3:$N$7,0)),"")</f>
        <v/>
      </c>
      <c r="M58" s="47"/>
      <c r="N58" s="138"/>
      <c r="O58" s="298" t="str">
        <f t="shared" si="0"/>
        <v/>
      </c>
      <c r="P58" s="311" t="str">
        <f t="shared" si="1"/>
        <v/>
      </c>
      <c r="Q58" s="344" t="str">
        <f>IFERROR(IF(P58="Check Data ⚠","Check Data ⚠",VLOOKUP(P58,'G-4 Temporal multipliers'!$A$4:$C$37,3,FALSE)),"")</f>
        <v/>
      </c>
      <c r="R58" s="290" t="str">
        <f>IF(C58="","",VLOOKUP(C58,'G-7 WaterC'' Data'!$B$4:$G$8,4,FALSE))</f>
        <v/>
      </c>
      <c r="S58" s="298" t="str">
        <f t="shared" si="2"/>
        <v/>
      </c>
      <c r="T58" s="328" t="str">
        <f t="shared" si="3"/>
        <v/>
      </c>
      <c r="U58" s="291" t="str">
        <f>IF(C58="","",VLOOKUP(T58,'G-3 Multipliers'!$P$2:$Q$6,2,FALSE))</f>
        <v/>
      </c>
      <c r="V58" s="96"/>
      <c r="W58" s="291" t="str">
        <f>IF(V58="","",IF(AND(V58="N/A - Culvert",C58&lt;&gt;"Culvert"),"Not possible ▲",IF(AND(C58="Culvert",V58&lt;&gt;"N/A - Culvert"),"Not possible ▲",IF(VLOOKUP(V58,'G-7 WaterC'' Data'!$AA$4:$AB$7,2,FALSE)=0,"Spatial Data Missing ⚠",VLOOKUP(V58,'G-7 WaterC'' Data'!$AA$4:$AB$7,2,FALSE)))))</f>
        <v/>
      </c>
      <c r="X58" s="44"/>
      <c r="Y58" s="291" t="str">
        <f>IF(X58="","",IF(AND(X58="N/A - Culvert", C58&lt;&gt;"Culvert"), "Not possible ▲",IF(AND(C58="Culvert",X58&lt;&gt;"N/A - Culvert"),"Not possible ▲",IF(VLOOKUP(X58,'G-7 WaterC'' Data'!$AD$4:$AE$14,2,FALSE)=0,"Enrcoachment Data Missing ⚠",VLOOKUP(X58,'G-7 WaterC'' Data'!$AD$4:$AE$14,2,FALSE)))))</f>
        <v/>
      </c>
      <c r="Z58" s="332" t="str">
        <f t="shared" si="4"/>
        <v/>
      </c>
      <c r="AA58" s="98"/>
      <c r="AB58" s="99"/>
      <c r="AC58" s="101"/>
      <c r="AH58" s="15" t="str">
        <f>IFERROR(INDEX('G-7 WaterC'' Data'!$AZ$3:$AZ$7,MATCH(C58,'G-7 WaterC'' Data'!$AY$3:$AY$7,0)),"")</f>
        <v/>
      </c>
    </row>
    <row r="59" spans="2:34" ht="14" x14ac:dyDescent="0.3">
      <c r="B59" s="92">
        <v>48</v>
      </c>
      <c r="C59" s="119"/>
      <c r="D59" s="120"/>
      <c r="E59" s="290" t="str">
        <f>IF(C59="","",VLOOKUP(C59,'G-7 WaterC'' Data'!$B$2:$G$8,2,FALSE))</f>
        <v/>
      </c>
      <c r="F59" s="291" t="str">
        <f>IFERROR(VLOOKUP(E59,'G-7 WaterC'' Data'!$C$4:$D$8,2,FALSE),"")</f>
        <v/>
      </c>
      <c r="G59" s="95"/>
      <c r="H59" s="291" t="str">
        <f>IFERROR(INDEX('G-7 WaterC'' Data'!$H$4:$L$8,MATCH(C59,'G-7 WaterC'' Data'!$B$4:$B$8,0),MATCH(G59,'G-7 WaterC'' Data'!$H$3:$L$3,0)),"")</f>
        <v/>
      </c>
      <c r="I59" s="38"/>
      <c r="J59" s="298" t="str">
        <f>IF(I59="","",IF(VLOOKUP(I59,'G-7 WaterC'' Data'!$AK$4:$AM$6,2,FALSE)=0,"Spatial Data Missing ⚠",VLOOKUP(I59,'G-7 WaterC'' Data'!$AK$4:$AM$6,2,FALSE)))</f>
        <v/>
      </c>
      <c r="K59" s="291" t="str">
        <f>IF(I59="","",IF(VLOOKUP(I59,'G-7 WaterC'' Data'!$AK$4:$AM$6,3,FALSE)=0,"Spatial Data Missing ⚠",VLOOKUP(I59,'G-7 WaterC'' Data'!$AK$4:$AM$6,3,FALSE)))</f>
        <v/>
      </c>
      <c r="L59" s="290" t="str">
        <f>IFERROR(INDEX('G-7 WaterC'' Data'!$O$3:$O$7,MATCH(G59,'G-7 WaterC'' Data'!$N$3:$N$7,0)),"")</f>
        <v/>
      </c>
      <c r="M59" s="47"/>
      <c r="N59" s="138"/>
      <c r="O59" s="298" t="str">
        <f t="shared" si="0"/>
        <v/>
      </c>
      <c r="P59" s="311" t="str">
        <f t="shared" si="1"/>
        <v/>
      </c>
      <c r="Q59" s="344" t="str">
        <f>IFERROR(IF(P59="Check Data ⚠","Check Data ⚠",VLOOKUP(P59,'G-4 Temporal multipliers'!$A$4:$C$37,3,FALSE)),"")</f>
        <v/>
      </c>
      <c r="R59" s="290" t="str">
        <f>IF(C59="","",VLOOKUP(C59,'G-7 WaterC'' Data'!$B$4:$G$8,4,FALSE))</f>
        <v/>
      </c>
      <c r="S59" s="298" t="str">
        <f t="shared" si="2"/>
        <v/>
      </c>
      <c r="T59" s="328" t="str">
        <f t="shared" si="3"/>
        <v/>
      </c>
      <c r="U59" s="291" t="str">
        <f>IF(C59="","",VLOOKUP(T59,'G-3 Multipliers'!$P$2:$Q$6,2,FALSE))</f>
        <v/>
      </c>
      <c r="V59" s="96"/>
      <c r="W59" s="291" t="str">
        <f>IF(V59="","",IF(AND(V59="N/A - Culvert",C59&lt;&gt;"Culvert"),"Not possible ▲",IF(AND(C59="Culvert",V59&lt;&gt;"N/A - Culvert"),"Not possible ▲",IF(VLOOKUP(V59,'G-7 WaterC'' Data'!$AA$4:$AB$7,2,FALSE)=0,"Spatial Data Missing ⚠",VLOOKUP(V59,'G-7 WaterC'' Data'!$AA$4:$AB$7,2,FALSE)))))</f>
        <v/>
      </c>
      <c r="X59" s="44"/>
      <c r="Y59" s="291" t="str">
        <f>IF(X59="","",IF(AND(X59="N/A - Culvert", C59&lt;&gt;"Culvert"), "Not possible ▲",IF(AND(C59="Culvert",X59&lt;&gt;"N/A - Culvert"),"Not possible ▲",IF(VLOOKUP(X59,'G-7 WaterC'' Data'!$AD$4:$AE$14,2,FALSE)=0,"Enrcoachment Data Missing ⚠",VLOOKUP(X59,'G-7 WaterC'' Data'!$AD$4:$AE$14,2,FALSE)))))</f>
        <v/>
      </c>
      <c r="Z59" s="332" t="str">
        <f t="shared" si="4"/>
        <v/>
      </c>
      <c r="AA59" s="98"/>
      <c r="AB59" s="99"/>
      <c r="AC59" s="101"/>
      <c r="AH59" s="15" t="str">
        <f>IFERROR(INDEX('G-7 WaterC'' Data'!$AZ$3:$AZ$7,MATCH(C59,'G-7 WaterC'' Data'!$AY$3:$AY$7,0)),"")</f>
        <v/>
      </c>
    </row>
    <row r="60" spans="2:34" ht="14" x14ac:dyDescent="0.3">
      <c r="B60" s="92">
        <v>49</v>
      </c>
      <c r="C60" s="119"/>
      <c r="D60" s="120"/>
      <c r="E60" s="290" t="str">
        <f>IF(C60="","",VLOOKUP(C60,'G-7 WaterC'' Data'!$B$2:$G$8,2,FALSE))</f>
        <v/>
      </c>
      <c r="F60" s="291" t="str">
        <f>IFERROR(VLOOKUP(E60,'G-7 WaterC'' Data'!$C$4:$D$8,2,FALSE),"")</f>
        <v/>
      </c>
      <c r="G60" s="95"/>
      <c r="H60" s="291" t="str">
        <f>IFERROR(INDEX('G-7 WaterC'' Data'!$H$4:$L$8,MATCH(C60,'G-7 WaterC'' Data'!$B$4:$B$8,0),MATCH(G60,'G-7 WaterC'' Data'!$H$3:$L$3,0)),"")</f>
        <v/>
      </c>
      <c r="I60" s="38"/>
      <c r="J60" s="298" t="str">
        <f>IF(I60="","",IF(VLOOKUP(I60,'G-7 WaterC'' Data'!$AK$4:$AM$6,2,FALSE)=0,"Spatial Data Missing ⚠",VLOOKUP(I60,'G-7 WaterC'' Data'!$AK$4:$AM$6,2,FALSE)))</f>
        <v/>
      </c>
      <c r="K60" s="291" t="str">
        <f>IF(I60="","",IF(VLOOKUP(I60,'G-7 WaterC'' Data'!$AK$4:$AM$6,3,FALSE)=0,"Spatial Data Missing ⚠",VLOOKUP(I60,'G-7 WaterC'' Data'!$AK$4:$AM$6,3,FALSE)))</f>
        <v/>
      </c>
      <c r="L60" s="290" t="str">
        <f>IFERROR(INDEX('G-7 WaterC'' Data'!$O$3:$O$7,MATCH(G60,'G-7 WaterC'' Data'!$N$3:$N$7,0)),"")</f>
        <v/>
      </c>
      <c r="M60" s="47"/>
      <c r="N60" s="138"/>
      <c r="O60" s="298" t="str">
        <f t="shared" si="0"/>
        <v/>
      </c>
      <c r="P60" s="311" t="str">
        <f t="shared" si="1"/>
        <v/>
      </c>
      <c r="Q60" s="344" t="str">
        <f>IFERROR(IF(P60="Check Data ⚠","Check Data ⚠",VLOOKUP(P60,'G-4 Temporal multipliers'!$A$4:$C$37,3,FALSE)),"")</f>
        <v/>
      </c>
      <c r="R60" s="290" t="str">
        <f>IF(C60="","",VLOOKUP(C60,'G-7 WaterC'' Data'!$B$4:$G$8,4,FALSE))</f>
        <v/>
      </c>
      <c r="S60" s="298" t="str">
        <f t="shared" si="2"/>
        <v/>
      </c>
      <c r="T60" s="328" t="str">
        <f t="shared" si="3"/>
        <v/>
      </c>
      <c r="U60" s="291" t="str">
        <f>IF(C60="","",VLOOKUP(T60,'G-3 Multipliers'!$P$2:$Q$6,2,FALSE))</f>
        <v/>
      </c>
      <c r="V60" s="96"/>
      <c r="W60" s="291" t="str">
        <f>IF(V60="","",IF(AND(V60="N/A - Culvert",C60&lt;&gt;"Culvert"),"Not possible ▲",IF(AND(C60="Culvert",V60&lt;&gt;"N/A - Culvert"),"Not possible ▲",IF(VLOOKUP(V60,'G-7 WaterC'' Data'!$AA$4:$AB$7,2,FALSE)=0,"Spatial Data Missing ⚠",VLOOKUP(V60,'G-7 WaterC'' Data'!$AA$4:$AB$7,2,FALSE)))))</f>
        <v/>
      </c>
      <c r="X60" s="44"/>
      <c r="Y60" s="291" t="str">
        <f>IF(X60="","",IF(AND(X60="N/A - Culvert", C60&lt;&gt;"Culvert"), "Not possible ▲",IF(AND(C60="Culvert",X60&lt;&gt;"N/A - Culvert"),"Not possible ▲",IF(VLOOKUP(X60,'G-7 WaterC'' Data'!$AD$4:$AE$14,2,FALSE)=0,"Enrcoachment Data Missing ⚠",VLOOKUP(X60,'G-7 WaterC'' Data'!$AD$4:$AE$14,2,FALSE)))))</f>
        <v/>
      </c>
      <c r="Z60" s="332" t="str">
        <f t="shared" si="4"/>
        <v/>
      </c>
      <c r="AA60" s="98"/>
      <c r="AB60" s="99"/>
      <c r="AC60" s="101"/>
      <c r="AH60" s="15" t="str">
        <f>IFERROR(INDEX('G-7 WaterC'' Data'!$AZ$3:$AZ$7,MATCH(C60,'G-7 WaterC'' Data'!$AY$3:$AY$7,0)),"")</f>
        <v/>
      </c>
    </row>
    <row r="61" spans="2:34" ht="14" x14ac:dyDescent="0.3">
      <c r="B61" s="92">
        <v>50</v>
      </c>
      <c r="C61" s="119"/>
      <c r="D61" s="120"/>
      <c r="E61" s="290" t="str">
        <f>IF(C61="","",VLOOKUP(C61,'G-7 WaterC'' Data'!$B$2:$G$8,2,FALSE))</f>
        <v/>
      </c>
      <c r="F61" s="291" t="str">
        <f>IFERROR(VLOOKUP(E61,'G-7 WaterC'' Data'!$C$4:$D$8,2,FALSE),"")</f>
        <v/>
      </c>
      <c r="G61" s="95"/>
      <c r="H61" s="291" t="str">
        <f>IFERROR(INDEX('G-7 WaterC'' Data'!$H$4:$L$8,MATCH(C61,'G-7 WaterC'' Data'!$B$4:$B$8,0),MATCH(G61,'G-7 WaterC'' Data'!$H$3:$L$3,0)),"")</f>
        <v/>
      </c>
      <c r="I61" s="38"/>
      <c r="J61" s="298" t="str">
        <f>IF(I61="","",IF(VLOOKUP(I61,'G-7 WaterC'' Data'!$AK$4:$AM$6,2,FALSE)=0,"Spatial Data Missing ⚠",VLOOKUP(I61,'G-7 WaterC'' Data'!$AK$4:$AM$6,2,FALSE)))</f>
        <v/>
      </c>
      <c r="K61" s="291" t="str">
        <f>IF(I61="","",IF(VLOOKUP(I61,'G-7 WaterC'' Data'!$AK$4:$AM$6,3,FALSE)=0,"Spatial Data Missing ⚠",VLOOKUP(I61,'G-7 WaterC'' Data'!$AK$4:$AM$6,3,FALSE)))</f>
        <v/>
      </c>
      <c r="L61" s="290" t="str">
        <f>IFERROR(INDEX('G-7 WaterC'' Data'!$O$3:$O$7,MATCH(G61,'G-7 WaterC'' Data'!$N$3:$N$7,0)),"")</f>
        <v/>
      </c>
      <c r="M61" s="47"/>
      <c r="N61" s="138"/>
      <c r="O61" s="298" t="str">
        <f t="shared" si="0"/>
        <v/>
      </c>
      <c r="P61" s="311" t="str">
        <f t="shared" si="1"/>
        <v/>
      </c>
      <c r="Q61" s="344" t="str">
        <f>IFERROR(IF(P61="Check Data ⚠","Check Data ⚠",VLOOKUP(P61,'G-4 Temporal multipliers'!$A$4:$C$37,3,FALSE)),"")</f>
        <v/>
      </c>
      <c r="R61" s="290" t="str">
        <f>IF(C61="","",VLOOKUP(C61,'G-7 WaterC'' Data'!$B$4:$G$8,4,FALSE))</f>
        <v/>
      </c>
      <c r="S61" s="298" t="str">
        <f t="shared" si="2"/>
        <v/>
      </c>
      <c r="T61" s="328" t="str">
        <f t="shared" si="3"/>
        <v/>
      </c>
      <c r="U61" s="291" t="str">
        <f>IF(C61="","",VLOOKUP(T61,'G-3 Multipliers'!$P$2:$Q$6,2,FALSE))</f>
        <v/>
      </c>
      <c r="V61" s="96"/>
      <c r="W61" s="291" t="str">
        <f>IF(V61="","",IF(AND(V61="N/A - Culvert",C61&lt;&gt;"Culvert"),"Not possible ▲",IF(AND(C61="Culvert",V61&lt;&gt;"N/A - Culvert"),"Not possible ▲",IF(VLOOKUP(V61,'G-7 WaterC'' Data'!$AA$4:$AB$7,2,FALSE)=0,"Spatial Data Missing ⚠",VLOOKUP(V61,'G-7 WaterC'' Data'!$AA$4:$AB$7,2,FALSE)))))</f>
        <v/>
      </c>
      <c r="X61" s="44"/>
      <c r="Y61" s="291" t="str">
        <f>IF(X61="","",IF(AND(X61="N/A - Culvert", C61&lt;&gt;"Culvert"), "Not possible ▲",IF(AND(C61="Culvert",X61&lt;&gt;"N/A - Culvert"),"Not possible ▲",IF(VLOOKUP(X61,'G-7 WaterC'' Data'!$AD$4:$AE$14,2,FALSE)=0,"Enrcoachment Data Missing ⚠",VLOOKUP(X61,'G-7 WaterC'' Data'!$AD$4:$AE$14,2,FALSE)))))</f>
        <v/>
      </c>
      <c r="Z61" s="332" t="str">
        <f t="shared" si="4"/>
        <v/>
      </c>
      <c r="AA61" s="98"/>
      <c r="AB61" s="99"/>
      <c r="AC61" s="101"/>
      <c r="AH61" s="15" t="str">
        <f>IFERROR(INDEX('G-7 WaterC'' Data'!$AZ$3:$AZ$7,MATCH(C61,'G-7 WaterC'' Data'!$AY$3:$AY$7,0)),"")</f>
        <v/>
      </c>
    </row>
    <row r="62" spans="2:34" ht="14" x14ac:dyDescent="0.3">
      <c r="B62" s="92">
        <v>51</v>
      </c>
      <c r="C62" s="119"/>
      <c r="D62" s="120"/>
      <c r="E62" s="290" t="str">
        <f>IF(C62="","",VLOOKUP(C62,'G-7 WaterC'' Data'!$B$2:$G$8,2,FALSE))</f>
        <v/>
      </c>
      <c r="F62" s="291" t="str">
        <f>IFERROR(VLOOKUP(E62,'G-7 WaterC'' Data'!$C$4:$D$8,2,FALSE),"")</f>
        <v/>
      </c>
      <c r="G62" s="95"/>
      <c r="H62" s="291" t="str">
        <f>IFERROR(INDEX('G-7 WaterC'' Data'!$H$4:$L$8,MATCH(C62,'G-7 WaterC'' Data'!$B$4:$B$8,0),MATCH(G62,'G-7 WaterC'' Data'!$H$3:$L$3,0)),"")</f>
        <v/>
      </c>
      <c r="I62" s="38"/>
      <c r="J62" s="298" t="str">
        <f>IF(I62="","",IF(VLOOKUP(I62,'G-7 WaterC'' Data'!$AK$4:$AM$6,2,FALSE)=0,"Spatial Data Missing ⚠",VLOOKUP(I62,'G-7 WaterC'' Data'!$AK$4:$AM$6,2,FALSE)))</f>
        <v/>
      </c>
      <c r="K62" s="291" t="str">
        <f>IF(I62="","",IF(VLOOKUP(I62,'G-7 WaterC'' Data'!$AK$4:$AM$6,3,FALSE)=0,"Spatial Data Missing ⚠",VLOOKUP(I62,'G-7 WaterC'' Data'!$AK$4:$AM$6,3,FALSE)))</f>
        <v/>
      </c>
      <c r="L62" s="290" t="str">
        <f>IFERROR(INDEX('G-7 WaterC'' Data'!$O$3:$O$7,MATCH(G62,'G-7 WaterC'' Data'!$N$3:$N$7,0)),"")</f>
        <v/>
      </c>
      <c r="M62" s="47"/>
      <c r="N62" s="138"/>
      <c r="O62" s="298" t="str">
        <f t="shared" si="0"/>
        <v/>
      </c>
      <c r="P62" s="311" t="str">
        <f t="shared" si="1"/>
        <v/>
      </c>
      <c r="Q62" s="344" t="str">
        <f>IFERROR(IF(P62="Check Data ⚠","Check Data ⚠",VLOOKUP(P62,'G-4 Temporal multipliers'!$A$4:$C$37,3,FALSE)),"")</f>
        <v/>
      </c>
      <c r="R62" s="290" t="str">
        <f>IF(C62="","",VLOOKUP(C62,'G-7 WaterC'' Data'!$B$4:$G$8,4,FALSE))</f>
        <v/>
      </c>
      <c r="S62" s="298" t="str">
        <f t="shared" si="2"/>
        <v/>
      </c>
      <c r="T62" s="328" t="str">
        <f t="shared" si="3"/>
        <v/>
      </c>
      <c r="U62" s="291" t="str">
        <f>IF(C62="","",VLOOKUP(T62,'G-3 Multipliers'!$P$2:$Q$6,2,FALSE))</f>
        <v/>
      </c>
      <c r="V62" s="96"/>
      <c r="W62" s="291" t="str">
        <f>IF(V62="","",IF(AND(V62="N/A - Culvert",C62&lt;&gt;"Culvert"),"Not possible ▲",IF(AND(C62="Culvert",V62&lt;&gt;"N/A - Culvert"),"Not possible ▲",IF(VLOOKUP(V62,'G-7 WaterC'' Data'!$AA$4:$AB$7,2,FALSE)=0,"Spatial Data Missing ⚠",VLOOKUP(V62,'G-7 WaterC'' Data'!$AA$4:$AB$7,2,FALSE)))))</f>
        <v/>
      </c>
      <c r="X62" s="44"/>
      <c r="Y62" s="291" t="str">
        <f>IF(X62="","",IF(AND(X62="N/A - Culvert", C62&lt;&gt;"Culvert"), "Not possible ▲",IF(AND(C62="Culvert",X62&lt;&gt;"N/A - Culvert"),"Not possible ▲",IF(VLOOKUP(X62,'G-7 WaterC'' Data'!$AD$4:$AE$14,2,FALSE)=0,"Enrcoachment Data Missing ⚠",VLOOKUP(X62,'G-7 WaterC'' Data'!$AD$4:$AE$14,2,FALSE)))))</f>
        <v/>
      </c>
      <c r="Z62" s="332" t="str">
        <f t="shared" si="4"/>
        <v/>
      </c>
      <c r="AA62" s="98"/>
      <c r="AB62" s="99"/>
      <c r="AC62" s="101"/>
      <c r="AH62" s="15" t="str">
        <f>IFERROR(INDEX('G-7 WaterC'' Data'!$AZ$3:$AZ$7,MATCH(C62,'G-7 WaterC'' Data'!$AY$3:$AY$7,0)),"")</f>
        <v/>
      </c>
    </row>
    <row r="63" spans="2:34" ht="14" x14ac:dyDescent="0.3">
      <c r="B63" s="92">
        <v>52</v>
      </c>
      <c r="C63" s="119"/>
      <c r="D63" s="120"/>
      <c r="E63" s="290" t="str">
        <f>IF(C63="","",VLOOKUP(C63,'G-7 WaterC'' Data'!$B$2:$G$8,2,FALSE))</f>
        <v/>
      </c>
      <c r="F63" s="291" t="str">
        <f>IFERROR(VLOOKUP(E63,'G-7 WaterC'' Data'!$C$4:$D$8,2,FALSE),"")</f>
        <v/>
      </c>
      <c r="G63" s="95"/>
      <c r="H63" s="291" t="str">
        <f>IFERROR(INDEX('G-7 WaterC'' Data'!$H$4:$L$8,MATCH(C63,'G-7 WaterC'' Data'!$B$4:$B$8,0),MATCH(G63,'G-7 WaterC'' Data'!$H$3:$L$3,0)),"")</f>
        <v/>
      </c>
      <c r="I63" s="38"/>
      <c r="J63" s="298" t="str">
        <f>IF(I63="","",IF(VLOOKUP(I63,'G-7 WaterC'' Data'!$AK$4:$AM$6,2,FALSE)=0,"Spatial Data Missing ⚠",VLOOKUP(I63,'G-7 WaterC'' Data'!$AK$4:$AM$6,2,FALSE)))</f>
        <v/>
      </c>
      <c r="K63" s="291" t="str">
        <f>IF(I63="","",IF(VLOOKUP(I63,'G-7 WaterC'' Data'!$AK$4:$AM$6,3,FALSE)=0,"Spatial Data Missing ⚠",VLOOKUP(I63,'G-7 WaterC'' Data'!$AK$4:$AM$6,3,FALSE)))</f>
        <v/>
      </c>
      <c r="L63" s="290" t="str">
        <f>IFERROR(INDEX('G-7 WaterC'' Data'!$O$3:$O$7,MATCH(G63,'G-7 WaterC'' Data'!$N$3:$N$7,0)),"")</f>
        <v/>
      </c>
      <c r="M63" s="47"/>
      <c r="N63" s="138"/>
      <c r="O63" s="298" t="str">
        <f t="shared" si="0"/>
        <v/>
      </c>
      <c r="P63" s="311" t="str">
        <f t="shared" si="1"/>
        <v/>
      </c>
      <c r="Q63" s="344" t="str">
        <f>IFERROR(IF(P63="Check Data ⚠","Check Data ⚠",VLOOKUP(P63,'G-4 Temporal multipliers'!$A$4:$C$37,3,FALSE)),"")</f>
        <v/>
      </c>
      <c r="R63" s="290" t="str">
        <f>IF(C63="","",VLOOKUP(C63,'G-7 WaterC'' Data'!$B$4:$G$8,4,FALSE))</f>
        <v/>
      </c>
      <c r="S63" s="298" t="str">
        <f t="shared" si="2"/>
        <v/>
      </c>
      <c r="T63" s="328" t="str">
        <f t="shared" si="3"/>
        <v/>
      </c>
      <c r="U63" s="291" t="str">
        <f>IF(C63="","",VLOOKUP(T63,'G-3 Multipliers'!$P$2:$Q$6,2,FALSE))</f>
        <v/>
      </c>
      <c r="V63" s="96"/>
      <c r="W63" s="291" t="str">
        <f>IF(V63="","",IF(AND(V63="N/A - Culvert",C63&lt;&gt;"Culvert"),"Not possible ▲",IF(AND(C63="Culvert",V63&lt;&gt;"N/A - Culvert"),"Not possible ▲",IF(VLOOKUP(V63,'G-7 WaterC'' Data'!$AA$4:$AB$7,2,FALSE)=0,"Spatial Data Missing ⚠",VLOOKUP(V63,'G-7 WaterC'' Data'!$AA$4:$AB$7,2,FALSE)))))</f>
        <v/>
      </c>
      <c r="X63" s="44"/>
      <c r="Y63" s="291" t="str">
        <f>IF(X63="","",IF(AND(X63="N/A - Culvert", C63&lt;&gt;"Culvert"), "Not possible ▲",IF(AND(C63="Culvert",X63&lt;&gt;"N/A - Culvert"),"Not possible ▲",IF(VLOOKUP(X63,'G-7 WaterC'' Data'!$AD$4:$AE$14,2,FALSE)=0,"Enrcoachment Data Missing ⚠",VLOOKUP(X63,'G-7 WaterC'' Data'!$AD$4:$AE$14,2,FALSE)))))</f>
        <v/>
      </c>
      <c r="Z63" s="332" t="str">
        <f t="shared" si="4"/>
        <v/>
      </c>
      <c r="AA63" s="98"/>
      <c r="AB63" s="99"/>
      <c r="AC63" s="101"/>
      <c r="AH63" s="15" t="str">
        <f>IFERROR(INDEX('G-7 WaterC'' Data'!$AZ$3:$AZ$7,MATCH(C63,'G-7 WaterC'' Data'!$AY$3:$AY$7,0)),"")</f>
        <v/>
      </c>
    </row>
    <row r="64" spans="2:34" ht="14" x14ac:dyDescent="0.3">
      <c r="B64" s="92">
        <v>53</v>
      </c>
      <c r="C64" s="119"/>
      <c r="D64" s="120"/>
      <c r="E64" s="290" t="str">
        <f>IF(C64="","",VLOOKUP(C64,'G-7 WaterC'' Data'!$B$2:$G$8,2,FALSE))</f>
        <v/>
      </c>
      <c r="F64" s="291" t="str">
        <f>IFERROR(VLOOKUP(E64,'G-7 WaterC'' Data'!$C$4:$D$8,2,FALSE),"")</f>
        <v/>
      </c>
      <c r="G64" s="95"/>
      <c r="H64" s="291" t="str">
        <f>IFERROR(INDEX('G-7 WaterC'' Data'!$H$4:$L$8,MATCH(C64,'G-7 WaterC'' Data'!$B$4:$B$8,0),MATCH(G64,'G-7 WaterC'' Data'!$H$3:$L$3,0)),"")</f>
        <v/>
      </c>
      <c r="I64" s="38"/>
      <c r="J64" s="298" t="str">
        <f>IF(I64="","",IF(VLOOKUP(I64,'G-7 WaterC'' Data'!$AK$4:$AM$6,2,FALSE)=0,"Spatial Data Missing ⚠",VLOOKUP(I64,'G-7 WaterC'' Data'!$AK$4:$AM$6,2,FALSE)))</f>
        <v/>
      </c>
      <c r="K64" s="291" t="str">
        <f>IF(I64="","",IF(VLOOKUP(I64,'G-7 WaterC'' Data'!$AK$4:$AM$6,3,FALSE)=0,"Spatial Data Missing ⚠",VLOOKUP(I64,'G-7 WaterC'' Data'!$AK$4:$AM$6,3,FALSE)))</f>
        <v/>
      </c>
      <c r="L64" s="290" t="str">
        <f>IFERROR(INDEX('G-7 WaterC'' Data'!$O$3:$O$7,MATCH(G64,'G-7 WaterC'' Data'!$N$3:$N$7,0)),"")</f>
        <v/>
      </c>
      <c r="M64" s="47"/>
      <c r="N64" s="138"/>
      <c r="O64" s="298" t="str">
        <f t="shared" si="0"/>
        <v/>
      </c>
      <c r="P64" s="311" t="str">
        <f t="shared" si="1"/>
        <v/>
      </c>
      <c r="Q64" s="344" t="str">
        <f>IFERROR(IF(P64="Check Data ⚠","Check Data ⚠",VLOOKUP(P64,'G-4 Temporal multipliers'!$A$4:$C$37,3,FALSE)),"")</f>
        <v/>
      </c>
      <c r="R64" s="290" t="str">
        <f>IF(C64="","",VLOOKUP(C64,'G-7 WaterC'' Data'!$B$4:$G$8,4,FALSE))</f>
        <v/>
      </c>
      <c r="S64" s="298" t="str">
        <f t="shared" si="2"/>
        <v/>
      </c>
      <c r="T64" s="328" t="str">
        <f t="shared" si="3"/>
        <v/>
      </c>
      <c r="U64" s="291" t="str">
        <f>IF(C64="","",VLOOKUP(T64,'G-3 Multipliers'!$P$2:$Q$6,2,FALSE))</f>
        <v/>
      </c>
      <c r="V64" s="96"/>
      <c r="W64" s="291" t="str">
        <f>IF(V64="","",IF(AND(V64="N/A - Culvert",C64&lt;&gt;"Culvert"),"Not possible ▲",IF(AND(C64="Culvert",V64&lt;&gt;"N/A - Culvert"),"Not possible ▲",IF(VLOOKUP(V64,'G-7 WaterC'' Data'!$AA$4:$AB$7,2,FALSE)=0,"Spatial Data Missing ⚠",VLOOKUP(V64,'G-7 WaterC'' Data'!$AA$4:$AB$7,2,FALSE)))))</f>
        <v/>
      </c>
      <c r="X64" s="44"/>
      <c r="Y64" s="291" t="str">
        <f>IF(X64="","",IF(AND(X64="N/A - Culvert", C64&lt;&gt;"Culvert"), "Not possible ▲",IF(AND(C64="Culvert",X64&lt;&gt;"N/A - Culvert"),"Not possible ▲",IF(VLOOKUP(X64,'G-7 WaterC'' Data'!$AD$4:$AE$14,2,FALSE)=0,"Enrcoachment Data Missing ⚠",VLOOKUP(X64,'G-7 WaterC'' Data'!$AD$4:$AE$14,2,FALSE)))))</f>
        <v/>
      </c>
      <c r="Z64" s="332" t="str">
        <f t="shared" si="4"/>
        <v/>
      </c>
      <c r="AA64" s="98"/>
      <c r="AB64" s="99"/>
      <c r="AC64" s="101"/>
      <c r="AH64" s="15" t="str">
        <f>IFERROR(INDEX('G-7 WaterC'' Data'!$AZ$3:$AZ$7,MATCH(C64,'G-7 WaterC'' Data'!$AY$3:$AY$7,0)),"")</f>
        <v/>
      </c>
    </row>
    <row r="65" spans="2:34" ht="14" x14ac:dyDescent="0.3">
      <c r="B65" s="92">
        <v>54</v>
      </c>
      <c r="C65" s="119"/>
      <c r="D65" s="120"/>
      <c r="E65" s="290" t="str">
        <f>IF(C65="","",VLOOKUP(C65,'G-7 WaterC'' Data'!$B$2:$G$8,2,FALSE))</f>
        <v/>
      </c>
      <c r="F65" s="291" t="str">
        <f>IFERROR(VLOOKUP(E65,'G-7 WaterC'' Data'!$C$4:$D$8,2,FALSE),"")</f>
        <v/>
      </c>
      <c r="G65" s="95"/>
      <c r="H65" s="291" t="str">
        <f>IFERROR(INDEX('G-7 WaterC'' Data'!$H$4:$L$8,MATCH(C65,'G-7 WaterC'' Data'!$B$4:$B$8,0),MATCH(G65,'G-7 WaterC'' Data'!$H$3:$L$3,0)),"")</f>
        <v/>
      </c>
      <c r="I65" s="38"/>
      <c r="J65" s="298" t="str">
        <f>IF(I65="","",IF(VLOOKUP(I65,'G-7 WaterC'' Data'!$AK$4:$AM$6,2,FALSE)=0,"Spatial Data Missing ⚠",VLOOKUP(I65,'G-7 WaterC'' Data'!$AK$4:$AM$6,2,FALSE)))</f>
        <v/>
      </c>
      <c r="K65" s="291" t="str">
        <f>IF(I65="","",IF(VLOOKUP(I65,'G-7 WaterC'' Data'!$AK$4:$AM$6,3,FALSE)=0,"Spatial Data Missing ⚠",VLOOKUP(I65,'G-7 WaterC'' Data'!$AK$4:$AM$6,3,FALSE)))</f>
        <v/>
      </c>
      <c r="L65" s="290" t="str">
        <f>IFERROR(INDEX('G-7 WaterC'' Data'!$O$3:$O$7,MATCH(G65,'G-7 WaterC'' Data'!$N$3:$N$7,0)),"")</f>
        <v/>
      </c>
      <c r="M65" s="47"/>
      <c r="N65" s="138"/>
      <c r="O65" s="298" t="str">
        <f t="shared" si="0"/>
        <v/>
      </c>
      <c r="P65" s="311" t="str">
        <f t="shared" si="1"/>
        <v/>
      </c>
      <c r="Q65" s="344" t="str">
        <f>IFERROR(IF(P65="Check Data ⚠","Check Data ⚠",VLOOKUP(P65,'G-4 Temporal multipliers'!$A$4:$C$37,3,FALSE)),"")</f>
        <v/>
      </c>
      <c r="R65" s="290" t="str">
        <f>IF(C65="","",VLOOKUP(C65,'G-7 WaterC'' Data'!$B$4:$G$8,4,FALSE))</f>
        <v/>
      </c>
      <c r="S65" s="298" t="str">
        <f t="shared" si="2"/>
        <v/>
      </c>
      <c r="T65" s="328" t="str">
        <f t="shared" si="3"/>
        <v/>
      </c>
      <c r="U65" s="291" t="str">
        <f>IF(C65="","",VLOOKUP(T65,'G-3 Multipliers'!$P$2:$Q$6,2,FALSE))</f>
        <v/>
      </c>
      <c r="V65" s="96"/>
      <c r="W65" s="291" t="str">
        <f>IF(V65="","",IF(AND(V65="N/A - Culvert",C65&lt;&gt;"Culvert"),"Not possible ▲",IF(AND(C65="Culvert",V65&lt;&gt;"N/A - Culvert"),"Not possible ▲",IF(VLOOKUP(V65,'G-7 WaterC'' Data'!$AA$4:$AB$7,2,FALSE)=0,"Spatial Data Missing ⚠",VLOOKUP(V65,'G-7 WaterC'' Data'!$AA$4:$AB$7,2,FALSE)))))</f>
        <v/>
      </c>
      <c r="X65" s="44"/>
      <c r="Y65" s="291" t="str">
        <f>IF(X65="","",IF(AND(X65="N/A - Culvert", C65&lt;&gt;"Culvert"), "Not possible ▲",IF(AND(C65="Culvert",X65&lt;&gt;"N/A - Culvert"),"Not possible ▲",IF(VLOOKUP(X65,'G-7 WaterC'' Data'!$AD$4:$AE$14,2,FALSE)=0,"Enrcoachment Data Missing ⚠",VLOOKUP(X65,'G-7 WaterC'' Data'!$AD$4:$AE$14,2,FALSE)))))</f>
        <v/>
      </c>
      <c r="Z65" s="332" t="str">
        <f t="shared" si="4"/>
        <v/>
      </c>
      <c r="AA65" s="98"/>
      <c r="AB65" s="99"/>
      <c r="AC65" s="101"/>
      <c r="AH65" s="15" t="str">
        <f>IFERROR(INDEX('G-7 WaterC'' Data'!$AZ$3:$AZ$7,MATCH(C65,'G-7 WaterC'' Data'!$AY$3:$AY$7,0)),"")</f>
        <v/>
      </c>
    </row>
    <row r="66" spans="2:34" ht="14" x14ac:dyDescent="0.3">
      <c r="B66" s="92">
        <v>55</v>
      </c>
      <c r="C66" s="119"/>
      <c r="D66" s="120"/>
      <c r="E66" s="290" t="str">
        <f>IF(C66="","",VLOOKUP(C66,'G-7 WaterC'' Data'!$B$2:$G$8,2,FALSE))</f>
        <v/>
      </c>
      <c r="F66" s="291" t="str">
        <f>IFERROR(VLOOKUP(E66,'G-7 WaterC'' Data'!$C$4:$D$8,2,FALSE),"")</f>
        <v/>
      </c>
      <c r="G66" s="95"/>
      <c r="H66" s="291" t="str">
        <f>IFERROR(INDEX('G-7 WaterC'' Data'!$H$4:$L$8,MATCH(C66,'G-7 WaterC'' Data'!$B$4:$B$8,0),MATCH(G66,'G-7 WaterC'' Data'!$H$3:$L$3,0)),"")</f>
        <v/>
      </c>
      <c r="I66" s="38"/>
      <c r="J66" s="298" t="str">
        <f>IF(I66="","",IF(VLOOKUP(I66,'G-7 WaterC'' Data'!$AK$4:$AM$6,2,FALSE)=0,"Spatial Data Missing ⚠",VLOOKUP(I66,'G-7 WaterC'' Data'!$AK$4:$AM$6,2,FALSE)))</f>
        <v/>
      </c>
      <c r="K66" s="291" t="str">
        <f>IF(I66="","",IF(VLOOKUP(I66,'G-7 WaterC'' Data'!$AK$4:$AM$6,3,FALSE)=0,"Spatial Data Missing ⚠",VLOOKUP(I66,'G-7 WaterC'' Data'!$AK$4:$AM$6,3,FALSE)))</f>
        <v/>
      </c>
      <c r="L66" s="290" t="str">
        <f>IFERROR(INDEX('G-7 WaterC'' Data'!$O$3:$O$7,MATCH(G66,'G-7 WaterC'' Data'!$N$3:$N$7,0)),"")</f>
        <v/>
      </c>
      <c r="M66" s="47"/>
      <c r="N66" s="138"/>
      <c r="O66" s="298" t="str">
        <f t="shared" si="0"/>
        <v/>
      </c>
      <c r="P66" s="311" t="str">
        <f t="shared" si="1"/>
        <v/>
      </c>
      <c r="Q66" s="344" t="str">
        <f>IFERROR(IF(P66="Check Data ⚠","Check Data ⚠",VLOOKUP(P66,'G-4 Temporal multipliers'!$A$4:$C$37,3,FALSE)),"")</f>
        <v/>
      </c>
      <c r="R66" s="290" t="str">
        <f>IF(C66="","",VLOOKUP(C66,'G-7 WaterC'' Data'!$B$4:$G$8,4,FALSE))</f>
        <v/>
      </c>
      <c r="S66" s="298" t="str">
        <f t="shared" si="2"/>
        <v/>
      </c>
      <c r="T66" s="328" t="str">
        <f t="shared" si="3"/>
        <v/>
      </c>
      <c r="U66" s="291" t="str">
        <f>IF(C66="","",VLOOKUP(T66,'G-3 Multipliers'!$P$2:$Q$6,2,FALSE))</f>
        <v/>
      </c>
      <c r="V66" s="96"/>
      <c r="W66" s="291" t="str">
        <f>IF(V66="","",IF(AND(V66="N/A - Culvert",C66&lt;&gt;"Culvert"),"Not possible ▲",IF(AND(C66="Culvert",V66&lt;&gt;"N/A - Culvert"),"Not possible ▲",IF(VLOOKUP(V66,'G-7 WaterC'' Data'!$AA$4:$AB$7,2,FALSE)=0,"Spatial Data Missing ⚠",VLOOKUP(V66,'G-7 WaterC'' Data'!$AA$4:$AB$7,2,FALSE)))))</f>
        <v/>
      </c>
      <c r="X66" s="44"/>
      <c r="Y66" s="291" t="str">
        <f>IF(X66="","",IF(AND(X66="N/A - Culvert", C66&lt;&gt;"Culvert"), "Not possible ▲",IF(AND(C66="Culvert",X66&lt;&gt;"N/A - Culvert"),"Not possible ▲",IF(VLOOKUP(X66,'G-7 WaterC'' Data'!$AD$4:$AE$14,2,FALSE)=0,"Enrcoachment Data Missing ⚠",VLOOKUP(X66,'G-7 WaterC'' Data'!$AD$4:$AE$14,2,FALSE)))))</f>
        <v/>
      </c>
      <c r="Z66" s="332" t="str">
        <f t="shared" si="4"/>
        <v/>
      </c>
      <c r="AA66" s="98"/>
      <c r="AB66" s="99"/>
      <c r="AC66" s="101"/>
      <c r="AH66" s="15" t="str">
        <f>IFERROR(INDEX('G-7 WaterC'' Data'!$AZ$3:$AZ$7,MATCH(C66,'G-7 WaterC'' Data'!$AY$3:$AY$7,0)),"")</f>
        <v/>
      </c>
    </row>
    <row r="67" spans="2:34" ht="14" x14ac:dyDescent="0.3">
      <c r="B67" s="92">
        <v>56</v>
      </c>
      <c r="C67" s="119"/>
      <c r="D67" s="120"/>
      <c r="E67" s="290" t="str">
        <f>IF(C67="","",VLOOKUP(C67,'G-7 WaterC'' Data'!$B$2:$G$8,2,FALSE))</f>
        <v/>
      </c>
      <c r="F67" s="291" t="str">
        <f>IFERROR(VLOOKUP(E67,'G-7 WaterC'' Data'!$C$4:$D$8,2,FALSE),"")</f>
        <v/>
      </c>
      <c r="G67" s="95"/>
      <c r="H67" s="291" t="str">
        <f>IFERROR(INDEX('G-7 WaterC'' Data'!$H$4:$L$8,MATCH(C67,'G-7 WaterC'' Data'!$B$4:$B$8,0),MATCH(G67,'G-7 WaterC'' Data'!$H$3:$L$3,0)),"")</f>
        <v/>
      </c>
      <c r="I67" s="38"/>
      <c r="J67" s="298" t="str">
        <f>IF(I67="","",IF(VLOOKUP(I67,'G-7 WaterC'' Data'!$AK$4:$AM$6,2,FALSE)=0,"Spatial Data Missing ⚠",VLOOKUP(I67,'G-7 WaterC'' Data'!$AK$4:$AM$6,2,FALSE)))</f>
        <v/>
      </c>
      <c r="K67" s="291" t="str">
        <f>IF(I67="","",IF(VLOOKUP(I67,'G-7 WaterC'' Data'!$AK$4:$AM$6,3,FALSE)=0,"Spatial Data Missing ⚠",VLOOKUP(I67,'G-7 WaterC'' Data'!$AK$4:$AM$6,3,FALSE)))</f>
        <v/>
      </c>
      <c r="L67" s="290" t="str">
        <f>IFERROR(INDEX('G-7 WaterC'' Data'!$O$3:$O$7,MATCH(G67,'G-7 WaterC'' Data'!$N$3:$N$7,0)),"")</f>
        <v/>
      </c>
      <c r="M67" s="47"/>
      <c r="N67" s="138"/>
      <c r="O67" s="298" t="str">
        <f t="shared" si="0"/>
        <v/>
      </c>
      <c r="P67" s="311" t="str">
        <f t="shared" si="1"/>
        <v/>
      </c>
      <c r="Q67" s="344" t="str">
        <f>IFERROR(IF(P67="Check Data ⚠","Check Data ⚠",VLOOKUP(P67,'G-4 Temporal multipliers'!$A$4:$C$37,3,FALSE)),"")</f>
        <v/>
      </c>
      <c r="R67" s="290" t="str">
        <f>IF(C67="","",VLOOKUP(C67,'G-7 WaterC'' Data'!$B$4:$G$8,4,FALSE))</f>
        <v/>
      </c>
      <c r="S67" s="298" t="str">
        <f t="shared" si="2"/>
        <v/>
      </c>
      <c r="T67" s="328" t="str">
        <f t="shared" si="3"/>
        <v/>
      </c>
      <c r="U67" s="291" t="str">
        <f>IF(C67="","",VLOOKUP(T67,'G-3 Multipliers'!$P$2:$Q$6,2,FALSE))</f>
        <v/>
      </c>
      <c r="V67" s="96"/>
      <c r="W67" s="291" t="str">
        <f>IF(V67="","",IF(AND(V67="N/A - Culvert",C67&lt;&gt;"Culvert"),"Not possible ▲",IF(AND(C67="Culvert",V67&lt;&gt;"N/A - Culvert"),"Not possible ▲",IF(VLOOKUP(V67,'G-7 WaterC'' Data'!$AA$4:$AB$7,2,FALSE)=0,"Spatial Data Missing ⚠",VLOOKUP(V67,'G-7 WaterC'' Data'!$AA$4:$AB$7,2,FALSE)))))</f>
        <v/>
      </c>
      <c r="X67" s="44"/>
      <c r="Y67" s="291" t="str">
        <f>IF(X67="","",IF(AND(X67="N/A - Culvert", C67&lt;&gt;"Culvert"), "Not possible ▲",IF(AND(C67="Culvert",X67&lt;&gt;"N/A - Culvert"),"Not possible ▲",IF(VLOOKUP(X67,'G-7 WaterC'' Data'!$AD$4:$AE$14,2,FALSE)=0,"Enrcoachment Data Missing ⚠",VLOOKUP(X67,'G-7 WaterC'' Data'!$AD$4:$AE$14,2,FALSE)))))</f>
        <v/>
      </c>
      <c r="Z67" s="332" t="str">
        <f t="shared" si="4"/>
        <v/>
      </c>
      <c r="AA67" s="98"/>
      <c r="AB67" s="99"/>
      <c r="AC67" s="101"/>
      <c r="AH67" s="15" t="str">
        <f>IFERROR(INDEX('G-7 WaterC'' Data'!$AZ$3:$AZ$7,MATCH(C67,'G-7 WaterC'' Data'!$AY$3:$AY$7,0)),"")</f>
        <v/>
      </c>
    </row>
    <row r="68" spans="2:34" ht="14" x14ac:dyDescent="0.3">
      <c r="B68" s="92">
        <v>57</v>
      </c>
      <c r="C68" s="119"/>
      <c r="D68" s="120"/>
      <c r="E68" s="290" t="str">
        <f>IF(C68="","",VLOOKUP(C68,'G-7 WaterC'' Data'!$B$2:$G$8,2,FALSE))</f>
        <v/>
      </c>
      <c r="F68" s="291" t="str">
        <f>IFERROR(VLOOKUP(E68,'G-7 WaterC'' Data'!$C$4:$D$8,2,FALSE),"")</f>
        <v/>
      </c>
      <c r="G68" s="95"/>
      <c r="H68" s="291" t="str">
        <f>IFERROR(INDEX('G-7 WaterC'' Data'!$H$4:$L$8,MATCH(C68,'G-7 WaterC'' Data'!$B$4:$B$8,0),MATCH(G68,'G-7 WaterC'' Data'!$H$3:$L$3,0)),"")</f>
        <v/>
      </c>
      <c r="I68" s="38"/>
      <c r="J68" s="298" t="str">
        <f>IF(I68="","",IF(VLOOKUP(I68,'G-7 WaterC'' Data'!$AK$4:$AM$6,2,FALSE)=0,"Spatial Data Missing ⚠",VLOOKUP(I68,'G-7 WaterC'' Data'!$AK$4:$AM$6,2,FALSE)))</f>
        <v/>
      </c>
      <c r="K68" s="291" t="str">
        <f>IF(I68="","",IF(VLOOKUP(I68,'G-7 WaterC'' Data'!$AK$4:$AM$6,3,FALSE)=0,"Spatial Data Missing ⚠",VLOOKUP(I68,'G-7 WaterC'' Data'!$AK$4:$AM$6,3,FALSE)))</f>
        <v/>
      </c>
      <c r="L68" s="290" t="str">
        <f>IFERROR(INDEX('G-7 WaterC'' Data'!$O$3:$O$7,MATCH(G68,'G-7 WaterC'' Data'!$N$3:$N$7,0)),"")</f>
        <v/>
      </c>
      <c r="M68" s="47"/>
      <c r="N68" s="138"/>
      <c r="O68" s="298" t="str">
        <f t="shared" si="0"/>
        <v/>
      </c>
      <c r="P68" s="311" t="str">
        <f t="shared" si="1"/>
        <v/>
      </c>
      <c r="Q68" s="344" t="str">
        <f>IFERROR(IF(P68="Check Data ⚠","Check Data ⚠",VLOOKUP(P68,'G-4 Temporal multipliers'!$A$4:$C$37,3,FALSE)),"")</f>
        <v/>
      </c>
      <c r="R68" s="290" t="str">
        <f>IF(C68="","",VLOOKUP(C68,'G-7 WaterC'' Data'!$B$4:$G$8,4,FALSE))</f>
        <v/>
      </c>
      <c r="S68" s="298" t="str">
        <f t="shared" si="2"/>
        <v/>
      </c>
      <c r="T68" s="328" t="str">
        <f t="shared" si="3"/>
        <v/>
      </c>
      <c r="U68" s="291" t="str">
        <f>IF(C68="","",VLOOKUP(T68,'G-3 Multipliers'!$P$2:$Q$6,2,FALSE))</f>
        <v/>
      </c>
      <c r="V68" s="96"/>
      <c r="W68" s="291" t="str">
        <f>IF(V68="","",IF(AND(V68="N/A - Culvert",C68&lt;&gt;"Culvert"),"Not possible ▲",IF(AND(C68="Culvert",V68&lt;&gt;"N/A - Culvert"),"Not possible ▲",IF(VLOOKUP(V68,'G-7 WaterC'' Data'!$AA$4:$AB$7,2,FALSE)=0,"Spatial Data Missing ⚠",VLOOKUP(V68,'G-7 WaterC'' Data'!$AA$4:$AB$7,2,FALSE)))))</f>
        <v/>
      </c>
      <c r="X68" s="44"/>
      <c r="Y68" s="291" t="str">
        <f>IF(X68="","",IF(AND(X68="N/A - Culvert", C68&lt;&gt;"Culvert"), "Not possible ▲",IF(AND(C68="Culvert",X68&lt;&gt;"N/A - Culvert"),"Not possible ▲",IF(VLOOKUP(X68,'G-7 WaterC'' Data'!$AD$4:$AE$14,2,FALSE)=0,"Enrcoachment Data Missing ⚠",VLOOKUP(X68,'G-7 WaterC'' Data'!$AD$4:$AE$14,2,FALSE)))))</f>
        <v/>
      </c>
      <c r="Z68" s="332" t="str">
        <f t="shared" si="4"/>
        <v/>
      </c>
      <c r="AA68" s="98"/>
      <c r="AB68" s="99"/>
      <c r="AC68" s="101"/>
      <c r="AH68" s="15" t="str">
        <f>IFERROR(INDEX('G-7 WaterC'' Data'!$AZ$3:$AZ$7,MATCH(C68,'G-7 WaterC'' Data'!$AY$3:$AY$7,0)),"")</f>
        <v/>
      </c>
    </row>
    <row r="69" spans="2:34" ht="14" x14ac:dyDescent="0.3">
      <c r="B69" s="92">
        <v>58</v>
      </c>
      <c r="C69" s="119"/>
      <c r="D69" s="120"/>
      <c r="E69" s="290" t="str">
        <f>IF(C69="","",VLOOKUP(C69,'G-7 WaterC'' Data'!$B$2:$G$8,2,FALSE))</f>
        <v/>
      </c>
      <c r="F69" s="291" t="str">
        <f>IFERROR(VLOOKUP(E69,'G-7 WaterC'' Data'!$C$4:$D$8,2,FALSE),"")</f>
        <v/>
      </c>
      <c r="G69" s="95"/>
      <c r="H69" s="291" t="str">
        <f>IFERROR(INDEX('G-7 WaterC'' Data'!$H$4:$L$8,MATCH(C69,'G-7 WaterC'' Data'!$B$4:$B$8,0),MATCH(G69,'G-7 WaterC'' Data'!$H$3:$L$3,0)),"")</f>
        <v/>
      </c>
      <c r="I69" s="38"/>
      <c r="J69" s="298" t="str">
        <f>IF(I69="","",IF(VLOOKUP(I69,'G-7 WaterC'' Data'!$AK$4:$AM$6,2,FALSE)=0,"Spatial Data Missing ⚠",VLOOKUP(I69,'G-7 WaterC'' Data'!$AK$4:$AM$6,2,FALSE)))</f>
        <v/>
      </c>
      <c r="K69" s="291" t="str">
        <f>IF(I69="","",IF(VLOOKUP(I69,'G-7 WaterC'' Data'!$AK$4:$AM$6,3,FALSE)=0,"Spatial Data Missing ⚠",VLOOKUP(I69,'G-7 WaterC'' Data'!$AK$4:$AM$6,3,FALSE)))</f>
        <v/>
      </c>
      <c r="L69" s="290" t="str">
        <f>IFERROR(INDEX('G-7 WaterC'' Data'!$O$3:$O$7,MATCH(G69,'G-7 WaterC'' Data'!$N$3:$N$7,0)),"")</f>
        <v/>
      </c>
      <c r="M69" s="47"/>
      <c r="N69" s="138"/>
      <c r="O69" s="298" t="str">
        <f t="shared" si="0"/>
        <v/>
      </c>
      <c r="P69" s="311" t="str">
        <f t="shared" si="1"/>
        <v/>
      </c>
      <c r="Q69" s="344" t="str">
        <f>IFERROR(IF(P69="Check Data ⚠","Check Data ⚠",VLOOKUP(P69,'G-4 Temporal multipliers'!$A$4:$C$37,3,FALSE)),"")</f>
        <v/>
      </c>
      <c r="R69" s="290" t="str">
        <f>IF(C69="","",VLOOKUP(C69,'G-7 WaterC'' Data'!$B$4:$G$8,4,FALSE))</f>
        <v/>
      </c>
      <c r="S69" s="298" t="str">
        <f t="shared" si="2"/>
        <v/>
      </c>
      <c r="T69" s="328" t="str">
        <f t="shared" si="3"/>
        <v/>
      </c>
      <c r="U69" s="291" t="str">
        <f>IF(C69="","",VLOOKUP(T69,'G-3 Multipliers'!$P$2:$Q$6,2,FALSE))</f>
        <v/>
      </c>
      <c r="V69" s="96"/>
      <c r="W69" s="291" t="str">
        <f>IF(V69="","",IF(AND(V69="N/A - Culvert",C69&lt;&gt;"Culvert"),"Not possible ▲",IF(AND(C69="Culvert",V69&lt;&gt;"N/A - Culvert"),"Not possible ▲",IF(VLOOKUP(V69,'G-7 WaterC'' Data'!$AA$4:$AB$7,2,FALSE)=0,"Spatial Data Missing ⚠",VLOOKUP(V69,'G-7 WaterC'' Data'!$AA$4:$AB$7,2,FALSE)))))</f>
        <v/>
      </c>
      <c r="X69" s="44"/>
      <c r="Y69" s="291" t="str">
        <f>IF(X69="","",IF(AND(X69="N/A - Culvert", C69&lt;&gt;"Culvert"), "Not possible ▲",IF(AND(C69="Culvert",X69&lt;&gt;"N/A - Culvert"),"Not possible ▲",IF(VLOOKUP(X69,'G-7 WaterC'' Data'!$AD$4:$AE$14,2,FALSE)=0,"Enrcoachment Data Missing ⚠",VLOOKUP(X69,'G-7 WaterC'' Data'!$AD$4:$AE$14,2,FALSE)))))</f>
        <v/>
      </c>
      <c r="Z69" s="332" t="str">
        <f t="shared" si="4"/>
        <v/>
      </c>
      <c r="AA69" s="98"/>
      <c r="AB69" s="99"/>
      <c r="AC69" s="101"/>
      <c r="AH69" s="15" t="str">
        <f>IFERROR(INDEX('G-7 WaterC'' Data'!$AZ$3:$AZ$7,MATCH(C69,'G-7 WaterC'' Data'!$AY$3:$AY$7,0)),"")</f>
        <v/>
      </c>
    </row>
    <row r="70" spans="2:34" ht="14" x14ac:dyDescent="0.3">
      <c r="B70" s="92">
        <v>59</v>
      </c>
      <c r="C70" s="119"/>
      <c r="D70" s="120"/>
      <c r="E70" s="290" t="str">
        <f>IF(C70="","",VLOOKUP(C70,'G-7 WaterC'' Data'!$B$2:$G$8,2,FALSE))</f>
        <v/>
      </c>
      <c r="F70" s="291" t="str">
        <f>IFERROR(VLOOKUP(E70,'G-7 WaterC'' Data'!$C$4:$D$8,2,FALSE),"")</f>
        <v/>
      </c>
      <c r="G70" s="95"/>
      <c r="H70" s="291" t="str">
        <f>IFERROR(INDEX('G-7 WaterC'' Data'!$H$4:$L$8,MATCH(C70,'G-7 WaterC'' Data'!$B$4:$B$8,0),MATCH(G70,'G-7 WaterC'' Data'!$H$3:$L$3,0)),"")</f>
        <v/>
      </c>
      <c r="I70" s="38"/>
      <c r="J70" s="298" t="str">
        <f>IF(I70="","",IF(VLOOKUP(I70,'G-7 WaterC'' Data'!$AK$4:$AM$6,2,FALSE)=0,"Spatial Data Missing ⚠",VLOOKUP(I70,'G-7 WaterC'' Data'!$AK$4:$AM$6,2,FALSE)))</f>
        <v/>
      </c>
      <c r="K70" s="291" t="str">
        <f>IF(I70="","",IF(VLOOKUP(I70,'G-7 WaterC'' Data'!$AK$4:$AM$6,3,FALSE)=0,"Spatial Data Missing ⚠",VLOOKUP(I70,'G-7 WaterC'' Data'!$AK$4:$AM$6,3,FALSE)))</f>
        <v/>
      </c>
      <c r="L70" s="290" t="str">
        <f>IFERROR(INDEX('G-7 WaterC'' Data'!$O$3:$O$7,MATCH(G70,'G-7 WaterC'' Data'!$N$3:$N$7,0)),"")</f>
        <v/>
      </c>
      <c r="M70" s="47"/>
      <c r="N70" s="138"/>
      <c r="O70" s="298" t="str">
        <f t="shared" si="0"/>
        <v/>
      </c>
      <c r="P70" s="311" t="str">
        <f t="shared" si="1"/>
        <v/>
      </c>
      <c r="Q70" s="344" t="str">
        <f>IFERROR(IF(P70="Check Data ⚠","Check Data ⚠",VLOOKUP(P70,'G-4 Temporal multipliers'!$A$4:$C$37,3,FALSE)),"")</f>
        <v/>
      </c>
      <c r="R70" s="290" t="str">
        <f>IF(C70="","",VLOOKUP(C70,'G-7 WaterC'' Data'!$B$4:$G$8,4,FALSE))</f>
        <v/>
      </c>
      <c r="S70" s="298" t="str">
        <f t="shared" si="2"/>
        <v/>
      </c>
      <c r="T70" s="328" t="str">
        <f t="shared" si="3"/>
        <v/>
      </c>
      <c r="U70" s="291" t="str">
        <f>IF(C70="","",VLOOKUP(T70,'G-3 Multipliers'!$P$2:$Q$6,2,FALSE))</f>
        <v/>
      </c>
      <c r="V70" s="96"/>
      <c r="W70" s="291" t="str">
        <f>IF(V70="","",IF(AND(V70="N/A - Culvert",C70&lt;&gt;"Culvert"),"Not possible ▲",IF(AND(C70="Culvert",V70&lt;&gt;"N/A - Culvert"),"Not possible ▲",IF(VLOOKUP(V70,'G-7 WaterC'' Data'!$AA$4:$AB$7,2,FALSE)=0,"Spatial Data Missing ⚠",VLOOKUP(V70,'G-7 WaterC'' Data'!$AA$4:$AB$7,2,FALSE)))))</f>
        <v/>
      </c>
      <c r="X70" s="44"/>
      <c r="Y70" s="291" t="str">
        <f>IF(X70="","",IF(AND(X70="N/A - Culvert", C70&lt;&gt;"Culvert"), "Not possible ▲",IF(AND(C70="Culvert",X70&lt;&gt;"N/A - Culvert"),"Not possible ▲",IF(VLOOKUP(X70,'G-7 WaterC'' Data'!$AD$4:$AE$14,2,FALSE)=0,"Enrcoachment Data Missing ⚠",VLOOKUP(X70,'G-7 WaterC'' Data'!$AD$4:$AE$14,2,FALSE)))))</f>
        <v/>
      </c>
      <c r="Z70" s="332" t="str">
        <f t="shared" si="4"/>
        <v/>
      </c>
      <c r="AA70" s="98"/>
      <c r="AB70" s="99"/>
      <c r="AC70" s="101"/>
      <c r="AH70" s="15" t="str">
        <f>IFERROR(INDEX('G-7 WaterC'' Data'!$AZ$3:$AZ$7,MATCH(C70,'G-7 WaterC'' Data'!$AY$3:$AY$7,0)),"")</f>
        <v/>
      </c>
    </row>
    <row r="71" spans="2:34" ht="14" x14ac:dyDescent="0.3">
      <c r="B71" s="92">
        <v>60</v>
      </c>
      <c r="C71" s="119"/>
      <c r="D71" s="120"/>
      <c r="E71" s="290" t="str">
        <f>IF(C71="","",VLOOKUP(C71,'G-7 WaterC'' Data'!$B$2:$G$8,2,FALSE))</f>
        <v/>
      </c>
      <c r="F71" s="291" t="str">
        <f>IFERROR(VLOOKUP(E71,'G-7 WaterC'' Data'!$C$4:$D$8,2,FALSE),"")</f>
        <v/>
      </c>
      <c r="G71" s="95"/>
      <c r="H71" s="291" t="str">
        <f>IFERROR(INDEX('G-7 WaterC'' Data'!$H$4:$L$8,MATCH(C71,'G-7 WaterC'' Data'!$B$4:$B$8,0),MATCH(G71,'G-7 WaterC'' Data'!$H$3:$L$3,0)),"")</f>
        <v/>
      </c>
      <c r="I71" s="38"/>
      <c r="J71" s="298" t="str">
        <f>IF(I71="","",IF(VLOOKUP(I71,'G-7 WaterC'' Data'!$AK$4:$AM$6,2,FALSE)=0,"Spatial Data Missing ⚠",VLOOKUP(I71,'G-7 WaterC'' Data'!$AK$4:$AM$6,2,FALSE)))</f>
        <v/>
      </c>
      <c r="K71" s="291" t="str">
        <f>IF(I71="","",IF(VLOOKUP(I71,'G-7 WaterC'' Data'!$AK$4:$AM$6,3,FALSE)=0,"Spatial Data Missing ⚠",VLOOKUP(I71,'G-7 WaterC'' Data'!$AK$4:$AM$6,3,FALSE)))</f>
        <v/>
      </c>
      <c r="L71" s="290" t="str">
        <f>IFERROR(INDEX('G-7 WaterC'' Data'!$O$3:$O$7,MATCH(G71,'G-7 WaterC'' Data'!$N$3:$N$7,0)),"")</f>
        <v/>
      </c>
      <c r="M71" s="47"/>
      <c r="N71" s="138"/>
      <c r="O71" s="298" t="str">
        <f t="shared" si="0"/>
        <v/>
      </c>
      <c r="P71" s="311" t="str">
        <f t="shared" si="1"/>
        <v/>
      </c>
      <c r="Q71" s="344" t="str">
        <f>IFERROR(IF(P71="Check Data ⚠","Check Data ⚠",VLOOKUP(P71,'G-4 Temporal multipliers'!$A$4:$C$37,3,FALSE)),"")</f>
        <v/>
      </c>
      <c r="R71" s="290" t="str">
        <f>IF(C71="","",VLOOKUP(C71,'G-7 WaterC'' Data'!$B$4:$G$8,4,FALSE))</f>
        <v/>
      </c>
      <c r="S71" s="298" t="str">
        <f t="shared" si="2"/>
        <v/>
      </c>
      <c r="T71" s="328" t="str">
        <f t="shared" si="3"/>
        <v/>
      </c>
      <c r="U71" s="291" t="str">
        <f>IF(C71="","",VLOOKUP(T71,'G-3 Multipliers'!$P$2:$Q$6,2,FALSE))</f>
        <v/>
      </c>
      <c r="V71" s="96"/>
      <c r="W71" s="291" t="str">
        <f>IF(V71="","",IF(AND(V71="N/A - Culvert",C71&lt;&gt;"Culvert"),"Not possible ▲",IF(AND(C71="Culvert",V71&lt;&gt;"N/A - Culvert"),"Not possible ▲",IF(VLOOKUP(V71,'G-7 WaterC'' Data'!$AA$4:$AB$7,2,FALSE)=0,"Spatial Data Missing ⚠",VLOOKUP(V71,'G-7 WaterC'' Data'!$AA$4:$AB$7,2,FALSE)))))</f>
        <v/>
      </c>
      <c r="X71" s="44"/>
      <c r="Y71" s="291" t="str">
        <f>IF(X71="","",IF(AND(X71="N/A - Culvert", C71&lt;&gt;"Culvert"), "Not possible ▲",IF(AND(C71="Culvert",X71&lt;&gt;"N/A - Culvert"),"Not possible ▲",IF(VLOOKUP(X71,'G-7 WaterC'' Data'!$AD$4:$AE$14,2,FALSE)=0,"Enrcoachment Data Missing ⚠",VLOOKUP(X71,'G-7 WaterC'' Data'!$AD$4:$AE$14,2,FALSE)))))</f>
        <v/>
      </c>
      <c r="Z71" s="332" t="str">
        <f t="shared" si="4"/>
        <v/>
      </c>
      <c r="AA71" s="98"/>
      <c r="AB71" s="99"/>
      <c r="AC71" s="101"/>
      <c r="AH71" s="15" t="str">
        <f>IFERROR(INDEX('G-7 WaterC'' Data'!$AZ$3:$AZ$7,MATCH(C71,'G-7 WaterC'' Data'!$AY$3:$AY$7,0)),"")</f>
        <v/>
      </c>
    </row>
    <row r="72" spans="2:34" ht="14" x14ac:dyDescent="0.3">
      <c r="B72" s="92">
        <v>61</v>
      </c>
      <c r="C72" s="119"/>
      <c r="D72" s="120"/>
      <c r="E72" s="290" t="str">
        <f>IF(C72="","",VLOOKUP(C72,'G-7 WaterC'' Data'!$B$2:$G$8,2,FALSE))</f>
        <v/>
      </c>
      <c r="F72" s="291" t="str">
        <f>IFERROR(VLOOKUP(E72,'G-7 WaterC'' Data'!$C$4:$D$8,2,FALSE),"")</f>
        <v/>
      </c>
      <c r="G72" s="95"/>
      <c r="H72" s="291" t="str">
        <f>IFERROR(INDEX('G-7 WaterC'' Data'!$H$4:$L$8,MATCH(C72,'G-7 WaterC'' Data'!$B$4:$B$8,0),MATCH(G72,'G-7 WaterC'' Data'!$H$3:$L$3,0)),"")</f>
        <v/>
      </c>
      <c r="I72" s="38"/>
      <c r="J72" s="298" t="str">
        <f>IF(I72="","",IF(VLOOKUP(I72,'G-7 WaterC'' Data'!$AK$4:$AM$6,2,FALSE)=0,"Spatial Data Missing ⚠",VLOOKUP(I72,'G-7 WaterC'' Data'!$AK$4:$AM$6,2,FALSE)))</f>
        <v/>
      </c>
      <c r="K72" s="291" t="str">
        <f>IF(I72="","",IF(VLOOKUP(I72,'G-7 WaterC'' Data'!$AK$4:$AM$6,3,FALSE)=0,"Spatial Data Missing ⚠",VLOOKUP(I72,'G-7 WaterC'' Data'!$AK$4:$AM$6,3,FALSE)))</f>
        <v/>
      </c>
      <c r="L72" s="290" t="str">
        <f>IFERROR(INDEX('G-7 WaterC'' Data'!$O$3:$O$7,MATCH(G72,'G-7 WaterC'' Data'!$N$3:$N$7,0)),"")</f>
        <v/>
      </c>
      <c r="M72" s="47"/>
      <c r="N72" s="138"/>
      <c r="O72" s="298" t="str">
        <f t="shared" si="0"/>
        <v/>
      </c>
      <c r="P72" s="311" t="str">
        <f t="shared" si="1"/>
        <v/>
      </c>
      <c r="Q72" s="344" t="str">
        <f>IFERROR(IF(P72="Check Data ⚠","Check Data ⚠",VLOOKUP(P72,'G-4 Temporal multipliers'!$A$4:$C$37,3,FALSE)),"")</f>
        <v/>
      </c>
      <c r="R72" s="290" t="str">
        <f>IF(C72="","",VLOOKUP(C72,'G-7 WaterC'' Data'!$B$4:$G$8,4,FALSE))</f>
        <v/>
      </c>
      <c r="S72" s="298" t="str">
        <f t="shared" si="2"/>
        <v/>
      </c>
      <c r="T72" s="328" t="str">
        <f t="shared" si="3"/>
        <v/>
      </c>
      <c r="U72" s="291" t="str">
        <f>IF(C72="","",VLOOKUP(T72,'G-3 Multipliers'!$P$2:$Q$6,2,FALSE))</f>
        <v/>
      </c>
      <c r="V72" s="96"/>
      <c r="W72" s="291" t="str">
        <f>IF(V72="","",IF(AND(V72="N/A - Culvert",C72&lt;&gt;"Culvert"),"Not possible ▲",IF(AND(C72="Culvert",V72&lt;&gt;"N/A - Culvert"),"Not possible ▲",IF(VLOOKUP(V72,'G-7 WaterC'' Data'!$AA$4:$AB$7,2,FALSE)=0,"Spatial Data Missing ⚠",VLOOKUP(V72,'G-7 WaterC'' Data'!$AA$4:$AB$7,2,FALSE)))))</f>
        <v/>
      </c>
      <c r="X72" s="44"/>
      <c r="Y72" s="291" t="str">
        <f>IF(X72="","",IF(AND(X72="N/A - Culvert", C72&lt;&gt;"Culvert"), "Not possible ▲",IF(AND(C72="Culvert",X72&lt;&gt;"N/A - Culvert"),"Not possible ▲",IF(VLOOKUP(X72,'G-7 WaterC'' Data'!$AD$4:$AE$14,2,FALSE)=0,"Enrcoachment Data Missing ⚠",VLOOKUP(X72,'G-7 WaterC'' Data'!$AD$4:$AE$14,2,FALSE)))))</f>
        <v/>
      </c>
      <c r="Z72" s="332" t="str">
        <f t="shared" si="4"/>
        <v/>
      </c>
      <c r="AA72" s="98"/>
      <c r="AB72" s="99"/>
      <c r="AC72" s="101"/>
      <c r="AH72" s="15" t="str">
        <f>IFERROR(INDEX('G-7 WaterC'' Data'!$AZ$3:$AZ$7,MATCH(C72,'G-7 WaterC'' Data'!$AY$3:$AY$7,0)),"")</f>
        <v/>
      </c>
    </row>
    <row r="73" spans="2:34" ht="14" x14ac:dyDescent="0.3">
      <c r="B73" s="92">
        <v>62</v>
      </c>
      <c r="C73" s="119"/>
      <c r="D73" s="120"/>
      <c r="E73" s="290" t="str">
        <f>IF(C73="","",VLOOKUP(C73,'G-7 WaterC'' Data'!$B$2:$G$8,2,FALSE))</f>
        <v/>
      </c>
      <c r="F73" s="291" t="str">
        <f>IFERROR(VLOOKUP(E73,'G-7 WaterC'' Data'!$C$4:$D$8,2,FALSE),"")</f>
        <v/>
      </c>
      <c r="G73" s="95"/>
      <c r="H73" s="291" t="str">
        <f>IFERROR(INDEX('G-7 WaterC'' Data'!$H$4:$L$8,MATCH(C73,'G-7 WaterC'' Data'!$B$4:$B$8,0),MATCH(G73,'G-7 WaterC'' Data'!$H$3:$L$3,0)),"")</f>
        <v/>
      </c>
      <c r="I73" s="38"/>
      <c r="J73" s="298" t="str">
        <f>IF(I73="","",IF(VLOOKUP(I73,'G-7 WaterC'' Data'!$AK$4:$AM$6,2,FALSE)=0,"Spatial Data Missing ⚠",VLOOKUP(I73,'G-7 WaterC'' Data'!$AK$4:$AM$6,2,FALSE)))</f>
        <v/>
      </c>
      <c r="K73" s="291" t="str">
        <f>IF(I73="","",IF(VLOOKUP(I73,'G-7 WaterC'' Data'!$AK$4:$AM$6,3,FALSE)=0,"Spatial Data Missing ⚠",VLOOKUP(I73,'G-7 WaterC'' Data'!$AK$4:$AM$6,3,FALSE)))</f>
        <v/>
      </c>
      <c r="L73" s="290" t="str">
        <f>IFERROR(INDEX('G-7 WaterC'' Data'!$O$3:$O$7,MATCH(G73,'G-7 WaterC'' Data'!$N$3:$N$7,0)),"")</f>
        <v/>
      </c>
      <c r="M73" s="47"/>
      <c r="N73" s="138"/>
      <c r="O73" s="298" t="str">
        <f t="shared" si="0"/>
        <v/>
      </c>
      <c r="P73" s="311" t="str">
        <f t="shared" si="1"/>
        <v/>
      </c>
      <c r="Q73" s="344" t="str">
        <f>IFERROR(IF(P73="Check Data ⚠","Check Data ⚠",VLOOKUP(P73,'G-4 Temporal multipliers'!$A$4:$C$37,3,FALSE)),"")</f>
        <v/>
      </c>
      <c r="R73" s="290" t="str">
        <f>IF(C73="","",VLOOKUP(C73,'G-7 WaterC'' Data'!$B$4:$G$8,4,FALSE))</f>
        <v/>
      </c>
      <c r="S73" s="298" t="str">
        <f t="shared" si="2"/>
        <v/>
      </c>
      <c r="T73" s="328" t="str">
        <f t="shared" si="3"/>
        <v/>
      </c>
      <c r="U73" s="291" t="str">
        <f>IF(C73="","",VLOOKUP(T73,'G-3 Multipliers'!$P$2:$Q$6,2,FALSE))</f>
        <v/>
      </c>
      <c r="V73" s="96"/>
      <c r="W73" s="291" t="str">
        <f>IF(V73="","",IF(AND(V73="N/A - Culvert",C73&lt;&gt;"Culvert"),"Not possible ▲",IF(AND(C73="Culvert",V73&lt;&gt;"N/A - Culvert"),"Not possible ▲",IF(VLOOKUP(V73,'G-7 WaterC'' Data'!$AA$4:$AB$7,2,FALSE)=0,"Spatial Data Missing ⚠",VLOOKUP(V73,'G-7 WaterC'' Data'!$AA$4:$AB$7,2,FALSE)))))</f>
        <v/>
      </c>
      <c r="X73" s="44"/>
      <c r="Y73" s="291" t="str">
        <f>IF(X73="","",IF(AND(X73="N/A - Culvert", C73&lt;&gt;"Culvert"), "Not possible ▲",IF(AND(C73="Culvert",X73&lt;&gt;"N/A - Culvert"),"Not possible ▲",IF(VLOOKUP(X73,'G-7 WaterC'' Data'!$AD$4:$AE$14,2,FALSE)=0,"Enrcoachment Data Missing ⚠",VLOOKUP(X73,'G-7 WaterC'' Data'!$AD$4:$AE$14,2,FALSE)))))</f>
        <v/>
      </c>
      <c r="Z73" s="332" t="str">
        <f t="shared" si="4"/>
        <v/>
      </c>
      <c r="AA73" s="98"/>
      <c r="AB73" s="99"/>
      <c r="AC73" s="101"/>
      <c r="AH73" s="15" t="str">
        <f>IFERROR(INDEX('G-7 WaterC'' Data'!$AZ$3:$AZ$7,MATCH(C73,'G-7 WaterC'' Data'!$AY$3:$AY$7,0)),"")</f>
        <v/>
      </c>
    </row>
    <row r="74" spans="2:34" ht="14" x14ac:dyDescent="0.3">
      <c r="B74" s="92">
        <v>63</v>
      </c>
      <c r="C74" s="119"/>
      <c r="D74" s="120"/>
      <c r="E74" s="290" t="str">
        <f>IF(C74="","",VLOOKUP(C74,'G-7 WaterC'' Data'!$B$2:$G$8,2,FALSE))</f>
        <v/>
      </c>
      <c r="F74" s="291" t="str">
        <f>IFERROR(VLOOKUP(E74,'G-7 WaterC'' Data'!$C$4:$D$8,2,FALSE),"")</f>
        <v/>
      </c>
      <c r="G74" s="95"/>
      <c r="H74" s="291" t="str">
        <f>IFERROR(INDEX('G-7 WaterC'' Data'!$H$4:$L$8,MATCH(C74,'G-7 WaterC'' Data'!$B$4:$B$8,0),MATCH(G74,'G-7 WaterC'' Data'!$H$3:$L$3,0)),"")</f>
        <v/>
      </c>
      <c r="I74" s="38"/>
      <c r="J74" s="298" t="str">
        <f>IF(I74="","",IF(VLOOKUP(I74,'G-7 WaterC'' Data'!$AK$4:$AM$6,2,FALSE)=0,"Spatial Data Missing ⚠",VLOOKUP(I74,'G-7 WaterC'' Data'!$AK$4:$AM$6,2,FALSE)))</f>
        <v/>
      </c>
      <c r="K74" s="291" t="str">
        <f>IF(I74="","",IF(VLOOKUP(I74,'G-7 WaterC'' Data'!$AK$4:$AM$6,3,FALSE)=0,"Spatial Data Missing ⚠",VLOOKUP(I74,'G-7 WaterC'' Data'!$AK$4:$AM$6,3,FALSE)))</f>
        <v/>
      </c>
      <c r="L74" s="290" t="str">
        <f>IFERROR(INDEX('G-7 WaterC'' Data'!$O$3:$O$7,MATCH(G74,'G-7 WaterC'' Data'!$N$3:$N$7,0)),"")</f>
        <v/>
      </c>
      <c r="M74" s="47"/>
      <c r="N74" s="138"/>
      <c r="O74" s="298" t="str">
        <f t="shared" si="0"/>
        <v/>
      </c>
      <c r="P74" s="311" t="str">
        <f t="shared" si="1"/>
        <v/>
      </c>
      <c r="Q74" s="344" t="str">
        <f>IFERROR(IF(P74="Check Data ⚠","Check Data ⚠",VLOOKUP(P74,'G-4 Temporal multipliers'!$A$4:$C$37,3,FALSE)),"")</f>
        <v/>
      </c>
      <c r="R74" s="290" t="str">
        <f>IF(C74="","",VLOOKUP(C74,'G-7 WaterC'' Data'!$B$4:$G$8,4,FALSE))</f>
        <v/>
      </c>
      <c r="S74" s="298" t="str">
        <f t="shared" si="2"/>
        <v/>
      </c>
      <c r="T74" s="328" t="str">
        <f t="shared" si="3"/>
        <v/>
      </c>
      <c r="U74" s="291" t="str">
        <f>IF(C74="","",VLOOKUP(T74,'G-3 Multipliers'!$P$2:$Q$6,2,FALSE))</f>
        <v/>
      </c>
      <c r="V74" s="96"/>
      <c r="W74" s="291" t="str">
        <f>IF(V74="","",IF(AND(V74="N/A - Culvert",C74&lt;&gt;"Culvert"),"Not possible ▲",IF(AND(C74="Culvert",V74&lt;&gt;"N/A - Culvert"),"Not possible ▲",IF(VLOOKUP(V74,'G-7 WaterC'' Data'!$AA$4:$AB$7,2,FALSE)=0,"Spatial Data Missing ⚠",VLOOKUP(V74,'G-7 WaterC'' Data'!$AA$4:$AB$7,2,FALSE)))))</f>
        <v/>
      </c>
      <c r="X74" s="44"/>
      <c r="Y74" s="291" t="str">
        <f>IF(X74="","",IF(AND(X74="N/A - Culvert", C74&lt;&gt;"Culvert"), "Not possible ▲",IF(AND(C74="Culvert",X74&lt;&gt;"N/A - Culvert"),"Not possible ▲",IF(VLOOKUP(X74,'G-7 WaterC'' Data'!$AD$4:$AE$14,2,FALSE)=0,"Enrcoachment Data Missing ⚠",VLOOKUP(X74,'G-7 WaterC'' Data'!$AD$4:$AE$14,2,FALSE)))))</f>
        <v/>
      </c>
      <c r="Z74" s="332" t="str">
        <f t="shared" si="4"/>
        <v/>
      </c>
      <c r="AA74" s="98"/>
      <c r="AB74" s="99"/>
      <c r="AC74" s="101"/>
      <c r="AH74" s="15" t="str">
        <f>IFERROR(INDEX('G-7 WaterC'' Data'!$AZ$3:$AZ$7,MATCH(C74,'G-7 WaterC'' Data'!$AY$3:$AY$7,0)),"")</f>
        <v/>
      </c>
    </row>
    <row r="75" spans="2:34" ht="14" x14ac:dyDescent="0.3">
      <c r="B75" s="92">
        <v>64</v>
      </c>
      <c r="C75" s="119"/>
      <c r="D75" s="120"/>
      <c r="E75" s="290" t="str">
        <f>IF(C75="","",VLOOKUP(C75,'G-7 WaterC'' Data'!$B$2:$G$8,2,FALSE))</f>
        <v/>
      </c>
      <c r="F75" s="291" t="str">
        <f>IFERROR(VLOOKUP(E75,'G-7 WaterC'' Data'!$C$4:$D$8,2,FALSE),"")</f>
        <v/>
      </c>
      <c r="G75" s="95"/>
      <c r="H75" s="291" t="str">
        <f>IFERROR(INDEX('G-7 WaterC'' Data'!$H$4:$L$8,MATCH(C75,'G-7 WaterC'' Data'!$B$4:$B$8,0),MATCH(G75,'G-7 WaterC'' Data'!$H$3:$L$3,0)),"")</f>
        <v/>
      </c>
      <c r="I75" s="38"/>
      <c r="J75" s="298" t="str">
        <f>IF(I75="","",IF(VLOOKUP(I75,'G-7 WaterC'' Data'!$AK$4:$AM$6,2,FALSE)=0,"Spatial Data Missing ⚠",VLOOKUP(I75,'G-7 WaterC'' Data'!$AK$4:$AM$6,2,FALSE)))</f>
        <v/>
      </c>
      <c r="K75" s="291" t="str">
        <f>IF(I75="","",IF(VLOOKUP(I75,'G-7 WaterC'' Data'!$AK$4:$AM$6,3,FALSE)=0,"Spatial Data Missing ⚠",VLOOKUP(I75,'G-7 WaterC'' Data'!$AK$4:$AM$6,3,FALSE)))</f>
        <v/>
      </c>
      <c r="L75" s="290" t="str">
        <f>IFERROR(INDEX('G-7 WaterC'' Data'!$O$3:$O$7,MATCH(G75,'G-7 WaterC'' Data'!$N$3:$N$7,0)),"")</f>
        <v/>
      </c>
      <c r="M75" s="47"/>
      <c r="N75" s="138"/>
      <c r="O75" s="298" t="str">
        <f t="shared" si="0"/>
        <v/>
      </c>
      <c r="P75" s="311" t="str">
        <f t="shared" si="1"/>
        <v/>
      </c>
      <c r="Q75" s="344" t="str">
        <f>IFERROR(IF(P75="Check Data ⚠","Check Data ⚠",VLOOKUP(P75,'G-4 Temporal multipliers'!$A$4:$C$37,3,FALSE)),"")</f>
        <v/>
      </c>
      <c r="R75" s="290" t="str">
        <f>IF(C75="","",VLOOKUP(C75,'G-7 WaterC'' Data'!$B$4:$G$8,4,FALSE))</f>
        <v/>
      </c>
      <c r="S75" s="298" t="str">
        <f t="shared" si="2"/>
        <v/>
      </c>
      <c r="T75" s="328" t="str">
        <f t="shared" si="3"/>
        <v/>
      </c>
      <c r="U75" s="291" t="str">
        <f>IF(C75="","",VLOOKUP(T75,'G-3 Multipliers'!$P$2:$Q$6,2,FALSE))</f>
        <v/>
      </c>
      <c r="V75" s="96"/>
      <c r="W75" s="291" t="str">
        <f>IF(V75="","",IF(AND(V75="N/A - Culvert",C75&lt;&gt;"Culvert"),"Not possible ▲",IF(AND(C75="Culvert",V75&lt;&gt;"N/A - Culvert"),"Not possible ▲",IF(VLOOKUP(V75,'G-7 WaterC'' Data'!$AA$4:$AB$7,2,FALSE)=0,"Spatial Data Missing ⚠",VLOOKUP(V75,'G-7 WaterC'' Data'!$AA$4:$AB$7,2,FALSE)))))</f>
        <v/>
      </c>
      <c r="X75" s="44"/>
      <c r="Y75" s="291" t="str">
        <f>IF(X75="","",IF(AND(X75="N/A - Culvert", C75&lt;&gt;"Culvert"), "Not possible ▲",IF(AND(C75="Culvert",X75&lt;&gt;"N/A - Culvert"),"Not possible ▲",IF(VLOOKUP(X75,'G-7 WaterC'' Data'!$AD$4:$AE$14,2,FALSE)=0,"Enrcoachment Data Missing ⚠",VLOOKUP(X75,'G-7 WaterC'' Data'!$AD$4:$AE$14,2,FALSE)))))</f>
        <v/>
      </c>
      <c r="Z75" s="332" t="str">
        <f t="shared" si="4"/>
        <v/>
      </c>
      <c r="AA75" s="98"/>
      <c r="AB75" s="99"/>
      <c r="AC75" s="101"/>
      <c r="AH75" s="15" t="str">
        <f>IFERROR(INDEX('G-7 WaterC'' Data'!$AZ$3:$AZ$7,MATCH(C75,'G-7 WaterC'' Data'!$AY$3:$AY$7,0)),"")</f>
        <v/>
      </c>
    </row>
    <row r="76" spans="2:34" ht="14" x14ac:dyDescent="0.3">
      <c r="B76" s="92">
        <v>65</v>
      </c>
      <c r="C76" s="119"/>
      <c r="D76" s="120"/>
      <c r="E76" s="290" t="str">
        <f>IF(C76="","",VLOOKUP(C76,'G-7 WaterC'' Data'!$B$2:$G$8,2,FALSE))</f>
        <v/>
      </c>
      <c r="F76" s="291" t="str">
        <f>IFERROR(VLOOKUP(E76,'G-7 WaterC'' Data'!$C$4:$D$8,2,FALSE),"")</f>
        <v/>
      </c>
      <c r="G76" s="95"/>
      <c r="H76" s="291" t="str">
        <f>IFERROR(INDEX('G-7 WaterC'' Data'!$H$4:$L$8,MATCH(C76,'G-7 WaterC'' Data'!$B$4:$B$8,0),MATCH(G76,'G-7 WaterC'' Data'!$H$3:$L$3,0)),"")</f>
        <v/>
      </c>
      <c r="I76" s="38"/>
      <c r="J76" s="298" t="str">
        <f>IF(I76="","",IF(VLOOKUP(I76,'G-7 WaterC'' Data'!$AK$4:$AM$6,2,FALSE)=0,"Spatial Data Missing ⚠",VLOOKUP(I76,'G-7 WaterC'' Data'!$AK$4:$AM$6,2,FALSE)))</f>
        <v/>
      </c>
      <c r="K76" s="291" t="str">
        <f>IF(I76="","",IF(VLOOKUP(I76,'G-7 WaterC'' Data'!$AK$4:$AM$6,3,FALSE)=0,"Spatial Data Missing ⚠",VLOOKUP(I76,'G-7 WaterC'' Data'!$AK$4:$AM$6,3,FALSE)))</f>
        <v/>
      </c>
      <c r="L76" s="290" t="str">
        <f>IFERROR(INDEX('G-7 WaterC'' Data'!$O$3:$O$7,MATCH(G76,'G-7 WaterC'' Data'!$N$3:$N$7,0)),"")</f>
        <v/>
      </c>
      <c r="M76" s="47"/>
      <c r="N76" s="138"/>
      <c r="O76" s="298" t="str">
        <f t="shared" si="0"/>
        <v/>
      </c>
      <c r="P76" s="311" t="str">
        <f t="shared" si="1"/>
        <v/>
      </c>
      <c r="Q76" s="344" t="str">
        <f>IFERROR(IF(P76="Check Data ⚠","Check Data ⚠",VLOOKUP(P76,'G-4 Temporal multipliers'!$A$4:$C$37,3,FALSE)),"")</f>
        <v/>
      </c>
      <c r="R76" s="290" t="str">
        <f>IF(C76="","",VLOOKUP(C76,'G-7 WaterC'' Data'!$B$4:$G$8,4,FALSE))</f>
        <v/>
      </c>
      <c r="S76" s="298" t="str">
        <f t="shared" si="2"/>
        <v/>
      </c>
      <c r="T76" s="328" t="str">
        <f t="shared" si="3"/>
        <v/>
      </c>
      <c r="U76" s="291" t="str">
        <f>IF(C76="","",VLOOKUP(T76,'G-3 Multipliers'!$P$2:$Q$6,2,FALSE))</f>
        <v/>
      </c>
      <c r="V76" s="96"/>
      <c r="W76" s="291" t="str">
        <f>IF(V76="","",IF(AND(V76="N/A - Culvert",C76&lt;&gt;"Culvert"),"Not possible ▲",IF(AND(C76="Culvert",V76&lt;&gt;"N/A - Culvert"),"Not possible ▲",IF(VLOOKUP(V76,'G-7 WaterC'' Data'!$AA$4:$AB$7,2,FALSE)=0,"Spatial Data Missing ⚠",VLOOKUP(V76,'G-7 WaterC'' Data'!$AA$4:$AB$7,2,FALSE)))))</f>
        <v/>
      </c>
      <c r="X76" s="44"/>
      <c r="Y76" s="291" t="str">
        <f>IF(X76="","",IF(AND(X76="N/A - Culvert", C76&lt;&gt;"Culvert"), "Not possible ▲",IF(AND(C76="Culvert",X76&lt;&gt;"N/A - Culvert"),"Not possible ▲",IF(VLOOKUP(X76,'G-7 WaterC'' Data'!$AD$4:$AE$14,2,FALSE)=0,"Enrcoachment Data Missing ⚠",VLOOKUP(X76,'G-7 WaterC'' Data'!$AD$4:$AE$14,2,FALSE)))))</f>
        <v/>
      </c>
      <c r="Z76" s="332" t="str">
        <f t="shared" si="4"/>
        <v/>
      </c>
      <c r="AA76" s="98"/>
      <c r="AB76" s="99"/>
      <c r="AC76" s="101"/>
      <c r="AH76" s="15" t="str">
        <f>IFERROR(INDEX('G-7 WaterC'' Data'!$AZ$3:$AZ$7,MATCH(C76,'G-7 WaterC'' Data'!$AY$3:$AY$7,0)),"")</f>
        <v/>
      </c>
    </row>
    <row r="77" spans="2:34" ht="14" x14ac:dyDescent="0.3">
      <c r="B77" s="92">
        <v>66</v>
      </c>
      <c r="C77" s="119"/>
      <c r="D77" s="120"/>
      <c r="E77" s="290" t="str">
        <f>IF(C77="","",VLOOKUP(C77,'G-7 WaterC'' Data'!$B$2:$G$8,2,FALSE))</f>
        <v/>
      </c>
      <c r="F77" s="291" t="str">
        <f>IFERROR(VLOOKUP(E77,'G-7 WaterC'' Data'!$C$4:$D$8,2,FALSE),"")</f>
        <v/>
      </c>
      <c r="G77" s="95"/>
      <c r="H77" s="291" t="str">
        <f>IFERROR(INDEX('G-7 WaterC'' Data'!$H$4:$L$8,MATCH(C77,'G-7 WaterC'' Data'!$B$4:$B$8,0),MATCH(G77,'G-7 WaterC'' Data'!$H$3:$L$3,0)),"")</f>
        <v/>
      </c>
      <c r="I77" s="38"/>
      <c r="J77" s="298" t="str">
        <f>IF(I77="","",IF(VLOOKUP(I77,'G-7 WaterC'' Data'!$AK$4:$AM$6,2,FALSE)=0,"Spatial Data Missing ⚠",VLOOKUP(I77,'G-7 WaterC'' Data'!$AK$4:$AM$6,2,FALSE)))</f>
        <v/>
      </c>
      <c r="K77" s="291" t="str">
        <f>IF(I77="","",IF(VLOOKUP(I77,'G-7 WaterC'' Data'!$AK$4:$AM$6,3,FALSE)=0,"Spatial Data Missing ⚠",VLOOKUP(I77,'G-7 WaterC'' Data'!$AK$4:$AM$6,3,FALSE)))</f>
        <v/>
      </c>
      <c r="L77" s="290" t="str">
        <f>IFERROR(INDEX('G-7 WaterC'' Data'!$O$3:$O$7,MATCH(G77,'G-7 WaterC'' Data'!$N$3:$N$7,0)),"")</f>
        <v/>
      </c>
      <c r="M77" s="47"/>
      <c r="N77" s="138"/>
      <c r="O77" s="298" t="str">
        <f t="shared" ref="O77:O140" si="5">IF(L77="","",IF(AND(M77&gt;0,N77&gt;0),"Error -both advance and delayed habitat creation ▲",IF(AND(OR(M77="Habitat already in target condition",L77&lt;=M77),N77=0),"Check details - Is there evidence that habitat has reached target condition? ⚠",IF(M77&gt;0,"Check details - Is there evidence habitat creation started/in place? ⚠",IF(N77&gt;0,"Check details- Delay in starting habitat in required condition? ⚠","Standard time to target condition applied")))))</f>
        <v/>
      </c>
      <c r="P77" s="311" t="str">
        <f t="shared" ref="P77:P140" si="6">IF(O77="Error -both advance and delayed habitat creation ▲","Check Data ⚠",IF(L77="","",IF(M77="30+",0,IF(N77="30+","30+",IF(L77+N77&gt;30,"30+ ",IF(L77+N77-M77&gt;0,L77+N77-M77,IF(L77-M77&lt;0,0,L77+N77-M77)))))))</f>
        <v/>
      </c>
      <c r="Q77" s="344" t="str">
        <f>IFERROR(IF(P77="Check Data ⚠","Check Data ⚠",VLOOKUP(P77,'G-4 Temporal multipliers'!$A$4:$C$37,3,FALSE)),"")</f>
        <v/>
      </c>
      <c r="R77" s="290" t="str">
        <f>IF(C77="","",VLOOKUP(C77,'G-7 WaterC'' Data'!$B$4:$G$8,4,FALSE))</f>
        <v/>
      </c>
      <c r="S77" s="298" t="str">
        <f t="shared" ref="S77:S140" si="7">IF(C77="","",IF(P77="Check Data ⚠","Check Data ⚠",IF(G77="","",IF($O77="Check details - Is there evidence that habitat has reached target condition? ⚠","Low Difficulty - only applicable if all habitat created before losses ⚠","Standard difficulty applied"))))</f>
        <v/>
      </c>
      <c r="T77" s="328" t="str">
        <f t="shared" ref="T77:T140" si="8">(IF(AND(S77="Standard difficulty applied",L77&gt;M77),R77,IF(AND(S77="Low Difficulty - only applicable if all habitat created before losses ⚠",M77&gt;=L77),"Low",R77)))</f>
        <v/>
      </c>
      <c r="U77" s="291" t="str">
        <f>IF(C77="","",VLOOKUP(T77,'G-3 Multipliers'!$P$2:$Q$6,2,FALSE))</f>
        <v/>
      </c>
      <c r="V77" s="96"/>
      <c r="W77" s="291" t="str">
        <f>IF(V77="","",IF(AND(V77="N/A - Culvert",C77&lt;&gt;"Culvert"),"Not possible ▲",IF(AND(C77="Culvert",V77&lt;&gt;"N/A - Culvert"),"Not possible ▲",IF(VLOOKUP(V77,'G-7 WaterC'' Data'!$AA$4:$AB$7,2,FALSE)=0,"Spatial Data Missing ⚠",VLOOKUP(V77,'G-7 WaterC'' Data'!$AA$4:$AB$7,2,FALSE)))))</f>
        <v/>
      </c>
      <c r="X77" s="44"/>
      <c r="Y77" s="291" t="str">
        <f>IF(X77="","",IF(AND(X77="N/A - Culvert", C77&lt;&gt;"Culvert"), "Not possible ▲",IF(AND(C77="Culvert",X77&lt;&gt;"N/A - Culvert"),"Not possible ▲",IF(VLOOKUP(X77,'G-7 WaterC'' Data'!$AD$4:$AE$14,2,FALSE)=0,"Enrcoachment Data Missing ⚠",VLOOKUP(X77,'G-7 WaterC'' Data'!$AD$4:$AE$14,2,FALSE)))))</f>
        <v/>
      </c>
      <c r="Z77" s="332" t="str">
        <f t="shared" ref="Z77:Z140" si="9">IFERROR(IF(C77="","",D77*F77*H77*K77*Q77*U77*Y77*W77),"")</f>
        <v/>
      </c>
      <c r="AA77" s="98"/>
      <c r="AB77" s="99"/>
      <c r="AC77" s="101"/>
      <c r="AH77" s="15" t="str">
        <f>IFERROR(INDEX('G-7 WaterC'' Data'!$AZ$3:$AZ$7,MATCH(C77,'G-7 WaterC'' Data'!$AY$3:$AY$7,0)),"")</f>
        <v/>
      </c>
    </row>
    <row r="78" spans="2:34" ht="14" x14ac:dyDescent="0.3">
      <c r="B78" s="92">
        <v>67</v>
      </c>
      <c r="C78" s="119"/>
      <c r="D78" s="120"/>
      <c r="E78" s="290" t="str">
        <f>IF(C78="","",VLOOKUP(C78,'G-7 WaterC'' Data'!$B$2:$G$8,2,FALSE))</f>
        <v/>
      </c>
      <c r="F78" s="291" t="str">
        <f>IFERROR(VLOOKUP(E78,'G-7 WaterC'' Data'!$C$4:$D$8,2,FALSE),"")</f>
        <v/>
      </c>
      <c r="G78" s="95"/>
      <c r="H78" s="291" t="str">
        <f>IFERROR(INDEX('G-7 WaterC'' Data'!$H$4:$L$8,MATCH(C78,'G-7 WaterC'' Data'!$B$4:$B$8,0),MATCH(G78,'G-7 WaterC'' Data'!$H$3:$L$3,0)),"")</f>
        <v/>
      </c>
      <c r="I78" s="38"/>
      <c r="J78" s="298" t="str">
        <f>IF(I78="","",IF(VLOOKUP(I78,'G-7 WaterC'' Data'!$AK$4:$AM$6,2,FALSE)=0,"Spatial Data Missing ⚠",VLOOKUP(I78,'G-7 WaterC'' Data'!$AK$4:$AM$6,2,FALSE)))</f>
        <v/>
      </c>
      <c r="K78" s="291" t="str">
        <f>IF(I78="","",IF(VLOOKUP(I78,'G-7 WaterC'' Data'!$AK$4:$AM$6,3,FALSE)=0,"Spatial Data Missing ⚠",VLOOKUP(I78,'G-7 WaterC'' Data'!$AK$4:$AM$6,3,FALSE)))</f>
        <v/>
      </c>
      <c r="L78" s="290" t="str">
        <f>IFERROR(INDEX('G-7 WaterC'' Data'!$O$3:$O$7,MATCH(G78,'G-7 WaterC'' Data'!$N$3:$N$7,0)),"")</f>
        <v/>
      </c>
      <c r="M78" s="47"/>
      <c r="N78" s="138"/>
      <c r="O78" s="298" t="str">
        <f t="shared" si="5"/>
        <v/>
      </c>
      <c r="P78" s="311" t="str">
        <f t="shared" si="6"/>
        <v/>
      </c>
      <c r="Q78" s="344" t="str">
        <f>IFERROR(IF(P78="Check Data ⚠","Check Data ⚠",VLOOKUP(P78,'G-4 Temporal multipliers'!$A$4:$C$37,3,FALSE)),"")</f>
        <v/>
      </c>
      <c r="R78" s="290" t="str">
        <f>IF(C78="","",VLOOKUP(C78,'G-7 WaterC'' Data'!$B$4:$G$8,4,FALSE))</f>
        <v/>
      </c>
      <c r="S78" s="298" t="str">
        <f t="shared" si="7"/>
        <v/>
      </c>
      <c r="T78" s="328" t="str">
        <f t="shared" si="8"/>
        <v/>
      </c>
      <c r="U78" s="291" t="str">
        <f>IF(C78="","",VLOOKUP(T78,'G-3 Multipliers'!$P$2:$Q$6,2,FALSE))</f>
        <v/>
      </c>
      <c r="V78" s="96"/>
      <c r="W78" s="291" t="str">
        <f>IF(V78="","",IF(AND(V78="N/A - Culvert",C78&lt;&gt;"Culvert"),"Not possible ▲",IF(AND(C78="Culvert",V78&lt;&gt;"N/A - Culvert"),"Not possible ▲",IF(VLOOKUP(V78,'G-7 WaterC'' Data'!$AA$4:$AB$7,2,FALSE)=0,"Spatial Data Missing ⚠",VLOOKUP(V78,'G-7 WaterC'' Data'!$AA$4:$AB$7,2,FALSE)))))</f>
        <v/>
      </c>
      <c r="X78" s="44"/>
      <c r="Y78" s="291" t="str">
        <f>IF(X78="","",IF(AND(X78="N/A - Culvert", C78&lt;&gt;"Culvert"), "Not possible ▲",IF(AND(C78="Culvert",X78&lt;&gt;"N/A - Culvert"),"Not possible ▲",IF(VLOOKUP(X78,'G-7 WaterC'' Data'!$AD$4:$AE$14,2,FALSE)=0,"Enrcoachment Data Missing ⚠",VLOOKUP(X78,'G-7 WaterC'' Data'!$AD$4:$AE$14,2,FALSE)))))</f>
        <v/>
      </c>
      <c r="Z78" s="332" t="str">
        <f t="shared" si="9"/>
        <v/>
      </c>
      <c r="AA78" s="98"/>
      <c r="AB78" s="99"/>
      <c r="AC78" s="101"/>
      <c r="AH78" s="15" t="str">
        <f>IFERROR(INDEX('G-7 WaterC'' Data'!$AZ$3:$AZ$7,MATCH(C78,'G-7 WaterC'' Data'!$AY$3:$AY$7,0)),"")</f>
        <v/>
      </c>
    </row>
    <row r="79" spans="2:34" ht="14" x14ac:dyDescent="0.3">
      <c r="B79" s="92">
        <v>68</v>
      </c>
      <c r="C79" s="119"/>
      <c r="D79" s="120"/>
      <c r="E79" s="290" t="str">
        <f>IF(C79="","",VLOOKUP(C79,'G-7 WaterC'' Data'!$B$2:$G$8,2,FALSE))</f>
        <v/>
      </c>
      <c r="F79" s="291" t="str">
        <f>IFERROR(VLOOKUP(E79,'G-7 WaterC'' Data'!$C$4:$D$8,2,FALSE),"")</f>
        <v/>
      </c>
      <c r="G79" s="95"/>
      <c r="H79" s="291" t="str">
        <f>IFERROR(INDEX('G-7 WaterC'' Data'!$H$4:$L$8,MATCH(C79,'G-7 WaterC'' Data'!$B$4:$B$8,0),MATCH(G79,'G-7 WaterC'' Data'!$H$3:$L$3,0)),"")</f>
        <v/>
      </c>
      <c r="I79" s="38"/>
      <c r="J79" s="298" t="str">
        <f>IF(I79="","",IF(VLOOKUP(I79,'G-7 WaterC'' Data'!$AK$4:$AM$6,2,FALSE)=0,"Spatial Data Missing ⚠",VLOOKUP(I79,'G-7 WaterC'' Data'!$AK$4:$AM$6,2,FALSE)))</f>
        <v/>
      </c>
      <c r="K79" s="291" t="str">
        <f>IF(I79="","",IF(VLOOKUP(I79,'G-7 WaterC'' Data'!$AK$4:$AM$6,3,FALSE)=0,"Spatial Data Missing ⚠",VLOOKUP(I79,'G-7 WaterC'' Data'!$AK$4:$AM$6,3,FALSE)))</f>
        <v/>
      </c>
      <c r="L79" s="290" t="str">
        <f>IFERROR(INDEX('G-7 WaterC'' Data'!$O$3:$O$7,MATCH(G79,'G-7 WaterC'' Data'!$N$3:$N$7,0)),"")</f>
        <v/>
      </c>
      <c r="M79" s="47"/>
      <c r="N79" s="138"/>
      <c r="O79" s="298" t="str">
        <f t="shared" si="5"/>
        <v/>
      </c>
      <c r="P79" s="311" t="str">
        <f t="shared" si="6"/>
        <v/>
      </c>
      <c r="Q79" s="344" t="str">
        <f>IFERROR(IF(P79="Check Data ⚠","Check Data ⚠",VLOOKUP(P79,'G-4 Temporal multipliers'!$A$4:$C$37,3,FALSE)),"")</f>
        <v/>
      </c>
      <c r="R79" s="290" t="str">
        <f>IF(C79="","",VLOOKUP(C79,'G-7 WaterC'' Data'!$B$4:$G$8,4,FALSE))</f>
        <v/>
      </c>
      <c r="S79" s="298" t="str">
        <f t="shared" si="7"/>
        <v/>
      </c>
      <c r="T79" s="328" t="str">
        <f t="shared" si="8"/>
        <v/>
      </c>
      <c r="U79" s="291" t="str">
        <f>IF(C79="","",VLOOKUP(T79,'G-3 Multipliers'!$P$2:$Q$6,2,FALSE))</f>
        <v/>
      </c>
      <c r="V79" s="96"/>
      <c r="W79" s="291" t="str">
        <f>IF(V79="","",IF(AND(V79="N/A - Culvert",C79&lt;&gt;"Culvert"),"Not possible ▲",IF(AND(C79="Culvert",V79&lt;&gt;"N/A - Culvert"),"Not possible ▲",IF(VLOOKUP(V79,'G-7 WaterC'' Data'!$AA$4:$AB$7,2,FALSE)=0,"Spatial Data Missing ⚠",VLOOKUP(V79,'G-7 WaterC'' Data'!$AA$4:$AB$7,2,FALSE)))))</f>
        <v/>
      </c>
      <c r="X79" s="44"/>
      <c r="Y79" s="291" t="str">
        <f>IF(X79="","",IF(AND(X79="N/A - Culvert", C79&lt;&gt;"Culvert"), "Not possible ▲",IF(AND(C79="Culvert",X79&lt;&gt;"N/A - Culvert"),"Not possible ▲",IF(VLOOKUP(X79,'G-7 WaterC'' Data'!$AD$4:$AE$14,2,FALSE)=0,"Enrcoachment Data Missing ⚠",VLOOKUP(X79,'G-7 WaterC'' Data'!$AD$4:$AE$14,2,FALSE)))))</f>
        <v/>
      </c>
      <c r="Z79" s="332" t="str">
        <f t="shared" si="9"/>
        <v/>
      </c>
      <c r="AA79" s="98"/>
      <c r="AB79" s="99"/>
      <c r="AC79" s="101"/>
      <c r="AH79" s="15" t="str">
        <f>IFERROR(INDEX('G-7 WaterC'' Data'!$AZ$3:$AZ$7,MATCH(C79,'G-7 WaterC'' Data'!$AY$3:$AY$7,0)),"")</f>
        <v/>
      </c>
    </row>
    <row r="80" spans="2:34" ht="14" x14ac:dyDescent="0.3">
      <c r="B80" s="92">
        <v>69</v>
      </c>
      <c r="C80" s="119"/>
      <c r="D80" s="120"/>
      <c r="E80" s="290" t="str">
        <f>IF(C80="","",VLOOKUP(C80,'G-7 WaterC'' Data'!$B$2:$G$8,2,FALSE))</f>
        <v/>
      </c>
      <c r="F80" s="291" t="str">
        <f>IFERROR(VLOOKUP(E80,'G-7 WaterC'' Data'!$C$4:$D$8,2,FALSE),"")</f>
        <v/>
      </c>
      <c r="G80" s="95"/>
      <c r="H80" s="291" t="str">
        <f>IFERROR(INDEX('G-7 WaterC'' Data'!$H$4:$L$8,MATCH(C80,'G-7 WaterC'' Data'!$B$4:$B$8,0),MATCH(G80,'G-7 WaterC'' Data'!$H$3:$L$3,0)),"")</f>
        <v/>
      </c>
      <c r="I80" s="38"/>
      <c r="J80" s="298" t="str">
        <f>IF(I80="","",IF(VLOOKUP(I80,'G-7 WaterC'' Data'!$AK$4:$AM$6,2,FALSE)=0,"Spatial Data Missing ⚠",VLOOKUP(I80,'G-7 WaterC'' Data'!$AK$4:$AM$6,2,FALSE)))</f>
        <v/>
      </c>
      <c r="K80" s="291" t="str">
        <f>IF(I80="","",IF(VLOOKUP(I80,'G-7 WaterC'' Data'!$AK$4:$AM$6,3,FALSE)=0,"Spatial Data Missing ⚠",VLOOKUP(I80,'G-7 WaterC'' Data'!$AK$4:$AM$6,3,FALSE)))</f>
        <v/>
      </c>
      <c r="L80" s="290" t="str">
        <f>IFERROR(INDEX('G-7 WaterC'' Data'!$O$3:$O$7,MATCH(G80,'G-7 WaterC'' Data'!$N$3:$N$7,0)),"")</f>
        <v/>
      </c>
      <c r="M80" s="47"/>
      <c r="N80" s="138"/>
      <c r="O80" s="298" t="str">
        <f t="shared" si="5"/>
        <v/>
      </c>
      <c r="P80" s="311" t="str">
        <f t="shared" si="6"/>
        <v/>
      </c>
      <c r="Q80" s="344" t="str">
        <f>IFERROR(IF(P80="Check Data ⚠","Check Data ⚠",VLOOKUP(P80,'G-4 Temporal multipliers'!$A$4:$C$37,3,FALSE)),"")</f>
        <v/>
      </c>
      <c r="R80" s="290" t="str">
        <f>IF(C80="","",VLOOKUP(C80,'G-7 WaterC'' Data'!$B$4:$G$8,4,FALSE))</f>
        <v/>
      </c>
      <c r="S80" s="298" t="str">
        <f t="shared" si="7"/>
        <v/>
      </c>
      <c r="T80" s="328" t="str">
        <f t="shared" si="8"/>
        <v/>
      </c>
      <c r="U80" s="291" t="str">
        <f>IF(C80="","",VLOOKUP(T80,'G-3 Multipliers'!$P$2:$Q$6,2,FALSE))</f>
        <v/>
      </c>
      <c r="V80" s="96"/>
      <c r="W80" s="291" t="str">
        <f>IF(V80="","",IF(AND(V80="N/A - Culvert",C80&lt;&gt;"Culvert"),"Not possible ▲",IF(AND(C80="Culvert",V80&lt;&gt;"N/A - Culvert"),"Not possible ▲",IF(VLOOKUP(V80,'G-7 WaterC'' Data'!$AA$4:$AB$7,2,FALSE)=0,"Spatial Data Missing ⚠",VLOOKUP(V80,'G-7 WaterC'' Data'!$AA$4:$AB$7,2,FALSE)))))</f>
        <v/>
      </c>
      <c r="X80" s="44"/>
      <c r="Y80" s="291" t="str">
        <f>IF(X80="","",IF(AND(X80="N/A - Culvert", C80&lt;&gt;"Culvert"), "Not possible ▲",IF(AND(C80="Culvert",X80&lt;&gt;"N/A - Culvert"),"Not possible ▲",IF(VLOOKUP(X80,'G-7 WaterC'' Data'!$AD$4:$AE$14,2,FALSE)=0,"Enrcoachment Data Missing ⚠",VLOOKUP(X80,'G-7 WaterC'' Data'!$AD$4:$AE$14,2,FALSE)))))</f>
        <v/>
      </c>
      <c r="Z80" s="332" t="str">
        <f t="shared" si="9"/>
        <v/>
      </c>
      <c r="AA80" s="98"/>
      <c r="AB80" s="99"/>
      <c r="AC80" s="101"/>
      <c r="AH80" s="15" t="str">
        <f>IFERROR(INDEX('G-7 WaterC'' Data'!$AZ$3:$AZ$7,MATCH(C80,'G-7 WaterC'' Data'!$AY$3:$AY$7,0)),"")</f>
        <v/>
      </c>
    </row>
    <row r="81" spans="2:34" ht="14" x14ac:dyDescent="0.3">
      <c r="B81" s="92">
        <v>70</v>
      </c>
      <c r="C81" s="119"/>
      <c r="D81" s="120"/>
      <c r="E81" s="290" t="str">
        <f>IF(C81="","",VLOOKUP(C81,'G-7 WaterC'' Data'!$B$2:$G$8,2,FALSE))</f>
        <v/>
      </c>
      <c r="F81" s="291" t="str">
        <f>IFERROR(VLOOKUP(E81,'G-7 WaterC'' Data'!$C$4:$D$8,2,FALSE),"")</f>
        <v/>
      </c>
      <c r="G81" s="95"/>
      <c r="H81" s="291" t="str">
        <f>IFERROR(INDEX('G-7 WaterC'' Data'!$H$4:$L$8,MATCH(C81,'G-7 WaterC'' Data'!$B$4:$B$8,0),MATCH(G81,'G-7 WaterC'' Data'!$H$3:$L$3,0)),"")</f>
        <v/>
      </c>
      <c r="I81" s="38"/>
      <c r="J81" s="298" t="str">
        <f>IF(I81="","",IF(VLOOKUP(I81,'G-7 WaterC'' Data'!$AK$4:$AM$6,2,FALSE)=0,"Spatial Data Missing ⚠",VLOOKUP(I81,'G-7 WaterC'' Data'!$AK$4:$AM$6,2,FALSE)))</f>
        <v/>
      </c>
      <c r="K81" s="291" t="str">
        <f>IF(I81="","",IF(VLOOKUP(I81,'G-7 WaterC'' Data'!$AK$4:$AM$6,3,FALSE)=0,"Spatial Data Missing ⚠",VLOOKUP(I81,'G-7 WaterC'' Data'!$AK$4:$AM$6,3,FALSE)))</f>
        <v/>
      </c>
      <c r="L81" s="290" t="str">
        <f>IFERROR(INDEX('G-7 WaterC'' Data'!$O$3:$O$7,MATCH(G81,'G-7 WaterC'' Data'!$N$3:$N$7,0)),"")</f>
        <v/>
      </c>
      <c r="M81" s="47"/>
      <c r="N81" s="138"/>
      <c r="O81" s="298" t="str">
        <f t="shared" si="5"/>
        <v/>
      </c>
      <c r="P81" s="311" t="str">
        <f t="shared" si="6"/>
        <v/>
      </c>
      <c r="Q81" s="344" t="str">
        <f>IFERROR(IF(P81="Check Data ⚠","Check Data ⚠",VLOOKUP(P81,'G-4 Temporal multipliers'!$A$4:$C$37,3,FALSE)),"")</f>
        <v/>
      </c>
      <c r="R81" s="290" t="str">
        <f>IF(C81="","",VLOOKUP(C81,'G-7 WaterC'' Data'!$B$4:$G$8,4,FALSE))</f>
        <v/>
      </c>
      <c r="S81" s="298" t="str">
        <f t="shared" si="7"/>
        <v/>
      </c>
      <c r="T81" s="328" t="str">
        <f t="shared" si="8"/>
        <v/>
      </c>
      <c r="U81" s="291" t="str">
        <f>IF(C81="","",VLOOKUP(T81,'G-3 Multipliers'!$P$2:$Q$6,2,FALSE))</f>
        <v/>
      </c>
      <c r="V81" s="96"/>
      <c r="W81" s="291" t="str">
        <f>IF(V81="","",IF(AND(V81="N/A - Culvert",C81&lt;&gt;"Culvert"),"Not possible ▲",IF(AND(C81="Culvert",V81&lt;&gt;"N/A - Culvert"),"Not possible ▲",IF(VLOOKUP(V81,'G-7 WaterC'' Data'!$AA$4:$AB$7,2,FALSE)=0,"Spatial Data Missing ⚠",VLOOKUP(V81,'G-7 WaterC'' Data'!$AA$4:$AB$7,2,FALSE)))))</f>
        <v/>
      </c>
      <c r="X81" s="44"/>
      <c r="Y81" s="291" t="str">
        <f>IF(X81="","",IF(AND(X81="N/A - Culvert", C81&lt;&gt;"Culvert"), "Not possible ▲",IF(AND(C81="Culvert",X81&lt;&gt;"N/A - Culvert"),"Not possible ▲",IF(VLOOKUP(X81,'G-7 WaterC'' Data'!$AD$4:$AE$14,2,FALSE)=0,"Enrcoachment Data Missing ⚠",VLOOKUP(X81,'G-7 WaterC'' Data'!$AD$4:$AE$14,2,FALSE)))))</f>
        <v/>
      </c>
      <c r="Z81" s="332" t="str">
        <f t="shared" si="9"/>
        <v/>
      </c>
      <c r="AA81" s="98"/>
      <c r="AB81" s="99"/>
      <c r="AC81" s="101"/>
      <c r="AH81" s="15" t="str">
        <f>IFERROR(INDEX('G-7 WaterC'' Data'!$AZ$3:$AZ$7,MATCH(C81,'G-7 WaterC'' Data'!$AY$3:$AY$7,0)),"")</f>
        <v/>
      </c>
    </row>
    <row r="82" spans="2:34" ht="14" x14ac:dyDescent="0.3">
      <c r="B82" s="92">
        <v>71</v>
      </c>
      <c r="C82" s="119"/>
      <c r="D82" s="120"/>
      <c r="E82" s="290" t="str">
        <f>IF(C82="","",VLOOKUP(C82,'G-7 WaterC'' Data'!$B$2:$G$8,2,FALSE))</f>
        <v/>
      </c>
      <c r="F82" s="291" t="str">
        <f>IFERROR(VLOOKUP(E82,'G-7 WaterC'' Data'!$C$4:$D$8,2,FALSE),"")</f>
        <v/>
      </c>
      <c r="G82" s="95"/>
      <c r="H82" s="291" t="str">
        <f>IFERROR(INDEX('G-7 WaterC'' Data'!$H$4:$L$8,MATCH(C82,'G-7 WaterC'' Data'!$B$4:$B$8,0),MATCH(G82,'G-7 WaterC'' Data'!$H$3:$L$3,0)),"")</f>
        <v/>
      </c>
      <c r="I82" s="38"/>
      <c r="J82" s="298" t="str">
        <f>IF(I82="","",IF(VLOOKUP(I82,'G-7 WaterC'' Data'!$AK$4:$AM$6,2,FALSE)=0,"Spatial Data Missing ⚠",VLOOKUP(I82,'G-7 WaterC'' Data'!$AK$4:$AM$6,2,FALSE)))</f>
        <v/>
      </c>
      <c r="K82" s="291" t="str">
        <f>IF(I82="","",IF(VLOOKUP(I82,'G-7 WaterC'' Data'!$AK$4:$AM$6,3,FALSE)=0,"Spatial Data Missing ⚠",VLOOKUP(I82,'G-7 WaterC'' Data'!$AK$4:$AM$6,3,FALSE)))</f>
        <v/>
      </c>
      <c r="L82" s="290" t="str">
        <f>IFERROR(INDEX('G-7 WaterC'' Data'!$O$3:$O$7,MATCH(G82,'G-7 WaterC'' Data'!$N$3:$N$7,0)),"")</f>
        <v/>
      </c>
      <c r="M82" s="47"/>
      <c r="N82" s="138"/>
      <c r="O82" s="298" t="str">
        <f t="shared" si="5"/>
        <v/>
      </c>
      <c r="P82" s="311" t="str">
        <f t="shared" si="6"/>
        <v/>
      </c>
      <c r="Q82" s="344" t="str">
        <f>IFERROR(IF(P82="Check Data ⚠","Check Data ⚠",VLOOKUP(P82,'G-4 Temporal multipliers'!$A$4:$C$37,3,FALSE)),"")</f>
        <v/>
      </c>
      <c r="R82" s="290" t="str">
        <f>IF(C82="","",VLOOKUP(C82,'G-7 WaterC'' Data'!$B$4:$G$8,4,FALSE))</f>
        <v/>
      </c>
      <c r="S82" s="298" t="str">
        <f t="shared" si="7"/>
        <v/>
      </c>
      <c r="T82" s="328" t="str">
        <f t="shared" si="8"/>
        <v/>
      </c>
      <c r="U82" s="291" t="str">
        <f>IF(C82="","",VLOOKUP(T82,'G-3 Multipliers'!$P$2:$Q$6,2,FALSE))</f>
        <v/>
      </c>
      <c r="V82" s="96"/>
      <c r="W82" s="291" t="str">
        <f>IF(V82="","",IF(AND(V82="N/A - Culvert",C82&lt;&gt;"Culvert"),"Not possible ▲",IF(AND(C82="Culvert",V82&lt;&gt;"N/A - Culvert"),"Not possible ▲",IF(VLOOKUP(V82,'G-7 WaterC'' Data'!$AA$4:$AB$7,2,FALSE)=0,"Spatial Data Missing ⚠",VLOOKUP(V82,'G-7 WaterC'' Data'!$AA$4:$AB$7,2,FALSE)))))</f>
        <v/>
      </c>
      <c r="X82" s="44"/>
      <c r="Y82" s="291" t="str">
        <f>IF(X82="","",IF(AND(X82="N/A - Culvert", C82&lt;&gt;"Culvert"), "Not possible ▲",IF(AND(C82="Culvert",X82&lt;&gt;"N/A - Culvert"),"Not possible ▲",IF(VLOOKUP(X82,'G-7 WaterC'' Data'!$AD$4:$AE$14,2,FALSE)=0,"Enrcoachment Data Missing ⚠",VLOOKUP(X82,'G-7 WaterC'' Data'!$AD$4:$AE$14,2,FALSE)))))</f>
        <v/>
      </c>
      <c r="Z82" s="332" t="str">
        <f t="shared" si="9"/>
        <v/>
      </c>
      <c r="AA82" s="98"/>
      <c r="AB82" s="99"/>
      <c r="AC82" s="101"/>
      <c r="AH82" s="15" t="str">
        <f>IFERROR(INDEX('G-7 WaterC'' Data'!$AZ$3:$AZ$7,MATCH(C82,'G-7 WaterC'' Data'!$AY$3:$AY$7,0)),"")</f>
        <v/>
      </c>
    </row>
    <row r="83" spans="2:34" ht="14" x14ac:dyDescent="0.3">
      <c r="B83" s="92">
        <v>72</v>
      </c>
      <c r="C83" s="119"/>
      <c r="D83" s="120"/>
      <c r="E83" s="290" t="str">
        <f>IF(C83="","",VLOOKUP(C83,'G-7 WaterC'' Data'!$B$2:$G$8,2,FALSE))</f>
        <v/>
      </c>
      <c r="F83" s="291" t="str">
        <f>IFERROR(VLOOKUP(E83,'G-7 WaterC'' Data'!$C$4:$D$8,2,FALSE),"")</f>
        <v/>
      </c>
      <c r="G83" s="95"/>
      <c r="H83" s="291" t="str">
        <f>IFERROR(INDEX('G-7 WaterC'' Data'!$H$4:$L$8,MATCH(C83,'G-7 WaterC'' Data'!$B$4:$B$8,0),MATCH(G83,'G-7 WaterC'' Data'!$H$3:$L$3,0)),"")</f>
        <v/>
      </c>
      <c r="I83" s="38"/>
      <c r="J83" s="298" t="str">
        <f>IF(I83="","",IF(VLOOKUP(I83,'G-7 WaterC'' Data'!$AK$4:$AM$6,2,FALSE)=0,"Spatial Data Missing ⚠",VLOOKUP(I83,'G-7 WaterC'' Data'!$AK$4:$AM$6,2,FALSE)))</f>
        <v/>
      </c>
      <c r="K83" s="291" t="str">
        <f>IF(I83="","",IF(VLOOKUP(I83,'G-7 WaterC'' Data'!$AK$4:$AM$6,3,FALSE)=0,"Spatial Data Missing ⚠",VLOOKUP(I83,'G-7 WaterC'' Data'!$AK$4:$AM$6,3,FALSE)))</f>
        <v/>
      </c>
      <c r="L83" s="290" t="str">
        <f>IFERROR(INDEX('G-7 WaterC'' Data'!$O$3:$O$7,MATCH(G83,'G-7 WaterC'' Data'!$N$3:$N$7,0)),"")</f>
        <v/>
      </c>
      <c r="M83" s="47"/>
      <c r="N83" s="138"/>
      <c r="O83" s="298" t="str">
        <f t="shared" si="5"/>
        <v/>
      </c>
      <c r="P83" s="311" t="str">
        <f t="shared" si="6"/>
        <v/>
      </c>
      <c r="Q83" s="344" t="str">
        <f>IFERROR(IF(P83="Check Data ⚠","Check Data ⚠",VLOOKUP(P83,'G-4 Temporal multipliers'!$A$4:$C$37,3,FALSE)),"")</f>
        <v/>
      </c>
      <c r="R83" s="290" t="str">
        <f>IF(C83="","",VLOOKUP(C83,'G-7 WaterC'' Data'!$B$4:$G$8,4,FALSE))</f>
        <v/>
      </c>
      <c r="S83" s="298" t="str">
        <f t="shared" si="7"/>
        <v/>
      </c>
      <c r="T83" s="328" t="str">
        <f t="shared" si="8"/>
        <v/>
      </c>
      <c r="U83" s="291" t="str">
        <f>IF(C83="","",VLOOKUP(T83,'G-3 Multipliers'!$P$2:$Q$6,2,FALSE))</f>
        <v/>
      </c>
      <c r="V83" s="96"/>
      <c r="W83" s="291" t="str">
        <f>IF(V83="","",IF(AND(V83="N/A - Culvert",C83&lt;&gt;"Culvert"),"Not possible ▲",IF(AND(C83="Culvert",V83&lt;&gt;"N/A - Culvert"),"Not possible ▲",IF(VLOOKUP(V83,'G-7 WaterC'' Data'!$AA$4:$AB$7,2,FALSE)=0,"Spatial Data Missing ⚠",VLOOKUP(V83,'G-7 WaterC'' Data'!$AA$4:$AB$7,2,FALSE)))))</f>
        <v/>
      </c>
      <c r="X83" s="44"/>
      <c r="Y83" s="291" t="str">
        <f>IF(X83="","",IF(AND(X83="N/A - Culvert", C83&lt;&gt;"Culvert"), "Not possible ▲",IF(AND(C83="Culvert",X83&lt;&gt;"N/A - Culvert"),"Not possible ▲",IF(VLOOKUP(X83,'G-7 WaterC'' Data'!$AD$4:$AE$14,2,FALSE)=0,"Enrcoachment Data Missing ⚠",VLOOKUP(X83,'G-7 WaterC'' Data'!$AD$4:$AE$14,2,FALSE)))))</f>
        <v/>
      </c>
      <c r="Z83" s="332" t="str">
        <f t="shared" si="9"/>
        <v/>
      </c>
      <c r="AA83" s="98"/>
      <c r="AB83" s="99"/>
      <c r="AC83" s="101"/>
      <c r="AH83" s="15" t="str">
        <f>IFERROR(INDEX('G-7 WaterC'' Data'!$AZ$3:$AZ$7,MATCH(C83,'G-7 WaterC'' Data'!$AY$3:$AY$7,0)),"")</f>
        <v/>
      </c>
    </row>
    <row r="84" spans="2:34" ht="14" x14ac:dyDescent="0.3">
      <c r="B84" s="92">
        <v>73</v>
      </c>
      <c r="C84" s="119"/>
      <c r="D84" s="120"/>
      <c r="E84" s="290" t="str">
        <f>IF(C84="","",VLOOKUP(C84,'G-7 WaterC'' Data'!$B$2:$G$8,2,FALSE))</f>
        <v/>
      </c>
      <c r="F84" s="291" t="str">
        <f>IFERROR(VLOOKUP(E84,'G-7 WaterC'' Data'!$C$4:$D$8,2,FALSE),"")</f>
        <v/>
      </c>
      <c r="G84" s="95"/>
      <c r="H84" s="291" t="str">
        <f>IFERROR(INDEX('G-7 WaterC'' Data'!$H$4:$L$8,MATCH(C84,'G-7 WaterC'' Data'!$B$4:$B$8,0),MATCH(G84,'G-7 WaterC'' Data'!$H$3:$L$3,0)),"")</f>
        <v/>
      </c>
      <c r="I84" s="38"/>
      <c r="J84" s="298" t="str">
        <f>IF(I84="","",IF(VLOOKUP(I84,'G-7 WaterC'' Data'!$AK$4:$AM$6,2,FALSE)=0,"Spatial Data Missing ⚠",VLOOKUP(I84,'G-7 WaterC'' Data'!$AK$4:$AM$6,2,FALSE)))</f>
        <v/>
      </c>
      <c r="K84" s="291" t="str">
        <f>IF(I84="","",IF(VLOOKUP(I84,'G-7 WaterC'' Data'!$AK$4:$AM$6,3,FALSE)=0,"Spatial Data Missing ⚠",VLOOKUP(I84,'G-7 WaterC'' Data'!$AK$4:$AM$6,3,FALSE)))</f>
        <v/>
      </c>
      <c r="L84" s="290" t="str">
        <f>IFERROR(INDEX('G-7 WaterC'' Data'!$O$3:$O$7,MATCH(G84,'G-7 WaterC'' Data'!$N$3:$N$7,0)),"")</f>
        <v/>
      </c>
      <c r="M84" s="47"/>
      <c r="N84" s="138"/>
      <c r="O84" s="298" t="str">
        <f t="shared" si="5"/>
        <v/>
      </c>
      <c r="P84" s="311" t="str">
        <f t="shared" si="6"/>
        <v/>
      </c>
      <c r="Q84" s="344" t="str">
        <f>IFERROR(IF(P84="Check Data ⚠","Check Data ⚠",VLOOKUP(P84,'G-4 Temporal multipliers'!$A$4:$C$37,3,FALSE)),"")</f>
        <v/>
      </c>
      <c r="R84" s="290" t="str">
        <f>IF(C84="","",VLOOKUP(C84,'G-7 WaterC'' Data'!$B$4:$G$8,4,FALSE))</f>
        <v/>
      </c>
      <c r="S84" s="298" t="str">
        <f t="shared" si="7"/>
        <v/>
      </c>
      <c r="T84" s="328" t="str">
        <f t="shared" si="8"/>
        <v/>
      </c>
      <c r="U84" s="291" t="str">
        <f>IF(C84="","",VLOOKUP(T84,'G-3 Multipliers'!$P$2:$Q$6,2,FALSE))</f>
        <v/>
      </c>
      <c r="V84" s="96"/>
      <c r="W84" s="291" t="str">
        <f>IF(V84="","",IF(AND(V84="N/A - Culvert",C84&lt;&gt;"Culvert"),"Not possible ▲",IF(AND(C84="Culvert",V84&lt;&gt;"N/A - Culvert"),"Not possible ▲",IF(VLOOKUP(V84,'G-7 WaterC'' Data'!$AA$4:$AB$7,2,FALSE)=0,"Spatial Data Missing ⚠",VLOOKUP(V84,'G-7 WaterC'' Data'!$AA$4:$AB$7,2,FALSE)))))</f>
        <v/>
      </c>
      <c r="X84" s="44"/>
      <c r="Y84" s="291" t="str">
        <f>IF(X84="","",IF(AND(X84="N/A - Culvert", C84&lt;&gt;"Culvert"), "Not possible ▲",IF(AND(C84="Culvert",X84&lt;&gt;"N/A - Culvert"),"Not possible ▲",IF(VLOOKUP(X84,'G-7 WaterC'' Data'!$AD$4:$AE$14,2,FALSE)=0,"Enrcoachment Data Missing ⚠",VLOOKUP(X84,'G-7 WaterC'' Data'!$AD$4:$AE$14,2,FALSE)))))</f>
        <v/>
      </c>
      <c r="Z84" s="332" t="str">
        <f t="shared" si="9"/>
        <v/>
      </c>
      <c r="AA84" s="98"/>
      <c r="AB84" s="99"/>
      <c r="AC84" s="101"/>
      <c r="AH84" s="15" t="str">
        <f>IFERROR(INDEX('G-7 WaterC'' Data'!$AZ$3:$AZ$7,MATCH(C84,'G-7 WaterC'' Data'!$AY$3:$AY$7,0)),"")</f>
        <v/>
      </c>
    </row>
    <row r="85" spans="2:34" ht="14" x14ac:dyDescent="0.3">
      <c r="B85" s="92">
        <v>74</v>
      </c>
      <c r="C85" s="119"/>
      <c r="D85" s="120"/>
      <c r="E85" s="290" t="str">
        <f>IF(C85="","",VLOOKUP(C85,'G-7 WaterC'' Data'!$B$2:$G$8,2,FALSE))</f>
        <v/>
      </c>
      <c r="F85" s="291" t="str">
        <f>IFERROR(VLOOKUP(E85,'G-7 WaterC'' Data'!$C$4:$D$8,2,FALSE),"")</f>
        <v/>
      </c>
      <c r="G85" s="95"/>
      <c r="H85" s="291" t="str">
        <f>IFERROR(INDEX('G-7 WaterC'' Data'!$H$4:$L$8,MATCH(C85,'G-7 WaterC'' Data'!$B$4:$B$8,0),MATCH(G85,'G-7 WaterC'' Data'!$H$3:$L$3,0)),"")</f>
        <v/>
      </c>
      <c r="I85" s="38"/>
      <c r="J85" s="298" t="str">
        <f>IF(I85="","",IF(VLOOKUP(I85,'G-7 WaterC'' Data'!$AK$4:$AM$6,2,FALSE)=0,"Spatial Data Missing ⚠",VLOOKUP(I85,'G-7 WaterC'' Data'!$AK$4:$AM$6,2,FALSE)))</f>
        <v/>
      </c>
      <c r="K85" s="291" t="str">
        <f>IF(I85="","",IF(VLOOKUP(I85,'G-7 WaterC'' Data'!$AK$4:$AM$6,3,FALSE)=0,"Spatial Data Missing ⚠",VLOOKUP(I85,'G-7 WaterC'' Data'!$AK$4:$AM$6,3,FALSE)))</f>
        <v/>
      </c>
      <c r="L85" s="290" t="str">
        <f>IFERROR(INDEX('G-7 WaterC'' Data'!$O$3:$O$7,MATCH(G85,'G-7 WaterC'' Data'!$N$3:$N$7,0)),"")</f>
        <v/>
      </c>
      <c r="M85" s="47"/>
      <c r="N85" s="138"/>
      <c r="O85" s="298" t="str">
        <f t="shared" si="5"/>
        <v/>
      </c>
      <c r="P85" s="311" t="str">
        <f t="shared" si="6"/>
        <v/>
      </c>
      <c r="Q85" s="344" t="str">
        <f>IFERROR(IF(P85="Check Data ⚠","Check Data ⚠",VLOOKUP(P85,'G-4 Temporal multipliers'!$A$4:$C$37,3,FALSE)),"")</f>
        <v/>
      </c>
      <c r="R85" s="290" t="str">
        <f>IF(C85="","",VLOOKUP(C85,'G-7 WaterC'' Data'!$B$4:$G$8,4,FALSE))</f>
        <v/>
      </c>
      <c r="S85" s="298" t="str">
        <f t="shared" si="7"/>
        <v/>
      </c>
      <c r="T85" s="328" t="str">
        <f t="shared" si="8"/>
        <v/>
      </c>
      <c r="U85" s="291" t="str">
        <f>IF(C85="","",VLOOKUP(T85,'G-3 Multipliers'!$P$2:$Q$6,2,FALSE))</f>
        <v/>
      </c>
      <c r="V85" s="96"/>
      <c r="W85" s="291" t="str">
        <f>IF(V85="","",IF(AND(V85="N/A - Culvert",C85&lt;&gt;"Culvert"),"Not possible ▲",IF(AND(C85="Culvert",V85&lt;&gt;"N/A - Culvert"),"Not possible ▲",IF(VLOOKUP(V85,'G-7 WaterC'' Data'!$AA$4:$AB$7,2,FALSE)=0,"Spatial Data Missing ⚠",VLOOKUP(V85,'G-7 WaterC'' Data'!$AA$4:$AB$7,2,FALSE)))))</f>
        <v/>
      </c>
      <c r="X85" s="44"/>
      <c r="Y85" s="291" t="str">
        <f>IF(X85="","",IF(AND(X85="N/A - Culvert", C85&lt;&gt;"Culvert"), "Not possible ▲",IF(AND(C85="Culvert",X85&lt;&gt;"N/A - Culvert"),"Not possible ▲",IF(VLOOKUP(X85,'G-7 WaterC'' Data'!$AD$4:$AE$14,2,FALSE)=0,"Enrcoachment Data Missing ⚠",VLOOKUP(X85,'G-7 WaterC'' Data'!$AD$4:$AE$14,2,FALSE)))))</f>
        <v/>
      </c>
      <c r="Z85" s="332" t="str">
        <f t="shared" si="9"/>
        <v/>
      </c>
      <c r="AA85" s="98"/>
      <c r="AB85" s="99"/>
      <c r="AC85" s="101"/>
      <c r="AH85" s="15" t="str">
        <f>IFERROR(INDEX('G-7 WaterC'' Data'!$AZ$3:$AZ$7,MATCH(C85,'G-7 WaterC'' Data'!$AY$3:$AY$7,0)),"")</f>
        <v/>
      </c>
    </row>
    <row r="86" spans="2:34" ht="14" x14ac:dyDescent="0.3">
      <c r="B86" s="92">
        <v>75</v>
      </c>
      <c r="C86" s="119"/>
      <c r="D86" s="120"/>
      <c r="E86" s="290" t="str">
        <f>IF(C86="","",VLOOKUP(C86,'G-7 WaterC'' Data'!$B$2:$G$8,2,FALSE))</f>
        <v/>
      </c>
      <c r="F86" s="291" t="str">
        <f>IFERROR(VLOOKUP(E86,'G-7 WaterC'' Data'!$C$4:$D$8,2,FALSE),"")</f>
        <v/>
      </c>
      <c r="G86" s="95"/>
      <c r="H86" s="291" t="str">
        <f>IFERROR(INDEX('G-7 WaterC'' Data'!$H$4:$L$8,MATCH(C86,'G-7 WaterC'' Data'!$B$4:$B$8,0),MATCH(G86,'G-7 WaterC'' Data'!$H$3:$L$3,0)),"")</f>
        <v/>
      </c>
      <c r="I86" s="38"/>
      <c r="J86" s="298" t="str">
        <f>IF(I86="","",IF(VLOOKUP(I86,'G-7 WaterC'' Data'!$AK$4:$AM$6,2,FALSE)=0,"Spatial Data Missing ⚠",VLOOKUP(I86,'G-7 WaterC'' Data'!$AK$4:$AM$6,2,FALSE)))</f>
        <v/>
      </c>
      <c r="K86" s="291" t="str">
        <f>IF(I86="","",IF(VLOOKUP(I86,'G-7 WaterC'' Data'!$AK$4:$AM$6,3,FALSE)=0,"Spatial Data Missing ⚠",VLOOKUP(I86,'G-7 WaterC'' Data'!$AK$4:$AM$6,3,FALSE)))</f>
        <v/>
      </c>
      <c r="L86" s="290" t="str">
        <f>IFERROR(INDEX('G-7 WaterC'' Data'!$O$3:$O$7,MATCH(G86,'G-7 WaterC'' Data'!$N$3:$N$7,0)),"")</f>
        <v/>
      </c>
      <c r="M86" s="47"/>
      <c r="N86" s="138"/>
      <c r="O86" s="298" t="str">
        <f t="shared" si="5"/>
        <v/>
      </c>
      <c r="P86" s="311" t="str">
        <f t="shared" si="6"/>
        <v/>
      </c>
      <c r="Q86" s="344" t="str">
        <f>IFERROR(IF(P86="Check Data ⚠","Check Data ⚠",VLOOKUP(P86,'G-4 Temporal multipliers'!$A$4:$C$37,3,FALSE)),"")</f>
        <v/>
      </c>
      <c r="R86" s="290" t="str">
        <f>IF(C86="","",VLOOKUP(C86,'G-7 WaterC'' Data'!$B$4:$G$8,4,FALSE))</f>
        <v/>
      </c>
      <c r="S86" s="298" t="str">
        <f t="shared" si="7"/>
        <v/>
      </c>
      <c r="T86" s="328" t="str">
        <f t="shared" si="8"/>
        <v/>
      </c>
      <c r="U86" s="291" t="str">
        <f>IF(C86="","",VLOOKUP(T86,'G-3 Multipliers'!$P$2:$Q$6,2,FALSE))</f>
        <v/>
      </c>
      <c r="V86" s="96"/>
      <c r="W86" s="291" t="str">
        <f>IF(V86="","",IF(AND(V86="N/A - Culvert",C86&lt;&gt;"Culvert"),"Not possible ▲",IF(AND(C86="Culvert",V86&lt;&gt;"N/A - Culvert"),"Not possible ▲",IF(VLOOKUP(V86,'G-7 WaterC'' Data'!$AA$4:$AB$7,2,FALSE)=0,"Spatial Data Missing ⚠",VLOOKUP(V86,'G-7 WaterC'' Data'!$AA$4:$AB$7,2,FALSE)))))</f>
        <v/>
      </c>
      <c r="X86" s="44"/>
      <c r="Y86" s="291" t="str">
        <f>IF(X86="","",IF(AND(X86="N/A - Culvert", C86&lt;&gt;"Culvert"), "Not possible ▲",IF(AND(C86="Culvert",X86&lt;&gt;"N/A - Culvert"),"Not possible ▲",IF(VLOOKUP(X86,'G-7 WaterC'' Data'!$AD$4:$AE$14,2,FALSE)=0,"Enrcoachment Data Missing ⚠",VLOOKUP(X86,'G-7 WaterC'' Data'!$AD$4:$AE$14,2,FALSE)))))</f>
        <v/>
      </c>
      <c r="Z86" s="332" t="str">
        <f t="shared" si="9"/>
        <v/>
      </c>
      <c r="AA86" s="98"/>
      <c r="AB86" s="99"/>
      <c r="AC86" s="101"/>
      <c r="AH86" s="15" t="str">
        <f>IFERROR(INDEX('G-7 WaterC'' Data'!$AZ$3:$AZ$7,MATCH(C86,'G-7 WaterC'' Data'!$AY$3:$AY$7,0)),"")</f>
        <v/>
      </c>
    </row>
    <row r="87" spans="2:34" ht="14" x14ac:dyDescent="0.3">
      <c r="B87" s="92">
        <v>76</v>
      </c>
      <c r="C87" s="119"/>
      <c r="D87" s="120"/>
      <c r="E87" s="290" t="str">
        <f>IF(C87="","",VLOOKUP(C87,'G-7 WaterC'' Data'!$B$2:$G$8,2,FALSE))</f>
        <v/>
      </c>
      <c r="F87" s="291" t="str">
        <f>IFERROR(VLOOKUP(E87,'G-7 WaterC'' Data'!$C$4:$D$8,2,FALSE),"")</f>
        <v/>
      </c>
      <c r="G87" s="95"/>
      <c r="H87" s="291" t="str">
        <f>IFERROR(INDEX('G-7 WaterC'' Data'!$H$4:$L$8,MATCH(C87,'G-7 WaterC'' Data'!$B$4:$B$8,0),MATCH(G87,'G-7 WaterC'' Data'!$H$3:$L$3,0)),"")</f>
        <v/>
      </c>
      <c r="I87" s="38"/>
      <c r="J87" s="298" t="str">
        <f>IF(I87="","",IF(VLOOKUP(I87,'G-7 WaterC'' Data'!$AK$4:$AM$6,2,FALSE)=0,"Spatial Data Missing ⚠",VLOOKUP(I87,'G-7 WaterC'' Data'!$AK$4:$AM$6,2,FALSE)))</f>
        <v/>
      </c>
      <c r="K87" s="291" t="str">
        <f>IF(I87="","",IF(VLOOKUP(I87,'G-7 WaterC'' Data'!$AK$4:$AM$6,3,FALSE)=0,"Spatial Data Missing ⚠",VLOOKUP(I87,'G-7 WaterC'' Data'!$AK$4:$AM$6,3,FALSE)))</f>
        <v/>
      </c>
      <c r="L87" s="290" t="str">
        <f>IFERROR(INDEX('G-7 WaterC'' Data'!$O$3:$O$7,MATCH(G87,'G-7 WaterC'' Data'!$N$3:$N$7,0)),"")</f>
        <v/>
      </c>
      <c r="M87" s="47"/>
      <c r="N87" s="138"/>
      <c r="O87" s="298" t="str">
        <f t="shared" si="5"/>
        <v/>
      </c>
      <c r="P87" s="311" t="str">
        <f t="shared" si="6"/>
        <v/>
      </c>
      <c r="Q87" s="344" t="str">
        <f>IFERROR(IF(P87="Check Data ⚠","Check Data ⚠",VLOOKUP(P87,'G-4 Temporal multipliers'!$A$4:$C$37,3,FALSE)),"")</f>
        <v/>
      </c>
      <c r="R87" s="290" t="str">
        <f>IF(C87="","",VLOOKUP(C87,'G-7 WaterC'' Data'!$B$4:$G$8,4,FALSE))</f>
        <v/>
      </c>
      <c r="S87" s="298" t="str">
        <f t="shared" si="7"/>
        <v/>
      </c>
      <c r="T87" s="328" t="str">
        <f t="shared" si="8"/>
        <v/>
      </c>
      <c r="U87" s="291" t="str">
        <f>IF(C87="","",VLOOKUP(T87,'G-3 Multipliers'!$P$2:$Q$6,2,FALSE))</f>
        <v/>
      </c>
      <c r="V87" s="96"/>
      <c r="W87" s="291" t="str">
        <f>IF(V87="","",IF(AND(V87="N/A - Culvert",C87&lt;&gt;"Culvert"),"Not possible ▲",IF(AND(C87="Culvert",V87&lt;&gt;"N/A - Culvert"),"Not possible ▲",IF(VLOOKUP(V87,'G-7 WaterC'' Data'!$AA$4:$AB$7,2,FALSE)=0,"Spatial Data Missing ⚠",VLOOKUP(V87,'G-7 WaterC'' Data'!$AA$4:$AB$7,2,FALSE)))))</f>
        <v/>
      </c>
      <c r="X87" s="44"/>
      <c r="Y87" s="291" t="str">
        <f>IF(X87="","",IF(AND(X87="N/A - Culvert", C87&lt;&gt;"Culvert"), "Not possible ▲",IF(AND(C87="Culvert",X87&lt;&gt;"N/A - Culvert"),"Not possible ▲",IF(VLOOKUP(X87,'G-7 WaterC'' Data'!$AD$4:$AE$14,2,FALSE)=0,"Enrcoachment Data Missing ⚠",VLOOKUP(X87,'G-7 WaterC'' Data'!$AD$4:$AE$14,2,FALSE)))))</f>
        <v/>
      </c>
      <c r="Z87" s="332" t="str">
        <f t="shared" si="9"/>
        <v/>
      </c>
      <c r="AA87" s="98"/>
      <c r="AB87" s="99"/>
      <c r="AC87" s="101"/>
      <c r="AH87" s="15" t="str">
        <f>IFERROR(INDEX('G-7 WaterC'' Data'!$AZ$3:$AZ$7,MATCH(C87,'G-7 WaterC'' Data'!$AY$3:$AY$7,0)),"")</f>
        <v/>
      </c>
    </row>
    <row r="88" spans="2:34" ht="14" x14ac:dyDescent="0.3">
      <c r="B88" s="92">
        <v>77</v>
      </c>
      <c r="C88" s="119"/>
      <c r="D88" s="120"/>
      <c r="E88" s="290" t="str">
        <f>IF(C88="","",VLOOKUP(C88,'G-7 WaterC'' Data'!$B$2:$G$8,2,FALSE))</f>
        <v/>
      </c>
      <c r="F88" s="291" t="str">
        <f>IFERROR(VLOOKUP(E88,'G-7 WaterC'' Data'!$C$4:$D$8,2,FALSE),"")</f>
        <v/>
      </c>
      <c r="G88" s="95"/>
      <c r="H88" s="291" t="str">
        <f>IFERROR(INDEX('G-7 WaterC'' Data'!$H$4:$L$8,MATCH(C88,'G-7 WaterC'' Data'!$B$4:$B$8,0),MATCH(G88,'G-7 WaterC'' Data'!$H$3:$L$3,0)),"")</f>
        <v/>
      </c>
      <c r="I88" s="38"/>
      <c r="J88" s="298" t="str">
        <f>IF(I88="","",IF(VLOOKUP(I88,'G-7 WaterC'' Data'!$AK$4:$AM$6,2,FALSE)=0,"Spatial Data Missing ⚠",VLOOKUP(I88,'G-7 WaterC'' Data'!$AK$4:$AM$6,2,FALSE)))</f>
        <v/>
      </c>
      <c r="K88" s="291" t="str">
        <f>IF(I88="","",IF(VLOOKUP(I88,'G-7 WaterC'' Data'!$AK$4:$AM$6,3,FALSE)=0,"Spatial Data Missing ⚠",VLOOKUP(I88,'G-7 WaterC'' Data'!$AK$4:$AM$6,3,FALSE)))</f>
        <v/>
      </c>
      <c r="L88" s="290" t="str">
        <f>IFERROR(INDEX('G-7 WaterC'' Data'!$O$3:$O$7,MATCH(G88,'G-7 WaterC'' Data'!$N$3:$N$7,0)),"")</f>
        <v/>
      </c>
      <c r="M88" s="47"/>
      <c r="N88" s="138"/>
      <c r="O88" s="298" t="str">
        <f t="shared" si="5"/>
        <v/>
      </c>
      <c r="P88" s="311" t="str">
        <f t="shared" si="6"/>
        <v/>
      </c>
      <c r="Q88" s="344" t="str">
        <f>IFERROR(IF(P88="Check Data ⚠","Check Data ⚠",VLOOKUP(P88,'G-4 Temporal multipliers'!$A$4:$C$37,3,FALSE)),"")</f>
        <v/>
      </c>
      <c r="R88" s="290" t="str">
        <f>IF(C88="","",VLOOKUP(C88,'G-7 WaterC'' Data'!$B$4:$G$8,4,FALSE))</f>
        <v/>
      </c>
      <c r="S88" s="298" t="str">
        <f t="shared" si="7"/>
        <v/>
      </c>
      <c r="T88" s="328" t="str">
        <f t="shared" si="8"/>
        <v/>
      </c>
      <c r="U88" s="291" t="str">
        <f>IF(C88="","",VLOOKUP(T88,'G-3 Multipliers'!$P$2:$Q$6,2,FALSE))</f>
        <v/>
      </c>
      <c r="V88" s="96"/>
      <c r="W88" s="291" t="str">
        <f>IF(V88="","",IF(AND(V88="N/A - Culvert",C88&lt;&gt;"Culvert"),"Not possible ▲",IF(AND(C88="Culvert",V88&lt;&gt;"N/A - Culvert"),"Not possible ▲",IF(VLOOKUP(V88,'G-7 WaterC'' Data'!$AA$4:$AB$7,2,FALSE)=0,"Spatial Data Missing ⚠",VLOOKUP(V88,'G-7 WaterC'' Data'!$AA$4:$AB$7,2,FALSE)))))</f>
        <v/>
      </c>
      <c r="X88" s="44"/>
      <c r="Y88" s="291" t="str">
        <f>IF(X88="","",IF(AND(X88="N/A - Culvert", C88&lt;&gt;"Culvert"), "Not possible ▲",IF(AND(C88="Culvert",X88&lt;&gt;"N/A - Culvert"),"Not possible ▲",IF(VLOOKUP(X88,'G-7 WaterC'' Data'!$AD$4:$AE$14,2,FALSE)=0,"Enrcoachment Data Missing ⚠",VLOOKUP(X88,'G-7 WaterC'' Data'!$AD$4:$AE$14,2,FALSE)))))</f>
        <v/>
      </c>
      <c r="Z88" s="332" t="str">
        <f t="shared" si="9"/>
        <v/>
      </c>
      <c r="AA88" s="98"/>
      <c r="AB88" s="99"/>
      <c r="AC88" s="101"/>
      <c r="AH88" s="15" t="str">
        <f>IFERROR(INDEX('G-7 WaterC'' Data'!$AZ$3:$AZ$7,MATCH(C88,'G-7 WaterC'' Data'!$AY$3:$AY$7,0)),"")</f>
        <v/>
      </c>
    </row>
    <row r="89" spans="2:34" ht="14" x14ac:dyDescent="0.3">
      <c r="B89" s="92">
        <v>78</v>
      </c>
      <c r="C89" s="119"/>
      <c r="D89" s="120"/>
      <c r="E89" s="290" t="str">
        <f>IF(C89="","",VLOOKUP(C89,'G-7 WaterC'' Data'!$B$2:$G$8,2,FALSE))</f>
        <v/>
      </c>
      <c r="F89" s="291" t="str">
        <f>IFERROR(VLOOKUP(E89,'G-7 WaterC'' Data'!$C$4:$D$8,2,FALSE),"")</f>
        <v/>
      </c>
      <c r="G89" s="95"/>
      <c r="H89" s="291" t="str">
        <f>IFERROR(INDEX('G-7 WaterC'' Data'!$H$4:$L$8,MATCH(C89,'G-7 WaterC'' Data'!$B$4:$B$8,0),MATCH(G89,'G-7 WaterC'' Data'!$H$3:$L$3,0)),"")</f>
        <v/>
      </c>
      <c r="I89" s="38"/>
      <c r="J89" s="298" t="str">
        <f>IF(I89="","",IF(VLOOKUP(I89,'G-7 WaterC'' Data'!$AK$4:$AM$6,2,FALSE)=0,"Spatial Data Missing ⚠",VLOOKUP(I89,'G-7 WaterC'' Data'!$AK$4:$AM$6,2,FALSE)))</f>
        <v/>
      </c>
      <c r="K89" s="291" t="str">
        <f>IF(I89="","",IF(VLOOKUP(I89,'G-7 WaterC'' Data'!$AK$4:$AM$6,3,FALSE)=0,"Spatial Data Missing ⚠",VLOOKUP(I89,'G-7 WaterC'' Data'!$AK$4:$AM$6,3,FALSE)))</f>
        <v/>
      </c>
      <c r="L89" s="290" t="str">
        <f>IFERROR(INDEX('G-7 WaterC'' Data'!$O$3:$O$7,MATCH(G89,'G-7 WaterC'' Data'!$N$3:$N$7,0)),"")</f>
        <v/>
      </c>
      <c r="M89" s="47"/>
      <c r="N89" s="138"/>
      <c r="O89" s="298" t="str">
        <f t="shared" si="5"/>
        <v/>
      </c>
      <c r="P89" s="311" t="str">
        <f t="shared" si="6"/>
        <v/>
      </c>
      <c r="Q89" s="344" t="str">
        <f>IFERROR(IF(P89="Check Data ⚠","Check Data ⚠",VLOOKUP(P89,'G-4 Temporal multipliers'!$A$4:$C$37,3,FALSE)),"")</f>
        <v/>
      </c>
      <c r="R89" s="290" t="str">
        <f>IF(C89="","",VLOOKUP(C89,'G-7 WaterC'' Data'!$B$4:$G$8,4,FALSE))</f>
        <v/>
      </c>
      <c r="S89" s="298" t="str">
        <f t="shared" si="7"/>
        <v/>
      </c>
      <c r="T89" s="328" t="str">
        <f t="shared" si="8"/>
        <v/>
      </c>
      <c r="U89" s="291" t="str">
        <f>IF(C89="","",VLOOKUP(T89,'G-3 Multipliers'!$P$2:$Q$6,2,FALSE))</f>
        <v/>
      </c>
      <c r="V89" s="96"/>
      <c r="W89" s="291" t="str">
        <f>IF(V89="","",IF(AND(V89="N/A - Culvert",C89&lt;&gt;"Culvert"),"Not possible ▲",IF(AND(C89="Culvert",V89&lt;&gt;"N/A - Culvert"),"Not possible ▲",IF(VLOOKUP(V89,'G-7 WaterC'' Data'!$AA$4:$AB$7,2,FALSE)=0,"Spatial Data Missing ⚠",VLOOKUP(V89,'G-7 WaterC'' Data'!$AA$4:$AB$7,2,FALSE)))))</f>
        <v/>
      </c>
      <c r="X89" s="44"/>
      <c r="Y89" s="291" t="str">
        <f>IF(X89="","",IF(AND(X89="N/A - Culvert", C89&lt;&gt;"Culvert"), "Not possible ▲",IF(AND(C89="Culvert",X89&lt;&gt;"N/A - Culvert"),"Not possible ▲",IF(VLOOKUP(X89,'G-7 WaterC'' Data'!$AD$4:$AE$14,2,FALSE)=0,"Enrcoachment Data Missing ⚠",VLOOKUP(X89,'G-7 WaterC'' Data'!$AD$4:$AE$14,2,FALSE)))))</f>
        <v/>
      </c>
      <c r="Z89" s="332" t="str">
        <f t="shared" si="9"/>
        <v/>
      </c>
      <c r="AA89" s="98"/>
      <c r="AB89" s="99"/>
      <c r="AC89" s="101"/>
      <c r="AH89" s="15" t="str">
        <f>IFERROR(INDEX('G-7 WaterC'' Data'!$AZ$3:$AZ$7,MATCH(C89,'G-7 WaterC'' Data'!$AY$3:$AY$7,0)),"")</f>
        <v/>
      </c>
    </row>
    <row r="90" spans="2:34" ht="14" x14ac:dyDescent="0.3">
      <c r="B90" s="92">
        <v>79</v>
      </c>
      <c r="C90" s="119"/>
      <c r="D90" s="120"/>
      <c r="E90" s="290" t="str">
        <f>IF(C90="","",VLOOKUP(C90,'G-7 WaterC'' Data'!$B$2:$G$8,2,FALSE))</f>
        <v/>
      </c>
      <c r="F90" s="291" t="str">
        <f>IFERROR(VLOOKUP(E90,'G-7 WaterC'' Data'!$C$4:$D$8,2,FALSE),"")</f>
        <v/>
      </c>
      <c r="G90" s="95"/>
      <c r="H90" s="291" t="str">
        <f>IFERROR(INDEX('G-7 WaterC'' Data'!$H$4:$L$8,MATCH(C90,'G-7 WaterC'' Data'!$B$4:$B$8,0),MATCH(G90,'G-7 WaterC'' Data'!$H$3:$L$3,0)),"")</f>
        <v/>
      </c>
      <c r="I90" s="38"/>
      <c r="J90" s="298" t="str">
        <f>IF(I90="","",IF(VLOOKUP(I90,'G-7 WaterC'' Data'!$AK$4:$AM$6,2,FALSE)=0,"Spatial Data Missing ⚠",VLOOKUP(I90,'G-7 WaterC'' Data'!$AK$4:$AM$6,2,FALSE)))</f>
        <v/>
      </c>
      <c r="K90" s="291" t="str">
        <f>IF(I90="","",IF(VLOOKUP(I90,'G-7 WaterC'' Data'!$AK$4:$AM$6,3,FALSE)=0,"Spatial Data Missing ⚠",VLOOKUP(I90,'G-7 WaterC'' Data'!$AK$4:$AM$6,3,FALSE)))</f>
        <v/>
      </c>
      <c r="L90" s="290" t="str">
        <f>IFERROR(INDEX('G-7 WaterC'' Data'!$O$3:$O$7,MATCH(G90,'G-7 WaterC'' Data'!$N$3:$N$7,0)),"")</f>
        <v/>
      </c>
      <c r="M90" s="47"/>
      <c r="N90" s="138"/>
      <c r="O90" s="298" t="str">
        <f t="shared" si="5"/>
        <v/>
      </c>
      <c r="P90" s="311" t="str">
        <f t="shared" si="6"/>
        <v/>
      </c>
      <c r="Q90" s="344" t="str">
        <f>IFERROR(IF(P90="Check Data ⚠","Check Data ⚠",VLOOKUP(P90,'G-4 Temporal multipliers'!$A$4:$C$37,3,FALSE)),"")</f>
        <v/>
      </c>
      <c r="R90" s="290" t="str">
        <f>IF(C90="","",VLOOKUP(C90,'G-7 WaterC'' Data'!$B$4:$G$8,4,FALSE))</f>
        <v/>
      </c>
      <c r="S90" s="298" t="str">
        <f t="shared" si="7"/>
        <v/>
      </c>
      <c r="T90" s="328" t="str">
        <f t="shared" si="8"/>
        <v/>
      </c>
      <c r="U90" s="291" t="str">
        <f>IF(C90="","",VLOOKUP(T90,'G-3 Multipliers'!$P$2:$Q$6,2,FALSE))</f>
        <v/>
      </c>
      <c r="V90" s="96"/>
      <c r="W90" s="291" t="str">
        <f>IF(V90="","",IF(AND(V90="N/A - Culvert",C90&lt;&gt;"Culvert"),"Not possible ▲",IF(AND(C90="Culvert",V90&lt;&gt;"N/A - Culvert"),"Not possible ▲",IF(VLOOKUP(V90,'G-7 WaterC'' Data'!$AA$4:$AB$7,2,FALSE)=0,"Spatial Data Missing ⚠",VLOOKUP(V90,'G-7 WaterC'' Data'!$AA$4:$AB$7,2,FALSE)))))</f>
        <v/>
      </c>
      <c r="X90" s="44"/>
      <c r="Y90" s="291" t="str">
        <f>IF(X90="","",IF(AND(X90="N/A - Culvert", C90&lt;&gt;"Culvert"), "Not possible ▲",IF(AND(C90="Culvert",X90&lt;&gt;"N/A - Culvert"),"Not possible ▲",IF(VLOOKUP(X90,'G-7 WaterC'' Data'!$AD$4:$AE$14,2,FALSE)=0,"Enrcoachment Data Missing ⚠",VLOOKUP(X90,'G-7 WaterC'' Data'!$AD$4:$AE$14,2,FALSE)))))</f>
        <v/>
      </c>
      <c r="Z90" s="332" t="str">
        <f t="shared" si="9"/>
        <v/>
      </c>
      <c r="AA90" s="98"/>
      <c r="AB90" s="99"/>
      <c r="AC90" s="101"/>
      <c r="AH90" s="15" t="str">
        <f>IFERROR(INDEX('G-7 WaterC'' Data'!$AZ$3:$AZ$7,MATCH(C90,'G-7 WaterC'' Data'!$AY$3:$AY$7,0)),"")</f>
        <v/>
      </c>
    </row>
    <row r="91" spans="2:34" ht="14" x14ac:dyDescent="0.3">
      <c r="B91" s="92">
        <v>80</v>
      </c>
      <c r="C91" s="119"/>
      <c r="D91" s="120"/>
      <c r="E91" s="290" t="str">
        <f>IF(C91="","",VLOOKUP(C91,'G-7 WaterC'' Data'!$B$2:$G$8,2,FALSE))</f>
        <v/>
      </c>
      <c r="F91" s="291" t="str">
        <f>IFERROR(VLOOKUP(E91,'G-7 WaterC'' Data'!$C$4:$D$8,2,FALSE),"")</f>
        <v/>
      </c>
      <c r="G91" s="95"/>
      <c r="H91" s="291" t="str">
        <f>IFERROR(INDEX('G-7 WaterC'' Data'!$H$4:$L$8,MATCH(C91,'G-7 WaterC'' Data'!$B$4:$B$8,0),MATCH(G91,'G-7 WaterC'' Data'!$H$3:$L$3,0)),"")</f>
        <v/>
      </c>
      <c r="I91" s="38"/>
      <c r="J91" s="298" t="str">
        <f>IF(I91="","",IF(VLOOKUP(I91,'G-7 WaterC'' Data'!$AK$4:$AM$6,2,FALSE)=0,"Spatial Data Missing ⚠",VLOOKUP(I91,'G-7 WaterC'' Data'!$AK$4:$AM$6,2,FALSE)))</f>
        <v/>
      </c>
      <c r="K91" s="291" t="str">
        <f>IF(I91="","",IF(VLOOKUP(I91,'G-7 WaterC'' Data'!$AK$4:$AM$6,3,FALSE)=0,"Spatial Data Missing ⚠",VLOOKUP(I91,'G-7 WaterC'' Data'!$AK$4:$AM$6,3,FALSE)))</f>
        <v/>
      </c>
      <c r="L91" s="290" t="str">
        <f>IFERROR(INDEX('G-7 WaterC'' Data'!$O$3:$O$7,MATCH(G91,'G-7 WaterC'' Data'!$N$3:$N$7,0)),"")</f>
        <v/>
      </c>
      <c r="M91" s="47"/>
      <c r="N91" s="138"/>
      <c r="O91" s="298" t="str">
        <f t="shared" si="5"/>
        <v/>
      </c>
      <c r="P91" s="311" t="str">
        <f t="shared" si="6"/>
        <v/>
      </c>
      <c r="Q91" s="344" t="str">
        <f>IFERROR(IF(P91="Check Data ⚠","Check Data ⚠",VLOOKUP(P91,'G-4 Temporal multipliers'!$A$4:$C$37,3,FALSE)),"")</f>
        <v/>
      </c>
      <c r="R91" s="290" t="str">
        <f>IF(C91="","",VLOOKUP(C91,'G-7 WaterC'' Data'!$B$4:$G$8,4,FALSE))</f>
        <v/>
      </c>
      <c r="S91" s="298" t="str">
        <f t="shared" si="7"/>
        <v/>
      </c>
      <c r="T91" s="328" t="str">
        <f t="shared" si="8"/>
        <v/>
      </c>
      <c r="U91" s="291" t="str">
        <f>IF(C91="","",VLOOKUP(T91,'G-3 Multipliers'!$P$2:$Q$6,2,FALSE))</f>
        <v/>
      </c>
      <c r="V91" s="96"/>
      <c r="W91" s="291" t="str">
        <f>IF(V91="","",IF(AND(V91="N/A - Culvert",C91&lt;&gt;"Culvert"),"Not possible ▲",IF(AND(C91="Culvert",V91&lt;&gt;"N/A - Culvert"),"Not possible ▲",IF(VLOOKUP(V91,'G-7 WaterC'' Data'!$AA$4:$AB$7,2,FALSE)=0,"Spatial Data Missing ⚠",VLOOKUP(V91,'G-7 WaterC'' Data'!$AA$4:$AB$7,2,FALSE)))))</f>
        <v/>
      </c>
      <c r="X91" s="44"/>
      <c r="Y91" s="291" t="str">
        <f>IF(X91="","",IF(AND(X91="N/A - Culvert", C91&lt;&gt;"Culvert"), "Not possible ▲",IF(AND(C91="Culvert",X91&lt;&gt;"N/A - Culvert"),"Not possible ▲",IF(VLOOKUP(X91,'G-7 WaterC'' Data'!$AD$4:$AE$14,2,FALSE)=0,"Enrcoachment Data Missing ⚠",VLOOKUP(X91,'G-7 WaterC'' Data'!$AD$4:$AE$14,2,FALSE)))))</f>
        <v/>
      </c>
      <c r="Z91" s="332" t="str">
        <f t="shared" si="9"/>
        <v/>
      </c>
      <c r="AA91" s="98"/>
      <c r="AB91" s="99"/>
      <c r="AC91" s="101"/>
      <c r="AH91" s="15" t="str">
        <f>IFERROR(INDEX('G-7 WaterC'' Data'!$AZ$3:$AZ$7,MATCH(C91,'G-7 WaterC'' Data'!$AY$3:$AY$7,0)),"")</f>
        <v/>
      </c>
    </row>
    <row r="92" spans="2:34" ht="14" x14ac:dyDescent="0.3">
      <c r="B92" s="92">
        <v>81</v>
      </c>
      <c r="C92" s="119"/>
      <c r="D92" s="120"/>
      <c r="E92" s="290" t="str">
        <f>IF(C92="","",VLOOKUP(C92,'G-7 WaterC'' Data'!$B$2:$G$8,2,FALSE))</f>
        <v/>
      </c>
      <c r="F92" s="291" t="str">
        <f>IFERROR(VLOOKUP(E92,'G-7 WaterC'' Data'!$C$4:$D$8,2,FALSE),"")</f>
        <v/>
      </c>
      <c r="G92" s="95"/>
      <c r="H92" s="291" t="str">
        <f>IFERROR(INDEX('G-7 WaterC'' Data'!$H$4:$L$8,MATCH(C92,'G-7 WaterC'' Data'!$B$4:$B$8,0),MATCH(G92,'G-7 WaterC'' Data'!$H$3:$L$3,0)),"")</f>
        <v/>
      </c>
      <c r="I92" s="38"/>
      <c r="J92" s="298" t="str">
        <f>IF(I92="","",IF(VLOOKUP(I92,'G-7 WaterC'' Data'!$AK$4:$AM$6,2,FALSE)=0,"Spatial Data Missing ⚠",VLOOKUP(I92,'G-7 WaterC'' Data'!$AK$4:$AM$6,2,FALSE)))</f>
        <v/>
      </c>
      <c r="K92" s="291" t="str">
        <f>IF(I92="","",IF(VLOOKUP(I92,'G-7 WaterC'' Data'!$AK$4:$AM$6,3,FALSE)=0,"Spatial Data Missing ⚠",VLOOKUP(I92,'G-7 WaterC'' Data'!$AK$4:$AM$6,3,FALSE)))</f>
        <v/>
      </c>
      <c r="L92" s="290" t="str">
        <f>IFERROR(INDEX('G-7 WaterC'' Data'!$O$3:$O$7,MATCH(G92,'G-7 WaterC'' Data'!$N$3:$N$7,0)),"")</f>
        <v/>
      </c>
      <c r="M92" s="47"/>
      <c r="N92" s="138"/>
      <c r="O92" s="298" t="str">
        <f t="shared" si="5"/>
        <v/>
      </c>
      <c r="P92" s="311" t="str">
        <f t="shared" si="6"/>
        <v/>
      </c>
      <c r="Q92" s="344" t="str">
        <f>IFERROR(IF(P92="Check Data ⚠","Check Data ⚠",VLOOKUP(P92,'G-4 Temporal multipliers'!$A$4:$C$37,3,FALSE)),"")</f>
        <v/>
      </c>
      <c r="R92" s="290" t="str">
        <f>IF(C92="","",VLOOKUP(C92,'G-7 WaterC'' Data'!$B$4:$G$8,4,FALSE))</f>
        <v/>
      </c>
      <c r="S92" s="298" t="str">
        <f t="shared" si="7"/>
        <v/>
      </c>
      <c r="T92" s="328" t="str">
        <f t="shared" si="8"/>
        <v/>
      </c>
      <c r="U92" s="291" t="str">
        <f>IF(C92="","",VLOOKUP(T92,'G-3 Multipliers'!$P$2:$Q$6,2,FALSE))</f>
        <v/>
      </c>
      <c r="V92" s="96"/>
      <c r="W92" s="291" t="str">
        <f>IF(V92="","",IF(AND(V92="N/A - Culvert",C92&lt;&gt;"Culvert"),"Not possible ▲",IF(AND(C92="Culvert",V92&lt;&gt;"N/A - Culvert"),"Not possible ▲",IF(VLOOKUP(V92,'G-7 WaterC'' Data'!$AA$4:$AB$7,2,FALSE)=0,"Spatial Data Missing ⚠",VLOOKUP(V92,'G-7 WaterC'' Data'!$AA$4:$AB$7,2,FALSE)))))</f>
        <v/>
      </c>
      <c r="X92" s="44"/>
      <c r="Y92" s="291" t="str">
        <f>IF(X92="","",IF(AND(X92="N/A - Culvert", C92&lt;&gt;"Culvert"), "Not possible ▲",IF(AND(C92="Culvert",X92&lt;&gt;"N/A - Culvert"),"Not possible ▲",IF(VLOOKUP(X92,'G-7 WaterC'' Data'!$AD$4:$AE$14,2,FALSE)=0,"Enrcoachment Data Missing ⚠",VLOOKUP(X92,'G-7 WaterC'' Data'!$AD$4:$AE$14,2,FALSE)))))</f>
        <v/>
      </c>
      <c r="Z92" s="332" t="str">
        <f t="shared" si="9"/>
        <v/>
      </c>
      <c r="AA92" s="98"/>
      <c r="AB92" s="99"/>
      <c r="AC92" s="101"/>
      <c r="AH92" s="15" t="str">
        <f>IFERROR(INDEX('G-7 WaterC'' Data'!$AZ$3:$AZ$7,MATCH(C92,'G-7 WaterC'' Data'!$AY$3:$AY$7,0)),"")</f>
        <v/>
      </c>
    </row>
    <row r="93" spans="2:34" ht="14" x14ac:dyDescent="0.3">
      <c r="B93" s="92">
        <v>82</v>
      </c>
      <c r="C93" s="119"/>
      <c r="D93" s="120"/>
      <c r="E93" s="290" t="str">
        <f>IF(C93="","",VLOOKUP(C93,'G-7 WaterC'' Data'!$B$2:$G$8,2,FALSE))</f>
        <v/>
      </c>
      <c r="F93" s="291" t="str">
        <f>IFERROR(VLOOKUP(E93,'G-7 WaterC'' Data'!$C$4:$D$8,2,FALSE),"")</f>
        <v/>
      </c>
      <c r="G93" s="95"/>
      <c r="H93" s="291" t="str">
        <f>IFERROR(INDEX('G-7 WaterC'' Data'!$H$4:$L$8,MATCH(C93,'G-7 WaterC'' Data'!$B$4:$B$8,0),MATCH(G93,'G-7 WaterC'' Data'!$H$3:$L$3,0)),"")</f>
        <v/>
      </c>
      <c r="I93" s="38"/>
      <c r="J93" s="298" t="str">
        <f>IF(I93="","",IF(VLOOKUP(I93,'G-7 WaterC'' Data'!$AK$4:$AM$6,2,FALSE)=0,"Spatial Data Missing ⚠",VLOOKUP(I93,'G-7 WaterC'' Data'!$AK$4:$AM$6,2,FALSE)))</f>
        <v/>
      </c>
      <c r="K93" s="291" t="str">
        <f>IF(I93="","",IF(VLOOKUP(I93,'G-7 WaterC'' Data'!$AK$4:$AM$6,3,FALSE)=0,"Spatial Data Missing ⚠",VLOOKUP(I93,'G-7 WaterC'' Data'!$AK$4:$AM$6,3,FALSE)))</f>
        <v/>
      </c>
      <c r="L93" s="290" t="str">
        <f>IFERROR(INDEX('G-7 WaterC'' Data'!$O$3:$O$7,MATCH(G93,'G-7 WaterC'' Data'!$N$3:$N$7,0)),"")</f>
        <v/>
      </c>
      <c r="M93" s="47"/>
      <c r="N93" s="138"/>
      <c r="O93" s="298" t="str">
        <f t="shared" si="5"/>
        <v/>
      </c>
      <c r="P93" s="311" t="str">
        <f t="shared" si="6"/>
        <v/>
      </c>
      <c r="Q93" s="344" t="str">
        <f>IFERROR(IF(P93="Check Data ⚠","Check Data ⚠",VLOOKUP(P93,'G-4 Temporal multipliers'!$A$4:$C$37,3,FALSE)),"")</f>
        <v/>
      </c>
      <c r="R93" s="290" t="str">
        <f>IF(C93="","",VLOOKUP(C93,'G-7 WaterC'' Data'!$B$4:$G$8,4,FALSE))</f>
        <v/>
      </c>
      <c r="S93" s="298" t="str">
        <f t="shared" si="7"/>
        <v/>
      </c>
      <c r="T93" s="328" t="str">
        <f t="shared" si="8"/>
        <v/>
      </c>
      <c r="U93" s="291" t="str">
        <f>IF(C93="","",VLOOKUP(T93,'G-3 Multipliers'!$P$2:$Q$6,2,FALSE))</f>
        <v/>
      </c>
      <c r="V93" s="96"/>
      <c r="W93" s="291" t="str">
        <f>IF(V93="","",IF(AND(V93="N/A - Culvert",C93&lt;&gt;"Culvert"),"Not possible ▲",IF(AND(C93="Culvert",V93&lt;&gt;"N/A - Culvert"),"Not possible ▲",IF(VLOOKUP(V93,'G-7 WaterC'' Data'!$AA$4:$AB$7,2,FALSE)=0,"Spatial Data Missing ⚠",VLOOKUP(V93,'G-7 WaterC'' Data'!$AA$4:$AB$7,2,FALSE)))))</f>
        <v/>
      </c>
      <c r="X93" s="44"/>
      <c r="Y93" s="291" t="str">
        <f>IF(X93="","",IF(AND(X93="N/A - Culvert", C93&lt;&gt;"Culvert"), "Not possible ▲",IF(AND(C93="Culvert",X93&lt;&gt;"N/A - Culvert"),"Not possible ▲",IF(VLOOKUP(X93,'G-7 WaterC'' Data'!$AD$4:$AE$14,2,FALSE)=0,"Enrcoachment Data Missing ⚠",VLOOKUP(X93,'G-7 WaterC'' Data'!$AD$4:$AE$14,2,FALSE)))))</f>
        <v/>
      </c>
      <c r="Z93" s="332" t="str">
        <f t="shared" si="9"/>
        <v/>
      </c>
      <c r="AA93" s="98"/>
      <c r="AB93" s="99"/>
      <c r="AC93" s="101"/>
      <c r="AH93" s="15" t="str">
        <f>IFERROR(INDEX('G-7 WaterC'' Data'!$AZ$3:$AZ$7,MATCH(C93,'G-7 WaterC'' Data'!$AY$3:$AY$7,0)),"")</f>
        <v/>
      </c>
    </row>
    <row r="94" spans="2:34" ht="14" x14ac:dyDescent="0.3">
      <c r="B94" s="92">
        <v>83</v>
      </c>
      <c r="C94" s="119"/>
      <c r="D94" s="120"/>
      <c r="E94" s="290" t="str">
        <f>IF(C94="","",VLOOKUP(C94,'G-7 WaterC'' Data'!$B$2:$G$8,2,FALSE))</f>
        <v/>
      </c>
      <c r="F94" s="291" t="str">
        <f>IFERROR(VLOOKUP(E94,'G-7 WaterC'' Data'!$C$4:$D$8,2,FALSE),"")</f>
        <v/>
      </c>
      <c r="G94" s="95"/>
      <c r="H94" s="291" t="str">
        <f>IFERROR(INDEX('G-7 WaterC'' Data'!$H$4:$L$8,MATCH(C94,'G-7 WaterC'' Data'!$B$4:$B$8,0),MATCH(G94,'G-7 WaterC'' Data'!$H$3:$L$3,0)),"")</f>
        <v/>
      </c>
      <c r="I94" s="38"/>
      <c r="J94" s="298" t="str">
        <f>IF(I94="","",IF(VLOOKUP(I94,'G-7 WaterC'' Data'!$AK$4:$AM$6,2,FALSE)=0,"Spatial Data Missing ⚠",VLOOKUP(I94,'G-7 WaterC'' Data'!$AK$4:$AM$6,2,FALSE)))</f>
        <v/>
      </c>
      <c r="K94" s="291" t="str">
        <f>IF(I94="","",IF(VLOOKUP(I94,'G-7 WaterC'' Data'!$AK$4:$AM$6,3,FALSE)=0,"Spatial Data Missing ⚠",VLOOKUP(I94,'G-7 WaterC'' Data'!$AK$4:$AM$6,3,FALSE)))</f>
        <v/>
      </c>
      <c r="L94" s="290" t="str">
        <f>IFERROR(INDEX('G-7 WaterC'' Data'!$O$3:$O$7,MATCH(G94,'G-7 WaterC'' Data'!$N$3:$N$7,0)),"")</f>
        <v/>
      </c>
      <c r="M94" s="47"/>
      <c r="N94" s="138"/>
      <c r="O94" s="298" t="str">
        <f t="shared" si="5"/>
        <v/>
      </c>
      <c r="P94" s="311" t="str">
        <f t="shared" si="6"/>
        <v/>
      </c>
      <c r="Q94" s="344" t="str">
        <f>IFERROR(IF(P94="Check Data ⚠","Check Data ⚠",VLOOKUP(P94,'G-4 Temporal multipliers'!$A$4:$C$37,3,FALSE)),"")</f>
        <v/>
      </c>
      <c r="R94" s="290" t="str">
        <f>IF(C94="","",VLOOKUP(C94,'G-7 WaterC'' Data'!$B$4:$G$8,4,FALSE))</f>
        <v/>
      </c>
      <c r="S94" s="298" t="str">
        <f t="shared" si="7"/>
        <v/>
      </c>
      <c r="T94" s="328" t="str">
        <f t="shared" si="8"/>
        <v/>
      </c>
      <c r="U94" s="291" t="str">
        <f>IF(C94="","",VLOOKUP(T94,'G-3 Multipliers'!$P$2:$Q$6,2,FALSE))</f>
        <v/>
      </c>
      <c r="V94" s="96"/>
      <c r="W94" s="291" t="str">
        <f>IF(V94="","",IF(AND(V94="N/A - Culvert",C94&lt;&gt;"Culvert"),"Not possible ▲",IF(AND(C94="Culvert",V94&lt;&gt;"N/A - Culvert"),"Not possible ▲",IF(VLOOKUP(V94,'G-7 WaterC'' Data'!$AA$4:$AB$7,2,FALSE)=0,"Spatial Data Missing ⚠",VLOOKUP(V94,'G-7 WaterC'' Data'!$AA$4:$AB$7,2,FALSE)))))</f>
        <v/>
      </c>
      <c r="X94" s="44"/>
      <c r="Y94" s="291" t="str">
        <f>IF(X94="","",IF(AND(X94="N/A - Culvert", C94&lt;&gt;"Culvert"), "Not possible ▲",IF(AND(C94="Culvert",X94&lt;&gt;"N/A - Culvert"),"Not possible ▲",IF(VLOOKUP(X94,'G-7 WaterC'' Data'!$AD$4:$AE$14,2,FALSE)=0,"Enrcoachment Data Missing ⚠",VLOOKUP(X94,'G-7 WaterC'' Data'!$AD$4:$AE$14,2,FALSE)))))</f>
        <v/>
      </c>
      <c r="Z94" s="332" t="str">
        <f t="shared" si="9"/>
        <v/>
      </c>
      <c r="AA94" s="98"/>
      <c r="AB94" s="99"/>
      <c r="AC94" s="101"/>
      <c r="AH94" s="15" t="str">
        <f>IFERROR(INDEX('G-7 WaterC'' Data'!$AZ$3:$AZ$7,MATCH(C94,'G-7 WaterC'' Data'!$AY$3:$AY$7,0)),"")</f>
        <v/>
      </c>
    </row>
    <row r="95" spans="2:34" ht="14" x14ac:dyDescent="0.3">
      <c r="B95" s="92">
        <v>84</v>
      </c>
      <c r="C95" s="119"/>
      <c r="D95" s="120"/>
      <c r="E95" s="290" t="str">
        <f>IF(C95="","",VLOOKUP(C95,'G-7 WaterC'' Data'!$B$2:$G$8,2,FALSE))</f>
        <v/>
      </c>
      <c r="F95" s="291" t="str">
        <f>IFERROR(VLOOKUP(E95,'G-7 WaterC'' Data'!$C$4:$D$8,2,FALSE),"")</f>
        <v/>
      </c>
      <c r="G95" s="95"/>
      <c r="H95" s="291" t="str">
        <f>IFERROR(INDEX('G-7 WaterC'' Data'!$H$4:$L$8,MATCH(C95,'G-7 WaterC'' Data'!$B$4:$B$8,0),MATCH(G95,'G-7 WaterC'' Data'!$H$3:$L$3,0)),"")</f>
        <v/>
      </c>
      <c r="I95" s="38"/>
      <c r="J95" s="298" t="str">
        <f>IF(I95="","",IF(VLOOKUP(I95,'G-7 WaterC'' Data'!$AK$4:$AM$6,2,FALSE)=0,"Spatial Data Missing ⚠",VLOOKUP(I95,'G-7 WaterC'' Data'!$AK$4:$AM$6,2,FALSE)))</f>
        <v/>
      </c>
      <c r="K95" s="291" t="str">
        <f>IF(I95="","",IF(VLOOKUP(I95,'G-7 WaterC'' Data'!$AK$4:$AM$6,3,FALSE)=0,"Spatial Data Missing ⚠",VLOOKUP(I95,'G-7 WaterC'' Data'!$AK$4:$AM$6,3,FALSE)))</f>
        <v/>
      </c>
      <c r="L95" s="290" t="str">
        <f>IFERROR(INDEX('G-7 WaterC'' Data'!$O$3:$O$7,MATCH(G95,'G-7 WaterC'' Data'!$N$3:$N$7,0)),"")</f>
        <v/>
      </c>
      <c r="M95" s="47"/>
      <c r="N95" s="138"/>
      <c r="O95" s="298" t="str">
        <f t="shared" si="5"/>
        <v/>
      </c>
      <c r="P95" s="311" t="str">
        <f t="shared" si="6"/>
        <v/>
      </c>
      <c r="Q95" s="344" t="str">
        <f>IFERROR(IF(P95="Check Data ⚠","Check Data ⚠",VLOOKUP(P95,'G-4 Temporal multipliers'!$A$4:$C$37,3,FALSE)),"")</f>
        <v/>
      </c>
      <c r="R95" s="290" t="str">
        <f>IF(C95="","",VLOOKUP(C95,'G-7 WaterC'' Data'!$B$4:$G$8,4,FALSE))</f>
        <v/>
      </c>
      <c r="S95" s="298" t="str">
        <f t="shared" si="7"/>
        <v/>
      </c>
      <c r="T95" s="328" t="str">
        <f t="shared" si="8"/>
        <v/>
      </c>
      <c r="U95" s="291" t="str">
        <f>IF(C95="","",VLOOKUP(T95,'G-3 Multipliers'!$P$2:$Q$6,2,FALSE))</f>
        <v/>
      </c>
      <c r="V95" s="96"/>
      <c r="W95" s="291" t="str">
        <f>IF(V95="","",IF(AND(V95="N/A - Culvert",C95&lt;&gt;"Culvert"),"Not possible ▲",IF(AND(C95="Culvert",V95&lt;&gt;"N/A - Culvert"),"Not possible ▲",IF(VLOOKUP(V95,'G-7 WaterC'' Data'!$AA$4:$AB$7,2,FALSE)=0,"Spatial Data Missing ⚠",VLOOKUP(V95,'G-7 WaterC'' Data'!$AA$4:$AB$7,2,FALSE)))))</f>
        <v/>
      </c>
      <c r="X95" s="44"/>
      <c r="Y95" s="291" t="str">
        <f>IF(X95="","",IF(AND(X95="N/A - Culvert", C95&lt;&gt;"Culvert"), "Not possible ▲",IF(AND(C95="Culvert",X95&lt;&gt;"N/A - Culvert"),"Not possible ▲",IF(VLOOKUP(X95,'G-7 WaterC'' Data'!$AD$4:$AE$14,2,FALSE)=0,"Enrcoachment Data Missing ⚠",VLOOKUP(X95,'G-7 WaterC'' Data'!$AD$4:$AE$14,2,FALSE)))))</f>
        <v/>
      </c>
      <c r="Z95" s="332" t="str">
        <f t="shared" si="9"/>
        <v/>
      </c>
      <c r="AA95" s="98"/>
      <c r="AB95" s="99"/>
      <c r="AC95" s="101"/>
      <c r="AH95" s="15" t="str">
        <f>IFERROR(INDEX('G-7 WaterC'' Data'!$AZ$3:$AZ$7,MATCH(C95,'G-7 WaterC'' Data'!$AY$3:$AY$7,0)),"")</f>
        <v/>
      </c>
    </row>
    <row r="96" spans="2:34" ht="14" x14ac:dyDescent="0.3">
      <c r="B96" s="92">
        <v>85</v>
      </c>
      <c r="C96" s="119"/>
      <c r="D96" s="120"/>
      <c r="E96" s="290" t="str">
        <f>IF(C96="","",VLOOKUP(C96,'G-7 WaterC'' Data'!$B$2:$G$8,2,FALSE))</f>
        <v/>
      </c>
      <c r="F96" s="291" t="str">
        <f>IFERROR(VLOOKUP(E96,'G-7 WaterC'' Data'!$C$4:$D$8,2,FALSE),"")</f>
        <v/>
      </c>
      <c r="G96" s="95"/>
      <c r="H96" s="291" t="str">
        <f>IFERROR(INDEX('G-7 WaterC'' Data'!$H$4:$L$8,MATCH(C96,'G-7 WaterC'' Data'!$B$4:$B$8,0),MATCH(G96,'G-7 WaterC'' Data'!$H$3:$L$3,0)),"")</f>
        <v/>
      </c>
      <c r="I96" s="38"/>
      <c r="J96" s="298" t="str">
        <f>IF(I96="","",IF(VLOOKUP(I96,'G-7 WaterC'' Data'!$AK$4:$AM$6,2,FALSE)=0,"Spatial Data Missing ⚠",VLOOKUP(I96,'G-7 WaterC'' Data'!$AK$4:$AM$6,2,FALSE)))</f>
        <v/>
      </c>
      <c r="K96" s="291" t="str">
        <f>IF(I96="","",IF(VLOOKUP(I96,'G-7 WaterC'' Data'!$AK$4:$AM$6,3,FALSE)=0,"Spatial Data Missing ⚠",VLOOKUP(I96,'G-7 WaterC'' Data'!$AK$4:$AM$6,3,FALSE)))</f>
        <v/>
      </c>
      <c r="L96" s="290" t="str">
        <f>IFERROR(INDEX('G-7 WaterC'' Data'!$O$3:$O$7,MATCH(G96,'G-7 WaterC'' Data'!$N$3:$N$7,0)),"")</f>
        <v/>
      </c>
      <c r="M96" s="47"/>
      <c r="N96" s="138"/>
      <c r="O96" s="298" t="str">
        <f t="shared" si="5"/>
        <v/>
      </c>
      <c r="P96" s="311" t="str">
        <f t="shared" si="6"/>
        <v/>
      </c>
      <c r="Q96" s="344" t="str">
        <f>IFERROR(IF(P96="Check Data ⚠","Check Data ⚠",VLOOKUP(P96,'G-4 Temporal multipliers'!$A$4:$C$37,3,FALSE)),"")</f>
        <v/>
      </c>
      <c r="R96" s="290" t="str">
        <f>IF(C96="","",VLOOKUP(C96,'G-7 WaterC'' Data'!$B$4:$G$8,4,FALSE))</f>
        <v/>
      </c>
      <c r="S96" s="298" t="str">
        <f t="shared" si="7"/>
        <v/>
      </c>
      <c r="T96" s="328" t="str">
        <f t="shared" si="8"/>
        <v/>
      </c>
      <c r="U96" s="291" t="str">
        <f>IF(C96="","",VLOOKUP(T96,'G-3 Multipliers'!$P$2:$Q$6,2,FALSE))</f>
        <v/>
      </c>
      <c r="V96" s="96"/>
      <c r="W96" s="291" t="str">
        <f>IF(V96="","",IF(AND(V96="N/A - Culvert",C96&lt;&gt;"Culvert"),"Not possible ▲",IF(AND(C96="Culvert",V96&lt;&gt;"N/A - Culvert"),"Not possible ▲",IF(VLOOKUP(V96,'G-7 WaterC'' Data'!$AA$4:$AB$7,2,FALSE)=0,"Spatial Data Missing ⚠",VLOOKUP(V96,'G-7 WaterC'' Data'!$AA$4:$AB$7,2,FALSE)))))</f>
        <v/>
      </c>
      <c r="X96" s="44"/>
      <c r="Y96" s="291" t="str">
        <f>IF(X96="","",IF(AND(X96="N/A - Culvert", C96&lt;&gt;"Culvert"), "Not possible ▲",IF(AND(C96="Culvert",X96&lt;&gt;"N/A - Culvert"),"Not possible ▲",IF(VLOOKUP(X96,'G-7 WaterC'' Data'!$AD$4:$AE$14,2,FALSE)=0,"Enrcoachment Data Missing ⚠",VLOOKUP(X96,'G-7 WaterC'' Data'!$AD$4:$AE$14,2,FALSE)))))</f>
        <v/>
      </c>
      <c r="Z96" s="332" t="str">
        <f t="shared" si="9"/>
        <v/>
      </c>
      <c r="AA96" s="98"/>
      <c r="AB96" s="99"/>
      <c r="AC96" s="101"/>
      <c r="AH96" s="15" t="str">
        <f>IFERROR(INDEX('G-7 WaterC'' Data'!$AZ$3:$AZ$7,MATCH(C96,'G-7 WaterC'' Data'!$AY$3:$AY$7,0)),"")</f>
        <v/>
      </c>
    </row>
    <row r="97" spans="2:34" ht="14" x14ac:dyDescent="0.3">
      <c r="B97" s="92">
        <v>86</v>
      </c>
      <c r="C97" s="119"/>
      <c r="D97" s="120"/>
      <c r="E97" s="290" t="str">
        <f>IF(C97="","",VLOOKUP(C97,'G-7 WaterC'' Data'!$B$2:$G$8,2,FALSE))</f>
        <v/>
      </c>
      <c r="F97" s="291" t="str">
        <f>IFERROR(VLOOKUP(E97,'G-7 WaterC'' Data'!$C$4:$D$8,2,FALSE),"")</f>
        <v/>
      </c>
      <c r="G97" s="95"/>
      <c r="H97" s="291" t="str">
        <f>IFERROR(INDEX('G-7 WaterC'' Data'!$H$4:$L$8,MATCH(C97,'G-7 WaterC'' Data'!$B$4:$B$8,0),MATCH(G97,'G-7 WaterC'' Data'!$H$3:$L$3,0)),"")</f>
        <v/>
      </c>
      <c r="I97" s="38"/>
      <c r="J97" s="298" t="str">
        <f>IF(I97="","",IF(VLOOKUP(I97,'G-7 WaterC'' Data'!$AK$4:$AM$6,2,FALSE)=0,"Spatial Data Missing ⚠",VLOOKUP(I97,'G-7 WaterC'' Data'!$AK$4:$AM$6,2,FALSE)))</f>
        <v/>
      </c>
      <c r="K97" s="291" t="str">
        <f>IF(I97="","",IF(VLOOKUP(I97,'G-7 WaterC'' Data'!$AK$4:$AM$6,3,FALSE)=0,"Spatial Data Missing ⚠",VLOOKUP(I97,'G-7 WaterC'' Data'!$AK$4:$AM$6,3,FALSE)))</f>
        <v/>
      </c>
      <c r="L97" s="290" t="str">
        <f>IFERROR(INDEX('G-7 WaterC'' Data'!$O$3:$O$7,MATCH(G97,'G-7 WaterC'' Data'!$N$3:$N$7,0)),"")</f>
        <v/>
      </c>
      <c r="M97" s="47"/>
      <c r="N97" s="138"/>
      <c r="O97" s="298" t="str">
        <f t="shared" si="5"/>
        <v/>
      </c>
      <c r="P97" s="311" t="str">
        <f t="shared" si="6"/>
        <v/>
      </c>
      <c r="Q97" s="344" t="str">
        <f>IFERROR(IF(P97="Check Data ⚠","Check Data ⚠",VLOOKUP(P97,'G-4 Temporal multipliers'!$A$4:$C$37,3,FALSE)),"")</f>
        <v/>
      </c>
      <c r="R97" s="290" t="str">
        <f>IF(C97="","",VLOOKUP(C97,'G-7 WaterC'' Data'!$B$4:$G$8,4,FALSE))</f>
        <v/>
      </c>
      <c r="S97" s="298" t="str">
        <f t="shared" si="7"/>
        <v/>
      </c>
      <c r="T97" s="328" t="str">
        <f t="shared" si="8"/>
        <v/>
      </c>
      <c r="U97" s="291" t="str">
        <f>IF(C97="","",VLOOKUP(T97,'G-3 Multipliers'!$P$2:$Q$6,2,FALSE))</f>
        <v/>
      </c>
      <c r="V97" s="96"/>
      <c r="W97" s="291" t="str">
        <f>IF(V97="","",IF(AND(V97="N/A - Culvert",C97&lt;&gt;"Culvert"),"Not possible ▲",IF(AND(C97="Culvert",V97&lt;&gt;"N/A - Culvert"),"Not possible ▲",IF(VLOOKUP(V97,'G-7 WaterC'' Data'!$AA$4:$AB$7,2,FALSE)=0,"Spatial Data Missing ⚠",VLOOKUP(V97,'G-7 WaterC'' Data'!$AA$4:$AB$7,2,FALSE)))))</f>
        <v/>
      </c>
      <c r="X97" s="44"/>
      <c r="Y97" s="291" t="str">
        <f>IF(X97="","",IF(AND(X97="N/A - Culvert", C97&lt;&gt;"Culvert"), "Not possible ▲",IF(AND(C97="Culvert",X97&lt;&gt;"N/A - Culvert"),"Not possible ▲",IF(VLOOKUP(X97,'G-7 WaterC'' Data'!$AD$4:$AE$14,2,FALSE)=0,"Enrcoachment Data Missing ⚠",VLOOKUP(X97,'G-7 WaterC'' Data'!$AD$4:$AE$14,2,FALSE)))))</f>
        <v/>
      </c>
      <c r="Z97" s="332" t="str">
        <f t="shared" si="9"/>
        <v/>
      </c>
      <c r="AA97" s="98"/>
      <c r="AB97" s="99"/>
      <c r="AC97" s="101"/>
      <c r="AH97" s="15" t="str">
        <f>IFERROR(INDEX('G-7 WaterC'' Data'!$AZ$3:$AZ$7,MATCH(C97,'G-7 WaterC'' Data'!$AY$3:$AY$7,0)),"")</f>
        <v/>
      </c>
    </row>
    <row r="98" spans="2:34" ht="14" x14ac:dyDescent="0.3">
      <c r="B98" s="92">
        <v>87</v>
      </c>
      <c r="C98" s="119"/>
      <c r="D98" s="120"/>
      <c r="E98" s="290" t="str">
        <f>IF(C98="","",VLOOKUP(C98,'G-7 WaterC'' Data'!$B$2:$G$8,2,FALSE))</f>
        <v/>
      </c>
      <c r="F98" s="291" t="str">
        <f>IFERROR(VLOOKUP(E98,'G-7 WaterC'' Data'!$C$4:$D$8,2,FALSE),"")</f>
        <v/>
      </c>
      <c r="G98" s="95"/>
      <c r="H98" s="291" t="str">
        <f>IFERROR(INDEX('G-7 WaterC'' Data'!$H$4:$L$8,MATCH(C98,'G-7 WaterC'' Data'!$B$4:$B$8,0),MATCH(G98,'G-7 WaterC'' Data'!$H$3:$L$3,0)),"")</f>
        <v/>
      </c>
      <c r="I98" s="38"/>
      <c r="J98" s="298" t="str">
        <f>IF(I98="","",IF(VLOOKUP(I98,'G-7 WaterC'' Data'!$AK$4:$AM$6,2,FALSE)=0,"Spatial Data Missing ⚠",VLOOKUP(I98,'G-7 WaterC'' Data'!$AK$4:$AM$6,2,FALSE)))</f>
        <v/>
      </c>
      <c r="K98" s="291" t="str">
        <f>IF(I98="","",IF(VLOOKUP(I98,'G-7 WaterC'' Data'!$AK$4:$AM$6,3,FALSE)=0,"Spatial Data Missing ⚠",VLOOKUP(I98,'G-7 WaterC'' Data'!$AK$4:$AM$6,3,FALSE)))</f>
        <v/>
      </c>
      <c r="L98" s="290" t="str">
        <f>IFERROR(INDEX('G-7 WaterC'' Data'!$O$3:$O$7,MATCH(G98,'G-7 WaterC'' Data'!$N$3:$N$7,0)),"")</f>
        <v/>
      </c>
      <c r="M98" s="47"/>
      <c r="N98" s="138"/>
      <c r="O98" s="298" t="str">
        <f t="shared" si="5"/>
        <v/>
      </c>
      <c r="P98" s="311" t="str">
        <f t="shared" si="6"/>
        <v/>
      </c>
      <c r="Q98" s="344" t="str">
        <f>IFERROR(IF(P98="Check Data ⚠","Check Data ⚠",VLOOKUP(P98,'G-4 Temporal multipliers'!$A$4:$C$37,3,FALSE)),"")</f>
        <v/>
      </c>
      <c r="R98" s="290" t="str">
        <f>IF(C98="","",VLOOKUP(C98,'G-7 WaterC'' Data'!$B$4:$G$8,4,FALSE))</f>
        <v/>
      </c>
      <c r="S98" s="298" t="str">
        <f t="shared" si="7"/>
        <v/>
      </c>
      <c r="T98" s="328" t="str">
        <f t="shared" si="8"/>
        <v/>
      </c>
      <c r="U98" s="291" t="str">
        <f>IF(C98="","",VLOOKUP(T98,'G-3 Multipliers'!$P$2:$Q$6,2,FALSE))</f>
        <v/>
      </c>
      <c r="V98" s="96"/>
      <c r="W98" s="291" t="str">
        <f>IF(V98="","",IF(AND(V98="N/A - Culvert",C98&lt;&gt;"Culvert"),"Not possible ▲",IF(AND(C98="Culvert",V98&lt;&gt;"N/A - Culvert"),"Not possible ▲",IF(VLOOKUP(V98,'G-7 WaterC'' Data'!$AA$4:$AB$7,2,FALSE)=0,"Spatial Data Missing ⚠",VLOOKUP(V98,'G-7 WaterC'' Data'!$AA$4:$AB$7,2,FALSE)))))</f>
        <v/>
      </c>
      <c r="X98" s="44"/>
      <c r="Y98" s="291" t="str">
        <f>IF(X98="","",IF(AND(X98="N/A - Culvert", C98&lt;&gt;"Culvert"), "Not possible ▲",IF(AND(C98="Culvert",X98&lt;&gt;"N/A - Culvert"),"Not possible ▲",IF(VLOOKUP(X98,'G-7 WaterC'' Data'!$AD$4:$AE$14,2,FALSE)=0,"Enrcoachment Data Missing ⚠",VLOOKUP(X98,'G-7 WaterC'' Data'!$AD$4:$AE$14,2,FALSE)))))</f>
        <v/>
      </c>
      <c r="Z98" s="332" t="str">
        <f t="shared" si="9"/>
        <v/>
      </c>
      <c r="AA98" s="98"/>
      <c r="AB98" s="99"/>
      <c r="AC98" s="101"/>
      <c r="AH98" s="15" t="str">
        <f>IFERROR(INDEX('G-7 WaterC'' Data'!$AZ$3:$AZ$7,MATCH(C98,'G-7 WaterC'' Data'!$AY$3:$AY$7,0)),"")</f>
        <v/>
      </c>
    </row>
    <row r="99" spans="2:34" ht="14" x14ac:dyDescent="0.3">
      <c r="B99" s="92">
        <v>88</v>
      </c>
      <c r="C99" s="119"/>
      <c r="D99" s="120"/>
      <c r="E99" s="290" t="str">
        <f>IF(C99="","",VLOOKUP(C99,'G-7 WaterC'' Data'!$B$2:$G$8,2,FALSE))</f>
        <v/>
      </c>
      <c r="F99" s="291" t="str">
        <f>IFERROR(VLOOKUP(E99,'G-7 WaterC'' Data'!$C$4:$D$8,2,FALSE),"")</f>
        <v/>
      </c>
      <c r="G99" s="95"/>
      <c r="H99" s="291" t="str">
        <f>IFERROR(INDEX('G-7 WaterC'' Data'!$H$4:$L$8,MATCH(C99,'G-7 WaterC'' Data'!$B$4:$B$8,0),MATCH(G99,'G-7 WaterC'' Data'!$H$3:$L$3,0)),"")</f>
        <v/>
      </c>
      <c r="I99" s="38"/>
      <c r="J99" s="298" t="str">
        <f>IF(I99="","",IF(VLOOKUP(I99,'G-7 WaterC'' Data'!$AK$4:$AM$6,2,FALSE)=0,"Spatial Data Missing ⚠",VLOOKUP(I99,'G-7 WaterC'' Data'!$AK$4:$AM$6,2,FALSE)))</f>
        <v/>
      </c>
      <c r="K99" s="291" t="str">
        <f>IF(I99="","",IF(VLOOKUP(I99,'G-7 WaterC'' Data'!$AK$4:$AM$6,3,FALSE)=0,"Spatial Data Missing ⚠",VLOOKUP(I99,'G-7 WaterC'' Data'!$AK$4:$AM$6,3,FALSE)))</f>
        <v/>
      </c>
      <c r="L99" s="290" t="str">
        <f>IFERROR(INDEX('G-7 WaterC'' Data'!$O$3:$O$7,MATCH(G99,'G-7 WaterC'' Data'!$N$3:$N$7,0)),"")</f>
        <v/>
      </c>
      <c r="M99" s="47"/>
      <c r="N99" s="138"/>
      <c r="O99" s="298" t="str">
        <f t="shared" si="5"/>
        <v/>
      </c>
      <c r="P99" s="311" t="str">
        <f t="shared" si="6"/>
        <v/>
      </c>
      <c r="Q99" s="344" t="str">
        <f>IFERROR(IF(P99="Check Data ⚠","Check Data ⚠",VLOOKUP(P99,'G-4 Temporal multipliers'!$A$4:$C$37,3,FALSE)),"")</f>
        <v/>
      </c>
      <c r="R99" s="290" t="str">
        <f>IF(C99="","",VLOOKUP(C99,'G-7 WaterC'' Data'!$B$4:$G$8,4,FALSE))</f>
        <v/>
      </c>
      <c r="S99" s="298" t="str">
        <f t="shared" si="7"/>
        <v/>
      </c>
      <c r="T99" s="328" t="str">
        <f t="shared" si="8"/>
        <v/>
      </c>
      <c r="U99" s="291" t="str">
        <f>IF(C99="","",VLOOKUP(T99,'G-3 Multipliers'!$P$2:$Q$6,2,FALSE))</f>
        <v/>
      </c>
      <c r="V99" s="96"/>
      <c r="W99" s="291" t="str">
        <f>IF(V99="","",IF(AND(V99="N/A - Culvert",C99&lt;&gt;"Culvert"),"Not possible ▲",IF(AND(C99="Culvert",V99&lt;&gt;"N/A - Culvert"),"Not possible ▲",IF(VLOOKUP(V99,'G-7 WaterC'' Data'!$AA$4:$AB$7,2,FALSE)=0,"Spatial Data Missing ⚠",VLOOKUP(V99,'G-7 WaterC'' Data'!$AA$4:$AB$7,2,FALSE)))))</f>
        <v/>
      </c>
      <c r="X99" s="44"/>
      <c r="Y99" s="291" t="str">
        <f>IF(X99="","",IF(AND(X99="N/A - Culvert", C99&lt;&gt;"Culvert"), "Not possible ▲",IF(AND(C99="Culvert",X99&lt;&gt;"N/A - Culvert"),"Not possible ▲",IF(VLOOKUP(X99,'G-7 WaterC'' Data'!$AD$4:$AE$14,2,FALSE)=0,"Enrcoachment Data Missing ⚠",VLOOKUP(X99,'G-7 WaterC'' Data'!$AD$4:$AE$14,2,FALSE)))))</f>
        <v/>
      </c>
      <c r="Z99" s="332" t="str">
        <f t="shared" si="9"/>
        <v/>
      </c>
      <c r="AA99" s="98"/>
      <c r="AB99" s="99"/>
      <c r="AC99" s="101"/>
      <c r="AH99" s="15" t="str">
        <f>IFERROR(INDEX('G-7 WaterC'' Data'!$AZ$3:$AZ$7,MATCH(C99,'G-7 WaterC'' Data'!$AY$3:$AY$7,0)),"")</f>
        <v/>
      </c>
    </row>
    <row r="100" spans="2:34" ht="14" x14ac:dyDescent="0.3">
      <c r="B100" s="92">
        <v>89</v>
      </c>
      <c r="C100" s="119"/>
      <c r="D100" s="120"/>
      <c r="E100" s="290" t="str">
        <f>IF(C100="","",VLOOKUP(C100,'G-7 WaterC'' Data'!$B$2:$G$8,2,FALSE))</f>
        <v/>
      </c>
      <c r="F100" s="291" t="str">
        <f>IFERROR(VLOOKUP(E100,'G-7 WaterC'' Data'!$C$4:$D$8,2,FALSE),"")</f>
        <v/>
      </c>
      <c r="G100" s="95"/>
      <c r="H100" s="291" t="str">
        <f>IFERROR(INDEX('G-7 WaterC'' Data'!$H$4:$L$8,MATCH(C100,'G-7 WaterC'' Data'!$B$4:$B$8,0),MATCH(G100,'G-7 WaterC'' Data'!$H$3:$L$3,0)),"")</f>
        <v/>
      </c>
      <c r="I100" s="38"/>
      <c r="J100" s="298" t="str">
        <f>IF(I100="","",IF(VLOOKUP(I100,'G-7 WaterC'' Data'!$AK$4:$AM$6,2,FALSE)=0,"Spatial Data Missing ⚠",VLOOKUP(I100,'G-7 WaterC'' Data'!$AK$4:$AM$6,2,FALSE)))</f>
        <v/>
      </c>
      <c r="K100" s="291" t="str">
        <f>IF(I100="","",IF(VLOOKUP(I100,'G-7 WaterC'' Data'!$AK$4:$AM$6,3,FALSE)=0,"Spatial Data Missing ⚠",VLOOKUP(I100,'G-7 WaterC'' Data'!$AK$4:$AM$6,3,FALSE)))</f>
        <v/>
      </c>
      <c r="L100" s="290" t="str">
        <f>IFERROR(INDEX('G-7 WaterC'' Data'!$O$3:$O$7,MATCH(G100,'G-7 WaterC'' Data'!$N$3:$N$7,0)),"")</f>
        <v/>
      </c>
      <c r="M100" s="47"/>
      <c r="N100" s="138"/>
      <c r="O100" s="298" t="str">
        <f t="shared" si="5"/>
        <v/>
      </c>
      <c r="P100" s="311" t="str">
        <f t="shared" si="6"/>
        <v/>
      </c>
      <c r="Q100" s="344" t="str">
        <f>IFERROR(IF(P100="Check Data ⚠","Check Data ⚠",VLOOKUP(P100,'G-4 Temporal multipliers'!$A$4:$C$37,3,FALSE)),"")</f>
        <v/>
      </c>
      <c r="R100" s="290" t="str">
        <f>IF(C100="","",VLOOKUP(C100,'G-7 WaterC'' Data'!$B$4:$G$8,4,FALSE))</f>
        <v/>
      </c>
      <c r="S100" s="298" t="str">
        <f t="shared" si="7"/>
        <v/>
      </c>
      <c r="T100" s="328" t="str">
        <f t="shared" si="8"/>
        <v/>
      </c>
      <c r="U100" s="291" t="str">
        <f>IF(C100="","",VLOOKUP(T100,'G-3 Multipliers'!$P$2:$Q$6,2,FALSE))</f>
        <v/>
      </c>
      <c r="V100" s="96"/>
      <c r="W100" s="291" t="str">
        <f>IF(V100="","",IF(AND(V100="N/A - Culvert",C100&lt;&gt;"Culvert"),"Not possible ▲",IF(AND(C100="Culvert",V100&lt;&gt;"N/A - Culvert"),"Not possible ▲",IF(VLOOKUP(V100,'G-7 WaterC'' Data'!$AA$4:$AB$7,2,FALSE)=0,"Spatial Data Missing ⚠",VLOOKUP(V100,'G-7 WaterC'' Data'!$AA$4:$AB$7,2,FALSE)))))</f>
        <v/>
      </c>
      <c r="X100" s="44"/>
      <c r="Y100" s="291" t="str">
        <f>IF(X100="","",IF(AND(X100="N/A - Culvert", C100&lt;&gt;"Culvert"), "Not possible ▲",IF(AND(C100="Culvert",X100&lt;&gt;"N/A - Culvert"),"Not possible ▲",IF(VLOOKUP(X100,'G-7 WaterC'' Data'!$AD$4:$AE$14,2,FALSE)=0,"Enrcoachment Data Missing ⚠",VLOOKUP(X100,'G-7 WaterC'' Data'!$AD$4:$AE$14,2,FALSE)))))</f>
        <v/>
      </c>
      <c r="Z100" s="332" t="str">
        <f t="shared" si="9"/>
        <v/>
      </c>
      <c r="AA100" s="98"/>
      <c r="AB100" s="99"/>
      <c r="AC100" s="101"/>
      <c r="AH100" s="15" t="str">
        <f>IFERROR(INDEX('G-7 WaterC'' Data'!$AZ$3:$AZ$7,MATCH(C100,'G-7 WaterC'' Data'!$AY$3:$AY$7,0)),"")</f>
        <v/>
      </c>
    </row>
    <row r="101" spans="2:34" ht="14" x14ac:dyDescent="0.3">
      <c r="B101" s="92">
        <v>90</v>
      </c>
      <c r="C101" s="119"/>
      <c r="D101" s="120"/>
      <c r="E101" s="290" t="str">
        <f>IF(C101="","",VLOOKUP(C101,'G-7 WaterC'' Data'!$B$2:$G$8,2,FALSE))</f>
        <v/>
      </c>
      <c r="F101" s="291" t="str">
        <f>IFERROR(VLOOKUP(E101,'G-7 WaterC'' Data'!$C$4:$D$8,2,FALSE),"")</f>
        <v/>
      </c>
      <c r="G101" s="95"/>
      <c r="H101" s="291" t="str">
        <f>IFERROR(INDEX('G-7 WaterC'' Data'!$H$4:$L$8,MATCH(C101,'G-7 WaterC'' Data'!$B$4:$B$8,0),MATCH(G101,'G-7 WaterC'' Data'!$H$3:$L$3,0)),"")</f>
        <v/>
      </c>
      <c r="I101" s="38"/>
      <c r="J101" s="298" t="str">
        <f>IF(I101="","",IF(VLOOKUP(I101,'G-7 WaterC'' Data'!$AK$4:$AM$6,2,FALSE)=0,"Spatial Data Missing ⚠",VLOOKUP(I101,'G-7 WaterC'' Data'!$AK$4:$AM$6,2,FALSE)))</f>
        <v/>
      </c>
      <c r="K101" s="291" t="str">
        <f>IF(I101="","",IF(VLOOKUP(I101,'G-7 WaterC'' Data'!$AK$4:$AM$6,3,FALSE)=0,"Spatial Data Missing ⚠",VLOOKUP(I101,'G-7 WaterC'' Data'!$AK$4:$AM$6,3,FALSE)))</f>
        <v/>
      </c>
      <c r="L101" s="290" t="str">
        <f>IFERROR(INDEX('G-7 WaterC'' Data'!$O$3:$O$7,MATCH(G101,'G-7 WaterC'' Data'!$N$3:$N$7,0)),"")</f>
        <v/>
      </c>
      <c r="M101" s="47"/>
      <c r="N101" s="138"/>
      <c r="O101" s="298" t="str">
        <f t="shared" si="5"/>
        <v/>
      </c>
      <c r="P101" s="311" t="str">
        <f t="shared" si="6"/>
        <v/>
      </c>
      <c r="Q101" s="344" t="str">
        <f>IFERROR(IF(P101="Check Data ⚠","Check Data ⚠",VLOOKUP(P101,'G-4 Temporal multipliers'!$A$4:$C$37,3,FALSE)),"")</f>
        <v/>
      </c>
      <c r="R101" s="290" t="str">
        <f>IF(C101="","",VLOOKUP(C101,'G-7 WaterC'' Data'!$B$4:$G$8,4,FALSE))</f>
        <v/>
      </c>
      <c r="S101" s="298" t="str">
        <f t="shared" si="7"/>
        <v/>
      </c>
      <c r="T101" s="328" t="str">
        <f t="shared" si="8"/>
        <v/>
      </c>
      <c r="U101" s="291" t="str">
        <f>IF(C101="","",VLOOKUP(T101,'G-3 Multipliers'!$P$2:$Q$6,2,FALSE))</f>
        <v/>
      </c>
      <c r="V101" s="96"/>
      <c r="W101" s="291" t="str">
        <f>IF(V101="","",IF(AND(V101="N/A - Culvert",C101&lt;&gt;"Culvert"),"Not possible ▲",IF(AND(C101="Culvert",V101&lt;&gt;"N/A - Culvert"),"Not possible ▲",IF(VLOOKUP(V101,'G-7 WaterC'' Data'!$AA$4:$AB$7,2,FALSE)=0,"Spatial Data Missing ⚠",VLOOKUP(V101,'G-7 WaterC'' Data'!$AA$4:$AB$7,2,FALSE)))))</f>
        <v/>
      </c>
      <c r="X101" s="44"/>
      <c r="Y101" s="291" t="str">
        <f>IF(X101="","",IF(AND(X101="N/A - Culvert", C101&lt;&gt;"Culvert"), "Not possible ▲",IF(AND(C101="Culvert",X101&lt;&gt;"N/A - Culvert"),"Not possible ▲",IF(VLOOKUP(X101,'G-7 WaterC'' Data'!$AD$4:$AE$14,2,FALSE)=0,"Enrcoachment Data Missing ⚠",VLOOKUP(X101,'G-7 WaterC'' Data'!$AD$4:$AE$14,2,FALSE)))))</f>
        <v/>
      </c>
      <c r="Z101" s="332" t="str">
        <f t="shared" si="9"/>
        <v/>
      </c>
      <c r="AA101" s="98"/>
      <c r="AB101" s="99"/>
      <c r="AC101" s="101"/>
      <c r="AH101" s="15" t="str">
        <f>IFERROR(INDEX('G-7 WaterC'' Data'!$AZ$3:$AZ$7,MATCH(C101,'G-7 WaterC'' Data'!$AY$3:$AY$7,0)),"")</f>
        <v/>
      </c>
    </row>
    <row r="102" spans="2:34" ht="14" x14ac:dyDescent="0.3">
      <c r="B102" s="92">
        <v>91</v>
      </c>
      <c r="C102" s="119"/>
      <c r="D102" s="120"/>
      <c r="E102" s="290" t="str">
        <f>IF(C102="","",VLOOKUP(C102,'G-7 WaterC'' Data'!$B$2:$G$8,2,FALSE))</f>
        <v/>
      </c>
      <c r="F102" s="291" t="str">
        <f>IFERROR(VLOOKUP(E102,'G-7 WaterC'' Data'!$C$4:$D$8,2,FALSE),"")</f>
        <v/>
      </c>
      <c r="G102" s="95"/>
      <c r="H102" s="291" t="str">
        <f>IFERROR(INDEX('G-7 WaterC'' Data'!$H$4:$L$8,MATCH(C102,'G-7 WaterC'' Data'!$B$4:$B$8,0),MATCH(G102,'G-7 WaterC'' Data'!$H$3:$L$3,0)),"")</f>
        <v/>
      </c>
      <c r="I102" s="38"/>
      <c r="J102" s="298" t="str">
        <f>IF(I102="","",IF(VLOOKUP(I102,'G-7 WaterC'' Data'!$AK$4:$AM$6,2,FALSE)=0,"Spatial Data Missing ⚠",VLOOKUP(I102,'G-7 WaterC'' Data'!$AK$4:$AM$6,2,FALSE)))</f>
        <v/>
      </c>
      <c r="K102" s="291" t="str">
        <f>IF(I102="","",IF(VLOOKUP(I102,'G-7 WaterC'' Data'!$AK$4:$AM$6,3,FALSE)=0,"Spatial Data Missing ⚠",VLOOKUP(I102,'G-7 WaterC'' Data'!$AK$4:$AM$6,3,FALSE)))</f>
        <v/>
      </c>
      <c r="L102" s="290" t="str">
        <f>IFERROR(INDEX('G-7 WaterC'' Data'!$O$3:$O$7,MATCH(G102,'G-7 WaterC'' Data'!$N$3:$N$7,0)),"")</f>
        <v/>
      </c>
      <c r="M102" s="47"/>
      <c r="N102" s="138"/>
      <c r="O102" s="298" t="str">
        <f t="shared" si="5"/>
        <v/>
      </c>
      <c r="P102" s="311" t="str">
        <f t="shared" si="6"/>
        <v/>
      </c>
      <c r="Q102" s="344" t="str">
        <f>IFERROR(IF(P102="Check Data ⚠","Check Data ⚠",VLOOKUP(P102,'G-4 Temporal multipliers'!$A$4:$C$37,3,FALSE)),"")</f>
        <v/>
      </c>
      <c r="R102" s="290" t="str">
        <f>IF(C102="","",VLOOKUP(C102,'G-7 WaterC'' Data'!$B$4:$G$8,4,FALSE))</f>
        <v/>
      </c>
      <c r="S102" s="298" t="str">
        <f t="shared" si="7"/>
        <v/>
      </c>
      <c r="T102" s="328" t="str">
        <f t="shared" si="8"/>
        <v/>
      </c>
      <c r="U102" s="291" t="str">
        <f>IF(C102="","",VLOOKUP(T102,'G-3 Multipliers'!$P$2:$Q$6,2,FALSE))</f>
        <v/>
      </c>
      <c r="V102" s="96"/>
      <c r="W102" s="291" t="str">
        <f>IF(V102="","",IF(AND(V102="N/A - Culvert",C102&lt;&gt;"Culvert"),"Not possible ▲",IF(AND(C102="Culvert",V102&lt;&gt;"N/A - Culvert"),"Not possible ▲",IF(VLOOKUP(V102,'G-7 WaterC'' Data'!$AA$4:$AB$7,2,FALSE)=0,"Spatial Data Missing ⚠",VLOOKUP(V102,'G-7 WaterC'' Data'!$AA$4:$AB$7,2,FALSE)))))</f>
        <v/>
      </c>
      <c r="X102" s="44"/>
      <c r="Y102" s="291" t="str">
        <f>IF(X102="","",IF(AND(X102="N/A - Culvert", C102&lt;&gt;"Culvert"), "Not possible ▲",IF(AND(C102="Culvert",X102&lt;&gt;"N/A - Culvert"),"Not possible ▲",IF(VLOOKUP(X102,'G-7 WaterC'' Data'!$AD$4:$AE$14,2,FALSE)=0,"Enrcoachment Data Missing ⚠",VLOOKUP(X102,'G-7 WaterC'' Data'!$AD$4:$AE$14,2,FALSE)))))</f>
        <v/>
      </c>
      <c r="Z102" s="332" t="str">
        <f t="shared" si="9"/>
        <v/>
      </c>
      <c r="AA102" s="98"/>
      <c r="AB102" s="99"/>
      <c r="AC102" s="101"/>
      <c r="AH102" s="15" t="str">
        <f>IFERROR(INDEX('G-7 WaterC'' Data'!$AZ$3:$AZ$7,MATCH(C102,'G-7 WaterC'' Data'!$AY$3:$AY$7,0)),"")</f>
        <v/>
      </c>
    </row>
    <row r="103" spans="2:34" ht="14" x14ac:dyDescent="0.3">
      <c r="B103" s="92">
        <v>92</v>
      </c>
      <c r="C103" s="119"/>
      <c r="D103" s="120"/>
      <c r="E103" s="290" t="str">
        <f>IF(C103="","",VLOOKUP(C103,'G-7 WaterC'' Data'!$B$2:$G$8,2,FALSE))</f>
        <v/>
      </c>
      <c r="F103" s="291" t="str">
        <f>IFERROR(VLOOKUP(E103,'G-7 WaterC'' Data'!$C$4:$D$8,2,FALSE),"")</f>
        <v/>
      </c>
      <c r="G103" s="95"/>
      <c r="H103" s="291" t="str">
        <f>IFERROR(INDEX('G-7 WaterC'' Data'!$H$4:$L$8,MATCH(C103,'G-7 WaterC'' Data'!$B$4:$B$8,0),MATCH(G103,'G-7 WaterC'' Data'!$H$3:$L$3,0)),"")</f>
        <v/>
      </c>
      <c r="I103" s="38"/>
      <c r="J103" s="298" t="str">
        <f>IF(I103="","",IF(VLOOKUP(I103,'G-7 WaterC'' Data'!$AK$4:$AM$6,2,FALSE)=0,"Spatial Data Missing ⚠",VLOOKUP(I103,'G-7 WaterC'' Data'!$AK$4:$AM$6,2,FALSE)))</f>
        <v/>
      </c>
      <c r="K103" s="291" t="str">
        <f>IF(I103="","",IF(VLOOKUP(I103,'G-7 WaterC'' Data'!$AK$4:$AM$6,3,FALSE)=0,"Spatial Data Missing ⚠",VLOOKUP(I103,'G-7 WaterC'' Data'!$AK$4:$AM$6,3,FALSE)))</f>
        <v/>
      </c>
      <c r="L103" s="290" t="str">
        <f>IFERROR(INDEX('G-7 WaterC'' Data'!$O$3:$O$7,MATCH(G103,'G-7 WaterC'' Data'!$N$3:$N$7,0)),"")</f>
        <v/>
      </c>
      <c r="M103" s="47"/>
      <c r="N103" s="138"/>
      <c r="O103" s="298" t="str">
        <f t="shared" si="5"/>
        <v/>
      </c>
      <c r="P103" s="311" t="str">
        <f t="shared" si="6"/>
        <v/>
      </c>
      <c r="Q103" s="344" t="str">
        <f>IFERROR(IF(P103="Check Data ⚠","Check Data ⚠",VLOOKUP(P103,'G-4 Temporal multipliers'!$A$4:$C$37,3,FALSE)),"")</f>
        <v/>
      </c>
      <c r="R103" s="290" t="str">
        <f>IF(C103="","",VLOOKUP(C103,'G-7 WaterC'' Data'!$B$4:$G$8,4,FALSE))</f>
        <v/>
      </c>
      <c r="S103" s="298" t="str">
        <f t="shared" si="7"/>
        <v/>
      </c>
      <c r="T103" s="328" t="str">
        <f t="shared" si="8"/>
        <v/>
      </c>
      <c r="U103" s="291" t="str">
        <f>IF(C103="","",VLOOKUP(T103,'G-3 Multipliers'!$P$2:$Q$6,2,FALSE))</f>
        <v/>
      </c>
      <c r="V103" s="96"/>
      <c r="W103" s="291" t="str">
        <f>IF(V103="","",IF(AND(V103="N/A - Culvert",C103&lt;&gt;"Culvert"),"Not possible ▲",IF(AND(C103="Culvert",V103&lt;&gt;"N/A - Culvert"),"Not possible ▲",IF(VLOOKUP(V103,'G-7 WaterC'' Data'!$AA$4:$AB$7,2,FALSE)=0,"Spatial Data Missing ⚠",VLOOKUP(V103,'G-7 WaterC'' Data'!$AA$4:$AB$7,2,FALSE)))))</f>
        <v/>
      </c>
      <c r="X103" s="44"/>
      <c r="Y103" s="291" t="str">
        <f>IF(X103="","",IF(AND(X103="N/A - Culvert", C103&lt;&gt;"Culvert"), "Not possible ▲",IF(AND(C103="Culvert",X103&lt;&gt;"N/A - Culvert"),"Not possible ▲",IF(VLOOKUP(X103,'G-7 WaterC'' Data'!$AD$4:$AE$14,2,FALSE)=0,"Enrcoachment Data Missing ⚠",VLOOKUP(X103,'G-7 WaterC'' Data'!$AD$4:$AE$14,2,FALSE)))))</f>
        <v/>
      </c>
      <c r="Z103" s="332" t="str">
        <f t="shared" si="9"/>
        <v/>
      </c>
      <c r="AA103" s="98"/>
      <c r="AB103" s="99"/>
      <c r="AC103" s="101"/>
      <c r="AH103" s="15" t="str">
        <f>IFERROR(INDEX('G-7 WaterC'' Data'!$AZ$3:$AZ$7,MATCH(C103,'G-7 WaterC'' Data'!$AY$3:$AY$7,0)),"")</f>
        <v/>
      </c>
    </row>
    <row r="104" spans="2:34" ht="14" x14ac:dyDescent="0.3">
      <c r="B104" s="92">
        <v>93</v>
      </c>
      <c r="C104" s="119"/>
      <c r="D104" s="120"/>
      <c r="E104" s="290" t="str">
        <f>IF(C104="","",VLOOKUP(C104,'G-7 WaterC'' Data'!$B$2:$G$8,2,FALSE))</f>
        <v/>
      </c>
      <c r="F104" s="291" t="str">
        <f>IFERROR(VLOOKUP(E104,'G-7 WaterC'' Data'!$C$4:$D$8,2,FALSE),"")</f>
        <v/>
      </c>
      <c r="G104" s="95"/>
      <c r="H104" s="291" t="str">
        <f>IFERROR(INDEX('G-7 WaterC'' Data'!$H$4:$L$8,MATCH(C104,'G-7 WaterC'' Data'!$B$4:$B$8,0),MATCH(G104,'G-7 WaterC'' Data'!$H$3:$L$3,0)),"")</f>
        <v/>
      </c>
      <c r="I104" s="38"/>
      <c r="J104" s="298" t="str">
        <f>IF(I104="","",IF(VLOOKUP(I104,'G-7 WaterC'' Data'!$AK$4:$AM$6,2,FALSE)=0,"Spatial Data Missing ⚠",VLOOKUP(I104,'G-7 WaterC'' Data'!$AK$4:$AM$6,2,FALSE)))</f>
        <v/>
      </c>
      <c r="K104" s="291" t="str">
        <f>IF(I104="","",IF(VLOOKUP(I104,'G-7 WaterC'' Data'!$AK$4:$AM$6,3,FALSE)=0,"Spatial Data Missing ⚠",VLOOKUP(I104,'G-7 WaterC'' Data'!$AK$4:$AM$6,3,FALSE)))</f>
        <v/>
      </c>
      <c r="L104" s="290" t="str">
        <f>IFERROR(INDEX('G-7 WaterC'' Data'!$O$3:$O$7,MATCH(G104,'G-7 WaterC'' Data'!$N$3:$N$7,0)),"")</f>
        <v/>
      </c>
      <c r="M104" s="47"/>
      <c r="N104" s="138"/>
      <c r="O104" s="298" t="str">
        <f t="shared" si="5"/>
        <v/>
      </c>
      <c r="P104" s="311" t="str">
        <f t="shared" si="6"/>
        <v/>
      </c>
      <c r="Q104" s="344" t="str">
        <f>IFERROR(IF(P104="Check Data ⚠","Check Data ⚠",VLOOKUP(P104,'G-4 Temporal multipliers'!$A$4:$C$37,3,FALSE)),"")</f>
        <v/>
      </c>
      <c r="R104" s="290" t="str">
        <f>IF(C104="","",VLOOKUP(C104,'G-7 WaterC'' Data'!$B$4:$G$8,4,FALSE))</f>
        <v/>
      </c>
      <c r="S104" s="298" t="str">
        <f t="shared" si="7"/>
        <v/>
      </c>
      <c r="T104" s="328" t="str">
        <f t="shared" si="8"/>
        <v/>
      </c>
      <c r="U104" s="291" t="str">
        <f>IF(C104="","",VLOOKUP(T104,'G-3 Multipliers'!$P$2:$Q$6,2,FALSE))</f>
        <v/>
      </c>
      <c r="V104" s="96"/>
      <c r="W104" s="291" t="str">
        <f>IF(V104="","",IF(AND(V104="N/A - Culvert",C104&lt;&gt;"Culvert"),"Not possible ▲",IF(AND(C104="Culvert",V104&lt;&gt;"N/A - Culvert"),"Not possible ▲",IF(VLOOKUP(V104,'G-7 WaterC'' Data'!$AA$4:$AB$7,2,FALSE)=0,"Spatial Data Missing ⚠",VLOOKUP(V104,'G-7 WaterC'' Data'!$AA$4:$AB$7,2,FALSE)))))</f>
        <v/>
      </c>
      <c r="X104" s="44"/>
      <c r="Y104" s="291" t="str">
        <f>IF(X104="","",IF(AND(X104="N/A - Culvert", C104&lt;&gt;"Culvert"), "Not possible ▲",IF(AND(C104="Culvert",X104&lt;&gt;"N/A - Culvert"),"Not possible ▲",IF(VLOOKUP(X104,'G-7 WaterC'' Data'!$AD$4:$AE$14,2,FALSE)=0,"Enrcoachment Data Missing ⚠",VLOOKUP(X104,'G-7 WaterC'' Data'!$AD$4:$AE$14,2,FALSE)))))</f>
        <v/>
      </c>
      <c r="Z104" s="332" t="str">
        <f t="shared" si="9"/>
        <v/>
      </c>
      <c r="AA104" s="98"/>
      <c r="AB104" s="99"/>
      <c r="AC104" s="101"/>
      <c r="AH104" s="15" t="str">
        <f>IFERROR(INDEX('G-7 WaterC'' Data'!$AZ$3:$AZ$7,MATCH(C104,'G-7 WaterC'' Data'!$AY$3:$AY$7,0)),"")</f>
        <v/>
      </c>
    </row>
    <row r="105" spans="2:34" ht="14" x14ac:dyDescent="0.3">
      <c r="B105" s="92">
        <v>94</v>
      </c>
      <c r="C105" s="119"/>
      <c r="D105" s="120"/>
      <c r="E105" s="290" t="str">
        <f>IF(C105="","",VLOOKUP(C105,'G-7 WaterC'' Data'!$B$2:$G$8,2,FALSE))</f>
        <v/>
      </c>
      <c r="F105" s="291" t="str">
        <f>IFERROR(VLOOKUP(E105,'G-7 WaterC'' Data'!$C$4:$D$8,2,FALSE),"")</f>
        <v/>
      </c>
      <c r="G105" s="95"/>
      <c r="H105" s="291" t="str">
        <f>IFERROR(INDEX('G-7 WaterC'' Data'!$H$4:$L$8,MATCH(C105,'G-7 WaterC'' Data'!$B$4:$B$8,0),MATCH(G105,'G-7 WaterC'' Data'!$H$3:$L$3,0)),"")</f>
        <v/>
      </c>
      <c r="I105" s="38"/>
      <c r="J105" s="298" t="str">
        <f>IF(I105="","",IF(VLOOKUP(I105,'G-7 WaterC'' Data'!$AK$4:$AM$6,2,FALSE)=0,"Spatial Data Missing ⚠",VLOOKUP(I105,'G-7 WaterC'' Data'!$AK$4:$AM$6,2,FALSE)))</f>
        <v/>
      </c>
      <c r="K105" s="291" t="str">
        <f>IF(I105="","",IF(VLOOKUP(I105,'G-7 WaterC'' Data'!$AK$4:$AM$6,3,FALSE)=0,"Spatial Data Missing ⚠",VLOOKUP(I105,'G-7 WaterC'' Data'!$AK$4:$AM$6,3,FALSE)))</f>
        <v/>
      </c>
      <c r="L105" s="290" t="str">
        <f>IFERROR(INDEX('G-7 WaterC'' Data'!$O$3:$O$7,MATCH(G105,'G-7 WaterC'' Data'!$N$3:$N$7,0)),"")</f>
        <v/>
      </c>
      <c r="M105" s="47"/>
      <c r="N105" s="138"/>
      <c r="O105" s="298" t="str">
        <f t="shared" si="5"/>
        <v/>
      </c>
      <c r="P105" s="311" t="str">
        <f t="shared" si="6"/>
        <v/>
      </c>
      <c r="Q105" s="344" t="str">
        <f>IFERROR(IF(P105="Check Data ⚠","Check Data ⚠",VLOOKUP(P105,'G-4 Temporal multipliers'!$A$4:$C$37,3,FALSE)),"")</f>
        <v/>
      </c>
      <c r="R105" s="290" t="str">
        <f>IF(C105="","",VLOOKUP(C105,'G-7 WaterC'' Data'!$B$4:$G$8,4,FALSE))</f>
        <v/>
      </c>
      <c r="S105" s="298" t="str">
        <f t="shared" si="7"/>
        <v/>
      </c>
      <c r="T105" s="328" t="str">
        <f t="shared" si="8"/>
        <v/>
      </c>
      <c r="U105" s="291" t="str">
        <f>IF(C105="","",VLOOKUP(T105,'G-3 Multipliers'!$P$2:$Q$6,2,FALSE))</f>
        <v/>
      </c>
      <c r="V105" s="96"/>
      <c r="W105" s="291" t="str">
        <f>IF(V105="","",IF(AND(V105="N/A - Culvert",C105&lt;&gt;"Culvert"),"Not possible ▲",IF(AND(C105="Culvert",V105&lt;&gt;"N/A - Culvert"),"Not possible ▲",IF(VLOOKUP(V105,'G-7 WaterC'' Data'!$AA$4:$AB$7,2,FALSE)=0,"Spatial Data Missing ⚠",VLOOKUP(V105,'G-7 WaterC'' Data'!$AA$4:$AB$7,2,FALSE)))))</f>
        <v/>
      </c>
      <c r="X105" s="44"/>
      <c r="Y105" s="291" t="str">
        <f>IF(X105="","",IF(AND(X105="N/A - Culvert", C105&lt;&gt;"Culvert"), "Not possible ▲",IF(AND(C105="Culvert",X105&lt;&gt;"N/A - Culvert"),"Not possible ▲",IF(VLOOKUP(X105,'G-7 WaterC'' Data'!$AD$4:$AE$14,2,FALSE)=0,"Enrcoachment Data Missing ⚠",VLOOKUP(X105,'G-7 WaterC'' Data'!$AD$4:$AE$14,2,FALSE)))))</f>
        <v/>
      </c>
      <c r="Z105" s="332" t="str">
        <f t="shared" si="9"/>
        <v/>
      </c>
      <c r="AA105" s="98"/>
      <c r="AB105" s="99"/>
      <c r="AC105" s="101"/>
      <c r="AH105" s="15" t="str">
        <f>IFERROR(INDEX('G-7 WaterC'' Data'!$AZ$3:$AZ$7,MATCH(C105,'G-7 WaterC'' Data'!$AY$3:$AY$7,0)),"")</f>
        <v/>
      </c>
    </row>
    <row r="106" spans="2:34" ht="14" x14ac:dyDescent="0.3">
      <c r="B106" s="92">
        <v>95</v>
      </c>
      <c r="C106" s="119"/>
      <c r="D106" s="120"/>
      <c r="E106" s="290" t="str">
        <f>IF(C106="","",VLOOKUP(C106,'G-7 WaterC'' Data'!$B$2:$G$8,2,FALSE))</f>
        <v/>
      </c>
      <c r="F106" s="291" t="str">
        <f>IFERROR(VLOOKUP(E106,'G-7 WaterC'' Data'!$C$4:$D$8,2,FALSE),"")</f>
        <v/>
      </c>
      <c r="G106" s="95"/>
      <c r="H106" s="291" t="str">
        <f>IFERROR(INDEX('G-7 WaterC'' Data'!$H$4:$L$8,MATCH(C106,'G-7 WaterC'' Data'!$B$4:$B$8,0),MATCH(G106,'G-7 WaterC'' Data'!$H$3:$L$3,0)),"")</f>
        <v/>
      </c>
      <c r="I106" s="38"/>
      <c r="J106" s="298" t="str">
        <f>IF(I106="","",IF(VLOOKUP(I106,'G-7 WaterC'' Data'!$AK$4:$AM$6,2,FALSE)=0,"Spatial Data Missing ⚠",VLOOKUP(I106,'G-7 WaterC'' Data'!$AK$4:$AM$6,2,FALSE)))</f>
        <v/>
      </c>
      <c r="K106" s="291" t="str">
        <f>IF(I106="","",IF(VLOOKUP(I106,'G-7 WaterC'' Data'!$AK$4:$AM$6,3,FALSE)=0,"Spatial Data Missing ⚠",VLOOKUP(I106,'G-7 WaterC'' Data'!$AK$4:$AM$6,3,FALSE)))</f>
        <v/>
      </c>
      <c r="L106" s="290" t="str">
        <f>IFERROR(INDEX('G-7 WaterC'' Data'!$O$3:$O$7,MATCH(G106,'G-7 WaterC'' Data'!$N$3:$N$7,0)),"")</f>
        <v/>
      </c>
      <c r="M106" s="47"/>
      <c r="N106" s="138"/>
      <c r="O106" s="298" t="str">
        <f t="shared" si="5"/>
        <v/>
      </c>
      <c r="P106" s="311" t="str">
        <f t="shared" si="6"/>
        <v/>
      </c>
      <c r="Q106" s="344" t="str">
        <f>IFERROR(IF(P106="Check Data ⚠","Check Data ⚠",VLOOKUP(P106,'G-4 Temporal multipliers'!$A$4:$C$37,3,FALSE)),"")</f>
        <v/>
      </c>
      <c r="R106" s="290" t="str">
        <f>IF(C106="","",VLOOKUP(C106,'G-7 WaterC'' Data'!$B$4:$G$8,4,FALSE))</f>
        <v/>
      </c>
      <c r="S106" s="298" t="str">
        <f t="shared" si="7"/>
        <v/>
      </c>
      <c r="T106" s="328" t="str">
        <f t="shared" si="8"/>
        <v/>
      </c>
      <c r="U106" s="291" t="str">
        <f>IF(C106="","",VLOOKUP(T106,'G-3 Multipliers'!$P$2:$Q$6,2,FALSE))</f>
        <v/>
      </c>
      <c r="V106" s="96"/>
      <c r="W106" s="291" t="str">
        <f>IF(V106="","",IF(AND(V106="N/A - Culvert",C106&lt;&gt;"Culvert"),"Not possible ▲",IF(AND(C106="Culvert",V106&lt;&gt;"N/A - Culvert"),"Not possible ▲",IF(VLOOKUP(V106,'G-7 WaterC'' Data'!$AA$4:$AB$7,2,FALSE)=0,"Spatial Data Missing ⚠",VLOOKUP(V106,'G-7 WaterC'' Data'!$AA$4:$AB$7,2,FALSE)))))</f>
        <v/>
      </c>
      <c r="X106" s="44"/>
      <c r="Y106" s="291" t="str">
        <f>IF(X106="","",IF(AND(X106="N/A - Culvert", C106&lt;&gt;"Culvert"), "Not possible ▲",IF(AND(C106="Culvert",X106&lt;&gt;"N/A - Culvert"),"Not possible ▲",IF(VLOOKUP(X106,'G-7 WaterC'' Data'!$AD$4:$AE$14,2,FALSE)=0,"Enrcoachment Data Missing ⚠",VLOOKUP(X106,'G-7 WaterC'' Data'!$AD$4:$AE$14,2,FALSE)))))</f>
        <v/>
      </c>
      <c r="Z106" s="332" t="str">
        <f t="shared" si="9"/>
        <v/>
      </c>
      <c r="AA106" s="98"/>
      <c r="AB106" s="99"/>
      <c r="AC106" s="101"/>
      <c r="AH106" s="15" t="str">
        <f>IFERROR(INDEX('G-7 WaterC'' Data'!$AZ$3:$AZ$7,MATCH(C106,'G-7 WaterC'' Data'!$AY$3:$AY$7,0)),"")</f>
        <v/>
      </c>
    </row>
    <row r="107" spans="2:34" ht="14" x14ac:dyDescent="0.3">
      <c r="B107" s="92">
        <v>96</v>
      </c>
      <c r="C107" s="119"/>
      <c r="D107" s="120"/>
      <c r="E107" s="290" t="str">
        <f>IF(C107="","",VLOOKUP(C107,'G-7 WaterC'' Data'!$B$2:$G$8,2,FALSE))</f>
        <v/>
      </c>
      <c r="F107" s="291" t="str">
        <f>IFERROR(VLOOKUP(E107,'G-7 WaterC'' Data'!$C$4:$D$8,2,FALSE),"")</f>
        <v/>
      </c>
      <c r="G107" s="95"/>
      <c r="H107" s="291" t="str">
        <f>IFERROR(INDEX('G-7 WaterC'' Data'!$H$4:$L$8,MATCH(C107,'G-7 WaterC'' Data'!$B$4:$B$8,0),MATCH(G107,'G-7 WaterC'' Data'!$H$3:$L$3,0)),"")</f>
        <v/>
      </c>
      <c r="I107" s="38"/>
      <c r="J107" s="298" t="str">
        <f>IF(I107="","",IF(VLOOKUP(I107,'G-7 WaterC'' Data'!$AK$4:$AM$6,2,FALSE)=0,"Spatial Data Missing ⚠",VLOOKUP(I107,'G-7 WaterC'' Data'!$AK$4:$AM$6,2,FALSE)))</f>
        <v/>
      </c>
      <c r="K107" s="291" t="str">
        <f>IF(I107="","",IF(VLOOKUP(I107,'G-7 WaterC'' Data'!$AK$4:$AM$6,3,FALSE)=0,"Spatial Data Missing ⚠",VLOOKUP(I107,'G-7 WaterC'' Data'!$AK$4:$AM$6,3,FALSE)))</f>
        <v/>
      </c>
      <c r="L107" s="290" t="str">
        <f>IFERROR(INDEX('G-7 WaterC'' Data'!$O$3:$O$7,MATCH(G107,'G-7 WaterC'' Data'!$N$3:$N$7,0)),"")</f>
        <v/>
      </c>
      <c r="M107" s="47"/>
      <c r="N107" s="138"/>
      <c r="O107" s="298" t="str">
        <f t="shared" si="5"/>
        <v/>
      </c>
      <c r="P107" s="311" t="str">
        <f t="shared" si="6"/>
        <v/>
      </c>
      <c r="Q107" s="344" t="str">
        <f>IFERROR(IF(P107="Check Data ⚠","Check Data ⚠",VLOOKUP(P107,'G-4 Temporal multipliers'!$A$4:$C$37,3,FALSE)),"")</f>
        <v/>
      </c>
      <c r="R107" s="290" t="str">
        <f>IF(C107="","",VLOOKUP(C107,'G-7 WaterC'' Data'!$B$4:$G$8,4,FALSE))</f>
        <v/>
      </c>
      <c r="S107" s="298" t="str">
        <f t="shared" si="7"/>
        <v/>
      </c>
      <c r="T107" s="328" t="str">
        <f t="shared" si="8"/>
        <v/>
      </c>
      <c r="U107" s="291" t="str">
        <f>IF(C107="","",VLOOKUP(T107,'G-3 Multipliers'!$P$2:$Q$6,2,FALSE))</f>
        <v/>
      </c>
      <c r="V107" s="96"/>
      <c r="W107" s="291" t="str">
        <f>IF(V107="","",IF(AND(V107="N/A - Culvert",C107&lt;&gt;"Culvert"),"Not possible ▲",IF(AND(C107="Culvert",V107&lt;&gt;"N/A - Culvert"),"Not possible ▲",IF(VLOOKUP(V107,'G-7 WaterC'' Data'!$AA$4:$AB$7,2,FALSE)=0,"Spatial Data Missing ⚠",VLOOKUP(V107,'G-7 WaterC'' Data'!$AA$4:$AB$7,2,FALSE)))))</f>
        <v/>
      </c>
      <c r="X107" s="44"/>
      <c r="Y107" s="291" t="str">
        <f>IF(X107="","",IF(AND(X107="N/A - Culvert", C107&lt;&gt;"Culvert"), "Not possible ▲",IF(AND(C107="Culvert",X107&lt;&gt;"N/A - Culvert"),"Not possible ▲",IF(VLOOKUP(X107,'G-7 WaterC'' Data'!$AD$4:$AE$14,2,FALSE)=0,"Enrcoachment Data Missing ⚠",VLOOKUP(X107,'G-7 WaterC'' Data'!$AD$4:$AE$14,2,FALSE)))))</f>
        <v/>
      </c>
      <c r="Z107" s="332" t="str">
        <f t="shared" si="9"/>
        <v/>
      </c>
      <c r="AA107" s="98"/>
      <c r="AB107" s="99"/>
      <c r="AC107" s="101"/>
      <c r="AH107" s="15" t="str">
        <f>IFERROR(INDEX('G-7 WaterC'' Data'!$AZ$3:$AZ$7,MATCH(C107,'G-7 WaterC'' Data'!$AY$3:$AY$7,0)),"")</f>
        <v/>
      </c>
    </row>
    <row r="108" spans="2:34" ht="14" x14ac:dyDescent="0.3">
      <c r="B108" s="92">
        <v>97</v>
      </c>
      <c r="C108" s="119"/>
      <c r="D108" s="120"/>
      <c r="E108" s="290" t="str">
        <f>IF(C108="","",VLOOKUP(C108,'G-7 WaterC'' Data'!$B$2:$G$8,2,FALSE))</f>
        <v/>
      </c>
      <c r="F108" s="291" t="str">
        <f>IFERROR(VLOOKUP(E108,'G-7 WaterC'' Data'!$C$4:$D$8,2,FALSE),"")</f>
        <v/>
      </c>
      <c r="G108" s="95"/>
      <c r="H108" s="291" t="str">
        <f>IFERROR(INDEX('G-7 WaterC'' Data'!$H$4:$L$8,MATCH(C108,'G-7 WaterC'' Data'!$B$4:$B$8,0),MATCH(G108,'G-7 WaterC'' Data'!$H$3:$L$3,0)),"")</f>
        <v/>
      </c>
      <c r="I108" s="38"/>
      <c r="J108" s="298" t="str">
        <f>IF(I108="","",IF(VLOOKUP(I108,'G-7 WaterC'' Data'!$AK$4:$AM$6,2,FALSE)=0,"Spatial Data Missing ⚠",VLOOKUP(I108,'G-7 WaterC'' Data'!$AK$4:$AM$6,2,FALSE)))</f>
        <v/>
      </c>
      <c r="K108" s="291" t="str">
        <f>IF(I108="","",IF(VLOOKUP(I108,'G-7 WaterC'' Data'!$AK$4:$AM$6,3,FALSE)=0,"Spatial Data Missing ⚠",VLOOKUP(I108,'G-7 WaterC'' Data'!$AK$4:$AM$6,3,FALSE)))</f>
        <v/>
      </c>
      <c r="L108" s="290" t="str">
        <f>IFERROR(INDEX('G-7 WaterC'' Data'!$O$3:$O$7,MATCH(G108,'G-7 WaterC'' Data'!$N$3:$N$7,0)),"")</f>
        <v/>
      </c>
      <c r="M108" s="47"/>
      <c r="N108" s="138"/>
      <c r="O108" s="298" t="str">
        <f t="shared" si="5"/>
        <v/>
      </c>
      <c r="P108" s="311" t="str">
        <f t="shared" si="6"/>
        <v/>
      </c>
      <c r="Q108" s="344" t="str">
        <f>IFERROR(IF(P108="Check Data ⚠","Check Data ⚠",VLOOKUP(P108,'G-4 Temporal multipliers'!$A$4:$C$37,3,FALSE)),"")</f>
        <v/>
      </c>
      <c r="R108" s="290" t="str">
        <f>IF(C108="","",VLOOKUP(C108,'G-7 WaterC'' Data'!$B$4:$G$8,4,FALSE))</f>
        <v/>
      </c>
      <c r="S108" s="298" t="str">
        <f t="shared" si="7"/>
        <v/>
      </c>
      <c r="T108" s="328" t="str">
        <f t="shared" si="8"/>
        <v/>
      </c>
      <c r="U108" s="291" t="str">
        <f>IF(C108="","",VLOOKUP(T108,'G-3 Multipliers'!$P$2:$Q$6,2,FALSE))</f>
        <v/>
      </c>
      <c r="V108" s="96"/>
      <c r="W108" s="291" t="str">
        <f>IF(V108="","",IF(AND(V108="N/A - Culvert",C108&lt;&gt;"Culvert"),"Not possible ▲",IF(AND(C108="Culvert",V108&lt;&gt;"N/A - Culvert"),"Not possible ▲",IF(VLOOKUP(V108,'G-7 WaterC'' Data'!$AA$4:$AB$7,2,FALSE)=0,"Spatial Data Missing ⚠",VLOOKUP(V108,'G-7 WaterC'' Data'!$AA$4:$AB$7,2,FALSE)))))</f>
        <v/>
      </c>
      <c r="X108" s="44"/>
      <c r="Y108" s="291" t="str">
        <f>IF(X108="","",IF(AND(X108="N/A - Culvert", C108&lt;&gt;"Culvert"), "Not possible ▲",IF(AND(C108="Culvert",X108&lt;&gt;"N/A - Culvert"),"Not possible ▲",IF(VLOOKUP(X108,'G-7 WaterC'' Data'!$AD$4:$AE$14,2,FALSE)=0,"Enrcoachment Data Missing ⚠",VLOOKUP(X108,'G-7 WaterC'' Data'!$AD$4:$AE$14,2,FALSE)))))</f>
        <v/>
      </c>
      <c r="Z108" s="332" t="str">
        <f t="shared" si="9"/>
        <v/>
      </c>
      <c r="AA108" s="98"/>
      <c r="AB108" s="99"/>
      <c r="AC108" s="101"/>
      <c r="AH108" s="15" t="str">
        <f>IFERROR(INDEX('G-7 WaterC'' Data'!$AZ$3:$AZ$7,MATCH(C108,'G-7 WaterC'' Data'!$AY$3:$AY$7,0)),"")</f>
        <v/>
      </c>
    </row>
    <row r="109" spans="2:34" ht="14" x14ac:dyDescent="0.3">
      <c r="B109" s="92">
        <v>98</v>
      </c>
      <c r="C109" s="119"/>
      <c r="D109" s="120"/>
      <c r="E109" s="290" t="str">
        <f>IF(C109="","",VLOOKUP(C109,'G-7 WaterC'' Data'!$B$2:$G$8,2,FALSE))</f>
        <v/>
      </c>
      <c r="F109" s="291" t="str">
        <f>IFERROR(VLOOKUP(E109,'G-7 WaterC'' Data'!$C$4:$D$8,2,FALSE),"")</f>
        <v/>
      </c>
      <c r="G109" s="95"/>
      <c r="H109" s="291" t="str">
        <f>IFERROR(INDEX('G-7 WaterC'' Data'!$H$4:$L$8,MATCH(C109,'G-7 WaterC'' Data'!$B$4:$B$8,0),MATCH(G109,'G-7 WaterC'' Data'!$H$3:$L$3,0)),"")</f>
        <v/>
      </c>
      <c r="I109" s="38"/>
      <c r="J109" s="298" t="str">
        <f>IF(I109="","",IF(VLOOKUP(I109,'G-7 WaterC'' Data'!$AK$4:$AM$6,2,FALSE)=0,"Spatial Data Missing ⚠",VLOOKUP(I109,'G-7 WaterC'' Data'!$AK$4:$AM$6,2,FALSE)))</f>
        <v/>
      </c>
      <c r="K109" s="291" t="str">
        <f>IF(I109="","",IF(VLOOKUP(I109,'G-7 WaterC'' Data'!$AK$4:$AM$6,3,FALSE)=0,"Spatial Data Missing ⚠",VLOOKUP(I109,'G-7 WaterC'' Data'!$AK$4:$AM$6,3,FALSE)))</f>
        <v/>
      </c>
      <c r="L109" s="290" t="str">
        <f>IFERROR(INDEX('G-7 WaterC'' Data'!$O$3:$O$7,MATCH(G109,'G-7 WaterC'' Data'!$N$3:$N$7,0)),"")</f>
        <v/>
      </c>
      <c r="M109" s="47"/>
      <c r="N109" s="138"/>
      <c r="O109" s="298" t="str">
        <f t="shared" si="5"/>
        <v/>
      </c>
      <c r="P109" s="311" t="str">
        <f t="shared" si="6"/>
        <v/>
      </c>
      <c r="Q109" s="344" t="str">
        <f>IFERROR(IF(P109="Check Data ⚠","Check Data ⚠",VLOOKUP(P109,'G-4 Temporal multipliers'!$A$4:$C$37,3,FALSE)),"")</f>
        <v/>
      </c>
      <c r="R109" s="290" t="str">
        <f>IF(C109="","",VLOOKUP(C109,'G-7 WaterC'' Data'!$B$4:$G$8,4,FALSE))</f>
        <v/>
      </c>
      <c r="S109" s="298" t="str">
        <f t="shared" si="7"/>
        <v/>
      </c>
      <c r="T109" s="328" t="str">
        <f t="shared" si="8"/>
        <v/>
      </c>
      <c r="U109" s="291" t="str">
        <f>IF(C109="","",VLOOKUP(T109,'G-3 Multipliers'!$P$2:$Q$6,2,FALSE))</f>
        <v/>
      </c>
      <c r="V109" s="96"/>
      <c r="W109" s="291" t="str">
        <f>IF(V109="","",IF(AND(V109="N/A - Culvert",C109&lt;&gt;"Culvert"),"Not possible ▲",IF(AND(C109="Culvert",V109&lt;&gt;"N/A - Culvert"),"Not possible ▲",IF(VLOOKUP(V109,'G-7 WaterC'' Data'!$AA$4:$AB$7,2,FALSE)=0,"Spatial Data Missing ⚠",VLOOKUP(V109,'G-7 WaterC'' Data'!$AA$4:$AB$7,2,FALSE)))))</f>
        <v/>
      </c>
      <c r="X109" s="44"/>
      <c r="Y109" s="291" t="str">
        <f>IF(X109="","",IF(AND(X109="N/A - Culvert", C109&lt;&gt;"Culvert"), "Not possible ▲",IF(AND(C109="Culvert",X109&lt;&gt;"N/A - Culvert"),"Not possible ▲",IF(VLOOKUP(X109,'G-7 WaterC'' Data'!$AD$4:$AE$14,2,FALSE)=0,"Enrcoachment Data Missing ⚠",VLOOKUP(X109,'G-7 WaterC'' Data'!$AD$4:$AE$14,2,FALSE)))))</f>
        <v/>
      </c>
      <c r="Z109" s="332" t="str">
        <f t="shared" si="9"/>
        <v/>
      </c>
      <c r="AA109" s="98"/>
      <c r="AB109" s="99"/>
      <c r="AC109" s="101"/>
      <c r="AH109" s="15" t="str">
        <f>IFERROR(INDEX('G-7 WaterC'' Data'!$AZ$3:$AZ$7,MATCH(C109,'G-7 WaterC'' Data'!$AY$3:$AY$7,0)),"")</f>
        <v/>
      </c>
    </row>
    <row r="110" spans="2:34" ht="14" x14ac:dyDescent="0.3">
      <c r="B110" s="92">
        <v>99</v>
      </c>
      <c r="C110" s="119"/>
      <c r="D110" s="120"/>
      <c r="E110" s="290" t="str">
        <f>IF(C110="","",VLOOKUP(C110,'G-7 WaterC'' Data'!$B$2:$G$8,2,FALSE))</f>
        <v/>
      </c>
      <c r="F110" s="291" t="str">
        <f>IFERROR(VLOOKUP(E110,'G-7 WaterC'' Data'!$C$4:$D$8,2,FALSE),"")</f>
        <v/>
      </c>
      <c r="G110" s="95"/>
      <c r="H110" s="291" t="str">
        <f>IFERROR(INDEX('G-7 WaterC'' Data'!$H$4:$L$8,MATCH(C110,'G-7 WaterC'' Data'!$B$4:$B$8,0),MATCH(G110,'G-7 WaterC'' Data'!$H$3:$L$3,0)),"")</f>
        <v/>
      </c>
      <c r="I110" s="38"/>
      <c r="J110" s="298" t="str">
        <f>IF(I110="","",IF(VLOOKUP(I110,'G-7 WaterC'' Data'!$AK$4:$AM$6,2,FALSE)=0,"Spatial Data Missing ⚠",VLOOKUP(I110,'G-7 WaterC'' Data'!$AK$4:$AM$6,2,FALSE)))</f>
        <v/>
      </c>
      <c r="K110" s="291" t="str">
        <f>IF(I110="","",IF(VLOOKUP(I110,'G-7 WaterC'' Data'!$AK$4:$AM$6,3,FALSE)=0,"Spatial Data Missing ⚠",VLOOKUP(I110,'G-7 WaterC'' Data'!$AK$4:$AM$6,3,FALSE)))</f>
        <v/>
      </c>
      <c r="L110" s="290" t="str">
        <f>IFERROR(INDEX('G-7 WaterC'' Data'!$O$3:$O$7,MATCH(G110,'G-7 WaterC'' Data'!$N$3:$N$7,0)),"")</f>
        <v/>
      </c>
      <c r="M110" s="47"/>
      <c r="N110" s="138"/>
      <c r="O110" s="298" t="str">
        <f t="shared" si="5"/>
        <v/>
      </c>
      <c r="P110" s="311" t="str">
        <f t="shared" si="6"/>
        <v/>
      </c>
      <c r="Q110" s="344" t="str">
        <f>IFERROR(IF(P110="Check Data ⚠","Check Data ⚠",VLOOKUP(P110,'G-4 Temporal multipliers'!$A$4:$C$37,3,FALSE)),"")</f>
        <v/>
      </c>
      <c r="R110" s="290" t="str">
        <f>IF(C110="","",VLOOKUP(C110,'G-7 WaterC'' Data'!$B$4:$G$8,4,FALSE))</f>
        <v/>
      </c>
      <c r="S110" s="298" t="str">
        <f t="shared" si="7"/>
        <v/>
      </c>
      <c r="T110" s="328" t="str">
        <f t="shared" si="8"/>
        <v/>
      </c>
      <c r="U110" s="291" t="str">
        <f>IF(C110="","",VLOOKUP(T110,'G-3 Multipliers'!$P$2:$Q$6,2,FALSE))</f>
        <v/>
      </c>
      <c r="V110" s="96"/>
      <c r="W110" s="291" t="str">
        <f>IF(V110="","",IF(AND(V110="N/A - Culvert",C110&lt;&gt;"Culvert"),"Not possible ▲",IF(AND(C110="Culvert",V110&lt;&gt;"N/A - Culvert"),"Not possible ▲",IF(VLOOKUP(V110,'G-7 WaterC'' Data'!$AA$4:$AB$7,2,FALSE)=0,"Spatial Data Missing ⚠",VLOOKUP(V110,'G-7 WaterC'' Data'!$AA$4:$AB$7,2,FALSE)))))</f>
        <v/>
      </c>
      <c r="X110" s="44"/>
      <c r="Y110" s="291" t="str">
        <f>IF(X110="","",IF(AND(X110="N/A - Culvert", C110&lt;&gt;"Culvert"), "Not possible ▲",IF(AND(C110="Culvert",X110&lt;&gt;"N/A - Culvert"),"Not possible ▲",IF(VLOOKUP(X110,'G-7 WaterC'' Data'!$AD$4:$AE$14,2,FALSE)=0,"Enrcoachment Data Missing ⚠",VLOOKUP(X110,'G-7 WaterC'' Data'!$AD$4:$AE$14,2,FALSE)))))</f>
        <v/>
      </c>
      <c r="Z110" s="332" t="str">
        <f t="shared" si="9"/>
        <v/>
      </c>
      <c r="AA110" s="98"/>
      <c r="AB110" s="99"/>
      <c r="AC110" s="101"/>
      <c r="AH110" s="15" t="str">
        <f>IFERROR(INDEX('G-7 WaterC'' Data'!$AZ$3:$AZ$7,MATCH(C110,'G-7 WaterC'' Data'!$AY$3:$AY$7,0)),"")</f>
        <v/>
      </c>
    </row>
    <row r="111" spans="2:34" ht="14" x14ac:dyDescent="0.3">
      <c r="B111" s="92">
        <v>100</v>
      </c>
      <c r="C111" s="119"/>
      <c r="D111" s="120"/>
      <c r="E111" s="290" t="str">
        <f>IF(C111="","",VLOOKUP(C111,'G-7 WaterC'' Data'!$B$2:$G$8,2,FALSE))</f>
        <v/>
      </c>
      <c r="F111" s="291" t="str">
        <f>IFERROR(VLOOKUP(E111,'G-7 WaterC'' Data'!$C$4:$D$8,2,FALSE),"")</f>
        <v/>
      </c>
      <c r="G111" s="95"/>
      <c r="H111" s="291" t="str">
        <f>IFERROR(INDEX('G-7 WaterC'' Data'!$H$4:$L$8,MATCH(C111,'G-7 WaterC'' Data'!$B$4:$B$8,0),MATCH(G111,'G-7 WaterC'' Data'!$H$3:$L$3,0)),"")</f>
        <v/>
      </c>
      <c r="I111" s="38"/>
      <c r="J111" s="298" t="str">
        <f>IF(I111="","",IF(VLOOKUP(I111,'G-7 WaterC'' Data'!$AK$4:$AM$6,2,FALSE)=0,"Spatial Data Missing ⚠",VLOOKUP(I111,'G-7 WaterC'' Data'!$AK$4:$AM$6,2,FALSE)))</f>
        <v/>
      </c>
      <c r="K111" s="291" t="str">
        <f>IF(I111="","",IF(VLOOKUP(I111,'G-7 WaterC'' Data'!$AK$4:$AM$6,3,FALSE)=0,"Spatial Data Missing ⚠",VLOOKUP(I111,'G-7 WaterC'' Data'!$AK$4:$AM$6,3,FALSE)))</f>
        <v/>
      </c>
      <c r="L111" s="290" t="str">
        <f>IFERROR(INDEX('G-7 WaterC'' Data'!$O$3:$O$7,MATCH(G111,'G-7 WaterC'' Data'!$N$3:$N$7,0)),"")</f>
        <v/>
      </c>
      <c r="M111" s="47"/>
      <c r="N111" s="138"/>
      <c r="O111" s="298" t="str">
        <f t="shared" si="5"/>
        <v/>
      </c>
      <c r="P111" s="311" t="str">
        <f t="shared" si="6"/>
        <v/>
      </c>
      <c r="Q111" s="344" t="str">
        <f>IFERROR(IF(P111="Check Data ⚠","Check Data ⚠",VLOOKUP(P111,'G-4 Temporal multipliers'!$A$4:$C$37,3,FALSE)),"")</f>
        <v/>
      </c>
      <c r="R111" s="290" t="str">
        <f>IF(C111="","",VLOOKUP(C111,'G-7 WaterC'' Data'!$B$4:$G$8,4,FALSE))</f>
        <v/>
      </c>
      <c r="S111" s="298" t="str">
        <f t="shared" si="7"/>
        <v/>
      </c>
      <c r="T111" s="328" t="str">
        <f t="shared" si="8"/>
        <v/>
      </c>
      <c r="U111" s="291" t="str">
        <f>IF(C111="","",VLOOKUP(T111,'G-3 Multipliers'!$P$2:$Q$6,2,FALSE))</f>
        <v/>
      </c>
      <c r="V111" s="96"/>
      <c r="W111" s="291" t="str">
        <f>IF(V111="","",IF(AND(V111="N/A - Culvert",C111&lt;&gt;"Culvert"),"Not possible ▲",IF(AND(C111="Culvert",V111&lt;&gt;"N/A - Culvert"),"Not possible ▲",IF(VLOOKUP(V111,'G-7 WaterC'' Data'!$AA$4:$AB$7,2,FALSE)=0,"Spatial Data Missing ⚠",VLOOKUP(V111,'G-7 WaterC'' Data'!$AA$4:$AB$7,2,FALSE)))))</f>
        <v/>
      </c>
      <c r="X111" s="44"/>
      <c r="Y111" s="291" t="str">
        <f>IF(X111="","",IF(AND(X111="N/A - Culvert", C111&lt;&gt;"Culvert"), "Not possible ▲",IF(AND(C111="Culvert",X111&lt;&gt;"N/A - Culvert"),"Not possible ▲",IF(VLOOKUP(X111,'G-7 WaterC'' Data'!$AD$4:$AE$14,2,FALSE)=0,"Enrcoachment Data Missing ⚠",VLOOKUP(X111,'G-7 WaterC'' Data'!$AD$4:$AE$14,2,FALSE)))))</f>
        <v/>
      </c>
      <c r="Z111" s="332" t="str">
        <f t="shared" si="9"/>
        <v/>
      </c>
      <c r="AA111" s="98"/>
      <c r="AB111" s="99"/>
      <c r="AC111" s="101"/>
      <c r="AH111" s="15" t="str">
        <f>IFERROR(INDEX('G-7 WaterC'' Data'!$AZ$3:$AZ$7,MATCH(C111,'G-7 WaterC'' Data'!$AY$3:$AY$7,0)),"")</f>
        <v/>
      </c>
    </row>
    <row r="112" spans="2:34" ht="14" x14ac:dyDescent="0.3">
      <c r="B112" s="92">
        <v>101</v>
      </c>
      <c r="C112" s="119"/>
      <c r="D112" s="120"/>
      <c r="E112" s="290" t="str">
        <f>IF(C112="","",VLOOKUP(C112,'G-7 WaterC'' Data'!$B$2:$G$8,2,FALSE))</f>
        <v/>
      </c>
      <c r="F112" s="291" t="str">
        <f>IFERROR(VLOOKUP(E112,'G-7 WaterC'' Data'!$C$4:$D$8,2,FALSE),"")</f>
        <v/>
      </c>
      <c r="G112" s="95"/>
      <c r="H112" s="291" t="str">
        <f>IFERROR(INDEX('G-7 WaterC'' Data'!$H$4:$L$8,MATCH(C112,'G-7 WaterC'' Data'!$B$4:$B$8,0),MATCH(G112,'G-7 WaterC'' Data'!$H$3:$L$3,0)),"")</f>
        <v/>
      </c>
      <c r="I112" s="38"/>
      <c r="J112" s="298" t="str">
        <f>IF(I112="","",IF(VLOOKUP(I112,'G-7 WaterC'' Data'!$AK$4:$AM$6,2,FALSE)=0,"Spatial Data Missing ⚠",VLOOKUP(I112,'G-7 WaterC'' Data'!$AK$4:$AM$6,2,FALSE)))</f>
        <v/>
      </c>
      <c r="K112" s="291" t="str">
        <f>IF(I112="","",IF(VLOOKUP(I112,'G-7 WaterC'' Data'!$AK$4:$AM$6,3,FALSE)=0,"Spatial Data Missing ⚠",VLOOKUP(I112,'G-7 WaterC'' Data'!$AK$4:$AM$6,3,FALSE)))</f>
        <v/>
      </c>
      <c r="L112" s="290" t="str">
        <f>IFERROR(INDEX('G-7 WaterC'' Data'!$O$3:$O$7,MATCH(G112,'G-7 WaterC'' Data'!$N$3:$N$7,0)),"")</f>
        <v/>
      </c>
      <c r="M112" s="47"/>
      <c r="N112" s="138"/>
      <c r="O112" s="298" t="str">
        <f t="shared" si="5"/>
        <v/>
      </c>
      <c r="P112" s="311" t="str">
        <f t="shared" si="6"/>
        <v/>
      </c>
      <c r="Q112" s="344" t="str">
        <f>IFERROR(IF(P112="Check Data ⚠","Check Data ⚠",VLOOKUP(P112,'G-4 Temporal multipliers'!$A$4:$C$37,3,FALSE)),"")</f>
        <v/>
      </c>
      <c r="R112" s="290" t="str">
        <f>IF(C112="","",VLOOKUP(C112,'G-7 WaterC'' Data'!$B$4:$G$8,4,FALSE))</f>
        <v/>
      </c>
      <c r="S112" s="298" t="str">
        <f t="shared" si="7"/>
        <v/>
      </c>
      <c r="T112" s="328" t="str">
        <f t="shared" si="8"/>
        <v/>
      </c>
      <c r="U112" s="291" t="str">
        <f>IF(C112="","",VLOOKUP(T112,'G-3 Multipliers'!$P$2:$Q$6,2,FALSE))</f>
        <v/>
      </c>
      <c r="V112" s="96"/>
      <c r="W112" s="291" t="str">
        <f>IF(V112="","",IF(AND(V112="N/A - Culvert",C112&lt;&gt;"Culvert"),"Not possible ▲",IF(AND(C112="Culvert",V112&lt;&gt;"N/A - Culvert"),"Not possible ▲",IF(VLOOKUP(V112,'G-7 WaterC'' Data'!$AA$4:$AB$7,2,FALSE)=0,"Spatial Data Missing ⚠",VLOOKUP(V112,'G-7 WaterC'' Data'!$AA$4:$AB$7,2,FALSE)))))</f>
        <v/>
      </c>
      <c r="X112" s="44"/>
      <c r="Y112" s="291" t="str">
        <f>IF(X112="","",IF(AND(X112="N/A - Culvert", C112&lt;&gt;"Culvert"), "Not possible ▲",IF(AND(C112="Culvert",X112&lt;&gt;"N/A - Culvert"),"Not possible ▲",IF(VLOOKUP(X112,'G-7 WaterC'' Data'!$AD$4:$AE$14,2,FALSE)=0,"Enrcoachment Data Missing ⚠",VLOOKUP(X112,'G-7 WaterC'' Data'!$AD$4:$AE$14,2,FALSE)))))</f>
        <v/>
      </c>
      <c r="Z112" s="332" t="str">
        <f t="shared" si="9"/>
        <v/>
      </c>
      <c r="AA112" s="98"/>
      <c r="AB112" s="99"/>
      <c r="AC112" s="101"/>
      <c r="AH112" s="15" t="str">
        <f>IFERROR(INDEX('G-7 WaterC'' Data'!$AZ$3:$AZ$7,MATCH(C112,'G-7 WaterC'' Data'!$AY$3:$AY$7,0)),"")</f>
        <v/>
      </c>
    </row>
    <row r="113" spans="2:34" ht="14" x14ac:dyDescent="0.3">
      <c r="B113" s="92">
        <v>102</v>
      </c>
      <c r="C113" s="119"/>
      <c r="D113" s="120"/>
      <c r="E113" s="290" t="str">
        <f>IF(C113="","",VLOOKUP(C113,'G-7 WaterC'' Data'!$B$2:$G$8,2,FALSE))</f>
        <v/>
      </c>
      <c r="F113" s="291" t="str">
        <f>IFERROR(VLOOKUP(E113,'G-7 WaterC'' Data'!$C$4:$D$8,2,FALSE),"")</f>
        <v/>
      </c>
      <c r="G113" s="95"/>
      <c r="H113" s="291" t="str">
        <f>IFERROR(INDEX('G-7 WaterC'' Data'!$H$4:$L$8,MATCH(C113,'G-7 WaterC'' Data'!$B$4:$B$8,0),MATCH(G113,'G-7 WaterC'' Data'!$H$3:$L$3,0)),"")</f>
        <v/>
      </c>
      <c r="I113" s="38"/>
      <c r="J113" s="298" t="str">
        <f>IF(I113="","",IF(VLOOKUP(I113,'G-7 WaterC'' Data'!$AK$4:$AM$6,2,FALSE)=0,"Spatial Data Missing ⚠",VLOOKUP(I113,'G-7 WaterC'' Data'!$AK$4:$AM$6,2,FALSE)))</f>
        <v/>
      </c>
      <c r="K113" s="291" t="str">
        <f>IF(I113="","",IF(VLOOKUP(I113,'G-7 WaterC'' Data'!$AK$4:$AM$6,3,FALSE)=0,"Spatial Data Missing ⚠",VLOOKUP(I113,'G-7 WaterC'' Data'!$AK$4:$AM$6,3,FALSE)))</f>
        <v/>
      </c>
      <c r="L113" s="290" t="str">
        <f>IFERROR(INDEX('G-7 WaterC'' Data'!$O$3:$O$7,MATCH(G113,'G-7 WaterC'' Data'!$N$3:$N$7,0)),"")</f>
        <v/>
      </c>
      <c r="M113" s="47"/>
      <c r="N113" s="138"/>
      <c r="O113" s="298" t="str">
        <f t="shared" si="5"/>
        <v/>
      </c>
      <c r="P113" s="311" t="str">
        <f t="shared" si="6"/>
        <v/>
      </c>
      <c r="Q113" s="344" t="str">
        <f>IFERROR(IF(P113="Check Data ⚠","Check Data ⚠",VLOOKUP(P113,'G-4 Temporal multipliers'!$A$4:$C$37,3,FALSE)),"")</f>
        <v/>
      </c>
      <c r="R113" s="290" t="str">
        <f>IF(C113="","",VLOOKUP(C113,'G-7 WaterC'' Data'!$B$4:$G$8,4,FALSE))</f>
        <v/>
      </c>
      <c r="S113" s="298" t="str">
        <f t="shared" si="7"/>
        <v/>
      </c>
      <c r="T113" s="328" t="str">
        <f t="shared" si="8"/>
        <v/>
      </c>
      <c r="U113" s="291" t="str">
        <f>IF(C113="","",VLOOKUP(T113,'G-3 Multipliers'!$P$2:$Q$6,2,FALSE))</f>
        <v/>
      </c>
      <c r="V113" s="96"/>
      <c r="W113" s="291" t="str">
        <f>IF(V113="","",IF(AND(V113="N/A - Culvert",C113&lt;&gt;"Culvert"),"Not possible ▲",IF(AND(C113="Culvert",V113&lt;&gt;"N/A - Culvert"),"Not possible ▲",IF(VLOOKUP(V113,'G-7 WaterC'' Data'!$AA$4:$AB$7,2,FALSE)=0,"Spatial Data Missing ⚠",VLOOKUP(V113,'G-7 WaterC'' Data'!$AA$4:$AB$7,2,FALSE)))))</f>
        <v/>
      </c>
      <c r="X113" s="44"/>
      <c r="Y113" s="291" t="str">
        <f>IF(X113="","",IF(AND(X113="N/A - Culvert", C113&lt;&gt;"Culvert"), "Not possible ▲",IF(AND(C113="Culvert",X113&lt;&gt;"N/A - Culvert"),"Not possible ▲",IF(VLOOKUP(X113,'G-7 WaterC'' Data'!$AD$4:$AE$14,2,FALSE)=0,"Enrcoachment Data Missing ⚠",VLOOKUP(X113,'G-7 WaterC'' Data'!$AD$4:$AE$14,2,FALSE)))))</f>
        <v/>
      </c>
      <c r="Z113" s="332" t="str">
        <f t="shared" si="9"/>
        <v/>
      </c>
      <c r="AA113" s="98"/>
      <c r="AB113" s="99"/>
      <c r="AC113" s="101"/>
      <c r="AH113" s="15" t="str">
        <f>IFERROR(INDEX('G-7 WaterC'' Data'!$AZ$3:$AZ$7,MATCH(C113,'G-7 WaterC'' Data'!$AY$3:$AY$7,0)),"")</f>
        <v/>
      </c>
    </row>
    <row r="114" spans="2:34" ht="14" x14ac:dyDescent="0.3">
      <c r="B114" s="92">
        <v>103</v>
      </c>
      <c r="C114" s="119"/>
      <c r="D114" s="120"/>
      <c r="E114" s="290" t="str">
        <f>IF(C114="","",VLOOKUP(C114,'G-7 WaterC'' Data'!$B$2:$G$8,2,FALSE))</f>
        <v/>
      </c>
      <c r="F114" s="291" t="str">
        <f>IFERROR(VLOOKUP(E114,'G-7 WaterC'' Data'!$C$4:$D$8,2,FALSE),"")</f>
        <v/>
      </c>
      <c r="G114" s="95"/>
      <c r="H114" s="291" t="str">
        <f>IFERROR(INDEX('G-7 WaterC'' Data'!$H$4:$L$8,MATCH(C114,'G-7 WaterC'' Data'!$B$4:$B$8,0),MATCH(G114,'G-7 WaterC'' Data'!$H$3:$L$3,0)),"")</f>
        <v/>
      </c>
      <c r="I114" s="38"/>
      <c r="J114" s="298" t="str">
        <f>IF(I114="","",IF(VLOOKUP(I114,'G-7 WaterC'' Data'!$AK$4:$AM$6,2,FALSE)=0,"Spatial Data Missing ⚠",VLOOKUP(I114,'G-7 WaterC'' Data'!$AK$4:$AM$6,2,FALSE)))</f>
        <v/>
      </c>
      <c r="K114" s="291" t="str">
        <f>IF(I114="","",IF(VLOOKUP(I114,'G-7 WaterC'' Data'!$AK$4:$AM$6,3,FALSE)=0,"Spatial Data Missing ⚠",VLOOKUP(I114,'G-7 WaterC'' Data'!$AK$4:$AM$6,3,FALSE)))</f>
        <v/>
      </c>
      <c r="L114" s="290" t="str">
        <f>IFERROR(INDEX('G-7 WaterC'' Data'!$O$3:$O$7,MATCH(G114,'G-7 WaterC'' Data'!$N$3:$N$7,0)),"")</f>
        <v/>
      </c>
      <c r="M114" s="47"/>
      <c r="N114" s="138"/>
      <c r="O114" s="298" t="str">
        <f t="shared" si="5"/>
        <v/>
      </c>
      <c r="P114" s="311" t="str">
        <f t="shared" si="6"/>
        <v/>
      </c>
      <c r="Q114" s="344" t="str">
        <f>IFERROR(IF(P114="Check Data ⚠","Check Data ⚠",VLOOKUP(P114,'G-4 Temporal multipliers'!$A$4:$C$37,3,FALSE)),"")</f>
        <v/>
      </c>
      <c r="R114" s="290" t="str">
        <f>IF(C114="","",VLOOKUP(C114,'G-7 WaterC'' Data'!$B$4:$G$8,4,FALSE))</f>
        <v/>
      </c>
      <c r="S114" s="298" t="str">
        <f t="shared" si="7"/>
        <v/>
      </c>
      <c r="T114" s="328" t="str">
        <f t="shared" si="8"/>
        <v/>
      </c>
      <c r="U114" s="291" t="str">
        <f>IF(C114="","",VLOOKUP(T114,'G-3 Multipliers'!$P$2:$Q$6,2,FALSE))</f>
        <v/>
      </c>
      <c r="V114" s="96"/>
      <c r="W114" s="291" t="str">
        <f>IF(V114="","",IF(AND(V114="N/A - Culvert",C114&lt;&gt;"Culvert"),"Not possible ▲",IF(AND(C114="Culvert",V114&lt;&gt;"N/A - Culvert"),"Not possible ▲",IF(VLOOKUP(V114,'G-7 WaterC'' Data'!$AA$4:$AB$7,2,FALSE)=0,"Spatial Data Missing ⚠",VLOOKUP(V114,'G-7 WaterC'' Data'!$AA$4:$AB$7,2,FALSE)))))</f>
        <v/>
      </c>
      <c r="X114" s="44"/>
      <c r="Y114" s="291" t="str">
        <f>IF(X114="","",IF(AND(X114="N/A - Culvert", C114&lt;&gt;"Culvert"), "Not possible ▲",IF(AND(C114="Culvert",X114&lt;&gt;"N/A - Culvert"),"Not possible ▲",IF(VLOOKUP(X114,'G-7 WaterC'' Data'!$AD$4:$AE$14,2,FALSE)=0,"Enrcoachment Data Missing ⚠",VLOOKUP(X114,'G-7 WaterC'' Data'!$AD$4:$AE$14,2,FALSE)))))</f>
        <v/>
      </c>
      <c r="Z114" s="332" t="str">
        <f t="shared" si="9"/>
        <v/>
      </c>
      <c r="AA114" s="98"/>
      <c r="AB114" s="99"/>
      <c r="AC114" s="101"/>
      <c r="AH114" s="15" t="str">
        <f>IFERROR(INDEX('G-7 WaterC'' Data'!$AZ$3:$AZ$7,MATCH(C114,'G-7 WaterC'' Data'!$AY$3:$AY$7,0)),"")</f>
        <v/>
      </c>
    </row>
    <row r="115" spans="2:34" ht="14" x14ac:dyDescent="0.3">
      <c r="B115" s="92">
        <v>104</v>
      </c>
      <c r="C115" s="119"/>
      <c r="D115" s="120"/>
      <c r="E115" s="290" t="str">
        <f>IF(C115="","",VLOOKUP(C115,'G-7 WaterC'' Data'!$B$2:$G$8,2,FALSE))</f>
        <v/>
      </c>
      <c r="F115" s="291" t="str">
        <f>IFERROR(VLOOKUP(E115,'G-7 WaterC'' Data'!$C$4:$D$8,2,FALSE),"")</f>
        <v/>
      </c>
      <c r="G115" s="95"/>
      <c r="H115" s="291" t="str">
        <f>IFERROR(INDEX('G-7 WaterC'' Data'!$H$4:$L$8,MATCH(C115,'G-7 WaterC'' Data'!$B$4:$B$8,0),MATCH(G115,'G-7 WaterC'' Data'!$H$3:$L$3,0)),"")</f>
        <v/>
      </c>
      <c r="I115" s="38"/>
      <c r="J115" s="298" t="str">
        <f>IF(I115="","",IF(VLOOKUP(I115,'G-7 WaterC'' Data'!$AK$4:$AM$6,2,FALSE)=0,"Spatial Data Missing ⚠",VLOOKUP(I115,'G-7 WaterC'' Data'!$AK$4:$AM$6,2,FALSE)))</f>
        <v/>
      </c>
      <c r="K115" s="291" t="str">
        <f>IF(I115="","",IF(VLOOKUP(I115,'G-7 WaterC'' Data'!$AK$4:$AM$6,3,FALSE)=0,"Spatial Data Missing ⚠",VLOOKUP(I115,'G-7 WaterC'' Data'!$AK$4:$AM$6,3,FALSE)))</f>
        <v/>
      </c>
      <c r="L115" s="290" t="str">
        <f>IFERROR(INDEX('G-7 WaterC'' Data'!$O$3:$O$7,MATCH(G115,'G-7 WaterC'' Data'!$N$3:$N$7,0)),"")</f>
        <v/>
      </c>
      <c r="M115" s="47"/>
      <c r="N115" s="138"/>
      <c r="O115" s="298" t="str">
        <f t="shared" si="5"/>
        <v/>
      </c>
      <c r="P115" s="311" t="str">
        <f t="shared" si="6"/>
        <v/>
      </c>
      <c r="Q115" s="344" t="str">
        <f>IFERROR(IF(P115="Check Data ⚠","Check Data ⚠",VLOOKUP(P115,'G-4 Temporal multipliers'!$A$4:$C$37,3,FALSE)),"")</f>
        <v/>
      </c>
      <c r="R115" s="290" t="str">
        <f>IF(C115="","",VLOOKUP(C115,'G-7 WaterC'' Data'!$B$4:$G$8,4,FALSE))</f>
        <v/>
      </c>
      <c r="S115" s="298" t="str">
        <f t="shared" si="7"/>
        <v/>
      </c>
      <c r="T115" s="328" t="str">
        <f t="shared" si="8"/>
        <v/>
      </c>
      <c r="U115" s="291" t="str">
        <f>IF(C115="","",VLOOKUP(T115,'G-3 Multipliers'!$P$2:$Q$6,2,FALSE))</f>
        <v/>
      </c>
      <c r="V115" s="96"/>
      <c r="W115" s="291" t="str">
        <f>IF(V115="","",IF(AND(V115="N/A - Culvert",C115&lt;&gt;"Culvert"),"Not possible ▲",IF(AND(C115="Culvert",V115&lt;&gt;"N/A - Culvert"),"Not possible ▲",IF(VLOOKUP(V115,'G-7 WaterC'' Data'!$AA$4:$AB$7,2,FALSE)=0,"Spatial Data Missing ⚠",VLOOKUP(V115,'G-7 WaterC'' Data'!$AA$4:$AB$7,2,FALSE)))))</f>
        <v/>
      </c>
      <c r="X115" s="44"/>
      <c r="Y115" s="291" t="str">
        <f>IF(X115="","",IF(AND(X115="N/A - Culvert", C115&lt;&gt;"Culvert"), "Not possible ▲",IF(AND(C115="Culvert",X115&lt;&gt;"N/A - Culvert"),"Not possible ▲",IF(VLOOKUP(X115,'G-7 WaterC'' Data'!$AD$4:$AE$14,2,FALSE)=0,"Enrcoachment Data Missing ⚠",VLOOKUP(X115,'G-7 WaterC'' Data'!$AD$4:$AE$14,2,FALSE)))))</f>
        <v/>
      </c>
      <c r="Z115" s="332" t="str">
        <f t="shared" si="9"/>
        <v/>
      </c>
      <c r="AA115" s="98"/>
      <c r="AB115" s="99"/>
      <c r="AC115" s="101"/>
      <c r="AH115" s="15" t="str">
        <f>IFERROR(INDEX('G-7 WaterC'' Data'!$AZ$3:$AZ$7,MATCH(C115,'G-7 WaterC'' Data'!$AY$3:$AY$7,0)),"")</f>
        <v/>
      </c>
    </row>
    <row r="116" spans="2:34" ht="14" x14ac:dyDescent="0.3">
      <c r="B116" s="92">
        <v>105</v>
      </c>
      <c r="C116" s="119"/>
      <c r="D116" s="120"/>
      <c r="E116" s="290" t="str">
        <f>IF(C116="","",VLOOKUP(C116,'G-7 WaterC'' Data'!$B$2:$G$8,2,FALSE))</f>
        <v/>
      </c>
      <c r="F116" s="291" t="str">
        <f>IFERROR(VLOOKUP(E116,'G-7 WaterC'' Data'!$C$4:$D$8,2,FALSE),"")</f>
        <v/>
      </c>
      <c r="G116" s="95"/>
      <c r="H116" s="291" t="str">
        <f>IFERROR(INDEX('G-7 WaterC'' Data'!$H$4:$L$8,MATCH(C116,'G-7 WaterC'' Data'!$B$4:$B$8,0),MATCH(G116,'G-7 WaterC'' Data'!$H$3:$L$3,0)),"")</f>
        <v/>
      </c>
      <c r="I116" s="38"/>
      <c r="J116" s="298" t="str">
        <f>IF(I116="","",IF(VLOOKUP(I116,'G-7 WaterC'' Data'!$AK$4:$AM$6,2,FALSE)=0,"Spatial Data Missing ⚠",VLOOKUP(I116,'G-7 WaterC'' Data'!$AK$4:$AM$6,2,FALSE)))</f>
        <v/>
      </c>
      <c r="K116" s="291" t="str">
        <f>IF(I116="","",IF(VLOOKUP(I116,'G-7 WaterC'' Data'!$AK$4:$AM$6,3,FALSE)=0,"Spatial Data Missing ⚠",VLOOKUP(I116,'G-7 WaterC'' Data'!$AK$4:$AM$6,3,FALSE)))</f>
        <v/>
      </c>
      <c r="L116" s="290" t="str">
        <f>IFERROR(INDEX('G-7 WaterC'' Data'!$O$3:$O$7,MATCH(G116,'G-7 WaterC'' Data'!$N$3:$N$7,0)),"")</f>
        <v/>
      </c>
      <c r="M116" s="47"/>
      <c r="N116" s="138"/>
      <c r="O116" s="298" t="str">
        <f t="shared" si="5"/>
        <v/>
      </c>
      <c r="P116" s="311" t="str">
        <f t="shared" si="6"/>
        <v/>
      </c>
      <c r="Q116" s="344" t="str">
        <f>IFERROR(IF(P116="Check Data ⚠","Check Data ⚠",VLOOKUP(P116,'G-4 Temporal multipliers'!$A$4:$C$37,3,FALSE)),"")</f>
        <v/>
      </c>
      <c r="R116" s="290" t="str">
        <f>IF(C116="","",VLOOKUP(C116,'G-7 WaterC'' Data'!$B$4:$G$8,4,FALSE))</f>
        <v/>
      </c>
      <c r="S116" s="298" t="str">
        <f t="shared" si="7"/>
        <v/>
      </c>
      <c r="T116" s="328" t="str">
        <f t="shared" si="8"/>
        <v/>
      </c>
      <c r="U116" s="291" t="str">
        <f>IF(C116="","",VLOOKUP(T116,'G-3 Multipliers'!$P$2:$Q$6,2,FALSE))</f>
        <v/>
      </c>
      <c r="V116" s="96"/>
      <c r="W116" s="291" t="str">
        <f>IF(V116="","",IF(AND(V116="N/A - Culvert",C116&lt;&gt;"Culvert"),"Not possible ▲",IF(AND(C116="Culvert",V116&lt;&gt;"N/A - Culvert"),"Not possible ▲",IF(VLOOKUP(V116,'G-7 WaterC'' Data'!$AA$4:$AB$7,2,FALSE)=0,"Spatial Data Missing ⚠",VLOOKUP(V116,'G-7 WaterC'' Data'!$AA$4:$AB$7,2,FALSE)))))</f>
        <v/>
      </c>
      <c r="X116" s="44"/>
      <c r="Y116" s="291" t="str">
        <f>IF(X116="","",IF(AND(X116="N/A - Culvert", C116&lt;&gt;"Culvert"), "Not possible ▲",IF(AND(C116="Culvert",X116&lt;&gt;"N/A - Culvert"),"Not possible ▲",IF(VLOOKUP(X116,'G-7 WaterC'' Data'!$AD$4:$AE$14,2,FALSE)=0,"Enrcoachment Data Missing ⚠",VLOOKUP(X116,'G-7 WaterC'' Data'!$AD$4:$AE$14,2,FALSE)))))</f>
        <v/>
      </c>
      <c r="Z116" s="332" t="str">
        <f t="shared" si="9"/>
        <v/>
      </c>
      <c r="AA116" s="98"/>
      <c r="AB116" s="99"/>
      <c r="AC116" s="101"/>
      <c r="AH116" s="15" t="str">
        <f>IFERROR(INDEX('G-7 WaterC'' Data'!$AZ$3:$AZ$7,MATCH(C116,'G-7 WaterC'' Data'!$AY$3:$AY$7,0)),"")</f>
        <v/>
      </c>
    </row>
    <row r="117" spans="2:34" ht="14" x14ac:dyDescent="0.3">
      <c r="B117" s="92">
        <v>106</v>
      </c>
      <c r="C117" s="119"/>
      <c r="D117" s="120"/>
      <c r="E117" s="290" t="str">
        <f>IF(C117="","",VLOOKUP(C117,'G-7 WaterC'' Data'!$B$2:$G$8,2,FALSE))</f>
        <v/>
      </c>
      <c r="F117" s="291" t="str">
        <f>IFERROR(VLOOKUP(E117,'G-7 WaterC'' Data'!$C$4:$D$8,2,FALSE),"")</f>
        <v/>
      </c>
      <c r="G117" s="95"/>
      <c r="H117" s="291" t="str">
        <f>IFERROR(INDEX('G-7 WaterC'' Data'!$H$4:$L$8,MATCH(C117,'G-7 WaterC'' Data'!$B$4:$B$8,0),MATCH(G117,'G-7 WaterC'' Data'!$H$3:$L$3,0)),"")</f>
        <v/>
      </c>
      <c r="I117" s="38"/>
      <c r="J117" s="298" t="str">
        <f>IF(I117="","",IF(VLOOKUP(I117,'G-7 WaterC'' Data'!$AK$4:$AM$6,2,FALSE)=0,"Spatial Data Missing ⚠",VLOOKUP(I117,'G-7 WaterC'' Data'!$AK$4:$AM$6,2,FALSE)))</f>
        <v/>
      </c>
      <c r="K117" s="291" t="str">
        <f>IF(I117="","",IF(VLOOKUP(I117,'G-7 WaterC'' Data'!$AK$4:$AM$6,3,FALSE)=0,"Spatial Data Missing ⚠",VLOOKUP(I117,'G-7 WaterC'' Data'!$AK$4:$AM$6,3,FALSE)))</f>
        <v/>
      </c>
      <c r="L117" s="290" t="str">
        <f>IFERROR(INDEX('G-7 WaterC'' Data'!$O$3:$O$7,MATCH(G117,'G-7 WaterC'' Data'!$N$3:$N$7,0)),"")</f>
        <v/>
      </c>
      <c r="M117" s="47"/>
      <c r="N117" s="138"/>
      <c r="O117" s="298" t="str">
        <f t="shared" si="5"/>
        <v/>
      </c>
      <c r="P117" s="311" t="str">
        <f t="shared" si="6"/>
        <v/>
      </c>
      <c r="Q117" s="344" t="str">
        <f>IFERROR(IF(P117="Check Data ⚠","Check Data ⚠",VLOOKUP(P117,'G-4 Temporal multipliers'!$A$4:$C$37,3,FALSE)),"")</f>
        <v/>
      </c>
      <c r="R117" s="290" t="str">
        <f>IF(C117="","",VLOOKUP(C117,'G-7 WaterC'' Data'!$B$4:$G$8,4,FALSE))</f>
        <v/>
      </c>
      <c r="S117" s="298" t="str">
        <f t="shared" si="7"/>
        <v/>
      </c>
      <c r="T117" s="328" t="str">
        <f t="shared" si="8"/>
        <v/>
      </c>
      <c r="U117" s="291" t="str">
        <f>IF(C117="","",VLOOKUP(T117,'G-3 Multipliers'!$P$2:$Q$6,2,FALSE))</f>
        <v/>
      </c>
      <c r="V117" s="96"/>
      <c r="W117" s="291" t="str">
        <f>IF(V117="","",IF(AND(V117="N/A - Culvert",C117&lt;&gt;"Culvert"),"Not possible ▲",IF(AND(C117="Culvert",V117&lt;&gt;"N/A - Culvert"),"Not possible ▲",IF(VLOOKUP(V117,'G-7 WaterC'' Data'!$AA$4:$AB$7,2,FALSE)=0,"Spatial Data Missing ⚠",VLOOKUP(V117,'G-7 WaterC'' Data'!$AA$4:$AB$7,2,FALSE)))))</f>
        <v/>
      </c>
      <c r="X117" s="44"/>
      <c r="Y117" s="291" t="str">
        <f>IF(X117="","",IF(AND(X117="N/A - Culvert", C117&lt;&gt;"Culvert"), "Not possible ▲",IF(AND(C117="Culvert",X117&lt;&gt;"N/A - Culvert"),"Not possible ▲",IF(VLOOKUP(X117,'G-7 WaterC'' Data'!$AD$4:$AE$14,2,FALSE)=0,"Enrcoachment Data Missing ⚠",VLOOKUP(X117,'G-7 WaterC'' Data'!$AD$4:$AE$14,2,FALSE)))))</f>
        <v/>
      </c>
      <c r="Z117" s="332" t="str">
        <f t="shared" si="9"/>
        <v/>
      </c>
      <c r="AA117" s="98"/>
      <c r="AB117" s="99"/>
      <c r="AC117" s="101"/>
      <c r="AH117" s="15" t="str">
        <f>IFERROR(INDEX('G-7 WaterC'' Data'!$AZ$3:$AZ$7,MATCH(C117,'G-7 WaterC'' Data'!$AY$3:$AY$7,0)),"")</f>
        <v/>
      </c>
    </row>
    <row r="118" spans="2:34" ht="14" x14ac:dyDescent="0.3">
      <c r="B118" s="92">
        <v>107</v>
      </c>
      <c r="C118" s="119"/>
      <c r="D118" s="120"/>
      <c r="E118" s="290" t="str">
        <f>IF(C118="","",VLOOKUP(C118,'G-7 WaterC'' Data'!$B$2:$G$8,2,FALSE))</f>
        <v/>
      </c>
      <c r="F118" s="291" t="str">
        <f>IFERROR(VLOOKUP(E118,'G-7 WaterC'' Data'!$C$4:$D$8,2,FALSE),"")</f>
        <v/>
      </c>
      <c r="G118" s="95"/>
      <c r="H118" s="291" t="str">
        <f>IFERROR(INDEX('G-7 WaterC'' Data'!$H$4:$L$8,MATCH(C118,'G-7 WaterC'' Data'!$B$4:$B$8,0),MATCH(G118,'G-7 WaterC'' Data'!$H$3:$L$3,0)),"")</f>
        <v/>
      </c>
      <c r="I118" s="38"/>
      <c r="J118" s="298" t="str">
        <f>IF(I118="","",IF(VLOOKUP(I118,'G-7 WaterC'' Data'!$AK$4:$AM$6,2,FALSE)=0,"Spatial Data Missing ⚠",VLOOKUP(I118,'G-7 WaterC'' Data'!$AK$4:$AM$6,2,FALSE)))</f>
        <v/>
      </c>
      <c r="K118" s="291" t="str">
        <f>IF(I118="","",IF(VLOOKUP(I118,'G-7 WaterC'' Data'!$AK$4:$AM$6,3,FALSE)=0,"Spatial Data Missing ⚠",VLOOKUP(I118,'G-7 WaterC'' Data'!$AK$4:$AM$6,3,FALSE)))</f>
        <v/>
      </c>
      <c r="L118" s="290" t="str">
        <f>IFERROR(INDEX('G-7 WaterC'' Data'!$O$3:$O$7,MATCH(G118,'G-7 WaterC'' Data'!$N$3:$N$7,0)),"")</f>
        <v/>
      </c>
      <c r="M118" s="47"/>
      <c r="N118" s="138"/>
      <c r="O118" s="298" t="str">
        <f t="shared" si="5"/>
        <v/>
      </c>
      <c r="P118" s="311" t="str">
        <f t="shared" si="6"/>
        <v/>
      </c>
      <c r="Q118" s="344" t="str">
        <f>IFERROR(IF(P118="Check Data ⚠","Check Data ⚠",VLOOKUP(P118,'G-4 Temporal multipliers'!$A$4:$C$37,3,FALSE)),"")</f>
        <v/>
      </c>
      <c r="R118" s="290" t="str">
        <f>IF(C118="","",VLOOKUP(C118,'G-7 WaterC'' Data'!$B$4:$G$8,4,FALSE))</f>
        <v/>
      </c>
      <c r="S118" s="298" t="str">
        <f t="shared" si="7"/>
        <v/>
      </c>
      <c r="T118" s="328" t="str">
        <f t="shared" si="8"/>
        <v/>
      </c>
      <c r="U118" s="291" t="str">
        <f>IF(C118="","",VLOOKUP(T118,'G-3 Multipliers'!$P$2:$Q$6,2,FALSE))</f>
        <v/>
      </c>
      <c r="V118" s="96"/>
      <c r="W118" s="291" t="str">
        <f>IF(V118="","",IF(AND(V118="N/A - Culvert",C118&lt;&gt;"Culvert"),"Not possible ▲",IF(AND(C118="Culvert",V118&lt;&gt;"N/A - Culvert"),"Not possible ▲",IF(VLOOKUP(V118,'G-7 WaterC'' Data'!$AA$4:$AB$7,2,FALSE)=0,"Spatial Data Missing ⚠",VLOOKUP(V118,'G-7 WaterC'' Data'!$AA$4:$AB$7,2,FALSE)))))</f>
        <v/>
      </c>
      <c r="X118" s="44"/>
      <c r="Y118" s="291" t="str">
        <f>IF(X118="","",IF(AND(X118="N/A - Culvert", C118&lt;&gt;"Culvert"), "Not possible ▲",IF(AND(C118="Culvert",X118&lt;&gt;"N/A - Culvert"),"Not possible ▲",IF(VLOOKUP(X118,'G-7 WaterC'' Data'!$AD$4:$AE$14,2,FALSE)=0,"Enrcoachment Data Missing ⚠",VLOOKUP(X118,'G-7 WaterC'' Data'!$AD$4:$AE$14,2,FALSE)))))</f>
        <v/>
      </c>
      <c r="Z118" s="332" t="str">
        <f t="shared" si="9"/>
        <v/>
      </c>
      <c r="AA118" s="98"/>
      <c r="AB118" s="99"/>
      <c r="AC118" s="101"/>
      <c r="AH118" s="15" t="str">
        <f>IFERROR(INDEX('G-7 WaterC'' Data'!$AZ$3:$AZ$7,MATCH(C118,'G-7 WaterC'' Data'!$AY$3:$AY$7,0)),"")</f>
        <v/>
      </c>
    </row>
    <row r="119" spans="2:34" ht="14" x14ac:dyDescent="0.3">
      <c r="B119" s="92">
        <v>108</v>
      </c>
      <c r="C119" s="119"/>
      <c r="D119" s="120"/>
      <c r="E119" s="290" t="str">
        <f>IF(C119="","",VLOOKUP(C119,'G-7 WaterC'' Data'!$B$2:$G$8,2,FALSE))</f>
        <v/>
      </c>
      <c r="F119" s="291" t="str">
        <f>IFERROR(VLOOKUP(E119,'G-7 WaterC'' Data'!$C$4:$D$8,2,FALSE),"")</f>
        <v/>
      </c>
      <c r="G119" s="95"/>
      <c r="H119" s="291" t="str">
        <f>IFERROR(INDEX('G-7 WaterC'' Data'!$H$4:$L$8,MATCH(C119,'G-7 WaterC'' Data'!$B$4:$B$8,0),MATCH(G119,'G-7 WaterC'' Data'!$H$3:$L$3,0)),"")</f>
        <v/>
      </c>
      <c r="I119" s="38"/>
      <c r="J119" s="298" t="str">
        <f>IF(I119="","",IF(VLOOKUP(I119,'G-7 WaterC'' Data'!$AK$4:$AM$6,2,FALSE)=0,"Spatial Data Missing ⚠",VLOOKUP(I119,'G-7 WaterC'' Data'!$AK$4:$AM$6,2,FALSE)))</f>
        <v/>
      </c>
      <c r="K119" s="291" t="str">
        <f>IF(I119="","",IF(VLOOKUP(I119,'G-7 WaterC'' Data'!$AK$4:$AM$6,3,FALSE)=0,"Spatial Data Missing ⚠",VLOOKUP(I119,'G-7 WaterC'' Data'!$AK$4:$AM$6,3,FALSE)))</f>
        <v/>
      </c>
      <c r="L119" s="290" t="str">
        <f>IFERROR(INDEX('G-7 WaterC'' Data'!$O$3:$O$7,MATCH(G119,'G-7 WaterC'' Data'!$N$3:$N$7,0)),"")</f>
        <v/>
      </c>
      <c r="M119" s="47"/>
      <c r="N119" s="138"/>
      <c r="O119" s="298" t="str">
        <f t="shared" si="5"/>
        <v/>
      </c>
      <c r="P119" s="311" t="str">
        <f t="shared" si="6"/>
        <v/>
      </c>
      <c r="Q119" s="344" t="str">
        <f>IFERROR(IF(P119="Check Data ⚠","Check Data ⚠",VLOOKUP(P119,'G-4 Temporal multipliers'!$A$4:$C$37,3,FALSE)),"")</f>
        <v/>
      </c>
      <c r="R119" s="290" t="str">
        <f>IF(C119="","",VLOOKUP(C119,'G-7 WaterC'' Data'!$B$4:$G$8,4,FALSE))</f>
        <v/>
      </c>
      <c r="S119" s="298" t="str">
        <f t="shared" si="7"/>
        <v/>
      </c>
      <c r="T119" s="328" t="str">
        <f t="shared" si="8"/>
        <v/>
      </c>
      <c r="U119" s="291" t="str">
        <f>IF(C119="","",VLOOKUP(T119,'G-3 Multipliers'!$P$2:$Q$6,2,FALSE))</f>
        <v/>
      </c>
      <c r="V119" s="96"/>
      <c r="W119" s="291" t="str">
        <f>IF(V119="","",IF(AND(V119="N/A - Culvert",C119&lt;&gt;"Culvert"),"Not possible ▲",IF(AND(C119="Culvert",V119&lt;&gt;"N/A - Culvert"),"Not possible ▲",IF(VLOOKUP(V119,'G-7 WaterC'' Data'!$AA$4:$AB$7,2,FALSE)=0,"Spatial Data Missing ⚠",VLOOKUP(V119,'G-7 WaterC'' Data'!$AA$4:$AB$7,2,FALSE)))))</f>
        <v/>
      </c>
      <c r="X119" s="44"/>
      <c r="Y119" s="291" t="str">
        <f>IF(X119="","",IF(AND(X119="N/A - Culvert", C119&lt;&gt;"Culvert"), "Not possible ▲",IF(AND(C119="Culvert",X119&lt;&gt;"N/A - Culvert"),"Not possible ▲",IF(VLOOKUP(X119,'G-7 WaterC'' Data'!$AD$4:$AE$14,2,FALSE)=0,"Enrcoachment Data Missing ⚠",VLOOKUP(X119,'G-7 WaterC'' Data'!$AD$4:$AE$14,2,FALSE)))))</f>
        <v/>
      </c>
      <c r="Z119" s="332" t="str">
        <f t="shared" si="9"/>
        <v/>
      </c>
      <c r="AA119" s="98"/>
      <c r="AB119" s="99"/>
      <c r="AC119" s="101"/>
      <c r="AH119" s="15" t="str">
        <f>IFERROR(INDEX('G-7 WaterC'' Data'!$AZ$3:$AZ$7,MATCH(C119,'G-7 WaterC'' Data'!$AY$3:$AY$7,0)),"")</f>
        <v/>
      </c>
    </row>
    <row r="120" spans="2:34" ht="14" x14ac:dyDescent="0.3">
      <c r="B120" s="92">
        <v>109</v>
      </c>
      <c r="C120" s="119"/>
      <c r="D120" s="120"/>
      <c r="E120" s="290" t="str">
        <f>IF(C120="","",VLOOKUP(C120,'G-7 WaterC'' Data'!$B$2:$G$8,2,FALSE))</f>
        <v/>
      </c>
      <c r="F120" s="291" t="str">
        <f>IFERROR(VLOOKUP(E120,'G-7 WaterC'' Data'!$C$4:$D$8,2,FALSE),"")</f>
        <v/>
      </c>
      <c r="G120" s="95"/>
      <c r="H120" s="291" t="str">
        <f>IFERROR(INDEX('G-7 WaterC'' Data'!$H$4:$L$8,MATCH(C120,'G-7 WaterC'' Data'!$B$4:$B$8,0),MATCH(G120,'G-7 WaterC'' Data'!$H$3:$L$3,0)),"")</f>
        <v/>
      </c>
      <c r="I120" s="38"/>
      <c r="J120" s="298" t="str">
        <f>IF(I120="","",IF(VLOOKUP(I120,'G-7 WaterC'' Data'!$AK$4:$AM$6,2,FALSE)=0,"Spatial Data Missing ⚠",VLOOKUP(I120,'G-7 WaterC'' Data'!$AK$4:$AM$6,2,FALSE)))</f>
        <v/>
      </c>
      <c r="K120" s="291" t="str">
        <f>IF(I120="","",IF(VLOOKUP(I120,'G-7 WaterC'' Data'!$AK$4:$AM$6,3,FALSE)=0,"Spatial Data Missing ⚠",VLOOKUP(I120,'G-7 WaterC'' Data'!$AK$4:$AM$6,3,FALSE)))</f>
        <v/>
      </c>
      <c r="L120" s="290" t="str">
        <f>IFERROR(INDEX('G-7 WaterC'' Data'!$O$3:$O$7,MATCH(G120,'G-7 WaterC'' Data'!$N$3:$N$7,0)),"")</f>
        <v/>
      </c>
      <c r="M120" s="47"/>
      <c r="N120" s="138"/>
      <c r="O120" s="298" t="str">
        <f t="shared" si="5"/>
        <v/>
      </c>
      <c r="P120" s="311" t="str">
        <f t="shared" si="6"/>
        <v/>
      </c>
      <c r="Q120" s="344" t="str">
        <f>IFERROR(IF(P120="Check Data ⚠","Check Data ⚠",VLOOKUP(P120,'G-4 Temporal multipliers'!$A$4:$C$37,3,FALSE)),"")</f>
        <v/>
      </c>
      <c r="R120" s="290" t="str">
        <f>IF(C120="","",VLOOKUP(C120,'G-7 WaterC'' Data'!$B$4:$G$8,4,FALSE))</f>
        <v/>
      </c>
      <c r="S120" s="298" t="str">
        <f t="shared" si="7"/>
        <v/>
      </c>
      <c r="T120" s="328" t="str">
        <f t="shared" si="8"/>
        <v/>
      </c>
      <c r="U120" s="291" t="str">
        <f>IF(C120="","",VLOOKUP(T120,'G-3 Multipliers'!$P$2:$Q$6,2,FALSE))</f>
        <v/>
      </c>
      <c r="V120" s="96"/>
      <c r="W120" s="291" t="str">
        <f>IF(V120="","",IF(AND(V120="N/A - Culvert",C120&lt;&gt;"Culvert"),"Not possible ▲",IF(AND(C120="Culvert",V120&lt;&gt;"N/A - Culvert"),"Not possible ▲",IF(VLOOKUP(V120,'G-7 WaterC'' Data'!$AA$4:$AB$7,2,FALSE)=0,"Spatial Data Missing ⚠",VLOOKUP(V120,'G-7 WaterC'' Data'!$AA$4:$AB$7,2,FALSE)))))</f>
        <v/>
      </c>
      <c r="X120" s="44"/>
      <c r="Y120" s="291" t="str">
        <f>IF(X120="","",IF(AND(X120="N/A - Culvert", C120&lt;&gt;"Culvert"), "Not possible ▲",IF(AND(C120="Culvert",X120&lt;&gt;"N/A - Culvert"),"Not possible ▲",IF(VLOOKUP(X120,'G-7 WaterC'' Data'!$AD$4:$AE$14,2,FALSE)=0,"Enrcoachment Data Missing ⚠",VLOOKUP(X120,'G-7 WaterC'' Data'!$AD$4:$AE$14,2,FALSE)))))</f>
        <v/>
      </c>
      <c r="Z120" s="332" t="str">
        <f t="shared" si="9"/>
        <v/>
      </c>
      <c r="AA120" s="98"/>
      <c r="AB120" s="99"/>
      <c r="AC120" s="101"/>
      <c r="AH120" s="15" t="str">
        <f>IFERROR(INDEX('G-7 WaterC'' Data'!$AZ$3:$AZ$7,MATCH(C120,'G-7 WaterC'' Data'!$AY$3:$AY$7,0)),"")</f>
        <v/>
      </c>
    </row>
    <row r="121" spans="2:34" ht="14" x14ac:dyDescent="0.3">
      <c r="B121" s="92">
        <v>110</v>
      </c>
      <c r="C121" s="119"/>
      <c r="D121" s="120"/>
      <c r="E121" s="290" t="str">
        <f>IF(C121="","",VLOOKUP(C121,'G-7 WaterC'' Data'!$B$2:$G$8,2,FALSE))</f>
        <v/>
      </c>
      <c r="F121" s="291" t="str">
        <f>IFERROR(VLOOKUP(E121,'G-7 WaterC'' Data'!$C$4:$D$8,2,FALSE),"")</f>
        <v/>
      </c>
      <c r="G121" s="95"/>
      <c r="H121" s="291" t="str">
        <f>IFERROR(INDEX('G-7 WaterC'' Data'!$H$4:$L$8,MATCH(C121,'G-7 WaterC'' Data'!$B$4:$B$8,0),MATCH(G121,'G-7 WaterC'' Data'!$H$3:$L$3,0)),"")</f>
        <v/>
      </c>
      <c r="I121" s="38"/>
      <c r="J121" s="298" t="str">
        <f>IF(I121="","",IF(VLOOKUP(I121,'G-7 WaterC'' Data'!$AK$4:$AM$6,2,FALSE)=0,"Spatial Data Missing ⚠",VLOOKUP(I121,'G-7 WaterC'' Data'!$AK$4:$AM$6,2,FALSE)))</f>
        <v/>
      </c>
      <c r="K121" s="291" t="str">
        <f>IF(I121="","",IF(VLOOKUP(I121,'G-7 WaterC'' Data'!$AK$4:$AM$6,3,FALSE)=0,"Spatial Data Missing ⚠",VLOOKUP(I121,'G-7 WaterC'' Data'!$AK$4:$AM$6,3,FALSE)))</f>
        <v/>
      </c>
      <c r="L121" s="290" t="str">
        <f>IFERROR(INDEX('G-7 WaterC'' Data'!$O$3:$O$7,MATCH(G121,'G-7 WaterC'' Data'!$N$3:$N$7,0)),"")</f>
        <v/>
      </c>
      <c r="M121" s="47"/>
      <c r="N121" s="138"/>
      <c r="O121" s="298" t="str">
        <f t="shared" si="5"/>
        <v/>
      </c>
      <c r="P121" s="311" t="str">
        <f t="shared" si="6"/>
        <v/>
      </c>
      <c r="Q121" s="344" t="str">
        <f>IFERROR(IF(P121="Check Data ⚠","Check Data ⚠",VLOOKUP(P121,'G-4 Temporal multipliers'!$A$4:$C$37,3,FALSE)),"")</f>
        <v/>
      </c>
      <c r="R121" s="290" t="str">
        <f>IF(C121="","",VLOOKUP(C121,'G-7 WaterC'' Data'!$B$4:$G$8,4,FALSE))</f>
        <v/>
      </c>
      <c r="S121" s="298" t="str">
        <f t="shared" si="7"/>
        <v/>
      </c>
      <c r="T121" s="328" t="str">
        <f t="shared" si="8"/>
        <v/>
      </c>
      <c r="U121" s="291" t="str">
        <f>IF(C121="","",VLOOKUP(T121,'G-3 Multipliers'!$P$2:$Q$6,2,FALSE))</f>
        <v/>
      </c>
      <c r="V121" s="96"/>
      <c r="W121" s="291" t="str">
        <f>IF(V121="","",IF(AND(V121="N/A - Culvert",C121&lt;&gt;"Culvert"),"Not possible ▲",IF(AND(C121="Culvert",V121&lt;&gt;"N/A - Culvert"),"Not possible ▲",IF(VLOOKUP(V121,'G-7 WaterC'' Data'!$AA$4:$AB$7,2,FALSE)=0,"Spatial Data Missing ⚠",VLOOKUP(V121,'G-7 WaterC'' Data'!$AA$4:$AB$7,2,FALSE)))))</f>
        <v/>
      </c>
      <c r="X121" s="44"/>
      <c r="Y121" s="291" t="str">
        <f>IF(X121="","",IF(AND(X121="N/A - Culvert", C121&lt;&gt;"Culvert"), "Not possible ▲",IF(AND(C121="Culvert",X121&lt;&gt;"N/A - Culvert"),"Not possible ▲",IF(VLOOKUP(X121,'G-7 WaterC'' Data'!$AD$4:$AE$14,2,FALSE)=0,"Enrcoachment Data Missing ⚠",VLOOKUP(X121,'G-7 WaterC'' Data'!$AD$4:$AE$14,2,FALSE)))))</f>
        <v/>
      </c>
      <c r="Z121" s="332" t="str">
        <f t="shared" si="9"/>
        <v/>
      </c>
      <c r="AA121" s="98"/>
      <c r="AB121" s="99"/>
      <c r="AC121" s="101"/>
      <c r="AH121" s="15" t="str">
        <f>IFERROR(INDEX('G-7 WaterC'' Data'!$AZ$3:$AZ$7,MATCH(C121,'G-7 WaterC'' Data'!$AY$3:$AY$7,0)),"")</f>
        <v/>
      </c>
    </row>
    <row r="122" spans="2:34" ht="14" x14ac:dyDescent="0.3">
      <c r="B122" s="92">
        <v>111</v>
      </c>
      <c r="C122" s="119"/>
      <c r="D122" s="120"/>
      <c r="E122" s="290" t="str">
        <f>IF(C122="","",VLOOKUP(C122,'G-7 WaterC'' Data'!$B$2:$G$8,2,FALSE))</f>
        <v/>
      </c>
      <c r="F122" s="291" t="str">
        <f>IFERROR(VLOOKUP(E122,'G-7 WaterC'' Data'!$C$4:$D$8,2,FALSE),"")</f>
        <v/>
      </c>
      <c r="G122" s="95"/>
      <c r="H122" s="291" t="str">
        <f>IFERROR(INDEX('G-7 WaterC'' Data'!$H$4:$L$8,MATCH(C122,'G-7 WaterC'' Data'!$B$4:$B$8,0),MATCH(G122,'G-7 WaterC'' Data'!$H$3:$L$3,0)),"")</f>
        <v/>
      </c>
      <c r="I122" s="38"/>
      <c r="J122" s="298" t="str">
        <f>IF(I122="","",IF(VLOOKUP(I122,'G-7 WaterC'' Data'!$AK$4:$AM$6,2,FALSE)=0,"Spatial Data Missing ⚠",VLOOKUP(I122,'G-7 WaterC'' Data'!$AK$4:$AM$6,2,FALSE)))</f>
        <v/>
      </c>
      <c r="K122" s="291" t="str">
        <f>IF(I122="","",IF(VLOOKUP(I122,'G-7 WaterC'' Data'!$AK$4:$AM$6,3,FALSE)=0,"Spatial Data Missing ⚠",VLOOKUP(I122,'G-7 WaterC'' Data'!$AK$4:$AM$6,3,FALSE)))</f>
        <v/>
      </c>
      <c r="L122" s="290" t="str">
        <f>IFERROR(INDEX('G-7 WaterC'' Data'!$O$3:$O$7,MATCH(G122,'G-7 WaterC'' Data'!$N$3:$N$7,0)),"")</f>
        <v/>
      </c>
      <c r="M122" s="47"/>
      <c r="N122" s="138"/>
      <c r="O122" s="298" t="str">
        <f t="shared" si="5"/>
        <v/>
      </c>
      <c r="P122" s="311" t="str">
        <f t="shared" si="6"/>
        <v/>
      </c>
      <c r="Q122" s="344" t="str">
        <f>IFERROR(IF(P122="Check Data ⚠","Check Data ⚠",VLOOKUP(P122,'G-4 Temporal multipliers'!$A$4:$C$37,3,FALSE)),"")</f>
        <v/>
      </c>
      <c r="R122" s="290" t="str">
        <f>IF(C122="","",VLOOKUP(C122,'G-7 WaterC'' Data'!$B$4:$G$8,4,FALSE))</f>
        <v/>
      </c>
      <c r="S122" s="298" t="str">
        <f t="shared" si="7"/>
        <v/>
      </c>
      <c r="T122" s="328" t="str">
        <f t="shared" si="8"/>
        <v/>
      </c>
      <c r="U122" s="291" t="str">
        <f>IF(C122="","",VLOOKUP(T122,'G-3 Multipliers'!$P$2:$Q$6,2,FALSE))</f>
        <v/>
      </c>
      <c r="V122" s="96"/>
      <c r="W122" s="291" t="str">
        <f>IF(V122="","",IF(AND(V122="N/A - Culvert",C122&lt;&gt;"Culvert"),"Not possible ▲",IF(AND(C122="Culvert",V122&lt;&gt;"N/A - Culvert"),"Not possible ▲",IF(VLOOKUP(V122,'G-7 WaterC'' Data'!$AA$4:$AB$7,2,FALSE)=0,"Spatial Data Missing ⚠",VLOOKUP(V122,'G-7 WaterC'' Data'!$AA$4:$AB$7,2,FALSE)))))</f>
        <v/>
      </c>
      <c r="X122" s="44"/>
      <c r="Y122" s="291" t="str">
        <f>IF(X122="","",IF(AND(X122="N/A - Culvert", C122&lt;&gt;"Culvert"), "Not possible ▲",IF(AND(C122="Culvert",X122&lt;&gt;"N/A - Culvert"),"Not possible ▲",IF(VLOOKUP(X122,'G-7 WaterC'' Data'!$AD$4:$AE$14,2,FALSE)=0,"Enrcoachment Data Missing ⚠",VLOOKUP(X122,'G-7 WaterC'' Data'!$AD$4:$AE$14,2,FALSE)))))</f>
        <v/>
      </c>
      <c r="Z122" s="332" t="str">
        <f t="shared" si="9"/>
        <v/>
      </c>
      <c r="AA122" s="98"/>
      <c r="AB122" s="99"/>
      <c r="AC122" s="101"/>
      <c r="AH122" s="15" t="str">
        <f>IFERROR(INDEX('G-7 WaterC'' Data'!$AZ$3:$AZ$7,MATCH(C122,'G-7 WaterC'' Data'!$AY$3:$AY$7,0)),"")</f>
        <v/>
      </c>
    </row>
    <row r="123" spans="2:34" ht="14" x14ac:dyDescent="0.3">
      <c r="B123" s="92">
        <v>112</v>
      </c>
      <c r="C123" s="119"/>
      <c r="D123" s="120"/>
      <c r="E123" s="290" t="str">
        <f>IF(C123="","",VLOOKUP(C123,'G-7 WaterC'' Data'!$B$2:$G$8,2,FALSE))</f>
        <v/>
      </c>
      <c r="F123" s="291" t="str">
        <f>IFERROR(VLOOKUP(E123,'G-7 WaterC'' Data'!$C$4:$D$8,2,FALSE),"")</f>
        <v/>
      </c>
      <c r="G123" s="95"/>
      <c r="H123" s="291" t="str">
        <f>IFERROR(INDEX('G-7 WaterC'' Data'!$H$4:$L$8,MATCH(C123,'G-7 WaterC'' Data'!$B$4:$B$8,0),MATCH(G123,'G-7 WaterC'' Data'!$H$3:$L$3,0)),"")</f>
        <v/>
      </c>
      <c r="I123" s="38"/>
      <c r="J123" s="298" t="str">
        <f>IF(I123="","",IF(VLOOKUP(I123,'G-7 WaterC'' Data'!$AK$4:$AM$6,2,FALSE)=0,"Spatial Data Missing ⚠",VLOOKUP(I123,'G-7 WaterC'' Data'!$AK$4:$AM$6,2,FALSE)))</f>
        <v/>
      </c>
      <c r="K123" s="291" t="str">
        <f>IF(I123="","",IF(VLOOKUP(I123,'G-7 WaterC'' Data'!$AK$4:$AM$6,3,FALSE)=0,"Spatial Data Missing ⚠",VLOOKUP(I123,'G-7 WaterC'' Data'!$AK$4:$AM$6,3,FALSE)))</f>
        <v/>
      </c>
      <c r="L123" s="290" t="str">
        <f>IFERROR(INDEX('G-7 WaterC'' Data'!$O$3:$O$7,MATCH(G123,'G-7 WaterC'' Data'!$N$3:$N$7,0)),"")</f>
        <v/>
      </c>
      <c r="M123" s="47"/>
      <c r="N123" s="138"/>
      <c r="O123" s="298" t="str">
        <f t="shared" si="5"/>
        <v/>
      </c>
      <c r="P123" s="311" t="str">
        <f t="shared" si="6"/>
        <v/>
      </c>
      <c r="Q123" s="344" t="str">
        <f>IFERROR(IF(P123="Check Data ⚠","Check Data ⚠",VLOOKUP(P123,'G-4 Temporal multipliers'!$A$4:$C$37,3,FALSE)),"")</f>
        <v/>
      </c>
      <c r="R123" s="290" t="str">
        <f>IF(C123="","",VLOOKUP(C123,'G-7 WaterC'' Data'!$B$4:$G$8,4,FALSE))</f>
        <v/>
      </c>
      <c r="S123" s="298" t="str">
        <f t="shared" si="7"/>
        <v/>
      </c>
      <c r="T123" s="328" t="str">
        <f t="shared" si="8"/>
        <v/>
      </c>
      <c r="U123" s="291" t="str">
        <f>IF(C123="","",VLOOKUP(T123,'G-3 Multipliers'!$P$2:$Q$6,2,FALSE))</f>
        <v/>
      </c>
      <c r="V123" s="96"/>
      <c r="W123" s="291" t="str">
        <f>IF(V123="","",IF(AND(V123="N/A - Culvert",C123&lt;&gt;"Culvert"),"Not possible ▲",IF(AND(C123="Culvert",V123&lt;&gt;"N/A - Culvert"),"Not possible ▲",IF(VLOOKUP(V123,'G-7 WaterC'' Data'!$AA$4:$AB$7,2,FALSE)=0,"Spatial Data Missing ⚠",VLOOKUP(V123,'G-7 WaterC'' Data'!$AA$4:$AB$7,2,FALSE)))))</f>
        <v/>
      </c>
      <c r="X123" s="44"/>
      <c r="Y123" s="291" t="str">
        <f>IF(X123="","",IF(AND(X123="N/A - Culvert", C123&lt;&gt;"Culvert"), "Not possible ▲",IF(AND(C123="Culvert",X123&lt;&gt;"N/A - Culvert"),"Not possible ▲",IF(VLOOKUP(X123,'G-7 WaterC'' Data'!$AD$4:$AE$14,2,FALSE)=0,"Enrcoachment Data Missing ⚠",VLOOKUP(X123,'G-7 WaterC'' Data'!$AD$4:$AE$14,2,FALSE)))))</f>
        <v/>
      </c>
      <c r="Z123" s="332" t="str">
        <f t="shared" si="9"/>
        <v/>
      </c>
      <c r="AA123" s="98"/>
      <c r="AB123" s="99"/>
      <c r="AC123" s="101"/>
      <c r="AH123" s="15" t="str">
        <f>IFERROR(INDEX('G-7 WaterC'' Data'!$AZ$3:$AZ$7,MATCH(C123,'G-7 WaterC'' Data'!$AY$3:$AY$7,0)),"")</f>
        <v/>
      </c>
    </row>
    <row r="124" spans="2:34" ht="14" x14ac:dyDescent="0.3">
      <c r="B124" s="92">
        <v>113</v>
      </c>
      <c r="C124" s="119"/>
      <c r="D124" s="120"/>
      <c r="E124" s="290" t="str">
        <f>IF(C124="","",VLOOKUP(C124,'G-7 WaterC'' Data'!$B$2:$G$8,2,FALSE))</f>
        <v/>
      </c>
      <c r="F124" s="291" t="str">
        <f>IFERROR(VLOOKUP(E124,'G-7 WaterC'' Data'!$C$4:$D$8,2,FALSE),"")</f>
        <v/>
      </c>
      <c r="G124" s="95"/>
      <c r="H124" s="291" t="str">
        <f>IFERROR(INDEX('G-7 WaterC'' Data'!$H$4:$L$8,MATCH(C124,'G-7 WaterC'' Data'!$B$4:$B$8,0),MATCH(G124,'G-7 WaterC'' Data'!$H$3:$L$3,0)),"")</f>
        <v/>
      </c>
      <c r="I124" s="38"/>
      <c r="J124" s="298" t="str">
        <f>IF(I124="","",IF(VLOOKUP(I124,'G-7 WaterC'' Data'!$AK$4:$AM$6,2,FALSE)=0,"Spatial Data Missing ⚠",VLOOKUP(I124,'G-7 WaterC'' Data'!$AK$4:$AM$6,2,FALSE)))</f>
        <v/>
      </c>
      <c r="K124" s="291" t="str">
        <f>IF(I124="","",IF(VLOOKUP(I124,'G-7 WaterC'' Data'!$AK$4:$AM$6,3,FALSE)=0,"Spatial Data Missing ⚠",VLOOKUP(I124,'G-7 WaterC'' Data'!$AK$4:$AM$6,3,FALSE)))</f>
        <v/>
      </c>
      <c r="L124" s="290" t="str">
        <f>IFERROR(INDEX('G-7 WaterC'' Data'!$O$3:$O$7,MATCH(G124,'G-7 WaterC'' Data'!$N$3:$N$7,0)),"")</f>
        <v/>
      </c>
      <c r="M124" s="47"/>
      <c r="N124" s="138"/>
      <c r="O124" s="298" t="str">
        <f t="shared" si="5"/>
        <v/>
      </c>
      <c r="P124" s="311" t="str">
        <f t="shared" si="6"/>
        <v/>
      </c>
      <c r="Q124" s="344" t="str">
        <f>IFERROR(IF(P124="Check Data ⚠","Check Data ⚠",VLOOKUP(P124,'G-4 Temporal multipliers'!$A$4:$C$37,3,FALSE)),"")</f>
        <v/>
      </c>
      <c r="R124" s="290" t="str">
        <f>IF(C124="","",VLOOKUP(C124,'G-7 WaterC'' Data'!$B$4:$G$8,4,FALSE))</f>
        <v/>
      </c>
      <c r="S124" s="298" t="str">
        <f t="shared" si="7"/>
        <v/>
      </c>
      <c r="T124" s="328" t="str">
        <f t="shared" si="8"/>
        <v/>
      </c>
      <c r="U124" s="291" t="str">
        <f>IF(C124="","",VLOOKUP(T124,'G-3 Multipliers'!$P$2:$Q$6,2,FALSE))</f>
        <v/>
      </c>
      <c r="V124" s="96"/>
      <c r="W124" s="291" t="str">
        <f>IF(V124="","",IF(AND(V124="N/A - Culvert",C124&lt;&gt;"Culvert"),"Not possible ▲",IF(AND(C124="Culvert",V124&lt;&gt;"N/A - Culvert"),"Not possible ▲",IF(VLOOKUP(V124,'G-7 WaterC'' Data'!$AA$4:$AB$7,2,FALSE)=0,"Spatial Data Missing ⚠",VLOOKUP(V124,'G-7 WaterC'' Data'!$AA$4:$AB$7,2,FALSE)))))</f>
        <v/>
      </c>
      <c r="X124" s="44"/>
      <c r="Y124" s="291" t="str">
        <f>IF(X124="","",IF(AND(X124="N/A - Culvert", C124&lt;&gt;"Culvert"), "Not possible ▲",IF(AND(C124="Culvert",X124&lt;&gt;"N/A - Culvert"),"Not possible ▲",IF(VLOOKUP(X124,'G-7 WaterC'' Data'!$AD$4:$AE$14,2,FALSE)=0,"Enrcoachment Data Missing ⚠",VLOOKUP(X124,'G-7 WaterC'' Data'!$AD$4:$AE$14,2,FALSE)))))</f>
        <v/>
      </c>
      <c r="Z124" s="332" t="str">
        <f t="shared" si="9"/>
        <v/>
      </c>
      <c r="AA124" s="98"/>
      <c r="AB124" s="99"/>
      <c r="AC124" s="101"/>
      <c r="AH124" s="15" t="str">
        <f>IFERROR(INDEX('G-7 WaterC'' Data'!$AZ$3:$AZ$7,MATCH(C124,'G-7 WaterC'' Data'!$AY$3:$AY$7,0)),"")</f>
        <v/>
      </c>
    </row>
    <row r="125" spans="2:34" ht="14" x14ac:dyDescent="0.3">
      <c r="B125" s="92">
        <v>114</v>
      </c>
      <c r="C125" s="119"/>
      <c r="D125" s="120"/>
      <c r="E125" s="290" t="str">
        <f>IF(C125="","",VLOOKUP(C125,'G-7 WaterC'' Data'!$B$2:$G$8,2,FALSE))</f>
        <v/>
      </c>
      <c r="F125" s="291" t="str">
        <f>IFERROR(VLOOKUP(E125,'G-7 WaterC'' Data'!$C$4:$D$8,2,FALSE),"")</f>
        <v/>
      </c>
      <c r="G125" s="95"/>
      <c r="H125" s="291" t="str">
        <f>IFERROR(INDEX('G-7 WaterC'' Data'!$H$4:$L$8,MATCH(C125,'G-7 WaterC'' Data'!$B$4:$B$8,0),MATCH(G125,'G-7 WaterC'' Data'!$H$3:$L$3,0)),"")</f>
        <v/>
      </c>
      <c r="I125" s="38"/>
      <c r="J125" s="298" t="str">
        <f>IF(I125="","",IF(VLOOKUP(I125,'G-7 WaterC'' Data'!$AK$4:$AM$6,2,FALSE)=0,"Spatial Data Missing ⚠",VLOOKUP(I125,'G-7 WaterC'' Data'!$AK$4:$AM$6,2,FALSE)))</f>
        <v/>
      </c>
      <c r="K125" s="291" t="str">
        <f>IF(I125="","",IF(VLOOKUP(I125,'G-7 WaterC'' Data'!$AK$4:$AM$6,3,FALSE)=0,"Spatial Data Missing ⚠",VLOOKUP(I125,'G-7 WaterC'' Data'!$AK$4:$AM$6,3,FALSE)))</f>
        <v/>
      </c>
      <c r="L125" s="290" t="str">
        <f>IFERROR(INDEX('G-7 WaterC'' Data'!$O$3:$O$7,MATCH(G125,'G-7 WaterC'' Data'!$N$3:$N$7,0)),"")</f>
        <v/>
      </c>
      <c r="M125" s="47"/>
      <c r="N125" s="138"/>
      <c r="O125" s="298" t="str">
        <f t="shared" si="5"/>
        <v/>
      </c>
      <c r="P125" s="311" t="str">
        <f t="shared" si="6"/>
        <v/>
      </c>
      <c r="Q125" s="344" t="str">
        <f>IFERROR(IF(P125="Check Data ⚠","Check Data ⚠",VLOOKUP(P125,'G-4 Temporal multipliers'!$A$4:$C$37,3,FALSE)),"")</f>
        <v/>
      </c>
      <c r="R125" s="290" t="str">
        <f>IF(C125="","",VLOOKUP(C125,'G-7 WaterC'' Data'!$B$4:$G$8,4,FALSE))</f>
        <v/>
      </c>
      <c r="S125" s="298" t="str">
        <f t="shared" si="7"/>
        <v/>
      </c>
      <c r="T125" s="328" t="str">
        <f t="shared" si="8"/>
        <v/>
      </c>
      <c r="U125" s="291" t="str">
        <f>IF(C125="","",VLOOKUP(T125,'G-3 Multipliers'!$P$2:$Q$6,2,FALSE))</f>
        <v/>
      </c>
      <c r="V125" s="96"/>
      <c r="W125" s="291" t="str">
        <f>IF(V125="","",IF(AND(V125="N/A - Culvert",C125&lt;&gt;"Culvert"),"Not possible ▲",IF(AND(C125="Culvert",V125&lt;&gt;"N/A - Culvert"),"Not possible ▲",IF(VLOOKUP(V125,'G-7 WaterC'' Data'!$AA$4:$AB$7,2,FALSE)=0,"Spatial Data Missing ⚠",VLOOKUP(V125,'G-7 WaterC'' Data'!$AA$4:$AB$7,2,FALSE)))))</f>
        <v/>
      </c>
      <c r="X125" s="44"/>
      <c r="Y125" s="291" t="str">
        <f>IF(X125="","",IF(AND(X125="N/A - Culvert", C125&lt;&gt;"Culvert"), "Not possible ▲",IF(AND(C125="Culvert",X125&lt;&gt;"N/A - Culvert"),"Not possible ▲",IF(VLOOKUP(X125,'G-7 WaterC'' Data'!$AD$4:$AE$14,2,FALSE)=0,"Enrcoachment Data Missing ⚠",VLOOKUP(X125,'G-7 WaterC'' Data'!$AD$4:$AE$14,2,FALSE)))))</f>
        <v/>
      </c>
      <c r="Z125" s="332" t="str">
        <f t="shared" si="9"/>
        <v/>
      </c>
      <c r="AA125" s="98"/>
      <c r="AB125" s="99"/>
      <c r="AC125" s="101"/>
      <c r="AH125" s="15" t="str">
        <f>IFERROR(INDEX('G-7 WaterC'' Data'!$AZ$3:$AZ$7,MATCH(C125,'G-7 WaterC'' Data'!$AY$3:$AY$7,0)),"")</f>
        <v/>
      </c>
    </row>
    <row r="126" spans="2:34" ht="14" x14ac:dyDescent="0.3">
      <c r="B126" s="92">
        <v>115</v>
      </c>
      <c r="C126" s="119"/>
      <c r="D126" s="120"/>
      <c r="E126" s="290" t="str">
        <f>IF(C126="","",VLOOKUP(C126,'G-7 WaterC'' Data'!$B$2:$G$8,2,FALSE))</f>
        <v/>
      </c>
      <c r="F126" s="291" t="str">
        <f>IFERROR(VLOOKUP(E126,'G-7 WaterC'' Data'!$C$4:$D$8,2,FALSE),"")</f>
        <v/>
      </c>
      <c r="G126" s="95"/>
      <c r="H126" s="291" t="str">
        <f>IFERROR(INDEX('G-7 WaterC'' Data'!$H$4:$L$8,MATCH(C126,'G-7 WaterC'' Data'!$B$4:$B$8,0),MATCH(G126,'G-7 WaterC'' Data'!$H$3:$L$3,0)),"")</f>
        <v/>
      </c>
      <c r="I126" s="38"/>
      <c r="J126" s="298" t="str">
        <f>IF(I126="","",IF(VLOOKUP(I126,'G-7 WaterC'' Data'!$AK$4:$AM$6,2,FALSE)=0,"Spatial Data Missing ⚠",VLOOKUP(I126,'G-7 WaterC'' Data'!$AK$4:$AM$6,2,FALSE)))</f>
        <v/>
      </c>
      <c r="K126" s="291" t="str">
        <f>IF(I126="","",IF(VLOOKUP(I126,'G-7 WaterC'' Data'!$AK$4:$AM$6,3,FALSE)=0,"Spatial Data Missing ⚠",VLOOKUP(I126,'G-7 WaterC'' Data'!$AK$4:$AM$6,3,FALSE)))</f>
        <v/>
      </c>
      <c r="L126" s="290" t="str">
        <f>IFERROR(INDEX('G-7 WaterC'' Data'!$O$3:$O$7,MATCH(G126,'G-7 WaterC'' Data'!$N$3:$N$7,0)),"")</f>
        <v/>
      </c>
      <c r="M126" s="47"/>
      <c r="N126" s="138"/>
      <c r="O126" s="298" t="str">
        <f t="shared" si="5"/>
        <v/>
      </c>
      <c r="P126" s="311" t="str">
        <f t="shared" si="6"/>
        <v/>
      </c>
      <c r="Q126" s="344" t="str">
        <f>IFERROR(IF(P126="Check Data ⚠","Check Data ⚠",VLOOKUP(P126,'G-4 Temporal multipliers'!$A$4:$C$37,3,FALSE)),"")</f>
        <v/>
      </c>
      <c r="R126" s="290" t="str">
        <f>IF(C126="","",VLOOKUP(C126,'G-7 WaterC'' Data'!$B$4:$G$8,4,FALSE))</f>
        <v/>
      </c>
      <c r="S126" s="298" t="str">
        <f t="shared" si="7"/>
        <v/>
      </c>
      <c r="T126" s="328" t="str">
        <f t="shared" si="8"/>
        <v/>
      </c>
      <c r="U126" s="291" t="str">
        <f>IF(C126="","",VLOOKUP(T126,'G-3 Multipliers'!$P$2:$Q$6,2,FALSE))</f>
        <v/>
      </c>
      <c r="V126" s="96"/>
      <c r="W126" s="291" t="str">
        <f>IF(V126="","",IF(AND(V126="N/A - Culvert",C126&lt;&gt;"Culvert"),"Not possible ▲",IF(AND(C126="Culvert",V126&lt;&gt;"N/A - Culvert"),"Not possible ▲",IF(VLOOKUP(V126,'G-7 WaterC'' Data'!$AA$4:$AB$7,2,FALSE)=0,"Spatial Data Missing ⚠",VLOOKUP(V126,'G-7 WaterC'' Data'!$AA$4:$AB$7,2,FALSE)))))</f>
        <v/>
      </c>
      <c r="X126" s="44"/>
      <c r="Y126" s="291" t="str">
        <f>IF(X126="","",IF(AND(X126="N/A - Culvert", C126&lt;&gt;"Culvert"), "Not possible ▲",IF(AND(C126="Culvert",X126&lt;&gt;"N/A - Culvert"),"Not possible ▲",IF(VLOOKUP(X126,'G-7 WaterC'' Data'!$AD$4:$AE$14,2,FALSE)=0,"Enrcoachment Data Missing ⚠",VLOOKUP(X126,'G-7 WaterC'' Data'!$AD$4:$AE$14,2,FALSE)))))</f>
        <v/>
      </c>
      <c r="Z126" s="332" t="str">
        <f t="shared" si="9"/>
        <v/>
      </c>
      <c r="AA126" s="98"/>
      <c r="AB126" s="99"/>
      <c r="AC126" s="101"/>
      <c r="AH126" s="15" t="str">
        <f>IFERROR(INDEX('G-7 WaterC'' Data'!$AZ$3:$AZ$7,MATCH(C126,'G-7 WaterC'' Data'!$AY$3:$AY$7,0)),"")</f>
        <v/>
      </c>
    </row>
    <row r="127" spans="2:34" ht="14" x14ac:dyDescent="0.3">
      <c r="B127" s="92">
        <v>116</v>
      </c>
      <c r="C127" s="119"/>
      <c r="D127" s="120"/>
      <c r="E127" s="290" t="str">
        <f>IF(C127="","",VLOOKUP(C127,'G-7 WaterC'' Data'!$B$2:$G$8,2,FALSE))</f>
        <v/>
      </c>
      <c r="F127" s="291" t="str">
        <f>IFERROR(VLOOKUP(E127,'G-7 WaterC'' Data'!$C$4:$D$8,2,FALSE),"")</f>
        <v/>
      </c>
      <c r="G127" s="95"/>
      <c r="H127" s="291" t="str">
        <f>IFERROR(INDEX('G-7 WaterC'' Data'!$H$4:$L$8,MATCH(C127,'G-7 WaterC'' Data'!$B$4:$B$8,0),MATCH(G127,'G-7 WaterC'' Data'!$H$3:$L$3,0)),"")</f>
        <v/>
      </c>
      <c r="I127" s="38"/>
      <c r="J127" s="298" t="str">
        <f>IF(I127="","",IF(VLOOKUP(I127,'G-7 WaterC'' Data'!$AK$4:$AM$6,2,FALSE)=0,"Spatial Data Missing ⚠",VLOOKUP(I127,'G-7 WaterC'' Data'!$AK$4:$AM$6,2,FALSE)))</f>
        <v/>
      </c>
      <c r="K127" s="291" t="str">
        <f>IF(I127="","",IF(VLOOKUP(I127,'G-7 WaterC'' Data'!$AK$4:$AM$6,3,FALSE)=0,"Spatial Data Missing ⚠",VLOOKUP(I127,'G-7 WaterC'' Data'!$AK$4:$AM$6,3,FALSE)))</f>
        <v/>
      </c>
      <c r="L127" s="290" t="str">
        <f>IFERROR(INDEX('G-7 WaterC'' Data'!$O$3:$O$7,MATCH(G127,'G-7 WaterC'' Data'!$N$3:$N$7,0)),"")</f>
        <v/>
      </c>
      <c r="M127" s="47"/>
      <c r="N127" s="138"/>
      <c r="O127" s="298" t="str">
        <f t="shared" si="5"/>
        <v/>
      </c>
      <c r="P127" s="311" t="str">
        <f t="shared" si="6"/>
        <v/>
      </c>
      <c r="Q127" s="344" t="str">
        <f>IFERROR(IF(P127="Check Data ⚠","Check Data ⚠",VLOOKUP(P127,'G-4 Temporal multipliers'!$A$4:$C$37,3,FALSE)),"")</f>
        <v/>
      </c>
      <c r="R127" s="290" t="str">
        <f>IF(C127="","",VLOOKUP(C127,'G-7 WaterC'' Data'!$B$4:$G$8,4,FALSE))</f>
        <v/>
      </c>
      <c r="S127" s="298" t="str">
        <f t="shared" si="7"/>
        <v/>
      </c>
      <c r="T127" s="328" t="str">
        <f t="shared" si="8"/>
        <v/>
      </c>
      <c r="U127" s="291" t="str">
        <f>IF(C127="","",VLOOKUP(T127,'G-3 Multipliers'!$P$2:$Q$6,2,FALSE))</f>
        <v/>
      </c>
      <c r="V127" s="96"/>
      <c r="W127" s="291" t="str">
        <f>IF(V127="","",IF(AND(V127="N/A - Culvert",C127&lt;&gt;"Culvert"),"Not possible ▲",IF(AND(C127="Culvert",V127&lt;&gt;"N/A - Culvert"),"Not possible ▲",IF(VLOOKUP(V127,'G-7 WaterC'' Data'!$AA$4:$AB$7,2,FALSE)=0,"Spatial Data Missing ⚠",VLOOKUP(V127,'G-7 WaterC'' Data'!$AA$4:$AB$7,2,FALSE)))))</f>
        <v/>
      </c>
      <c r="X127" s="44"/>
      <c r="Y127" s="291" t="str">
        <f>IF(X127="","",IF(AND(X127="N/A - Culvert", C127&lt;&gt;"Culvert"), "Not possible ▲",IF(AND(C127="Culvert",X127&lt;&gt;"N/A - Culvert"),"Not possible ▲",IF(VLOOKUP(X127,'G-7 WaterC'' Data'!$AD$4:$AE$14,2,FALSE)=0,"Enrcoachment Data Missing ⚠",VLOOKUP(X127,'G-7 WaterC'' Data'!$AD$4:$AE$14,2,FALSE)))))</f>
        <v/>
      </c>
      <c r="Z127" s="332" t="str">
        <f t="shared" si="9"/>
        <v/>
      </c>
      <c r="AA127" s="98"/>
      <c r="AB127" s="99"/>
      <c r="AC127" s="101"/>
      <c r="AH127" s="15" t="str">
        <f>IFERROR(INDEX('G-7 WaterC'' Data'!$AZ$3:$AZ$7,MATCH(C127,'G-7 WaterC'' Data'!$AY$3:$AY$7,0)),"")</f>
        <v/>
      </c>
    </row>
    <row r="128" spans="2:34" ht="14" x14ac:dyDescent="0.3">
      <c r="B128" s="92">
        <v>117</v>
      </c>
      <c r="C128" s="119"/>
      <c r="D128" s="120"/>
      <c r="E128" s="290" t="str">
        <f>IF(C128="","",VLOOKUP(C128,'G-7 WaterC'' Data'!$B$2:$G$8,2,FALSE))</f>
        <v/>
      </c>
      <c r="F128" s="291" t="str">
        <f>IFERROR(VLOOKUP(E128,'G-7 WaterC'' Data'!$C$4:$D$8,2,FALSE),"")</f>
        <v/>
      </c>
      <c r="G128" s="95"/>
      <c r="H128" s="291" t="str">
        <f>IFERROR(INDEX('G-7 WaterC'' Data'!$H$4:$L$8,MATCH(C128,'G-7 WaterC'' Data'!$B$4:$B$8,0),MATCH(G128,'G-7 WaterC'' Data'!$H$3:$L$3,0)),"")</f>
        <v/>
      </c>
      <c r="I128" s="38"/>
      <c r="J128" s="298" t="str">
        <f>IF(I128="","",IF(VLOOKUP(I128,'G-7 WaterC'' Data'!$AK$4:$AM$6,2,FALSE)=0,"Spatial Data Missing ⚠",VLOOKUP(I128,'G-7 WaterC'' Data'!$AK$4:$AM$6,2,FALSE)))</f>
        <v/>
      </c>
      <c r="K128" s="291" t="str">
        <f>IF(I128="","",IF(VLOOKUP(I128,'G-7 WaterC'' Data'!$AK$4:$AM$6,3,FALSE)=0,"Spatial Data Missing ⚠",VLOOKUP(I128,'G-7 WaterC'' Data'!$AK$4:$AM$6,3,FALSE)))</f>
        <v/>
      </c>
      <c r="L128" s="290" t="str">
        <f>IFERROR(INDEX('G-7 WaterC'' Data'!$O$3:$O$7,MATCH(G128,'G-7 WaterC'' Data'!$N$3:$N$7,0)),"")</f>
        <v/>
      </c>
      <c r="M128" s="47"/>
      <c r="N128" s="138"/>
      <c r="O128" s="298" t="str">
        <f t="shared" si="5"/>
        <v/>
      </c>
      <c r="P128" s="311" t="str">
        <f t="shared" si="6"/>
        <v/>
      </c>
      <c r="Q128" s="344" t="str">
        <f>IFERROR(IF(P128="Check Data ⚠","Check Data ⚠",VLOOKUP(P128,'G-4 Temporal multipliers'!$A$4:$C$37,3,FALSE)),"")</f>
        <v/>
      </c>
      <c r="R128" s="290" t="str">
        <f>IF(C128="","",VLOOKUP(C128,'G-7 WaterC'' Data'!$B$4:$G$8,4,FALSE))</f>
        <v/>
      </c>
      <c r="S128" s="298" t="str">
        <f t="shared" si="7"/>
        <v/>
      </c>
      <c r="T128" s="328" t="str">
        <f t="shared" si="8"/>
        <v/>
      </c>
      <c r="U128" s="291" t="str">
        <f>IF(C128="","",VLOOKUP(T128,'G-3 Multipliers'!$P$2:$Q$6,2,FALSE))</f>
        <v/>
      </c>
      <c r="V128" s="96"/>
      <c r="W128" s="291" t="str">
        <f>IF(V128="","",IF(AND(V128="N/A - Culvert",C128&lt;&gt;"Culvert"),"Not possible ▲",IF(AND(C128="Culvert",V128&lt;&gt;"N/A - Culvert"),"Not possible ▲",IF(VLOOKUP(V128,'G-7 WaterC'' Data'!$AA$4:$AB$7,2,FALSE)=0,"Spatial Data Missing ⚠",VLOOKUP(V128,'G-7 WaterC'' Data'!$AA$4:$AB$7,2,FALSE)))))</f>
        <v/>
      </c>
      <c r="X128" s="44"/>
      <c r="Y128" s="291" t="str">
        <f>IF(X128="","",IF(AND(X128="N/A - Culvert", C128&lt;&gt;"Culvert"), "Not possible ▲",IF(AND(C128="Culvert",X128&lt;&gt;"N/A - Culvert"),"Not possible ▲",IF(VLOOKUP(X128,'G-7 WaterC'' Data'!$AD$4:$AE$14,2,FALSE)=0,"Enrcoachment Data Missing ⚠",VLOOKUP(X128,'G-7 WaterC'' Data'!$AD$4:$AE$14,2,FALSE)))))</f>
        <v/>
      </c>
      <c r="Z128" s="332" t="str">
        <f t="shared" si="9"/>
        <v/>
      </c>
      <c r="AA128" s="98"/>
      <c r="AB128" s="99"/>
      <c r="AC128" s="101"/>
      <c r="AH128" s="15" t="str">
        <f>IFERROR(INDEX('G-7 WaterC'' Data'!$AZ$3:$AZ$7,MATCH(C128,'G-7 WaterC'' Data'!$AY$3:$AY$7,0)),"")</f>
        <v/>
      </c>
    </row>
    <row r="129" spans="2:34" ht="14" x14ac:dyDescent="0.3">
      <c r="B129" s="92">
        <v>118</v>
      </c>
      <c r="C129" s="119"/>
      <c r="D129" s="120"/>
      <c r="E129" s="290" t="str">
        <f>IF(C129="","",VLOOKUP(C129,'G-7 WaterC'' Data'!$B$2:$G$8,2,FALSE))</f>
        <v/>
      </c>
      <c r="F129" s="291" t="str">
        <f>IFERROR(VLOOKUP(E129,'G-7 WaterC'' Data'!$C$4:$D$8,2,FALSE),"")</f>
        <v/>
      </c>
      <c r="G129" s="95"/>
      <c r="H129" s="291" t="str">
        <f>IFERROR(INDEX('G-7 WaterC'' Data'!$H$4:$L$8,MATCH(C129,'G-7 WaterC'' Data'!$B$4:$B$8,0),MATCH(G129,'G-7 WaterC'' Data'!$H$3:$L$3,0)),"")</f>
        <v/>
      </c>
      <c r="I129" s="38"/>
      <c r="J129" s="298" t="str">
        <f>IF(I129="","",IF(VLOOKUP(I129,'G-7 WaterC'' Data'!$AK$4:$AM$6,2,FALSE)=0,"Spatial Data Missing ⚠",VLOOKUP(I129,'G-7 WaterC'' Data'!$AK$4:$AM$6,2,FALSE)))</f>
        <v/>
      </c>
      <c r="K129" s="291" t="str">
        <f>IF(I129="","",IF(VLOOKUP(I129,'G-7 WaterC'' Data'!$AK$4:$AM$6,3,FALSE)=0,"Spatial Data Missing ⚠",VLOOKUP(I129,'G-7 WaterC'' Data'!$AK$4:$AM$6,3,FALSE)))</f>
        <v/>
      </c>
      <c r="L129" s="290" t="str">
        <f>IFERROR(INDEX('G-7 WaterC'' Data'!$O$3:$O$7,MATCH(G129,'G-7 WaterC'' Data'!$N$3:$N$7,0)),"")</f>
        <v/>
      </c>
      <c r="M129" s="47"/>
      <c r="N129" s="138"/>
      <c r="O129" s="298" t="str">
        <f t="shared" si="5"/>
        <v/>
      </c>
      <c r="P129" s="311" t="str">
        <f t="shared" si="6"/>
        <v/>
      </c>
      <c r="Q129" s="344" t="str">
        <f>IFERROR(IF(P129="Check Data ⚠","Check Data ⚠",VLOOKUP(P129,'G-4 Temporal multipliers'!$A$4:$C$37,3,FALSE)),"")</f>
        <v/>
      </c>
      <c r="R129" s="290" t="str">
        <f>IF(C129="","",VLOOKUP(C129,'G-7 WaterC'' Data'!$B$4:$G$8,4,FALSE))</f>
        <v/>
      </c>
      <c r="S129" s="298" t="str">
        <f t="shared" si="7"/>
        <v/>
      </c>
      <c r="T129" s="328" t="str">
        <f t="shared" si="8"/>
        <v/>
      </c>
      <c r="U129" s="291" t="str">
        <f>IF(C129="","",VLOOKUP(T129,'G-3 Multipliers'!$P$2:$Q$6,2,FALSE))</f>
        <v/>
      </c>
      <c r="V129" s="96"/>
      <c r="W129" s="291" t="str">
        <f>IF(V129="","",IF(AND(V129="N/A - Culvert",C129&lt;&gt;"Culvert"),"Not possible ▲",IF(AND(C129="Culvert",V129&lt;&gt;"N/A - Culvert"),"Not possible ▲",IF(VLOOKUP(V129,'G-7 WaterC'' Data'!$AA$4:$AB$7,2,FALSE)=0,"Spatial Data Missing ⚠",VLOOKUP(V129,'G-7 WaterC'' Data'!$AA$4:$AB$7,2,FALSE)))))</f>
        <v/>
      </c>
      <c r="X129" s="44"/>
      <c r="Y129" s="291" t="str">
        <f>IF(X129="","",IF(AND(X129="N/A - Culvert", C129&lt;&gt;"Culvert"), "Not possible ▲",IF(AND(C129="Culvert",X129&lt;&gt;"N/A - Culvert"),"Not possible ▲",IF(VLOOKUP(X129,'G-7 WaterC'' Data'!$AD$4:$AE$14,2,FALSE)=0,"Enrcoachment Data Missing ⚠",VLOOKUP(X129,'G-7 WaterC'' Data'!$AD$4:$AE$14,2,FALSE)))))</f>
        <v/>
      </c>
      <c r="Z129" s="332" t="str">
        <f t="shared" si="9"/>
        <v/>
      </c>
      <c r="AA129" s="98"/>
      <c r="AB129" s="99"/>
      <c r="AC129" s="101"/>
      <c r="AH129" s="15" t="str">
        <f>IFERROR(INDEX('G-7 WaterC'' Data'!$AZ$3:$AZ$7,MATCH(C129,'G-7 WaterC'' Data'!$AY$3:$AY$7,0)),"")</f>
        <v/>
      </c>
    </row>
    <row r="130" spans="2:34" ht="14" x14ac:dyDescent="0.3">
      <c r="B130" s="92">
        <v>119</v>
      </c>
      <c r="C130" s="119"/>
      <c r="D130" s="120"/>
      <c r="E130" s="290" t="str">
        <f>IF(C130="","",VLOOKUP(C130,'G-7 WaterC'' Data'!$B$2:$G$8,2,FALSE))</f>
        <v/>
      </c>
      <c r="F130" s="291" t="str">
        <f>IFERROR(VLOOKUP(E130,'G-7 WaterC'' Data'!$C$4:$D$8,2,FALSE),"")</f>
        <v/>
      </c>
      <c r="G130" s="95"/>
      <c r="H130" s="291" t="str">
        <f>IFERROR(INDEX('G-7 WaterC'' Data'!$H$4:$L$8,MATCH(C130,'G-7 WaterC'' Data'!$B$4:$B$8,0),MATCH(G130,'G-7 WaterC'' Data'!$H$3:$L$3,0)),"")</f>
        <v/>
      </c>
      <c r="I130" s="38"/>
      <c r="J130" s="298" t="str">
        <f>IF(I130="","",IF(VLOOKUP(I130,'G-7 WaterC'' Data'!$AK$4:$AM$6,2,FALSE)=0,"Spatial Data Missing ⚠",VLOOKUP(I130,'G-7 WaterC'' Data'!$AK$4:$AM$6,2,FALSE)))</f>
        <v/>
      </c>
      <c r="K130" s="291" t="str">
        <f>IF(I130="","",IF(VLOOKUP(I130,'G-7 WaterC'' Data'!$AK$4:$AM$6,3,FALSE)=0,"Spatial Data Missing ⚠",VLOOKUP(I130,'G-7 WaterC'' Data'!$AK$4:$AM$6,3,FALSE)))</f>
        <v/>
      </c>
      <c r="L130" s="290" t="str">
        <f>IFERROR(INDEX('G-7 WaterC'' Data'!$O$3:$O$7,MATCH(G130,'G-7 WaterC'' Data'!$N$3:$N$7,0)),"")</f>
        <v/>
      </c>
      <c r="M130" s="47"/>
      <c r="N130" s="138"/>
      <c r="O130" s="298" t="str">
        <f t="shared" si="5"/>
        <v/>
      </c>
      <c r="P130" s="311" t="str">
        <f t="shared" si="6"/>
        <v/>
      </c>
      <c r="Q130" s="344" t="str">
        <f>IFERROR(IF(P130="Check Data ⚠","Check Data ⚠",VLOOKUP(P130,'G-4 Temporal multipliers'!$A$4:$C$37,3,FALSE)),"")</f>
        <v/>
      </c>
      <c r="R130" s="290" t="str">
        <f>IF(C130="","",VLOOKUP(C130,'G-7 WaterC'' Data'!$B$4:$G$8,4,FALSE))</f>
        <v/>
      </c>
      <c r="S130" s="298" t="str">
        <f t="shared" si="7"/>
        <v/>
      </c>
      <c r="T130" s="328" t="str">
        <f t="shared" si="8"/>
        <v/>
      </c>
      <c r="U130" s="291" t="str">
        <f>IF(C130="","",VLOOKUP(T130,'G-3 Multipliers'!$P$2:$Q$6,2,FALSE))</f>
        <v/>
      </c>
      <c r="V130" s="96"/>
      <c r="W130" s="291" t="str">
        <f>IF(V130="","",IF(AND(V130="N/A - Culvert",C130&lt;&gt;"Culvert"),"Not possible ▲",IF(AND(C130="Culvert",V130&lt;&gt;"N/A - Culvert"),"Not possible ▲",IF(VLOOKUP(V130,'G-7 WaterC'' Data'!$AA$4:$AB$7,2,FALSE)=0,"Spatial Data Missing ⚠",VLOOKUP(V130,'G-7 WaterC'' Data'!$AA$4:$AB$7,2,FALSE)))))</f>
        <v/>
      </c>
      <c r="X130" s="44"/>
      <c r="Y130" s="291" t="str">
        <f>IF(X130="","",IF(AND(X130="N/A - Culvert", C130&lt;&gt;"Culvert"), "Not possible ▲",IF(AND(C130="Culvert",X130&lt;&gt;"N/A - Culvert"),"Not possible ▲",IF(VLOOKUP(X130,'G-7 WaterC'' Data'!$AD$4:$AE$14,2,FALSE)=0,"Enrcoachment Data Missing ⚠",VLOOKUP(X130,'G-7 WaterC'' Data'!$AD$4:$AE$14,2,FALSE)))))</f>
        <v/>
      </c>
      <c r="Z130" s="332" t="str">
        <f t="shared" si="9"/>
        <v/>
      </c>
      <c r="AA130" s="98"/>
      <c r="AB130" s="99"/>
      <c r="AC130" s="101"/>
      <c r="AH130" s="15" t="str">
        <f>IFERROR(INDEX('G-7 WaterC'' Data'!$AZ$3:$AZ$7,MATCH(C130,'G-7 WaterC'' Data'!$AY$3:$AY$7,0)),"")</f>
        <v/>
      </c>
    </row>
    <row r="131" spans="2:34" ht="14" x14ac:dyDescent="0.3">
      <c r="B131" s="92">
        <v>120</v>
      </c>
      <c r="C131" s="119"/>
      <c r="D131" s="120"/>
      <c r="E131" s="290" t="str">
        <f>IF(C131="","",VLOOKUP(C131,'G-7 WaterC'' Data'!$B$2:$G$8,2,FALSE))</f>
        <v/>
      </c>
      <c r="F131" s="291" t="str">
        <f>IFERROR(VLOOKUP(E131,'G-7 WaterC'' Data'!$C$4:$D$8,2,FALSE),"")</f>
        <v/>
      </c>
      <c r="G131" s="95"/>
      <c r="H131" s="291" t="str">
        <f>IFERROR(INDEX('G-7 WaterC'' Data'!$H$4:$L$8,MATCH(C131,'G-7 WaterC'' Data'!$B$4:$B$8,0),MATCH(G131,'G-7 WaterC'' Data'!$H$3:$L$3,0)),"")</f>
        <v/>
      </c>
      <c r="I131" s="38"/>
      <c r="J131" s="298" t="str">
        <f>IF(I131="","",IF(VLOOKUP(I131,'G-7 WaterC'' Data'!$AK$4:$AM$6,2,FALSE)=0,"Spatial Data Missing ⚠",VLOOKUP(I131,'G-7 WaterC'' Data'!$AK$4:$AM$6,2,FALSE)))</f>
        <v/>
      </c>
      <c r="K131" s="291" t="str">
        <f>IF(I131="","",IF(VLOOKUP(I131,'G-7 WaterC'' Data'!$AK$4:$AM$6,3,FALSE)=0,"Spatial Data Missing ⚠",VLOOKUP(I131,'G-7 WaterC'' Data'!$AK$4:$AM$6,3,FALSE)))</f>
        <v/>
      </c>
      <c r="L131" s="290" t="str">
        <f>IFERROR(INDEX('G-7 WaterC'' Data'!$O$3:$O$7,MATCH(G131,'G-7 WaterC'' Data'!$N$3:$N$7,0)),"")</f>
        <v/>
      </c>
      <c r="M131" s="47"/>
      <c r="N131" s="138"/>
      <c r="O131" s="298" t="str">
        <f t="shared" si="5"/>
        <v/>
      </c>
      <c r="P131" s="311" t="str">
        <f t="shared" si="6"/>
        <v/>
      </c>
      <c r="Q131" s="344" t="str">
        <f>IFERROR(IF(P131="Check Data ⚠","Check Data ⚠",VLOOKUP(P131,'G-4 Temporal multipliers'!$A$4:$C$37,3,FALSE)),"")</f>
        <v/>
      </c>
      <c r="R131" s="290" t="str">
        <f>IF(C131="","",VLOOKUP(C131,'G-7 WaterC'' Data'!$B$4:$G$8,4,FALSE))</f>
        <v/>
      </c>
      <c r="S131" s="298" t="str">
        <f t="shared" si="7"/>
        <v/>
      </c>
      <c r="T131" s="328" t="str">
        <f t="shared" si="8"/>
        <v/>
      </c>
      <c r="U131" s="291" t="str">
        <f>IF(C131="","",VLOOKUP(T131,'G-3 Multipliers'!$P$2:$Q$6,2,FALSE))</f>
        <v/>
      </c>
      <c r="V131" s="96"/>
      <c r="W131" s="291" t="str">
        <f>IF(V131="","",IF(AND(V131="N/A - Culvert",C131&lt;&gt;"Culvert"),"Not possible ▲",IF(AND(C131="Culvert",V131&lt;&gt;"N/A - Culvert"),"Not possible ▲",IF(VLOOKUP(V131,'G-7 WaterC'' Data'!$AA$4:$AB$7,2,FALSE)=0,"Spatial Data Missing ⚠",VLOOKUP(V131,'G-7 WaterC'' Data'!$AA$4:$AB$7,2,FALSE)))))</f>
        <v/>
      </c>
      <c r="X131" s="44"/>
      <c r="Y131" s="291" t="str">
        <f>IF(X131="","",IF(AND(X131="N/A - Culvert", C131&lt;&gt;"Culvert"), "Not possible ▲",IF(AND(C131="Culvert",X131&lt;&gt;"N/A - Culvert"),"Not possible ▲",IF(VLOOKUP(X131,'G-7 WaterC'' Data'!$AD$4:$AE$14,2,FALSE)=0,"Enrcoachment Data Missing ⚠",VLOOKUP(X131,'G-7 WaterC'' Data'!$AD$4:$AE$14,2,FALSE)))))</f>
        <v/>
      </c>
      <c r="Z131" s="332" t="str">
        <f t="shared" si="9"/>
        <v/>
      </c>
      <c r="AA131" s="98"/>
      <c r="AB131" s="99"/>
      <c r="AC131" s="101"/>
      <c r="AH131" s="15" t="str">
        <f>IFERROR(INDEX('G-7 WaterC'' Data'!$AZ$3:$AZ$7,MATCH(C131,'G-7 WaterC'' Data'!$AY$3:$AY$7,0)),"")</f>
        <v/>
      </c>
    </row>
    <row r="132" spans="2:34" ht="14" x14ac:dyDescent="0.3">
      <c r="B132" s="92">
        <v>121</v>
      </c>
      <c r="C132" s="119"/>
      <c r="D132" s="120"/>
      <c r="E132" s="290" t="str">
        <f>IF(C132="","",VLOOKUP(C132,'G-7 WaterC'' Data'!$B$2:$G$8,2,FALSE))</f>
        <v/>
      </c>
      <c r="F132" s="291" t="str">
        <f>IFERROR(VLOOKUP(E132,'G-7 WaterC'' Data'!$C$4:$D$8,2,FALSE),"")</f>
        <v/>
      </c>
      <c r="G132" s="95"/>
      <c r="H132" s="291" t="str">
        <f>IFERROR(INDEX('G-7 WaterC'' Data'!$H$4:$L$8,MATCH(C132,'G-7 WaterC'' Data'!$B$4:$B$8,0),MATCH(G132,'G-7 WaterC'' Data'!$H$3:$L$3,0)),"")</f>
        <v/>
      </c>
      <c r="I132" s="38"/>
      <c r="J132" s="298" t="str">
        <f>IF(I132="","",IF(VLOOKUP(I132,'G-7 WaterC'' Data'!$AK$4:$AM$6,2,FALSE)=0,"Spatial Data Missing ⚠",VLOOKUP(I132,'G-7 WaterC'' Data'!$AK$4:$AM$6,2,FALSE)))</f>
        <v/>
      </c>
      <c r="K132" s="291" t="str">
        <f>IF(I132="","",IF(VLOOKUP(I132,'G-7 WaterC'' Data'!$AK$4:$AM$6,3,FALSE)=0,"Spatial Data Missing ⚠",VLOOKUP(I132,'G-7 WaterC'' Data'!$AK$4:$AM$6,3,FALSE)))</f>
        <v/>
      </c>
      <c r="L132" s="290" t="str">
        <f>IFERROR(INDEX('G-7 WaterC'' Data'!$O$3:$O$7,MATCH(G132,'G-7 WaterC'' Data'!$N$3:$N$7,0)),"")</f>
        <v/>
      </c>
      <c r="M132" s="47"/>
      <c r="N132" s="138"/>
      <c r="O132" s="298" t="str">
        <f t="shared" si="5"/>
        <v/>
      </c>
      <c r="P132" s="311" t="str">
        <f t="shared" si="6"/>
        <v/>
      </c>
      <c r="Q132" s="344" t="str">
        <f>IFERROR(IF(P132="Check Data ⚠","Check Data ⚠",VLOOKUP(P132,'G-4 Temporal multipliers'!$A$4:$C$37,3,FALSE)),"")</f>
        <v/>
      </c>
      <c r="R132" s="290" t="str">
        <f>IF(C132="","",VLOOKUP(C132,'G-7 WaterC'' Data'!$B$4:$G$8,4,FALSE))</f>
        <v/>
      </c>
      <c r="S132" s="298" t="str">
        <f t="shared" si="7"/>
        <v/>
      </c>
      <c r="T132" s="328" t="str">
        <f t="shared" si="8"/>
        <v/>
      </c>
      <c r="U132" s="291" t="str">
        <f>IF(C132="","",VLOOKUP(T132,'G-3 Multipliers'!$P$2:$Q$6,2,FALSE))</f>
        <v/>
      </c>
      <c r="V132" s="96"/>
      <c r="W132" s="291" t="str">
        <f>IF(V132="","",IF(AND(V132="N/A - Culvert",C132&lt;&gt;"Culvert"),"Not possible ▲",IF(AND(C132="Culvert",V132&lt;&gt;"N/A - Culvert"),"Not possible ▲",IF(VLOOKUP(V132,'G-7 WaterC'' Data'!$AA$4:$AB$7,2,FALSE)=0,"Spatial Data Missing ⚠",VLOOKUP(V132,'G-7 WaterC'' Data'!$AA$4:$AB$7,2,FALSE)))))</f>
        <v/>
      </c>
      <c r="X132" s="44"/>
      <c r="Y132" s="291" t="str">
        <f>IF(X132="","",IF(AND(X132="N/A - Culvert", C132&lt;&gt;"Culvert"), "Not possible ▲",IF(AND(C132="Culvert",X132&lt;&gt;"N/A - Culvert"),"Not possible ▲",IF(VLOOKUP(X132,'G-7 WaterC'' Data'!$AD$4:$AE$14,2,FALSE)=0,"Enrcoachment Data Missing ⚠",VLOOKUP(X132,'G-7 WaterC'' Data'!$AD$4:$AE$14,2,FALSE)))))</f>
        <v/>
      </c>
      <c r="Z132" s="332" t="str">
        <f t="shared" si="9"/>
        <v/>
      </c>
      <c r="AA132" s="98"/>
      <c r="AB132" s="99"/>
      <c r="AC132" s="101"/>
      <c r="AH132" s="15" t="str">
        <f>IFERROR(INDEX('G-7 WaterC'' Data'!$AZ$3:$AZ$7,MATCH(C132,'G-7 WaterC'' Data'!$AY$3:$AY$7,0)),"")</f>
        <v/>
      </c>
    </row>
    <row r="133" spans="2:34" ht="14" x14ac:dyDescent="0.3">
      <c r="B133" s="92">
        <v>122</v>
      </c>
      <c r="C133" s="119"/>
      <c r="D133" s="120"/>
      <c r="E133" s="290" t="str">
        <f>IF(C133="","",VLOOKUP(C133,'G-7 WaterC'' Data'!$B$2:$G$8,2,FALSE))</f>
        <v/>
      </c>
      <c r="F133" s="291" t="str">
        <f>IFERROR(VLOOKUP(E133,'G-7 WaterC'' Data'!$C$4:$D$8,2,FALSE),"")</f>
        <v/>
      </c>
      <c r="G133" s="95"/>
      <c r="H133" s="291" t="str">
        <f>IFERROR(INDEX('G-7 WaterC'' Data'!$H$4:$L$8,MATCH(C133,'G-7 WaterC'' Data'!$B$4:$B$8,0),MATCH(G133,'G-7 WaterC'' Data'!$H$3:$L$3,0)),"")</f>
        <v/>
      </c>
      <c r="I133" s="38"/>
      <c r="J133" s="298" t="str">
        <f>IF(I133="","",IF(VLOOKUP(I133,'G-7 WaterC'' Data'!$AK$4:$AM$6,2,FALSE)=0,"Spatial Data Missing ⚠",VLOOKUP(I133,'G-7 WaterC'' Data'!$AK$4:$AM$6,2,FALSE)))</f>
        <v/>
      </c>
      <c r="K133" s="291" t="str">
        <f>IF(I133="","",IF(VLOOKUP(I133,'G-7 WaterC'' Data'!$AK$4:$AM$6,3,FALSE)=0,"Spatial Data Missing ⚠",VLOOKUP(I133,'G-7 WaterC'' Data'!$AK$4:$AM$6,3,FALSE)))</f>
        <v/>
      </c>
      <c r="L133" s="290" t="str">
        <f>IFERROR(INDEX('G-7 WaterC'' Data'!$O$3:$O$7,MATCH(G133,'G-7 WaterC'' Data'!$N$3:$N$7,0)),"")</f>
        <v/>
      </c>
      <c r="M133" s="47"/>
      <c r="N133" s="138"/>
      <c r="O133" s="298" t="str">
        <f t="shared" si="5"/>
        <v/>
      </c>
      <c r="P133" s="311" t="str">
        <f t="shared" si="6"/>
        <v/>
      </c>
      <c r="Q133" s="344" t="str">
        <f>IFERROR(IF(P133="Check Data ⚠","Check Data ⚠",VLOOKUP(P133,'G-4 Temporal multipliers'!$A$4:$C$37,3,FALSE)),"")</f>
        <v/>
      </c>
      <c r="R133" s="290" t="str">
        <f>IF(C133="","",VLOOKUP(C133,'G-7 WaterC'' Data'!$B$4:$G$8,4,FALSE))</f>
        <v/>
      </c>
      <c r="S133" s="298" t="str">
        <f t="shared" si="7"/>
        <v/>
      </c>
      <c r="T133" s="328" t="str">
        <f t="shared" si="8"/>
        <v/>
      </c>
      <c r="U133" s="291" t="str">
        <f>IF(C133="","",VLOOKUP(T133,'G-3 Multipliers'!$P$2:$Q$6,2,FALSE))</f>
        <v/>
      </c>
      <c r="V133" s="96"/>
      <c r="W133" s="291" t="str">
        <f>IF(V133="","",IF(AND(V133="N/A - Culvert",C133&lt;&gt;"Culvert"),"Not possible ▲",IF(AND(C133="Culvert",V133&lt;&gt;"N/A - Culvert"),"Not possible ▲",IF(VLOOKUP(V133,'G-7 WaterC'' Data'!$AA$4:$AB$7,2,FALSE)=0,"Spatial Data Missing ⚠",VLOOKUP(V133,'G-7 WaterC'' Data'!$AA$4:$AB$7,2,FALSE)))))</f>
        <v/>
      </c>
      <c r="X133" s="44"/>
      <c r="Y133" s="291" t="str">
        <f>IF(X133="","",IF(AND(X133="N/A - Culvert", C133&lt;&gt;"Culvert"), "Not possible ▲",IF(AND(C133="Culvert",X133&lt;&gt;"N/A - Culvert"),"Not possible ▲",IF(VLOOKUP(X133,'G-7 WaterC'' Data'!$AD$4:$AE$14,2,FALSE)=0,"Enrcoachment Data Missing ⚠",VLOOKUP(X133,'G-7 WaterC'' Data'!$AD$4:$AE$14,2,FALSE)))))</f>
        <v/>
      </c>
      <c r="Z133" s="332" t="str">
        <f t="shared" si="9"/>
        <v/>
      </c>
      <c r="AA133" s="98"/>
      <c r="AB133" s="99"/>
      <c r="AC133" s="101"/>
      <c r="AH133" s="15" t="str">
        <f>IFERROR(INDEX('G-7 WaterC'' Data'!$AZ$3:$AZ$7,MATCH(C133,'G-7 WaterC'' Data'!$AY$3:$AY$7,0)),"")</f>
        <v/>
      </c>
    </row>
    <row r="134" spans="2:34" ht="14" x14ac:dyDescent="0.3">
      <c r="B134" s="92">
        <v>123</v>
      </c>
      <c r="C134" s="119"/>
      <c r="D134" s="120"/>
      <c r="E134" s="290" t="str">
        <f>IF(C134="","",VLOOKUP(C134,'G-7 WaterC'' Data'!$B$2:$G$8,2,FALSE))</f>
        <v/>
      </c>
      <c r="F134" s="291" t="str">
        <f>IFERROR(VLOOKUP(E134,'G-7 WaterC'' Data'!$C$4:$D$8,2,FALSE),"")</f>
        <v/>
      </c>
      <c r="G134" s="95"/>
      <c r="H134" s="291" t="str">
        <f>IFERROR(INDEX('G-7 WaterC'' Data'!$H$4:$L$8,MATCH(C134,'G-7 WaterC'' Data'!$B$4:$B$8,0),MATCH(G134,'G-7 WaterC'' Data'!$H$3:$L$3,0)),"")</f>
        <v/>
      </c>
      <c r="I134" s="38"/>
      <c r="J134" s="298" t="str">
        <f>IF(I134="","",IF(VLOOKUP(I134,'G-7 WaterC'' Data'!$AK$4:$AM$6,2,FALSE)=0,"Spatial Data Missing ⚠",VLOOKUP(I134,'G-7 WaterC'' Data'!$AK$4:$AM$6,2,FALSE)))</f>
        <v/>
      </c>
      <c r="K134" s="291" t="str">
        <f>IF(I134="","",IF(VLOOKUP(I134,'G-7 WaterC'' Data'!$AK$4:$AM$6,3,FALSE)=0,"Spatial Data Missing ⚠",VLOOKUP(I134,'G-7 WaterC'' Data'!$AK$4:$AM$6,3,FALSE)))</f>
        <v/>
      </c>
      <c r="L134" s="290" t="str">
        <f>IFERROR(INDEX('G-7 WaterC'' Data'!$O$3:$O$7,MATCH(G134,'G-7 WaterC'' Data'!$N$3:$N$7,0)),"")</f>
        <v/>
      </c>
      <c r="M134" s="47"/>
      <c r="N134" s="138"/>
      <c r="O134" s="298" t="str">
        <f t="shared" si="5"/>
        <v/>
      </c>
      <c r="P134" s="311" t="str">
        <f t="shared" si="6"/>
        <v/>
      </c>
      <c r="Q134" s="344" t="str">
        <f>IFERROR(IF(P134="Check Data ⚠","Check Data ⚠",VLOOKUP(P134,'G-4 Temporal multipliers'!$A$4:$C$37,3,FALSE)),"")</f>
        <v/>
      </c>
      <c r="R134" s="290" t="str">
        <f>IF(C134="","",VLOOKUP(C134,'G-7 WaterC'' Data'!$B$4:$G$8,4,FALSE))</f>
        <v/>
      </c>
      <c r="S134" s="298" t="str">
        <f t="shared" si="7"/>
        <v/>
      </c>
      <c r="T134" s="328" t="str">
        <f t="shared" si="8"/>
        <v/>
      </c>
      <c r="U134" s="291" t="str">
        <f>IF(C134="","",VLOOKUP(T134,'G-3 Multipliers'!$P$2:$Q$6,2,FALSE))</f>
        <v/>
      </c>
      <c r="V134" s="96"/>
      <c r="W134" s="291" t="str">
        <f>IF(V134="","",IF(AND(V134="N/A - Culvert",C134&lt;&gt;"Culvert"),"Not possible ▲",IF(AND(C134="Culvert",V134&lt;&gt;"N/A - Culvert"),"Not possible ▲",IF(VLOOKUP(V134,'G-7 WaterC'' Data'!$AA$4:$AB$7,2,FALSE)=0,"Spatial Data Missing ⚠",VLOOKUP(V134,'G-7 WaterC'' Data'!$AA$4:$AB$7,2,FALSE)))))</f>
        <v/>
      </c>
      <c r="X134" s="44"/>
      <c r="Y134" s="291" t="str">
        <f>IF(X134="","",IF(AND(X134="N/A - Culvert", C134&lt;&gt;"Culvert"), "Not possible ▲",IF(AND(C134="Culvert",X134&lt;&gt;"N/A - Culvert"),"Not possible ▲",IF(VLOOKUP(X134,'G-7 WaterC'' Data'!$AD$4:$AE$14,2,FALSE)=0,"Enrcoachment Data Missing ⚠",VLOOKUP(X134,'G-7 WaterC'' Data'!$AD$4:$AE$14,2,FALSE)))))</f>
        <v/>
      </c>
      <c r="Z134" s="332" t="str">
        <f t="shared" si="9"/>
        <v/>
      </c>
      <c r="AA134" s="98"/>
      <c r="AB134" s="99"/>
      <c r="AC134" s="101"/>
      <c r="AH134" s="15" t="str">
        <f>IFERROR(INDEX('G-7 WaterC'' Data'!$AZ$3:$AZ$7,MATCH(C134,'G-7 WaterC'' Data'!$AY$3:$AY$7,0)),"")</f>
        <v/>
      </c>
    </row>
    <row r="135" spans="2:34" ht="14" x14ac:dyDescent="0.3">
      <c r="B135" s="92">
        <v>124</v>
      </c>
      <c r="C135" s="119"/>
      <c r="D135" s="120"/>
      <c r="E135" s="290" t="str">
        <f>IF(C135="","",VLOOKUP(C135,'G-7 WaterC'' Data'!$B$2:$G$8,2,FALSE))</f>
        <v/>
      </c>
      <c r="F135" s="291" t="str">
        <f>IFERROR(VLOOKUP(E135,'G-7 WaterC'' Data'!$C$4:$D$8,2,FALSE),"")</f>
        <v/>
      </c>
      <c r="G135" s="95"/>
      <c r="H135" s="291" t="str">
        <f>IFERROR(INDEX('G-7 WaterC'' Data'!$H$4:$L$8,MATCH(C135,'G-7 WaterC'' Data'!$B$4:$B$8,0),MATCH(G135,'G-7 WaterC'' Data'!$H$3:$L$3,0)),"")</f>
        <v/>
      </c>
      <c r="I135" s="38"/>
      <c r="J135" s="298" t="str">
        <f>IF(I135="","",IF(VLOOKUP(I135,'G-7 WaterC'' Data'!$AK$4:$AM$6,2,FALSE)=0,"Spatial Data Missing ⚠",VLOOKUP(I135,'G-7 WaterC'' Data'!$AK$4:$AM$6,2,FALSE)))</f>
        <v/>
      </c>
      <c r="K135" s="291" t="str">
        <f>IF(I135="","",IF(VLOOKUP(I135,'G-7 WaterC'' Data'!$AK$4:$AM$6,3,FALSE)=0,"Spatial Data Missing ⚠",VLOOKUP(I135,'G-7 WaterC'' Data'!$AK$4:$AM$6,3,FALSE)))</f>
        <v/>
      </c>
      <c r="L135" s="290" t="str">
        <f>IFERROR(INDEX('G-7 WaterC'' Data'!$O$3:$O$7,MATCH(G135,'G-7 WaterC'' Data'!$N$3:$N$7,0)),"")</f>
        <v/>
      </c>
      <c r="M135" s="47"/>
      <c r="N135" s="138"/>
      <c r="O135" s="298" t="str">
        <f t="shared" si="5"/>
        <v/>
      </c>
      <c r="P135" s="311" t="str">
        <f t="shared" si="6"/>
        <v/>
      </c>
      <c r="Q135" s="344" t="str">
        <f>IFERROR(IF(P135="Check Data ⚠","Check Data ⚠",VLOOKUP(P135,'G-4 Temporal multipliers'!$A$4:$C$37,3,FALSE)),"")</f>
        <v/>
      </c>
      <c r="R135" s="290" t="str">
        <f>IF(C135="","",VLOOKUP(C135,'G-7 WaterC'' Data'!$B$4:$G$8,4,FALSE))</f>
        <v/>
      </c>
      <c r="S135" s="298" t="str">
        <f t="shared" si="7"/>
        <v/>
      </c>
      <c r="T135" s="328" t="str">
        <f t="shared" si="8"/>
        <v/>
      </c>
      <c r="U135" s="291" t="str">
        <f>IF(C135="","",VLOOKUP(T135,'G-3 Multipliers'!$P$2:$Q$6,2,FALSE))</f>
        <v/>
      </c>
      <c r="V135" s="96"/>
      <c r="W135" s="291" t="str">
        <f>IF(V135="","",IF(AND(V135="N/A - Culvert",C135&lt;&gt;"Culvert"),"Not possible ▲",IF(AND(C135="Culvert",V135&lt;&gt;"N/A - Culvert"),"Not possible ▲",IF(VLOOKUP(V135,'G-7 WaterC'' Data'!$AA$4:$AB$7,2,FALSE)=0,"Spatial Data Missing ⚠",VLOOKUP(V135,'G-7 WaterC'' Data'!$AA$4:$AB$7,2,FALSE)))))</f>
        <v/>
      </c>
      <c r="X135" s="44"/>
      <c r="Y135" s="291" t="str">
        <f>IF(X135="","",IF(AND(X135="N/A - Culvert", C135&lt;&gt;"Culvert"), "Not possible ▲",IF(AND(C135="Culvert",X135&lt;&gt;"N/A - Culvert"),"Not possible ▲",IF(VLOOKUP(X135,'G-7 WaterC'' Data'!$AD$4:$AE$14,2,FALSE)=0,"Enrcoachment Data Missing ⚠",VLOOKUP(X135,'G-7 WaterC'' Data'!$AD$4:$AE$14,2,FALSE)))))</f>
        <v/>
      </c>
      <c r="Z135" s="332" t="str">
        <f t="shared" si="9"/>
        <v/>
      </c>
      <c r="AA135" s="98"/>
      <c r="AB135" s="99"/>
      <c r="AC135" s="101"/>
      <c r="AH135" s="15" t="str">
        <f>IFERROR(INDEX('G-7 WaterC'' Data'!$AZ$3:$AZ$7,MATCH(C135,'G-7 WaterC'' Data'!$AY$3:$AY$7,0)),"")</f>
        <v/>
      </c>
    </row>
    <row r="136" spans="2:34" ht="14" x14ac:dyDescent="0.3">
      <c r="B136" s="92">
        <v>125</v>
      </c>
      <c r="C136" s="119"/>
      <c r="D136" s="120"/>
      <c r="E136" s="290" t="str">
        <f>IF(C136="","",VLOOKUP(C136,'G-7 WaterC'' Data'!$B$2:$G$8,2,FALSE))</f>
        <v/>
      </c>
      <c r="F136" s="291" t="str">
        <f>IFERROR(VLOOKUP(E136,'G-7 WaterC'' Data'!$C$4:$D$8,2,FALSE),"")</f>
        <v/>
      </c>
      <c r="G136" s="95"/>
      <c r="H136" s="291" t="str">
        <f>IFERROR(INDEX('G-7 WaterC'' Data'!$H$4:$L$8,MATCH(C136,'G-7 WaterC'' Data'!$B$4:$B$8,0),MATCH(G136,'G-7 WaterC'' Data'!$H$3:$L$3,0)),"")</f>
        <v/>
      </c>
      <c r="I136" s="38"/>
      <c r="J136" s="298" t="str">
        <f>IF(I136="","",IF(VLOOKUP(I136,'G-7 WaterC'' Data'!$AK$4:$AM$6,2,FALSE)=0,"Spatial Data Missing ⚠",VLOOKUP(I136,'G-7 WaterC'' Data'!$AK$4:$AM$6,2,FALSE)))</f>
        <v/>
      </c>
      <c r="K136" s="291" t="str">
        <f>IF(I136="","",IF(VLOOKUP(I136,'G-7 WaterC'' Data'!$AK$4:$AM$6,3,FALSE)=0,"Spatial Data Missing ⚠",VLOOKUP(I136,'G-7 WaterC'' Data'!$AK$4:$AM$6,3,FALSE)))</f>
        <v/>
      </c>
      <c r="L136" s="290" t="str">
        <f>IFERROR(INDEX('G-7 WaterC'' Data'!$O$3:$O$7,MATCH(G136,'G-7 WaterC'' Data'!$N$3:$N$7,0)),"")</f>
        <v/>
      </c>
      <c r="M136" s="47"/>
      <c r="N136" s="138"/>
      <c r="O136" s="298" t="str">
        <f t="shared" si="5"/>
        <v/>
      </c>
      <c r="P136" s="311" t="str">
        <f t="shared" si="6"/>
        <v/>
      </c>
      <c r="Q136" s="344" t="str">
        <f>IFERROR(IF(P136="Check Data ⚠","Check Data ⚠",VLOOKUP(P136,'G-4 Temporal multipliers'!$A$4:$C$37,3,FALSE)),"")</f>
        <v/>
      </c>
      <c r="R136" s="290" t="str">
        <f>IF(C136="","",VLOOKUP(C136,'G-7 WaterC'' Data'!$B$4:$G$8,4,FALSE))</f>
        <v/>
      </c>
      <c r="S136" s="298" t="str">
        <f t="shared" si="7"/>
        <v/>
      </c>
      <c r="T136" s="328" t="str">
        <f t="shared" si="8"/>
        <v/>
      </c>
      <c r="U136" s="291" t="str">
        <f>IF(C136="","",VLOOKUP(T136,'G-3 Multipliers'!$P$2:$Q$6,2,FALSE))</f>
        <v/>
      </c>
      <c r="V136" s="96"/>
      <c r="W136" s="291" t="str">
        <f>IF(V136="","",IF(AND(V136="N/A - Culvert",C136&lt;&gt;"Culvert"),"Not possible ▲",IF(AND(C136="Culvert",V136&lt;&gt;"N/A - Culvert"),"Not possible ▲",IF(VLOOKUP(V136,'G-7 WaterC'' Data'!$AA$4:$AB$7,2,FALSE)=0,"Spatial Data Missing ⚠",VLOOKUP(V136,'G-7 WaterC'' Data'!$AA$4:$AB$7,2,FALSE)))))</f>
        <v/>
      </c>
      <c r="X136" s="44"/>
      <c r="Y136" s="291" t="str">
        <f>IF(X136="","",IF(AND(X136="N/A - Culvert", C136&lt;&gt;"Culvert"), "Not possible ▲",IF(AND(C136="Culvert",X136&lt;&gt;"N/A - Culvert"),"Not possible ▲",IF(VLOOKUP(X136,'G-7 WaterC'' Data'!$AD$4:$AE$14,2,FALSE)=0,"Enrcoachment Data Missing ⚠",VLOOKUP(X136,'G-7 WaterC'' Data'!$AD$4:$AE$14,2,FALSE)))))</f>
        <v/>
      </c>
      <c r="Z136" s="332" t="str">
        <f t="shared" si="9"/>
        <v/>
      </c>
      <c r="AA136" s="98"/>
      <c r="AB136" s="99"/>
      <c r="AC136" s="101"/>
      <c r="AH136" s="15" t="str">
        <f>IFERROR(INDEX('G-7 WaterC'' Data'!$AZ$3:$AZ$7,MATCH(C136,'G-7 WaterC'' Data'!$AY$3:$AY$7,0)),"")</f>
        <v/>
      </c>
    </row>
    <row r="137" spans="2:34" ht="14" x14ac:dyDescent="0.3">
      <c r="B137" s="92">
        <v>126</v>
      </c>
      <c r="C137" s="119"/>
      <c r="D137" s="120"/>
      <c r="E137" s="290" t="str">
        <f>IF(C137="","",VLOOKUP(C137,'G-7 WaterC'' Data'!$B$2:$G$8,2,FALSE))</f>
        <v/>
      </c>
      <c r="F137" s="291" t="str">
        <f>IFERROR(VLOOKUP(E137,'G-7 WaterC'' Data'!$C$4:$D$8,2,FALSE),"")</f>
        <v/>
      </c>
      <c r="G137" s="95"/>
      <c r="H137" s="291" t="str">
        <f>IFERROR(INDEX('G-7 WaterC'' Data'!$H$4:$L$8,MATCH(C137,'G-7 WaterC'' Data'!$B$4:$B$8,0),MATCH(G137,'G-7 WaterC'' Data'!$H$3:$L$3,0)),"")</f>
        <v/>
      </c>
      <c r="I137" s="38"/>
      <c r="J137" s="298" t="str">
        <f>IF(I137="","",IF(VLOOKUP(I137,'G-7 WaterC'' Data'!$AK$4:$AM$6,2,FALSE)=0,"Spatial Data Missing ⚠",VLOOKUP(I137,'G-7 WaterC'' Data'!$AK$4:$AM$6,2,FALSE)))</f>
        <v/>
      </c>
      <c r="K137" s="291" t="str">
        <f>IF(I137="","",IF(VLOOKUP(I137,'G-7 WaterC'' Data'!$AK$4:$AM$6,3,FALSE)=0,"Spatial Data Missing ⚠",VLOOKUP(I137,'G-7 WaterC'' Data'!$AK$4:$AM$6,3,FALSE)))</f>
        <v/>
      </c>
      <c r="L137" s="290" t="str">
        <f>IFERROR(INDEX('G-7 WaterC'' Data'!$O$3:$O$7,MATCH(G137,'G-7 WaterC'' Data'!$N$3:$N$7,0)),"")</f>
        <v/>
      </c>
      <c r="M137" s="47"/>
      <c r="N137" s="138"/>
      <c r="O137" s="298" t="str">
        <f t="shared" si="5"/>
        <v/>
      </c>
      <c r="P137" s="311" t="str">
        <f t="shared" si="6"/>
        <v/>
      </c>
      <c r="Q137" s="344" t="str">
        <f>IFERROR(IF(P137="Check Data ⚠","Check Data ⚠",VLOOKUP(P137,'G-4 Temporal multipliers'!$A$4:$C$37,3,FALSE)),"")</f>
        <v/>
      </c>
      <c r="R137" s="290" t="str">
        <f>IF(C137="","",VLOOKUP(C137,'G-7 WaterC'' Data'!$B$4:$G$8,4,FALSE))</f>
        <v/>
      </c>
      <c r="S137" s="298" t="str">
        <f t="shared" si="7"/>
        <v/>
      </c>
      <c r="T137" s="328" t="str">
        <f t="shared" si="8"/>
        <v/>
      </c>
      <c r="U137" s="291" t="str">
        <f>IF(C137="","",VLOOKUP(T137,'G-3 Multipliers'!$P$2:$Q$6,2,FALSE))</f>
        <v/>
      </c>
      <c r="V137" s="96"/>
      <c r="W137" s="291" t="str">
        <f>IF(V137="","",IF(AND(V137="N/A - Culvert",C137&lt;&gt;"Culvert"),"Not possible ▲",IF(AND(C137="Culvert",V137&lt;&gt;"N/A - Culvert"),"Not possible ▲",IF(VLOOKUP(V137,'G-7 WaterC'' Data'!$AA$4:$AB$7,2,FALSE)=0,"Spatial Data Missing ⚠",VLOOKUP(V137,'G-7 WaterC'' Data'!$AA$4:$AB$7,2,FALSE)))))</f>
        <v/>
      </c>
      <c r="X137" s="44"/>
      <c r="Y137" s="291" t="str">
        <f>IF(X137="","",IF(AND(X137="N/A - Culvert", C137&lt;&gt;"Culvert"), "Not possible ▲",IF(AND(C137="Culvert",X137&lt;&gt;"N/A - Culvert"),"Not possible ▲",IF(VLOOKUP(X137,'G-7 WaterC'' Data'!$AD$4:$AE$14,2,FALSE)=0,"Enrcoachment Data Missing ⚠",VLOOKUP(X137,'G-7 WaterC'' Data'!$AD$4:$AE$14,2,FALSE)))))</f>
        <v/>
      </c>
      <c r="Z137" s="332" t="str">
        <f t="shared" si="9"/>
        <v/>
      </c>
      <c r="AA137" s="98"/>
      <c r="AB137" s="99"/>
      <c r="AC137" s="101"/>
      <c r="AH137" s="15" t="str">
        <f>IFERROR(INDEX('G-7 WaterC'' Data'!$AZ$3:$AZ$7,MATCH(C137,'G-7 WaterC'' Data'!$AY$3:$AY$7,0)),"")</f>
        <v/>
      </c>
    </row>
    <row r="138" spans="2:34" ht="14" x14ac:dyDescent="0.3">
      <c r="B138" s="92">
        <v>127</v>
      </c>
      <c r="C138" s="119"/>
      <c r="D138" s="120"/>
      <c r="E138" s="290" t="str">
        <f>IF(C138="","",VLOOKUP(C138,'G-7 WaterC'' Data'!$B$2:$G$8,2,FALSE))</f>
        <v/>
      </c>
      <c r="F138" s="291" t="str">
        <f>IFERROR(VLOOKUP(E138,'G-7 WaterC'' Data'!$C$4:$D$8,2,FALSE),"")</f>
        <v/>
      </c>
      <c r="G138" s="95"/>
      <c r="H138" s="291" t="str">
        <f>IFERROR(INDEX('G-7 WaterC'' Data'!$H$4:$L$8,MATCH(C138,'G-7 WaterC'' Data'!$B$4:$B$8,0),MATCH(G138,'G-7 WaterC'' Data'!$H$3:$L$3,0)),"")</f>
        <v/>
      </c>
      <c r="I138" s="38"/>
      <c r="J138" s="298" t="str">
        <f>IF(I138="","",IF(VLOOKUP(I138,'G-7 WaterC'' Data'!$AK$4:$AM$6,2,FALSE)=0,"Spatial Data Missing ⚠",VLOOKUP(I138,'G-7 WaterC'' Data'!$AK$4:$AM$6,2,FALSE)))</f>
        <v/>
      </c>
      <c r="K138" s="291" t="str">
        <f>IF(I138="","",IF(VLOOKUP(I138,'G-7 WaterC'' Data'!$AK$4:$AM$6,3,FALSE)=0,"Spatial Data Missing ⚠",VLOOKUP(I138,'G-7 WaterC'' Data'!$AK$4:$AM$6,3,FALSE)))</f>
        <v/>
      </c>
      <c r="L138" s="290" t="str">
        <f>IFERROR(INDEX('G-7 WaterC'' Data'!$O$3:$O$7,MATCH(G138,'G-7 WaterC'' Data'!$N$3:$N$7,0)),"")</f>
        <v/>
      </c>
      <c r="M138" s="47"/>
      <c r="N138" s="138"/>
      <c r="O138" s="298" t="str">
        <f t="shared" si="5"/>
        <v/>
      </c>
      <c r="P138" s="311" t="str">
        <f t="shared" si="6"/>
        <v/>
      </c>
      <c r="Q138" s="344" t="str">
        <f>IFERROR(IF(P138="Check Data ⚠","Check Data ⚠",VLOOKUP(P138,'G-4 Temporal multipliers'!$A$4:$C$37,3,FALSE)),"")</f>
        <v/>
      </c>
      <c r="R138" s="290" t="str">
        <f>IF(C138="","",VLOOKUP(C138,'G-7 WaterC'' Data'!$B$4:$G$8,4,FALSE))</f>
        <v/>
      </c>
      <c r="S138" s="298" t="str">
        <f t="shared" si="7"/>
        <v/>
      </c>
      <c r="T138" s="328" t="str">
        <f t="shared" si="8"/>
        <v/>
      </c>
      <c r="U138" s="291" t="str">
        <f>IF(C138="","",VLOOKUP(T138,'G-3 Multipliers'!$P$2:$Q$6,2,FALSE))</f>
        <v/>
      </c>
      <c r="V138" s="96"/>
      <c r="W138" s="291" t="str">
        <f>IF(V138="","",IF(AND(V138="N/A - Culvert",C138&lt;&gt;"Culvert"),"Not possible ▲",IF(AND(C138="Culvert",V138&lt;&gt;"N/A - Culvert"),"Not possible ▲",IF(VLOOKUP(V138,'G-7 WaterC'' Data'!$AA$4:$AB$7,2,FALSE)=0,"Spatial Data Missing ⚠",VLOOKUP(V138,'G-7 WaterC'' Data'!$AA$4:$AB$7,2,FALSE)))))</f>
        <v/>
      </c>
      <c r="X138" s="44"/>
      <c r="Y138" s="291" t="str">
        <f>IF(X138="","",IF(AND(X138="N/A - Culvert", C138&lt;&gt;"Culvert"), "Not possible ▲",IF(AND(C138="Culvert",X138&lt;&gt;"N/A - Culvert"),"Not possible ▲",IF(VLOOKUP(X138,'G-7 WaterC'' Data'!$AD$4:$AE$14,2,FALSE)=0,"Enrcoachment Data Missing ⚠",VLOOKUP(X138,'G-7 WaterC'' Data'!$AD$4:$AE$14,2,FALSE)))))</f>
        <v/>
      </c>
      <c r="Z138" s="332" t="str">
        <f t="shared" si="9"/>
        <v/>
      </c>
      <c r="AA138" s="98"/>
      <c r="AB138" s="99"/>
      <c r="AC138" s="101"/>
      <c r="AH138" s="15" t="str">
        <f>IFERROR(INDEX('G-7 WaterC'' Data'!$AZ$3:$AZ$7,MATCH(C138,'G-7 WaterC'' Data'!$AY$3:$AY$7,0)),"")</f>
        <v/>
      </c>
    </row>
    <row r="139" spans="2:34" ht="14" x14ac:dyDescent="0.3">
      <c r="B139" s="92">
        <v>128</v>
      </c>
      <c r="C139" s="119"/>
      <c r="D139" s="120"/>
      <c r="E139" s="290" t="str">
        <f>IF(C139="","",VLOOKUP(C139,'G-7 WaterC'' Data'!$B$2:$G$8,2,FALSE))</f>
        <v/>
      </c>
      <c r="F139" s="291" t="str">
        <f>IFERROR(VLOOKUP(E139,'G-7 WaterC'' Data'!$C$4:$D$8,2,FALSE),"")</f>
        <v/>
      </c>
      <c r="G139" s="95"/>
      <c r="H139" s="291" t="str">
        <f>IFERROR(INDEX('G-7 WaterC'' Data'!$H$4:$L$8,MATCH(C139,'G-7 WaterC'' Data'!$B$4:$B$8,0),MATCH(G139,'G-7 WaterC'' Data'!$H$3:$L$3,0)),"")</f>
        <v/>
      </c>
      <c r="I139" s="38"/>
      <c r="J139" s="298" t="str">
        <f>IF(I139="","",IF(VLOOKUP(I139,'G-7 WaterC'' Data'!$AK$4:$AM$6,2,FALSE)=0,"Spatial Data Missing ⚠",VLOOKUP(I139,'G-7 WaterC'' Data'!$AK$4:$AM$6,2,FALSE)))</f>
        <v/>
      </c>
      <c r="K139" s="291" t="str">
        <f>IF(I139="","",IF(VLOOKUP(I139,'G-7 WaterC'' Data'!$AK$4:$AM$6,3,FALSE)=0,"Spatial Data Missing ⚠",VLOOKUP(I139,'G-7 WaterC'' Data'!$AK$4:$AM$6,3,FALSE)))</f>
        <v/>
      </c>
      <c r="L139" s="290" t="str">
        <f>IFERROR(INDEX('G-7 WaterC'' Data'!$O$3:$O$7,MATCH(G139,'G-7 WaterC'' Data'!$N$3:$N$7,0)),"")</f>
        <v/>
      </c>
      <c r="M139" s="47"/>
      <c r="N139" s="138"/>
      <c r="O139" s="298" t="str">
        <f t="shared" si="5"/>
        <v/>
      </c>
      <c r="P139" s="311" t="str">
        <f t="shared" si="6"/>
        <v/>
      </c>
      <c r="Q139" s="344" t="str">
        <f>IFERROR(IF(P139="Check Data ⚠","Check Data ⚠",VLOOKUP(P139,'G-4 Temporal multipliers'!$A$4:$C$37,3,FALSE)),"")</f>
        <v/>
      </c>
      <c r="R139" s="290" t="str">
        <f>IF(C139="","",VLOOKUP(C139,'G-7 WaterC'' Data'!$B$4:$G$8,4,FALSE))</f>
        <v/>
      </c>
      <c r="S139" s="298" t="str">
        <f t="shared" si="7"/>
        <v/>
      </c>
      <c r="T139" s="328" t="str">
        <f t="shared" si="8"/>
        <v/>
      </c>
      <c r="U139" s="291" t="str">
        <f>IF(C139="","",VLOOKUP(T139,'G-3 Multipliers'!$P$2:$Q$6,2,FALSE))</f>
        <v/>
      </c>
      <c r="V139" s="96"/>
      <c r="W139" s="291" t="str">
        <f>IF(V139="","",IF(AND(V139="N/A - Culvert",C139&lt;&gt;"Culvert"),"Not possible ▲",IF(AND(C139="Culvert",V139&lt;&gt;"N/A - Culvert"),"Not possible ▲",IF(VLOOKUP(V139,'G-7 WaterC'' Data'!$AA$4:$AB$7,2,FALSE)=0,"Spatial Data Missing ⚠",VLOOKUP(V139,'G-7 WaterC'' Data'!$AA$4:$AB$7,2,FALSE)))))</f>
        <v/>
      </c>
      <c r="X139" s="44"/>
      <c r="Y139" s="291" t="str">
        <f>IF(X139="","",IF(AND(X139="N/A - Culvert", C139&lt;&gt;"Culvert"), "Not possible ▲",IF(AND(C139="Culvert",X139&lt;&gt;"N/A - Culvert"),"Not possible ▲",IF(VLOOKUP(X139,'G-7 WaterC'' Data'!$AD$4:$AE$14,2,FALSE)=0,"Enrcoachment Data Missing ⚠",VLOOKUP(X139,'G-7 WaterC'' Data'!$AD$4:$AE$14,2,FALSE)))))</f>
        <v/>
      </c>
      <c r="Z139" s="332" t="str">
        <f t="shared" si="9"/>
        <v/>
      </c>
      <c r="AA139" s="98"/>
      <c r="AB139" s="99"/>
      <c r="AC139" s="101"/>
      <c r="AH139" s="15" t="str">
        <f>IFERROR(INDEX('G-7 WaterC'' Data'!$AZ$3:$AZ$7,MATCH(C139,'G-7 WaterC'' Data'!$AY$3:$AY$7,0)),"")</f>
        <v/>
      </c>
    </row>
    <row r="140" spans="2:34" ht="14" x14ac:dyDescent="0.3">
      <c r="B140" s="92">
        <v>129</v>
      </c>
      <c r="C140" s="119"/>
      <c r="D140" s="120"/>
      <c r="E140" s="290" t="str">
        <f>IF(C140="","",VLOOKUP(C140,'G-7 WaterC'' Data'!$B$2:$G$8,2,FALSE))</f>
        <v/>
      </c>
      <c r="F140" s="291" t="str">
        <f>IFERROR(VLOOKUP(E140,'G-7 WaterC'' Data'!$C$4:$D$8,2,FALSE),"")</f>
        <v/>
      </c>
      <c r="G140" s="95"/>
      <c r="H140" s="291" t="str">
        <f>IFERROR(INDEX('G-7 WaterC'' Data'!$H$4:$L$8,MATCH(C140,'G-7 WaterC'' Data'!$B$4:$B$8,0),MATCH(G140,'G-7 WaterC'' Data'!$H$3:$L$3,0)),"")</f>
        <v/>
      </c>
      <c r="I140" s="38"/>
      <c r="J140" s="298" t="str">
        <f>IF(I140="","",IF(VLOOKUP(I140,'G-7 WaterC'' Data'!$AK$4:$AM$6,2,FALSE)=0,"Spatial Data Missing ⚠",VLOOKUP(I140,'G-7 WaterC'' Data'!$AK$4:$AM$6,2,FALSE)))</f>
        <v/>
      </c>
      <c r="K140" s="291" t="str">
        <f>IF(I140="","",IF(VLOOKUP(I140,'G-7 WaterC'' Data'!$AK$4:$AM$6,3,FALSE)=0,"Spatial Data Missing ⚠",VLOOKUP(I140,'G-7 WaterC'' Data'!$AK$4:$AM$6,3,FALSE)))</f>
        <v/>
      </c>
      <c r="L140" s="290" t="str">
        <f>IFERROR(INDEX('G-7 WaterC'' Data'!$O$3:$O$7,MATCH(G140,'G-7 WaterC'' Data'!$N$3:$N$7,0)),"")</f>
        <v/>
      </c>
      <c r="M140" s="47"/>
      <c r="N140" s="138"/>
      <c r="O140" s="298" t="str">
        <f t="shared" si="5"/>
        <v/>
      </c>
      <c r="P140" s="311" t="str">
        <f t="shared" si="6"/>
        <v/>
      </c>
      <c r="Q140" s="344" t="str">
        <f>IFERROR(IF(P140="Check Data ⚠","Check Data ⚠",VLOOKUP(P140,'G-4 Temporal multipliers'!$A$4:$C$37,3,FALSE)),"")</f>
        <v/>
      </c>
      <c r="R140" s="290" t="str">
        <f>IF(C140="","",VLOOKUP(C140,'G-7 WaterC'' Data'!$B$4:$G$8,4,FALSE))</f>
        <v/>
      </c>
      <c r="S140" s="298" t="str">
        <f t="shared" si="7"/>
        <v/>
      </c>
      <c r="T140" s="328" t="str">
        <f t="shared" si="8"/>
        <v/>
      </c>
      <c r="U140" s="291" t="str">
        <f>IF(C140="","",VLOOKUP(T140,'G-3 Multipliers'!$P$2:$Q$6,2,FALSE))</f>
        <v/>
      </c>
      <c r="V140" s="96"/>
      <c r="W140" s="291" t="str">
        <f>IF(V140="","",IF(AND(V140="N/A - Culvert",C140&lt;&gt;"Culvert"),"Not possible ▲",IF(AND(C140="Culvert",V140&lt;&gt;"N/A - Culvert"),"Not possible ▲",IF(VLOOKUP(V140,'G-7 WaterC'' Data'!$AA$4:$AB$7,2,FALSE)=0,"Spatial Data Missing ⚠",VLOOKUP(V140,'G-7 WaterC'' Data'!$AA$4:$AB$7,2,FALSE)))))</f>
        <v/>
      </c>
      <c r="X140" s="44"/>
      <c r="Y140" s="291" t="str">
        <f>IF(X140="","",IF(AND(X140="N/A - Culvert", C140&lt;&gt;"Culvert"), "Not possible ▲",IF(AND(C140="Culvert",X140&lt;&gt;"N/A - Culvert"),"Not possible ▲",IF(VLOOKUP(X140,'G-7 WaterC'' Data'!$AD$4:$AE$14,2,FALSE)=0,"Enrcoachment Data Missing ⚠",VLOOKUP(X140,'G-7 WaterC'' Data'!$AD$4:$AE$14,2,FALSE)))))</f>
        <v/>
      </c>
      <c r="Z140" s="332" t="str">
        <f t="shared" si="9"/>
        <v/>
      </c>
      <c r="AA140" s="98"/>
      <c r="AB140" s="99"/>
      <c r="AC140" s="101"/>
      <c r="AH140" s="15" t="str">
        <f>IFERROR(INDEX('G-7 WaterC'' Data'!$AZ$3:$AZ$7,MATCH(C140,'G-7 WaterC'' Data'!$AY$3:$AY$7,0)),"")</f>
        <v/>
      </c>
    </row>
    <row r="141" spans="2:34" ht="14" x14ac:dyDescent="0.3">
      <c r="B141" s="92">
        <v>130</v>
      </c>
      <c r="C141" s="119"/>
      <c r="D141" s="120"/>
      <c r="E141" s="290" t="str">
        <f>IF(C141="","",VLOOKUP(C141,'G-7 WaterC'' Data'!$B$2:$G$8,2,FALSE))</f>
        <v/>
      </c>
      <c r="F141" s="291" t="str">
        <f>IFERROR(VLOOKUP(E141,'G-7 WaterC'' Data'!$C$4:$D$8,2,FALSE),"")</f>
        <v/>
      </c>
      <c r="G141" s="95"/>
      <c r="H141" s="291" t="str">
        <f>IFERROR(INDEX('G-7 WaterC'' Data'!$H$4:$L$8,MATCH(C141,'G-7 WaterC'' Data'!$B$4:$B$8,0),MATCH(G141,'G-7 WaterC'' Data'!$H$3:$L$3,0)),"")</f>
        <v/>
      </c>
      <c r="I141" s="38"/>
      <c r="J141" s="298" t="str">
        <f>IF(I141="","",IF(VLOOKUP(I141,'G-7 WaterC'' Data'!$AK$4:$AM$6,2,FALSE)=0,"Spatial Data Missing ⚠",VLOOKUP(I141,'G-7 WaterC'' Data'!$AK$4:$AM$6,2,FALSE)))</f>
        <v/>
      </c>
      <c r="K141" s="291" t="str">
        <f>IF(I141="","",IF(VLOOKUP(I141,'G-7 WaterC'' Data'!$AK$4:$AM$6,3,FALSE)=0,"Spatial Data Missing ⚠",VLOOKUP(I141,'G-7 WaterC'' Data'!$AK$4:$AM$6,3,FALSE)))</f>
        <v/>
      </c>
      <c r="L141" s="290" t="str">
        <f>IFERROR(INDEX('G-7 WaterC'' Data'!$O$3:$O$7,MATCH(G141,'G-7 WaterC'' Data'!$N$3:$N$7,0)),"")</f>
        <v/>
      </c>
      <c r="M141" s="47"/>
      <c r="N141" s="138"/>
      <c r="O141" s="298" t="str">
        <f t="shared" ref="O141:O204" si="10">IF(L141="","",IF(AND(M141&gt;0,N141&gt;0),"Error -both advance and delayed habitat creation ▲",IF(AND(OR(M141="Habitat already in target condition",L141&lt;=M141),N141=0),"Check details - Is there evidence that habitat has reached target condition? ⚠",IF(M141&gt;0,"Check details - Is there evidence habitat creation started/in place? ⚠",IF(N141&gt;0,"Check details- Delay in starting habitat in required condition? ⚠","Standard time to target condition applied")))))</f>
        <v/>
      </c>
      <c r="P141" s="311" t="str">
        <f t="shared" ref="P141:P204" si="11">IF(O141="Error -both advance and delayed habitat creation ▲","Check Data ⚠",IF(L141="","",IF(M141="30+",0,IF(N141="30+","30+",IF(L141+N141&gt;30,"30+ ",IF(L141+N141-M141&gt;0,L141+N141-M141,IF(L141-M141&lt;0,0,L141+N141-M141)))))))</f>
        <v/>
      </c>
      <c r="Q141" s="344" t="str">
        <f>IFERROR(IF(P141="Check Data ⚠","Check Data ⚠",VLOOKUP(P141,'G-4 Temporal multipliers'!$A$4:$C$37,3,FALSE)),"")</f>
        <v/>
      </c>
      <c r="R141" s="290" t="str">
        <f>IF(C141="","",VLOOKUP(C141,'G-7 WaterC'' Data'!$B$4:$G$8,4,FALSE))</f>
        <v/>
      </c>
      <c r="S141" s="298" t="str">
        <f t="shared" ref="S141:S204" si="12">IF(C141="","",IF(P141="Check Data ⚠","Check Data ⚠",IF(G141="","",IF($O141="Check details - Is there evidence that habitat has reached target condition? ⚠","Low Difficulty - only applicable if all habitat created before losses ⚠","Standard difficulty applied"))))</f>
        <v/>
      </c>
      <c r="T141" s="328" t="str">
        <f t="shared" ref="T141:T204" si="13">(IF(AND(S141="Standard difficulty applied",L141&gt;M141),R141,IF(AND(S141="Low Difficulty - only applicable if all habitat created before losses ⚠",M141&gt;=L141),"Low",R141)))</f>
        <v/>
      </c>
      <c r="U141" s="291" t="str">
        <f>IF(C141="","",VLOOKUP(T141,'G-3 Multipliers'!$P$2:$Q$6,2,FALSE))</f>
        <v/>
      </c>
      <c r="V141" s="96"/>
      <c r="W141" s="291" t="str">
        <f>IF(V141="","",IF(AND(V141="N/A - Culvert",C141&lt;&gt;"Culvert"),"Not possible ▲",IF(AND(C141="Culvert",V141&lt;&gt;"N/A - Culvert"),"Not possible ▲",IF(VLOOKUP(V141,'G-7 WaterC'' Data'!$AA$4:$AB$7,2,FALSE)=0,"Spatial Data Missing ⚠",VLOOKUP(V141,'G-7 WaterC'' Data'!$AA$4:$AB$7,2,FALSE)))))</f>
        <v/>
      </c>
      <c r="X141" s="44"/>
      <c r="Y141" s="291" t="str">
        <f>IF(X141="","",IF(AND(X141="N/A - Culvert", C141&lt;&gt;"Culvert"), "Not possible ▲",IF(AND(C141="Culvert",X141&lt;&gt;"N/A - Culvert"),"Not possible ▲",IF(VLOOKUP(X141,'G-7 WaterC'' Data'!$AD$4:$AE$14,2,FALSE)=0,"Enrcoachment Data Missing ⚠",VLOOKUP(X141,'G-7 WaterC'' Data'!$AD$4:$AE$14,2,FALSE)))))</f>
        <v/>
      </c>
      <c r="Z141" s="332" t="str">
        <f t="shared" ref="Z141:Z204" si="14">IFERROR(IF(C141="","",D141*F141*H141*K141*Q141*U141*Y141*W141),"")</f>
        <v/>
      </c>
      <c r="AA141" s="98"/>
      <c r="AB141" s="99"/>
      <c r="AC141" s="101"/>
      <c r="AH141" s="15" t="str">
        <f>IFERROR(INDEX('G-7 WaterC'' Data'!$AZ$3:$AZ$7,MATCH(C141,'G-7 WaterC'' Data'!$AY$3:$AY$7,0)),"")</f>
        <v/>
      </c>
    </row>
    <row r="142" spans="2:34" ht="14" x14ac:dyDescent="0.3">
      <c r="B142" s="92">
        <v>131</v>
      </c>
      <c r="C142" s="119"/>
      <c r="D142" s="120"/>
      <c r="E142" s="290" t="str">
        <f>IF(C142="","",VLOOKUP(C142,'G-7 WaterC'' Data'!$B$2:$G$8,2,FALSE))</f>
        <v/>
      </c>
      <c r="F142" s="291" t="str">
        <f>IFERROR(VLOOKUP(E142,'G-7 WaterC'' Data'!$C$4:$D$8,2,FALSE),"")</f>
        <v/>
      </c>
      <c r="G142" s="95"/>
      <c r="H142" s="291" t="str">
        <f>IFERROR(INDEX('G-7 WaterC'' Data'!$H$4:$L$8,MATCH(C142,'G-7 WaterC'' Data'!$B$4:$B$8,0),MATCH(G142,'G-7 WaterC'' Data'!$H$3:$L$3,0)),"")</f>
        <v/>
      </c>
      <c r="I142" s="38"/>
      <c r="J142" s="298" t="str">
        <f>IF(I142="","",IF(VLOOKUP(I142,'G-7 WaterC'' Data'!$AK$4:$AM$6,2,FALSE)=0,"Spatial Data Missing ⚠",VLOOKUP(I142,'G-7 WaterC'' Data'!$AK$4:$AM$6,2,FALSE)))</f>
        <v/>
      </c>
      <c r="K142" s="291" t="str">
        <f>IF(I142="","",IF(VLOOKUP(I142,'G-7 WaterC'' Data'!$AK$4:$AM$6,3,FALSE)=0,"Spatial Data Missing ⚠",VLOOKUP(I142,'G-7 WaterC'' Data'!$AK$4:$AM$6,3,FALSE)))</f>
        <v/>
      </c>
      <c r="L142" s="290" t="str">
        <f>IFERROR(INDEX('G-7 WaterC'' Data'!$O$3:$O$7,MATCH(G142,'G-7 WaterC'' Data'!$N$3:$N$7,0)),"")</f>
        <v/>
      </c>
      <c r="M142" s="47"/>
      <c r="N142" s="138"/>
      <c r="O142" s="298" t="str">
        <f t="shared" si="10"/>
        <v/>
      </c>
      <c r="P142" s="311" t="str">
        <f t="shared" si="11"/>
        <v/>
      </c>
      <c r="Q142" s="344" t="str">
        <f>IFERROR(IF(P142="Check Data ⚠","Check Data ⚠",VLOOKUP(P142,'G-4 Temporal multipliers'!$A$4:$C$37,3,FALSE)),"")</f>
        <v/>
      </c>
      <c r="R142" s="290" t="str">
        <f>IF(C142="","",VLOOKUP(C142,'G-7 WaterC'' Data'!$B$4:$G$8,4,FALSE))</f>
        <v/>
      </c>
      <c r="S142" s="298" t="str">
        <f t="shared" si="12"/>
        <v/>
      </c>
      <c r="T142" s="328" t="str">
        <f t="shared" si="13"/>
        <v/>
      </c>
      <c r="U142" s="291" t="str">
        <f>IF(C142="","",VLOOKUP(T142,'G-3 Multipliers'!$P$2:$Q$6,2,FALSE))</f>
        <v/>
      </c>
      <c r="V142" s="96"/>
      <c r="W142" s="291" t="str">
        <f>IF(V142="","",IF(AND(V142="N/A - Culvert",C142&lt;&gt;"Culvert"),"Not possible ▲",IF(AND(C142="Culvert",V142&lt;&gt;"N/A - Culvert"),"Not possible ▲",IF(VLOOKUP(V142,'G-7 WaterC'' Data'!$AA$4:$AB$7,2,FALSE)=0,"Spatial Data Missing ⚠",VLOOKUP(V142,'G-7 WaterC'' Data'!$AA$4:$AB$7,2,FALSE)))))</f>
        <v/>
      </c>
      <c r="X142" s="44"/>
      <c r="Y142" s="291" t="str">
        <f>IF(X142="","",IF(AND(X142="N/A - Culvert", C142&lt;&gt;"Culvert"), "Not possible ▲",IF(AND(C142="Culvert",X142&lt;&gt;"N/A - Culvert"),"Not possible ▲",IF(VLOOKUP(X142,'G-7 WaterC'' Data'!$AD$4:$AE$14,2,FALSE)=0,"Enrcoachment Data Missing ⚠",VLOOKUP(X142,'G-7 WaterC'' Data'!$AD$4:$AE$14,2,FALSE)))))</f>
        <v/>
      </c>
      <c r="Z142" s="332" t="str">
        <f t="shared" si="14"/>
        <v/>
      </c>
      <c r="AA142" s="98"/>
      <c r="AB142" s="99"/>
      <c r="AC142" s="101"/>
      <c r="AH142" s="15" t="str">
        <f>IFERROR(INDEX('G-7 WaterC'' Data'!$AZ$3:$AZ$7,MATCH(C142,'G-7 WaterC'' Data'!$AY$3:$AY$7,0)),"")</f>
        <v/>
      </c>
    </row>
    <row r="143" spans="2:34" ht="14" x14ac:dyDescent="0.3">
      <c r="B143" s="92">
        <v>132</v>
      </c>
      <c r="C143" s="119"/>
      <c r="D143" s="120"/>
      <c r="E143" s="290" t="str">
        <f>IF(C143="","",VLOOKUP(C143,'G-7 WaterC'' Data'!$B$2:$G$8,2,FALSE))</f>
        <v/>
      </c>
      <c r="F143" s="291" t="str">
        <f>IFERROR(VLOOKUP(E143,'G-7 WaterC'' Data'!$C$4:$D$8,2,FALSE),"")</f>
        <v/>
      </c>
      <c r="G143" s="95"/>
      <c r="H143" s="291" t="str">
        <f>IFERROR(INDEX('G-7 WaterC'' Data'!$H$4:$L$8,MATCH(C143,'G-7 WaterC'' Data'!$B$4:$B$8,0),MATCH(G143,'G-7 WaterC'' Data'!$H$3:$L$3,0)),"")</f>
        <v/>
      </c>
      <c r="I143" s="38"/>
      <c r="J143" s="298" t="str">
        <f>IF(I143="","",IF(VLOOKUP(I143,'G-7 WaterC'' Data'!$AK$4:$AM$6,2,FALSE)=0,"Spatial Data Missing ⚠",VLOOKUP(I143,'G-7 WaterC'' Data'!$AK$4:$AM$6,2,FALSE)))</f>
        <v/>
      </c>
      <c r="K143" s="291" t="str">
        <f>IF(I143="","",IF(VLOOKUP(I143,'G-7 WaterC'' Data'!$AK$4:$AM$6,3,FALSE)=0,"Spatial Data Missing ⚠",VLOOKUP(I143,'G-7 WaterC'' Data'!$AK$4:$AM$6,3,FALSE)))</f>
        <v/>
      </c>
      <c r="L143" s="290" t="str">
        <f>IFERROR(INDEX('G-7 WaterC'' Data'!$O$3:$O$7,MATCH(G143,'G-7 WaterC'' Data'!$N$3:$N$7,0)),"")</f>
        <v/>
      </c>
      <c r="M143" s="47"/>
      <c r="N143" s="138"/>
      <c r="O143" s="298" t="str">
        <f t="shared" si="10"/>
        <v/>
      </c>
      <c r="P143" s="311" t="str">
        <f t="shared" si="11"/>
        <v/>
      </c>
      <c r="Q143" s="344" t="str">
        <f>IFERROR(IF(P143="Check Data ⚠","Check Data ⚠",VLOOKUP(P143,'G-4 Temporal multipliers'!$A$4:$C$37,3,FALSE)),"")</f>
        <v/>
      </c>
      <c r="R143" s="290" t="str">
        <f>IF(C143="","",VLOOKUP(C143,'G-7 WaterC'' Data'!$B$4:$G$8,4,FALSE))</f>
        <v/>
      </c>
      <c r="S143" s="298" t="str">
        <f t="shared" si="12"/>
        <v/>
      </c>
      <c r="T143" s="328" t="str">
        <f t="shared" si="13"/>
        <v/>
      </c>
      <c r="U143" s="291" t="str">
        <f>IF(C143="","",VLOOKUP(T143,'G-3 Multipliers'!$P$2:$Q$6,2,FALSE))</f>
        <v/>
      </c>
      <c r="V143" s="96"/>
      <c r="W143" s="291" t="str">
        <f>IF(V143="","",IF(AND(V143="N/A - Culvert",C143&lt;&gt;"Culvert"),"Not possible ▲",IF(AND(C143="Culvert",V143&lt;&gt;"N/A - Culvert"),"Not possible ▲",IF(VLOOKUP(V143,'G-7 WaterC'' Data'!$AA$4:$AB$7,2,FALSE)=0,"Spatial Data Missing ⚠",VLOOKUP(V143,'G-7 WaterC'' Data'!$AA$4:$AB$7,2,FALSE)))))</f>
        <v/>
      </c>
      <c r="X143" s="44"/>
      <c r="Y143" s="291" t="str">
        <f>IF(X143="","",IF(AND(X143="N/A - Culvert", C143&lt;&gt;"Culvert"), "Not possible ▲",IF(AND(C143="Culvert",X143&lt;&gt;"N/A - Culvert"),"Not possible ▲",IF(VLOOKUP(X143,'G-7 WaterC'' Data'!$AD$4:$AE$14,2,FALSE)=0,"Enrcoachment Data Missing ⚠",VLOOKUP(X143,'G-7 WaterC'' Data'!$AD$4:$AE$14,2,FALSE)))))</f>
        <v/>
      </c>
      <c r="Z143" s="332" t="str">
        <f t="shared" si="14"/>
        <v/>
      </c>
      <c r="AA143" s="98"/>
      <c r="AB143" s="99"/>
      <c r="AC143" s="101"/>
      <c r="AH143" s="15" t="str">
        <f>IFERROR(INDEX('G-7 WaterC'' Data'!$AZ$3:$AZ$7,MATCH(C143,'G-7 WaterC'' Data'!$AY$3:$AY$7,0)),"")</f>
        <v/>
      </c>
    </row>
    <row r="144" spans="2:34" ht="14" x14ac:dyDescent="0.3">
      <c r="B144" s="92">
        <v>133</v>
      </c>
      <c r="C144" s="119"/>
      <c r="D144" s="120"/>
      <c r="E144" s="290" t="str">
        <f>IF(C144="","",VLOOKUP(C144,'G-7 WaterC'' Data'!$B$2:$G$8,2,FALSE))</f>
        <v/>
      </c>
      <c r="F144" s="291" t="str">
        <f>IFERROR(VLOOKUP(E144,'G-7 WaterC'' Data'!$C$4:$D$8,2,FALSE),"")</f>
        <v/>
      </c>
      <c r="G144" s="95"/>
      <c r="H144" s="291" t="str">
        <f>IFERROR(INDEX('G-7 WaterC'' Data'!$H$4:$L$8,MATCH(C144,'G-7 WaterC'' Data'!$B$4:$B$8,0),MATCH(G144,'G-7 WaterC'' Data'!$H$3:$L$3,0)),"")</f>
        <v/>
      </c>
      <c r="I144" s="38"/>
      <c r="J144" s="298" t="str">
        <f>IF(I144="","",IF(VLOOKUP(I144,'G-7 WaterC'' Data'!$AK$4:$AM$6,2,FALSE)=0,"Spatial Data Missing ⚠",VLOOKUP(I144,'G-7 WaterC'' Data'!$AK$4:$AM$6,2,FALSE)))</f>
        <v/>
      </c>
      <c r="K144" s="291" t="str">
        <f>IF(I144="","",IF(VLOOKUP(I144,'G-7 WaterC'' Data'!$AK$4:$AM$6,3,FALSE)=0,"Spatial Data Missing ⚠",VLOOKUP(I144,'G-7 WaterC'' Data'!$AK$4:$AM$6,3,FALSE)))</f>
        <v/>
      </c>
      <c r="L144" s="290" t="str">
        <f>IFERROR(INDEX('G-7 WaterC'' Data'!$O$3:$O$7,MATCH(G144,'G-7 WaterC'' Data'!$N$3:$N$7,0)),"")</f>
        <v/>
      </c>
      <c r="M144" s="47"/>
      <c r="N144" s="138"/>
      <c r="O144" s="298" t="str">
        <f t="shared" si="10"/>
        <v/>
      </c>
      <c r="P144" s="311" t="str">
        <f t="shared" si="11"/>
        <v/>
      </c>
      <c r="Q144" s="344" t="str">
        <f>IFERROR(IF(P144="Check Data ⚠","Check Data ⚠",VLOOKUP(P144,'G-4 Temporal multipliers'!$A$4:$C$37,3,FALSE)),"")</f>
        <v/>
      </c>
      <c r="R144" s="290" t="str">
        <f>IF(C144="","",VLOOKUP(C144,'G-7 WaterC'' Data'!$B$4:$G$8,4,FALSE))</f>
        <v/>
      </c>
      <c r="S144" s="298" t="str">
        <f t="shared" si="12"/>
        <v/>
      </c>
      <c r="T144" s="328" t="str">
        <f t="shared" si="13"/>
        <v/>
      </c>
      <c r="U144" s="291" t="str">
        <f>IF(C144="","",VLOOKUP(T144,'G-3 Multipliers'!$P$2:$Q$6,2,FALSE))</f>
        <v/>
      </c>
      <c r="V144" s="96"/>
      <c r="W144" s="291" t="str">
        <f>IF(V144="","",IF(AND(V144="N/A - Culvert",C144&lt;&gt;"Culvert"),"Not possible ▲",IF(AND(C144="Culvert",V144&lt;&gt;"N/A - Culvert"),"Not possible ▲",IF(VLOOKUP(V144,'G-7 WaterC'' Data'!$AA$4:$AB$7,2,FALSE)=0,"Spatial Data Missing ⚠",VLOOKUP(V144,'G-7 WaterC'' Data'!$AA$4:$AB$7,2,FALSE)))))</f>
        <v/>
      </c>
      <c r="X144" s="44"/>
      <c r="Y144" s="291" t="str">
        <f>IF(X144="","",IF(AND(X144="N/A - Culvert", C144&lt;&gt;"Culvert"), "Not possible ▲",IF(AND(C144="Culvert",X144&lt;&gt;"N/A - Culvert"),"Not possible ▲",IF(VLOOKUP(X144,'G-7 WaterC'' Data'!$AD$4:$AE$14,2,FALSE)=0,"Enrcoachment Data Missing ⚠",VLOOKUP(X144,'G-7 WaterC'' Data'!$AD$4:$AE$14,2,FALSE)))))</f>
        <v/>
      </c>
      <c r="Z144" s="332" t="str">
        <f t="shared" si="14"/>
        <v/>
      </c>
      <c r="AA144" s="98"/>
      <c r="AB144" s="99"/>
      <c r="AC144" s="101"/>
      <c r="AH144" s="15" t="str">
        <f>IFERROR(INDEX('G-7 WaterC'' Data'!$AZ$3:$AZ$7,MATCH(C144,'G-7 WaterC'' Data'!$AY$3:$AY$7,0)),"")</f>
        <v/>
      </c>
    </row>
    <row r="145" spans="2:34" ht="14" x14ac:dyDescent="0.3">
      <c r="B145" s="92">
        <v>134</v>
      </c>
      <c r="C145" s="119"/>
      <c r="D145" s="120"/>
      <c r="E145" s="290" t="str">
        <f>IF(C145="","",VLOOKUP(C145,'G-7 WaterC'' Data'!$B$2:$G$8,2,FALSE))</f>
        <v/>
      </c>
      <c r="F145" s="291" t="str">
        <f>IFERROR(VLOOKUP(E145,'G-7 WaterC'' Data'!$C$4:$D$8,2,FALSE),"")</f>
        <v/>
      </c>
      <c r="G145" s="95"/>
      <c r="H145" s="291" t="str">
        <f>IFERROR(INDEX('G-7 WaterC'' Data'!$H$4:$L$8,MATCH(C145,'G-7 WaterC'' Data'!$B$4:$B$8,0),MATCH(G145,'G-7 WaterC'' Data'!$H$3:$L$3,0)),"")</f>
        <v/>
      </c>
      <c r="I145" s="38"/>
      <c r="J145" s="298" t="str">
        <f>IF(I145="","",IF(VLOOKUP(I145,'G-7 WaterC'' Data'!$AK$4:$AM$6,2,FALSE)=0,"Spatial Data Missing ⚠",VLOOKUP(I145,'G-7 WaterC'' Data'!$AK$4:$AM$6,2,FALSE)))</f>
        <v/>
      </c>
      <c r="K145" s="291" t="str">
        <f>IF(I145="","",IF(VLOOKUP(I145,'G-7 WaterC'' Data'!$AK$4:$AM$6,3,FALSE)=0,"Spatial Data Missing ⚠",VLOOKUP(I145,'G-7 WaterC'' Data'!$AK$4:$AM$6,3,FALSE)))</f>
        <v/>
      </c>
      <c r="L145" s="290" t="str">
        <f>IFERROR(INDEX('G-7 WaterC'' Data'!$O$3:$O$7,MATCH(G145,'G-7 WaterC'' Data'!$N$3:$N$7,0)),"")</f>
        <v/>
      </c>
      <c r="M145" s="47"/>
      <c r="N145" s="138"/>
      <c r="O145" s="298" t="str">
        <f t="shared" si="10"/>
        <v/>
      </c>
      <c r="P145" s="311" t="str">
        <f t="shared" si="11"/>
        <v/>
      </c>
      <c r="Q145" s="344" t="str">
        <f>IFERROR(IF(P145="Check Data ⚠","Check Data ⚠",VLOOKUP(P145,'G-4 Temporal multipliers'!$A$4:$C$37,3,FALSE)),"")</f>
        <v/>
      </c>
      <c r="R145" s="290" t="str">
        <f>IF(C145="","",VLOOKUP(C145,'G-7 WaterC'' Data'!$B$4:$G$8,4,FALSE))</f>
        <v/>
      </c>
      <c r="S145" s="298" t="str">
        <f t="shared" si="12"/>
        <v/>
      </c>
      <c r="T145" s="328" t="str">
        <f t="shared" si="13"/>
        <v/>
      </c>
      <c r="U145" s="291" t="str">
        <f>IF(C145="","",VLOOKUP(T145,'G-3 Multipliers'!$P$2:$Q$6,2,FALSE))</f>
        <v/>
      </c>
      <c r="V145" s="96"/>
      <c r="W145" s="291" t="str">
        <f>IF(V145="","",IF(AND(V145="N/A - Culvert",C145&lt;&gt;"Culvert"),"Not possible ▲",IF(AND(C145="Culvert",V145&lt;&gt;"N/A - Culvert"),"Not possible ▲",IF(VLOOKUP(V145,'G-7 WaterC'' Data'!$AA$4:$AB$7,2,FALSE)=0,"Spatial Data Missing ⚠",VLOOKUP(V145,'G-7 WaterC'' Data'!$AA$4:$AB$7,2,FALSE)))))</f>
        <v/>
      </c>
      <c r="X145" s="44"/>
      <c r="Y145" s="291" t="str">
        <f>IF(X145="","",IF(AND(X145="N/A - Culvert", C145&lt;&gt;"Culvert"), "Not possible ▲",IF(AND(C145="Culvert",X145&lt;&gt;"N/A - Culvert"),"Not possible ▲",IF(VLOOKUP(X145,'G-7 WaterC'' Data'!$AD$4:$AE$14,2,FALSE)=0,"Enrcoachment Data Missing ⚠",VLOOKUP(X145,'G-7 WaterC'' Data'!$AD$4:$AE$14,2,FALSE)))))</f>
        <v/>
      </c>
      <c r="Z145" s="332" t="str">
        <f t="shared" si="14"/>
        <v/>
      </c>
      <c r="AA145" s="98"/>
      <c r="AB145" s="99"/>
      <c r="AC145" s="101"/>
      <c r="AH145" s="15" t="str">
        <f>IFERROR(INDEX('G-7 WaterC'' Data'!$AZ$3:$AZ$7,MATCH(C145,'G-7 WaterC'' Data'!$AY$3:$AY$7,0)),"")</f>
        <v/>
      </c>
    </row>
    <row r="146" spans="2:34" ht="14" x14ac:dyDescent="0.3">
      <c r="B146" s="92">
        <v>135</v>
      </c>
      <c r="C146" s="119"/>
      <c r="D146" s="120"/>
      <c r="E146" s="290" t="str">
        <f>IF(C146="","",VLOOKUP(C146,'G-7 WaterC'' Data'!$B$2:$G$8,2,FALSE))</f>
        <v/>
      </c>
      <c r="F146" s="291" t="str">
        <f>IFERROR(VLOOKUP(E146,'G-7 WaterC'' Data'!$C$4:$D$8,2,FALSE),"")</f>
        <v/>
      </c>
      <c r="G146" s="95"/>
      <c r="H146" s="291" t="str">
        <f>IFERROR(INDEX('G-7 WaterC'' Data'!$H$4:$L$8,MATCH(C146,'G-7 WaterC'' Data'!$B$4:$B$8,0),MATCH(G146,'G-7 WaterC'' Data'!$H$3:$L$3,0)),"")</f>
        <v/>
      </c>
      <c r="I146" s="38"/>
      <c r="J146" s="298" t="str">
        <f>IF(I146="","",IF(VLOOKUP(I146,'G-7 WaterC'' Data'!$AK$4:$AM$6,2,FALSE)=0,"Spatial Data Missing ⚠",VLOOKUP(I146,'G-7 WaterC'' Data'!$AK$4:$AM$6,2,FALSE)))</f>
        <v/>
      </c>
      <c r="K146" s="291" t="str">
        <f>IF(I146="","",IF(VLOOKUP(I146,'G-7 WaterC'' Data'!$AK$4:$AM$6,3,FALSE)=0,"Spatial Data Missing ⚠",VLOOKUP(I146,'G-7 WaterC'' Data'!$AK$4:$AM$6,3,FALSE)))</f>
        <v/>
      </c>
      <c r="L146" s="290" t="str">
        <f>IFERROR(INDEX('G-7 WaterC'' Data'!$O$3:$O$7,MATCH(G146,'G-7 WaterC'' Data'!$N$3:$N$7,0)),"")</f>
        <v/>
      </c>
      <c r="M146" s="47"/>
      <c r="N146" s="138"/>
      <c r="O146" s="298" t="str">
        <f t="shared" si="10"/>
        <v/>
      </c>
      <c r="P146" s="311" t="str">
        <f t="shared" si="11"/>
        <v/>
      </c>
      <c r="Q146" s="344" t="str">
        <f>IFERROR(IF(P146="Check Data ⚠","Check Data ⚠",VLOOKUP(P146,'G-4 Temporal multipliers'!$A$4:$C$37,3,FALSE)),"")</f>
        <v/>
      </c>
      <c r="R146" s="290" t="str">
        <f>IF(C146="","",VLOOKUP(C146,'G-7 WaterC'' Data'!$B$4:$G$8,4,FALSE))</f>
        <v/>
      </c>
      <c r="S146" s="298" t="str">
        <f t="shared" si="12"/>
        <v/>
      </c>
      <c r="T146" s="328" t="str">
        <f t="shared" si="13"/>
        <v/>
      </c>
      <c r="U146" s="291" t="str">
        <f>IF(C146="","",VLOOKUP(T146,'G-3 Multipliers'!$P$2:$Q$6,2,FALSE))</f>
        <v/>
      </c>
      <c r="V146" s="96"/>
      <c r="W146" s="291" t="str">
        <f>IF(V146="","",IF(AND(V146="N/A - Culvert",C146&lt;&gt;"Culvert"),"Not possible ▲",IF(AND(C146="Culvert",V146&lt;&gt;"N/A - Culvert"),"Not possible ▲",IF(VLOOKUP(V146,'G-7 WaterC'' Data'!$AA$4:$AB$7,2,FALSE)=0,"Spatial Data Missing ⚠",VLOOKUP(V146,'G-7 WaterC'' Data'!$AA$4:$AB$7,2,FALSE)))))</f>
        <v/>
      </c>
      <c r="X146" s="44"/>
      <c r="Y146" s="291" t="str">
        <f>IF(X146="","",IF(AND(X146="N/A - Culvert", C146&lt;&gt;"Culvert"), "Not possible ▲",IF(AND(C146="Culvert",X146&lt;&gt;"N/A - Culvert"),"Not possible ▲",IF(VLOOKUP(X146,'G-7 WaterC'' Data'!$AD$4:$AE$14,2,FALSE)=0,"Enrcoachment Data Missing ⚠",VLOOKUP(X146,'G-7 WaterC'' Data'!$AD$4:$AE$14,2,FALSE)))))</f>
        <v/>
      </c>
      <c r="Z146" s="332" t="str">
        <f t="shared" si="14"/>
        <v/>
      </c>
      <c r="AA146" s="98"/>
      <c r="AB146" s="99"/>
      <c r="AC146" s="101"/>
      <c r="AH146" s="15" t="str">
        <f>IFERROR(INDEX('G-7 WaterC'' Data'!$AZ$3:$AZ$7,MATCH(C146,'G-7 WaterC'' Data'!$AY$3:$AY$7,0)),"")</f>
        <v/>
      </c>
    </row>
    <row r="147" spans="2:34" ht="14" x14ac:dyDescent="0.3">
      <c r="B147" s="92">
        <v>136</v>
      </c>
      <c r="C147" s="119"/>
      <c r="D147" s="120"/>
      <c r="E147" s="290" t="str">
        <f>IF(C147="","",VLOOKUP(C147,'G-7 WaterC'' Data'!$B$2:$G$8,2,FALSE))</f>
        <v/>
      </c>
      <c r="F147" s="291" t="str">
        <f>IFERROR(VLOOKUP(E147,'G-7 WaterC'' Data'!$C$4:$D$8,2,FALSE),"")</f>
        <v/>
      </c>
      <c r="G147" s="95"/>
      <c r="H147" s="291" t="str">
        <f>IFERROR(INDEX('G-7 WaterC'' Data'!$H$4:$L$8,MATCH(C147,'G-7 WaterC'' Data'!$B$4:$B$8,0),MATCH(G147,'G-7 WaterC'' Data'!$H$3:$L$3,0)),"")</f>
        <v/>
      </c>
      <c r="I147" s="38"/>
      <c r="J147" s="298" t="str">
        <f>IF(I147="","",IF(VLOOKUP(I147,'G-7 WaterC'' Data'!$AK$4:$AM$6,2,FALSE)=0,"Spatial Data Missing ⚠",VLOOKUP(I147,'G-7 WaterC'' Data'!$AK$4:$AM$6,2,FALSE)))</f>
        <v/>
      </c>
      <c r="K147" s="291" t="str">
        <f>IF(I147="","",IF(VLOOKUP(I147,'G-7 WaterC'' Data'!$AK$4:$AM$6,3,FALSE)=0,"Spatial Data Missing ⚠",VLOOKUP(I147,'G-7 WaterC'' Data'!$AK$4:$AM$6,3,FALSE)))</f>
        <v/>
      </c>
      <c r="L147" s="290" t="str">
        <f>IFERROR(INDEX('G-7 WaterC'' Data'!$O$3:$O$7,MATCH(G147,'G-7 WaterC'' Data'!$N$3:$N$7,0)),"")</f>
        <v/>
      </c>
      <c r="M147" s="47"/>
      <c r="N147" s="138"/>
      <c r="O147" s="298" t="str">
        <f t="shared" si="10"/>
        <v/>
      </c>
      <c r="P147" s="311" t="str">
        <f t="shared" si="11"/>
        <v/>
      </c>
      <c r="Q147" s="344" t="str">
        <f>IFERROR(IF(P147="Check Data ⚠","Check Data ⚠",VLOOKUP(P147,'G-4 Temporal multipliers'!$A$4:$C$37,3,FALSE)),"")</f>
        <v/>
      </c>
      <c r="R147" s="290" t="str">
        <f>IF(C147="","",VLOOKUP(C147,'G-7 WaterC'' Data'!$B$4:$G$8,4,FALSE))</f>
        <v/>
      </c>
      <c r="S147" s="298" t="str">
        <f t="shared" si="12"/>
        <v/>
      </c>
      <c r="T147" s="328" t="str">
        <f t="shared" si="13"/>
        <v/>
      </c>
      <c r="U147" s="291" t="str">
        <f>IF(C147="","",VLOOKUP(T147,'G-3 Multipliers'!$P$2:$Q$6,2,FALSE))</f>
        <v/>
      </c>
      <c r="V147" s="96"/>
      <c r="W147" s="291" t="str">
        <f>IF(V147="","",IF(AND(V147="N/A - Culvert",C147&lt;&gt;"Culvert"),"Not possible ▲",IF(AND(C147="Culvert",V147&lt;&gt;"N/A - Culvert"),"Not possible ▲",IF(VLOOKUP(V147,'G-7 WaterC'' Data'!$AA$4:$AB$7,2,FALSE)=0,"Spatial Data Missing ⚠",VLOOKUP(V147,'G-7 WaterC'' Data'!$AA$4:$AB$7,2,FALSE)))))</f>
        <v/>
      </c>
      <c r="X147" s="44"/>
      <c r="Y147" s="291" t="str">
        <f>IF(X147="","",IF(AND(X147="N/A - Culvert", C147&lt;&gt;"Culvert"), "Not possible ▲",IF(AND(C147="Culvert",X147&lt;&gt;"N/A - Culvert"),"Not possible ▲",IF(VLOOKUP(X147,'G-7 WaterC'' Data'!$AD$4:$AE$14,2,FALSE)=0,"Enrcoachment Data Missing ⚠",VLOOKUP(X147,'G-7 WaterC'' Data'!$AD$4:$AE$14,2,FALSE)))))</f>
        <v/>
      </c>
      <c r="Z147" s="332" t="str">
        <f t="shared" si="14"/>
        <v/>
      </c>
      <c r="AA147" s="98"/>
      <c r="AB147" s="99"/>
      <c r="AC147" s="101"/>
      <c r="AH147" s="15" t="str">
        <f>IFERROR(INDEX('G-7 WaterC'' Data'!$AZ$3:$AZ$7,MATCH(C147,'G-7 WaterC'' Data'!$AY$3:$AY$7,0)),"")</f>
        <v/>
      </c>
    </row>
    <row r="148" spans="2:34" ht="14" x14ac:dyDescent="0.3">
      <c r="B148" s="92">
        <v>137</v>
      </c>
      <c r="C148" s="119"/>
      <c r="D148" s="120"/>
      <c r="E148" s="290" t="str">
        <f>IF(C148="","",VLOOKUP(C148,'G-7 WaterC'' Data'!$B$2:$G$8,2,FALSE))</f>
        <v/>
      </c>
      <c r="F148" s="291" t="str">
        <f>IFERROR(VLOOKUP(E148,'G-7 WaterC'' Data'!$C$4:$D$8,2,FALSE),"")</f>
        <v/>
      </c>
      <c r="G148" s="95"/>
      <c r="H148" s="291" t="str">
        <f>IFERROR(INDEX('G-7 WaterC'' Data'!$H$4:$L$8,MATCH(C148,'G-7 WaterC'' Data'!$B$4:$B$8,0),MATCH(G148,'G-7 WaterC'' Data'!$H$3:$L$3,0)),"")</f>
        <v/>
      </c>
      <c r="I148" s="38"/>
      <c r="J148" s="298" t="str">
        <f>IF(I148="","",IF(VLOOKUP(I148,'G-7 WaterC'' Data'!$AK$4:$AM$6,2,FALSE)=0,"Spatial Data Missing ⚠",VLOOKUP(I148,'G-7 WaterC'' Data'!$AK$4:$AM$6,2,FALSE)))</f>
        <v/>
      </c>
      <c r="K148" s="291" t="str">
        <f>IF(I148="","",IF(VLOOKUP(I148,'G-7 WaterC'' Data'!$AK$4:$AM$6,3,FALSE)=0,"Spatial Data Missing ⚠",VLOOKUP(I148,'G-7 WaterC'' Data'!$AK$4:$AM$6,3,FALSE)))</f>
        <v/>
      </c>
      <c r="L148" s="290" t="str">
        <f>IFERROR(INDEX('G-7 WaterC'' Data'!$O$3:$O$7,MATCH(G148,'G-7 WaterC'' Data'!$N$3:$N$7,0)),"")</f>
        <v/>
      </c>
      <c r="M148" s="47"/>
      <c r="N148" s="138"/>
      <c r="O148" s="298" t="str">
        <f t="shared" si="10"/>
        <v/>
      </c>
      <c r="P148" s="311" t="str">
        <f t="shared" si="11"/>
        <v/>
      </c>
      <c r="Q148" s="344" t="str">
        <f>IFERROR(IF(P148="Check Data ⚠","Check Data ⚠",VLOOKUP(P148,'G-4 Temporal multipliers'!$A$4:$C$37,3,FALSE)),"")</f>
        <v/>
      </c>
      <c r="R148" s="290" t="str">
        <f>IF(C148="","",VLOOKUP(C148,'G-7 WaterC'' Data'!$B$4:$G$8,4,FALSE))</f>
        <v/>
      </c>
      <c r="S148" s="298" t="str">
        <f t="shared" si="12"/>
        <v/>
      </c>
      <c r="T148" s="328" t="str">
        <f t="shared" si="13"/>
        <v/>
      </c>
      <c r="U148" s="291" t="str">
        <f>IF(C148="","",VLOOKUP(T148,'G-3 Multipliers'!$P$2:$Q$6,2,FALSE))</f>
        <v/>
      </c>
      <c r="V148" s="96"/>
      <c r="W148" s="291" t="str">
        <f>IF(V148="","",IF(AND(V148="N/A - Culvert",C148&lt;&gt;"Culvert"),"Not possible ▲",IF(AND(C148="Culvert",V148&lt;&gt;"N/A - Culvert"),"Not possible ▲",IF(VLOOKUP(V148,'G-7 WaterC'' Data'!$AA$4:$AB$7,2,FALSE)=0,"Spatial Data Missing ⚠",VLOOKUP(V148,'G-7 WaterC'' Data'!$AA$4:$AB$7,2,FALSE)))))</f>
        <v/>
      </c>
      <c r="X148" s="44"/>
      <c r="Y148" s="291" t="str">
        <f>IF(X148="","",IF(AND(X148="N/A - Culvert", C148&lt;&gt;"Culvert"), "Not possible ▲",IF(AND(C148="Culvert",X148&lt;&gt;"N/A - Culvert"),"Not possible ▲",IF(VLOOKUP(X148,'G-7 WaterC'' Data'!$AD$4:$AE$14,2,FALSE)=0,"Enrcoachment Data Missing ⚠",VLOOKUP(X148,'G-7 WaterC'' Data'!$AD$4:$AE$14,2,FALSE)))))</f>
        <v/>
      </c>
      <c r="Z148" s="332" t="str">
        <f t="shared" si="14"/>
        <v/>
      </c>
      <c r="AA148" s="98"/>
      <c r="AB148" s="99"/>
      <c r="AC148" s="101"/>
      <c r="AH148" s="15" t="str">
        <f>IFERROR(INDEX('G-7 WaterC'' Data'!$AZ$3:$AZ$7,MATCH(C148,'G-7 WaterC'' Data'!$AY$3:$AY$7,0)),"")</f>
        <v/>
      </c>
    </row>
    <row r="149" spans="2:34" ht="14" x14ac:dyDescent="0.3">
      <c r="B149" s="92">
        <v>138</v>
      </c>
      <c r="C149" s="119"/>
      <c r="D149" s="120"/>
      <c r="E149" s="290" t="str">
        <f>IF(C149="","",VLOOKUP(C149,'G-7 WaterC'' Data'!$B$2:$G$8,2,FALSE))</f>
        <v/>
      </c>
      <c r="F149" s="291" t="str">
        <f>IFERROR(VLOOKUP(E149,'G-7 WaterC'' Data'!$C$4:$D$8,2,FALSE),"")</f>
        <v/>
      </c>
      <c r="G149" s="95"/>
      <c r="H149" s="291" t="str">
        <f>IFERROR(INDEX('G-7 WaterC'' Data'!$H$4:$L$8,MATCH(C149,'G-7 WaterC'' Data'!$B$4:$B$8,0),MATCH(G149,'G-7 WaterC'' Data'!$H$3:$L$3,0)),"")</f>
        <v/>
      </c>
      <c r="I149" s="38"/>
      <c r="J149" s="298" t="str">
        <f>IF(I149="","",IF(VLOOKUP(I149,'G-7 WaterC'' Data'!$AK$4:$AM$6,2,FALSE)=0,"Spatial Data Missing ⚠",VLOOKUP(I149,'G-7 WaterC'' Data'!$AK$4:$AM$6,2,FALSE)))</f>
        <v/>
      </c>
      <c r="K149" s="291" t="str">
        <f>IF(I149="","",IF(VLOOKUP(I149,'G-7 WaterC'' Data'!$AK$4:$AM$6,3,FALSE)=0,"Spatial Data Missing ⚠",VLOOKUP(I149,'G-7 WaterC'' Data'!$AK$4:$AM$6,3,FALSE)))</f>
        <v/>
      </c>
      <c r="L149" s="290" t="str">
        <f>IFERROR(INDEX('G-7 WaterC'' Data'!$O$3:$O$7,MATCH(G149,'G-7 WaterC'' Data'!$N$3:$N$7,0)),"")</f>
        <v/>
      </c>
      <c r="M149" s="47"/>
      <c r="N149" s="138"/>
      <c r="O149" s="298" t="str">
        <f t="shared" si="10"/>
        <v/>
      </c>
      <c r="P149" s="311" t="str">
        <f t="shared" si="11"/>
        <v/>
      </c>
      <c r="Q149" s="344" t="str">
        <f>IFERROR(IF(P149="Check Data ⚠","Check Data ⚠",VLOOKUP(P149,'G-4 Temporal multipliers'!$A$4:$C$37,3,FALSE)),"")</f>
        <v/>
      </c>
      <c r="R149" s="290" t="str">
        <f>IF(C149="","",VLOOKUP(C149,'G-7 WaterC'' Data'!$B$4:$G$8,4,FALSE))</f>
        <v/>
      </c>
      <c r="S149" s="298" t="str">
        <f t="shared" si="12"/>
        <v/>
      </c>
      <c r="T149" s="328" t="str">
        <f t="shared" si="13"/>
        <v/>
      </c>
      <c r="U149" s="291" t="str">
        <f>IF(C149="","",VLOOKUP(T149,'G-3 Multipliers'!$P$2:$Q$6,2,FALSE))</f>
        <v/>
      </c>
      <c r="V149" s="96"/>
      <c r="W149" s="291" t="str">
        <f>IF(V149="","",IF(AND(V149="N/A - Culvert",C149&lt;&gt;"Culvert"),"Not possible ▲",IF(AND(C149="Culvert",V149&lt;&gt;"N/A - Culvert"),"Not possible ▲",IF(VLOOKUP(V149,'G-7 WaterC'' Data'!$AA$4:$AB$7,2,FALSE)=0,"Spatial Data Missing ⚠",VLOOKUP(V149,'G-7 WaterC'' Data'!$AA$4:$AB$7,2,FALSE)))))</f>
        <v/>
      </c>
      <c r="X149" s="44"/>
      <c r="Y149" s="291" t="str">
        <f>IF(X149="","",IF(AND(X149="N/A - Culvert", C149&lt;&gt;"Culvert"), "Not possible ▲",IF(AND(C149="Culvert",X149&lt;&gt;"N/A - Culvert"),"Not possible ▲",IF(VLOOKUP(X149,'G-7 WaterC'' Data'!$AD$4:$AE$14,2,FALSE)=0,"Enrcoachment Data Missing ⚠",VLOOKUP(X149,'G-7 WaterC'' Data'!$AD$4:$AE$14,2,FALSE)))))</f>
        <v/>
      </c>
      <c r="Z149" s="332" t="str">
        <f t="shared" si="14"/>
        <v/>
      </c>
      <c r="AA149" s="98"/>
      <c r="AB149" s="99"/>
      <c r="AC149" s="101"/>
      <c r="AH149" s="15" t="str">
        <f>IFERROR(INDEX('G-7 WaterC'' Data'!$AZ$3:$AZ$7,MATCH(C149,'G-7 WaterC'' Data'!$AY$3:$AY$7,0)),"")</f>
        <v/>
      </c>
    </row>
    <row r="150" spans="2:34" ht="14" x14ac:dyDescent="0.3">
      <c r="B150" s="92">
        <v>139</v>
      </c>
      <c r="C150" s="119"/>
      <c r="D150" s="120"/>
      <c r="E150" s="290" t="str">
        <f>IF(C150="","",VLOOKUP(C150,'G-7 WaterC'' Data'!$B$2:$G$8,2,FALSE))</f>
        <v/>
      </c>
      <c r="F150" s="291" t="str">
        <f>IFERROR(VLOOKUP(E150,'G-7 WaterC'' Data'!$C$4:$D$8,2,FALSE),"")</f>
        <v/>
      </c>
      <c r="G150" s="95"/>
      <c r="H150" s="291" t="str">
        <f>IFERROR(INDEX('G-7 WaterC'' Data'!$H$4:$L$8,MATCH(C150,'G-7 WaterC'' Data'!$B$4:$B$8,0),MATCH(G150,'G-7 WaterC'' Data'!$H$3:$L$3,0)),"")</f>
        <v/>
      </c>
      <c r="I150" s="38"/>
      <c r="J150" s="298" t="str">
        <f>IF(I150="","",IF(VLOOKUP(I150,'G-7 WaterC'' Data'!$AK$4:$AM$6,2,FALSE)=0,"Spatial Data Missing ⚠",VLOOKUP(I150,'G-7 WaterC'' Data'!$AK$4:$AM$6,2,FALSE)))</f>
        <v/>
      </c>
      <c r="K150" s="291" t="str">
        <f>IF(I150="","",IF(VLOOKUP(I150,'G-7 WaterC'' Data'!$AK$4:$AM$6,3,FALSE)=0,"Spatial Data Missing ⚠",VLOOKUP(I150,'G-7 WaterC'' Data'!$AK$4:$AM$6,3,FALSE)))</f>
        <v/>
      </c>
      <c r="L150" s="290" t="str">
        <f>IFERROR(INDEX('G-7 WaterC'' Data'!$O$3:$O$7,MATCH(G150,'G-7 WaterC'' Data'!$N$3:$N$7,0)),"")</f>
        <v/>
      </c>
      <c r="M150" s="47"/>
      <c r="N150" s="138"/>
      <c r="O150" s="298" t="str">
        <f t="shared" si="10"/>
        <v/>
      </c>
      <c r="P150" s="311" t="str">
        <f t="shared" si="11"/>
        <v/>
      </c>
      <c r="Q150" s="344" t="str">
        <f>IFERROR(IF(P150="Check Data ⚠","Check Data ⚠",VLOOKUP(P150,'G-4 Temporal multipliers'!$A$4:$C$37,3,FALSE)),"")</f>
        <v/>
      </c>
      <c r="R150" s="290" t="str">
        <f>IF(C150="","",VLOOKUP(C150,'G-7 WaterC'' Data'!$B$4:$G$8,4,FALSE))</f>
        <v/>
      </c>
      <c r="S150" s="298" t="str">
        <f t="shared" si="12"/>
        <v/>
      </c>
      <c r="T150" s="328" t="str">
        <f t="shared" si="13"/>
        <v/>
      </c>
      <c r="U150" s="291" t="str">
        <f>IF(C150="","",VLOOKUP(T150,'G-3 Multipliers'!$P$2:$Q$6,2,FALSE))</f>
        <v/>
      </c>
      <c r="V150" s="96"/>
      <c r="W150" s="291" t="str">
        <f>IF(V150="","",IF(AND(V150="N/A - Culvert",C150&lt;&gt;"Culvert"),"Not possible ▲",IF(AND(C150="Culvert",V150&lt;&gt;"N/A - Culvert"),"Not possible ▲",IF(VLOOKUP(V150,'G-7 WaterC'' Data'!$AA$4:$AB$7,2,FALSE)=0,"Spatial Data Missing ⚠",VLOOKUP(V150,'G-7 WaterC'' Data'!$AA$4:$AB$7,2,FALSE)))))</f>
        <v/>
      </c>
      <c r="X150" s="44"/>
      <c r="Y150" s="291" t="str">
        <f>IF(X150="","",IF(AND(X150="N/A - Culvert", C150&lt;&gt;"Culvert"), "Not possible ▲",IF(AND(C150="Culvert",X150&lt;&gt;"N/A - Culvert"),"Not possible ▲",IF(VLOOKUP(X150,'G-7 WaterC'' Data'!$AD$4:$AE$14,2,FALSE)=0,"Enrcoachment Data Missing ⚠",VLOOKUP(X150,'G-7 WaterC'' Data'!$AD$4:$AE$14,2,FALSE)))))</f>
        <v/>
      </c>
      <c r="Z150" s="332" t="str">
        <f t="shared" si="14"/>
        <v/>
      </c>
      <c r="AA150" s="98"/>
      <c r="AB150" s="99"/>
      <c r="AC150" s="101"/>
      <c r="AH150" s="15" t="str">
        <f>IFERROR(INDEX('G-7 WaterC'' Data'!$AZ$3:$AZ$7,MATCH(C150,'G-7 WaterC'' Data'!$AY$3:$AY$7,0)),"")</f>
        <v/>
      </c>
    </row>
    <row r="151" spans="2:34" ht="14" x14ac:dyDescent="0.3">
      <c r="B151" s="92">
        <v>140</v>
      </c>
      <c r="C151" s="119"/>
      <c r="D151" s="120"/>
      <c r="E151" s="290" t="str">
        <f>IF(C151="","",VLOOKUP(C151,'G-7 WaterC'' Data'!$B$2:$G$8,2,FALSE))</f>
        <v/>
      </c>
      <c r="F151" s="291" t="str">
        <f>IFERROR(VLOOKUP(E151,'G-7 WaterC'' Data'!$C$4:$D$8,2,FALSE),"")</f>
        <v/>
      </c>
      <c r="G151" s="95"/>
      <c r="H151" s="291" t="str">
        <f>IFERROR(INDEX('G-7 WaterC'' Data'!$H$4:$L$8,MATCH(C151,'G-7 WaterC'' Data'!$B$4:$B$8,0),MATCH(G151,'G-7 WaterC'' Data'!$H$3:$L$3,0)),"")</f>
        <v/>
      </c>
      <c r="I151" s="38"/>
      <c r="J151" s="298" t="str">
        <f>IF(I151="","",IF(VLOOKUP(I151,'G-7 WaterC'' Data'!$AK$4:$AM$6,2,FALSE)=0,"Spatial Data Missing ⚠",VLOOKUP(I151,'G-7 WaterC'' Data'!$AK$4:$AM$6,2,FALSE)))</f>
        <v/>
      </c>
      <c r="K151" s="291" t="str">
        <f>IF(I151="","",IF(VLOOKUP(I151,'G-7 WaterC'' Data'!$AK$4:$AM$6,3,FALSE)=0,"Spatial Data Missing ⚠",VLOOKUP(I151,'G-7 WaterC'' Data'!$AK$4:$AM$6,3,FALSE)))</f>
        <v/>
      </c>
      <c r="L151" s="290" t="str">
        <f>IFERROR(INDEX('G-7 WaterC'' Data'!$O$3:$O$7,MATCH(G151,'G-7 WaterC'' Data'!$N$3:$N$7,0)),"")</f>
        <v/>
      </c>
      <c r="M151" s="47"/>
      <c r="N151" s="138"/>
      <c r="O151" s="298" t="str">
        <f t="shared" si="10"/>
        <v/>
      </c>
      <c r="P151" s="311" t="str">
        <f t="shared" si="11"/>
        <v/>
      </c>
      <c r="Q151" s="344" t="str">
        <f>IFERROR(IF(P151="Check Data ⚠","Check Data ⚠",VLOOKUP(P151,'G-4 Temporal multipliers'!$A$4:$C$37,3,FALSE)),"")</f>
        <v/>
      </c>
      <c r="R151" s="290" t="str">
        <f>IF(C151="","",VLOOKUP(C151,'G-7 WaterC'' Data'!$B$4:$G$8,4,FALSE))</f>
        <v/>
      </c>
      <c r="S151" s="298" t="str">
        <f t="shared" si="12"/>
        <v/>
      </c>
      <c r="T151" s="328" t="str">
        <f t="shared" si="13"/>
        <v/>
      </c>
      <c r="U151" s="291" t="str">
        <f>IF(C151="","",VLOOKUP(T151,'G-3 Multipliers'!$P$2:$Q$6,2,FALSE))</f>
        <v/>
      </c>
      <c r="V151" s="96"/>
      <c r="W151" s="291" t="str">
        <f>IF(V151="","",IF(AND(V151="N/A - Culvert",C151&lt;&gt;"Culvert"),"Not possible ▲",IF(AND(C151="Culvert",V151&lt;&gt;"N/A - Culvert"),"Not possible ▲",IF(VLOOKUP(V151,'G-7 WaterC'' Data'!$AA$4:$AB$7,2,FALSE)=0,"Spatial Data Missing ⚠",VLOOKUP(V151,'G-7 WaterC'' Data'!$AA$4:$AB$7,2,FALSE)))))</f>
        <v/>
      </c>
      <c r="X151" s="44"/>
      <c r="Y151" s="291" t="str">
        <f>IF(X151="","",IF(AND(X151="N/A - Culvert", C151&lt;&gt;"Culvert"), "Not possible ▲",IF(AND(C151="Culvert",X151&lt;&gt;"N/A - Culvert"),"Not possible ▲",IF(VLOOKUP(X151,'G-7 WaterC'' Data'!$AD$4:$AE$14,2,FALSE)=0,"Enrcoachment Data Missing ⚠",VLOOKUP(X151,'G-7 WaterC'' Data'!$AD$4:$AE$14,2,FALSE)))))</f>
        <v/>
      </c>
      <c r="Z151" s="332" t="str">
        <f t="shared" si="14"/>
        <v/>
      </c>
      <c r="AA151" s="98"/>
      <c r="AB151" s="99"/>
      <c r="AC151" s="101"/>
      <c r="AH151" s="15" t="str">
        <f>IFERROR(INDEX('G-7 WaterC'' Data'!$AZ$3:$AZ$7,MATCH(C151,'G-7 WaterC'' Data'!$AY$3:$AY$7,0)),"")</f>
        <v/>
      </c>
    </row>
    <row r="152" spans="2:34" ht="14" x14ac:dyDescent="0.3">
      <c r="B152" s="92">
        <v>141</v>
      </c>
      <c r="C152" s="119"/>
      <c r="D152" s="120"/>
      <c r="E152" s="290" t="str">
        <f>IF(C152="","",VLOOKUP(C152,'G-7 WaterC'' Data'!$B$2:$G$8,2,FALSE))</f>
        <v/>
      </c>
      <c r="F152" s="291" t="str">
        <f>IFERROR(VLOOKUP(E152,'G-7 WaterC'' Data'!$C$4:$D$8,2,FALSE),"")</f>
        <v/>
      </c>
      <c r="G152" s="95"/>
      <c r="H152" s="291" t="str">
        <f>IFERROR(INDEX('G-7 WaterC'' Data'!$H$4:$L$8,MATCH(C152,'G-7 WaterC'' Data'!$B$4:$B$8,0),MATCH(G152,'G-7 WaterC'' Data'!$H$3:$L$3,0)),"")</f>
        <v/>
      </c>
      <c r="I152" s="38"/>
      <c r="J152" s="298" t="str">
        <f>IF(I152="","",IF(VLOOKUP(I152,'G-7 WaterC'' Data'!$AK$4:$AM$6,2,FALSE)=0,"Spatial Data Missing ⚠",VLOOKUP(I152,'G-7 WaterC'' Data'!$AK$4:$AM$6,2,FALSE)))</f>
        <v/>
      </c>
      <c r="K152" s="291" t="str">
        <f>IF(I152="","",IF(VLOOKUP(I152,'G-7 WaterC'' Data'!$AK$4:$AM$6,3,FALSE)=0,"Spatial Data Missing ⚠",VLOOKUP(I152,'G-7 WaterC'' Data'!$AK$4:$AM$6,3,FALSE)))</f>
        <v/>
      </c>
      <c r="L152" s="290" t="str">
        <f>IFERROR(INDEX('G-7 WaterC'' Data'!$O$3:$O$7,MATCH(G152,'G-7 WaterC'' Data'!$N$3:$N$7,0)),"")</f>
        <v/>
      </c>
      <c r="M152" s="47"/>
      <c r="N152" s="138"/>
      <c r="O152" s="298" t="str">
        <f t="shared" si="10"/>
        <v/>
      </c>
      <c r="P152" s="311" t="str">
        <f t="shared" si="11"/>
        <v/>
      </c>
      <c r="Q152" s="344" t="str">
        <f>IFERROR(IF(P152="Check Data ⚠","Check Data ⚠",VLOOKUP(P152,'G-4 Temporal multipliers'!$A$4:$C$37,3,FALSE)),"")</f>
        <v/>
      </c>
      <c r="R152" s="290" t="str">
        <f>IF(C152="","",VLOOKUP(C152,'G-7 WaterC'' Data'!$B$4:$G$8,4,FALSE))</f>
        <v/>
      </c>
      <c r="S152" s="298" t="str">
        <f t="shared" si="12"/>
        <v/>
      </c>
      <c r="T152" s="328" t="str">
        <f t="shared" si="13"/>
        <v/>
      </c>
      <c r="U152" s="291" t="str">
        <f>IF(C152="","",VLOOKUP(T152,'G-3 Multipliers'!$P$2:$Q$6,2,FALSE))</f>
        <v/>
      </c>
      <c r="V152" s="96"/>
      <c r="W152" s="291" t="str">
        <f>IF(V152="","",IF(AND(V152="N/A - Culvert",C152&lt;&gt;"Culvert"),"Not possible ▲",IF(AND(C152="Culvert",V152&lt;&gt;"N/A - Culvert"),"Not possible ▲",IF(VLOOKUP(V152,'G-7 WaterC'' Data'!$AA$4:$AB$7,2,FALSE)=0,"Spatial Data Missing ⚠",VLOOKUP(V152,'G-7 WaterC'' Data'!$AA$4:$AB$7,2,FALSE)))))</f>
        <v/>
      </c>
      <c r="X152" s="44"/>
      <c r="Y152" s="291" t="str">
        <f>IF(X152="","",IF(AND(X152="N/A - Culvert", C152&lt;&gt;"Culvert"), "Not possible ▲",IF(AND(C152="Culvert",X152&lt;&gt;"N/A - Culvert"),"Not possible ▲",IF(VLOOKUP(X152,'G-7 WaterC'' Data'!$AD$4:$AE$14,2,FALSE)=0,"Enrcoachment Data Missing ⚠",VLOOKUP(X152,'G-7 WaterC'' Data'!$AD$4:$AE$14,2,FALSE)))))</f>
        <v/>
      </c>
      <c r="Z152" s="332" t="str">
        <f t="shared" si="14"/>
        <v/>
      </c>
      <c r="AA152" s="98"/>
      <c r="AB152" s="99"/>
      <c r="AC152" s="101"/>
      <c r="AH152" s="15" t="str">
        <f>IFERROR(INDEX('G-7 WaterC'' Data'!$AZ$3:$AZ$7,MATCH(C152,'G-7 WaterC'' Data'!$AY$3:$AY$7,0)),"")</f>
        <v/>
      </c>
    </row>
    <row r="153" spans="2:34" ht="14" x14ac:dyDescent="0.3">
      <c r="B153" s="92">
        <v>142</v>
      </c>
      <c r="C153" s="119"/>
      <c r="D153" s="120"/>
      <c r="E153" s="290" t="str">
        <f>IF(C153="","",VLOOKUP(C153,'G-7 WaterC'' Data'!$B$2:$G$8,2,FALSE))</f>
        <v/>
      </c>
      <c r="F153" s="291" t="str">
        <f>IFERROR(VLOOKUP(E153,'G-7 WaterC'' Data'!$C$4:$D$8,2,FALSE),"")</f>
        <v/>
      </c>
      <c r="G153" s="95"/>
      <c r="H153" s="291" t="str">
        <f>IFERROR(INDEX('G-7 WaterC'' Data'!$H$4:$L$8,MATCH(C153,'G-7 WaterC'' Data'!$B$4:$B$8,0),MATCH(G153,'G-7 WaterC'' Data'!$H$3:$L$3,0)),"")</f>
        <v/>
      </c>
      <c r="I153" s="38"/>
      <c r="J153" s="298" t="str">
        <f>IF(I153="","",IF(VLOOKUP(I153,'G-7 WaterC'' Data'!$AK$4:$AM$6,2,FALSE)=0,"Spatial Data Missing ⚠",VLOOKUP(I153,'G-7 WaterC'' Data'!$AK$4:$AM$6,2,FALSE)))</f>
        <v/>
      </c>
      <c r="K153" s="291" t="str">
        <f>IF(I153="","",IF(VLOOKUP(I153,'G-7 WaterC'' Data'!$AK$4:$AM$6,3,FALSE)=0,"Spatial Data Missing ⚠",VLOOKUP(I153,'G-7 WaterC'' Data'!$AK$4:$AM$6,3,FALSE)))</f>
        <v/>
      </c>
      <c r="L153" s="290" t="str">
        <f>IFERROR(INDEX('G-7 WaterC'' Data'!$O$3:$O$7,MATCH(G153,'G-7 WaterC'' Data'!$N$3:$N$7,0)),"")</f>
        <v/>
      </c>
      <c r="M153" s="47"/>
      <c r="N153" s="138"/>
      <c r="O153" s="298" t="str">
        <f t="shared" si="10"/>
        <v/>
      </c>
      <c r="P153" s="311" t="str">
        <f t="shared" si="11"/>
        <v/>
      </c>
      <c r="Q153" s="344" t="str">
        <f>IFERROR(IF(P153="Check Data ⚠","Check Data ⚠",VLOOKUP(P153,'G-4 Temporal multipliers'!$A$4:$C$37,3,FALSE)),"")</f>
        <v/>
      </c>
      <c r="R153" s="290" t="str">
        <f>IF(C153="","",VLOOKUP(C153,'G-7 WaterC'' Data'!$B$4:$G$8,4,FALSE))</f>
        <v/>
      </c>
      <c r="S153" s="298" t="str">
        <f t="shared" si="12"/>
        <v/>
      </c>
      <c r="T153" s="328" t="str">
        <f t="shared" si="13"/>
        <v/>
      </c>
      <c r="U153" s="291" t="str">
        <f>IF(C153="","",VLOOKUP(T153,'G-3 Multipliers'!$P$2:$Q$6,2,FALSE))</f>
        <v/>
      </c>
      <c r="V153" s="96"/>
      <c r="W153" s="291" t="str">
        <f>IF(V153="","",IF(AND(V153="N/A - Culvert",C153&lt;&gt;"Culvert"),"Not possible ▲",IF(AND(C153="Culvert",V153&lt;&gt;"N/A - Culvert"),"Not possible ▲",IF(VLOOKUP(V153,'G-7 WaterC'' Data'!$AA$4:$AB$7,2,FALSE)=0,"Spatial Data Missing ⚠",VLOOKUP(V153,'G-7 WaterC'' Data'!$AA$4:$AB$7,2,FALSE)))))</f>
        <v/>
      </c>
      <c r="X153" s="44"/>
      <c r="Y153" s="291" t="str">
        <f>IF(X153="","",IF(AND(X153="N/A - Culvert", C153&lt;&gt;"Culvert"), "Not possible ▲",IF(AND(C153="Culvert",X153&lt;&gt;"N/A - Culvert"),"Not possible ▲",IF(VLOOKUP(X153,'G-7 WaterC'' Data'!$AD$4:$AE$14,2,FALSE)=0,"Enrcoachment Data Missing ⚠",VLOOKUP(X153,'G-7 WaterC'' Data'!$AD$4:$AE$14,2,FALSE)))))</f>
        <v/>
      </c>
      <c r="Z153" s="332" t="str">
        <f t="shared" si="14"/>
        <v/>
      </c>
      <c r="AA153" s="98"/>
      <c r="AB153" s="99"/>
      <c r="AC153" s="101"/>
      <c r="AH153" s="15" t="str">
        <f>IFERROR(INDEX('G-7 WaterC'' Data'!$AZ$3:$AZ$7,MATCH(C153,'G-7 WaterC'' Data'!$AY$3:$AY$7,0)),"")</f>
        <v/>
      </c>
    </row>
    <row r="154" spans="2:34" ht="14" x14ac:dyDescent="0.3">
      <c r="B154" s="92">
        <v>143</v>
      </c>
      <c r="C154" s="119"/>
      <c r="D154" s="120"/>
      <c r="E154" s="290" t="str">
        <f>IF(C154="","",VLOOKUP(C154,'G-7 WaterC'' Data'!$B$2:$G$8,2,FALSE))</f>
        <v/>
      </c>
      <c r="F154" s="291" t="str">
        <f>IFERROR(VLOOKUP(E154,'G-7 WaterC'' Data'!$C$4:$D$8,2,FALSE),"")</f>
        <v/>
      </c>
      <c r="G154" s="95"/>
      <c r="H154" s="291" t="str">
        <f>IFERROR(INDEX('G-7 WaterC'' Data'!$H$4:$L$8,MATCH(C154,'G-7 WaterC'' Data'!$B$4:$B$8,0),MATCH(G154,'G-7 WaterC'' Data'!$H$3:$L$3,0)),"")</f>
        <v/>
      </c>
      <c r="I154" s="38"/>
      <c r="J154" s="298" t="str">
        <f>IF(I154="","",IF(VLOOKUP(I154,'G-7 WaterC'' Data'!$AK$4:$AM$6,2,FALSE)=0,"Spatial Data Missing ⚠",VLOOKUP(I154,'G-7 WaterC'' Data'!$AK$4:$AM$6,2,FALSE)))</f>
        <v/>
      </c>
      <c r="K154" s="291" t="str">
        <f>IF(I154="","",IF(VLOOKUP(I154,'G-7 WaterC'' Data'!$AK$4:$AM$6,3,FALSE)=0,"Spatial Data Missing ⚠",VLOOKUP(I154,'G-7 WaterC'' Data'!$AK$4:$AM$6,3,FALSE)))</f>
        <v/>
      </c>
      <c r="L154" s="290" t="str">
        <f>IFERROR(INDEX('G-7 WaterC'' Data'!$O$3:$O$7,MATCH(G154,'G-7 WaterC'' Data'!$N$3:$N$7,0)),"")</f>
        <v/>
      </c>
      <c r="M154" s="47"/>
      <c r="N154" s="138"/>
      <c r="O154" s="298" t="str">
        <f t="shared" si="10"/>
        <v/>
      </c>
      <c r="P154" s="311" t="str">
        <f t="shared" si="11"/>
        <v/>
      </c>
      <c r="Q154" s="344" t="str">
        <f>IFERROR(IF(P154="Check Data ⚠","Check Data ⚠",VLOOKUP(P154,'G-4 Temporal multipliers'!$A$4:$C$37,3,FALSE)),"")</f>
        <v/>
      </c>
      <c r="R154" s="290" t="str">
        <f>IF(C154="","",VLOOKUP(C154,'G-7 WaterC'' Data'!$B$4:$G$8,4,FALSE))</f>
        <v/>
      </c>
      <c r="S154" s="298" t="str">
        <f t="shared" si="12"/>
        <v/>
      </c>
      <c r="T154" s="328" t="str">
        <f t="shared" si="13"/>
        <v/>
      </c>
      <c r="U154" s="291" t="str">
        <f>IF(C154="","",VLOOKUP(T154,'G-3 Multipliers'!$P$2:$Q$6,2,FALSE))</f>
        <v/>
      </c>
      <c r="V154" s="96"/>
      <c r="W154" s="291" t="str">
        <f>IF(V154="","",IF(AND(V154="N/A - Culvert",C154&lt;&gt;"Culvert"),"Not possible ▲",IF(AND(C154="Culvert",V154&lt;&gt;"N/A - Culvert"),"Not possible ▲",IF(VLOOKUP(V154,'G-7 WaterC'' Data'!$AA$4:$AB$7,2,FALSE)=0,"Spatial Data Missing ⚠",VLOOKUP(V154,'G-7 WaterC'' Data'!$AA$4:$AB$7,2,FALSE)))))</f>
        <v/>
      </c>
      <c r="X154" s="44"/>
      <c r="Y154" s="291" t="str">
        <f>IF(X154="","",IF(AND(X154="N/A - Culvert", C154&lt;&gt;"Culvert"), "Not possible ▲",IF(AND(C154="Culvert",X154&lt;&gt;"N/A - Culvert"),"Not possible ▲",IF(VLOOKUP(X154,'G-7 WaterC'' Data'!$AD$4:$AE$14,2,FALSE)=0,"Enrcoachment Data Missing ⚠",VLOOKUP(X154,'G-7 WaterC'' Data'!$AD$4:$AE$14,2,FALSE)))))</f>
        <v/>
      </c>
      <c r="Z154" s="332" t="str">
        <f t="shared" si="14"/>
        <v/>
      </c>
      <c r="AA154" s="98"/>
      <c r="AB154" s="99"/>
      <c r="AC154" s="101"/>
      <c r="AH154" s="15" t="str">
        <f>IFERROR(INDEX('G-7 WaterC'' Data'!$AZ$3:$AZ$7,MATCH(C154,'G-7 WaterC'' Data'!$AY$3:$AY$7,0)),"")</f>
        <v/>
      </c>
    </row>
    <row r="155" spans="2:34" ht="14" x14ac:dyDescent="0.3">
      <c r="B155" s="92">
        <v>144</v>
      </c>
      <c r="C155" s="119"/>
      <c r="D155" s="120"/>
      <c r="E155" s="290" t="str">
        <f>IF(C155="","",VLOOKUP(C155,'G-7 WaterC'' Data'!$B$2:$G$8,2,FALSE))</f>
        <v/>
      </c>
      <c r="F155" s="291" t="str">
        <f>IFERROR(VLOOKUP(E155,'G-7 WaterC'' Data'!$C$4:$D$8,2,FALSE),"")</f>
        <v/>
      </c>
      <c r="G155" s="95"/>
      <c r="H155" s="291" t="str">
        <f>IFERROR(INDEX('G-7 WaterC'' Data'!$H$4:$L$8,MATCH(C155,'G-7 WaterC'' Data'!$B$4:$B$8,0),MATCH(G155,'G-7 WaterC'' Data'!$H$3:$L$3,0)),"")</f>
        <v/>
      </c>
      <c r="I155" s="38"/>
      <c r="J155" s="298" t="str">
        <f>IF(I155="","",IF(VLOOKUP(I155,'G-7 WaterC'' Data'!$AK$4:$AM$6,2,FALSE)=0,"Spatial Data Missing ⚠",VLOOKUP(I155,'G-7 WaterC'' Data'!$AK$4:$AM$6,2,FALSE)))</f>
        <v/>
      </c>
      <c r="K155" s="291" t="str">
        <f>IF(I155="","",IF(VLOOKUP(I155,'G-7 WaterC'' Data'!$AK$4:$AM$6,3,FALSE)=0,"Spatial Data Missing ⚠",VLOOKUP(I155,'G-7 WaterC'' Data'!$AK$4:$AM$6,3,FALSE)))</f>
        <v/>
      </c>
      <c r="L155" s="290" t="str">
        <f>IFERROR(INDEX('G-7 WaterC'' Data'!$O$3:$O$7,MATCH(G155,'G-7 WaterC'' Data'!$N$3:$N$7,0)),"")</f>
        <v/>
      </c>
      <c r="M155" s="47"/>
      <c r="N155" s="138"/>
      <c r="O155" s="298" t="str">
        <f t="shared" si="10"/>
        <v/>
      </c>
      <c r="P155" s="311" t="str">
        <f t="shared" si="11"/>
        <v/>
      </c>
      <c r="Q155" s="344" t="str">
        <f>IFERROR(IF(P155="Check Data ⚠","Check Data ⚠",VLOOKUP(P155,'G-4 Temporal multipliers'!$A$4:$C$37,3,FALSE)),"")</f>
        <v/>
      </c>
      <c r="R155" s="290" t="str">
        <f>IF(C155="","",VLOOKUP(C155,'G-7 WaterC'' Data'!$B$4:$G$8,4,FALSE))</f>
        <v/>
      </c>
      <c r="S155" s="298" t="str">
        <f t="shared" si="12"/>
        <v/>
      </c>
      <c r="T155" s="328" t="str">
        <f t="shared" si="13"/>
        <v/>
      </c>
      <c r="U155" s="291" t="str">
        <f>IF(C155="","",VLOOKUP(T155,'G-3 Multipliers'!$P$2:$Q$6,2,FALSE))</f>
        <v/>
      </c>
      <c r="V155" s="96"/>
      <c r="W155" s="291" t="str">
        <f>IF(V155="","",IF(AND(V155="N/A - Culvert",C155&lt;&gt;"Culvert"),"Not possible ▲",IF(AND(C155="Culvert",V155&lt;&gt;"N/A - Culvert"),"Not possible ▲",IF(VLOOKUP(V155,'G-7 WaterC'' Data'!$AA$4:$AB$7,2,FALSE)=0,"Spatial Data Missing ⚠",VLOOKUP(V155,'G-7 WaterC'' Data'!$AA$4:$AB$7,2,FALSE)))))</f>
        <v/>
      </c>
      <c r="X155" s="44"/>
      <c r="Y155" s="291" t="str">
        <f>IF(X155="","",IF(AND(X155="N/A - Culvert", C155&lt;&gt;"Culvert"), "Not possible ▲",IF(AND(C155="Culvert",X155&lt;&gt;"N/A - Culvert"),"Not possible ▲",IF(VLOOKUP(X155,'G-7 WaterC'' Data'!$AD$4:$AE$14,2,FALSE)=0,"Enrcoachment Data Missing ⚠",VLOOKUP(X155,'G-7 WaterC'' Data'!$AD$4:$AE$14,2,FALSE)))))</f>
        <v/>
      </c>
      <c r="Z155" s="332" t="str">
        <f t="shared" si="14"/>
        <v/>
      </c>
      <c r="AA155" s="98"/>
      <c r="AB155" s="99"/>
      <c r="AC155" s="101"/>
      <c r="AH155" s="15" t="str">
        <f>IFERROR(INDEX('G-7 WaterC'' Data'!$AZ$3:$AZ$7,MATCH(C155,'G-7 WaterC'' Data'!$AY$3:$AY$7,0)),"")</f>
        <v/>
      </c>
    </row>
    <row r="156" spans="2:34" ht="14" x14ac:dyDescent="0.3">
      <c r="B156" s="92">
        <v>145</v>
      </c>
      <c r="C156" s="119"/>
      <c r="D156" s="120"/>
      <c r="E156" s="290" t="str">
        <f>IF(C156="","",VLOOKUP(C156,'G-7 WaterC'' Data'!$B$2:$G$8,2,FALSE))</f>
        <v/>
      </c>
      <c r="F156" s="291" t="str">
        <f>IFERROR(VLOOKUP(E156,'G-7 WaterC'' Data'!$C$4:$D$8,2,FALSE),"")</f>
        <v/>
      </c>
      <c r="G156" s="95"/>
      <c r="H156" s="291" t="str">
        <f>IFERROR(INDEX('G-7 WaterC'' Data'!$H$4:$L$8,MATCH(C156,'G-7 WaterC'' Data'!$B$4:$B$8,0),MATCH(G156,'G-7 WaterC'' Data'!$H$3:$L$3,0)),"")</f>
        <v/>
      </c>
      <c r="I156" s="38"/>
      <c r="J156" s="298" t="str">
        <f>IF(I156="","",IF(VLOOKUP(I156,'G-7 WaterC'' Data'!$AK$4:$AM$6,2,FALSE)=0,"Spatial Data Missing ⚠",VLOOKUP(I156,'G-7 WaterC'' Data'!$AK$4:$AM$6,2,FALSE)))</f>
        <v/>
      </c>
      <c r="K156" s="291" t="str">
        <f>IF(I156="","",IF(VLOOKUP(I156,'G-7 WaterC'' Data'!$AK$4:$AM$6,3,FALSE)=0,"Spatial Data Missing ⚠",VLOOKUP(I156,'G-7 WaterC'' Data'!$AK$4:$AM$6,3,FALSE)))</f>
        <v/>
      </c>
      <c r="L156" s="290" t="str">
        <f>IFERROR(INDEX('G-7 WaterC'' Data'!$O$3:$O$7,MATCH(G156,'G-7 WaterC'' Data'!$N$3:$N$7,0)),"")</f>
        <v/>
      </c>
      <c r="M156" s="47"/>
      <c r="N156" s="138"/>
      <c r="O156" s="298" t="str">
        <f t="shared" si="10"/>
        <v/>
      </c>
      <c r="P156" s="311" t="str">
        <f t="shared" si="11"/>
        <v/>
      </c>
      <c r="Q156" s="344" t="str">
        <f>IFERROR(IF(P156="Check Data ⚠","Check Data ⚠",VLOOKUP(P156,'G-4 Temporal multipliers'!$A$4:$C$37,3,FALSE)),"")</f>
        <v/>
      </c>
      <c r="R156" s="290" t="str">
        <f>IF(C156="","",VLOOKUP(C156,'G-7 WaterC'' Data'!$B$4:$G$8,4,FALSE))</f>
        <v/>
      </c>
      <c r="S156" s="298" t="str">
        <f t="shared" si="12"/>
        <v/>
      </c>
      <c r="T156" s="328" t="str">
        <f t="shared" si="13"/>
        <v/>
      </c>
      <c r="U156" s="291" t="str">
        <f>IF(C156="","",VLOOKUP(T156,'G-3 Multipliers'!$P$2:$Q$6,2,FALSE))</f>
        <v/>
      </c>
      <c r="V156" s="96"/>
      <c r="W156" s="291" t="str">
        <f>IF(V156="","",IF(AND(V156="N/A - Culvert",C156&lt;&gt;"Culvert"),"Not possible ▲",IF(AND(C156="Culvert",V156&lt;&gt;"N/A - Culvert"),"Not possible ▲",IF(VLOOKUP(V156,'G-7 WaterC'' Data'!$AA$4:$AB$7,2,FALSE)=0,"Spatial Data Missing ⚠",VLOOKUP(V156,'G-7 WaterC'' Data'!$AA$4:$AB$7,2,FALSE)))))</f>
        <v/>
      </c>
      <c r="X156" s="44"/>
      <c r="Y156" s="291" t="str">
        <f>IF(X156="","",IF(AND(X156="N/A - Culvert", C156&lt;&gt;"Culvert"), "Not possible ▲",IF(AND(C156="Culvert",X156&lt;&gt;"N/A - Culvert"),"Not possible ▲",IF(VLOOKUP(X156,'G-7 WaterC'' Data'!$AD$4:$AE$14,2,FALSE)=0,"Enrcoachment Data Missing ⚠",VLOOKUP(X156,'G-7 WaterC'' Data'!$AD$4:$AE$14,2,FALSE)))))</f>
        <v/>
      </c>
      <c r="Z156" s="332" t="str">
        <f t="shared" si="14"/>
        <v/>
      </c>
      <c r="AA156" s="98"/>
      <c r="AB156" s="99"/>
      <c r="AC156" s="101"/>
      <c r="AH156" s="15" t="str">
        <f>IFERROR(INDEX('G-7 WaterC'' Data'!$AZ$3:$AZ$7,MATCH(C156,'G-7 WaterC'' Data'!$AY$3:$AY$7,0)),"")</f>
        <v/>
      </c>
    </row>
    <row r="157" spans="2:34" ht="14" x14ac:dyDescent="0.3">
      <c r="B157" s="92">
        <v>146</v>
      </c>
      <c r="C157" s="119"/>
      <c r="D157" s="120"/>
      <c r="E157" s="290" t="str">
        <f>IF(C157="","",VLOOKUP(C157,'G-7 WaterC'' Data'!$B$2:$G$8,2,FALSE))</f>
        <v/>
      </c>
      <c r="F157" s="291" t="str">
        <f>IFERROR(VLOOKUP(E157,'G-7 WaterC'' Data'!$C$4:$D$8,2,FALSE),"")</f>
        <v/>
      </c>
      <c r="G157" s="95"/>
      <c r="H157" s="291" t="str">
        <f>IFERROR(INDEX('G-7 WaterC'' Data'!$H$4:$L$8,MATCH(C157,'G-7 WaterC'' Data'!$B$4:$B$8,0),MATCH(G157,'G-7 WaterC'' Data'!$H$3:$L$3,0)),"")</f>
        <v/>
      </c>
      <c r="I157" s="38"/>
      <c r="J157" s="298" t="str">
        <f>IF(I157="","",IF(VLOOKUP(I157,'G-7 WaterC'' Data'!$AK$4:$AM$6,2,FALSE)=0,"Spatial Data Missing ⚠",VLOOKUP(I157,'G-7 WaterC'' Data'!$AK$4:$AM$6,2,FALSE)))</f>
        <v/>
      </c>
      <c r="K157" s="291" t="str">
        <f>IF(I157="","",IF(VLOOKUP(I157,'G-7 WaterC'' Data'!$AK$4:$AM$6,3,FALSE)=0,"Spatial Data Missing ⚠",VLOOKUP(I157,'G-7 WaterC'' Data'!$AK$4:$AM$6,3,FALSE)))</f>
        <v/>
      </c>
      <c r="L157" s="290" t="str">
        <f>IFERROR(INDEX('G-7 WaterC'' Data'!$O$3:$O$7,MATCH(G157,'G-7 WaterC'' Data'!$N$3:$N$7,0)),"")</f>
        <v/>
      </c>
      <c r="M157" s="47"/>
      <c r="N157" s="138"/>
      <c r="O157" s="298" t="str">
        <f t="shared" si="10"/>
        <v/>
      </c>
      <c r="P157" s="311" t="str">
        <f t="shared" si="11"/>
        <v/>
      </c>
      <c r="Q157" s="344" t="str">
        <f>IFERROR(IF(P157="Check Data ⚠","Check Data ⚠",VLOOKUP(P157,'G-4 Temporal multipliers'!$A$4:$C$37,3,FALSE)),"")</f>
        <v/>
      </c>
      <c r="R157" s="290" t="str">
        <f>IF(C157="","",VLOOKUP(C157,'G-7 WaterC'' Data'!$B$4:$G$8,4,FALSE))</f>
        <v/>
      </c>
      <c r="S157" s="298" t="str">
        <f t="shared" si="12"/>
        <v/>
      </c>
      <c r="T157" s="328" t="str">
        <f t="shared" si="13"/>
        <v/>
      </c>
      <c r="U157" s="291" t="str">
        <f>IF(C157="","",VLOOKUP(T157,'G-3 Multipliers'!$P$2:$Q$6,2,FALSE))</f>
        <v/>
      </c>
      <c r="V157" s="96"/>
      <c r="W157" s="291" t="str">
        <f>IF(V157="","",IF(AND(V157="N/A - Culvert",C157&lt;&gt;"Culvert"),"Not possible ▲",IF(AND(C157="Culvert",V157&lt;&gt;"N/A - Culvert"),"Not possible ▲",IF(VLOOKUP(V157,'G-7 WaterC'' Data'!$AA$4:$AB$7,2,FALSE)=0,"Spatial Data Missing ⚠",VLOOKUP(V157,'G-7 WaterC'' Data'!$AA$4:$AB$7,2,FALSE)))))</f>
        <v/>
      </c>
      <c r="X157" s="44"/>
      <c r="Y157" s="291" t="str">
        <f>IF(X157="","",IF(AND(X157="N/A - Culvert", C157&lt;&gt;"Culvert"), "Not possible ▲",IF(AND(C157="Culvert",X157&lt;&gt;"N/A - Culvert"),"Not possible ▲",IF(VLOOKUP(X157,'G-7 WaterC'' Data'!$AD$4:$AE$14,2,FALSE)=0,"Enrcoachment Data Missing ⚠",VLOOKUP(X157,'G-7 WaterC'' Data'!$AD$4:$AE$14,2,FALSE)))))</f>
        <v/>
      </c>
      <c r="Z157" s="332" t="str">
        <f t="shared" si="14"/>
        <v/>
      </c>
      <c r="AA157" s="98"/>
      <c r="AB157" s="99"/>
      <c r="AC157" s="101"/>
      <c r="AH157" s="15" t="str">
        <f>IFERROR(INDEX('G-7 WaterC'' Data'!$AZ$3:$AZ$7,MATCH(C157,'G-7 WaterC'' Data'!$AY$3:$AY$7,0)),"")</f>
        <v/>
      </c>
    </row>
    <row r="158" spans="2:34" ht="14" x14ac:dyDescent="0.3">
      <c r="B158" s="92">
        <v>147</v>
      </c>
      <c r="C158" s="119"/>
      <c r="D158" s="120"/>
      <c r="E158" s="290" t="str">
        <f>IF(C158="","",VLOOKUP(C158,'G-7 WaterC'' Data'!$B$2:$G$8,2,FALSE))</f>
        <v/>
      </c>
      <c r="F158" s="291" t="str">
        <f>IFERROR(VLOOKUP(E158,'G-7 WaterC'' Data'!$C$4:$D$8,2,FALSE),"")</f>
        <v/>
      </c>
      <c r="G158" s="95"/>
      <c r="H158" s="291" t="str">
        <f>IFERROR(INDEX('G-7 WaterC'' Data'!$H$4:$L$8,MATCH(C158,'G-7 WaterC'' Data'!$B$4:$B$8,0),MATCH(G158,'G-7 WaterC'' Data'!$H$3:$L$3,0)),"")</f>
        <v/>
      </c>
      <c r="I158" s="38"/>
      <c r="J158" s="298" t="str">
        <f>IF(I158="","",IF(VLOOKUP(I158,'G-7 WaterC'' Data'!$AK$4:$AM$6,2,FALSE)=0,"Spatial Data Missing ⚠",VLOOKUP(I158,'G-7 WaterC'' Data'!$AK$4:$AM$6,2,FALSE)))</f>
        <v/>
      </c>
      <c r="K158" s="291" t="str">
        <f>IF(I158="","",IF(VLOOKUP(I158,'G-7 WaterC'' Data'!$AK$4:$AM$6,3,FALSE)=0,"Spatial Data Missing ⚠",VLOOKUP(I158,'G-7 WaterC'' Data'!$AK$4:$AM$6,3,FALSE)))</f>
        <v/>
      </c>
      <c r="L158" s="290" t="str">
        <f>IFERROR(INDEX('G-7 WaterC'' Data'!$O$3:$O$7,MATCH(G158,'G-7 WaterC'' Data'!$N$3:$N$7,0)),"")</f>
        <v/>
      </c>
      <c r="M158" s="47"/>
      <c r="N158" s="138"/>
      <c r="O158" s="298" t="str">
        <f t="shared" si="10"/>
        <v/>
      </c>
      <c r="P158" s="311" t="str">
        <f t="shared" si="11"/>
        <v/>
      </c>
      <c r="Q158" s="344" t="str">
        <f>IFERROR(IF(P158="Check Data ⚠","Check Data ⚠",VLOOKUP(P158,'G-4 Temporal multipliers'!$A$4:$C$37,3,FALSE)),"")</f>
        <v/>
      </c>
      <c r="R158" s="290" t="str">
        <f>IF(C158="","",VLOOKUP(C158,'G-7 WaterC'' Data'!$B$4:$G$8,4,FALSE))</f>
        <v/>
      </c>
      <c r="S158" s="298" t="str">
        <f t="shared" si="12"/>
        <v/>
      </c>
      <c r="T158" s="328" t="str">
        <f t="shared" si="13"/>
        <v/>
      </c>
      <c r="U158" s="291" t="str">
        <f>IF(C158="","",VLOOKUP(T158,'G-3 Multipliers'!$P$2:$Q$6,2,FALSE))</f>
        <v/>
      </c>
      <c r="V158" s="96"/>
      <c r="W158" s="291" t="str">
        <f>IF(V158="","",IF(AND(V158="N/A - Culvert",C158&lt;&gt;"Culvert"),"Not possible ▲",IF(AND(C158="Culvert",V158&lt;&gt;"N/A - Culvert"),"Not possible ▲",IF(VLOOKUP(V158,'G-7 WaterC'' Data'!$AA$4:$AB$7,2,FALSE)=0,"Spatial Data Missing ⚠",VLOOKUP(V158,'G-7 WaterC'' Data'!$AA$4:$AB$7,2,FALSE)))))</f>
        <v/>
      </c>
      <c r="X158" s="44"/>
      <c r="Y158" s="291" t="str">
        <f>IF(X158="","",IF(AND(X158="N/A - Culvert", C158&lt;&gt;"Culvert"), "Not possible ▲",IF(AND(C158="Culvert",X158&lt;&gt;"N/A - Culvert"),"Not possible ▲",IF(VLOOKUP(X158,'G-7 WaterC'' Data'!$AD$4:$AE$14,2,FALSE)=0,"Enrcoachment Data Missing ⚠",VLOOKUP(X158,'G-7 WaterC'' Data'!$AD$4:$AE$14,2,FALSE)))))</f>
        <v/>
      </c>
      <c r="Z158" s="332" t="str">
        <f t="shared" si="14"/>
        <v/>
      </c>
      <c r="AA158" s="98"/>
      <c r="AB158" s="99"/>
      <c r="AC158" s="101"/>
      <c r="AH158" s="15" t="str">
        <f>IFERROR(INDEX('G-7 WaterC'' Data'!$AZ$3:$AZ$7,MATCH(C158,'G-7 WaterC'' Data'!$AY$3:$AY$7,0)),"")</f>
        <v/>
      </c>
    </row>
    <row r="159" spans="2:34" ht="14" x14ac:dyDescent="0.3">
      <c r="B159" s="92">
        <v>148</v>
      </c>
      <c r="C159" s="119"/>
      <c r="D159" s="120"/>
      <c r="E159" s="290" t="str">
        <f>IF(C159="","",VLOOKUP(C159,'G-7 WaterC'' Data'!$B$2:$G$8,2,FALSE))</f>
        <v/>
      </c>
      <c r="F159" s="291" t="str">
        <f>IFERROR(VLOOKUP(E159,'G-7 WaterC'' Data'!$C$4:$D$8,2,FALSE),"")</f>
        <v/>
      </c>
      <c r="G159" s="95"/>
      <c r="H159" s="291" t="str">
        <f>IFERROR(INDEX('G-7 WaterC'' Data'!$H$4:$L$8,MATCH(C159,'G-7 WaterC'' Data'!$B$4:$B$8,0),MATCH(G159,'G-7 WaterC'' Data'!$H$3:$L$3,0)),"")</f>
        <v/>
      </c>
      <c r="I159" s="38"/>
      <c r="J159" s="298" t="str">
        <f>IF(I159="","",IF(VLOOKUP(I159,'G-7 WaterC'' Data'!$AK$4:$AM$6,2,FALSE)=0,"Spatial Data Missing ⚠",VLOOKUP(I159,'G-7 WaterC'' Data'!$AK$4:$AM$6,2,FALSE)))</f>
        <v/>
      </c>
      <c r="K159" s="291" t="str">
        <f>IF(I159="","",IF(VLOOKUP(I159,'G-7 WaterC'' Data'!$AK$4:$AM$6,3,FALSE)=0,"Spatial Data Missing ⚠",VLOOKUP(I159,'G-7 WaterC'' Data'!$AK$4:$AM$6,3,FALSE)))</f>
        <v/>
      </c>
      <c r="L159" s="290" t="str">
        <f>IFERROR(INDEX('G-7 WaterC'' Data'!$O$3:$O$7,MATCH(G159,'G-7 WaterC'' Data'!$N$3:$N$7,0)),"")</f>
        <v/>
      </c>
      <c r="M159" s="47"/>
      <c r="N159" s="138"/>
      <c r="O159" s="298" t="str">
        <f t="shared" si="10"/>
        <v/>
      </c>
      <c r="P159" s="311" t="str">
        <f t="shared" si="11"/>
        <v/>
      </c>
      <c r="Q159" s="344" t="str">
        <f>IFERROR(IF(P159="Check Data ⚠","Check Data ⚠",VLOOKUP(P159,'G-4 Temporal multipliers'!$A$4:$C$37,3,FALSE)),"")</f>
        <v/>
      </c>
      <c r="R159" s="290" t="str">
        <f>IF(C159="","",VLOOKUP(C159,'G-7 WaterC'' Data'!$B$4:$G$8,4,FALSE))</f>
        <v/>
      </c>
      <c r="S159" s="298" t="str">
        <f t="shared" si="12"/>
        <v/>
      </c>
      <c r="T159" s="328" t="str">
        <f t="shared" si="13"/>
        <v/>
      </c>
      <c r="U159" s="291" t="str">
        <f>IF(C159="","",VLOOKUP(T159,'G-3 Multipliers'!$P$2:$Q$6,2,FALSE))</f>
        <v/>
      </c>
      <c r="V159" s="96"/>
      <c r="W159" s="291" t="str">
        <f>IF(V159="","",IF(AND(V159="N/A - Culvert",C159&lt;&gt;"Culvert"),"Not possible ▲",IF(AND(C159="Culvert",V159&lt;&gt;"N/A - Culvert"),"Not possible ▲",IF(VLOOKUP(V159,'G-7 WaterC'' Data'!$AA$4:$AB$7,2,FALSE)=0,"Spatial Data Missing ⚠",VLOOKUP(V159,'G-7 WaterC'' Data'!$AA$4:$AB$7,2,FALSE)))))</f>
        <v/>
      </c>
      <c r="X159" s="44"/>
      <c r="Y159" s="291" t="str">
        <f>IF(X159="","",IF(AND(X159="N/A - Culvert", C159&lt;&gt;"Culvert"), "Not possible ▲",IF(AND(C159="Culvert",X159&lt;&gt;"N/A - Culvert"),"Not possible ▲",IF(VLOOKUP(X159,'G-7 WaterC'' Data'!$AD$4:$AE$14,2,FALSE)=0,"Enrcoachment Data Missing ⚠",VLOOKUP(X159,'G-7 WaterC'' Data'!$AD$4:$AE$14,2,FALSE)))))</f>
        <v/>
      </c>
      <c r="Z159" s="332" t="str">
        <f t="shared" si="14"/>
        <v/>
      </c>
      <c r="AA159" s="98"/>
      <c r="AB159" s="99"/>
      <c r="AC159" s="101"/>
      <c r="AH159" s="15" t="str">
        <f>IFERROR(INDEX('G-7 WaterC'' Data'!$AZ$3:$AZ$7,MATCH(C159,'G-7 WaterC'' Data'!$AY$3:$AY$7,0)),"")</f>
        <v/>
      </c>
    </row>
    <row r="160" spans="2:34" ht="14" x14ac:dyDescent="0.3">
      <c r="B160" s="92">
        <v>149</v>
      </c>
      <c r="C160" s="119"/>
      <c r="D160" s="120"/>
      <c r="E160" s="290" t="str">
        <f>IF(C160="","",VLOOKUP(C160,'G-7 WaterC'' Data'!$B$2:$G$8,2,FALSE))</f>
        <v/>
      </c>
      <c r="F160" s="291" t="str">
        <f>IFERROR(VLOOKUP(E160,'G-7 WaterC'' Data'!$C$4:$D$8,2,FALSE),"")</f>
        <v/>
      </c>
      <c r="G160" s="95"/>
      <c r="H160" s="291" t="str">
        <f>IFERROR(INDEX('G-7 WaterC'' Data'!$H$4:$L$8,MATCH(C160,'G-7 WaterC'' Data'!$B$4:$B$8,0),MATCH(G160,'G-7 WaterC'' Data'!$H$3:$L$3,0)),"")</f>
        <v/>
      </c>
      <c r="I160" s="38"/>
      <c r="J160" s="298" t="str">
        <f>IF(I160="","",IF(VLOOKUP(I160,'G-7 WaterC'' Data'!$AK$4:$AM$6,2,FALSE)=0,"Spatial Data Missing ⚠",VLOOKUP(I160,'G-7 WaterC'' Data'!$AK$4:$AM$6,2,FALSE)))</f>
        <v/>
      </c>
      <c r="K160" s="291" t="str">
        <f>IF(I160="","",IF(VLOOKUP(I160,'G-7 WaterC'' Data'!$AK$4:$AM$6,3,FALSE)=0,"Spatial Data Missing ⚠",VLOOKUP(I160,'G-7 WaterC'' Data'!$AK$4:$AM$6,3,FALSE)))</f>
        <v/>
      </c>
      <c r="L160" s="290" t="str">
        <f>IFERROR(INDEX('G-7 WaterC'' Data'!$O$3:$O$7,MATCH(G160,'G-7 WaterC'' Data'!$N$3:$N$7,0)),"")</f>
        <v/>
      </c>
      <c r="M160" s="47"/>
      <c r="N160" s="138"/>
      <c r="O160" s="298" t="str">
        <f t="shared" si="10"/>
        <v/>
      </c>
      <c r="P160" s="311" t="str">
        <f t="shared" si="11"/>
        <v/>
      </c>
      <c r="Q160" s="344" t="str">
        <f>IFERROR(IF(P160="Check Data ⚠","Check Data ⚠",VLOOKUP(P160,'G-4 Temporal multipliers'!$A$4:$C$37,3,FALSE)),"")</f>
        <v/>
      </c>
      <c r="R160" s="290" t="str">
        <f>IF(C160="","",VLOOKUP(C160,'G-7 WaterC'' Data'!$B$4:$G$8,4,FALSE))</f>
        <v/>
      </c>
      <c r="S160" s="298" t="str">
        <f t="shared" si="12"/>
        <v/>
      </c>
      <c r="T160" s="328" t="str">
        <f t="shared" si="13"/>
        <v/>
      </c>
      <c r="U160" s="291" t="str">
        <f>IF(C160="","",VLOOKUP(T160,'G-3 Multipliers'!$P$2:$Q$6,2,FALSE))</f>
        <v/>
      </c>
      <c r="V160" s="96"/>
      <c r="W160" s="291" t="str">
        <f>IF(V160="","",IF(AND(V160="N/A - Culvert",C160&lt;&gt;"Culvert"),"Not possible ▲",IF(AND(C160="Culvert",V160&lt;&gt;"N/A - Culvert"),"Not possible ▲",IF(VLOOKUP(V160,'G-7 WaterC'' Data'!$AA$4:$AB$7,2,FALSE)=0,"Spatial Data Missing ⚠",VLOOKUP(V160,'G-7 WaterC'' Data'!$AA$4:$AB$7,2,FALSE)))))</f>
        <v/>
      </c>
      <c r="X160" s="44"/>
      <c r="Y160" s="291" t="str">
        <f>IF(X160="","",IF(AND(X160="N/A - Culvert", C160&lt;&gt;"Culvert"), "Not possible ▲",IF(AND(C160="Culvert",X160&lt;&gt;"N/A - Culvert"),"Not possible ▲",IF(VLOOKUP(X160,'G-7 WaterC'' Data'!$AD$4:$AE$14,2,FALSE)=0,"Enrcoachment Data Missing ⚠",VLOOKUP(X160,'G-7 WaterC'' Data'!$AD$4:$AE$14,2,FALSE)))))</f>
        <v/>
      </c>
      <c r="Z160" s="332" t="str">
        <f t="shared" si="14"/>
        <v/>
      </c>
      <c r="AA160" s="98"/>
      <c r="AB160" s="99"/>
      <c r="AC160" s="101"/>
      <c r="AH160" s="15" t="str">
        <f>IFERROR(INDEX('G-7 WaterC'' Data'!$AZ$3:$AZ$7,MATCH(C160,'G-7 WaterC'' Data'!$AY$3:$AY$7,0)),"")</f>
        <v/>
      </c>
    </row>
    <row r="161" spans="2:34" ht="14" x14ac:dyDescent="0.3">
      <c r="B161" s="92">
        <v>150</v>
      </c>
      <c r="C161" s="119"/>
      <c r="D161" s="120"/>
      <c r="E161" s="290" t="str">
        <f>IF(C161="","",VLOOKUP(C161,'G-7 WaterC'' Data'!$B$2:$G$8,2,FALSE))</f>
        <v/>
      </c>
      <c r="F161" s="291" t="str">
        <f>IFERROR(VLOOKUP(E161,'G-7 WaterC'' Data'!$C$4:$D$8,2,FALSE),"")</f>
        <v/>
      </c>
      <c r="G161" s="95"/>
      <c r="H161" s="291" t="str">
        <f>IFERROR(INDEX('G-7 WaterC'' Data'!$H$4:$L$8,MATCH(C161,'G-7 WaterC'' Data'!$B$4:$B$8,0),MATCH(G161,'G-7 WaterC'' Data'!$H$3:$L$3,0)),"")</f>
        <v/>
      </c>
      <c r="I161" s="38"/>
      <c r="J161" s="298" t="str">
        <f>IF(I161="","",IF(VLOOKUP(I161,'G-7 WaterC'' Data'!$AK$4:$AM$6,2,FALSE)=0,"Spatial Data Missing ⚠",VLOOKUP(I161,'G-7 WaterC'' Data'!$AK$4:$AM$6,2,FALSE)))</f>
        <v/>
      </c>
      <c r="K161" s="291" t="str">
        <f>IF(I161="","",IF(VLOOKUP(I161,'G-7 WaterC'' Data'!$AK$4:$AM$6,3,FALSE)=0,"Spatial Data Missing ⚠",VLOOKUP(I161,'G-7 WaterC'' Data'!$AK$4:$AM$6,3,FALSE)))</f>
        <v/>
      </c>
      <c r="L161" s="290" t="str">
        <f>IFERROR(INDEX('G-7 WaterC'' Data'!$O$3:$O$7,MATCH(G161,'G-7 WaterC'' Data'!$N$3:$N$7,0)),"")</f>
        <v/>
      </c>
      <c r="M161" s="47"/>
      <c r="N161" s="138"/>
      <c r="O161" s="298" t="str">
        <f t="shared" si="10"/>
        <v/>
      </c>
      <c r="P161" s="311" t="str">
        <f t="shared" si="11"/>
        <v/>
      </c>
      <c r="Q161" s="344" t="str">
        <f>IFERROR(IF(P161="Check Data ⚠","Check Data ⚠",VLOOKUP(P161,'G-4 Temporal multipliers'!$A$4:$C$37,3,FALSE)),"")</f>
        <v/>
      </c>
      <c r="R161" s="290" t="str">
        <f>IF(C161="","",VLOOKUP(C161,'G-7 WaterC'' Data'!$B$4:$G$8,4,FALSE))</f>
        <v/>
      </c>
      <c r="S161" s="298" t="str">
        <f t="shared" si="12"/>
        <v/>
      </c>
      <c r="T161" s="328" t="str">
        <f t="shared" si="13"/>
        <v/>
      </c>
      <c r="U161" s="291" t="str">
        <f>IF(C161="","",VLOOKUP(T161,'G-3 Multipliers'!$P$2:$Q$6,2,FALSE))</f>
        <v/>
      </c>
      <c r="V161" s="96"/>
      <c r="W161" s="291" t="str">
        <f>IF(V161="","",IF(AND(V161="N/A - Culvert",C161&lt;&gt;"Culvert"),"Not possible ▲",IF(AND(C161="Culvert",V161&lt;&gt;"N/A - Culvert"),"Not possible ▲",IF(VLOOKUP(V161,'G-7 WaterC'' Data'!$AA$4:$AB$7,2,FALSE)=0,"Spatial Data Missing ⚠",VLOOKUP(V161,'G-7 WaterC'' Data'!$AA$4:$AB$7,2,FALSE)))))</f>
        <v/>
      </c>
      <c r="X161" s="44"/>
      <c r="Y161" s="291" t="str">
        <f>IF(X161="","",IF(AND(X161="N/A - Culvert", C161&lt;&gt;"Culvert"), "Not possible ▲",IF(AND(C161="Culvert",X161&lt;&gt;"N/A - Culvert"),"Not possible ▲",IF(VLOOKUP(X161,'G-7 WaterC'' Data'!$AD$4:$AE$14,2,FALSE)=0,"Enrcoachment Data Missing ⚠",VLOOKUP(X161,'G-7 WaterC'' Data'!$AD$4:$AE$14,2,FALSE)))))</f>
        <v/>
      </c>
      <c r="Z161" s="332" t="str">
        <f t="shared" si="14"/>
        <v/>
      </c>
      <c r="AA161" s="98"/>
      <c r="AB161" s="99"/>
      <c r="AC161" s="101"/>
      <c r="AH161" s="15" t="str">
        <f>IFERROR(INDEX('G-7 WaterC'' Data'!$AZ$3:$AZ$7,MATCH(C161,'G-7 WaterC'' Data'!$AY$3:$AY$7,0)),"")</f>
        <v/>
      </c>
    </row>
    <row r="162" spans="2:34" ht="14" x14ac:dyDescent="0.3">
      <c r="B162" s="92">
        <v>151</v>
      </c>
      <c r="C162" s="119"/>
      <c r="D162" s="120"/>
      <c r="E162" s="290" t="str">
        <f>IF(C162="","",VLOOKUP(C162,'G-7 WaterC'' Data'!$B$2:$G$8,2,FALSE))</f>
        <v/>
      </c>
      <c r="F162" s="291" t="str">
        <f>IFERROR(VLOOKUP(E162,'G-7 WaterC'' Data'!$C$4:$D$8,2,FALSE),"")</f>
        <v/>
      </c>
      <c r="G162" s="95"/>
      <c r="H162" s="291" t="str">
        <f>IFERROR(INDEX('G-7 WaterC'' Data'!$H$4:$L$8,MATCH(C162,'G-7 WaterC'' Data'!$B$4:$B$8,0),MATCH(G162,'G-7 WaterC'' Data'!$H$3:$L$3,0)),"")</f>
        <v/>
      </c>
      <c r="I162" s="38"/>
      <c r="J162" s="298" t="str">
        <f>IF(I162="","",IF(VLOOKUP(I162,'G-7 WaterC'' Data'!$AK$4:$AM$6,2,FALSE)=0,"Spatial Data Missing ⚠",VLOOKUP(I162,'G-7 WaterC'' Data'!$AK$4:$AM$6,2,FALSE)))</f>
        <v/>
      </c>
      <c r="K162" s="291" t="str">
        <f>IF(I162="","",IF(VLOOKUP(I162,'G-7 WaterC'' Data'!$AK$4:$AM$6,3,FALSE)=0,"Spatial Data Missing ⚠",VLOOKUP(I162,'G-7 WaterC'' Data'!$AK$4:$AM$6,3,FALSE)))</f>
        <v/>
      </c>
      <c r="L162" s="290" t="str">
        <f>IFERROR(INDEX('G-7 WaterC'' Data'!$O$3:$O$7,MATCH(G162,'G-7 WaterC'' Data'!$N$3:$N$7,0)),"")</f>
        <v/>
      </c>
      <c r="M162" s="47"/>
      <c r="N162" s="138"/>
      <c r="O162" s="298" t="str">
        <f t="shared" si="10"/>
        <v/>
      </c>
      <c r="P162" s="311" t="str">
        <f t="shared" si="11"/>
        <v/>
      </c>
      <c r="Q162" s="344" t="str">
        <f>IFERROR(IF(P162="Check Data ⚠","Check Data ⚠",VLOOKUP(P162,'G-4 Temporal multipliers'!$A$4:$C$37,3,FALSE)),"")</f>
        <v/>
      </c>
      <c r="R162" s="290" t="str">
        <f>IF(C162="","",VLOOKUP(C162,'G-7 WaterC'' Data'!$B$4:$G$8,4,FALSE))</f>
        <v/>
      </c>
      <c r="S162" s="298" t="str">
        <f t="shared" si="12"/>
        <v/>
      </c>
      <c r="T162" s="328" t="str">
        <f t="shared" si="13"/>
        <v/>
      </c>
      <c r="U162" s="291" t="str">
        <f>IF(C162="","",VLOOKUP(T162,'G-3 Multipliers'!$P$2:$Q$6,2,FALSE))</f>
        <v/>
      </c>
      <c r="V162" s="96"/>
      <c r="W162" s="291" t="str">
        <f>IF(V162="","",IF(AND(V162="N/A - Culvert",C162&lt;&gt;"Culvert"),"Not possible ▲",IF(AND(C162="Culvert",V162&lt;&gt;"N/A - Culvert"),"Not possible ▲",IF(VLOOKUP(V162,'G-7 WaterC'' Data'!$AA$4:$AB$7,2,FALSE)=0,"Spatial Data Missing ⚠",VLOOKUP(V162,'G-7 WaterC'' Data'!$AA$4:$AB$7,2,FALSE)))))</f>
        <v/>
      </c>
      <c r="X162" s="44"/>
      <c r="Y162" s="291" t="str">
        <f>IF(X162="","",IF(AND(X162="N/A - Culvert", C162&lt;&gt;"Culvert"), "Not possible ▲",IF(AND(C162="Culvert",X162&lt;&gt;"N/A - Culvert"),"Not possible ▲",IF(VLOOKUP(X162,'G-7 WaterC'' Data'!$AD$4:$AE$14,2,FALSE)=0,"Enrcoachment Data Missing ⚠",VLOOKUP(X162,'G-7 WaterC'' Data'!$AD$4:$AE$14,2,FALSE)))))</f>
        <v/>
      </c>
      <c r="Z162" s="332" t="str">
        <f t="shared" si="14"/>
        <v/>
      </c>
      <c r="AA162" s="98"/>
      <c r="AB162" s="99"/>
      <c r="AC162" s="101"/>
      <c r="AH162" s="15" t="str">
        <f>IFERROR(INDEX('G-7 WaterC'' Data'!$AZ$3:$AZ$7,MATCH(C162,'G-7 WaterC'' Data'!$AY$3:$AY$7,0)),"")</f>
        <v/>
      </c>
    </row>
    <row r="163" spans="2:34" ht="14" x14ac:dyDescent="0.3">
      <c r="B163" s="92">
        <v>152</v>
      </c>
      <c r="C163" s="119"/>
      <c r="D163" s="120"/>
      <c r="E163" s="290" t="str">
        <f>IF(C163="","",VLOOKUP(C163,'G-7 WaterC'' Data'!$B$2:$G$8,2,FALSE))</f>
        <v/>
      </c>
      <c r="F163" s="291" t="str">
        <f>IFERROR(VLOOKUP(E163,'G-7 WaterC'' Data'!$C$4:$D$8,2,FALSE),"")</f>
        <v/>
      </c>
      <c r="G163" s="95"/>
      <c r="H163" s="291" t="str">
        <f>IFERROR(INDEX('G-7 WaterC'' Data'!$H$4:$L$8,MATCH(C163,'G-7 WaterC'' Data'!$B$4:$B$8,0),MATCH(G163,'G-7 WaterC'' Data'!$H$3:$L$3,0)),"")</f>
        <v/>
      </c>
      <c r="I163" s="38"/>
      <c r="J163" s="298" t="str">
        <f>IF(I163="","",IF(VLOOKUP(I163,'G-7 WaterC'' Data'!$AK$4:$AM$6,2,FALSE)=0,"Spatial Data Missing ⚠",VLOOKUP(I163,'G-7 WaterC'' Data'!$AK$4:$AM$6,2,FALSE)))</f>
        <v/>
      </c>
      <c r="K163" s="291" t="str">
        <f>IF(I163="","",IF(VLOOKUP(I163,'G-7 WaterC'' Data'!$AK$4:$AM$6,3,FALSE)=0,"Spatial Data Missing ⚠",VLOOKUP(I163,'G-7 WaterC'' Data'!$AK$4:$AM$6,3,FALSE)))</f>
        <v/>
      </c>
      <c r="L163" s="290" t="str">
        <f>IFERROR(INDEX('G-7 WaterC'' Data'!$O$3:$O$7,MATCH(G163,'G-7 WaterC'' Data'!$N$3:$N$7,0)),"")</f>
        <v/>
      </c>
      <c r="M163" s="47"/>
      <c r="N163" s="138"/>
      <c r="O163" s="298" t="str">
        <f t="shared" si="10"/>
        <v/>
      </c>
      <c r="P163" s="311" t="str">
        <f t="shared" si="11"/>
        <v/>
      </c>
      <c r="Q163" s="344" t="str">
        <f>IFERROR(IF(P163="Check Data ⚠","Check Data ⚠",VLOOKUP(P163,'G-4 Temporal multipliers'!$A$4:$C$37,3,FALSE)),"")</f>
        <v/>
      </c>
      <c r="R163" s="290" t="str">
        <f>IF(C163="","",VLOOKUP(C163,'G-7 WaterC'' Data'!$B$4:$G$8,4,FALSE))</f>
        <v/>
      </c>
      <c r="S163" s="298" t="str">
        <f t="shared" si="12"/>
        <v/>
      </c>
      <c r="T163" s="328" t="str">
        <f t="shared" si="13"/>
        <v/>
      </c>
      <c r="U163" s="291" t="str">
        <f>IF(C163="","",VLOOKUP(T163,'G-3 Multipliers'!$P$2:$Q$6,2,FALSE))</f>
        <v/>
      </c>
      <c r="V163" s="96"/>
      <c r="W163" s="291" t="str">
        <f>IF(V163="","",IF(AND(V163="N/A - Culvert",C163&lt;&gt;"Culvert"),"Not possible ▲",IF(AND(C163="Culvert",V163&lt;&gt;"N/A - Culvert"),"Not possible ▲",IF(VLOOKUP(V163,'G-7 WaterC'' Data'!$AA$4:$AB$7,2,FALSE)=0,"Spatial Data Missing ⚠",VLOOKUP(V163,'G-7 WaterC'' Data'!$AA$4:$AB$7,2,FALSE)))))</f>
        <v/>
      </c>
      <c r="X163" s="44"/>
      <c r="Y163" s="291" t="str">
        <f>IF(X163="","",IF(AND(X163="N/A - Culvert", C163&lt;&gt;"Culvert"), "Not possible ▲",IF(AND(C163="Culvert",X163&lt;&gt;"N/A - Culvert"),"Not possible ▲",IF(VLOOKUP(X163,'G-7 WaterC'' Data'!$AD$4:$AE$14,2,FALSE)=0,"Enrcoachment Data Missing ⚠",VLOOKUP(X163,'G-7 WaterC'' Data'!$AD$4:$AE$14,2,FALSE)))))</f>
        <v/>
      </c>
      <c r="Z163" s="332" t="str">
        <f t="shared" si="14"/>
        <v/>
      </c>
      <c r="AA163" s="98"/>
      <c r="AB163" s="99"/>
      <c r="AC163" s="101"/>
      <c r="AH163" s="15" t="str">
        <f>IFERROR(INDEX('G-7 WaterC'' Data'!$AZ$3:$AZ$7,MATCH(C163,'G-7 WaterC'' Data'!$AY$3:$AY$7,0)),"")</f>
        <v/>
      </c>
    </row>
    <row r="164" spans="2:34" ht="14" x14ac:dyDescent="0.3">
      <c r="B164" s="92">
        <v>153</v>
      </c>
      <c r="C164" s="119"/>
      <c r="D164" s="120"/>
      <c r="E164" s="290" t="str">
        <f>IF(C164="","",VLOOKUP(C164,'G-7 WaterC'' Data'!$B$2:$G$8,2,FALSE))</f>
        <v/>
      </c>
      <c r="F164" s="291" t="str">
        <f>IFERROR(VLOOKUP(E164,'G-7 WaterC'' Data'!$C$4:$D$8,2,FALSE),"")</f>
        <v/>
      </c>
      <c r="G164" s="95"/>
      <c r="H164" s="291" t="str">
        <f>IFERROR(INDEX('G-7 WaterC'' Data'!$H$4:$L$8,MATCH(C164,'G-7 WaterC'' Data'!$B$4:$B$8,0),MATCH(G164,'G-7 WaterC'' Data'!$H$3:$L$3,0)),"")</f>
        <v/>
      </c>
      <c r="I164" s="38"/>
      <c r="J164" s="298" t="str">
        <f>IF(I164="","",IF(VLOOKUP(I164,'G-7 WaterC'' Data'!$AK$4:$AM$6,2,FALSE)=0,"Spatial Data Missing ⚠",VLOOKUP(I164,'G-7 WaterC'' Data'!$AK$4:$AM$6,2,FALSE)))</f>
        <v/>
      </c>
      <c r="K164" s="291" t="str">
        <f>IF(I164="","",IF(VLOOKUP(I164,'G-7 WaterC'' Data'!$AK$4:$AM$6,3,FALSE)=0,"Spatial Data Missing ⚠",VLOOKUP(I164,'G-7 WaterC'' Data'!$AK$4:$AM$6,3,FALSE)))</f>
        <v/>
      </c>
      <c r="L164" s="290" t="str">
        <f>IFERROR(INDEX('G-7 WaterC'' Data'!$O$3:$O$7,MATCH(G164,'G-7 WaterC'' Data'!$N$3:$N$7,0)),"")</f>
        <v/>
      </c>
      <c r="M164" s="47"/>
      <c r="N164" s="138"/>
      <c r="O164" s="298" t="str">
        <f t="shared" si="10"/>
        <v/>
      </c>
      <c r="P164" s="311" t="str">
        <f t="shared" si="11"/>
        <v/>
      </c>
      <c r="Q164" s="344" t="str">
        <f>IFERROR(IF(P164="Check Data ⚠","Check Data ⚠",VLOOKUP(P164,'G-4 Temporal multipliers'!$A$4:$C$37,3,FALSE)),"")</f>
        <v/>
      </c>
      <c r="R164" s="290" t="str">
        <f>IF(C164="","",VLOOKUP(C164,'G-7 WaterC'' Data'!$B$4:$G$8,4,FALSE))</f>
        <v/>
      </c>
      <c r="S164" s="298" t="str">
        <f t="shared" si="12"/>
        <v/>
      </c>
      <c r="T164" s="328" t="str">
        <f t="shared" si="13"/>
        <v/>
      </c>
      <c r="U164" s="291" t="str">
        <f>IF(C164="","",VLOOKUP(T164,'G-3 Multipliers'!$P$2:$Q$6,2,FALSE))</f>
        <v/>
      </c>
      <c r="V164" s="96"/>
      <c r="W164" s="291" t="str">
        <f>IF(V164="","",IF(AND(V164="N/A - Culvert",C164&lt;&gt;"Culvert"),"Not possible ▲",IF(AND(C164="Culvert",V164&lt;&gt;"N/A - Culvert"),"Not possible ▲",IF(VLOOKUP(V164,'G-7 WaterC'' Data'!$AA$4:$AB$7,2,FALSE)=0,"Spatial Data Missing ⚠",VLOOKUP(V164,'G-7 WaterC'' Data'!$AA$4:$AB$7,2,FALSE)))))</f>
        <v/>
      </c>
      <c r="X164" s="44"/>
      <c r="Y164" s="291" t="str">
        <f>IF(X164="","",IF(AND(X164="N/A - Culvert", C164&lt;&gt;"Culvert"), "Not possible ▲",IF(AND(C164="Culvert",X164&lt;&gt;"N/A - Culvert"),"Not possible ▲",IF(VLOOKUP(X164,'G-7 WaterC'' Data'!$AD$4:$AE$14,2,FALSE)=0,"Enrcoachment Data Missing ⚠",VLOOKUP(X164,'G-7 WaterC'' Data'!$AD$4:$AE$14,2,FALSE)))))</f>
        <v/>
      </c>
      <c r="Z164" s="332" t="str">
        <f t="shared" si="14"/>
        <v/>
      </c>
      <c r="AA164" s="98"/>
      <c r="AB164" s="99"/>
      <c r="AC164" s="101"/>
      <c r="AH164" s="15" t="str">
        <f>IFERROR(INDEX('G-7 WaterC'' Data'!$AZ$3:$AZ$7,MATCH(C164,'G-7 WaterC'' Data'!$AY$3:$AY$7,0)),"")</f>
        <v/>
      </c>
    </row>
    <row r="165" spans="2:34" ht="14" x14ac:dyDescent="0.3">
      <c r="B165" s="92">
        <v>154</v>
      </c>
      <c r="C165" s="119"/>
      <c r="D165" s="120"/>
      <c r="E165" s="290" t="str">
        <f>IF(C165="","",VLOOKUP(C165,'G-7 WaterC'' Data'!$B$2:$G$8,2,FALSE))</f>
        <v/>
      </c>
      <c r="F165" s="291" t="str">
        <f>IFERROR(VLOOKUP(E165,'G-7 WaterC'' Data'!$C$4:$D$8,2,FALSE),"")</f>
        <v/>
      </c>
      <c r="G165" s="95"/>
      <c r="H165" s="291" t="str">
        <f>IFERROR(INDEX('G-7 WaterC'' Data'!$H$4:$L$8,MATCH(C165,'G-7 WaterC'' Data'!$B$4:$B$8,0),MATCH(G165,'G-7 WaterC'' Data'!$H$3:$L$3,0)),"")</f>
        <v/>
      </c>
      <c r="I165" s="38"/>
      <c r="J165" s="298" t="str">
        <f>IF(I165="","",IF(VLOOKUP(I165,'G-7 WaterC'' Data'!$AK$4:$AM$6,2,FALSE)=0,"Spatial Data Missing ⚠",VLOOKUP(I165,'G-7 WaterC'' Data'!$AK$4:$AM$6,2,FALSE)))</f>
        <v/>
      </c>
      <c r="K165" s="291" t="str">
        <f>IF(I165="","",IF(VLOOKUP(I165,'G-7 WaterC'' Data'!$AK$4:$AM$6,3,FALSE)=0,"Spatial Data Missing ⚠",VLOOKUP(I165,'G-7 WaterC'' Data'!$AK$4:$AM$6,3,FALSE)))</f>
        <v/>
      </c>
      <c r="L165" s="290" t="str">
        <f>IFERROR(INDEX('G-7 WaterC'' Data'!$O$3:$O$7,MATCH(G165,'G-7 WaterC'' Data'!$N$3:$N$7,0)),"")</f>
        <v/>
      </c>
      <c r="M165" s="47"/>
      <c r="N165" s="138"/>
      <c r="O165" s="298" t="str">
        <f t="shared" si="10"/>
        <v/>
      </c>
      <c r="P165" s="311" t="str">
        <f t="shared" si="11"/>
        <v/>
      </c>
      <c r="Q165" s="344" t="str">
        <f>IFERROR(IF(P165="Check Data ⚠","Check Data ⚠",VLOOKUP(P165,'G-4 Temporal multipliers'!$A$4:$C$37,3,FALSE)),"")</f>
        <v/>
      </c>
      <c r="R165" s="290" t="str">
        <f>IF(C165="","",VLOOKUP(C165,'G-7 WaterC'' Data'!$B$4:$G$8,4,FALSE))</f>
        <v/>
      </c>
      <c r="S165" s="298" t="str">
        <f t="shared" si="12"/>
        <v/>
      </c>
      <c r="T165" s="328" t="str">
        <f t="shared" si="13"/>
        <v/>
      </c>
      <c r="U165" s="291" t="str">
        <f>IF(C165="","",VLOOKUP(T165,'G-3 Multipliers'!$P$2:$Q$6,2,FALSE))</f>
        <v/>
      </c>
      <c r="V165" s="96"/>
      <c r="W165" s="291" t="str">
        <f>IF(V165="","",IF(AND(V165="N/A - Culvert",C165&lt;&gt;"Culvert"),"Not possible ▲",IF(AND(C165="Culvert",V165&lt;&gt;"N/A - Culvert"),"Not possible ▲",IF(VLOOKUP(V165,'G-7 WaterC'' Data'!$AA$4:$AB$7,2,FALSE)=0,"Spatial Data Missing ⚠",VLOOKUP(V165,'G-7 WaterC'' Data'!$AA$4:$AB$7,2,FALSE)))))</f>
        <v/>
      </c>
      <c r="X165" s="44"/>
      <c r="Y165" s="291" t="str">
        <f>IF(X165="","",IF(AND(X165="N/A - Culvert", C165&lt;&gt;"Culvert"), "Not possible ▲",IF(AND(C165="Culvert",X165&lt;&gt;"N/A - Culvert"),"Not possible ▲",IF(VLOOKUP(X165,'G-7 WaterC'' Data'!$AD$4:$AE$14,2,FALSE)=0,"Enrcoachment Data Missing ⚠",VLOOKUP(X165,'G-7 WaterC'' Data'!$AD$4:$AE$14,2,FALSE)))))</f>
        <v/>
      </c>
      <c r="Z165" s="332" t="str">
        <f t="shared" si="14"/>
        <v/>
      </c>
      <c r="AA165" s="98"/>
      <c r="AB165" s="99"/>
      <c r="AC165" s="101"/>
      <c r="AH165" s="15" t="str">
        <f>IFERROR(INDEX('G-7 WaterC'' Data'!$AZ$3:$AZ$7,MATCH(C165,'G-7 WaterC'' Data'!$AY$3:$AY$7,0)),"")</f>
        <v/>
      </c>
    </row>
    <row r="166" spans="2:34" ht="14" x14ac:dyDescent="0.3">
      <c r="B166" s="92">
        <v>155</v>
      </c>
      <c r="C166" s="119"/>
      <c r="D166" s="120"/>
      <c r="E166" s="290" t="str">
        <f>IF(C166="","",VLOOKUP(C166,'G-7 WaterC'' Data'!$B$2:$G$8,2,FALSE))</f>
        <v/>
      </c>
      <c r="F166" s="291" t="str">
        <f>IFERROR(VLOOKUP(E166,'G-7 WaterC'' Data'!$C$4:$D$8,2,FALSE),"")</f>
        <v/>
      </c>
      <c r="G166" s="95"/>
      <c r="H166" s="291" t="str">
        <f>IFERROR(INDEX('G-7 WaterC'' Data'!$H$4:$L$8,MATCH(C166,'G-7 WaterC'' Data'!$B$4:$B$8,0),MATCH(G166,'G-7 WaterC'' Data'!$H$3:$L$3,0)),"")</f>
        <v/>
      </c>
      <c r="I166" s="38"/>
      <c r="J166" s="298" t="str">
        <f>IF(I166="","",IF(VLOOKUP(I166,'G-7 WaterC'' Data'!$AK$4:$AM$6,2,FALSE)=0,"Spatial Data Missing ⚠",VLOOKUP(I166,'G-7 WaterC'' Data'!$AK$4:$AM$6,2,FALSE)))</f>
        <v/>
      </c>
      <c r="K166" s="291" t="str">
        <f>IF(I166="","",IF(VLOOKUP(I166,'G-7 WaterC'' Data'!$AK$4:$AM$6,3,FALSE)=0,"Spatial Data Missing ⚠",VLOOKUP(I166,'G-7 WaterC'' Data'!$AK$4:$AM$6,3,FALSE)))</f>
        <v/>
      </c>
      <c r="L166" s="290" t="str">
        <f>IFERROR(INDEX('G-7 WaterC'' Data'!$O$3:$O$7,MATCH(G166,'G-7 WaterC'' Data'!$N$3:$N$7,0)),"")</f>
        <v/>
      </c>
      <c r="M166" s="47"/>
      <c r="N166" s="138"/>
      <c r="O166" s="298" t="str">
        <f t="shared" si="10"/>
        <v/>
      </c>
      <c r="P166" s="311" t="str">
        <f t="shared" si="11"/>
        <v/>
      </c>
      <c r="Q166" s="344" t="str">
        <f>IFERROR(IF(P166="Check Data ⚠","Check Data ⚠",VLOOKUP(P166,'G-4 Temporal multipliers'!$A$4:$C$37,3,FALSE)),"")</f>
        <v/>
      </c>
      <c r="R166" s="290" t="str">
        <f>IF(C166="","",VLOOKUP(C166,'G-7 WaterC'' Data'!$B$4:$G$8,4,FALSE))</f>
        <v/>
      </c>
      <c r="S166" s="298" t="str">
        <f t="shared" si="12"/>
        <v/>
      </c>
      <c r="T166" s="328" t="str">
        <f t="shared" si="13"/>
        <v/>
      </c>
      <c r="U166" s="291" t="str">
        <f>IF(C166="","",VLOOKUP(T166,'G-3 Multipliers'!$P$2:$Q$6,2,FALSE))</f>
        <v/>
      </c>
      <c r="V166" s="96"/>
      <c r="W166" s="291" t="str">
        <f>IF(V166="","",IF(AND(V166="N/A - Culvert",C166&lt;&gt;"Culvert"),"Not possible ▲",IF(AND(C166="Culvert",V166&lt;&gt;"N/A - Culvert"),"Not possible ▲",IF(VLOOKUP(V166,'G-7 WaterC'' Data'!$AA$4:$AB$7,2,FALSE)=0,"Spatial Data Missing ⚠",VLOOKUP(V166,'G-7 WaterC'' Data'!$AA$4:$AB$7,2,FALSE)))))</f>
        <v/>
      </c>
      <c r="X166" s="44"/>
      <c r="Y166" s="291" t="str">
        <f>IF(X166="","",IF(AND(X166="N/A - Culvert", C166&lt;&gt;"Culvert"), "Not possible ▲",IF(AND(C166="Culvert",X166&lt;&gt;"N/A - Culvert"),"Not possible ▲",IF(VLOOKUP(X166,'G-7 WaterC'' Data'!$AD$4:$AE$14,2,FALSE)=0,"Enrcoachment Data Missing ⚠",VLOOKUP(X166,'G-7 WaterC'' Data'!$AD$4:$AE$14,2,FALSE)))))</f>
        <v/>
      </c>
      <c r="Z166" s="332" t="str">
        <f t="shared" si="14"/>
        <v/>
      </c>
      <c r="AA166" s="98"/>
      <c r="AB166" s="99"/>
      <c r="AC166" s="101"/>
      <c r="AH166" s="15" t="str">
        <f>IFERROR(INDEX('G-7 WaterC'' Data'!$AZ$3:$AZ$7,MATCH(C166,'G-7 WaterC'' Data'!$AY$3:$AY$7,0)),"")</f>
        <v/>
      </c>
    </row>
    <row r="167" spans="2:34" ht="14" x14ac:dyDescent="0.3">
      <c r="B167" s="92">
        <v>156</v>
      </c>
      <c r="C167" s="119"/>
      <c r="D167" s="120"/>
      <c r="E167" s="290" t="str">
        <f>IF(C167="","",VLOOKUP(C167,'G-7 WaterC'' Data'!$B$2:$G$8,2,FALSE))</f>
        <v/>
      </c>
      <c r="F167" s="291" t="str">
        <f>IFERROR(VLOOKUP(E167,'G-7 WaterC'' Data'!$C$4:$D$8,2,FALSE),"")</f>
        <v/>
      </c>
      <c r="G167" s="95"/>
      <c r="H167" s="291" t="str">
        <f>IFERROR(INDEX('G-7 WaterC'' Data'!$H$4:$L$8,MATCH(C167,'G-7 WaterC'' Data'!$B$4:$B$8,0),MATCH(G167,'G-7 WaterC'' Data'!$H$3:$L$3,0)),"")</f>
        <v/>
      </c>
      <c r="I167" s="38"/>
      <c r="J167" s="298" t="str">
        <f>IF(I167="","",IF(VLOOKUP(I167,'G-7 WaterC'' Data'!$AK$4:$AM$6,2,FALSE)=0,"Spatial Data Missing ⚠",VLOOKUP(I167,'G-7 WaterC'' Data'!$AK$4:$AM$6,2,FALSE)))</f>
        <v/>
      </c>
      <c r="K167" s="291" t="str">
        <f>IF(I167="","",IF(VLOOKUP(I167,'G-7 WaterC'' Data'!$AK$4:$AM$6,3,FALSE)=0,"Spatial Data Missing ⚠",VLOOKUP(I167,'G-7 WaterC'' Data'!$AK$4:$AM$6,3,FALSE)))</f>
        <v/>
      </c>
      <c r="L167" s="290" t="str">
        <f>IFERROR(INDEX('G-7 WaterC'' Data'!$O$3:$O$7,MATCH(G167,'G-7 WaterC'' Data'!$N$3:$N$7,0)),"")</f>
        <v/>
      </c>
      <c r="M167" s="47"/>
      <c r="N167" s="138"/>
      <c r="O167" s="298" t="str">
        <f t="shared" si="10"/>
        <v/>
      </c>
      <c r="P167" s="311" t="str">
        <f t="shared" si="11"/>
        <v/>
      </c>
      <c r="Q167" s="344" t="str">
        <f>IFERROR(IF(P167="Check Data ⚠","Check Data ⚠",VLOOKUP(P167,'G-4 Temporal multipliers'!$A$4:$C$37,3,FALSE)),"")</f>
        <v/>
      </c>
      <c r="R167" s="290" t="str">
        <f>IF(C167="","",VLOOKUP(C167,'G-7 WaterC'' Data'!$B$4:$G$8,4,FALSE))</f>
        <v/>
      </c>
      <c r="S167" s="298" t="str">
        <f t="shared" si="12"/>
        <v/>
      </c>
      <c r="T167" s="328" t="str">
        <f t="shared" si="13"/>
        <v/>
      </c>
      <c r="U167" s="291" t="str">
        <f>IF(C167="","",VLOOKUP(T167,'G-3 Multipliers'!$P$2:$Q$6,2,FALSE))</f>
        <v/>
      </c>
      <c r="V167" s="96"/>
      <c r="W167" s="291" t="str">
        <f>IF(V167="","",IF(AND(V167="N/A - Culvert",C167&lt;&gt;"Culvert"),"Not possible ▲",IF(AND(C167="Culvert",V167&lt;&gt;"N/A - Culvert"),"Not possible ▲",IF(VLOOKUP(V167,'G-7 WaterC'' Data'!$AA$4:$AB$7,2,FALSE)=0,"Spatial Data Missing ⚠",VLOOKUP(V167,'G-7 WaterC'' Data'!$AA$4:$AB$7,2,FALSE)))))</f>
        <v/>
      </c>
      <c r="X167" s="44"/>
      <c r="Y167" s="291" t="str">
        <f>IF(X167="","",IF(AND(X167="N/A - Culvert", C167&lt;&gt;"Culvert"), "Not possible ▲",IF(AND(C167="Culvert",X167&lt;&gt;"N/A - Culvert"),"Not possible ▲",IF(VLOOKUP(X167,'G-7 WaterC'' Data'!$AD$4:$AE$14,2,FALSE)=0,"Enrcoachment Data Missing ⚠",VLOOKUP(X167,'G-7 WaterC'' Data'!$AD$4:$AE$14,2,FALSE)))))</f>
        <v/>
      </c>
      <c r="Z167" s="332" t="str">
        <f t="shared" si="14"/>
        <v/>
      </c>
      <c r="AA167" s="98"/>
      <c r="AB167" s="99"/>
      <c r="AC167" s="101"/>
      <c r="AH167" s="15" t="str">
        <f>IFERROR(INDEX('G-7 WaterC'' Data'!$AZ$3:$AZ$7,MATCH(C167,'G-7 WaterC'' Data'!$AY$3:$AY$7,0)),"")</f>
        <v/>
      </c>
    </row>
    <row r="168" spans="2:34" ht="14" x14ac:dyDescent="0.3">
      <c r="B168" s="92">
        <v>157</v>
      </c>
      <c r="C168" s="119"/>
      <c r="D168" s="120"/>
      <c r="E168" s="290" t="str">
        <f>IF(C168="","",VLOOKUP(C168,'G-7 WaterC'' Data'!$B$2:$G$8,2,FALSE))</f>
        <v/>
      </c>
      <c r="F168" s="291" t="str">
        <f>IFERROR(VLOOKUP(E168,'G-7 WaterC'' Data'!$C$4:$D$8,2,FALSE),"")</f>
        <v/>
      </c>
      <c r="G168" s="95"/>
      <c r="H168" s="291" t="str">
        <f>IFERROR(INDEX('G-7 WaterC'' Data'!$H$4:$L$8,MATCH(C168,'G-7 WaterC'' Data'!$B$4:$B$8,0),MATCH(G168,'G-7 WaterC'' Data'!$H$3:$L$3,0)),"")</f>
        <v/>
      </c>
      <c r="I168" s="38"/>
      <c r="J168" s="298" t="str">
        <f>IF(I168="","",IF(VLOOKUP(I168,'G-7 WaterC'' Data'!$AK$4:$AM$6,2,FALSE)=0,"Spatial Data Missing ⚠",VLOOKUP(I168,'G-7 WaterC'' Data'!$AK$4:$AM$6,2,FALSE)))</f>
        <v/>
      </c>
      <c r="K168" s="291" t="str">
        <f>IF(I168="","",IF(VLOOKUP(I168,'G-7 WaterC'' Data'!$AK$4:$AM$6,3,FALSE)=0,"Spatial Data Missing ⚠",VLOOKUP(I168,'G-7 WaterC'' Data'!$AK$4:$AM$6,3,FALSE)))</f>
        <v/>
      </c>
      <c r="L168" s="290" t="str">
        <f>IFERROR(INDEX('G-7 WaterC'' Data'!$O$3:$O$7,MATCH(G168,'G-7 WaterC'' Data'!$N$3:$N$7,0)),"")</f>
        <v/>
      </c>
      <c r="M168" s="47"/>
      <c r="N168" s="138"/>
      <c r="O168" s="298" t="str">
        <f t="shared" si="10"/>
        <v/>
      </c>
      <c r="P168" s="311" t="str">
        <f t="shared" si="11"/>
        <v/>
      </c>
      <c r="Q168" s="344" t="str">
        <f>IFERROR(IF(P168="Check Data ⚠","Check Data ⚠",VLOOKUP(P168,'G-4 Temporal multipliers'!$A$4:$C$37,3,FALSE)),"")</f>
        <v/>
      </c>
      <c r="R168" s="290" t="str">
        <f>IF(C168="","",VLOOKUP(C168,'G-7 WaterC'' Data'!$B$4:$G$8,4,FALSE))</f>
        <v/>
      </c>
      <c r="S168" s="298" t="str">
        <f t="shared" si="12"/>
        <v/>
      </c>
      <c r="T168" s="328" t="str">
        <f t="shared" si="13"/>
        <v/>
      </c>
      <c r="U168" s="291" t="str">
        <f>IF(C168="","",VLOOKUP(T168,'G-3 Multipliers'!$P$2:$Q$6,2,FALSE))</f>
        <v/>
      </c>
      <c r="V168" s="96"/>
      <c r="W168" s="291" t="str">
        <f>IF(V168="","",IF(AND(V168="N/A - Culvert",C168&lt;&gt;"Culvert"),"Not possible ▲",IF(AND(C168="Culvert",V168&lt;&gt;"N/A - Culvert"),"Not possible ▲",IF(VLOOKUP(V168,'G-7 WaterC'' Data'!$AA$4:$AB$7,2,FALSE)=0,"Spatial Data Missing ⚠",VLOOKUP(V168,'G-7 WaterC'' Data'!$AA$4:$AB$7,2,FALSE)))))</f>
        <v/>
      </c>
      <c r="X168" s="44"/>
      <c r="Y168" s="291" t="str">
        <f>IF(X168="","",IF(AND(X168="N/A - Culvert", C168&lt;&gt;"Culvert"), "Not possible ▲",IF(AND(C168="Culvert",X168&lt;&gt;"N/A - Culvert"),"Not possible ▲",IF(VLOOKUP(X168,'G-7 WaterC'' Data'!$AD$4:$AE$14,2,FALSE)=0,"Enrcoachment Data Missing ⚠",VLOOKUP(X168,'G-7 WaterC'' Data'!$AD$4:$AE$14,2,FALSE)))))</f>
        <v/>
      </c>
      <c r="Z168" s="332" t="str">
        <f t="shared" si="14"/>
        <v/>
      </c>
      <c r="AA168" s="98"/>
      <c r="AB168" s="99"/>
      <c r="AC168" s="101"/>
      <c r="AH168" s="15" t="str">
        <f>IFERROR(INDEX('G-7 WaterC'' Data'!$AZ$3:$AZ$7,MATCH(C168,'G-7 WaterC'' Data'!$AY$3:$AY$7,0)),"")</f>
        <v/>
      </c>
    </row>
    <row r="169" spans="2:34" ht="14" x14ac:dyDescent="0.3">
      <c r="B169" s="92">
        <v>158</v>
      </c>
      <c r="C169" s="119"/>
      <c r="D169" s="120"/>
      <c r="E169" s="290" t="str">
        <f>IF(C169="","",VLOOKUP(C169,'G-7 WaterC'' Data'!$B$2:$G$8,2,FALSE))</f>
        <v/>
      </c>
      <c r="F169" s="291" t="str">
        <f>IFERROR(VLOOKUP(E169,'G-7 WaterC'' Data'!$C$4:$D$8,2,FALSE),"")</f>
        <v/>
      </c>
      <c r="G169" s="95"/>
      <c r="H169" s="291" t="str">
        <f>IFERROR(INDEX('G-7 WaterC'' Data'!$H$4:$L$8,MATCH(C169,'G-7 WaterC'' Data'!$B$4:$B$8,0),MATCH(G169,'G-7 WaterC'' Data'!$H$3:$L$3,0)),"")</f>
        <v/>
      </c>
      <c r="I169" s="38"/>
      <c r="J169" s="298" t="str">
        <f>IF(I169="","",IF(VLOOKUP(I169,'G-7 WaterC'' Data'!$AK$4:$AM$6,2,FALSE)=0,"Spatial Data Missing ⚠",VLOOKUP(I169,'G-7 WaterC'' Data'!$AK$4:$AM$6,2,FALSE)))</f>
        <v/>
      </c>
      <c r="K169" s="291" t="str">
        <f>IF(I169="","",IF(VLOOKUP(I169,'G-7 WaterC'' Data'!$AK$4:$AM$6,3,FALSE)=0,"Spatial Data Missing ⚠",VLOOKUP(I169,'G-7 WaterC'' Data'!$AK$4:$AM$6,3,FALSE)))</f>
        <v/>
      </c>
      <c r="L169" s="290" t="str">
        <f>IFERROR(INDEX('G-7 WaterC'' Data'!$O$3:$O$7,MATCH(G169,'G-7 WaterC'' Data'!$N$3:$N$7,0)),"")</f>
        <v/>
      </c>
      <c r="M169" s="47"/>
      <c r="N169" s="138"/>
      <c r="O169" s="298" t="str">
        <f t="shared" si="10"/>
        <v/>
      </c>
      <c r="P169" s="311" t="str">
        <f t="shared" si="11"/>
        <v/>
      </c>
      <c r="Q169" s="344" t="str">
        <f>IFERROR(IF(P169="Check Data ⚠","Check Data ⚠",VLOOKUP(P169,'G-4 Temporal multipliers'!$A$4:$C$37,3,FALSE)),"")</f>
        <v/>
      </c>
      <c r="R169" s="290" t="str">
        <f>IF(C169="","",VLOOKUP(C169,'G-7 WaterC'' Data'!$B$4:$G$8,4,FALSE))</f>
        <v/>
      </c>
      <c r="S169" s="298" t="str">
        <f t="shared" si="12"/>
        <v/>
      </c>
      <c r="T169" s="328" t="str">
        <f t="shared" si="13"/>
        <v/>
      </c>
      <c r="U169" s="291" t="str">
        <f>IF(C169="","",VLOOKUP(T169,'G-3 Multipliers'!$P$2:$Q$6,2,FALSE))</f>
        <v/>
      </c>
      <c r="V169" s="96"/>
      <c r="W169" s="291" t="str">
        <f>IF(V169="","",IF(AND(V169="N/A - Culvert",C169&lt;&gt;"Culvert"),"Not possible ▲",IF(AND(C169="Culvert",V169&lt;&gt;"N/A - Culvert"),"Not possible ▲",IF(VLOOKUP(V169,'G-7 WaterC'' Data'!$AA$4:$AB$7,2,FALSE)=0,"Spatial Data Missing ⚠",VLOOKUP(V169,'G-7 WaterC'' Data'!$AA$4:$AB$7,2,FALSE)))))</f>
        <v/>
      </c>
      <c r="X169" s="44"/>
      <c r="Y169" s="291" t="str">
        <f>IF(X169="","",IF(AND(X169="N/A - Culvert", C169&lt;&gt;"Culvert"), "Not possible ▲",IF(AND(C169="Culvert",X169&lt;&gt;"N/A - Culvert"),"Not possible ▲",IF(VLOOKUP(X169,'G-7 WaterC'' Data'!$AD$4:$AE$14,2,FALSE)=0,"Enrcoachment Data Missing ⚠",VLOOKUP(X169,'G-7 WaterC'' Data'!$AD$4:$AE$14,2,FALSE)))))</f>
        <v/>
      </c>
      <c r="Z169" s="332" t="str">
        <f t="shared" si="14"/>
        <v/>
      </c>
      <c r="AA169" s="98"/>
      <c r="AB169" s="99"/>
      <c r="AC169" s="101"/>
      <c r="AH169" s="15" t="str">
        <f>IFERROR(INDEX('G-7 WaterC'' Data'!$AZ$3:$AZ$7,MATCH(C169,'G-7 WaterC'' Data'!$AY$3:$AY$7,0)),"")</f>
        <v/>
      </c>
    </row>
    <row r="170" spans="2:34" ht="14" x14ac:dyDescent="0.3">
      <c r="B170" s="92">
        <v>159</v>
      </c>
      <c r="C170" s="119"/>
      <c r="D170" s="120"/>
      <c r="E170" s="290" t="str">
        <f>IF(C170="","",VLOOKUP(C170,'G-7 WaterC'' Data'!$B$2:$G$8,2,FALSE))</f>
        <v/>
      </c>
      <c r="F170" s="291" t="str">
        <f>IFERROR(VLOOKUP(E170,'G-7 WaterC'' Data'!$C$4:$D$8,2,FALSE),"")</f>
        <v/>
      </c>
      <c r="G170" s="95"/>
      <c r="H170" s="291" t="str">
        <f>IFERROR(INDEX('G-7 WaterC'' Data'!$H$4:$L$8,MATCH(C170,'G-7 WaterC'' Data'!$B$4:$B$8,0),MATCH(G170,'G-7 WaterC'' Data'!$H$3:$L$3,0)),"")</f>
        <v/>
      </c>
      <c r="I170" s="38"/>
      <c r="J170" s="298" t="str">
        <f>IF(I170="","",IF(VLOOKUP(I170,'G-7 WaterC'' Data'!$AK$4:$AM$6,2,FALSE)=0,"Spatial Data Missing ⚠",VLOOKUP(I170,'G-7 WaterC'' Data'!$AK$4:$AM$6,2,FALSE)))</f>
        <v/>
      </c>
      <c r="K170" s="291" t="str">
        <f>IF(I170="","",IF(VLOOKUP(I170,'G-7 WaterC'' Data'!$AK$4:$AM$6,3,FALSE)=0,"Spatial Data Missing ⚠",VLOOKUP(I170,'G-7 WaterC'' Data'!$AK$4:$AM$6,3,FALSE)))</f>
        <v/>
      </c>
      <c r="L170" s="290" t="str">
        <f>IFERROR(INDEX('G-7 WaterC'' Data'!$O$3:$O$7,MATCH(G170,'G-7 WaterC'' Data'!$N$3:$N$7,0)),"")</f>
        <v/>
      </c>
      <c r="M170" s="47"/>
      <c r="N170" s="138"/>
      <c r="O170" s="298" t="str">
        <f t="shared" si="10"/>
        <v/>
      </c>
      <c r="P170" s="311" t="str">
        <f t="shared" si="11"/>
        <v/>
      </c>
      <c r="Q170" s="344" t="str">
        <f>IFERROR(IF(P170="Check Data ⚠","Check Data ⚠",VLOOKUP(P170,'G-4 Temporal multipliers'!$A$4:$C$37,3,FALSE)),"")</f>
        <v/>
      </c>
      <c r="R170" s="290" t="str">
        <f>IF(C170="","",VLOOKUP(C170,'G-7 WaterC'' Data'!$B$4:$G$8,4,FALSE))</f>
        <v/>
      </c>
      <c r="S170" s="298" t="str">
        <f t="shared" si="12"/>
        <v/>
      </c>
      <c r="T170" s="328" t="str">
        <f t="shared" si="13"/>
        <v/>
      </c>
      <c r="U170" s="291" t="str">
        <f>IF(C170="","",VLOOKUP(T170,'G-3 Multipliers'!$P$2:$Q$6,2,FALSE))</f>
        <v/>
      </c>
      <c r="V170" s="96"/>
      <c r="W170" s="291" t="str">
        <f>IF(V170="","",IF(AND(V170="N/A - Culvert",C170&lt;&gt;"Culvert"),"Not possible ▲",IF(AND(C170="Culvert",V170&lt;&gt;"N/A - Culvert"),"Not possible ▲",IF(VLOOKUP(V170,'G-7 WaterC'' Data'!$AA$4:$AB$7,2,FALSE)=0,"Spatial Data Missing ⚠",VLOOKUP(V170,'G-7 WaterC'' Data'!$AA$4:$AB$7,2,FALSE)))))</f>
        <v/>
      </c>
      <c r="X170" s="44"/>
      <c r="Y170" s="291" t="str">
        <f>IF(X170="","",IF(AND(X170="N/A - Culvert", C170&lt;&gt;"Culvert"), "Not possible ▲",IF(AND(C170="Culvert",X170&lt;&gt;"N/A - Culvert"),"Not possible ▲",IF(VLOOKUP(X170,'G-7 WaterC'' Data'!$AD$4:$AE$14,2,FALSE)=0,"Enrcoachment Data Missing ⚠",VLOOKUP(X170,'G-7 WaterC'' Data'!$AD$4:$AE$14,2,FALSE)))))</f>
        <v/>
      </c>
      <c r="Z170" s="332" t="str">
        <f t="shared" si="14"/>
        <v/>
      </c>
      <c r="AA170" s="98"/>
      <c r="AB170" s="99"/>
      <c r="AC170" s="101"/>
      <c r="AH170" s="15" t="str">
        <f>IFERROR(INDEX('G-7 WaterC'' Data'!$AZ$3:$AZ$7,MATCH(C170,'G-7 WaterC'' Data'!$AY$3:$AY$7,0)),"")</f>
        <v/>
      </c>
    </row>
    <row r="171" spans="2:34" ht="14" x14ac:dyDescent="0.3">
      <c r="B171" s="92">
        <v>160</v>
      </c>
      <c r="C171" s="119"/>
      <c r="D171" s="120"/>
      <c r="E171" s="290" t="str">
        <f>IF(C171="","",VLOOKUP(C171,'G-7 WaterC'' Data'!$B$2:$G$8,2,FALSE))</f>
        <v/>
      </c>
      <c r="F171" s="291" t="str">
        <f>IFERROR(VLOOKUP(E171,'G-7 WaterC'' Data'!$C$4:$D$8,2,FALSE),"")</f>
        <v/>
      </c>
      <c r="G171" s="95"/>
      <c r="H171" s="291" t="str">
        <f>IFERROR(INDEX('G-7 WaterC'' Data'!$H$4:$L$8,MATCH(C171,'G-7 WaterC'' Data'!$B$4:$B$8,0),MATCH(G171,'G-7 WaterC'' Data'!$H$3:$L$3,0)),"")</f>
        <v/>
      </c>
      <c r="I171" s="38"/>
      <c r="J171" s="298" t="str">
        <f>IF(I171="","",IF(VLOOKUP(I171,'G-7 WaterC'' Data'!$AK$4:$AM$6,2,FALSE)=0,"Spatial Data Missing ⚠",VLOOKUP(I171,'G-7 WaterC'' Data'!$AK$4:$AM$6,2,FALSE)))</f>
        <v/>
      </c>
      <c r="K171" s="291" t="str">
        <f>IF(I171="","",IF(VLOOKUP(I171,'G-7 WaterC'' Data'!$AK$4:$AM$6,3,FALSE)=0,"Spatial Data Missing ⚠",VLOOKUP(I171,'G-7 WaterC'' Data'!$AK$4:$AM$6,3,FALSE)))</f>
        <v/>
      </c>
      <c r="L171" s="290" t="str">
        <f>IFERROR(INDEX('G-7 WaterC'' Data'!$O$3:$O$7,MATCH(G171,'G-7 WaterC'' Data'!$N$3:$N$7,0)),"")</f>
        <v/>
      </c>
      <c r="M171" s="47"/>
      <c r="N171" s="138"/>
      <c r="O171" s="298" t="str">
        <f t="shared" si="10"/>
        <v/>
      </c>
      <c r="P171" s="311" t="str">
        <f t="shared" si="11"/>
        <v/>
      </c>
      <c r="Q171" s="344" t="str">
        <f>IFERROR(IF(P171="Check Data ⚠","Check Data ⚠",VLOOKUP(P171,'G-4 Temporal multipliers'!$A$4:$C$37,3,FALSE)),"")</f>
        <v/>
      </c>
      <c r="R171" s="290" t="str">
        <f>IF(C171="","",VLOOKUP(C171,'G-7 WaterC'' Data'!$B$4:$G$8,4,FALSE))</f>
        <v/>
      </c>
      <c r="S171" s="298" t="str">
        <f t="shared" si="12"/>
        <v/>
      </c>
      <c r="T171" s="328" t="str">
        <f t="shared" si="13"/>
        <v/>
      </c>
      <c r="U171" s="291" t="str">
        <f>IF(C171="","",VLOOKUP(T171,'G-3 Multipliers'!$P$2:$Q$6,2,FALSE))</f>
        <v/>
      </c>
      <c r="V171" s="96"/>
      <c r="W171" s="291" t="str">
        <f>IF(V171="","",IF(AND(V171="N/A - Culvert",C171&lt;&gt;"Culvert"),"Not possible ▲",IF(AND(C171="Culvert",V171&lt;&gt;"N/A - Culvert"),"Not possible ▲",IF(VLOOKUP(V171,'G-7 WaterC'' Data'!$AA$4:$AB$7,2,FALSE)=0,"Spatial Data Missing ⚠",VLOOKUP(V171,'G-7 WaterC'' Data'!$AA$4:$AB$7,2,FALSE)))))</f>
        <v/>
      </c>
      <c r="X171" s="44"/>
      <c r="Y171" s="291" t="str">
        <f>IF(X171="","",IF(AND(X171="N/A - Culvert", C171&lt;&gt;"Culvert"), "Not possible ▲",IF(AND(C171="Culvert",X171&lt;&gt;"N/A - Culvert"),"Not possible ▲",IF(VLOOKUP(X171,'G-7 WaterC'' Data'!$AD$4:$AE$14,2,FALSE)=0,"Enrcoachment Data Missing ⚠",VLOOKUP(X171,'G-7 WaterC'' Data'!$AD$4:$AE$14,2,FALSE)))))</f>
        <v/>
      </c>
      <c r="Z171" s="332" t="str">
        <f t="shared" si="14"/>
        <v/>
      </c>
      <c r="AA171" s="98"/>
      <c r="AB171" s="99"/>
      <c r="AC171" s="101"/>
      <c r="AH171" s="15" t="str">
        <f>IFERROR(INDEX('G-7 WaterC'' Data'!$AZ$3:$AZ$7,MATCH(C171,'G-7 WaterC'' Data'!$AY$3:$AY$7,0)),"")</f>
        <v/>
      </c>
    </row>
    <row r="172" spans="2:34" ht="14" x14ac:dyDescent="0.3">
      <c r="B172" s="92">
        <v>161</v>
      </c>
      <c r="C172" s="119"/>
      <c r="D172" s="120"/>
      <c r="E172" s="290" t="str">
        <f>IF(C172="","",VLOOKUP(C172,'G-7 WaterC'' Data'!$B$2:$G$8,2,FALSE))</f>
        <v/>
      </c>
      <c r="F172" s="291" t="str">
        <f>IFERROR(VLOOKUP(E172,'G-7 WaterC'' Data'!$C$4:$D$8,2,FALSE),"")</f>
        <v/>
      </c>
      <c r="G172" s="95"/>
      <c r="H172" s="291" t="str">
        <f>IFERROR(INDEX('G-7 WaterC'' Data'!$H$4:$L$8,MATCH(C172,'G-7 WaterC'' Data'!$B$4:$B$8,0),MATCH(G172,'G-7 WaterC'' Data'!$H$3:$L$3,0)),"")</f>
        <v/>
      </c>
      <c r="I172" s="38"/>
      <c r="J172" s="298" t="str">
        <f>IF(I172="","",IF(VLOOKUP(I172,'G-7 WaterC'' Data'!$AK$4:$AM$6,2,FALSE)=0,"Spatial Data Missing ⚠",VLOOKUP(I172,'G-7 WaterC'' Data'!$AK$4:$AM$6,2,FALSE)))</f>
        <v/>
      </c>
      <c r="K172" s="291" t="str">
        <f>IF(I172="","",IF(VLOOKUP(I172,'G-7 WaterC'' Data'!$AK$4:$AM$6,3,FALSE)=0,"Spatial Data Missing ⚠",VLOOKUP(I172,'G-7 WaterC'' Data'!$AK$4:$AM$6,3,FALSE)))</f>
        <v/>
      </c>
      <c r="L172" s="290" t="str">
        <f>IFERROR(INDEX('G-7 WaterC'' Data'!$O$3:$O$7,MATCH(G172,'G-7 WaterC'' Data'!$N$3:$N$7,0)),"")</f>
        <v/>
      </c>
      <c r="M172" s="47"/>
      <c r="N172" s="138"/>
      <c r="O172" s="298" t="str">
        <f t="shared" si="10"/>
        <v/>
      </c>
      <c r="P172" s="311" t="str">
        <f t="shared" si="11"/>
        <v/>
      </c>
      <c r="Q172" s="344" t="str">
        <f>IFERROR(IF(P172="Check Data ⚠","Check Data ⚠",VLOOKUP(P172,'G-4 Temporal multipliers'!$A$4:$C$37,3,FALSE)),"")</f>
        <v/>
      </c>
      <c r="R172" s="290" t="str">
        <f>IF(C172="","",VLOOKUP(C172,'G-7 WaterC'' Data'!$B$4:$G$8,4,FALSE))</f>
        <v/>
      </c>
      <c r="S172" s="298" t="str">
        <f t="shared" si="12"/>
        <v/>
      </c>
      <c r="T172" s="328" t="str">
        <f t="shared" si="13"/>
        <v/>
      </c>
      <c r="U172" s="291" t="str">
        <f>IF(C172="","",VLOOKUP(T172,'G-3 Multipliers'!$P$2:$Q$6,2,FALSE))</f>
        <v/>
      </c>
      <c r="V172" s="96"/>
      <c r="W172" s="291" t="str">
        <f>IF(V172="","",IF(AND(V172="N/A - Culvert",C172&lt;&gt;"Culvert"),"Not possible ▲",IF(AND(C172="Culvert",V172&lt;&gt;"N/A - Culvert"),"Not possible ▲",IF(VLOOKUP(V172,'G-7 WaterC'' Data'!$AA$4:$AB$7,2,FALSE)=0,"Spatial Data Missing ⚠",VLOOKUP(V172,'G-7 WaterC'' Data'!$AA$4:$AB$7,2,FALSE)))))</f>
        <v/>
      </c>
      <c r="X172" s="44"/>
      <c r="Y172" s="291" t="str">
        <f>IF(X172="","",IF(AND(X172="N/A - Culvert", C172&lt;&gt;"Culvert"), "Not possible ▲",IF(AND(C172="Culvert",X172&lt;&gt;"N/A - Culvert"),"Not possible ▲",IF(VLOOKUP(X172,'G-7 WaterC'' Data'!$AD$4:$AE$14,2,FALSE)=0,"Enrcoachment Data Missing ⚠",VLOOKUP(X172,'G-7 WaterC'' Data'!$AD$4:$AE$14,2,FALSE)))))</f>
        <v/>
      </c>
      <c r="Z172" s="332" t="str">
        <f t="shared" si="14"/>
        <v/>
      </c>
      <c r="AA172" s="98"/>
      <c r="AB172" s="99"/>
      <c r="AC172" s="101"/>
      <c r="AH172" s="15" t="str">
        <f>IFERROR(INDEX('G-7 WaterC'' Data'!$AZ$3:$AZ$7,MATCH(C172,'G-7 WaterC'' Data'!$AY$3:$AY$7,0)),"")</f>
        <v/>
      </c>
    </row>
    <row r="173" spans="2:34" ht="14" x14ac:dyDescent="0.3">
      <c r="B173" s="92">
        <v>162</v>
      </c>
      <c r="C173" s="119"/>
      <c r="D173" s="120"/>
      <c r="E173" s="290" t="str">
        <f>IF(C173="","",VLOOKUP(C173,'G-7 WaterC'' Data'!$B$2:$G$8,2,FALSE))</f>
        <v/>
      </c>
      <c r="F173" s="291" t="str">
        <f>IFERROR(VLOOKUP(E173,'G-7 WaterC'' Data'!$C$4:$D$8,2,FALSE),"")</f>
        <v/>
      </c>
      <c r="G173" s="95"/>
      <c r="H173" s="291" t="str">
        <f>IFERROR(INDEX('G-7 WaterC'' Data'!$H$4:$L$8,MATCH(C173,'G-7 WaterC'' Data'!$B$4:$B$8,0),MATCH(G173,'G-7 WaterC'' Data'!$H$3:$L$3,0)),"")</f>
        <v/>
      </c>
      <c r="I173" s="38"/>
      <c r="J173" s="298" t="str">
        <f>IF(I173="","",IF(VLOOKUP(I173,'G-7 WaterC'' Data'!$AK$4:$AM$6,2,FALSE)=0,"Spatial Data Missing ⚠",VLOOKUP(I173,'G-7 WaterC'' Data'!$AK$4:$AM$6,2,FALSE)))</f>
        <v/>
      </c>
      <c r="K173" s="291" t="str">
        <f>IF(I173="","",IF(VLOOKUP(I173,'G-7 WaterC'' Data'!$AK$4:$AM$6,3,FALSE)=0,"Spatial Data Missing ⚠",VLOOKUP(I173,'G-7 WaterC'' Data'!$AK$4:$AM$6,3,FALSE)))</f>
        <v/>
      </c>
      <c r="L173" s="290" t="str">
        <f>IFERROR(INDEX('G-7 WaterC'' Data'!$O$3:$O$7,MATCH(G173,'G-7 WaterC'' Data'!$N$3:$N$7,0)),"")</f>
        <v/>
      </c>
      <c r="M173" s="47"/>
      <c r="N173" s="138"/>
      <c r="O173" s="298" t="str">
        <f t="shared" si="10"/>
        <v/>
      </c>
      <c r="P173" s="311" t="str">
        <f t="shared" si="11"/>
        <v/>
      </c>
      <c r="Q173" s="344" t="str">
        <f>IFERROR(IF(P173="Check Data ⚠","Check Data ⚠",VLOOKUP(P173,'G-4 Temporal multipliers'!$A$4:$C$37,3,FALSE)),"")</f>
        <v/>
      </c>
      <c r="R173" s="290" t="str">
        <f>IF(C173="","",VLOOKUP(C173,'G-7 WaterC'' Data'!$B$4:$G$8,4,FALSE))</f>
        <v/>
      </c>
      <c r="S173" s="298" t="str">
        <f t="shared" si="12"/>
        <v/>
      </c>
      <c r="T173" s="328" t="str">
        <f t="shared" si="13"/>
        <v/>
      </c>
      <c r="U173" s="291" t="str">
        <f>IF(C173="","",VLOOKUP(T173,'G-3 Multipliers'!$P$2:$Q$6,2,FALSE))</f>
        <v/>
      </c>
      <c r="V173" s="96"/>
      <c r="W173" s="291" t="str">
        <f>IF(V173="","",IF(AND(V173="N/A - Culvert",C173&lt;&gt;"Culvert"),"Not possible ▲",IF(AND(C173="Culvert",V173&lt;&gt;"N/A - Culvert"),"Not possible ▲",IF(VLOOKUP(V173,'G-7 WaterC'' Data'!$AA$4:$AB$7,2,FALSE)=0,"Spatial Data Missing ⚠",VLOOKUP(V173,'G-7 WaterC'' Data'!$AA$4:$AB$7,2,FALSE)))))</f>
        <v/>
      </c>
      <c r="X173" s="44"/>
      <c r="Y173" s="291" t="str">
        <f>IF(X173="","",IF(AND(X173="N/A - Culvert", C173&lt;&gt;"Culvert"), "Not possible ▲",IF(AND(C173="Culvert",X173&lt;&gt;"N/A - Culvert"),"Not possible ▲",IF(VLOOKUP(X173,'G-7 WaterC'' Data'!$AD$4:$AE$14,2,FALSE)=0,"Enrcoachment Data Missing ⚠",VLOOKUP(X173,'G-7 WaterC'' Data'!$AD$4:$AE$14,2,FALSE)))))</f>
        <v/>
      </c>
      <c r="Z173" s="332" t="str">
        <f t="shared" si="14"/>
        <v/>
      </c>
      <c r="AA173" s="98"/>
      <c r="AB173" s="99"/>
      <c r="AC173" s="101"/>
      <c r="AH173" s="15" t="str">
        <f>IFERROR(INDEX('G-7 WaterC'' Data'!$AZ$3:$AZ$7,MATCH(C173,'G-7 WaterC'' Data'!$AY$3:$AY$7,0)),"")</f>
        <v/>
      </c>
    </row>
    <row r="174" spans="2:34" ht="14" x14ac:dyDescent="0.3">
      <c r="B174" s="92">
        <v>163</v>
      </c>
      <c r="C174" s="119"/>
      <c r="D174" s="120"/>
      <c r="E174" s="290" t="str">
        <f>IF(C174="","",VLOOKUP(C174,'G-7 WaterC'' Data'!$B$2:$G$8,2,FALSE))</f>
        <v/>
      </c>
      <c r="F174" s="291" t="str">
        <f>IFERROR(VLOOKUP(E174,'G-7 WaterC'' Data'!$C$4:$D$8,2,FALSE),"")</f>
        <v/>
      </c>
      <c r="G174" s="95"/>
      <c r="H174" s="291" t="str">
        <f>IFERROR(INDEX('G-7 WaterC'' Data'!$H$4:$L$8,MATCH(C174,'G-7 WaterC'' Data'!$B$4:$B$8,0),MATCH(G174,'G-7 WaterC'' Data'!$H$3:$L$3,0)),"")</f>
        <v/>
      </c>
      <c r="I174" s="38"/>
      <c r="J174" s="298" t="str">
        <f>IF(I174="","",IF(VLOOKUP(I174,'G-7 WaterC'' Data'!$AK$4:$AM$6,2,FALSE)=0,"Spatial Data Missing ⚠",VLOOKUP(I174,'G-7 WaterC'' Data'!$AK$4:$AM$6,2,FALSE)))</f>
        <v/>
      </c>
      <c r="K174" s="291" t="str">
        <f>IF(I174="","",IF(VLOOKUP(I174,'G-7 WaterC'' Data'!$AK$4:$AM$6,3,FALSE)=0,"Spatial Data Missing ⚠",VLOOKUP(I174,'G-7 WaterC'' Data'!$AK$4:$AM$6,3,FALSE)))</f>
        <v/>
      </c>
      <c r="L174" s="290" t="str">
        <f>IFERROR(INDEX('G-7 WaterC'' Data'!$O$3:$O$7,MATCH(G174,'G-7 WaterC'' Data'!$N$3:$N$7,0)),"")</f>
        <v/>
      </c>
      <c r="M174" s="47"/>
      <c r="N174" s="138"/>
      <c r="O174" s="298" t="str">
        <f t="shared" si="10"/>
        <v/>
      </c>
      <c r="P174" s="311" t="str">
        <f t="shared" si="11"/>
        <v/>
      </c>
      <c r="Q174" s="344" t="str">
        <f>IFERROR(IF(P174="Check Data ⚠","Check Data ⚠",VLOOKUP(P174,'G-4 Temporal multipliers'!$A$4:$C$37,3,FALSE)),"")</f>
        <v/>
      </c>
      <c r="R174" s="290" t="str">
        <f>IF(C174="","",VLOOKUP(C174,'G-7 WaterC'' Data'!$B$4:$G$8,4,FALSE))</f>
        <v/>
      </c>
      <c r="S174" s="298" t="str">
        <f t="shared" si="12"/>
        <v/>
      </c>
      <c r="T174" s="328" t="str">
        <f t="shared" si="13"/>
        <v/>
      </c>
      <c r="U174" s="291" t="str">
        <f>IF(C174="","",VLOOKUP(T174,'G-3 Multipliers'!$P$2:$Q$6,2,FALSE))</f>
        <v/>
      </c>
      <c r="V174" s="96"/>
      <c r="W174" s="291" t="str">
        <f>IF(V174="","",IF(AND(V174="N/A - Culvert",C174&lt;&gt;"Culvert"),"Not possible ▲",IF(AND(C174="Culvert",V174&lt;&gt;"N/A - Culvert"),"Not possible ▲",IF(VLOOKUP(V174,'G-7 WaterC'' Data'!$AA$4:$AB$7,2,FALSE)=0,"Spatial Data Missing ⚠",VLOOKUP(V174,'G-7 WaterC'' Data'!$AA$4:$AB$7,2,FALSE)))))</f>
        <v/>
      </c>
      <c r="X174" s="44"/>
      <c r="Y174" s="291" t="str">
        <f>IF(X174="","",IF(AND(X174="N/A - Culvert", C174&lt;&gt;"Culvert"), "Not possible ▲",IF(AND(C174="Culvert",X174&lt;&gt;"N/A - Culvert"),"Not possible ▲",IF(VLOOKUP(X174,'G-7 WaterC'' Data'!$AD$4:$AE$14,2,FALSE)=0,"Enrcoachment Data Missing ⚠",VLOOKUP(X174,'G-7 WaterC'' Data'!$AD$4:$AE$14,2,FALSE)))))</f>
        <v/>
      </c>
      <c r="Z174" s="332" t="str">
        <f t="shared" si="14"/>
        <v/>
      </c>
      <c r="AA174" s="98"/>
      <c r="AB174" s="99"/>
      <c r="AC174" s="101"/>
      <c r="AH174" s="15" t="str">
        <f>IFERROR(INDEX('G-7 WaterC'' Data'!$AZ$3:$AZ$7,MATCH(C174,'G-7 WaterC'' Data'!$AY$3:$AY$7,0)),"")</f>
        <v/>
      </c>
    </row>
    <row r="175" spans="2:34" ht="14" x14ac:dyDescent="0.3">
      <c r="B175" s="92">
        <v>164</v>
      </c>
      <c r="C175" s="119"/>
      <c r="D175" s="120"/>
      <c r="E175" s="290" t="str">
        <f>IF(C175="","",VLOOKUP(C175,'G-7 WaterC'' Data'!$B$2:$G$8,2,FALSE))</f>
        <v/>
      </c>
      <c r="F175" s="291" t="str">
        <f>IFERROR(VLOOKUP(E175,'G-7 WaterC'' Data'!$C$4:$D$8,2,FALSE),"")</f>
        <v/>
      </c>
      <c r="G175" s="95"/>
      <c r="H175" s="291" t="str">
        <f>IFERROR(INDEX('G-7 WaterC'' Data'!$H$4:$L$8,MATCH(C175,'G-7 WaterC'' Data'!$B$4:$B$8,0),MATCH(G175,'G-7 WaterC'' Data'!$H$3:$L$3,0)),"")</f>
        <v/>
      </c>
      <c r="I175" s="38"/>
      <c r="J175" s="298" t="str">
        <f>IF(I175="","",IF(VLOOKUP(I175,'G-7 WaterC'' Data'!$AK$4:$AM$6,2,FALSE)=0,"Spatial Data Missing ⚠",VLOOKUP(I175,'G-7 WaterC'' Data'!$AK$4:$AM$6,2,FALSE)))</f>
        <v/>
      </c>
      <c r="K175" s="291" t="str">
        <f>IF(I175="","",IF(VLOOKUP(I175,'G-7 WaterC'' Data'!$AK$4:$AM$6,3,FALSE)=0,"Spatial Data Missing ⚠",VLOOKUP(I175,'G-7 WaterC'' Data'!$AK$4:$AM$6,3,FALSE)))</f>
        <v/>
      </c>
      <c r="L175" s="290" t="str">
        <f>IFERROR(INDEX('G-7 WaterC'' Data'!$O$3:$O$7,MATCH(G175,'G-7 WaterC'' Data'!$N$3:$N$7,0)),"")</f>
        <v/>
      </c>
      <c r="M175" s="47"/>
      <c r="N175" s="138"/>
      <c r="O175" s="298" t="str">
        <f t="shared" si="10"/>
        <v/>
      </c>
      <c r="P175" s="311" t="str">
        <f t="shared" si="11"/>
        <v/>
      </c>
      <c r="Q175" s="344" t="str">
        <f>IFERROR(IF(P175="Check Data ⚠","Check Data ⚠",VLOOKUP(P175,'G-4 Temporal multipliers'!$A$4:$C$37,3,FALSE)),"")</f>
        <v/>
      </c>
      <c r="R175" s="290" t="str">
        <f>IF(C175="","",VLOOKUP(C175,'G-7 WaterC'' Data'!$B$4:$G$8,4,FALSE))</f>
        <v/>
      </c>
      <c r="S175" s="298" t="str">
        <f t="shared" si="12"/>
        <v/>
      </c>
      <c r="T175" s="328" t="str">
        <f t="shared" si="13"/>
        <v/>
      </c>
      <c r="U175" s="291" t="str">
        <f>IF(C175="","",VLOOKUP(T175,'G-3 Multipliers'!$P$2:$Q$6,2,FALSE))</f>
        <v/>
      </c>
      <c r="V175" s="96"/>
      <c r="W175" s="291" t="str">
        <f>IF(V175="","",IF(AND(V175="N/A - Culvert",C175&lt;&gt;"Culvert"),"Not possible ▲",IF(AND(C175="Culvert",V175&lt;&gt;"N/A - Culvert"),"Not possible ▲",IF(VLOOKUP(V175,'G-7 WaterC'' Data'!$AA$4:$AB$7,2,FALSE)=0,"Spatial Data Missing ⚠",VLOOKUP(V175,'G-7 WaterC'' Data'!$AA$4:$AB$7,2,FALSE)))))</f>
        <v/>
      </c>
      <c r="X175" s="44"/>
      <c r="Y175" s="291" t="str">
        <f>IF(X175="","",IF(AND(X175="N/A - Culvert", C175&lt;&gt;"Culvert"), "Not possible ▲",IF(AND(C175="Culvert",X175&lt;&gt;"N/A - Culvert"),"Not possible ▲",IF(VLOOKUP(X175,'G-7 WaterC'' Data'!$AD$4:$AE$14,2,FALSE)=0,"Enrcoachment Data Missing ⚠",VLOOKUP(X175,'G-7 WaterC'' Data'!$AD$4:$AE$14,2,FALSE)))))</f>
        <v/>
      </c>
      <c r="Z175" s="332" t="str">
        <f t="shared" si="14"/>
        <v/>
      </c>
      <c r="AA175" s="98"/>
      <c r="AB175" s="99"/>
      <c r="AC175" s="101"/>
      <c r="AH175" s="15" t="str">
        <f>IFERROR(INDEX('G-7 WaterC'' Data'!$AZ$3:$AZ$7,MATCH(C175,'G-7 WaterC'' Data'!$AY$3:$AY$7,0)),"")</f>
        <v/>
      </c>
    </row>
    <row r="176" spans="2:34" ht="14" x14ac:dyDescent="0.3">
      <c r="B176" s="92">
        <v>165</v>
      </c>
      <c r="C176" s="119"/>
      <c r="D176" s="120"/>
      <c r="E176" s="290" t="str">
        <f>IF(C176="","",VLOOKUP(C176,'G-7 WaterC'' Data'!$B$2:$G$8,2,FALSE))</f>
        <v/>
      </c>
      <c r="F176" s="291" t="str">
        <f>IFERROR(VLOOKUP(E176,'G-7 WaterC'' Data'!$C$4:$D$8,2,FALSE),"")</f>
        <v/>
      </c>
      <c r="G176" s="95"/>
      <c r="H176" s="291" t="str">
        <f>IFERROR(INDEX('G-7 WaterC'' Data'!$H$4:$L$8,MATCH(C176,'G-7 WaterC'' Data'!$B$4:$B$8,0),MATCH(G176,'G-7 WaterC'' Data'!$H$3:$L$3,0)),"")</f>
        <v/>
      </c>
      <c r="I176" s="38"/>
      <c r="J176" s="298" t="str">
        <f>IF(I176="","",IF(VLOOKUP(I176,'G-7 WaterC'' Data'!$AK$4:$AM$6,2,FALSE)=0,"Spatial Data Missing ⚠",VLOOKUP(I176,'G-7 WaterC'' Data'!$AK$4:$AM$6,2,FALSE)))</f>
        <v/>
      </c>
      <c r="K176" s="291" t="str">
        <f>IF(I176="","",IF(VLOOKUP(I176,'G-7 WaterC'' Data'!$AK$4:$AM$6,3,FALSE)=0,"Spatial Data Missing ⚠",VLOOKUP(I176,'G-7 WaterC'' Data'!$AK$4:$AM$6,3,FALSE)))</f>
        <v/>
      </c>
      <c r="L176" s="290" t="str">
        <f>IFERROR(INDEX('G-7 WaterC'' Data'!$O$3:$O$7,MATCH(G176,'G-7 WaterC'' Data'!$N$3:$N$7,0)),"")</f>
        <v/>
      </c>
      <c r="M176" s="47"/>
      <c r="N176" s="138"/>
      <c r="O176" s="298" t="str">
        <f t="shared" si="10"/>
        <v/>
      </c>
      <c r="P176" s="311" t="str">
        <f t="shared" si="11"/>
        <v/>
      </c>
      <c r="Q176" s="344" t="str">
        <f>IFERROR(IF(P176="Check Data ⚠","Check Data ⚠",VLOOKUP(P176,'G-4 Temporal multipliers'!$A$4:$C$37,3,FALSE)),"")</f>
        <v/>
      </c>
      <c r="R176" s="290" t="str">
        <f>IF(C176="","",VLOOKUP(C176,'G-7 WaterC'' Data'!$B$4:$G$8,4,FALSE))</f>
        <v/>
      </c>
      <c r="S176" s="298" t="str">
        <f t="shared" si="12"/>
        <v/>
      </c>
      <c r="T176" s="328" t="str">
        <f t="shared" si="13"/>
        <v/>
      </c>
      <c r="U176" s="291" t="str">
        <f>IF(C176="","",VLOOKUP(T176,'G-3 Multipliers'!$P$2:$Q$6,2,FALSE))</f>
        <v/>
      </c>
      <c r="V176" s="96"/>
      <c r="W176" s="291" t="str">
        <f>IF(V176="","",IF(AND(V176="N/A - Culvert",C176&lt;&gt;"Culvert"),"Not possible ▲",IF(AND(C176="Culvert",V176&lt;&gt;"N/A - Culvert"),"Not possible ▲",IF(VLOOKUP(V176,'G-7 WaterC'' Data'!$AA$4:$AB$7,2,FALSE)=0,"Spatial Data Missing ⚠",VLOOKUP(V176,'G-7 WaterC'' Data'!$AA$4:$AB$7,2,FALSE)))))</f>
        <v/>
      </c>
      <c r="X176" s="44"/>
      <c r="Y176" s="291" t="str">
        <f>IF(X176="","",IF(AND(X176="N/A - Culvert", C176&lt;&gt;"Culvert"), "Not possible ▲",IF(AND(C176="Culvert",X176&lt;&gt;"N/A - Culvert"),"Not possible ▲",IF(VLOOKUP(X176,'G-7 WaterC'' Data'!$AD$4:$AE$14,2,FALSE)=0,"Enrcoachment Data Missing ⚠",VLOOKUP(X176,'G-7 WaterC'' Data'!$AD$4:$AE$14,2,FALSE)))))</f>
        <v/>
      </c>
      <c r="Z176" s="332" t="str">
        <f t="shared" si="14"/>
        <v/>
      </c>
      <c r="AA176" s="98"/>
      <c r="AB176" s="99"/>
      <c r="AC176" s="101"/>
      <c r="AH176" s="15" t="str">
        <f>IFERROR(INDEX('G-7 WaterC'' Data'!$AZ$3:$AZ$7,MATCH(C176,'G-7 WaterC'' Data'!$AY$3:$AY$7,0)),"")</f>
        <v/>
      </c>
    </row>
    <row r="177" spans="2:34" ht="14" x14ac:dyDescent="0.3">
      <c r="B177" s="92">
        <v>166</v>
      </c>
      <c r="C177" s="119"/>
      <c r="D177" s="120"/>
      <c r="E177" s="290" t="str">
        <f>IF(C177="","",VLOOKUP(C177,'G-7 WaterC'' Data'!$B$2:$G$8,2,FALSE))</f>
        <v/>
      </c>
      <c r="F177" s="291" t="str">
        <f>IFERROR(VLOOKUP(E177,'G-7 WaterC'' Data'!$C$4:$D$8,2,FALSE),"")</f>
        <v/>
      </c>
      <c r="G177" s="95"/>
      <c r="H177" s="291" t="str">
        <f>IFERROR(INDEX('G-7 WaterC'' Data'!$H$4:$L$8,MATCH(C177,'G-7 WaterC'' Data'!$B$4:$B$8,0),MATCH(G177,'G-7 WaterC'' Data'!$H$3:$L$3,0)),"")</f>
        <v/>
      </c>
      <c r="I177" s="38"/>
      <c r="J177" s="298" t="str">
        <f>IF(I177="","",IF(VLOOKUP(I177,'G-7 WaterC'' Data'!$AK$4:$AM$6,2,FALSE)=0,"Spatial Data Missing ⚠",VLOOKUP(I177,'G-7 WaterC'' Data'!$AK$4:$AM$6,2,FALSE)))</f>
        <v/>
      </c>
      <c r="K177" s="291" t="str">
        <f>IF(I177="","",IF(VLOOKUP(I177,'G-7 WaterC'' Data'!$AK$4:$AM$6,3,FALSE)=0,"Spatial Data Missing ⚠",VLOOKUP(I177,'G-7 WaterC'' Data'!$AK$4:$AM$6,3,FALSE)))</f>
        <v/>
      </c>
      <c r="L177" s="290" t="str">
        <f>IFERROR(INDEX('G-7 WaterC'' Data'!$O$3:$O$7,MATCH(G177,'G-7 WaterC'' Data'!$N$3:$N$7,0)),"")</f>
        <v/>
      </c>
      <c r="M177" s="47"/>
      <c r="N177" s="138"/>
      <c r="O177" s="298" t="str">
        <f t="shared" si="10"/>
        <v/>
      </c>
      <c r="P177" s="311" t="str">
        <f t="shared" si="11"/>
        <v/>
      </c>
      <c r="Q177" s="344" t="str">
        <f>IFERROR(IF(P177="Check Data ⚠","Check Data ⚠",VLOOKUP(P177,'G-4 Temporal multipliers'!$A$4:$C$37,3,FALSE)),"")</f>
        <v/>
      </c>
      <c r="R177" s="290" t="str">
        <f>IF(C177="","",VLOOKUP(C177,'G-7 WaterC'' Data'!$B$4:$G$8,4,FALSE))</f>
        <v/>
      </c>
      <c r="S177" s="298" t="str">
        <f t="shared" si="12"/>
        <v/>
      </c>
      <c r="T177" s="328" t="str">
        <f t="shared" si="13"/>
        <v/>
      </c>
      <c r="U177" s="291" t="str">
        <f>IF(C177="","",VLOOKUP(T177,'G-3 Multipliers'!$P$2:$Q$6,2,FALSE))</f>
        <v/>
      </c>
      <c r="V177" s="96"/>
      <c r="W177" s="291" t="str">
        <f>IF(V177="","",IF(AND(V177="N/A - Culvert",C177&lt;&gt;"Culvert"),"Not possible ▲",IF(AND(C177="Culvert",V177&lt;&gt;"N/A - Culvert"),"Not possible ▲",IF(VLOOKUP(V177,'G-7 WaterC'' Data'!$AA$4:$AB$7,2,FALSE)=0,"Spatial Data Missing ⚠",VLOOKUP(V177,'G-7 WaterC'' Data'!$AA$4:$AB$7,2,FALSE)))))</f>
        <v/>
      </c>
      <c r="X177" s="44"/>
      <c r="Y177" s="291" t="str">
        <f>IF(X177="","",IF(AND(X177="N/A - Culvert", C177&lt;&gt;"Culvert"), "Not possible ▲",IF(AND(C177="Culvert",X177&lt;&gt;"N/A - Culvert"),"Not possible ▲",IF(VLOOKUP(X177,'G-7 WaterC'' Data'!$AD$4:$AE$14,2,FALSE)=0,"Enrcoachment Data Missing ⚠",VLOOKUP(X177,'G-7 WaterC'' Data'!$AD$4:$AE$14,2,FALSE)))))</f>
        <v/>
      </c>
      <c r="Z177" s="332" t="str">
        <f t="shared" si="14"/>
        <v/>
      </c>
      <c r="AA177" s="98"/>
      <c r="AB177" s="99"/>
      <c r="AC177" s="101"/>
      <c r="AH177" s="15" t="str">
        <f>IFERROR(INDEX('G-7 WaterC'' Data'!$AZ$3:$AZ$7,MATCH(C177,'G-7 WaterC'' Data'!$AY$3:$AY$7,0)),"")</f>
        <v/>
      </c>
    </row>
    <row r="178" spans="2:34" ht="14" x14ac:dyDescent="0.3">
      <c r="B178" s="92">
        <v>167</v>
      </c>
      <c r="C178" s="119"/>
      <c r="D178" s="120"/>
      <c r="E178" s="290" t="str">
        <f>IF(C178="","",VLOOKUP(C178,'G-7 WaterC'' Data'!$B$2:$G$8,2,FALSE))</f>
        <v/>
      </c>
      <c r="F178" s="291" t="str">
        <f>IFERROR(VLOOKUP(E178,'G-7 WaterC'' Data'!$C$4:$D$8,2,FALSE),"")</f>
        <v/>
      </c>
      <c r="G178" s="95"/>
      <c r="H178" s="291" t="str">
        <f>IFERROR(INDEX('G-7 WaterC'' Data'!$H$4:$L$8,MATCH(C178,'G-7 WaterC'' Data'!$B$4:$B$8,0),MATCH(G178,'G-7 WaterC'' Data'!$H$3:$L$3,0)),"")</f>
        <v/>
      </c>
      <c r="I178" s="38"/>
      <c r="J178" s="298" t="str">
        <f>IF(I178="","",IF(VLOOKUP(I178,'G-7 WaterC'' Data'!$AK$4:$AM$6,2,FALSE)=0,"Spatial Data Missing ⚠",VLOOKUP(I178,'G-7 WaterC'' Data'!$AK$4:$AM$6,2,FALSE)))</f>
        <v/>
      </c>
      <c r="K178" s="291" t="str">
        <f>IF(I178="","",IF(VLOOKUP(I178,'G-7 WaterC'' Data'!$AK$4:$AM$6,3,FALSE)=0,"Spatial Data Missing ⚠",VLOOKUP(I178,'G-7 WaterC'' Data'!$AK$4:$AM$6,3,FALSE)))</f>
        <v/>
      </c>
      <c r="L178" s="290" t="str">
        <f>IFERROR(INDEX('G-7 WaterC'' Data'!$O$3:$O$7,MATCH(G178,'G-7 WaterC'' Data'!$N$3:$N$7,0)),"")</f>
        <v/>
      </c>
      <c r="M178" s="47"/>
      <c r="N178" s="138"/>
      <c r="O178" s="298" t="str">
        <f t="shared" si="10"/>
        <v/>
      </c>
      <c r="P178" s="311" t="str">
        <f t="shared" si="11"/>
        <v/>
      </c>
      <c r="Q178" s="344" t="str">
        <f>IFERROR(IF(P178="Check Data ⚠","Check Data ⚠",VLOOKUP(P178,'G-4 Temporal multipliers'!$A$4:$C$37,3,FALSE)),"")</f>
        <v/>
      </c>
      <c r="R178" s="290" t="str">
        <f>IF(C178="","",VLOOKUP(C178,'G-7 WaterC'' Data'!$B$4:$G$8,4,FALSE))</f>
        <v/>
      </c>
      <c r="S178" s="298" t="str">
        <f t="shared" si="12"/>
        <v/>
      </c>
      <c r="T178" s="328" t="str">
        <f t="shared" si="13"/>
        <v/>
      </c>
      <c r="U178" s="291" t="str">
        <f>IF(C178="","",VLOOKUP(T178,'G-3 Multipliers'!$P$2:$Q$6,2,FALSE))</f>
        <v/>
      </c>
      <c r="V178" s="96"/>
      <c r="W178" s="291" t="str">
        <f>IF(V178="","",IF(AND(V178="N/A - Culvert",C178&lt;&gt;"Culvert"),"Not possible ▲",IF(AND(C178="Culvert",V178&lt;&gt;"N/A - Culvert"),"Not possible ▲",IF(VLOOKUP(V178,'G-7 WaterC'' Data'!$AA$4:$AB$7,2,FALSE)=0,"Spatial Data Missing ⚠",VLOOKUP(V178,'G-7 WaterC'' Data'!$AA$4:$AB$7,2,FALSE)))))</f>
        <v/>
      </c>
      <c r="X178" s="44"/>
      <c r="Y178" s="291" t="str">
        <f>IF(X178="","",IF(AND(X178="N/A - Culvert", C178&lt;&gt;"Culvert"), "Not possible ▲",IF(AND(C178="Culvert",X178&lt;&gt;"N/A - Culvert"),"Not possible ▲",IF(VLOOKUP(X178,'G-7 WaterC'' Data'!$AD$4:$AE$14,2,FALSE)=0,"Enrcoachment Data Missing ⚠",VLOOKUP(X178,'G-7 WaterC'' Data'!$AD$4:$AE$14,2,FALSE)))))</f>
        <v/>
      </c>
      <c r="Z178" s="332" t="str">
        <f t="shared" si="14"/>
        <v/>
      </c>
      <c r="AA178" s="98"/>
      <c r="AB178" s="99"/>
      <c r="AC178" s="101"/>
      <c r="AH178" s="15" t="str">
        <f>IFERROR(INDEX('G-7 WaterC'' Data'!$AZ$3:$AZ$7,MATCH(C178,'G-7 WaterC'' Data'!$AY$3:$AY$7,0)),"")</f>
        <v/>
      </c>
    </row>
    <row r="179" spans="2:34" ht="14" x14ac:dyDescent="0.3">
      <c r="B179" s="92">
        <v>168</v>
      </c>
      <c r="C179" s="119"/>
      <c r="D179" s="120"/>
      <c r="E179" s="290" t="str">
        <f>IF(C179="","",VLOOKUP(C179,'G-7 WaterC'' Data'!$B$2:$G$8,2,FALSE))</f>
        <v/>
      </c>
      <c r="F179" s="291" t="str">
        <f>IFERROR(VLOOKUP(E179,'G-7 WaterC'' Data'!$C$4:$D$8,2,FALSE),"")</f>
        <v/>
      </c>
      <c r="G179" s="95"/>
      <c r="H179" s="291" t="str">
        <f>IFERROR(INDEX('G-7 WaterC'' Data'!$H$4:$L$8,MATCH(C179,'G-7 WaterC'' Data'!$B$4:$B$8,0),MATCH(G179,'G-7 WaterC'' Data'!$H$3:$L$3,0)),"")</f>
        <v/>
      </c>
      <c r="I179" s="38"/>
      <c r="J179" s="298" t="str">
        <f>IF(I179="","",IF(VLOOKUP(I179,'G-7 WaterC'' Data'!$AK$4:$AM$6,2,FALSE)=0,"Spatial Data Missing ⚠",VLOOKUP(I179,'G-7 WaterC'' Data'!$AK$4:$AM$6,2,FALSE)))</f>
        <v/>
      </c>
      <c r="K179" s="291" t="str">
        <f>IF(I179="","",IF(VLOOKUP(I179,'G-7 WaterC'' Data'!$AK$4:$AM$6,3,FALSE)=0,"Spatial Data Missing ⚠",VLOOKUP(I179,'G-7 WaterC'' Data'!$AK$4:$AM$6,3,FALSE)))</f>
        <v/>
      </c>
      <c r="L179" s="290" t="str">
        <f>IFERROR(INDEX('G-7 WaterC'' Data'!$O$3:$O$7,MATCH(G179,'G-7 WaterC'' Data'!$N$3:$N$7,0)),"")</f>
        <v/>
      </c>
      <c r="M179" s="47"/>
      <c r="N179" s="138"/>
      <c r="O179" s="298" t="str">
        <f t="shared" si="10"/>
        <v/>
      </c>
      <c r="P179" s="311" t="str">
        <f t="shared" si="11"/>
        <v/>
      </c>
      <c r="Q179" s="344" t="str">
        <f>IFERROR(IF(P179="Check Data ⚠","Check Data ⚠",VLOOKUP(P179,'G-4 Temporal multipliers'!$A$4:$C$37,3,FALSE)),"")</f>
        <v/>
      </c>
      <c r="R179" s="290" t="str">
        <f>IF(C179="","",VLOOKUP(C179,'G-7 WaterC'' Data'!$B$4:$G$8,4,FALSE))</f>
        <v/>
      </c>
      <c r="S179" s="298" t="str">
        <f t="shared" si="12"/>
        <v/>
      </c>
      <c r="T179" s="328" t="str">
        <f t="shared" si="13"/>
        <v/>
      </c>
      <c r="U179" s="291" t="str">
        <f>IF(C179="","",VLOOKUP(T179,'G-3 Multipliers'!$P$2:$Q$6,2,FALSE))</f>
        <v/>
      </c>
      <c r="V179" s="96"/>
      <c r="W179" s="291" t="str">
        <f>IF(V179="","",IF(AND(V179="N/A - Culvert",C179&lt;&gt;"Culvert"),"Not possible ▲",IF(AND(C179="Culvert",V179&lt;&gt;"N/A - Culvert"),"Not possible ▲",IF(VLOOKUP(V179,'G-7 WaterC'' Data'!$AA$4:$AB$7,2,FALSE)=0,"Spatial Data Missing ⚠",VLOOKUP(V179,'G-7 WaterC'' Data'!$AA$4:$AB$7,2,FALSE)))))</f>
        <v/>
      </c>
      <c r="X179" s="44"/>
      <c r="Y179" s="291" t="str">
        <f>IF(X179="","",IF(AND(X179="N/A - Culvert", C179&lt;&gt;"Culvert"), "Not possible ▲",IF(AND(C179="Culvert",X179&lt;&gt;"N/A - Culvert"),"Not possible ▲",IF(VLOOKUP(X179,'G-7 WaterC'' Data'!$AD$4:$AE$14,2,FALSE)=0,"Enrcoachment Data Missing ⚠",VLOOKUP(X179,'G-7 WaterC'' Data'!$AD$4:$AE$14,2,FALSE)))))</f>
        <v/>
      </c>
      <c r="Z179" s="332" t="str">
        <f t="shared" si="14"/>
        <v/>
      </c>
      <c r="AA179" s="98"/>
      <c r="AB179" s="99"/>
      <c r="AC179" s="101"/>
      <c r="AH179" s="15" t="str">
        <f>IFERROR(INDEX('G-7 WaterC'' Data'!$AZ$3:$AZ$7,MATCH(C179,'G-7 WaterC'' Data'!$AY$3:$AY$7,0)),"")</f>
        <v/>
      </c>
    </row>
    <row r="180" spans="2:34" ht="14" x14ac:dyDescent="0.3">
      <c r="B180" s="92">
        <v>169</v>
      </c>
      <c r="C180" s="119"/>
      <c r="D180" s="120"/>
      <c r="E180" s="290" t="str">
        <f>IF(C180="","",VLOOKUP(C180,'G-7 WaterC'' Data'!$B$2:$G$8,2,FALSE))</f>
        <v/>
      </c>
      <c r="F180" s="291" t="str">
        <f>IFERROR(VLOOKUP(E180,'G-7 WaterC'' Data'!$C$4:$D$8,2,FALSE),"")</f>
        <v/>
      </c>
      <c r="G180" s="95"/>
      <c r="H180" s="291" t="str">
        <f>IFERROR(INDEX('G-7 WaterC'' Data'!$H$4:$L$8,MATCH(C180,'G-7 WaterC'' Data'!$B$4:$B$8,0),MATCH(G180,'G-7 WaterC'' Data'!$H$3:$L$3,0)),"")</f>
        <v/>
      </c>
      <c r="I180" s="38"/>
      <c r="J180" s="298" t="str">
        <f>IF(I180="","",IF(VLOOKUP(I180,'G-7 WaterC'' Data'!$AK$4:$AM$6,2,FALSE)=0,"Spatial Data Missing ⚠",VLOOKUP(I180,'G-7 WaterC'' Data'!$AK$4:$AM$6,2,FALSE)))</f>
        <v/>
      </c>
      <c r="K180" s="291" t="str">
        <f>IF(I180="","",IF(VLOOKUP(I180,'G-7 WaterC'' Data'!$AK$4:$AM$6,3,FALSE)=0,"Spatial Data Missing ⚠",VLOOKUP(I180,'G-7 WaterC'' Data'!$AK$4:$AM$6,3,FALSE)))</f>
        <v/>
      </c>
      <c r="L180" s="290" t="str">
        <f>IFERROR(INDEX('G-7 WaterC'' Data'!$O$3:$O$7,MATCH(G180,'G-7 WaterC'' Data'!$N$3:$N$7,0)),"")</f>
        <v/>
      </c>
      <c r="M180" s="47"/>
      <c r="N180" s="138"/>
      <c r="O180" s="298" t="str">
        <f t="shared" si="10"/>
        <v/>
      </c>
      <c r="P180" s="311" t="str">
        <f t="shared" si="11"/>
        <v/>
      </c>
      <c r="Q180" s="344" t="str">
        <f>IFERROR(IF(P180="Check Data ⚠","Check Data ⚠",VLOOKUP(P180,'G-4 Temporal multipliers'!$A$4:$C$37,3,FALSE)),"")</f>
        <v/>
      </c>
      <c r="R180" s="290" t="str">
        <f>IF(C180="","",VLOOKUP(C180,'G-7 WaterC'' Data'!$B$4:$G$8,4,FALSE))</f>
        <v/>
      </c>
      <c r="S180" s="298" t="str">
        <f t="shared" si="12"/>
        <v/>
      </c>
      <c r="T180" s="328" t="str">
        <f t="shared" si="13"/>
        <v/>
      </c>
      <c r="U180" s="291" t="str">
        <f>IF(C180="","",VLOOKUP(T180,'G-3 Multipliers'!$P$2:$Q$6,2,FALSE))</f>
        <v/>
      </c>
      <c r="V180" s="96"/>
      <c r="W180" s="291" t="str">
        <f>IF(V180="","",IF(AND(V180="N/A - Culvert",C180&lt;&gt;"Culvert"),"Not possible ▲",IF(AND(C180="Culvert",V180&lt;&gt;"N/A - Culvert"),"Not possible ▲",IF(VLOOKUP(V180,'G-7 WaterC'' Data'!$AA$4:$AB$7,2,FALSE)=0,"Spatial Data Missing ⚠",VLOOKUP(V180,'G-7 WaterC'' Data'!$AA$4:$AB$7,2,FALSE)))))</f>
        <v/>
      </c>
      <c r="X180" s="44"/>
      <c r="Y180" s="291" t="str">
        <f>IF(X180="","",IF(AND(X180="N/A - Culvert", C180&lt;&gt;"Culvert"), "Not possible ▲",IF(AND(C180="Culvert",X180&lt;&gt;"N/A - Culvert"),"Not possible ▲",IF(VLOOKUP(X180,'G-7 WaterC'' Data'!$AD$4:$AE$14,2,FALSE)=0,"Enrcoachment Data Missing ⚠",VLOOKUP(X180,'G-7 WaterC'' Data'!$AD$4:$AE$14,2,FALSE)))))</f>
        <v/>
      </c>
      <c r="Z180" s="332" t="str">
        <f t="shared" si="14"/>
        <v/>
      </c>
      <c r="AA180" s="98"/>
      <c r="AB180" s="99"/>
      <c r="AC180" s="101"/>
      <c r="AH180" s="15" t="str">
        <f>IFERROR(INDEX('G-7 WaterC'' Data'!$AZ$3:$AZ$7,MATCH(C180,'G-7 WaterC'' Data'!$AY$3:$AY$7,0)),"")</f>
        <v/>
      </c>
    </row>
    <row r="181" spans="2:34" ht="14" x14ac:dyDescent="0.3">
      <c r="B181" s="92">
        <v>170</v>
      </c>
      <c r="C181" s="119"/>
      <c r="D181" s="120"/>
      <c r="E181" s="290" t="str">
        <f>IF(C181="","",VLOOKUP(C181,'G-7 WaterC'' Data'!$B$2:$G$8,2,FALSE))</f>
        <v/>
      </c>
      <c r="F181" s="291" t="str">
        <f>IFERROR(VLOOKUP(E181,'G-7 WaterC'' Data'!$C$4:$D$8,2,FALSE),"")</f>
        <v/>
      </c>
      <c r="G181" s="95"/>
      <c r="H181" s="291" t="str">
        <f>IFERROR(INDEX('G-7 WaterC'' Data'!$H$4:$L$8,MATCH(C181,'G-7 WaterC'' Data'!$B$4:$B$8,0),MATCH(G181,'G-7 WaterC'' Data'!$H$3:$L$3,0)),"")</f>
        <v/>
      </c>
      <c r="I181" s="38"/>
      <c r="J181" s="298" t="str">
        <f>IF(I181="","",IF(VLOOKUP(I181,'G-7 WaterC'' Data'!$AK$4:$AM$6,2,FALSE)=0,"Spatial Data Missing ⚠",VLOOKUP(I181,'G-7 WaterC'' Data'!$AK$4:$AM$6,2,FALSE)))</f>
        <v/>
      </c>
      <c r="K181" s="291" t="str">
        <f>IF(I181="","",IF(VLOOKUP(I181,'G-7 WaterC'' Data'!$AK$4:$AM$6,3,FALSE)=0,"Spatial Data Missing ⚠",VLOOKUP(I181,'G-7 WaterC'' Data'!$AK$4:$AM$6,3,FALSE)))</f>
        <v/>
      </c>
      <c r="L181" s="290" t="str">
        <f>IFERROR(INDEX('G-7 WaterC'' Data'!$O$3:$O$7,MATCH(G181,'G-7 WaterC'' Data'!$N$3:$N$7,0)),"")</f>
        <v/>
      </c>
      <c r="M181" s="47"/>
      <c r="N181" s="138"/>
      <c r="O181" s="298" t="str">
        <f t="shared" si="10"/>
        <v/>
      </c>
      <c r="P181" s="311" t="str">
        <f t="shared" si="11"/>
        <v/>
      </c>
      <c r="Q181" s="344" t="str">
        <f>IFERROR(IF(P181="Check Data ⚠","Check Data ⚠",VLOOKUP(P181,'G-4 Temporal multipliers'!$A$4:$C$37,3,FALSE)),"")</f>
        <v/>
      </c>
      <c r="R181" s="290" t="str">
        <f>IF(C181="","",VLOOKUP(C181,'G-7 WaterC'' Data'!$B$4:$G$8,4,FALSE))</f>
        <v/>
      </c>
      <c r="S181" s="298" t="str">
        <f t="shared" si="12"/>
        <v/>
      </c>
      <c r="T181" s="328" t="str">
        <f t="shared" si="13"/>
        <v/>
      </c>
      <c r="U181" s="291" t="str">
        <f>IF(C181="","",VLOOKUP(T181,'G-3 Multipliers'!$P$2:$Q$6,2,FALSE))</f>
        <v/>
      </c>
      <c r="V181" s="96"/>
      <c r="W181" s="291" t="str">
        <f>IF(V181="","",IF(AND(V181="N/A - Culvert",C181&lt;&gt;"Culvert"),"Not possible ▲",IF(AND(C181="Culvert",V181&lt;&gt;"N/A - Culvert"),"Not possible ▲",IF(VLOOKUP(V181,'G-7 WaterC'' Data'!$AA$4:$AB$7,2,FALSE)=0,"Spatial Data Missing ⚠",VLOOKUP(V181,'G-7 WaterC'' Data'!$AA$4:$AB$7,2,FALSE)))))</f>
        <v/>
      </c>
      <c r="X181" s="44"/>
      <c r="Y181" s="291" t="str">
        <f>IF(X181="","",IF(AND(X181="N/A - Culvert", C181&lt;&gt;"Culvert"), "Not possible ▲",IF(AND(C181="Culvert",X181&lt;&gt;"N/A - Culvert"),"Not possible ▲",IF(VLOOKUP(X181,'G-7 WaterC'' Data'!$AD$4:$AE$14,2,FALSE)=0,"Enrcoachment Data Missing ⚠",VLOOKUP(X181,'G-7 WaterC'' Data'!$AD$4:$AE$14,2,FALSE)))))</f>
        <v/>
      </c>
      <c r="Z181" s="332" t="str">
        <f t="shared" si="14"/>
        <v/>
      </c>
      <c r="AA181" s="98"/>
      <c r="AB181" s="99"/>
      <c r="AC181" s="101"/>
      <c r="AH181" s="15" t="str">
        <f>IFERROR(INDEX('G-7 WaterC'' Data'!$AZ$3:$AZ$7,MATCH(C181,'G-7 WaterC'' Data'!$AY$3:$AY$7,0)),"")</f>
        <v/>
      </c>
    </row>
    <row r="182" spans="2:34" ht="14" x14ac:dyDescent="0.3">
      <c r="B182" s="92">
        <v>171</v>
      </c>
      <c r="C182" s="119"/>
      <c r="D182" s="120"/>
      <c r="E182" s="290" t="str">
        <f>IF(C182="","",VLOOKUP(C182,'G-7 WaterC'' Data'!$B$2:$G$8,2,FALSE))</f>
        <v/>
      </c>
      <c r="F182" s="291" t="str">
        <f>IFERROR(VLOOKUP(E182,'G-7 WaterC'' Data'!$C$4:$D$8,2,FALSE),"")</f>
        <v/>
      </c>
      <c r="G182" s="95"/>
      <c r="H182" s="291" t="str">
        <f>IFERROR(INDEX('G-7 WaterC'' Data'!$H$4:$L$8,MATCH(C182,'G-7 WaterC'' Data'!$B$4:$B$8,0),MATCH(G182,'G-7 WaterC'' Data'!$H$3:$L$3,0)),"")</f>
        <v/>
      </c>
      <c r="I182" s="38"/>
      <c r="J182" s="298" t="str">
        <f>IF(I182="","",IF(VLOOKUP(I182,'G-7 WaterC'' Data'!$AK$4:$AM$6,2,FALSE)=0,"Spatial Data Missing ⚠",VLOOKUP(I182,'G-7 WaterC'' Data'!$AK$4:$AM$6,2,FALSE)))</f>
        <v/>
      </c>
      <c r="K182" s="291" t="str">
        <f>IF(I182="","",IF(VLOOKUP(I182,'G-7 WaterC'' Data'!$AK$4:$AM$6,3,FALSE)=0,"Spatial Data Missing ⚠",VLOOKUP(I182,'G-7 WaterC'' Data'!$AK$4:$AM$6,3,FALSE)))</f>
        <v/>
      </c>
      <c r="L182" s="290" t="str">
        <f>IFERROR(INDEX('G-7 WaterC'' Data'!$O$3:$O$7,MATCH(G182,'G-7 WaterC'' Data'!$N$3:$N$7,0)),"")</f>
        <v/>
      </c>
      <c r="M182" s="47"/>
      <c r="N182" s="138"/>
      <c r="O182" s="298" t="str">
        <f t="shared" si="10"/>
        <v/>
      </c>
      <c r="P182" s="311" t="str">
        <f t="shared" si="11"/>
        <v/>
      </c>
      <c r="Q182" s="344" t="str">
        <f>IFERROR(IF(P182="Check Data ⚠","Check Data ⚠",VLOOKUP(P182,'G-4 Temporal multipliers'!$A$4:$C$37,3,FALSE)),"")</f>
        <v/>
      </c>
      <c r="R182" s="290" t="str">
        <f>IF(C182="","",VLOOKUP(C182,'G-7 WaterC'' Data'!$B$4:$G$8,4,FALSE))</f>
        <v/>
      </c>
      <c r="S182" s="298" t="str">
        <f t="shared" si="12"/>
        <v/>
      </c>
      <c r="T182" s="328" t="str">
        <f t="shared" si="13"/>
        <v/>
      </c>
      <c r="U182" s="291" t="str">
        <f>IF(C182="","",VLOOKUP(T182,'G-3 Multipliers'!$P$2:$Q$6,2,FALSE))</f>
        <v/>
      </c>
      <c r="V182" s="96"/>
      <c r="W182" s="291" t="str">
        <f>IF(V182="","",IF(AND(V182="N/A - Culvert",C182&lt;&gt;"Culvert"),"Not possible ▲",IF(AND(C182="Culvert",V182&lt;&gt;"N/A - Culvert"),"Not possible ▲",IF(VLOOKUP(V182,'G-7 WaterC'' Data'!$AA$4:$AB$7,2,FALSE)=0,"Spatial Data Missing ⚠",VLOOKUP(V182,'G-7 WaterC'' Data'!$AA$4:$AB$7,2,FALSE)))))</f>
        <v/>
      </c>
      <c r="X182" s="44"/>
      <c r="Y182" s="291" t="str">
        <f>IF(X182="","",IF(AND(X182="N/A - Culvert", C182&lt;&gt;"Culvert"), "Not possible ▲",IF(AND(C182="Culvert",X182&lt;&gt;"N/A - Culvert"),"Not possible ▲",IF(VLOOKUP(X182,'G-7 WaterC'' Data'!$AD$4:$AE$14,2,FALSE)=0,"Enrcoachment Data Missing ⚠",VLOOKUP(X182,'G-7 WaterC'' Data'!$AD$4:$AE$14,2,FALSE)))))</f>
        <v/>
      </c>
      <c r="Z182" s="332" t="str">
        <f t="shared" si="14"/>
        <v/>
      </c>
      <c r="AA182" s="98"/>
      <c r="AB182" s="99"/>
      <c r="AC182" s="101"/>
      <c r="AH182" s="15" t="str">
        <f>IFERROR(INDEX('G-7 WaterC'' Data'!$AZ$3:$AZ$7,MATCH(C182,'G-7 WaterC'' Data'!$AY$3:$AY$7,0)),"")</f>
        <v/>
      </c>
    </row>
    <row r="183" spans="2:34" ht="14" x14ac:dyDescent="0.3">
      <c r="B183" s="92">
        <v>172</v>
      </c>
      <c r="C183" s="119"/>
      <c r="D183" s="120"/>
      <c r="E183" s="290" t="str">
        <f>IF(C183="","",VLOOKUP(C183,'G-7 WaterC'' Data'!$B$2:$G$8,2,FALSE))</f>
        <v/>
      </c>
      <c r="F183" s="291" t="str">
        <f>IFERROR(VLOOKUP(E183,'G-7 WaterC'' Data'!$C$4:$D$8,2,FALSE),"")</f>
        <v/>
      </c>
      <c r="G183" s="95"/>
      <c r="H183" s="291" t="str">
        <f>IFERROR(INDEX('G-7 WaterC'' Data'!$H$4:$L$8,MATCH(C183,'G-7 WaterC'' Data'!$B$4:$B$8,0),MATCH(G183,'G-7 WaterC'' Data'!$H$3:$L$3,0)),"")</f>
        <v/>
      </c>
      <c r="I183" s="38"/>
      <c r="J183" s="298" t="str">
        <f>IF(I183="","",IF(VLOOKUP(I183,'G-7 WaterC'' Data'!$AK$4:$AM$6,2,FALSE)=0,"Spatial Data Missing ⚠",VLOOKUP(I183,'G-7 WaterC'' Data'!$AK$4:$AM$6,2,FALSE)))</f>
        <v/>
      </c>
      <c r="K183" s="291" t="str">
        <f>IF(I183="","",IF(VLOOKUP(I183,'G-7 WaterC'' Data'!$AK$4:$AM$6,3,FALSE)=0,"Spatial Data Missing ⚠",VLOOKUP(I183,'G-7 WaterC'' Data'!$AK$4:$AM$6,3,FALSE)))</f>
        <v/>
      </c>
      <c r="L183" s="290" t="str">
        <f>IFERROR(INDEX('G-7 WaterC'' Data'!$O$3:$O$7,MATCH(G183,'G-7 WaterC'' Data'!$N$3:$N$7,0)),"")</f>
        <v/>
      </c>
      <c r="M183" s="47"/>
      <c r="N183" s="138"/>
      <c r="O183" s="298" t="str">
        <f t="shared" si="10"/>
        <v/>
      </c>
      <c r="P183" s="311" t="str">
        <f t="shared" si="11"/>
        <v/>
      </c>
      <c r="Q183" s="344" t="str">
        <f>IFERROR(IF(P183="Check Data ⚠","Check Data ⚠",VLOOKUP(P183,'G-4 Temporal multipliers'!$A$4:$C$37,3,FALSE)),"")</f>
        <v/>
      </c>
      <c r="R183" s="290" t="str">
        <f>IF(C183="","",VLOOKUP(C183,'G-7 WaterC'' Data'!$B$4:$G$8,4,FALSE))</f>
        <v/>
      </c>
      <c r="S183" s="298" t="str">
        <f t="shared" si="12"/>
        <v/>
      </c>
      <c r="T183" s="328" t="str">
        <f t="shared" si="13"/>
        <v/>
      </c>
      <c r="U183" s="291" t="str">
        <f>IF(C183="","",VLOOKUP(T183,'G-3 Multipliers'!$P$2:$Q$6,2,FALSE))</f>
        <v/>
      </c>
      <c r="V183" s="96"/>
      <c r="W183" s="291" t="str">
        <f>IF(V183="","",IF(AND(V183="N/A - Culvert",C183&lt;&gt;"Culvert"),"Not possible ▲",IF(AND(C183="Culvert",V183&lt;&gt;"N/A - Culvert"),"Not possible ▲",IF(VLOOKUP(V183,'G-7 WaterC'' Data'!$AA$4:$AB$7,2,FALSE)=0,"Spatial Data Missing ⚠",VLOOKUP(V183,'G-7 WaterC'' Data'!$AA$4:$AB$7,2,FALSE)))))</f>
        <v/>
      </c>
      <c r="X183" s="44"/>
      <c r="Y183" s="291" t="str">
        <f>IF(X183="","",IF(AND(X183="N/A - Culvert", C183&lt;&gt;"Culvert"), "Not possible ▲",IF(AND(C183="Culvert",X183&lt;&gt;"N/A - Culvert"),"Not possible ▲",IF(VLOOKUP(X183,'G-7 WaterC'' Data'!$AD$4:$AE$14,2,FALSE)=0,"Enrcoachment Data Missing ⚠",VLOOKUP(X183,'G-7 WaterC'' Data'!$AD$4:$AE$14,2,FALSE)))))</f>
        <v/>
      </c>
      <c r="Z183" s="332" t="str">
        <f t="shared" si="14"/>
        <v/>
      </c>
      <c r="AA183" s="98"/>
      <c r="AB183" s="99"/>
      <c r="AC183" s="101"/>
      <c r="AH183" s="15" t="str">
        <f>IFERROR(INDEX('G-7 WaterC'' Data'!$AZ$3:$AZ$7,MATCH(C183,'G-7 WaterC'' Data'!$AY$3:$AY$7,0)),"")</f>
        <v/>
      </c>
    </row>
    <row r="184" spans="2:34" ht="14" x14ac:dyDescent="0.3">
      <c r="B184" s="92">
        <v>173</v>
      </c>
      <c r="C184" s="119"/>
      <c r="D184" s="120"/>
      <c r="E184" s="290" t="str">
        <f>IF(C184="","",VLOOKUP(C184,'G-7 WaterC'' Data'!$B$2:$G$8,2,FALSE))</f>
        <v/>
      </c>
      <c r="F184" s="291" t="str">
        <f>IFERROR(VLOOKUP(E184,'G-7 WaterC'' Data'!$C$4:$D$8,2,FALSE),"")</f>
        <v/>
      </c>
      <c r="G184" s="95"/>
      <c r="H184" s="291" t="str">
        <f>IFERROR(INDEX('G-7 WaterC'' Data'!$H$4:$L$8,MATCH(C184,'G-7 WaterC'' Data'!$B$4:$B$8,0),MATCH(G184,'G-7 WaterC'' Data'!$H$3:$L$3,0)),"")</f>
        <v/>
      </c>
      <c r="I184" s="38"/>
      <c r="J184" s="298" t="str">
        <f>IF(I184="","",IF(VLOOKUP(I184,'G-7 WaterC'' Data'!$AK$4:$AM$6,2,FALSE)=0,"Spatial Data Missing ⚠",VLOOKUP(I184,'G-7 WaterC'' Data'!$AK$4:$AM$6,2,FALSE)))</f>
        <v/>
      </c>
      <c r="K184" s="291" t="str">
        <f>IF(I184="","",IF(VLOOKUP(I184,'G-7 WaterC'' Data'!$AK$4:$AM$6,3,FALSE)=0,"Spatial Data Missing ⚠",VLOOKUP(I184,'G-7 WaterC'' Data'!$AK$4:$AM$6,3,FALSE)))</f>
        <v/>
      </c>
      <c r="L184" s="290" t="str">
        <f>IFERROR(INDEX('G-7 WaterC'' Data'!$O$3:$O$7,MATCH(G184,'G-7 WaterC'' Data'!$N$3:$N$7,0)),"")</f>
        <v/>
      </c>
      <c r="M184" s="47"/>
      <c r="N184" s="138"/>
      <c r="O184" s="298" t="str">
        <f t="shared" si="10"/>
        <v/>
      </c>
      <c r="P184" s="311" t="str">
        <f t="shared" si="11"/>
        <v/>
      </c>
      <c r="Q184" s="344" t="str">
        <f>IFERROR(IF(P184="Check Data ⚠","Check Data ⚠",VLOOKUP(P184,'G-4 Temporal multipliers'!$A$4:$C$37,3,FALSE)),"")</f>
        <v/>
      </c>
      <c r="R184" s="290" t="str">
        <f>IF(C184="","",VLOOKUP(C184,'G-7 WaterC'' Data'!$B$4:$G$8,4,FALSE))</f>
        <v/>
      </c>
      <c r="S184" s="298" t="str">
        <f t="shared" si="12"/>
        <v/>
      </c>
      <c r="T184" s="328" t="str">
        <f t="shared" si="13"/>
        <v/>
      </c>
      <c r="U184" s="291" t="str">
        <f>IF(C184="","",VLOOKUP(T184,'G-3 Multipliers'!$P$2:$Q$6,2,FALSE))</f>
        <v/>
      </c>
      <c r="V184" s="96"/>
      <c r="W184" s="291" t="str">
        <f>IF(V184="","",IF(AND(V184="N/A - Culvert",C184&lt;&gt;"Culvert"),"Not possible ▲",IF(AND(C184="Culvert",V184&lt;&gt;"N/A - Culvert"),"Not possible ▲",IF(VLOOKUP(V184,'G-7 WaterC'' Data'!$AA$4:$AB$7,2,FALSE)=0,"Spatial Data Missing ⚠",VLOOKUP(V184,'G-7 WaterC'' Data'!$AA$4:$AB$7,2,FALSE)))))</f>
        <v/>
      </c>
      <c r="X184" s="44"/>
      <c r="Y184" s="291" t="str">
        <f>IF(X184="","",IF(AND(X184="N/A - Culvert", C184&lt;&gt;"Culvert"), "Not possible ▲",IF(AND(C184="Culvert",X184&lt;&gt;"N/A - Culvert"),"Not possible ▲",IF(VLOOKUP(X184,'G-7 WaterC'' Data'!$AD$4:$AE$14,2,FALSE)=0,"Enrcoachment Data Missing ⚠",VLOOKUP(X184,'G-7 WaterC'' Data'!$AD$4:$AE$14,2,FALSE)))))</f>
        <v/>
      </c>
      <c r="Z184" s="332" t="str">
        <f t="shared" si="14"/>
        <v/>
      </c>
      <c r="AA184" s="98"/>
      <c r="AB184" s="99"/>
      <c r="AC184" s="101"/>
      <c r="AH184" s="15" t="str">
        <f>IFERROR(INDEX('G-7 WaterC'' Data'!$AZ$3:$AZ$7,MATCH(C184,'G-7 WaterC'' Data'!$AY$3:$AY$7,0)),"")</f>
        <v/>
      </c>
    </row>
    <row r="185" spans="2:34" ht="14" x14ac:dyDescent="0.3">
      <c r="B185" s="92">
        <v>174</v>
      </c>
      <c r="C185" s="119"/>
      <c r="D185" s="120"/>
      <c r="E185" s="290" t="str">
        <f>IF(C185="","",VLOOKUP(C185,'G-7 WaterC'' Data'!$B$2:$G$8,2,FALSE))</f>
        <v/>
      </c>
      <c r="F185" s="291" t="str">
        <f>IFERROR(VLOOKUP(E185,'G-7 WaterC'' Data'!$C$4:$D$8,2,FALSE),"")</f>
        <v/>
      </c>
      <c r="G185" s="95"/>
      <c r="H185" s="291" t="str">
        <f>IFERROR(INDEX('G-7 WaterC'' Data'!$H$4:$L$8,MATCH(C185,'G-7 WaterC'' Data'!$B$4:$B$8,0),MATCH(G185,'G-7 WaterC'' Data'!$H$3:$L$3,0)),"")</f>
        <v/>
      </c>
      <c r="I185" s="38"/>
      <c r="J185" s="298" t="str">
        <f>IF(I185="","",IF(VLOOKUP(I185,'G-7 WaterC'' Data'!$AK$4:$AM$6,2,FALSE)=0,"Spatial Data Missing ⚠",VLOOKUP(I185,'G-7 WaterC'' Data'!$AK$4:$AM$6,2,FALSE)))</f>
        <v/>
      </c>
      <c r="K185" s="291" t="str">
        <f>IF(I185="","",IF(VLOOKUP(I185,'G-7 WaterC'' Data'!$AK$4:$AM$6,3,FALSE)=0,"Spatial Data Missing ⚠",VLOOKUP(I185,'G-7 WaterC'' Data'!$AK$4:$AM$6,3,FALSE)))</f>
        <v/>
      </c>
      <c r="L185" s="290" t="str">
        <f>IFERROR(INDEX('G-7 WaterC'' Data'!$O$3:$O$7,MATCH(G185,'G-7 WaterC'' Data'!$N$3:$N$7,0)),"")</f>
        <v/>
      </c>
      <c r="M185" s="47"/>
      <c r="N185" s="138"/>
      <c r="O185" s="298" t="str">
        <f t="shared" si="10"/>
        <v/>
      </c>
      <c r="P185" s="311" t="str">
        <f t="shared" si="11"/>
        <v/>
      </c>
      <c r="Q185" s="344" t="str">
        <f>IFERROR(IF(P185="Check Data ⚠","Check Data ⚠",VLOOKUP(P185,'G-4 Temporal multipliers'!$A$4:$C$37,3,FALSE)),"")</f>
        <v/>
      </c>
      <c r="R185" s="290" t="str">
        <f>IF(C185="","",VLOOKUP(C185,'G-7 WaterC'' Data'!$B$4:$G$8,4,FALSE))</f>
        <v/>
      </c>
      <c r="S185" s="298" t="str">
        <f t="shared" si="12"/>
        <v/>
      </c>
      <c r="T185" s="328" t="str">
        <f t="shared" si="13"/>
        <v/>
      </c>
      <c r="U185" s="291" t="str">
        <f>IF(C185="","",VLOOKUP(T185,'G-3 Multipliers'!$P$2:$Q$6,2,FALSE))</f>
        <v/>
      </c>
      <c r="V185" s="96"/>
      <c r="W185" s="291" t="str">
        <f>IF(V185="","",IF(AND(V185="N/A - Culvert",C185&lt;&gt;"Culvert"),"Not possible ▲",IF(AND(C185="Culvert",V185&lt;&gt;"N/A - Culvert"),"Not possible ▲",IF(VLOOKUP(V185,'G-7 WaterC'' Data'!$AA$4:$AB$7,2,FALSE)=0,"Spatial Data Missing ⚠",VLOOKUP(V185,'G-7 WaterC'' Data'!$AA$4:$AB$7,2,FALSE)))))</f>
        <v/>
      </c>
      <c r="X185" s="44"/>
      <c r="Y185" s="291" t="str">
        <f>IF(X185="","",IF(AND(X185="N/A - Culvert", C185&lt;&gt;"Culvert"), "Not possible ▲",IF(AND(C185="Culvert",X185&lt;&gt;"N/A - Culvert"),"Not possible ▲",IF(VLOOKUP(X185,'G-7 WaterC'' Data'!$AD$4:$AE$14,2,FALSE)=0,"Enrcoachment Data Missing ⚠",VLOOKUP(X185,'G-7 WaterC'' Data'!$AD$4:$AE$14,2,FALSE)))))</f>
        <v/>
      </c>
      <c r="Z185" s="332" t="str">
        <f t="shared" si="14"/>
        <v/>
      </c>
      <c r="AA185" s="98"/>
      <c r="AB185" s="99"/>
      <c r="AC185" s="101"/>
      <c r="AH185" s="15" t="str">
        <f>IFERROR(INDEX('G-7 WaterC'' Data'!$AZ$3:$AZ$7,MATCH(C185,'G-7 WaterC'' Data'!$AY$3:$AY$7,0)),"")</f>
        <v/>
      </c>
    </row>
    <row r="186" spans="2:34" ht="14" x14ac:dyDescent="0.3">
      <c r="B186" s="92">
        <v>175</v>
      </c>
      <c r="C186" s="119"/>
      <c r="D186" s="120"/>
      <c r="E186" s="290" t="str">
        <f>IF(C186="","",VLOOKUP(C186,'G-7 WaterC'' Data'!$B$2:$G$8,2,FALSE))</f>
        <v/>
      </c>
      <c r="F186" s="291" t="str">
        <f>IFERROR(VLOOKUP(E186,'G-7 WaterC'' Data'!$C$4:$D$8,2,FALSE),"")</f>
        <v/>
      </c>
      <c r="G186" s="95"/>
      <c r="H186" s="291" t="str">
        <f>IFERROR(INDEX('G-7 WaterC'' Data'!$H$4:$L$8,MATCH(C186,'G-7 WaterC'' Data'!$B$4:$B$8,0),MATCH(G186,'G-7 WaterC'' Data'!$H$3:$L$3,0)),"")</f>
        <v/>
      </c>
      <c r="I186" s="38"/>
      <c r="J186" s="298" t="str">
        <f>IF(I186="","",IF(VLOOKUP(I186,'G-7 WaterC'' Data'!$AK$4:$AM$6,2,FALSE)=0,"Spatial Data Missing ⚠",VLOOKUP(I186,'G-7 WaterC'' Data'!$AK$4:$AM$6,2,FALSE)))</f>
        <v/>
      </c>
      <c r="K186" s="291" t="str">
        <f>IF(I186="","",IF(VLOOKUP(I186,'G-7 WaterC'' Data'!$AK$4:$AM$6,3,FALSE)=0,"Spatial Data Missing ⚠",VLOOKUP(I186,'G-7 WaterC'' Data'!$AK$4:$AM$6,3,FALSE)))</f>
        <v/>
      </c>
      <c r="L186" s="290" t="str">
        <f>IFERROR(INDEX('G-7 WaterC'' Data'!$O$3:$O$7,MATCH(G186,'G-7 WaterC'' Data'!$N$3:$N$7,0)),"")</f>
        <v/>
      </c>
      <c r="M186" s="47"/>
      <c r="N186" s="138"/>
      <c r="O186" s="298" t="str">
        <f t="shared" si="10"/>
        <v/>
      </c>
      <c r="P186" s="311" t="str">
        <f t="shared" si="11"/>
        <v/>
      </c>
      <c r="Q186" s="344" t="str">
        <f>IFERROR(IF(P186="Check Data ⚠","Check Data ⚠",VLOOKUP(P186,'G-4 Temporal multipliers'!$A$4:$C$37,3,FALSE)),"")</f>
        <v/>
      </c>
      <c r="R186" s="290" t="str">
        <f>IF(C186="","",VLOOKUP(C186,'G-7 WaterC'' Data'!$B$4:$G$8,4,FALSE))</f>
        <v/>
      </c>
      <c r="S186" s="298" t="str">
        <f t="shared" si="12"/>
        <v/>
      </c>
      <c r="T186" s="328" t="str">
        <f t="shared" si="13"/>
        <v/>
      </c>
      <c r="U186" s="291" t="str">
        <f>IF(C186="","",VLOOKUP(T186,'G-3 Multipliers'!$P$2:$Q$6,2,FALSE))</f>
        <v/>
      </c>
      <c r="V186" s="96"/>
      <c r="W186" s="291" t="str">
        <f>IF(V186="","",IF(AND(V186="N/A - Culvert",C186&lt;&gt;"Culvert"),"Not possible ▲",IF(AND(C186="Culvert",V186&lt;&gt;"N/A - Culvert"),"Not possible ▲",IF(VLOOKUP(V186,'G-7 WaterC'' Data'!$AA$4:$AB$7,2,FALSE)=0,"Spatial Data Missing ⚠",VLOOKUP(V186,'G-7 WaterC'' Data'!$AA$4:$AB$7,2,FALSE)))))</f>
        <v/>
      </c>
      <c r="X186" s="44"/>
      <c r="Y186" s="291" t="str">
        <f>IF(X186="","",IF(AND(X186="N/A - Culvert", C186&lt;&gt;"Culvert"), "Not possible ▲",IF(AND(C186="Culvert",X186&lt;&gt;"N/A - Culvert"),"Not possible ▲",IF(VLOOKUP(X186,'G-7 WaterC'' Data'!$AD$4:$AE$14,2,FALSE)=0,"Enrcoachment Data Missing ⚠",VLOOKUP(X186,'G-7 WaterC'' Data'!$AD$4:$AE$14,2,FALSE)))))</f>
        <v/>
      </c>
      <c r="Z186" s="332" t="str">
        <f t="shared" si="14"/>
        <v/>
      </c>
      <c r="AA186" s="98"/>
      <c r="AB186" s="99"/>
      <c r="AC186" s="101"/>
      <c r="AH186" s="15" t="str">
        <f>IFERROR(INDEX('G-7 WaterC'' Data'!$AZ$3:$AZ$7,MATCH(C186,'G-7 WaterC'' Data'!$AY$3:$AY$7,0)),"")</f>
        <v/>
      </c>
    </row>
    <row r="187" spans="2:34" ht="14" x14ac:dyDescent="0.3">
      <c r="B187" s="92">
        <v>176</v>
      </c>
      <c r="C187" s="119"/>
      <c r="D187" s="120"/>
      <c r="E187" s="290" t="str">
        <f>IF(C187="","",VLOOKUP(C187,'G-7 WaterC'' Data'!$B$2:$G$8,2,FALSE))</f>
        <v/>
      </c>
      <c r="F187" s="291" t="str">
        <f>IFERROR(VLOOKUP(E187,'G-7 WaterC'' Data'!$C$4:$D$8,2,FALSE),"")</f>
        <v/>
      </c>
      <c r="G187" s="95"/>
      <c r="H187" s="291" t="str">
        <f>IFERROR(INDEX('G-7 WaterC'' Data'!$H$4:$L$8,MATCH(C187,'G-7 WaterC'' Data'!$B$4:$B$8,0),MATCH(G187,'G-7 WaterC'' Data'!$H$3:$L$3,0)),"")</f>
        <v/>
      </c>
      <c r="I187" s="38"/>
      <c r="J187" s="298" t="str">
        <f>IF(I187="","",IF(VLOOKUP(I187,'G-7 WaterC'' Data'!$AK$4:$AM$6,2,FALSE)=0,"Spatial Data Missing ⚠",VLOOKUP(I187,'G-7 WaterC'' Data'!$AK$4:$AM$6,2,FALSE)))</f>
        <v/>
      </c>
      <c r="K187" s="291" t="str">
        <f>IF(I187="","",IF(VLOOKUP(I187,'G-7 WaterC'' Data'!$AK$4:$AM$6,3,FALSE)=0,"Spatial Data Missing ⚠",VLOOKUP(I187,'G-7 WaterC'' Data'!$AK$4:$AM$6,3,FALSE)))</f>
        <v/>
      </c>
      <c r="L187" s="290" t="str">
        <f>IFERROR(INDEX('G-7 WaterC'' Data'!$O$3:$O$7,MATCH(G187,'G-7 WaterC'' Data'!$N$3:$N$7,0)),"")</f>
        <v/>
      </c>
      <c r="M187" s="47"/>
      <c r="N187" s="138"/>
      <c r="O187" s="298" t="str">
        <f t="shared" si="10"/>
        <v/>
      </c>
      <c r="P187" s="311" t="str">
        <f t="shared" si="11"/>
        <v/>
      </c>
      <c r="Q187" s="344" t="str">
        <f>IFERROR(IF(P187="Check Data ⚠","Check Data ⚠",VLOOKUP(P187,'G-4 Temporal multipliers'!$A$4:$C$37,3,FALSE)),"")</f>
        <v/>
      </c>
      <c r="R187" s="290" t="str">
        <f>IF(C187="","",VLOOKUP(C187,'G-7 WaterC'' Data'!$B$4:$G$8,4,FALSE))</f>
        <v/>
      </c>
      <c r="S187" s="298" t="str">
        <f t="shared" si="12"/>
        <v/>
      </c>
      <c r="T187" s="328" t="str">
        <f t="shared" si="13"/>
        <v/>
      </c>
      <c r="U187" s="291" t="str">
        <f>IF(C187="","",VLOOKUP(T187,'G-3 Multipliers'!$P$2:$Q$6,2,FALSE))</f>
        <v/>
      </c>
      <c r="V187" s="96"/>
      <c r="W187" s="291" t="str">
        <f>IF(V187="","",IF(AND(V187="N/A - Culvert",C187&lt;&gt;"Culvert"),"Not possible ▲",IF(AND(C187="Culvert",V187&lt;&gt;"N/A - Culvert"),"Not possible ▲",IF(VLOOKUP(V187,'G-7 WaterC'' Data'!$AA$4:$AB$7,2,FALSE)=0,"Spatial Data Missing ⚠",VLOOKUP(V187,'G-7 WaterC'' Data'!$AA$4:$AB$7,2,FALSE)))))</f>
        <v/>
      </c>
      <c r="X187" s="44"/>
      <c r="Y187" s="291" t="str">
        <f>IF(X187="","",IF(AND(X187="N/A - Culvert", C187&lt;&gt;"Culvert"), "Not possible ▲",IF(AND(C187="Culvert",X187&lt;&gt;"N/A - Culvert"),"Not possible ▲",IF(VLOOKUP(X187,'G-7 WaterC'' Data'!$AD$4:$AE$14,2,FALSE)=0,"Enrcoachment Data Missing ⚠",VLOOKUP(X187,'G-7 WaterC'' Data'!$AD$4:$AE$14,2,FALSE)))))</f>
        <v/>
      </c>
      <c r="Z187" s="332" t="str">
        <f t="shared" si="14"/>
        <v/>
      </c>
      <c r="AA187" s="98"/>
      <c r="AB187" s="99"/>
      <c r="AC187" s="101"/>
      <c r="AH187" s="15" t="str">
        <f>IFERROR(INDEX('G-7 WaterC'' Data'!$AZ$3:$AZ$7,MATCH(C187,'G-7 WaterC'' Data'!$AY$3:$AY$7,0)),"")</f>
        <v/>
      </c>
    </row>
    <row r="188" spans="2:34" ht="14" x14ac:dyDescent="0.3">
      <c r="B188" s="92">
        <v>177</v>
      </c>
      <c r="C188" s="119"/>
      <c r="D188" s="120"/>
      <c r="E188" s="290" t="str">
        <f>IF(C188="","",VLOOKUP(C188,'G-7 WaterC'' Data'!$B$2:$G$8,2,FALSE))</f>
        <v/>
      </c>
      <c r="F188" s="291" t="str">
        <f>IFERROR(VLOOKUP(E188,'G-7 WaterC'' Data'!$C$4:$D$8,2,FALSE),"")</f>
        <v/>
      </c>
      <c r="G188" s="95"/>
      <c r="H188" s="291" t="str">
        <f>IFERROR(INDEX('G-7 WaterC'' Data'!$H$4:$L$8,MATCH(C188,'G-7 WaterC'' Data'!$B$4:$B$8,0),MATCH(G188,'G-7 WaterC'' Data'!$H$3:$L$3,0)),"")</f>
        <v/>
      </c>
      <c r="I188" s="38"/>
      <c r="J188" s="298" t="str">
        <f>IF(I188="","",IF(VLOOKUP(I188,'G-7 WaterC'' Data'!$AK$4:$AM$6,2,FALSE)=0,"Spatial Data Missing ⚠",VLOOKUP(I188,'G-7 WaterC'' Data'!$AK$4:$AM$6,2,FALSE)))</f>
        <v/>
      </c>
      <c r="K188" s="291" t="str">
        <f>IF(I188="","",IF(VLOOKUP(I188,'G-7 WaterC'' Data'!$AK$4:$AM$6,3,FALSE)=0,"Spatial Data Missing ⚠",VLOOKUP(I188,'G-7 WaterC'' Data'!$AK$4:$AM$6,3,FALSE)))</f>
        <v/>
      </c>
      <c r="L188" s="290" t="str">
        <f>IFERROR(INDEX('G-7 WaterC'' Data'!$O$3:$O$7,MATCH(G188,'G-7 WaterC'' Data'!$N$3:$N$7,0)),"")</f>
        <v/>
      </c>
      <c r="M188" s="47"/>
      <c r="N188" s="138"/>
      <c r="O188" s="298" t="str">
        <f t="shared" si="10"/>
        <v/>
      </c>
      <c r="P188" s="311" t="str">
        <f t="shared" si="11"/>
        <v/>
      </c>
      <c r="Q188" s="344" t="str">
        <f>IFERROR(IF(P188="Check Data ⚠","Check Data ⚠",VLOOKUP(P188,'G-4 Temporal multipliers'!$A$4:$C$37,3,FALSE)),"")</f>
        <v/>
      </c>
      <c r="R188" s="290" t="str">
        <f>IF(C188="","",VLOOKUP(C188,'G-7 WaterC'' Data'!$B$4:$G$8,4,FALSE))</f>
        <v/>
      </c>
      <c r="S188" s="298" t="str">
        <f t="shared" si="12"/>
        <v/>
      </c>
      <c r="T188" s="328" t="str">
        <f t="shared" si="13"/>
        <v/>
      </c>
      <c r="U188" s="291" t="str">
        <f>IF(C188="","",VLOOKUP(T188,'G-3 Multipliers'!$P$2:$Q$6,2,FALSE))</f>
        <v/>
      </c>
      <c r="V188" s="96"/>
      <c r="W188" s="291" t="str">
        <f>IF(V188="","",IF(AND(V188="N/A - Culvert",C188&lt;&gt;"Culvert"),"Not possible ▲",IF(AND(C188="Culvert",V188&lt;&gt;"N/A - Culvert"),"Not possible ▲",IF(VLOOKUP(V188,'G-7 WaterC'' Data'!$AA$4:$AB$7,2,FALSE)=0,"Spatial Data Missing ⚠",VLOOKUP(V188,'G-7 WaterC'' Data'!$AA$4:$AB$7,2,FALSE)))))</f>
        <v/>
      </c>
      <c r="X188" s="44"/>
      <c r="Y188" s="291" t="str">
        <f>IF(X188="","",IF(AND(X188="N/A - Culvert", C188&lt;&gt;"Culvert"), "Not possible ▲",IF(AND(C188="Culvert",X188&lt;&gt;"N/A - Culvert"),"Not possible ▲",IF(VLOOKUP(X188,'G-7 WaterC'' Data'!$AD$4:$AE$14,2,FALSE)=0,"Enrcoachment Data Missing ⚠",VLOOKUP(X188,'G-7 WaterC'' Data'!$AD$4:$AE$14,2,FALSE)))))</f>
        <v/>
      </c>
      <c r="Z188" s="332" t="str">
        <f t="shared" si="14"/>
        <v/>
      </c>
      <c r="AA188" s="98"/>
      <c r="AB188" s="99"/>
      <c r="AC188" s="101"/>
      <c r="AH188" s="15" t="str">
        <f>IFERROR(INDEX('G-7 WaterC'' Data'!$AZ$3:$AZ$7,MATCH(C188,'G-7 WaterC'' Data'!$AY$3:$AY$7,0)),"")</f>
        <v/>
      </c>
    </row>
    <row r="189" spans="2:34" ht="14" x14ac:dyDescent="0.3">
      <c r="B189" s="92">
        <v>178</v>
      </c>
      <c r="C189" s="119"/>
      <c r="D189" s="120"/>
      <c r="E189" s="290" t="str">
        <f>IF(C189="","",VLOOKUP(C189,'G-7 WaterC'' Data'!$B$2:$G$8,2,FALSE))</f>
        <v/>
      </c>
      <c r="F189" s="291" t="str">
        <f>IFERROR(VLOOKUP(E189,'G-7 WaterC'' Data'!$C$4:$D$8,2,FALSE),"")</f>
        <v/>
      </c>
      <c r="G189" s="95"/>
      <c r="H189" s="291" t="str">
        <f>IFERROR(INDEX('G-7 WaterC'' Data'!$H$4:$L$8,MATCH(C189,'G-7 WaterC'' Data'!$B$4:$B$8,0),MATCH(G189,'G-7 WaterC'' Data'!$H$3:$L$3,0)),"")</f>
        <v/>
      </c>
      <c r="I189" s="38"/>
      <c r="J189" s="298" t="str">
        <f>IF(I189="","",IF(VLOOKUP(I189,'G-7 WaterC'' Data'!$AK$4:$AM$6,2,FALSE)=0,"Spatial Data Missing ⚠",VLOOKUP(I189,'G-7 WaterC'' Data'!$AK$4:$AM$6,2,FALSE)))</f>
        <v/>
      </c>
      <c r="K189" s="291" t="str">
        <f>IF(I189="","",IF(VLOOKUP(I189,'G-7 WaterC'' Data'!$AK$4:$AM$6,3,FALSE)=0,"Spatial Data Missing ⚠",VLOOKUP(I189,'G-7 WaterC'' Data'!$AK$4:$AM$6,3,FALSE)))</f>
        <v/>
      </c>
      <c r="L189" s="290" t="str">
        <f>IFERROR(INDEX('G-7 WaterC'' Data'!$O$3:$O$7,MATCH(G189,'G-7 WaterC'' Data'!$N$3:$N$7,0)),"")</f>
        <v/>
      </c>
      <c r="M189" s="47"/>
      <c r="N189" s="138"/>
      <c r="O189" s="298" t="str">
        <f t="shared" si="10"/>
        <v/>
      </c>
      <c r="P189" s="311" t="str">
        <f t="shared" si="11"/>
        <v/>
      </c>
      <c r="Q189" s="344" t="str">
        <f>IFERROR(IF(P189="Check Data ⚠","Check Data ⚠",VLOOKUP(P189,'G-4 Temporal multipliers'!$A$4:$C$37,3,FALSE)),"")</f>
        <v/>
      </c>
      <c r="R189" s="290" t="str">
        <f>IF(C189="","",VLOOKUP(C189,'G-7 WaterC'' Data'!$B$4:$G$8,4,FALSE))</f>
        <v/>
      </c>
      <c r="S189" s="298" t="str">
        <f t="shared" si="12"/>
        <v/>
      </c>
      <c r="T189" s="328" t="str">
        <f t="shared" si="13"/>
        <v/>
      </c>
      <c r="U189" s="291" t="str">
        <f>IF(C189="","",VLOOKUP(T189,'G-3 Multipliers'!$P$2:$Q$6,2,FALSE))</f>
        <v/>
      </c>
      <c r="V189" s="96"/>
      <c r="W189" s="291" t="str">
        <f>IF(V189="","",IF(AND(V189="N/A - Culvert",C189&lt;&gt;"Culvert"),"Not possible ▲",IF(AND(C189="Culvert",V189&lt;&gt;"N/A - Culvert"),"Not possible ▲",IF(VLOOKUP(V189,'G-7 WaterC'' Data'!$AA$4:$AB$7,2,FALSE)=0,"Spatial Data Missing ⚠",VLOOKUP(V189,'G-7 WaterC'' Data'!$AA$4:$AB$7,2,FALSE)))))</f>
        <v/>
      </c>
      <c r="X189" s="44"/>
      <c r="Y189" s="291" t="str">
        <f>IF(X189="","",IF(AND(X189="N/A - Culvert", C189&lt;&gt;"Culvert"), "Not possible ▲",IF(AND(C189="Culvert",X189&lt;&gt;"N/A - Culvert"),"Not possible ▲",IF(VLOOKUP(X189,'G-7 WaterC'' Data'!$AD$4:$AE$14,2,FALSE)=0,"Enrcoachment Data Missing ⚠",VLOOKUP(X189,'G-7 WaterC'' Data'!$AD$4:$AE$14,2,FALSE)))))</f>
        <v/>
      </c>
      <c r="Z189" s="332" t="str">
        <f t="shared" si="14"/>
        <v/>
      </c>
      <c r="AA189" s="98"/>
      <c r="AB189" s="99"/>
      <c r="AC189" s="101"/>
      <c r="AH189" s="15" t="str">
        <f>IFERROR(INDEX('G-7 WaterC'' Data'!$AZ$3:$AZ$7,MATCH(C189,'G-7 WaterC'' Data'!$AY$3:$AY$7,0)),"")</f>
        <v/>
      </c>
    </row>
    <row r="190" spans="2:34" ht="14" x14ac:dyDescent="0.3">
      <c r="B190" s="92">
        <v>179</v>
      </c>
      <c r="C190" s="119"/>
      <c r="D190" s="120"/>
      <c r="E190" s="290" t="str">
        <f>IF(C190="","",VLOOKUP(C190,'G-7 WaterC'' Data'!$B$2:$G$8,2,FALSE))</f>
        <v/>
      </c>
      <c r="F190" s="291" t="str">
        <f>IFERROR(VLOOKUP(E190,'G-7 WaterC'' Data'!$C$4:$D$8,2,FALSE),"")</f>
        <v/>
      </c>
      <c r="G190" s="95"/>
      <c r="H190" s="291" t="str">
        <f>IFERROR(INDEX('G-7 WaterC'' Data'!$H$4:$L$8,MATCH(C190,'G-7 WaterC'' Data'!$B$4:$B$8,0),MATCH(G190,'G-7 WaterC'' Data'!$H$3:$L$3,0)),"")</f>
        <v/>
      </c>
      <c r="I190" s="38"/>
      <c r="J190" s="298" t="str">
        <f>IF(I190="","",IF(VLOOKUP(I190,'G-7 WaterC'' Data'!$AK$4:$AM$6,2,FALSE)=0,"Spatial Data Missing ⚠",VLOOKUP(I190,'G-7 WaterC'' Data'!$AK$4:$AM$6,2,FALSE)))</f>
        <v/>
      </c>
      <c r="K190" s="291" t="str">
        <f>IF(I190="","",IF(VLOOKUP(I190,'G-7 WaterC'' Data'!$AK$4:$AM$6,3,FALSE)=0,"Spatial Data Missing ⚠",VLOOKUP(I190,'G-7 WaterC'' Data'!$AK$4:$AM$6,3,FALSE)))</f>
        <v/>
      </c>
      <c r="L190" s="290" t="str">
        <f>IFERROR(INDEX('G-7 WaterC'' Data'!$O$3:$O$7,MATCH(G190,'G-7 WaterC'' Data'!$N$3:$N$7,0)),"")</f>
        <v/>
      </c>
      <c r="M190" s="47"/>
      <c r="N190" s="138"/>
      <c r="O190" s="298" t="str">
        <f t="shared" si="10"/>
        <v/>
      </c>
      <c r="P190" s="311" t="str">
        <f t="shared" si="11"/>
        <v/>
      </c>
      <c r="Q190" s="344" t="str">
        <f>IFERROR(IF(P190="Check Data ⚠","Check Data ⚠",VLOOKUP(P190,'G-4 Temporal multipliers'!$A$4:$C$37,3,FALSE)),"")</f>
        <v/>
      </c>
      <c r="R190" s="290" t="str">
        <f>IF(C190="","",VLOOKUP(C190,'G-7 WaterC'' Data'!$B$4:$G$8,4,FALSE))</f>
        <v/>
      </c>
      <c r="S190" s="298" t="str">
        <f t="shared" si="12"/>
        <v/>
      </c>
      <c r="T190" s="328" t="str">
        <f t="shared" si="13"/>
        <v/>
      </c>
      <c r="U190" s="291" t="str">
        <f>IF(C190="","",VLOOKUP(T190,'G-3 Multipliers'!$P$2:$Q$6,2,FALSE))</f>
        <v/>
      </c>
      <c r="V190" s="96"/>
      <c r="W190" s="291" t="str">
        <f>IF(V190="","",IF(AND(V190="N/A - Culvert",C190&lt;&gt;"Culvert"),"Not possible ▲",IF(AND(C190="Culvert",V190&lt;&gt;"N/A - Culvert"),"Not possible ▲",IF(VLOOKUP(V190,'G-7 WaterC'' Data'!$AA$4:$AB$7,2,FALSE)=0,"Spatial Data Missing ⚠",VLOOKUP(V190,'G-7 WaterC'' Data'!$AA$4:$AB$7,2,FALSE)))))</f>
        <v/>
      </c>
      <c r="X190" s="44"/>
      <c r="Y190" s="291" t="str">
        <f>IF(X190="","",IF(AND(X190="N/A - Culvert", C190&lt;&gt;"Culvert"), "Not possible ▲",IF(AND(C190="Culvert",X190&lt;&gt;"N/A - Culvert"),"Not possible ▲",IF(VLOOKUP(X190,'G-7 WaterC'' Data'!$AD$4:$AE$14,2,FALSE)=0,"Enrcoachment Data Missing ⚠",VLOOKUP(X190,'G-7 WaterC'' Data'!$AD$4:$AE$14,2,FALSE)))))</f>
        <v/>
      </c>
      <c r="Z190" s="332" t="str">
        <f t="shared" si="14"/>
        <v/>
      </c>
      <c r="AA190" s="98"/>
      <c r="AB190" s="99"/>
      <c r="AC190" s="101"/>
      <c r="AH190" s="15" t="str">
        <f>IFERROR(INDEX('G-7 WaterC'' Data'!$AZ$3:$AZ$7,MATCH(C190,'G-7 WaterC'' Data'!$AY$3:$AY$7,0)),"")</f>
        <v/>
      </c>
    </row>
    <row r="191" spans="2:34" ht="14" x14ac:dyDescent="0.3">
      <c r="B191" s="92">
        <v>180</v>
      </c>
      <c r="C191" s="119"/>
      <c r="D191" s="120"/>
      <c r="E191" s="290" t="str">
        <f>IF(C191="","",VLOOKUP(C191,'G-7 WaterC'' Data'!$B$2:$G$8,2,FALSE))</f>
        <v/>
      </c>
      <c r="F191" s="291" t="str">
        <f>IFERROR(VLOOKUP(E191,'G-7 WaterC'' Data'!$C$4:$D$8,2,FALSE),"")</f>
        <v/>
      </c>
      <c r="G191" s="95"/>
      <c r="H191" s="291" t="str">
        <f>IFERROR(INDEX('G-7 WaterC'' Data'!$H$4:$L$8,MATCH(C191,'G-7 WaterC'' Data'!$B$4:$B$8,0),MATCH(G191,'G-7 WaterC'' Data'!$H$3:$L$3,0)),"")</f>
        <v/>
      </c>
      <c r="I191" s="38"/>
      <c r="J191" s="298" t="str">
        <f>IF(I191="","",IF(VLOOKUP(I191,'G-7 WaterC'' Data'!$AK$4:$AM$6,2,FALSE)=0,"Spatial Data Missing ⚠",VLOOKUP(I191,'G-7 WaterC'' Data'!$AK$4:$AM$6,2,FALSE)))</f>
        <v/>
      </c>
      <c r="K191" s="291" t="str">
        <f>IF(I191="","",IF(VLOOKUP(I191,'G-7 WaterC'' Data'!$AK$4:$AM$6,3,FALSE)=0,"Spatial Data Missing ⚠",VLOOKUP(I191,'G-7 WaterC'' Data'!$AK$4:$AM$6,3,FALSE)))</f>
        <v/>
      </c>
      <c r="L191" s="290" t="str">
        <f>IFERROR(INDEX('G-7 WaterC'' Data'!$O$3:$O$7,MATCH(G191,'G-7 WaterC'' Data'!$N$3:$N$7,0)),"")</f>
        <v/>
      </c>
      <c r="M191" s="47"/>
      <c r="N191" s="138"/>
      <c r="O191" s="298" t="str">
        <f t="shared" si="10"/>
        <v/>
      </c>
      <c r="P191" s="311" t="str">
        <f t="shared" si="11"/>
        <v/>
      </c>
      <c r="Q191" s="344" t="str">
        <f>IFERROR(IF(P191="Check Data ⚠","Check Data ⚠",VLOOKUP(P191,'G-4 Temporal multipliers'!$A$4:$C$37,3,FALSE)),"")</f>
        <v/>
      </c>
      <c r="R191" s="290" t="str">
        <f>IF(C191="","",VLOOKUP(C191,'G-7 WaterC'' Data'!$B$4:$G$8,4,FALSE))</f>
        <v/>
      </c>
      <c r="S191" s="298" t="str">
        <f t="shared" si="12"/>
        <v/>
      </c>
      <c r="T191" s="328" t="str">
        <f t="shared" si="13"/>
        <v/>
      </c>
      <c r="U191" s="291" t="str">
        <f>IF(C191="","",VLOOKUP(T191,'G-3 Multipliers'!$P$2:$Q$6,2,FALSE))</f>
        <v/>
      </c>
      <c r="V191" s="96"/>
      <c r="W191" s="291" t="str">
        <f>IF(V191="","",IF(AND(V191="N/A - Culvert",C191&lt;&gt;"Culvert"),"Not possible ▲",IF(AND(C191="Culvert",V191&lt;&gt;"N/A - Culvert"),"Not possible ▲",IF(VLOOKUP(V191,'G-7 WaterC'' Data'!$AA$4:$AB$7,2,FALSE)=0,"Spatial Data Missing ⚠",VLOOKUP(V191,'G-7 WaterC'' Data'!$AA$4:$AB$7,2,FALSE)))))</f>
        <v/>
      </c>
      <c r="X191" s="44"/>
      <c r="Y191" s="291" t="str">
        <f>IF(X191="","",IF(AND(X191="N/A - Culvert", C191&lt;&gt;"Culvert"), "Not possible ▲",IF(AND(C191="Culvert",X191&lt;&gt;"N/A - Culvert"),"Not possible ▲",IF(VLOOKUP(X191,'G-7 WaterC'' Data'!$AD$4:$AE$14,2,FALSE)=0,"Enrcoachment Data Missing ⚠",VLOOKUP(X191,'G-7 WaterC'' Data'!$AD$4:$AE$14,2,FALSE)))))</f>
        <v/>
      </c>
      <c r="Z191" s="332" t="str">
        <f t="shared" si="14"/>
        <v/>
      </c>
      <c r="AA191" s="98"/>
      <c r="AB191" s="99"/>
      <c r="AC191" s="101"/>
      <c r="AH191" s="15" t="str">
        <f>IFERROR(INDEX('G-7 WaterC'' Data'!$AZ$3:$AZ$7,MATCH(C191,'G-7 WaterC'' Data'!$AY$3:$AY$7,0)),"")</f>
        <v/>
      </c>
    </row>
    <row r="192" spans="2:34" ht="14" x14ac:dyDescent="0.3">
      <c r="B192" s="92">
        <v>181</v>
      </c>
      <c r="C192" s="119"/>
      <c r="D192" s="120"/>
      <c r="E192" s="290" t="str">
        <f>IF(C192="","",VLOOKUP(C192,'G-7 WaterC'' Data'!$B$2:$G$8,2,FALSE))</f>
        <v/>
      </c>
      <c r="F192" s="291" t="str">
        <f>IFERROR(VLOOKUP(E192,'G-7 WaterC'' Data'!$C$4:$D$8,2,FALSE),"")</f>
        <v/>
      </c>
      <c r="G192" s="95"/>
      <c r="H192" s="291" t="str">
        <f>IFERROR(INDEX('G-7 WaterC'' Data'!$H$4:$L$8,MATCH(C192,'G-7 WaterC'' Data'!$B$4:$B$8,0),MATCH(G192,'G-7 WaterC'' Data'!$H$3:$L$3,0)),"")</f>
        <v/>
      </c>
      <c r="I192" s="38"/>
      <c r="J192" s="298" t="str">
        <f>IF(I192="","",IF(VLOOKUP(I192,'G-7 WaterC'' Data'!$AK$4:$AM$6,2,FALSE)=0,"Spatial Data Missing ⚠",VLOOKUP(I192,'G-7 WaterC'' Data'!$AK$4:$AM$6,2,FALSE)))</f>
        <v/>
      </c>
      <c r="K192" s="291" t="str">
        <f>IF(I192="","",IF(VLOOKUP(I192,'G-7 WaterC'' Data'!$AK$4:$AM$6,3,FALSE)=0,"Spatial Data Missing ⚠",VLOOKUP(I192,'G-7 WaterC'' Data'!$AK$4:$AM$6,3,FALSE)))</f>
        <v/>
      </c>
      <c r="L192" s="290" t="str">
        <f>IFERROR(INDEX('G-7 WaterC'' Data'!$O$3:$O$7,MATCH(G192,'G-7 WaterC'' Data'!$N$3:$N$7,0)),"")</f>
        <v/>
      </c>
      <c r="M192" s="47"/>
      <c r="N192" s="138"/>
      <c r="O192" s="298" t="str">
        <f t="shared" si="10"/>
        <v/>
      </c>
      <c r="P192" s="311" t="str">
        <f t="shared" si="11"/>
        <v/>
      </c>
      <c r="Q192" s="344" t="str">
        <f>IFERROR(IF(P192="Check Data ⚠","Check Data ⚠",VLOOKUP(P192,'G-4 Temporal multipliers'!$A$4:$C$37,3,FALSE)),"")</f>
        <v/>
      </c>
      <c r="R192" s="290" t="str">
        <f>IF(C192="","",VLOOKUP(C192,'G-7 WaterC'' Data'!$B$4:$G$8,4,FALSE))</f>
        <v/>
      </c>
      <c r="S192" s="298" t="str">
        <f t="shared" si="12"/>
        <v/>
      </c>
      <c r="T192" s="328" t="str">
        <f t="shared" si="13"/>
        <v/>
      </c>
      <c r="U192" s="291" t="str">
        <f>IF(C192="","",VLOOKUP(T192,'G-3 Multipliers'!$P$2:$Q$6,2,FALSE))</f>
        <v/>
      </c>
      <c r="V192" s="96"/>
      <c r="W192" s="291" t="str">
        <f>IF(V192="","",IF(AND(V192="N/A - Culvert",C192&lt;&gt;"Culvert"),"Not possible ▲",IF(AND(C192="Culvert",V192&lt;&gt;"N/A - Culvert"),"Not possible ▲",IF(VLOOKUP(V192,'G-7 WaterC'' Data'!$AA$4:$AB$7,2,FALSE)=0,"Spatial Data Missing ⚠",VLOOKUP(V192,'G-7 WaterC'' Data'!$AA$4:$AB$7,2,FALSE)))))</f>
        <v/>
      </c>
      <c r="X192" s="44"/>
      <c r="Y192" s="291" t="str">
        <f>IF(X192="","",IF(AND(X192="N/A - Culvert", C192&lt;&gt;"Culvert"), "Not possible ▲",IF(AND(C192="Culvert",X192&lt;&gt;"N/A - Culvert"),"Not possible ▲",IF(VLOOKUP(X192,'G-7 WaterC'' Data'!$AD$4:$AE$14,2,FALSE)=0,"Enrcoachment Data Missing ⚠",VLOOKUP(X192,'G-7 WaterC'' Data'!$AD$4:$AE$14,2,FALSE)))))</f>
        <v/>
      </c>
      <c r="Z192" s="332" t="str">
        <f t="shared" si="14"/>
        <v/>
      </c>
      <c r="AA192" s="98"/>
      <c r="AB192" s="99"/>
      <c r="AC192" s="101"/>
      <c r="AH192" s="15" t="str">
        <f>IFERROR(INDEX('G-7 WaterC'' Data'!$AZ$3:$AZ$7,MATCH(C192,'G-7 WaterC'' Data'!$AY$3:$AY$7,0)),"")</f>
        <v/>
      </c>
    </row>
    <row r="193" spans="2:34" ht="14" x14ac:dyDescent="0.3">
      <c r="B193" s="92">
        <v>182</v>
      </c>
      <c r="C193" s="119"/>
      <c r="D193" s="120"/>
      <c r="E193" s="290" t="str">
        <f>IF(C193="","",VLOOKUP(C193,'G-7 WaterC'' Data'!$B$2:$G$8,2,FALSE))</f>
        <v/>
      </c>
      <c r="F193" s="291" t="str">
        <f>IFERROR(VLOOKUP(E193,'G-7 WaterC'' Data'!$C$4:$D$8,2,FALSE),"")</f>
        <v/>
      </c>
      <c r="G193" s="95"/>
      <c r="H193" s="291" t="str">
        <f>IFERROR(INDEX('G-7 WaterC'' Data'!$H$4:$L$8,MATCH(C193,'G-7 WaterC'' Data'!$B$4:$B$8,0),MATCH(G193,'G-7 WaterC'' Data'!$H$3:$L$3,0)),"")</f>
        <v/>
      </c>
      <c r="I193" s="38"/>
      <c r="J193" s="298" t="str">
        <f>IF(I193="","",IF(VLOOKUP(I193,'G-7 WaterC'' Data'!$AK$4:$AM$6,2,FALSE)=0,"Spatial Data Missing ⚠",VLOOKUP(I193,'G-7 WaterC'' Data'!$AK$4:$AM$6,2,FALSE)))</f>
        <v/>
      </c>
      <c r="K193" s="291" t="str">
        <f>IF(I193="","",IF(VLOOKUP(I193,'G-7 WaterC'' Data'!$AK$4:$AM$6,3,FALSE)=0,"Spatial Data Missing ⚠",VLOOKUP(I193,'G-7 WaterC'' Data'!$AK$4:$AM$6,3,FALSE)))</f>
        <v/>
      </c>
      <c r="L193" s="290" t="str">
        <f>IFERROR(INDEX('G-7 WaterC'' Data'!$O$3:$O$7,MATCH(G193,'G-7 WaterC'' Data'!$N$3:$N$7,0)),"")</f>
        <v/>
      </c>
      <c r="M193" s="47"/>
      <c r="N193" s="138"/>
      <c r="O193" s="298" t="str">
        <f t="shared" si="10"/>
        <v/>
      </c>
      <c r="P193" s="311" t="str">
        <f t="shared" si="11"/>
        <v/>
      </c>
      <c r="Q193" s="344" t="str">
        <f>IFERROR(IF(P193="Check Data ⚠","Check Data ⚠",VLOOKUP(P193,'G-4 Temporal multipliers'!$A$4:$C$37,3,FALSE)),"")</f>
        <v/>
      </c>
      <c r="R193" s="290" t="str">
        <f>IF(C193="","",VLOOKUP(C193,'G-7 WaterC'' Data'!$B$4:$G$8,4,FALSE))</f>
        <v/>
      </c>
      <c r="S193" s="298" t="str">
        <f t="shared" si="12"/>
        <v/>
      </c>
      <c r="T193" s="328" t="str">
        <f t="shared" si="13"/>
        <v/>
      </c>
      <c r="U193" s="291" t="str">
        <f>IF(C193="","",VLOOKUP(T193,'G-3 Multipliers'!$P$2:$Q$6,2,FALSE))</f>
        <v/>
      </c>
      <c r="V193" s="96"/>
      <c r="W193" s="291" t="str">
        <f>IF(V193="","",IF(AND(V193="N/A - Culvert",C193&lt;&gt;"Culvert"),"Not possible ▲",IF(AND(C193="Culvert",V193&lt;&gt;"N/A - Culvert"),"Not possible ▲",IF(VLOOKUP(V193,'G-7 WaterC'' Data'!$AA$4:$AB$7,2,FALSE)=0,"Spatial Data Missing ⚠",VLOOKUP(V193,'G-7 WaterC'' Data'!$AA$4:$AB$7,2,FALSE)))))</f>
        <v/>
      </c>
      <c r="X193" s="44"/>
      <c r="Y193" s="291" t="str">
        <f>IF(X193="","",IF(AND(X193="N/A - Culvert", C193&lt;&gt;"Culvert"), "Not possible ▲",IF(AND(C193="Culvert",X193&lt;&gt;"N/A - Culvert"),"Not possible ▲",IF(VLOOKUP(X193,'G-7 WaterC'' Data'!$AD$4:$AE$14,2,FALSE)=0,"Enrcoachment Data Missing ⚠",VLOOKUP(X193,'G-7 WaterC'' Data'!$AD$4:$AE$14,2,FALSE)))))</f>
        <v/>
      </c>
      <c r="Z193" s="332" t="str">
        <f t="shared" si="14"/>
        <v/>
      </c>
      <c r="AA193" s="98"/>
      <c r="AB193" s="99"/>
      <c r="AC193" s="101"/>
      <c r="AH193" s="15" t="str">
        <f>IFERROR(INDEX('G-7 WaterC'' Data'!$AZ$3:$AZ$7,MATCH(C193,'G-7 WaterC'' Data'!$AY$3:$AY$7,0)),"")</f>
        <v/>
      </c>
    </row>
    <row r="194" spans="2:34" ht="14" x14ac:dyDescent="0.3">
      <c r="B194" s="92">
        <v>183</v>
      </c>
      <c r="C194" s="119"/>
      <c r="D194" s="120"/>
      <c r="E194" s="290" t="str">
        <f>IF(C194="","",VLOOKUP(C194,'G-7 WaterC'' Data'!$B$2:$G$8,2,FALSE))</f>
        <v/>
      </c>
      <c r="F194" s="291" t="str">
        <f>IFERROR(VLOOKUP(E194,'G-7 WaterC'' Data'!$C$4:$D$8,2,FALSE),"")</f>
        <v/>
      </c>
      <c r="G194" s="95"/>
      <c r="H194" s="291" t="str">
        <f>IFERROR(INDEX('G-7 WaterC'' Data'!$H$4:$L$8,MATCH(C194,'G-7 WaterC'' Data'!$B$4:$B$8,0),MATCH(G194,'G-7 WaterC'' Data'!$H$3:$L$3,0)),"")</f>
        <v/>
      </c>
      <c r="I194" s="38"/>
      <c r="J194" s="298" t="str">
        <f>IF(I194="","",IF(VLOOKUP(I194,'G-7 WaterC'' Data'!$AK$4:$AM$6,2,FALSE)=0,"Spatial Data Missing ⚠",VLOOKUP(I194,'G-7 WaterC'' Data'!$AK$4:$AM$6,2,FALSE)))</f>
        <v/>
      </c>
      <c r="K194" s="291" t="str">
        <f>IF(I194="","",IF(VLOOKUP(I194,'G-7 WaterC'' Data'!$AK$4:$AM$6,3,FALSE)=0,"Spatial Data Missing ⚠",VLOOKUP(I194,'G-7 WaterC'' Data'!$AK$4:$AM$6,3,FALSE)))</f>
        <v/>
      </c>
      <c r="L194" s="290" t="str">
        <f>IFERROR(INDEX('G-7 WaterC'' Data'!$O$3:$O$7,MATCH(G194,'G-7 WaterC'' Data'!$N$3:$N$7,0)),"")</f>
        <v/>
      </c>
      <c r="M194" s="47"/>
      <c r="N194" s="138"/>
      <c r="O194" s="298" t="str">
        <f t="shared" si="10"/>
        <v/>
      </c>
      <c r="P194" s="311" t="str">
        <f t="shared" si="11"/>
        <v/>
      </c>
      <c r="Q194" s="344" t="str">
        <f>IFERROR(IF(P194="Check Data ⚠","Check Data ⚠",VLOOKUP(P194,'G-4 Temporal multipliers'!$A$4:$C$37,3,FALSE)),"")</f>
        <v/>
      </c>
      <c r="R194" s="290" t="str">
        <f>IF(C194="","",VLOOKUP(C194,'G-7 WaterC'' Data'!$B$4:$G$8,4,FALSE))</f>
        <v/>
      </c>
      <c r="S194" s="298" t="str">
        <f t="shared" si="12"/>
        <v/>
      </c>
      <c r="T194" s="328" t="str">
        <f t="shared" si="13"/>
        <v/>
      </c>
      <c r="U194" s="291" t="str">
        <f>IF(C194="","",VLOOKUP(T194,'G-3 Multipliers'!$P$2:$Q$6,2,FALSE))</f>
        <v/>
      </c>
      <c r="V194" s="96"/>
      <c r="W194" s="291" t="str">
        <f>IF(V194="","",IF(AND(V194="N/A - Culvert",C194&lt;&gt;"Culvert"),"Not possible ▲",IF(AND(C194="Culvert",V194&lt;&gt;"N/A - Culvert"),"Not possible ▲",IF(VLOOKUP(V194,'G-7 WaterC'' Data'!$AA$4:$AB$7,2,FALSE)=0,"Spatial Data Missing ⚠",VLOOKUP(V194,'G-7 WaterC'' Data'!$AA$4:$AB$7,2,FALSE)))))</f>
        <v/>
      </c>
      <c r="X194" s="44"/>
      <c r="Y194" s="291" t="str">
        <f>IF(X194="","",IF(AND(X194="N/A - Culvert", C194&lt;&gt;"Culvert"), "Not possible ▲",IF(AND(C194="Culvert",X194&lt;&gt;"N/A - Culvert"),"Not possible ▲",IF(VLOOKUP(X194,'G-7 WaterC'' Data'!$AD$4:$AE$14,2,FALSE)=0,"Enrcoachment Data Missing ⚠",VLOOKUP(X194,'G-7 WaterC'' Data'!$AD$4:$AE$14,2,FALSE)))))</f>
        <v/>
      </c>
      <c r="Z194" s="332" t="str">
        <f t="shared" si="14"/>
        <v/>
      </c>
      <c r="AA194" s="98"/>
      <c r="AB194" s="99"/>
      <c r="AC194" s="101"/>
      <c r="AH194" s="15" t="str">
        <f>IFERROR(INDEX('G-7 WaterC'' Data'!$AZ$3:$AZ$7,MATCH(C194,'G-7 WaterC'' Data'!$AY$3:$AY$7,0)),"")</f>
        <v/>
      </c>
    </row>
    <row r="195" spans="2:34" ht="14" x14ac:dyDescent="0.3">
      <c r="B195" s="92">
        <v>184</v>
      </c>
      <c r="C195" s="119"/>
      <c r="D195" s="120"/>
      <c r="E195" s="290" t="str">
        <f>IF(C195="","",VLOOKUP(C195,'G-7 WaterC'' Data'!$B$2:$G$8,2,FALSE))</f>
        <v/>
      </c>
      <c r="F195" s="291" t="str">
        <f>IFERROR(VLOOKUP(E195,'G-7 WaterC'' Data'!$C$4:$D$8,2,FALSE),"")</f>
        <v/>
      </c>
      <c r="G195" s="95"/>
      <c r="H195" s="291" t="str">
        <f>IFERROR(INDEX('G-7 WaterC'' Data'!$H$4:$L$8,MATCH(C195,'G-7 WaterC'' Data'!$B$4:$B$8,0),MATCH(G195,'G-7 WaterC'' Data'!$H$3:$L$3,0)),"")</f>
        <v/>
      </c>
      <c r="I195" s="38"/>
      <c r="J195" s="298" t="str">
        <f>IF(I195="","",IF(VLOOKUP(I195,'G-7 WaterC'' Data'!$AK$4:$AM$6,2,FALSE)=0,"Spatial Data Missing ⚠",VLOOKUP(I195,'G-7 WaterC'' Data'!$AK$4:$AM$6,2,FALSE)))</f>
        <v/>
      </c>
      <c r="K195" s="291" t="str">
        <f>IF(I195="","",IF(VLOOKUP(I195,'G-7 WaterC'' Data'!$AK$4:$AM$6,3,FALSE)=0,"Spatial Data Missing ⚠",VLOOKUP(I195,'G-7 WaterC'' Data'!$AK$4:$AM$6,3,FALSE)))</f>
        <v/>
      </c>
      <c r="L195" s="290" t="str">
        <f>IFERROR(INDEX('G-7 WaterC'' Data'!$O$3:$O$7,MATCH(G195,'G-7 WaterC'' Data'!$N$3:$N$7,0)),"")</f>
        <v/>
      </c>
      <c r="M195" s="47"/>
      <c r="N195" s="138"/>
      <c r="O195" s="298" t="str">
        <f t="shared" si="10"/>
        <v/>
      </c>
      <c r="P195" s="311" t="str">
        <f t="shared" si="11"/>
        <v/>
      </c>
      <c r="Q195" s="344" t="str">
        <f>IFERROR(IF(P195="Check Data ⚠","Check Data ⚠",VLOOKUP(P195,'G-4 Temporal multipliers'!$A$4:$C$37,3,FALSE)),"")</f>
        <v/>
      </c>
      <c r="R195" s="290" t="str">
        <f>IF(C195="","",VLOOKUP(C195,'G-7 WaterC'' Data'!$B$4:$G$8,4,FALSE))</f>
        <v/>
      </c>
      <c r="S195" s="298" t="str">
        <f t="shared" si="12"/>
        <v/>
      </c>
      <c r="T195" s="328" t="str">
        <f t="shared" si="13"/>
        <v/>
      </c>
      <c r="U195" s="291" t="str">
        <f>IF(C195="","",VLOOKUP(T195,'G-3 Multipliers'!$P$2:$Q$6,2,FALSE))</f>
        <v/>
      </c>
      <c r="V195" s="96"/>
      <c r="W195" s="291" t="str">
        <f>IF(V195="","",IF(AND(V195="N/A - Culvert",C195&lt;&gt;"Culvert"),"Not possible ▲",IF(AND(C195="Culvert",V195&lt;&gt;"N/A - Culvert"),"Not possible ▲",IF(VLOOKUP(V195,'G-7 WaterC'' Data'!$AA$4:$AB$7,2,FALSE)=0,"Spatial Data Missing ⚠",VLOOKUP(V195,'G-7 WaterC'' Data'!$AA$4:$AB$7,2,FALSE)))))</f>
        <v/>
      </c>
      <c r="X195" s="44"/>
      <c r="Y195" s="291" t="str">
        <f>IF(X195="","",IF(AND(X195="N/A - Culvert", C195&lt;&gt;"Culvert"), "Not possible ▲",IF(AND(C195="Culvert",X195&lt;&gt;"N/A - Culvert"),"Not possible ▲",IF(VLOOKUP(X195,'G-7 WaterC'' Data'!$AD$4:$AE$14,2,FALSE)=0,"Enrcoachment Data Missing ⚠",VLOOKUP(X195,'G-7 WaterC'' Data'!$AD$4:$AE$14,2,FALSE)))))</f>
        <v/>
      </c>
      <c r="Z195" s="332" t="str">
        <f t="shared" si="14"/>
        <v/>
      </c>
      <c r="AA195" s="98"/>
      <c r="AB195" s="99"/>
      <c r="AC195" s="101"/>
      <c r="AH195" s="15" t="str">
        <f>IFERROR(INDEX('G-7 WaterC'' Data'!$AZ$3:$AZ$7,MATCH(C195,'G-7 WaterC'' Data'!$AY$3:$AY$7,0)),"")</f>
        <v/>
      </c>
    </row>
    <row r="196" spans="2:34" ht="14" x14ac:dyDescent="0.3">
      <c r="B196" s="92">
        <v>185</v>
      </c>
      <c r="C196" s="119"/>
      <c r="D196" s="120"/>
      <c r="E196" s="290" t="str">
        <f>IF(C196="","",VLOOKUP(C196,'G-7 WaterC'' Data'!$B$2:$G$8,2,FALSE))</f>
        <v/>
      </c>
      <c r="F196" s="291" t="str">
        <f>IFERROR(VLOOKUP(E196,'G-7 WaterC'' Data'!$C$4:$D$8,2,FALSE),"")</f>
        <v/>
      </c>
      <c r="G196" s="95"/>
      <c r="H196" s="291" t="str">
        <f>IFERROR(INDEX('G-7 WaterC'' Data'!$H$4:$L$8,MATCH(C196,'G-7 WaterC'' Data'!$B$4:$B$8,0),MATCH(G196,'G-7 WaterC'' Data'!$H$3:$L$3,0)),"")</f>
        <v/>
      </c>
      <c r="I196" s="38"/>
      <c r="J196" s="298" t="str">
        <f>IF(I196="","",IF(VLOOKUP(I196,'G-7 WaterC'' Data'!$AK$4:$AM$6,2,FALSE)=0,"Spatial Data Missing ⚠",VLOOKUP(I196,'G-7 WaterC'' Data'!$AK$4:$AM$6,2,FALSE)))</f>
        <v/>
      </c>
      <c r="K196" s="291" t="str">
        <f>IF(I196="","",IF(VLOOKUP(I196,'G-7 WaterC'' Data'!$AK$4:$AM$6,3,FALSE)=0,"Spatial Data Missing ⚠",VLOOKUP(I196,'G-7 WaterC'' Data'!$AK$4:$AM$6,3,FALSE)))</f>
        <v/>
      </c>
      <c r="L196" s="290" t="str">
        <f>IFERROR(INDEX('G-7 WaterC'' Data'!$O$3:$O$7,MATCH(G196,'G-7 WaterC'' Data'!$N$3:$N$7,0)),"")</f>
        <v/>
      </c>
      <c r="M196" s="47"/>
      <c r="N196" s="138"/>
      <c r="O196" s="298" t="str">
        <f t="shared" si="10"/>
        <v/>
      </c>
      <c r="P196" s="311" t="str">
        <f t="shared" si="11"/>
        <v/>
      </c>
      <c r="Q196" s="344" t="str">
        <f>IFERROR(IF(P196="Check Data ⚠","Check Data ⚠",VLOOKUP(P196,'G-4 Temporal multipliers'!$A$4:$C$37,3,FALSE)),"")</f>
        <v/>
      </c>
      <c r="R196" s="290" t="str">
        <f>IF(C196="","",VLOOKUP(C196,'G-7 WaterC'' Data'!$B$4:$G$8,4,FALSE))</f>
        <v/>
      </c>
      <c r="S196" s="298" t="str">
        <f t="shared" si="12"/>
        <v/>
      </c>
      <c r="T196" s="328" t="str">
        <f t="shared" si="13"/>
        <v/>
      </c>
      <c r="U196" s="291" t="str">
        <f>IF(C196="","",VLOOKUP(T196,'G-3 Multipliers'!$P$2:$Q$6,2,FALSE))</f>
        <v/>
      </c>
      <c r="V196" s="96"/>
      <c r="W196" s="291" t="str">
        <f>IF(V196="","",IF(AND(V196="N/A - Culvert",C196&lt;&gt;"Culvert"),"Not possible ▲",IF(AND(C196="Culvert",V196&lt;&gt;"N/A - Culvert"),"Not possible ▲",IF(VLOOKUP(V196,'G-7 WaterC'' Data'!$AA$4:$AB$7,2,FALSE)=0,"Spatial Data Missing ⚠",VLOOKUP(V196,'G-7 WaterC'' Data'!$AA$4:$AB$7,2,FALSE)))))</f>
        <v/>
      </c>
      <c r="X196" s="44"/>
      <c r="Y196" s="291" t="str">
        <f>IF(X196="","",IF(AND(X196="N/A - Culvert", C196&lt;&gt;"Culvert"), "Not possible ▲",IF(AND(C196="Culvert",X196&lt;&gt;"N/A - Culvert"),"Not possible ▲",IF(VLOOKUP(X196,'G-7 WaterC'' Data'!$AD$4:$AE$14,2,FALSE)=0,"Enrcoachment Data Missing ⚠",VLOOKUP(X196,'G-7 WaterC'' Data'!$AD$4:$AE$14,2,FALSE)))))</f>
        <v/>
      </c>
      <c r="Z196" s="332" t="str">
        <f t="shared" si="14"/>
        <v/>
      </c>
      <c r="AA196" s="98"/>
      <c r="AB196" s="99"/>
      <c r="AC196" s="101"/>
      <c r="AH196" s="15" t="str">
        <f>IFERROR(INDEX('G-7 WaterC'' Data'!$AZ$3:$AZ$7,MATCH(C196,'G-7 WaterC'' Data'!$AY$3:$AY$7,0)),"")</f>
        <v/>
      </c>
    </row>
    <row r="197" spans="2:34" ht="14" x14ac:dyDescent="0.3">
      <c r="B197" s="92">
        <v>186</v>
      </c>
      <c r="C197" s="119"/>
      <c r="D197" s="120"/>
      <c r="E197" s="290" t="str">
        <f>IF(C197="","",VLOOKUP(C197,'G-7 WaterC'' Data'!$B$2:$G$8,2,FALSE))</f>
        <v/>
      </c>
      <c r="F197" s="291" t="str">
        <f>IFERROR(VLOOKUP(E197,'G-7 WaterC'' Data'!$C$4:$D$8,2,FALSE),"")</f>
        <v/>
      </c>
      <c r="G197" s="95"/>
      <c r="H197" s="291" t="str">
        <f>IFERROR(INDEX('G-7 WaterC'' Data'!$H$4:$L$8,MATCH(C197,'G-7 WaterC'' Data'!$B$4:$B$8,0),MATCH(G197,'G-7 WaterC'' Data'!$H$3:$L$3,0)),"")</f>
        <v/>
      </c>
      <c r="I197" s="38"/>
      <c r="J197" s="298" t="str">
        <f>IF(I197="","",IF(VLOOKUP(I197,'G-7 WaterC'' Data'!$AK$4:$AM$6,2,FALSE)=0,"Spatial Data Missing ⚠",VLOOKUP(I197,'G-7 WaterC'' Data'!$AK$4:$AM$6,2,FALSE)))</f>
        <v/>
      </c>
      <c r="K197" s="291" t="str">
        <f>IF(I197="","",IF(VLOOKUP(I197,'G-7 WaterC'' Data'!$AK$4:$AM$6,3,FALSE)=0,"Spatial Data Missing ⚠",VLOOKUP(I197,'G-7 WaterC'' Data'!$AK$4:$AM$6,3,FALSE)))</f>
        <v/>
      </c>
      <c r="L197" s="290" t="str">
        <f>IFERROR(INDEX('G-7 WaterC'' Data'!$O$3:$O$7,MATCH(G197,'G-7 WaterC'' Data'!$N$3:$N$7,0)),"")</f>
        <v/>
      </c>
      <c r="M197" s="47"/>
      <c r="N197" s="138"/>
      <c r="O197" s="298" t="str">
        <f t="shared" si="10"/>
        <v/>
      </c>
      <c r="P197" s="311" t="str">
        <f t="shared" si="11"/>
        <v/>
      </c>
      <c r="Q197" s="344" t="str">
        <f>IFERROR(IF(P197="Check Data ⚠","Check Data ⚠",VLOOKUP(P197,'G-4 Temporal multipliers'!$A$4:$C$37,3,FALSE)),"")</f>
        <v/>
      </c>
      <c r="R197" s="290" t="str">
        <f>IF(C197="","",VLOOKUP(C197,'G-7 WaterC'' Data'!$B$4:$G$8,4,FALSE))</f>
        <v/>
      </c>
      <c r="S197" s="298" t="str">
        <f t="shared" si="12"/>
        <v/>
      </c>
      <c r="T197" s="328" t="str">
        <f t="shared" si="13"/>
        <v/>
      </c>
      <c r="U197" s="291" t="str">
        <f>IF(C197="","",VLOOKUP(T197,'G-3 Multipliers'!$P$2:$Q$6,2,FALSE))</f>
        <v/>
      </c>
      <c r="V197" s="96"/>
      <c r="W197" s="291" t="str">
        <f>IF(V197="","",IF(AND(V197="N/A - Culvert",C197&lt;&gt;"Culvert"),"Not possible ▲",IF(AND(C197="Culvert",V197&lt;&gt;"N/A - Culvert"),"Not possible ▲",IF(VLOOKUP(V197,'G-7 WaterC'' Data'!$AA$4:$AB$7,2,FALSE)=0,"Spatial Data Missing ⚠",VLOOKUP(V197,'G-7 WaterC'' Data'!$AA$4:$AB$7,2,FALSE)))))</f>
        <v/>
      </c>
      <c r="X197" s="44"/>
      <c r="Y197" s="291" t="str">
        <f>IF(X197="","",IF(AND(X197="N/A - Culvert", C197&lt;&gt;"Culvert"), "Not possible ▲",IF(AND(C197="Culvert",X197&lt;&gt;"N/A - Culvert"),"Not possible ▲",IF(VLOOKUP(X197,'G-7 WaterC'' Data'!$AD$4:$AE$14,2,FALSE)=0,"Enrcoachment Data Missing ⚠",VLOOKUP(X197,'G-7 WaterC'' Data'!$AD$4:$AE$14,2,FALSE)))))</f>
        <v/>
      </c>
      <c r="Z197" s="332" t="str">
        <f t="shared" si="14"/>
        <v/>
      </c>
      <c r="AA197" s="98"/>
      <c r="AB197" s="99"/>
      <c r="AC197" s="101"/>
      <c r="AH197" s="15" t="str">
        <f>IFERROR(INDEX('G-7 WaterC'' Data'!$AZ$3:$AZ$7,MATCH(C197,'G-7 WaterC'' Data'!$AY$3:$AY$7,0)),"")</f>
        <v/>
      </c>
    </row>
    <row r="198" spans="2:34" ht="14" x14ac:dyDescent="0.3">
      <c r="B198" s="92">
        <v>187</v>
      </c>
      <c r="C198" s="119"/>
      <c r="D198" s="120"/>
      <c r="E198" s="290" t="str">
        <f>IF(C198="","",VLOOKUP(C198,'G-7 WaterC'' Data'!$B$2:$G$8,2,FALSE))</f>
        <v/>
      </c>
      <c r="F198" s="291" t="str">
        <f>IFERROR(VLOOKUP(E198,'G-7 WaterC'' Data'!$C$4:$D$8,2,FALSE),"")</f>
        <v/>
      </c>
      <c r="G198" s="95"/>
      <c r="H198" s="291" t="str">
        <f>IFERROR(INDEX('G-7 WaterC'' Data'!$H$4:$L$8,MATCH(C198,'G-7 WaterC'' Data'!$B$4:$B$8,0),MATCH(G198,'G-7 WaterC'' Data'!$H$3:$L$3,0)),"")</f>
        <v/>
      </c>
      <c r="I198" s="38"/>
      <c r="J198" s="298" t="str">
        <f>IF(I198="","",IF(VLOOKUP(I198,'G-7 WaterC'' Data'!$AK$4:$AM$6,2,FALSE)=0,"Spatial Data Missing ⚠",VLOOKUP(I198,'G-7 WaterC'' Data'!$AK$4:$AM$6,2,FALSE)))</f>
        <v/>
      </c>
      <c r="K198" s="291" t="str">
        <f>IF(I198="","",IF(VLOOKUP(I198,'G-7 WaterC'' Data'!$AK$4:$AM$6,3,FALSE)=0,"Spatial Data Missing ⚠",VLOOKUP(I198,'G-7 WaterC'' Data'!$AK$4:$AM$6,3,FALSE)))</f>
        <v/>
      </c>
      <c r="L198" s="290" t="str">
        <f>IFERROR(INDEX('G-7 WaterC'' Data'!$O$3:$O$7,MATCH(G198,'G-7 WaterC'' Data'!$N$3:$N$7,0)),"")</f>
        <v/>
      </c>
      <c r="M198" s="47"/>
      <c r="N198" s="138"/>
      <c r="O198" s="298" t="str">
        <f t="shared" si="10"/>
        <v/>
      </c>
      <c r="P198" s="311" t="str">
        <f t="shared" si="11"/>
        <v/>
      </c>
      <c r="Q198" s="344" t="str">
        <f>IFERROR(IF(P198="Check Data ⚠","Check Data ⚠",VLOOKUP(P198,'G-4 Temporal multipliers'!$A$4:$C$37,3,FALSE)),"")</f>
        <v/>
      </c>
      <c r="R198" s="290" t="str">
        <f>IF(C198="","",VLOOKUP(C198,'G-7 WaterC'' Data'!$B$4:$G$8,4,FALSE))</f>
        <v/>
      </c>
      <c r="S198" s="298" t="str">
        <f t="shared" si="12"/>
        <v/>
      </c>
      <c r="T198" s="328" t="str">
        <f t="shared" si="13"/>
        <v/>
      </c>
      <c r="U198" s="291" t="str">
        <f>IF(C198="","",VLOOKUP(T198,'G-3 Multipliers'!$P$2:$Q$6,2,FALSE))</f>
        <v/>
      </c>
      <c r="V198" s="96"/>
      <c r="W198" s="291" t="str">
        <f>IF(V198="","",IF(AND(V198="N/A - Culvert",C198&lt;&gt;"Culvert"),"Not possible ▲",IF(AND(C198="Culvert",V198&lt;&gt;"N/A - Culvert"),"Not possible ▲",IF(VLOOKUP(V198,'G-7 WaterC'' Data'!$AA$4:$AB$7,2,FALSE)=0,"Spatial Data Missing ⚠",VLOOKUP(V198,'G-7 WaterC'' Data'!$AA$4:$AB$7,2,FALSE)))))</f>
        <v/>
      </c>
      <c r="X198" s="44"/>
      <c r="Y198" s="291" t="str">
        <f>IF(X198="","",IF(AND(X198="N/A - Culvert", C198&lt;&gt;"Culvert"), "Not possible ▲",IF(AND(C198="Culvert",X198&lt;&gt;"N/A - Culvert"),"Not possible ▲",IF(VLOOKUP(X198,'G-7 WaterC'' Data'!$AD$4:$AE$14,2,FALSE)=0,"Enrcoachment Data Missing ⚠",VLOOKUP(X198,'G-7 WaterC'' Data'!$AD$4:$AE$14,2,FALSE)))))</f>
        <v/>
      </c>
      <c r="Z198" s="332" t="str">
        <f t="shared" si="14"/>
        <v/>
      </c>
      <c r="AA198" s="98"/>
      <c r="AB198" s="99"/>
      <c r="AC198" s="101"/>
      <c r="AH198" s="15" t="str">
        <f>IFERROR(INDEX('G-7 WaterC'' Data'!$AZ$3:$AZ$7,MATCH(C198,'G-7 WaterC'' Data'!$AY$3:$AY$7,0)),"")</f>
        <v/>
      </c>
    </row>
    <row r="199" spans="2:34" ht="14" x14ac:dyDescent="0.3">
      <c r="B199" s="92">
        <v>188</v>
      </c>
      <c r="C199" s="119"/>
      <c r="D199" s="120"/>
      <c r="E199" s="290" t="str">
        <f>IF(C199="","",VLOOKUP(C199,'G-7 WaterC'' Data'!$B$2:$G$8,2,FALSE))</f>
        <v/>
      </c>
      <c r="F199" s="291" t="str">
        <f>IFERROR(VLOOKUP(E199,'G-7 WaterC'' Data'!$C$4:$D$8,2,FALSE),"")</f>
        <v/>
      </c>
      <c r="G199" s="95"/>
      <c r="H199" s="291" t="str">
        <f>IFERROR(INDEX('G-7 WaterC'' Data'!$H$4:$L$8,MATCH(C199,'G-7 WaterC'' Data'!$B$4:$B$8,0),MATCH(G199,'G-7 WaterC'' Data'!$H$3:$L$3,0)),"")</f>
        <v/>
      </c>
      <c r="I199" s="38"/>
      <c r="J199" s="298" t="str">
        <f>IF(I199="","",IF(VLOOKUP(I199,'G-7 WaterC'' Data'!$AK$4:$AM$6,2,FALSE)=0,"Spatial Data Missing ⚠",VLOOKUP(I199,'G-7 WaterC'' Data'!$AK$4:$AM$6,2,FALSE)))</f>
        <v/>
      </c>
      <c r="K199" s="291" t="str">
        <f>IF(I199="","",IF(VLOOKUP(I199,'G-7 WaterC'' Data'!$AK$4:$AM$6,3,FALSE)=0,"Spatial Data Missing ⚠",VLOOKUP(I199,'G-7 WaterC'' Data'!$AK$4:$AM$6,3,FALSE)))</f>
        <v/>
      </c>
      <c r="L199" s="290" t="str">
        <f>IFERROR(INDEX('G-7 WaterC'' Data'!$O$3:$O$7,MATCH(G199,'G-7 WaterC'' Data'!$N$3:$N$7,0)),"")</f>
        <v/>
      </c>
      <c r="M199" s="47"/>
      <c r="N199" s="138"/>
      <c r="O199" s="298" t="str">
        <f t="shared" si="10"/>
        <v/>
      </c>
      <c r="P199" s="311" t="str">
        <f t="shared" si="11"/>
        <v/>
      </c>
      <c r="Q199" s="344" t="str">
        <f>IFERROR(IF(P199="Check Data ⚠","Check Data ⚠",VLOOKUP(P199,'G-4 Temporal multipliers'!$A$4:$C$37,3,FALSE)),"")</f>
        <v/>
      </c>
      <c r="R199" s="290" t="str">
        <f>IF(C199="","",VLOOKUP(C199,'G-7 WaterC'' Data'!$B$4:$G$8,4,FALSE))</f>
        <v/>
      </c>
      <c r="S199" s="298" t="str">
        <f t="shared" si="12"/>
        <v/>
      </c>
      <c r="T199" s="328" t="str">
        <f t="shared" si="13"/>
        <v/>
      </c>
      <c r="U199" s="291" t="str">
        <f>IF(C199="","",VLOOKUP(T199,'G-3 Multipliers'!$P$2:$Q$6,2,FALSE))</f>
        <v/>
      </c>
      <c r="V199" s="96"/>
      <c r="W199" s="291" t="str">
        <f>IF(V199="","",IF(AND(V199="N/A - Culvert",C199&lt;&gt;"Culvert"),"Not possible ▲",IF(AND(C199="Culvert",V199&lt;&gt;"N/A - Culvert"),"Not possible ▲",IF(VLOOKUP(V199,'G-7 WaterC'' Data'!$AA$4:$AB$7,2,FALSE)=0,"Spatial Data Missing ⚠",VLOOKUP(V199,'G-7 WaterC'' Data'!$AA$4:$AB$7,2,FALSE)))))</f>
        <v/>
      </c>
      <c r="X199" s="44"/>
      <c r="Y199" s="291" t="str">
        <f>IF(X199="","",IF(AND(X199="N/A - Culvert", C199&lt;&gt;"Culvert"), "Not possible ▲",IF(AND(C199="Culvert",X199&lt;&gt;"N/A - Culvert"),"Not possible ▲",IF(VLOOKUP(X199,'G-7 WaterC'' Data'!$AD$4:$AE$14,2,FALSE)=0,"Enrcoachment Data Missing ⚠",VLOOKUP(X199,'G-7 WaterC'' Data'!$AD$4:$AE$14,2,FALSE)))))</f>
        <v/>
      </c>
      <c r="Z199" s="332" t="str">
        <f t="shared" si="14"/>
        <v/>
      </c>
      <c r="AA199" s="98"/>
      <c r="AB199" s="99"/>
      <c r="AC199" s="101"/>
      <c r="AH199" s="15" t="str">
        <f>IFERROR(INDEX('G-7 WaterC'' Data'!$AZ$3:$AZ$7,MATCH(C199,'G-7 WaterC'' Data'!$AY$3:$AY$7,0)),"")</f>
        <v/>
      </c>
    </row>
    <row r="200" spans="2:34" ht="14" x14ac:dyDescent="0.3">
      <c r="B200" s="92">
        <v>189</v>
      </c>
      <c r="C200" s="119"/>
      <c r="D200" s="120"/>
      <c r="E200" s="290" t="str">
        <f>IF(C200="","",VLOOKUP(C200,'G-7 WaterC'' Data'!$B$2:$G$8,2,FALSE))</f>
        <v/>
      </c>
      <c r="F200" s="291" t="str">
        <f>IFERROR(VLOOKUP(E200,'G-7 WaterC'' Data'!$C$4:$D$8,2,FALSE),"")</f>
        <v/>
      </c>
      <c r="G200" s="95"/>
      <c r="H200" s="291" t="str">
        <f>IFERROR(INDEX('G-7 WaterC'' Data'!$H$4:$L$8,MATCH(C200,'G-7 WaterC'' Data'!$B$4:$B$8,0),MATCH(G200,'G-7 WaterC'' Data'!$H$3:$L$3,0)),"")</f>
        <v/>
      </c>
      <c r="I200" s="38"/>
      <c r="J200" s="298" t="str">
        <f>IF(I200="","",IF(VLOOKUP(I200,'G-7 WaterC'' Data'!$AK$4:$AM$6,2,FALSE)=0,"Spatial Data Missing ⚠",VLOOKUP(I200,'G-7 WaterC'' Data'!$AK$4:$AM$6,2,FALSE)))</f>
        <v/>
      </c>
      <c r="K200" s="291" t="str">
        <f>IF(I200="","",IF(VLOOKUP(I200,'G-7 WaterC'' Data'!$AK$4:$AM$6,3,FALSE)=0,"Spatial Data Missing ⚠",VLOOKUP(I200,'G-7 WaterC'' Data'!$AK$4:$AM$6,3,FALSE)))</f>
        <v/>
      </c>
      <c r="L200" s="290" t="str">
        <f>IFERROR(INDEX('G-7 WaterC'' Data'!$O$3:$O$7,MATCH(G200,'G-7 WaterC'' Data'!$N$3:$N$7,0)),"")</f>
        <v/>
      </c>
      <c r="M200" s="47"/>
      <c r="N200" s="138"/>
      <c r="O200" s="298" t="str">
        <f t="shared" si="10"/>
        <v/>
      </c>
      <c r="P200" s="311" t="str">
        <f t="shared" si="11"/>
        <v/>
      </c>
      <c r="Q200" s="344" t="str">
        <f>IFERROR(IF(P200="Check Data ⚠","Check Data ⚠",VLOOKUP(P200,'G-4 Temporal multipliers'!$A$4:$C$37,3,FALSE)),"")</f>
        <v/>
      </c>
      <c r="R200" s="290" t="str">
        <f>IF(C200="","",VLOOKUP(C200,'G-7 WaterC'' Data'!$B$4:$G$8,4,FALSE))</f>
        <v/>
      </c>
      <c r="S200" s="298" t="str">
        <f t="shared" si="12"/>
        <v/>
      </c>
      <c r="T200" s="328" t="str">
        <f t="shared" si="13"/>
        <v/>
      </c>
      <c r="U200" s="291" t="str">
        <f>IF(C200="","",VLOOKUP(T200,'G-3 Multipliers'!$P$2:$Q$6,2,FALSE))</f>
        <v/>
      </c>
      <c r="V200" s="96"/>
      <c r="W200" s="291" t="str">
        <f>IF(V200="","",IF(AND(V200="N/A - Culvert",C200&lt;&gt;"Culvert"),"Not possible ▲",IF(AND(C200="Culvert",V200&lt;&gt;"N/A - Culvert"),"Not possible ▲",IF(VLOOKUP(V200,'G-7 WaterC'' Data'!$AA$4:$AB$7,2,FALSE)=0,"Spatial Data Missing ⚠",VLOOKUP(V200,'G-7 WaterC'' Data'!$AA$4:$AB$7,2,FALSE)))))</f>
        <v/>
      </c>
      <c r="X200" s="44"/>
      <c r="Y200" s="291" t="str">
        <f>IF(X200="","",IF(AND(X200="N/A - Culvert", C200&lt;&gt;"Culvert"), "Not possible ▲",IF(AND(C200="Culvert",X200&lt;&gt;"N/A - Culvert"),"Not possible ▲",IF(VLOOKUP(X200,'G-7 WaterC'' Data'!$AD$4:$AE$14,2,FALSE)=0,"Enrcoachment Data Missing ⚠",VLOOKUP(X200,'G-7 WaterC'' Data'!$AD$4:$AE$14,2,FALSE)))))</f>
        <v/>
      </c>
      <c r="Z200" s="332" t="str">
        <f t="shared" si="14"/>
        <v/>
      </c>
      <c r="AA200" s="98"/>
      <c r="AB200" s="99"/>
      <c r="AC200" s="101"/>
      <c r="AH200" s="15" t="str">
        <f>IFERROR(INDEX('G-7 WaterC'' Data'!$AZ$3:$AZ$7,MATCH(C200,'G-7 WaterC'' Data'!$AY$3:$AY$7,0)),"")</f>
        <v/>
      </c>
    </row>
    <row r="201" spans="2:34" ht="14" x14ac:dyDescent="0.3">
      <c r="B201" s="92">
        <v>190</v>
      </c>
      <c r="C201" s="119"/>
      <c r="D201" s="120"/>
      <c r="E201" s="290" t="str">
        <f>IF(C201="","",VLOOKUP(C201,'G-7 WaterC'' Data'!$B$2:$G$8,2,FALSE))</f>
        <v/>
      </c>
      <c r="F201" s="291" t="str">
        <f>IFERROR(VLOOKUP(E201,'G-7 WaterC'' Data'!$C$4:$D$8,2,FALSE),"")</f>
        <v/>
      </c>
      <c r="G201" s="95"/>
      <c r="H201" s="291" t="str">
        <f>IFERROR(INDEX('G-7 WaterC'' Data'!$H$4:$L$8,MATCH(C201,'G-7 WaterC'' Data'!$B$4:$B$8,0),MATCH(G201,'G-7 WaterC'' Data'!$H$3:$L$3,0)),"")</f>
        <v/>
      </c>
      <c r="I201" s="38"/>
      <c r="J201" s="298" t="str">
        <f>IF(I201="","",IF(VLOOKUP(I201,'G-7 WaterC'' Data'!$AK$4:$AM$6,2,FALSE)=0,"Spatial Data Missing ⚠",VLOOKUP(I201,'G-7 WaterC'' Data'!$AK$4:$AM$6,2,FALSE)))</f>
        <v/>
      </c>
      <c r="K201" s="291" t="str">
        <f>IF(I201="","",IF(VLOOKUP(I201,'G-7 WaterC'' Data'!$AK$4:$AM$6,3,FALSE)=0,"Spatial Data Missing ⚠",VLOOKUP(I201,'G-7 WaterC'' Data'!$AK$4:$AM$6,3,FALSE)))</f>
        <v/>
      </c>
      <c r="L201" s="290" t="str">
        <f>IFERROR(INDEX('G-7 WaterC'' Data'!$O$3:$O$7,MATCH(G201,'G-7 WaterC'' Data'!$N$3:$N$7,0)),"")</f>
        <v/>
      </c>
      <c r="M201" s="47"/>
      <c r="N201" s="138"/>
      <c r="O201" s="298" t="str">
        <f t="shared" si="10"/>
        <v/>
      </c>
      <c r="P201" s="311" t="str">
        <f t="shared" si="11"/>
        <v/>
      </c>
      <c r="Q201" s="344" t="str">
        <f>IFERROR(IF(P201="Check Data ⚠","Check Data ⚠",VLOOKUP(P201,'G-4 Temporal multipliers'!$A$4:$C$37,3,FALSE)),"")</f>
        <v/>
      </c>
      <c r="R201" s="290" t="str">
        <f>IF(C201="","",VLOOKUP(C201,'G-7 WaterC'' Data'!$B$4:$G$8,4,FALSE))</f>
        <v/>
      </c>
      <c r="S201" s="298" t="str">
        <f t="shared" si="12"/>
        <v/>
      </c>
      <c r="T201" s="328" t="str">
        <f t="shared" si="13"/>
        <v/>
      </c>
      <c r="U201" s="291" t="str">
        <f>IF(C201="","",VLOOKUP(T201,'G-3 Multipliers'!$P$2:$Q$6,2,FALSE))</f>
        <v/>
      </c>
      <c r="V201" s="96"/>
      <c r="W201" s="291" t="str">
        <f>IF(V201="","",IF(AND(V201="N/A - Culvert",C201&lt;&gt;"Culvert"),"Not possible ▲",IF(AND(C201="Culvert",V201&lt;&gt;"N/A - Culvert"),"Not possible ▲",IF(VLOOKUP(V201,'G-7 WaterC'' Data'!$AA$4:$AB$7,2,FALSE)=0,"Spatial Data Missing ⚠",VLOOKUP(V201,'G-7 WaterC'' Data'!$AA$4:$AB$7,2,FALSE)))))</f>
        <v/>
      </c>
      <c r="X201" s="44"/>
      <c r="Y201" s="291" t="str">
        <f>IF(X201="","",IF(AND(X201="N/A - Culvert", C201&lt;&gt;"Culvert"), "Not possible ▲",IF(AND(C201="Culvert",X201&lt;&gt;"N/A - Culvert"),"Not possible ▲",IF(VLOOKUP(X201,'G-7 WaterC'' Data'!$AD$4:$AE$14,2,FALSE)=0,"Enrcoachment Data Missing ⚠",VLOOKUP(X201,'G-7 WaterC'' Data'!$AD$4:$AE$14,2,FALSE)))))</f>
        <v/>
      </c>
      <c r="Z201" s="332" t="str">
        <f t="shared" si="14"/>
        <v/>
      </c>
      <c r="AA201" s="98"/>
      <c r="AB201" s="99"/>
      <c r="AC201" s="101"/>
      <c r="AH201" s="15" t="str">
        <f>IFERROR(INDEX('G-7 WaterC'' Data'!$AZ$3:$AZ$7,MATCH(C201,'G-7 WaterC'' Data'!$AY$3:$AY$7,0)),"")</f>
        <v/>
      </c>
    </row>
    <row r="202" spans="2:34" ht="14" x14ac:dyDescent="0.3">
      <c r="B202" s="92">
        <v>191</v>
      </c>
      <c r="C202" s="119"/>
      <c r="D202" s="120"/>
      <c r="E202" s="290" t="str">
        <f>IF(C202="","",VLOOKUP(C202,'G-7 WaterC'' Data'!$B$2:$G$8,2,FALSE))</f>
        <v/>
      </c>
      <c r="F202" s="291" t="str">
        <f>IFERROR(VLOOKUP(E202,'G-7 WaterC'' Data'!$C$4:$D$8,2,FALSE),"")</f>
        <v/>
      </c>
      <c r="G202" s="95"/>
      <c r="H202" s="291" t="str">
        <f>IFERROR(INDEX('G-7 WaterC'' Data'!$H$4:$L$8,MATCH(C202,'G-7 WaterC'' Data'!$B$4:$B$8,0),MATCH(G202,'G-7 WaterC'' Data'!$H$3:$L$3,0)),"")</f>
        <v/>
      </c>
      <c r="I202" s="38"/>
      <c r="J202" s="298" t="str">
        <f>IF(I202="","",IF(VLOOKUP(I202,'G-7 WaterC'' Data'!$AK$4:$AM$6,2,FALSE)=0,"Spatial Data Missing ⚠",VLOOKUP(I202,'G-7 WaterC'' Data'!$AK$4:$AM$6,2,FALSE)))</f>
        <v/>
      </c>
      <c r="K202" s="291" t="str">
        <f>IF(I202="","",IF(VLOOKUP(I202,'G-7 WaterC'' Data'!$AK$4:$AM$6,3,FALSE)=0,"Spatial Data Missing ⚠",VLOOKUP(I202,'G-7 WaterC'' Data'!$AK$4:$AM$6,3,FALSE)))</f>
        <v/>
      </c>
      <c r="L202" s="290" t="str">
        <f>IFERROR(INDEX('G-7 WaterC'' Data'!$O$3:$O$7,MATCH(G202,'G-7 WaterC'' Data'!$N$3:$N$7,0)),"")</f>
        <v/>
      </c>
      <c r="M202" s="47"/>
      <c r="N202" s="138"/>
      <c r="O202" s="298" t="str">
        <f t="shared" si="10"/>
        <v/>
      </c>
      <c r="P202" s="311" t="str">
        <f t="shared" si="11"/>
        <v/>
      </c>
      <c r="Q202" s="344" t="str">
        <f>IFERROR(IF(P202="Check Data ⚠","Check Data ⚠",VLOOKUP(P202,'G-4 Temporal multipliers'!$A$4:$C$37,3,FALSE)),"")</f>
        <v/>
      </c>
      <c r="R202" s="290" t="str">
        <f>IF(C202="","",VLOOKUP(C202,'G-7 WaterC'' Data'!$B$4:$G$8,4,FALSE))</f>
        <v/>
      </c>
      <c r="S202" s="298" t="str">
        <f t="shared" si="12"/>
        <v/>
      </c>
      <c r="T202" s="328" t="str">
        <f t="shared" si="13"/>
        <v/>
      </c>
      <c r="U202" s="291" t="str">
        <f>IF(C202="","",VLOOKUP(T202,'G-3 Multipliers'!$P$2:$Q$6,2,FALSE))</f>
        <v/>
      </c>
      <c r="V202" s="96"/>
      <c r="W202" s="291" t="str">
        <f>IF(V202="","",IF(AND(V202="N/A - Culvert",C202&lt;&gt;"Culvert"),"Not possible ▲",IF(AND(C202="Culvert",V202&lt;&gt;"N/A - Culvert"),"Not possible ▲",IF(VLOOKUP(V202,'G-7 WaterC'' Data'!$AA$4:$AB$7,2,FALSE)=0,"Spatial Data Missing ⚠",VLOOKUP(V202,'G-7 WaterC'' Data'!$AA$4:$AB$7,2,FALSE)))))</f>
        <v/>
      </c>
      <c r="X202" s="44"/>
      <c r="Y202" s="291" t="str">
        <f>IF(X202="","",IF(AND(X202="N/A - Culvert", C202&lt;&gt;"Culvert"), "Not possible ▲",IF(AND(C202="Culvert",X202&lt;&gt;"N/A - Culvert"),"Not possible ▲",IF(VLOOKUP(X202,'G-7 WaterC'' Data'!$AD$4:$AE$14,2,FALSE)=0,"Enrcoachment Data Missing ⚠",VLOOKUP(X202,'G-7 WaterC'' Data'!$AD$4:$AE$14,2,FALSE)))))</f>
        <v/>
      </c>
      <c r="Z202" s="332" t="str">
        <f t="shared" si="14"/>
        <v/>
      </c>
      <c r="AA202" s="98"/>
      <c r="AB202" s="99"/>
      <c r="AC202" s="101"/>
      <c r="AH202" s="15" t="str">
        <f>IFERROR(INDEX('G-7 WaterC'' Data'!$AZ$3:$AZ$7,MATCH(C202,'G-7 WaterC'' Data'!$AY$3:$AY$7,0)),"")</f>
        <v/>
      </c>
    </row>
    <row r="203" spans="2:34" ht="14" x14ac:dyDescent="0.3">
      <c r="B203" s="92">
        <v>192</v>
      </c>
      <c r="C203" s="119"/>
      <c r="D203" s="120"/>
      <c r="E203" s="290" t="str">
        <f>IF(C203="","",VLOOKUP(C203,'G-7 WaterC'' Data'!$B$2:$G$8,2,FALSE))</f>
        <v/>
      </c>
      <c r="F203" s="291" t="str">
        <f>IFERROR(VLOOKUP(E203,'G-7 WaterC'' Data'!$C$4:$D$8,2,FALSE),"")</f>
        <v/>
      </c>
      <c r="G203" s="95"/>
      <c r="H203" s="291" t="str">
        <f>IFERROR(INDEX('G-7 WaterC'' Data'!$H$4:$L$8,MATCH(C203,'G-7 WaterC'' Data'!$B$4:$B$8,0),MATCH(G203,'G-7 WaterC'' Data'!$H$3:$L$3,0)),"")</f>
        <v/>
      </c>
      <c r="I203" s="38"/>
      <c r="J203" s="298" t="str">
        <f>IF(I203="","",IF(VLOOKUP(I203,'G-7 WaterC'' Data'!$AK$4:$AM$6,2,FALSE)=0,"Spatial Data Missing ⚠",VLOOKUP(I203,'G-7 WaterC'' Data'!$AK$4:$AM$6,2,FALSE)))</f>
        <v/>
      </c>
      <c r="K203" s="291" t="str">
        <f>IF(I203="","",IF(VLOOKUP(I203,'G-7 WaterC'' Data'!$AK$4:$AM$6,3,FALSE)=0,"Spatial Data Missing ⚠",VLOOKUP(I203,'G-7 WaterC'' Data'!$AK$4:$AM$6,3,FALSE)))</f>
        <v/>
      </c>
      <c r="L203" s="290" t="str">
        <f>IFERROR(INDEX('G-7 WaterC'' Data'!$O$3:$O$7,MATCH(G203,'G-7 WaterC'' Data'!$N$3:$N$7,0)),"")</f>
        <v/>
      </c>
      <c r="M203" s="47"/>
      <c r="N203" s="138"/>
      <c r="O203" s="298" t="str">
        <f t="shared" si="10"/>
        <v/>
      </c>
      <c r="P203" s="311" t="str">
        <f t="shared" si="11"/>
        <v/>
      </c>
      <c r="Q203" s="344" t="str">
        <f>IFERROR(IF(P203="Check Data ⚠","Check Data ⚠",VLOOKUP(P203,'G-4 Temporal multipliers'!$A$4:$C$37,3,FALSE)),"")</f>
        <v/>
      </c>
      <c r="R203" s="290" t="str">
        <f>IF(C203="","",VLOOKUP(C203,'G-7 WaterC'' Data'!$B$4:$G$8,4,FALSE))</f>
        <v/>
      </c>
      <c r="S203" s="298" t="str">
        <f t="shared" si="12"/>
        <v/>
      </c>
      <c r="T203" s="328" t="str">
        <f t="shared" si="13"/>
        <v/>
      </c>
      <c r="U203" s="291" t="str">
        <f>IF(C203="","",VLOOKUP(T203,'G-3 Multipliers'!$P$2:$Q$6,2,FALSE))</f>
        <v/>
      </c>
      <c r="V203" s="96"/>
      <c r="W203" s="291" t="str">
        <f>IF(V203="","",IF(AND(V203="N/A - Culvert",C203&lt;&gt;"Culvert"),"Not possible ▲",IF(AND(C203="Culvert",V203&lt;&gt;"N/A - Culvert"),"Not possible ▲",IF(VLOOKUP(V203,'G-7 WaterC'' Data'!$AA$4:$AB$7,2,FALSE)=0,"Spatial Data Missing ⚠",VLOOKUP(V203,'G-7 WaterC'' Data'!$AA$4:$AB$7,2,FALSE)))))</f>
        <v/>
      </c>
      <c r="X203" s="44"/>
      <c r="Y203" s="291" t="str">
        <f>IF(X203="","",IF(AND(X203="N/A - Culvert", C203&lt;&gt;"Culvert"), "Not possible ▲",IF(AND(C203="Culvert",X203&lt;&gt;"N/A - Culvert"),"Not possible ▲",IF(VLOOKUP(X203,'G-7 WaterC'' Data'!$AD$4:$AE$14,2,FALSE)=0,"Enrcoachment Data Missing ⚠",VLOOKUP(X203,'G-7 WaterC'' Data'!$AD$4:$AE$14,2,FALSE)))))</f>
        <v/>
      </c>
      <c r="Z203" s="332" t="str">
        <f t="shared" si="14"/>
        <v/>
      </c>
      <c r="AA203" s="98"/>
      <c r="AB203" s="99"/>
      <c r="AC203" s="101"/>
      <c r="AH203" s="15" t="str">
        <f>IFERROR(INDEX('G-7 WaterC'' Data'!$AZ$3:$AZ$7,MATCH(C203,'G-7 WaterC'' Data'!$AY$3:$AY$7,0)),"")</f>
        <v/>
      </c>
    </row>
    <row r="204" spans="2:34" ht="14" x14ac:dyDescent="0.3">
      <c r="B204" s="92">
        <v>193</v>
      </c>
      <c r="C204" s="119"/>
      <c r="D204" s="120"/>
      <c r="E204" s="290" t="str">
        <f>IF(C204="","",VLOOKUP(C204,'G-7 WaterC'' Data'!$B$2:$G$8,2,FALSE))</f>
        <v/>
      </c>
      <c r="F204" s="291" t="str">
        <f>IFERROR(VLOOKUP(E204,'G-7 WaterC'' Data'!$C$4:$D$8,2,FALSE),"")</f>
        <v/>
      </c>
      <c r="G204" s="95"/>
      <c r="H204" s="291" t="str">
        <f>IFERROR(INDEX('G-7 WaterC'' Data'!$H$4:$L$8,MATCH(C204,'G-7 WaterC'' Data'!$B$4:$B$8,0),MATCH(G204,'G-7 WaterC'' Data'!$H$3:$L$3,0)),"")</f>
        <v/>
      </c>
      <c r="I204" s="38"/>
      <c r="J204" s="298" t="str">
        <f>IF(I204="","",IF(VLOOKUP(I204,'G-7 WaterC'' Data'!$AK$4:$AM$6,2,FALSE)=0,"Spatial Data Missing ⚠",VLOOKUP(I204,'G-7 WaterC'' Data'!$AK$4:$AM$6,2,FALSE)))</f>
        <v/>
      </c>
      <c r="K204" s="291" t="str">
        <f>IF(I204="","",IF(VLOOKUP(I204,'G-7 WaterC'' Data'!$AK$4:$AM$6,3,FALSE)=0,"Spatial Data Missing ⚠",VLOOKUP(I204,'G-7 WaterC'' Data'!$AK$4:$AM$6,3,FALSE)))</f>
        <v/>
      </c>
      <c r="L204" s="290" t="str">
        <f>IFERROR(INDEX('G-7 WaterC'' Data'!$O$3:$O$7,MATCH(G204,'G-7 WaterC'' Data'!$N$3:$N$7,0)),"")</f>
        <v/>
      </c>
      <c r="M204" s="47"/>
      <c r="N204" s="138"/>
      <c r="O204" s="298" t="str">
        <f t="shared" si="10"/>
        <v/>
      </c>
      <c r="P204" s="311" t="str">
        <f t="shared" si="11"/>
        <v/>
      </c>
      <c r="Q204" s="344" t="str">
        <f>IFERROR(IF(P204="Check Data ⚠","Check Data ⚠",VLOOKUP(P204,'G-4 Temporal multipliers'!$A$4:$C$37,3,FALSE)),"")</f>
        <v/>
      </c>
      <c r="R204" s="290" t="str">
        <f>IF(C204="","",VLOOKUP(C204,'G-7 WaterC'' Data'!$B$4:$G$8,4,FALSE))</f>
        <v/>
      </c>
      <c r="S204" s="298" t="str">
        <f t="shared" si="12"/>
        <v/>
      </c>
      <c r="T204" s="328" t="str">
        <f t="shared" si="13"/>
        <v/>
      </c>
      <c r="U204" s="291" t="str">
        <f>IF(C204="","",VLOOKUP(T204,'G-3 Multipliers'!$P$2:$Q$6,2,FALSE))</f>
        <v/>
      </c>
      <c r="V204" s="96"/>
      <c r="W204" s="291" t="str">
        <f>IF(V204="","",IF(AND(V204="N/A - Culvert",C204&lt;&gt;"Culvert"),"Not possible ▲",IF(AND(C204="Culvert",V204&lt;&gt;"N/A - Culvert"),"Not possible ▲",IF(VLOOKUP(V204,'G-7 WaterC'' Data'!$AA$4:$AB$7,2,FALSE)=0,"Spatial Data Missing ⚠",VLOOKUP(V204,'G-7 WaterC'' Data'!$AA$4:$AB$7,2,FALSE)))))</f>
        <v/>
      </c>
      <c r="X204" s="44"/>
      <c r="Y204" s="291" t="str">
        <f>IF(X204="","",IF(AND(X204="N/A - Culvert", C204&lt;&gt;"Culvert"), "Not possible ▲",IF(AND(C204="Culvert",X204&lt;&gt;"N/A - Culvert"),"Not possible ▲",IF(VLOOKUP(X204,'G-7 WaterC'' Data'!$AD$4:$AE$14,2,FALSE)=0,"Enrcoachment Data Missing ⚠",VLOOKUP(X204,'G-7 WaterC'' Data'!$AD$4:$AE$14,2,FALSE)))))</f>
        <v/>
      </c>
      <c r="Z204" s="332" t="str">
        <f t="shared" si="14"/>
        <v/>
      </c>
      <c r="AA204" s="98"/>
      <c r="AB204" s="99"/>
      <c r="AC204" s="101"/>
      <c r="AH204" s="15" t="str">
        <f>IFERROR(INDEX('G-7 WaterC'' Data'!$AZ$3:$AZ$7,MATCH(C204,'G-7 WaterC'' Data'!$AY$3:$AY$7,0)),"")</f>
        <v/>
      </c>
    </row>
    <row r="205" spans="2:34" ht="14" x14ac:dyDescent="0.3">
      <c r="B205" s="92">
        <v>194</v>
      </c>
      <c r="C205" s="119"/>
      <c r="D205" s="120"/>
      <c r="E205" s="290" t="str">
        <f>IF(C205="","",VLOOKUP(C205,'G-7 WaterC'' Data'!$B$2:$G$8,2,FALSE))</f>
        <v/>
      </c>
      <c r="F205" s="291" t="str">
        <f>IFERROR(VLOOKUP(E205,'G-7 WaterC'' Data'!$C$4:$D$8,2,FALSE),"")</f>
        <v/>
      </c>
      <c r="G205" s="95"/>
      <c r="H205" s="291" t="str">
        <f>IFERROR(INDEX('G-7 WaterC'' Data'!$H$4:$L$8,MATCH(C205,'G-7 WaterC'' Data'!$B$4:$B$8,0),MATCH(G205,'G-7 WaterC'' Data'!$H$3:$L$3,0)),"")</f>
        <v/>
      </c>
      <c r="I205" s="38"/>
      <c r="J205" s="298" t="str">
        <f>IF(I205="","",IF(VLOOKUP(I205,'G-7 WaterC'' Data'!$AK$4:$AM$6,2,FALSE)=0,"Spatial Data Missing ⚠",VLOOKUP(I205,'G-7 WaterC'' Data'!$AK$4:$AM$6,2,FALSE)))</f>
        <v/>
      </c>
      <c r="K205" s="291" t="str">
        <f>IF(I205="","",IF(VLOOKUP(I205,'G-7 WaterC'' Data'!$AK$4:$AM$6,3,FALSE)=0,"Spatial Data Missing ⚠",VLOOKUP(I205,'G-7 WaterC'' Data'!$AK$4:$AM$6,3,FALSE)))</f>
        <v/>
      </c>
      <c r="L205" s="290" t="str">
        <f>IFERROR(INDEX('G-7 WaterC'' Data'!$O$3:$O$7,MATCH(G205,'G-7 WaterC'' Data'!$N$3:$N$7,0)),"")</f>
        <v/>
      </c>
      <c r="M205" s="47"/>
      <c r="N205" s="138"/>
      <c r="O205" s="298" t="str">
        <f t="shared" ref="O205:O259" si="15">IF(L205="","",IF(AND(M205&gt;0,N205&gt;0),"Error -both advance and delayed habitat creation ▲",IF(AND(OR(M205="Habitat already in target condition",L205&lt;=M205),N205=0),"Check details - Is there evidence that habitat has reached target condition? ⚠",IF(M205&gt;0,"Check details - Is there evidence habitat creation started/in place? ⚠",IF(N205&gt;0,"Check details- Delay in starting habitat in required condition? ⚠","Standard time to target condition applied")))))</f>
        <v/>
      </c>
      <c r="P205" s="311" t="str">
        <f t="shared" ref="P205:P259" si="16">IF(O205="Error -both advance and delayed habitat creation ▲","Check Data ⚠",IF(L205="","",IF(M205="30+",0,IF(N205="30+","30+",IF(L205+N205&gt;30,"30+ ",IF(L205+N205-M205&gt;0,L205+N205-M205,IF(L205-M205&lt;0,0,L205+N205-M205)))))))</f>
        <v/>
      </c>
      <c r="Q205" s="344" t="str">
        <f>IFERROR(IF(P205="Check Data ⚠","Check Data ⚠",VLOOKUP(P205,'G-4 Temporal multipliers'!$A$4:$C$37,3,FALSE)),"")</f>
        <v/>
      </c>
      <c r="R205" s="290" t="str">
        <f>IF(C205="","",VLOOKUP(C205,'G-7 WaterC'' Data'!$B$4:$G$8,4,FALSE))</f>
        <v/>
      </c>
      <c r="S205" s="298" t="str">
        <f t="shared" ref="S205:S259" si="17">IF(C205="","",IF(P205="Check Data ⚠","Check Data ⚠",IF(G205="","",IF($O205="Check details - Is there evidence that habitat has reached target condition? ⚠","Low Difficulty - only applicable if all habitat created before losses ⚠","Standard difficulty applied"))))</f>
        <v/>
      </c>
      <c r="T205" s="328" t="str">
        <f t="shared" ref="T205:T259" si="18">(IF(AND(S205="Standard difficulty applied",L205&gt;M205),R205,IF(AND(S205="Low Difficulty - only applicable if all habitat created before losses ⚠",M205&gt;=L205),"Low",R205)))</f>
        <v/>
      </c>
      <c r="U205" s="291" t="str">
        <f>IF(C205="","",VLOOKUP(T205,'G-3 Multipliers'!$P$2:$Q$6,2,FALSE))</f>
        <v/>
      </c>
      <c r="V205" s="96"/>
      <c r="W205" s="291" t="str">
        <f>IF(V205="","",IF(AND(V205="N/A - Culvert",C205&lt;&gt;"Culvert"),"Not possible ▲",IF(AND(C205="Culvert",V205&lt;&gt;"N/A - Culvert"),"Not possible ▲",IF(VLOOKUP(V205,'G-7 WaterC'' Data'!$AA$4:$AB$7,2,FALSE)=0,"Spatial Data Missing ⚠",VLOOKUP(V205,'G-7 WaterC'' Data'!$AA$4:$AB$7,2,FALSE)))))</f>
        <v/>
      </c>
      <c r="X205" s="44"/>
      <c r="Y205" s="291" t="str">
        <f>IF(X205="","",IF(AND(X205="N/A - Culvert", C205&lt;&gt;"Culvert"), "Not possible ▲",IF(AND(C205="Culvert",X205&lt;&gt;"N/A - Culvert"),"Not possible ▲",IF(VLOOKUP(X205,'G-7 WaterC'' Data'!$AD$4:$AE$14,2,FALSE)=0,"Enrcoachment Data Missing ⚠",VLOOKUP(X205,'G-7 WaterC'' Data'!$AD$4:$AE$14,2,FALSE)))))</f>
        <v/>
      </c>
      <c r="Z205" s="332" t="str">
        <f t="shared" ref="Z205:Z259" si="19">IFERROR(IF(C205="","",D205*F205*H205*K205*Q205*U205*Y205*W205),"")</f>
        <v/>
      </c>
      <c r="AA205" s="98"/>
      <c r="AB205" s="99"/>
      <c r="AC205" s="101"/>
      <c r="AH205" s="15" t="str">
        <f>IFERROR(INDEX('G-7 WaterC'' Data'!$AZ$3:$AZ$7,MATCH(C205,'G-7 WaterC'' Data'!$AY$3:$AY$7,0)),"")</f>
        <v/>
      </c>
    </row>
    <row r="206" spans="2:34" ht="14" x14ac:dyDescent="0.3">
      <c r="B206" s="92">
        <v>195</v>
      </c>
      <c r="C206" s="119"/>
      <c r="D206" s="120"/>
      <c r="E206" s="290" t="str">
        <f>IF(C206="","",VLOOKUP(C206,'G-7 WaterC'' Data'!$B$2:$G$8,2,FALSE))</f>
        <v/>
      </c>
      <c r="F206" s="291" t="str">
        <f>IFERROR(VLOOKUP(E206,'G-7 WaterC'' Data'!$C$4:$D$8,2,FALSE),"")</f>
        <v/>
      </c>
      <c r="G206" s="95"/>
      <c r="H206" s="291" t="str">
        <f>IFERROR(INDEX('G-7 WaterC'' Data'!$H$4:$L$8,MATCH(C206,'G-7 WaterC'' Data'!$B$4:$B$8,0),MATCH(G206,'G-7 WaterC'' Data'!$H$3:$L$3,0)),"")</f>
        <v/>
      </c>
      <c r="I206" s="38"/>
      <c r="J206" s="298" t="str">
        <f>IF(I206="","",IF(VLOOKUP(I206,'G-7 WaterC'' Data'!$AK$4:$AM$6,2,FALSE)=0,"Spatial Data Missing ⚠",VLOOKUP(I206,'G-7 WaterC'' Data'!$AK$4:$AM$6,2,FALSE)))</f>
        <v/>
      </c>
      <c r="K206" s="291" t="str">
        <f>IF(I206="","",IF(VLOOKUP(I206,'G-7 WaterC'' Data'!$AK$4:$AM$6,3,FALSE)=0,"Spatial Data Missing ⚠",VLOOKUP(I206,'G-7 WaterC'' Data'!$AK$4:$AM$6,3,FALSE)))</f>
        <v/>
      </c>
      <c r="L206" s="290" t="str">
        <f>IFERROR(INDEX('G-7 WaterC'' Data'!$O$3:$O$7,MATCH(G206,'G-7 WaterC'' Data'!$N$3:$N$7,0)),"")</f>
        <v/>
      </c>
      <c r="M206" s="47"/>
      <c r="N206" s="138"/>
      <c r="O206" s="298" t="str">
        <f t="shared" si="15"/>
        <v/>
      </c>
      <c r="P206" s="311" t="str">
        <f t="shared" si="16"/>
        <v/>
      </c>
      <c r="Q206" s="344" t="str">
        <f>IFERROR(IF(P206="Check Data ⚠","Check Data ⚠",VLOOKUP(P206,'G-4 Temporal multipliers'!$A$4:$C$37,3,FALSE)),"")</f>
        <v/>
      </c>
      <c r="R206" s="290" t="str">
        <f>IF(C206="","",VLOOKUP(C206,'G-7 WaterC'' Data'!$B$4:$G$8,4,FALSE))</f>
        <v/>
      </c>
      <c r="S206" s="298" t="str">
        <f t="shared" si="17"/>
        <v/>
      </c>
      <c r="T206" s="328" t="str">
        <f t="shared" si="18"/>
        <v/>
      </c>
      <c r="U206" s="291" t="str">
        <f>IF(C206="","",VLOOKUP(T206,'G-3 Multipliers'!$P$2:$Q$6,2,FALSE))</f>
        <v/>
      </c>
      <c r="V206" s="96"/>
      <c r="W206" s="291" t="str">
        <f>IF(V206="","",IF(AND(V206="N/A - Culvert",C206&lt;&gt;"Culvert"),"Not possible ▲",IF(AND(C206="Culvert",V206&lt;&gt;"N/A - Culvert"),"Not possible ▲",IF(VLOOKUP(V206,'G-7 WaterC'' Data'!$AA$4:$AB$7,2,FALSE)=0,"Spatial Data Missing ⚠",VLOOKUP(V206,'G-7 WaterC'' Data'!$AA$4:$AB$7,2,FALSE)))))</f>
        <v/>
      </c>
      <c r="X206" s="44"/>
      <c r="Y206" s="291" t="str">
        <f>IF(X206="","",IF(AND(X206="N/A - Culvert", C206&lt;&gt;"Culvert"), "Not possible ▲",IF(AND(C206="Culvert",X206&lt;&gt;"N/A - Culvert"),"Not possible ▲",IF(VLOOKUP(X206,'G-7 WaterC'' Data'!$AD$4:$AE$14,2,FALSE)=0,"Enrcoachment Data Missing ⚠",VLOOKUP(X206,'G-7 WaterC'' Data'!$AD$4:$AE$14,2,FALSE)))))</f>
        <v/>
      </c>
      <c r="Z206" s="332" t="str">
        <f t="shared" si="19"/>
        <v/>
      </c>
      <c r="AA206" s="98"/>
      <c r="AB206" s="99"/>
      <c r="AC206" s="101"/>
      <c r="AH206" s="15" t="str">
        <f>IFERROR(INDEX('G-7 WaterC'' Data'!$AZ$3:$AZ$7,MATCH(C206,'G-7 WaterC'' Data'!$AY$3:$AY$7,0)),"")</f>
        <v/>
      </c>
    </row>
    <row r="207" spans="2:34" ht="14" x14ac:dyDescent="0.3">
      <c r="B207" s="92">
        <v>196</v>
      </c>
      <c r="C207" s="119"/>
      <c r="D207" s="120"/>
      <c r="E207" s="290" t="str">
        <f>IF(C207="","",VLOOKUP(C207,'G-7 WaterC'' Data'!$B$2:$G$8,2,FALSE))</f>
        <v/>
      </c>
      <c r="F207" s="291" t="str">
        <f>IFERROR(VLOOKUP(E207,'G-7 WaterC'' Data'!$C$4:$D$8,2,FALSE),"")</f>
        <v/>
      </c>
      <c r="G207" s="95"/>
      <c r="H207" s="291" t="str">
        <f>IFERROR(INDEX('G-7 WaterC'' Data'!$H$4:$L$8,MATCH(C207,'G-7 WaterC'' Data'!$B$4:$B$8,0),MATCH(G207,'G-7 WaterC'' Data'!$H$3:$L$3,0)),"")</f>
        <v/>
      </c>
      <c r="I207" s="38"/>
      <c r="J207" s="298" t="str">
        <f>IF(I207="","",IF(VLOOKUP(I207,'G-7 WaterC'' Data'!$AK$4:$AM$6,2,FALSE)=0,"Spatial Data Missing ⚠",VLOOKUP(I207,'G-7 WaterC'' Data'!$AK$4:$AM$6,2,FALSE)))</f>
        <v/>
      </c>
      <c r="K207" s="291" t="str">
        <f>IF(I207="","",IF(VLOOKUP(I207,'G-7 WaterC'' Data'!$AK$4:$AM$6,3,FALSE)=0,"Spatial Data Missing ⚠",VLOOKUP(I207,'G-7 WaterC'' Data'!$AK$4:$AM$6,3,FALSE)))</f>
        <v/>
      </c>
      <c r="L207" s="290" t="str">
        <f>IFERROR(INDEX('G-7 WaterC'' Data'!$O$3:$O$7,MATCH(G207,'G-7 WaterC'' Data'!$N$3:$N$7,0)),"")</f>
        <v/>
      </c>
      <c r="M207" s="47"/>
      <c r="N207" s="138"/>
      <c r="O207" s="298" t="str">
        <f t="shared" si="15"/>
        <v/>
      </c>
      <c r="P207" s="311" t="str">
        <f t="shared" si="16"/>
        <v/>
      </c>
      <c r="Q207" s="344" t="str">
        <f>IFERROR(IF(P207="Check Data ⚠","Check Data ⚠",VLOOKUP(P207,'G-4 Temporal multipliers'!$A$4:$C$37,3,FALSE)),"")</f>
        <v/>
      </c>
      <c r="R207" s="290" t="str">
        <f>IF(C207="","",VLOOKUP(C207,'G-7 WaterC'' Data'!$B$4:$G$8,4,FALSE))</f>
        <v/>
      </c>
      <c r="S207" s="298" t="str">
        <f t="shared" si="17"/>
        <v/>
      </c>
      <c r="T207" s="328" t="str">
        <f t="shared" si="18"/>
        <v/>
      </c>
      <c r="U207" s="291" t="str">
        <f>IF(C207="","",VLOOKUP(T207,'G-3 Multipliers'!$P$2:$Q$6,2,FALSE))</f>
        <v/>
      </c>
      <c r="V207" s="96"/>
      <c r="W207" s="291" t="str">
        <f>IF(V207="","",IF(AND(V207="N/A - Culvert",C207&lt;&gt;"Culvert"),"Not possible ▲",IF(AND(C207="Culvert",V207&lt;&gt;"N/A - Culvert"),"Not possible ▲",IF(VLOOKUP(V207,'G-7 WaterC'' Data'!$AA$4:$AB$7,2,FALSE)=0,"Spatial Data Missing ⚠",VLOOKUP(V207,'G-7 WaterC'' Data'!$AA$4:$AB$7,2,FALSE)))))</f>
        <v/>
      </c>
      <c r="X207" s="44"/>
      <c r="Y207" s="291" t="str">
        <f>IF(X207="","",IF(AND(X207="N/A - Culvert", C207&lt;&gt;"Culvert"), "Not possible ▲",IF(AND(C207="Culvert",X207&lt;&gt;"N/A - Culvert"),"Not possible ▲",IF(VLOOKUP(X207,'G-7 WaterC'' Data'!$AD$4:$AE$14,2,FALSE)=0,"Enrcoachment Data Missing ⚠",VLOOKUP(X207,'G-7 WaterC'' Data'!$AD$4:$AE$14,2,FALSE)))))</f>
        <v/>
      </c>
      <c r="Z207" s="332" t="str">
        <f t="shared" si="19"/>
        <v/>
      </c>
      <c r="AA207" s="98"/>
      <c r="AB207" s="99"/>
      <c r="AC207" s="101"/>
      <c r="AH207" s="15" t="str">
        <f>IFERROR(INDEX('G-7 WaterC'' Data'!$AZ$3:$AZ$7,MATCH(C207,'G-7 WaterC'' Data'!$AY$3:$AY$7,0)),"")</f>
        <v/>
      </c>
    </row>
    <row r="208" spans="2:34" ht="14" x14ac:dyDescent="0.3">
      <c r="B208" s="92">
        <v>197</v>
      </c>
      <c r="C208" s="119"/>
      <c r="D208" s="120"/>
      <c r="E208" s="290" t="str">
        <f>IF(C208="","",VLOOKUP(C208,'G-7 WaterC'' Data'!$B$2:$G$8,2,FALSE))</f>
        <v/>
      </c>
      <c r="F208" s="291" t="str">
        <f>IFERROR(VLOOKUP(E208,'G-7 WaterC'' Data'!$C$4:$D$8,2,FALSE),"")</f>
        <v/>
      </c>
      <c r="G208" s="95"/>
      <c r="H208" s="291" t="str">
        <f>IFERROR(INDEX('G-7 WaterC'' Data'!$H$4:$L$8,MATCH(C208,'G-7 WaterC'' Data'!$B$4:$B$8,0),MATCH(G208,'G-7 WaterC'' Data'!$H$3:$L$3,0)),"")</f>
        <v/>
      </c>
      <c r="I208" s="38"/>
      <c r="J208" s="298" t="str">
        <f>IF(I208="","",IF(VLOOKUP(I208,'G-7 WaterC'' Data'!$AK$4:$AM$6,2,FALSE)=0,"Spatial Data Missing ⚠",VLOOKUP(I208,'G-7 WaterC'' Data'!$AK$4:$AM$6,2,FALSE)))</f>
        <v/>
      </c>
      <c r="K208" s="291" t="str">
        <f>IF(I208="","",IF(VLOOKUP(I208,'G-7 WaterC'' Data'!$AK$4:$AM$6,3,FALSE)=0,"Spatial Data Missing ⚠",VLOOKUP(I208,'G-7 WaterC'' Data'!$AK$4:$AM$6,3,FALSE)))</f>
        <v/>
      </c>
      <c r="L208" s="290" t="str">
        <f>IFERROR(INDEX('G-7 WaterC'' Data'!$O$3:$O$7,MATCH(G208,'G-7 WaterC'' Data'!$N$3:$N$7,0)),"")</f>
        <v/>
      </c>
      <c r="M208" s="47"/>
      <c r="N208" s="138"/>
      <c r="O208" s="298" t="str">
        <f t="shared" si="15"/>
        <v/>
      </c>
      <c r="P208" s="311" t="str">
        <f t="shared" si="16"/>
        <v/>
      </c>
      <c r="Q208" s="344" t="str">
        <f>IFERROR(IF(P208="Check Data ⚠","Check Data ⚠",VLOOKUP(P208,'G-4 Temporal multipliers'!$A$4:$C$37,3,FALSE)),"")</f>
        <v/>
      </c>
      <c r="R208" s="290" t="str">
        <f>IF(C208="","",VLOOKUP(C208,'G-7 WaterC'' Data'!$B$4:$G$8,4,FALSE))</f>
        <v/>
      </c>
      <c r="S208" s="298" t="str">
        <f t="shared" si="17"/>
        <v/>
      </c>
      <c r="T208" s="328" t="str">
        <f t="shared" si="18"/>
        <v/>
      </c>
      <c r="U208" s="291" t="str">
        <f>IF(C208="","",VLOOKUP(T208,'G-3 Multipliers'!$P$2:$Q$6,2,FALSE))</f>
        <v/>
      </c>
      <c r="V208" s="96"/>
      <c r="W208" s="291" t="str">
        <f>IF(V208="","",IF(AND(V208="N/A - Culvert",C208&lt;&gt;"Culvert"),"Not possible ▲",IF(AND(C208="Culvert",V208&lt;&gt;"N/A - Culvert"),"Not possible ▲",IF(VLOOKUP(V208,'G-7 WaterC'' Data'!$AA$4:$AB$7,2,FALSE)=0,"Spatial Data Missing ⚠",VLOOKUP(V208,'G-7 WaterC'' Data'!$AA$4:$AB$7,2,FALSE)))))</f>
        <v/>
      </c>
      <c r="X208" s="44"/>
      <c r="Y208" s="291" t="str">
        <f>IF(X208="","",IF(AND(X208="N/A - Culvert", C208&lt;&gt;"Culvert"), "Not possible ▲",IF(AND(C208="Culvert",X208&lt;&gt;"N/A - Culvert"),"Not possible ▲",IF(VLOOKUP(X208,'G-7 WaterC'' Data'!$AD$4:$AE$14,2,FALSE)=0,"Enrcoachment Data Missing ⚠",VLOOKUP(X208,'G-7 WaterC'' Data'!$AD$4:$AE$14,2,FALSE)))))</f>
        <v/>
      </c>
      <c r="Z208" s="332" t="str">
        <f t="shared" si="19"/>
        <v/>
      </c>
      <c r="AA208" s="98"/>
      <c r="AB208" s="99"/>
      <c r="AC208" s="101"/>
      <c r="AH208" s="15" t="str">
        <f>IFERROR(INDEX('G-7 WaterC'' Data'!$AZ$3:$AZ$7,MATCH(C208,'G-7 WaterC'' Data'!$AY$3:$AY$7,0)),"")</f>
        <v/>
      </c>
    </row>
    <row r="209" spans="2:34" ht="14" x14ac:dyDescent="0.3">
      <c r="B209" s="92">
        <v>198</v>
      </c>
      <c r="C209" s="119"/>
      <c r="D209" s="120"/>
      <c r="E209" s="290" t="str">
        <f>IF(C209="","",VLOOKUP(C209,'G-7 WaterC'' Data'!$B$2:$G$8,2,FALSE))</f>
        <v/>
      </c>
      <c r="F209" s="291" t="str">
        <f>IFERROR(VLOOKUP(E209,'G-7 WaterC'' Data'!$C$4:$D$8,2,FALSE),"")</f>
        <v/>
      </c>
      <c r="G209" s="95"/>
      <c r="H209" s="291" t="str">
        <f>IFERROR(INDEX('G-7 WaterC'' Data'!$H$4:$L$8,MATCH(C209,'G-7 WaterC'' Data'!$B$4:$B$8,0),MATCH(G209,'G-7 WaterC'' Data'!$H$3:$L$3,0)),"")</f>
        <v/>
      </c>
      <c r="I209" s="38"/>
      <c r="J209" s="298" t="str">
        <f>IF(I209="","",IF(VLOOKUP(I209,'G-7 WaterC'' Data'!$AK$4:$AM$6,2,FALSE)=0,"Spatial Data Missing ⚠",VLOOKUP(I209,'G-7 WaterC'' Data'!$AK$4:$AM$6,2,FALSE)))</f>
        <v/>
      </c>
      <c r="K209" s="291" t="str">
        <f>IF(I209="","",IF(VLOOKUP(I209,'G-7 WaterC'' Data'!$AK$4:$AM$6,3,FALSE)=0,"Spatial Data Missing ⚠",VLOOKUP(I209,'G-7 WaterC'' Data'!$AK$4:$AM$6,3,FALSE)))</f>
        <v/>
      </c>
      <c r="L209" s="290" t="str">
        <f>IFERROR(INDEX('G-7 WaterC'' Data'!$O$3:$O$7,MATCH(G209,'G-7 WaterC'' Data'!$N$3:$N$7,0)),"")</f>
        <v/>
      </c>
      <c r="M209" s="47"/>
      <c r="N209" s="138"/>
      <c r="O209" s="298" t="str">
        <f t="shared" si="15"/>
        <v/>
      </c>
      <c r="P209" s="311" t="str">
        <f t="shared" si="16"/>
        <v/>
      </c>
      <c r="Q209" s="344" t="str">
        <f>IFERROR(IF(P209="Check Data ⚠","Check Data ⚠",VLOOKUP(P209,'G-4 Temporal multipliers'!$A$4:$C$37,3,FALSE)),"")</f>
        <v/>
      </c>
      <c r="R209" s="290" t="str">
        <f>IF(C209="","",VLOOKUP(C209,'G-7 WaterC'' Data'!$B$4:$G$8,4,FALSE))</f>
        <v/>
      </c>
      <c r="S209" s="298" t="str">
        <f t="shared" si="17"/>
        <v/>
      </c>
      <c r="T209" s="328" t="str">
        <f t="shared" si="18"/>
        <v/>
      </c>
      <c r="U209" s="291" t="str">
        <f>IF(C209="","",VLOOKUP(T209,'G-3 Multipliers'!$P$2:$Q$6,2,FALSE))</f>
        <v/>
      </c>
      <c r="V209" s="96"/>
      <c r="W209" s="291" t="str">
        <f>IF(V209="","",IF(AND(V209="N/A - Culvert",C209&lt;&gt;"Culvert"),"Not possible ▲",IF(AND(C209="Culvert",V209&lt;&gt;"N/A - Culvert"),"Not possible ▲",IF(VLOOKUP(V209,'G-7 WaterC'' Data'!$AA$4:$AB$7,2,FALSE)=0,"Spatial Data Missing ⚠",VLOOKUP(V209,'G-7 WaterC'' Data'!$AA$4:$AB$7,2,FALSE)))))</f>
        <v/>
      </c>
      <c r="X209" s="44"/>
      <c r="Y209" s="291" t="str">
        <f>IF(X209="","",IF(AND(X209="N/A - Culvert", C209&lt;&gt;"Culvert"), "Not possible ▲",IF(AND(C209="Culvert",X209&lt;&gt;"N/A - Culvert"),"Not possible ▲",IF(VLOOKUP(X209,'G-7 WaterC'' Data'!$AD$4:$AE$14,2,FALSE)=0,"Enrcoachment Data Missing ⚠",VLOOKUP(X209,'G-7 WaterC'' Data'!$AD$4:$AE$14,2,FALSE)))))</f>
        <v/>
      </c>
      <c r="Z209" s="332" t="str">
        <f t="shared" si="19"/>
        <v/>
      </c>
      <c r="AA209" s="98"/>
      <c r="AB209" s="99"/>
      <c r="AC209" s="101"/>
      <c r="AH209" s="15" t="str">
        <f>IFERROR(INDEX('G-7 WaterC'' Data'!$AZ$3:$AZ$7,MATCH(C209,'G-7 WaterC'' Data'!$AY$3:$AY$7,0)),"")</f>
        <v/>
      </c>
    </row>
    <row r="210" spans="2:34" ht="14" x14ac:dyDescent="0.3">
      <c r="B210" s="92">
        <v>199</v>
      </c>
      <c r="C210" s="119"/>
      <c r="D210" s="120"/>
      <c r="E210" s="290" t="str">
        <f>IF(C210="","",VLOOKUP(C210,'G-7 WaterC'' Data'!$B$2:$G$8,2,FALSE))</f>
        <v/>
      </c>
      <c r="F210" s="291" t="str">
        <f>IFERROR(VLOOKUP(E210,'G-7 WaterC'' Data'!$C$4:$D$8,2,FALSE),"")</f>
        <v/>
      </c>
      <c r="G210" s="95"/>
      <c r="H210" s="291" t="str">
        <f>IFERROR(INDEX('G-7 WaterC'' Data'!$H$4:$L$8,MATCH(C210,'G-7 WaterC'' Data'!$B$4:$B$8,0),MATCH(G210,'G-7 WaterC'' Data'!$H$3:$L$3,0)),"")</f>
        <v/>
      </c>
      <c r="I210" s="38"/>
      <c r="J210" s="298" t="str">
        <f>IF(I210="","",IF(VLOOKUP(I210,'G-7 WaterC'' Data'!$AK$4:$AM$6,2,FALSE)=0,"Spatial Data Missing ⚠",VLOOKUP(I210,'G-7 WaterC'' Data'!$AK$4:$AM$6,2,FALSE)))</f>
        <v/>
      </c>
      <c r="K210" s="291" t="str">
        <f>IF(I210="","",IF(VLOOKUP(I210,'G-7 WaterC'' Data'!$AK$4:$AM$6,3,FALSE)=0,"Spatial Data Missing ⚠",VLOOKUP(I210,'G-7 WaterC'' Data'!$AK$4:$AM$6,3,FALSE)))</f>
        <v/>
      </c>
      <c r="L210" s="290" t="str">
        <f>IFERROR(INDEX('G-7 WaterC'' Data'!$O$3:$O$7,MATCH(G210,'G-7 WaterC'' Data'!$N$3:$N$7,0)),"")</f>
        <v/>
      </c>
      <c r="M210" s="47"/>
      <c r="N210" s="138"/>
      <c r="O210" s="298" t="str">
        <f t="shared" si="15"/>
        <v/>
      </c>
      <c r="P210" s="311" t="str">
        <f t="shared" si="16"/>
        <v/>
      </c>
      <c r="Q210" s="344" t="str">
        <f>IFERROR(IF(P210="Check Data ⚠","Check Data ⚠",VLOOKUP(P210,'G-4 Temporal multipliers'!$A$4:$C$37,3,FALSE)),"")</f>
        <v/>
      </c>
      <c r="R210" s="290" t="str">
        <f>IF(C210="","",VLOOKUP(C210,'G-7 WaterC'' Data'!$B$4:$G$8,4,FALSE))</f>
        <v/>
      </c>
      <c r="S210" s="298" t="str">
        <f t="shared" si="17"/>
        <v/>
      </c>
      <c r="T210" s="328" t="str">
        <f t="shared" si="18"/>
        <v/>
      </c>
      <c r="U210" s="291" t="str">
        <f>IF(C210="","",VLOOKUP(T210,'G-3 Multipliers'!$P$2:$Q$6,2,FALSE))</f>
        <v/>
      </c>
      <c r="V210" s="96"/>
      <c r="W210" s="291" t="str">
        <f>IF(V210="","",IF(AND(V210="N/A - Culvert",C210&lt;&gt;"Culvert"),"Not possible ▲",IF(AND(C210="Culvert",V210&lt;&gt;"N/A - Culvert"),"Not possible ▲",IF(VLOOKUP(V210,'G-7 WaterC'' Data'!$AA$4:$AB$7,2,FALSE)=0,"Spatial Data Missing ⚠",VLOOKUP(V210,'G-7 WaterC'' Data'!$AA$4:$AB$7,2,FALSE)))))</f>
        <v/>
      </c>
      <c r="X210" s="44"/>
      <c r="Y210" s="291" t="str">
        <f>IF(X210="","",IF(AND(X210="N/A - Culvert", C210&lt;&gt;"Culvert"), "Not possible ▲",IF(AND(C210="Culvert",X210&lt;&gt;"N/A - Culvert"),"Not possible ▲",IF(VLOOKUP(X210,'G-7 WaterC'' Data'!$AD$4:$AE$14,2,FALSE)=0,"Enrcoachment Data Missing ⚠",VLOOKUP(X210,'G-7 WaterC'' Data'!$AD$4:$AE$14,2,FALSE)))))</f>
        <v/>
      </c>
      <c r="Z210" s="332" t="str">
        <f t="shared" si="19"/>
        <v/>
      </c>
      <c r="AA210" s="98"/>
      <c r="AB210" s="99"/>
      <c r="AC210" s="101"/>
      <c r="AH210" s="15" t="str">
        <f>IFERROR(INDEX('G-7 WaterC'' Data'!$AZ$3:$AZ$7,MATCH(C210,'G-7 WaterC'' Data'!$AY$3:$AY$7,0)),"")</f>
        <v/>
      </c>
    </row>
    <row r="211" spans="2:34" ht="14" x14ac:dyDescent="0.3">
      <c r="B211" s="92">
        <v>200</v>
      </c>
      <c r="C211" s="119"/>
      <c r="D211" s="120"/>
      <c r="E211" s="290" t="str">
        <f>IF(C211="","",VLOOKUP(C211,'G-7 WaterC'' Data'!$B$2:$G$8,2,FALSE))</f>
        <v/>
      </c>
      <c r="F211" s="291" t="str">
        <f>IFERROR(VLOOKUP(E211,'G-7 WaterC'' Data'!$C$4:$D$8,2,FALSE),"")</f>
        <v/>
      </c>
      <c r="G211" s="95"/>
      <c r="H211" s="291" t="str">
        <f>IFERROR(INDEX('G-7 WaterC'' Data'!$H$4:$L$8,MATCH(C211,'G-7 WaterC'' Data'!$B$4:$B$8,0),MATCH(G211,'G-7 WaterC'' Data'!$H$3:$L$3,0)),"")</f>
        <v/>
      </c>
      <c r="I211" s="38"/>
      <c r="J211" s="298" t="str">
        <f>IF(I211="","",IF(VLOOKUP(I211,'G-7 WaterC'' Data'!$AK$4:$AM$6,2,FALSE)=0,"Spatial Data Missing ⚠",VLOOKUP(I211,'G-7 WaterC'' Data'!$AK$4:$AM$6,2,FALSE)))</f>
        <v/>
      </c>
      <c r="K211" s="291" t="str">
        <f>IF(I211="","",IF(VLOOKUP(I211,'G-7 WaterC'' Data'!$AK$4:$AM$6,3,FALSE)=0,"Spatial Data Missing ⚠",VLOOKUP(I211,'G-7 WaterC'' Data'!$AK$4:$AM$6,3,FALSE)))</f>
        <v/>
      </c>
      <c r="L211" s="290" t="str">
        <f>IFERROR(INDEX('G-7 WaterC'' Data'!$O$3:$O$7,MATCH(G211,'G-7 WaterC'' Data'!$N$3:$N$7,0)),"")</f>
        <v/>
      </c>
      <c r="M211" s="47"/>
      <c r="N211" s="138"/>
      <c r="O211" s="298" t="str">
        <f t="shared" si="15"/>
        <v/>
      </c>
      <c r="P211" s="311" t="str">
        <f t="shared" si="16"/>
        <v/>
      </c>
      <c r="Q211" s="344" t="str">
        <f>IFERROR(IF(P211="Check Data ⚠","Check Data ⚠",VLOOKUP(P211,'G-4 Temporal multipliers'!$A$4:$C$37,3,FALSE)),"")</f>
        <v/>
      </c>
      <c r="R211" s="290" t="str">
        <f>IF(C211="","",VLOOKUP(C211,'G-7 WaterC'' Data'!$B$4:$G$8,4,FALSE))</f>
        <v/>
      </c>
      <c r="S211" s="298" t="str">
        <f t="shared" si="17"/>
        <v/>
      </c>
      <c r="T211" s="328" t="str">
        <f t="shared" si="18"/>
        <v/>
      </c>
      <c r="U211" s="291" t="str">
        <f>IF(C211="","",VLOOKUP(T211,'G-3 Multipliers'!$P$2:$Q$6,2,FALSE))</f>
        <v/>
      </c>
      <c r="V211" s="96"/>
      <c r="W211" s="291" t="str">
        <f>IF(V211="","",IF(AND(V211="N/A - Culvert",C211&lt;&gt;"Culvert"),"Not possible ▲",IF(AND(C211="Culvert",V211&lt;&gt;"N/A - Culvert"),"Not possible ▲",IF(VLOOKUP(V211,'G-7 WaterC'' Data'!$AA$4:$AB$7,2,FALSE)=0,"Spatial Data Missing ⚠",VLOOKUP(V211,'G-7 WaterC'' Data'!$AA$4:$AB$7,2,FALSE)))))</f>
        <v/>
      </c>
      <c r="X211" s="44"/>
      <c r="Y211" s="291" t="str">
        <f>IF(X211="","",IF(AND(X211="N/A - Culvert", C211&lt;&gt;"Culvert"), "Not possible ▲",IF(AND(C211="Culvert",X211&lt;&gt;"N/A - Culvert"),"Not possible ▲",IF(VLOOKUP(X211,'G-7 WaterC'' Data'!$AD$4:$AE$14,2,FALSE)=0,"Enrcoachment Data Missing ⚠",VLOOKUP(X211,'G-7 WaterC'' Data'!$AD$4:$AE$14,2,FALSE)))))</f>
        <v/>
      </c>
      <c r="Z211" s="332" t="str">
        <f t="shared" si="19"/>
        <v/>
      </c>
      <c r="AA211" s="98"/>
      <c r="AB211" s="99"/>
      <c r="AC211" s="101"/>
      <c r="AH211" s="15" t="str">
        <f>IFERROR(INDEX('G-7 WaterC'' Data'!$AZ$3:$AZ$7,MATCH(C211,'G-7 WaterC'' Data'!$AY$3:$AY$7,0)),"")</f>
        <v/>
      </c>
    </row>
    <row r="212" spans="2:34" ht="14" x14ac:dyDescent="0.3">
      <c r="B212" s="92">
        <v>201</v>
      </c>
      <c r="C212" s="119"/>
      <c r="D212" s="120"/>
      <c r="E212" s="290" t="str">
        <f>IF(C212="","",VLOOKUP(C212,'G-7 WaterC'' Data'!$B$2:$G$8,2,FALSE))</f>
        <v/>
      </c>
      <c r="F212" s="291" t="str">
        <f>IFERROR(VLOOKUP(E212,'G-7 WaterC'' Data'!$C$4:$D$8,2,FALSE),"")</f>
        <v/>
      </c>
      <c r="G212" s="95"/>
      <c r="H212" s="291" t="str">
        <f>IFERROR(INDEX('G-7 WaterC'' Data'!$H$4:$L$8,MATCH(C212,'G-7 WaterC'' Data'!$B$4:$B$8,0),MATCH(G212,'G-7 WaterC'' Data'!$H$3:$L$3,0)),"")</f>
        <v/>
      </c>
      <c r="I212" s="38"/>
      <c r="J212" s="298" t="str">
        <f>IF(I212="","",IF(VLOOKUP(I212,'G-7 WaterC'' Data'!$AK$4:$AM$6,2,FALSE)=0,"Spatial Data Missing ⚠",VLOOKUP(I212,'G-7 WaterC'' Data'!$AK$4:$AM$6,2,FALSE)))</f>
        <v/>
      </c>
      <c r="K212" s="291" t="str">
        <f>IF(I212="","",IF(VLOOKUP(I212,'G-7 WaterC'' Data'!$AK$4:$AM$6,3,FALSE)=0,"Spatial Data Missing ⚠",VLOOKUP(I212,'G-7 WaterC'' Data'!$AK$4:$AM$6,3,FALSE)))</f>
        <v/>
      </c>
      <c r="L212" s="290" t="str">
        <f>IFERROR(INDEX('G-7 WaterC'' Data'!$O$3:$O$7,MATCH(G212,'G-7 WaterC'' Data'!$N$3:$N$7,0)),"")</f>
        <v/>
      </c>
      <c r="M212" s="47"/>
      <c r="N212" s="138"/>
      <c r="O212" s="298" t="str">
        <f t="shared" si="15"/>
        <v/>
      </c>
      <c r="P212" s="311" t="str">
        <f t="shared" si="16"/>
        <v/>
      </c>
      <c r="Q212" s="344" t="str">
        <f>IFERROR(IF(P212="Check Data ⚠","Check Data ⚠",VLOOKUP(P212,'G-4 Temporal multipliers'!$A$4:$C$37,3,FALSE)),"")</f>
        <v/>
      </c>
      <c r="R212" s="290" t="str">
        <f>IF(C212="","",VLOOKUP(C212,'G-7 WaterC'' Data'!$B$4:$G$8,4,FALSE))</f>
        <v/>
      </c>
      <c r="S212" s="298" t="str">
        <f t="shared" si="17"/>
        <v/>
      </c>
      <c r="T212" s="328" t="str">
        <f t="shared" si="18"/>
        <v/>
      </c>
      <c r="U212" s="291" t="str">
        <f>IF(C212="","",VLOOKUP(T212,'G-3 Multipliers'!$P$2:$Q$6,2,FALSE))</f>
        <v/>
      </c>
      <c r="V212" s="96"/>
      <c r="W212" s="291" t="str">
        <f>IF(V212="","",IF(AND(V212="N/A - Culvert",C212&lt;&gt;"Culvert"),"Not possible ▲",IF(AND(C212="Culvert",V212&lt;&gt;"N/A - Culvert"),"Not possible ▲",IF(VLOOKUP(V212,'G-7 WaterC'' Data'!$AA$4:$AB$7,2,FALSE)=0,"Spatial Data Missing ⚠",VLOOKUP(V212,'G-7 WaterC'' Data'!$AA$4:$AB$7,2,FALSE)))))</f>
        <v/>
      </c>
      <c r="X212" s="44"/>
      <c r="Y212" s="291" t="str">
        <f>IF(X212="","",IF(AND(X212="N/A - Culvert", C212&lt;&gt;"Culvert"), "Not possible ▲",IF(AND(C212="Culvert",X212&lt;&gt;"N/A - Culvert"),"Not possible ▲",IF(VLOOKUP(X212,'G-7 WaterC'' Data'!$AD$4:$AE$14,2,FALSE)=0,"Enrcoachment Data Missing ⚠",VLOOKUP(X212,'G-7 WaterC'' Data'!$AD$4:$AE$14,2,FALSE)))))</f>
        <v/>
      </c>
      <c r="Z212" s="332" t="str">
        <f t="shared" si="19"/>
        <v/>
      </c>
      <c r="AA212" s="98"/>
      <c r="AB212" s="99"/>
      <c r="AC212" s="101"/>
      <c r="AH212" s="15" t="str">
        <f>IFERROR(INDEX('G-7 WaterC'' Data'!$AZ$3:$AZ$7,MATCH(C212,'G-7 WaterC'' Data'!$AY$3:$AY$7,0)),"")</f>
        <v/>
      </c>
    </row>
    <row r="213" spans="2:34" ht="14" x14ac:dyDescent="0.3">
      <c r="B213" s="92">
        <v>202</v>
      </c>
      <c r="C213" s="119"/>
      <c r="D213" s="120"/>
      <c r="E213" s="290" t="str">
        <f>IF(C213="","",VLOOKUP(C213,'G-7 WaterC'' Data'!$B$2:$G$8,2,FALSE))</f>
        <v/>
      </c>
      <c r="F213" s="291" t="str">
        <f>IFERROR(VLOOKUP(E213,'G-7 WaterC'' Data'!$C$4:$D$8,2,FALSE),"")</f>
        <v/>
      </c>
      <c r="G213" s="95"/>
      <c r="H213" s="291" t="str">
        <f>IFERROR(INDEX('G-7 WaterC'' Data'!$H$4:$L$8,MATCH(C213,'G-7 WaterC'' Data'!$B$4:$B$8,0),MATCH(G213,'G-7 WaterC'' Data'!$H$3:$L$3,0)),"")</f>
        <v/>
      </c>
      <c r="I213" s="38"/>
      <c r="J213" s="298" t="str">
        <f>IF(I213="","",IF(VLOOKUP(I213,'G-7 WaterC'' Data'!$AK$4:$AM$6,2,FALSE)=0,"Spatial Data Missing ⚠",VLOOKUP(I213,'G-7 WaterC'' Data'!$AK$4:$AM$6,2,FALSE)))</f>
        <v/>
      </c>
      <c r="K213" s="291" t="str">
        <f>IF(I213="","",IF(VLOOKUP(I213,'G-7 WaterC'' Data'!$AK$4:$AM$6,3,FALSE)=0,"Spatial Data Missing ⚠",VLOOKUP(I213,'G-7 WaterC'' Data'!$AK$4:$AM$6,3,FALSE)))</f>
        <v/>
      </c>
      <c r="L213" s="290" t="str">
        <f>IFERROR(INDEX('G-7 WaterC'' Data'!$O$3:$O$7,MATCH(G213,'G-7 WaterC'' Data'!$N$3:$N$7,0)),"")</f>
        <v/>
      </c>
      <c r="M213" s="47"/>
      <c r="N213" s="138"/>
      <c r="O213" s="298" t="str">
        <f t="shared" si="15"/>
        <v/>
      </c>
      <c r="P213" s="311" t="str">
        <f t="shared" si="16"/>
        <v/>
      </c>
      <c r="Q213" s="344" t="str">
        <f>IFERROR(IF(P213="Check Data ⚠","Check Data ⚠",VLOOKUP(P213,'G-4 Temporal multipliers'!$A$4:$C$37,3,FALSE)),"")</f>
        <v/>
      </c>
      <c r="R213" s="290" t="str">
        <f>IF(C213="","",VLOOKUP(C213,'G-7 WaterC'' Data'!$B$4:$G$8,4,FALSE))</f>
        <v/>
      </c>
      <c r="S213" s="298" t="str">
        <f t="shared" si="17"/>
        <v/>
      </c>
      <c r="T213" s="328" t="str">
        <f t="shared" si="18"/>
        <v/>
      </c>
      <c r="U213" s="291" t="str">
        <f>IF(C213="","",VLOOKUP(T213,'G-3 Multipliers'!$P$2:$Q$6,2,FALSE))</f>
        <v/>
      </c>
      <c r="V213" s="96"/>
      <c r="W213" s="291" t="str">
        <f>IF(V213="","",IF(AND(V213="N/A - Culvert",C213&lt;&gt;"Culvert"),"Not possible ▲",IF(AND(C213="Culvert",V213&lt;&gt;"N/A - Culvert"),"Not possible ▲",IF(VLOOKUP(V213,'G-7 WaterC'' Data'!$AA$4:$AB$7,2,FALSE)=0,"Spatial Data Missing ⚠",VLOOKUP(V213,'G-7 WaterC'' Data'!$AA$4:$AB$7,2,FALSE)))))</f>
        <v/>
      </c>
      <c r="X213" s="44"/>
      <c r="Y213" s="291" t="str">
        <f>IF(X213="","",IF(AND(X213="N/A - Culvert", C213&lt;&gt;"Culvert"), "Not possible ▲",IF(AND(C213="Culvert",X213&lt;&gt;"N/A - Culvert"),"Not possible ▲",IF(VLOOKUP(X213,'G-7 WaterC'' Data'!$AD$4:$AE$14,2,FALSE)=0,"Enrcoachment Data Missing ⚠",VLOOKUP(X213,'G-7 WaterC'' Data'!$AD$4:$AE$14,2,FALSE)))))</f>
        <v/>
      </c>
      <c r="Z213" s="332" t="str">
        <f t="shared" si="19"/>
        <v/>
      </c>
      <c r="AA213" s="98"/>
      <c r="AB213" s="99"/>
      <c r="AC213" s="101"/>
      <c r="AH213" s="15" t="str">
        <f>IFERROR(INDEX('G-7 WaterC'' Data'!$AZ$3:$AZ$7,MATCH(C213,'G-7 WaterC'' Data'!$AY$3:$AY$7,0)),"")</f>
        <v/>
      </c>
    </row>
    <row r="214" spans="2:34" ht="14" x14ac:dyDescent="0.3">
      <c r="B214" s="92">
        <v>203</v>
      </c>
      <c r="C214" s="119"/>
      <c r="D214" s="120"/>
      <c r="E214" s="290" t="str">
        <f>IF(C214="","",VLOOKUP(C214,'G-7 WaterC'' Data'!$B$2:$G$8,2,FALSE))</f>
        <v/>
      </c>
      <c r="F214" s="291" t="str">
        <f>IFERROR(VLOOKUP(E214,'G-7 WaterC'' Data'!$C$4:$D$8,2,FALSE),"")</f>
        <v/>
      </c>
      <c r="G214" s="95"/>
      <c r="H214" s="291" t="str">
        <f>IFERROR(INDEX('G-7 WaterC'' Data'!$H$4:$L$8,MATCH(C214,'G-7 WaterC'' Data'!$B$4:$B$8,0),MATCH(G214,'G-7 WaterC'' Data'!$H$3:$L$3,0)),"")</f>
        <v/>
      </c>
      <c r="I214" s="38"/>
      <c r="J214" s="298" t="str">
        <f>IF(I214="","",IF(VLOOKUP(I214,'G-7 WaterC'' Data'!$AK$4:$AM$6,2,FALSE)=0,"Spatial Data Missing ⚠",VLOOKUP(I214,'G-7 WaterC'' Data'!$AK$4:$AM$6,2,FALSE)))</f>
        <v/>
      </c>
      <c r="K214" s="291" t="str">
        <f>IF(I214="","",IF(VLOOKUP(I214,'G-7 WaterC'' Data'!$AK$4:$AM$6,3,FALSE)=0,"Spatial Data Missing ⚠",VLOOKUP(I214,'G-7 WaterC'' Data'!$AK$4:$AM$6,3,FALSE)))</f>
        <v/>
      </c>
      <c r="L214" s="290" t="str">
        <f>IFERROR(INDEX('G-7 WaterC'' Data'!$O$3:$O$7,MATCH(G214,'G-7 WaterC'' Data'!$N$3:$N$7,0)),"")</f>
        <v/>
      </c>
      <c r="M214" s="47"/>
      <c r="N214" s="138"/>
      <c r="O214" s="298" t="str">
        <f t="shared" si="15"/>
        <v/>
      </c>
      <c r="P214" s="311" t="str">
        <f t="shared" si="16"/>
        <v/>
      </c>
      <c r="Q214" s="344" t="str">
        <f>IFERROR(IF(P214="Check Data ⚠","Check Data ⚠",VLOOKUP(P214,'G-4 Temporal multipliers'!$A$4:$C$37,3,FALSE)),"")</f>
        <v/>
      </c>
      <c r="R214" s="290" t="str">
        <f>IF(C214="","",VLOOKUP(C214,'G-7 WaterC'' Data'!$B$4:$G$8,4,FALSE))</f>
        <v/>
      </c>
      <c r="S214" s="298" t="str">
        <f t="shared" si="17"/>
        <v/>
      </c>
      <c r="T214" s="328" t="str">
        <f t="shared" si="18"/>
        <v/>
      </c>
      <c r="U214" s="291" t="str">
        <f>IF(C214="","",VLOOKUP(T214,'G-3 Multipliers'!$P$2:$Q$6,2,FALSE))</f>
        <v/>
      </c>
      <c r="V214" s="96"/>
      <c r="W214" s="291" t="str">
        <f>IF(V214="","",IF(AND(V214="N/A - Culvert",C214&lt;&gt;"Culvert"),"Not possible ▲",IF(AND(C214="Culvert",V214&lt;&gt;"N/A - Culvert"),"Not possible ▲",IF(VLOOKUP(V214,'G-7 WaterC'' Data'!$AA$4:$AB$7,2,FALSE)=0,"Spatial Data Missing ⚠",VLOOKUP(V214,'G-7 WaterC'' Data'!$AA$4:$AB$7,2,FALSE)))))</f>
        <v/>
      </c>
      <c r="X214" s="44"/>
      <c r="Y214" s="291" t="str">
        <f>IF(X214="","",IF(AND(X214="N/A - Culvert", C214&lt;&gt;"Culvert"), "Not possible ▲",IF(AND(C214="Culvert",X214&lt;&gt;"N/A - Culvert"),"Not possible ▲",IF(VLOOKUP(X214,'G-7 WaterC'' Data'!$AD$4:$AE$14,2,FALSE)=0,"Enrcoachment Data Missing ⚠",VLOOKUP(X214,'G-7 WaterC'' Data'!$AD$4:$AE$14,2,FALSE)))))</f>
        <v/>
      </c>
      <c r="Z214" s="332" t="str">
        <f t="shared" si="19"/>
        <v/>
      </c>
      <c r="AA214" s="98"/>
      <c r="AB214" s="99"/>
      <c r="AC214" s="101"/>
      <c r="AH214" s="15" t="str">
        <f>IFERROR(INDEX('G-7 WaterC'' Data'!$AZ$3:$AZ$7,MATCH(C214,'G-7 WaterC'' Data'!$AY$3:$AY$7,0)),"")</f>
        <v/>
      </c>
    </row>
    <row r="215" spans="2:34" ht="14" x14ac:dyDescent="0.3">
      <c r="B215" s="92">
        <v>204</v>
      </c>
      <c r="C215" s="119"/>
      <c r="D215" s="120"/>
      <c r="E215" s="290" t="str">
        <f>IF(C215="","",VLOOKUP(C215,'G-7 WaterC'' Data'!$B$2:$G$8,2,FALSE))</f>
        <v/>
      </c>
      <c r="F215" s="291" t="str">
        <f>IFERROR(VLOOKUP(E215,'G-7 WaterC'' Data'!$C$4:$D$8,2,FALSE),"")</f>
        <v/>
      </c>
      <c r="G215" s="95"/>
      <c r="H215" s="291" t="str">
        <f>IFERROR(INDEX('G-7 WaterC'' Data'!$H$4:$L$8,MATCH(C215,'G-7 WaterC'' Data'!$B$4:$B$8,0),MATCH(G215,'G-7 WaterC'' Data'!$H$3:$L$3,0)),"")</f>
        <v/>
      </c>
      <c r="I215" s="38"/>
      <c r="J215" s="298" t="str">
        <f>IF(I215="","",IF(VLOOKUP(I215,'G-7 WaterC'' Data'!$AK$4:$AM$6,2,FALSE)=0,"Spatial Data Missing ⚠",VLOOKUP(I215,'G-7 WaterC'' Data'!$AK$4:$AM$6,2,FALSE)))</f>
        <v/>
      </c>
      <c r="K215" s="291" t="str">
        <f>IF(I215="","",IF(VLOOKUP(I215,'G-7 WaterC'' Data'!$AK$4:$AM$6,3,FALSE)=0,"Spatial Data Missing ⚠",VLOOKUP(I215,'G-7 WaterC'' Data'!$AK$4:$AM$6,3,FALSE)))</f>
        <v/>
      </c>
      <c r="L215" s="290" t="str">
        <f>IFERROR(INDEX('G-7 WaterC'' Data'!$O$3:$O$7,MATCH(G215,'G-7 WaterC'' Data'!$N$3:$N$7,0)),"")</f>
        <v/>
      </c>
      <c r="M215" s="47"/>
      <c r="N215" s="138"/>
      <c r="O215" s="298" t="str">
        <f t="shared" si="15"/>
        <v/>
      </c>
      <c r="P215" s="311" t="str">
        <f t="shared" si="16"/>
        <v/>
      </c>
      <c r="Q215" s="344" t="str">
        <f>IFERROR(IF(P215="Check Data ⚠","Check Data ⚠",VLOOKUP(P215,'G-4 Temporal multipliers'!$A$4:$C$37,3,FALSE)),"")</f>
        <v/>
      </c>
      <c r="R215" s="290" t="str">
        <f>IF(C215="","",VLOOKUP(C215,'G-7 WaterC'' Data'!$B$4:$G$8,4,FALSE))</f>
        <v/>
      </c>
      <c r="S215" s="298" t="str">
        <f t="shared" si="17"/>
        <v/>
      </c>
      <c r="T215" s="328" t="str">
        <f t="shared" si="18"/>
        <v/>
      </c>
      <c r="U215" s="291" t="str">
        <f>IF(C215="","",VLOOKUP(T215,'G-3 Multipliers'!$P$2:$Q$6,2,FALSE))</f>
        <v/>
      </c>
      <c r="V215" s="96"/>
      <c r="W215" s="291" t="str">
        <f>IF(V215="","",IF(AND(V215="N/A - Culvert",C215&lt;&gt;"Culvert"),"Not possible ▲",IF(AND(C215="Culvert",V215&lt;&gt;"N/A - Culvert"),"Not possible ▲",IF(VLOOKUP(V215,'G-7 WaterC'' Data'!$AA$4:$AB$7,2,FALSE)=0,"Spatial Data Missing ⚠",VLOOKUP(V215,'G-7 WaterC'' Data'!$AA$4:$AB$7,2,FALSE)))))</f>
        <v/>
      </c>
      <c r="X215" s="44"/>
      <c r="Y215" s="291" t="str">
        <f>IF(X215="","",IF(AND(X215="N/A - Culvert", C215&lt;&gt;"Culvert"), "Not possible ▲",IF(AND(C215="Culvert",X215&lt;&gt;"N/A - Culvert"),"Not possible ▲",IF(VLOOKUP(X215,'G-7 WaterC'' Data'!$AD$4:$AE$14,2,FALSE)=0,"Enrcoachment Data Missing ⚠",VLOOKUP(X215,'G-7 WaterC'' Data'!$AD$4:$AE$14,2,FALSE)))))</f>
        <v/>
      </c>
      <c r="Z215" s="332" t="str">
        <f t="shared" si="19"/>
        <v/>
      </c>
      <c r="AA215" s="98"/>
      <c r="AB215" s="99"/>
      <c r="AC215" s="101"/>
      <c r="AH215" s="15" t="str">
        <f>IFERROR(INDEX('G-7 WaterC'' Data'!$AZ$3:$AZ$7,MATCH(C215,'G-7 WaterC'' Data'!$AY$3:$AY$7,0)),"")</f>
        <v/>
      </c>
    </row>
    <row r="216" spans="2:34" ht="14" x14ac:dyDescent="0.3">
      <c r="B216" s="92">
        <v>205</v>
      </c>
      <c r="C216" s="119"/>
      <c r="D216" s="120"/>
      <c r="E216" s="290" t="str">
        <f>IF(C216="","",VLOOKUP(C216,'G-7 WaterC'' Data'!$B$2:$G$8,2,FALSE))</f>
        <v/>
      </c>
      <c r="F216" s="291" t="str">
        <f>IFERROR(VLOOKUP(E216,'G-7 WaterC'' Data'!$C$4:$D$8,2,FALSE),"")</f>
        <v/>
      </c>
      <c r="G216" s="95"/>
      <c r="H216" s="291" t="str">
        <f>IFERROR(INDEX('G-7 WaterC'' Data'!$H$4:$L$8,MATCH(C216,'G-7 WaterC'' Data'!$B$4:$B$8,0),MATCH(G216,'G-7 WaterC'' Data'!$H$3:$L$3,0)),"")</f>
        <v/>
      </c>
      <c r="I216" s="38"/>
      <c r="J216" s="298" t="str">
        <f>IF(I216="","",IF(VLOOKUP(I216,'G-7 WaterC'' Data'!$AK$4:$AM$6,2,FALSE)=0,"Spatial Data Missing ⚠",VLOOKUP(I216,'G-7 WaterC'' Data'!$AK$4:$AM$6,2,FALSE)))</f>
        <v/>
      </c>
      <c r="K216" s="291" t="str">
        <f>IF(I216="","",IF(VLOOKUP(I216,'G-7 WaterC'' Data'!$AK$4:$AM$6,3,FALSE)=0,"Spatial Data Missing ⚠",VLOOKUP(I216,'G-7 WaterC'' Data'!$AK$4:$AM$6,3,FALSE)))</f>
        <v/>
      </c>
      <c r="L216" s="290" t="str">
        <f>IFERROR(INDEX('G-7 WaterC'' Data'!$O$3:$O$7,MATCH(G216,'G-7 WaterC'' Data'!$N$3:$N$7,0)),"")</f>
        <v/>
      </c>
      <c r="M216" s="47"/>
      <c r="N216" s="138"/>
      <c r="O216" s="298" t="str">
        <f t="shared" si="15"/>
        <v/>
      </c>
      <c r="P216" s="311" t="str">
        <f t="shared" si="16"/>
        <v/>
      </c>
      <c r="Q216" s="344" t="str">
        <f>IFERROR(IF(P216="Check Data ⚠","Check Data ⚠",VLOOKUP(P216,'G-4 Temporal multipliers'!$A$4:$C$37,3,FALSE)),"")</f>
        <v/>
      </c>
      <c r="R216" s="290" t="str">
        <f>IF(C216="","",VLOOKUP(C216,'G-7 WaterC'' Data'!$B$4:$G$8,4,FALSE))</f>
        <v/>
      </c>
      <c r="S216" s="298" t="str">
        <f t="shared" si="17"/>
        <v/>
      </c>
      <c r="T216" s="328" t="str">
        <f t="shared" si="18"/>
        <v/>
      </c>
      <c r="U216" s="291" t="str">
        <f>IF(C216="","",VLOOKUP(T216,'G-3 Multipliers'!$P$2:$Q$6,2,FALSE))</f>
        <v/>
      </c>
      <c r="V216" s="96"/>
      <c r="W216" s="291" t="str">
        <f>IF(V216="","",IF(AND(V216="N/A - Culvert",C216&lt;&gt;"Culvert"),"Not possible ▲",IF(AND(C216="Culvert",V216&lt;&gt;"N/A - Culvert"),"Not possible ▲",IF(VLOOKUP(V216,'G-7 WaterC'' Data'!$AA$4:$AB$7,2,FALSE)=0,"Spatial Data Missing ⚠",VLOOKUP(V216,'G-7 WaterC'' Data'!$AA$4:$AB$7,2,FALSE)))))</f>
        <v/>
      </c>
      <c r="X216" s="44"/>
      <c r="Y216" s="291" t="str">
        <f>IF(X216="","",IF(AND(X216="N/A - Culvert", C216&lt;&gt;"Culvert"), "Not possible ▲",IF(AND(C216="Culvert",X216&lt;&gt;"N/A - Culvert"),"Not possible ▲",IF(VLOOKUP(X216,'G-7 WaterC'' Data'!$AD$4:$AE$14,2,FALSE)=0,"Enrcoachment Data Missing ⚠",VLOOKUP(X216,'G-7 WaterC'' Data'!$AD$4:$AE$14,2,FALSE)))))</f>
        <v/>
      </c>
      <c r="Z216" s="332" t="str">
        <f t="shared" si="19"/>
        <v/>
      </c>
      <c r="AA216" s="98"/>
      <c r="AB216" s="99"/>
      <c r="AC216" s="101"/>
      <c r="AH216" s="15" t="str">
        <f>IFERROR(INDEX('G-7 WaterC'' Data'!$AZ$3:$AZ$7,MATCH(C216,'G-7 WaterC'' Data'!$AY$3:$AY$7,0)),"")</f>
        <v/>
      </c>
    </row>
    <row r="217" spans="2:34" ht="14" x14ac:dyDescent="0.3">
      <c r="B217" s="92">
        <v>206</v>
      </c>
      <c r="C217" s="119"/>
      <c r="D217" s="120"/>
      <c r="E217" s="290" t="str">
        <f>IF(C217="","",VLOOKUP(C217,'G-7 WaterC'' Data'!$B$2:$G$8,2,FALSE))</f>
        <v/>
      </c>
      <c r="F217" s="291" t="str">
        <f>IFERROR(VLOOKUP(E217,'G-7 WaterC'' Data'!$C$4:$D$8,2,FALSE),"")</f>
        <v/>
      </c>
      <c r="G217" s="95"/>
      <c r="H217" s="291" t="str">
        <f>IFERROR(INDEX('G-7 WaterC'' Data'!$H$4:$L$8,MATCH(C217,'G-7 WaterC'' Data'!$B$4:$B$8,0),MATCH(G217,'G-7 WaterC'' Data'!$H$3:$L$3,0)),"")</f>
        <v/>
      </c>
      <c r="I217" s="38"/>
      <c r="J217" s="298" t="str">
        <f>IF(I217="","",IF(VLOOKUP(I217,'G-7 WaterC'' Data'!$AK$4:$AM$6,2,FALSE)=0,"Spatial Data Missing ⚠",VLOOKUP(I217,'G-7 WaterC'' Data'!$AK$4:$AM$6,2,FALSE)))</f>
        <v/>
      </c>
      <c r="K217" s="291" t="str">
        <f>IF(I217="","",IF(VLOOKUP(I217,'G-7 WaterC'' Data'!$AK$4:$AM$6,3,FALSE)=0,"Spatial Data Missing ⚠",VLOOKUP(I217,'G-7 WaterC'' Data'!$AK$4:$AM$6,3,FALSE)))</f>
        <v/>
      </c>
      <c r="L217" s="290" t="str">
        <f>IFERROR(INDEX('G-7 WaterC'' Data'!$O$3:$O$7,MATCH(G217,'G-7 WaterC'' Data'!$N$3:$N$7,0)),"")</f>
        <v/>
      </c>
      <c r="M217" s="47"/>
      <c r="N217" s="138"/>
      <c r="O217" s="298" t="str">
        <f t="shared" si="15"/>
        <v/>
      </c>
      <c r="P217" s="311" t="str">
        <f t="shared" si="16"/>
        <v/>
      </c>
      <c r="Q217" s="344" t="str">
        <f>IFERROR(IF(P217="Check Data ⚠","Check Data ⚠",VLOOKUP(P217,'G-4 Temporal multipliers'!$A$4:$C$37,3,FALSE)),"")</f>
        <v/>
      </c>
      <c r="R217" s="290" t="str">
        <f>IF(C217="","",VLOOKUP(C217,'G-7 WaterC'' Data'!$B$4:$G$8,4,FALSE))</f>
        <v/>
      </c>
      <c r="S217" s="298" t="str">
        <f t="shared" si="17"/>
        <v/>
      </c>
      <c r="T217" s="328" t="str">
        <f t="shared" si="18"/>
        <v/>
      </c>
      <c r="U217" s="291" t="str">
        <f>IF(C217="","",VLOOKUP(T217,'G-3 Multipliers'!$P$2:$Q$6,2,FALSE))</f>
        <v/>
      </c>
      <c r="V217" s="96"/>
      <c r="W217" s="291" t="str">
        <f>IF(V217="","",IF(AND(V217="N/A - Culvert",C217&lt;&gt;"Culvert"),"Not possible ▲",IF(AND(C217="Culvert",V217&lt;&gt;"N/A - Culvert"),"Not possible ▲",IF(VLOOKUP(V217,'G-7 WaterC'' Data'!$AA$4:$AB$7,2,FALSE)=0,"Spatial Data Missing ⚠",VLOOKUP(V217,'G-7 WaterC'' Data'!$AA$4:$AB$7,2,FALSE)))))</f>
        <v/>
      </c>
      <c r="X217" s="44"/>
      <c r="Y217" s="291" t="str">
        <f>IF(X217="","",IF(AND(X217="N/A - Culvert", C217&lt;&gt;"Culvert"), "Not possible ▲",IF(AND(C217="Culvert",X217&lt;&gt;"N/A - Culvert"),"Not possible ▲",IF(VLOOKUP(X217,'G-7 WaterC'' Data'!$AD$4:$AE$14,2,FALSE)=0,"Enrcoachment Data Missing ⚠",VLOOKUP(X217,'G-7 WaterC'' Data'!$AD$4:$AE$14,2,FALSE)))))</f>
        <v/>
      </c>
      <c r="Z217" s="332" t="str">
        <f t="shared" si="19"/>
        <v/>
      </c>
      <c r="AA217" s="98"/>
      <c r="AB217" s="99"/>
      <c r="AC217" s="101"/>
      <c r="AH217" s="15" t="str">
        <f>IFERROR(INDEX('G-7 WaterC'' Data'!$AZ$3:$AZ$7,MATCH(C217,'G-7 WaterC'' Data'!$AY$3:$AY$7,0)),"")</f>
        <v/>
      </c>
    </row>
    <row r="218" spans="2:34" ht="14" x14ac:dyDescent="0.3">
      <c r="B218" s="92">
        <v>207</v>
      </c>
      <c r="C218" s="119"/>
      <c r="D218" s="120"/>
      <c r="E218" s="290" t="str">
        <f>IF(C218="","",VLOOKUP(C218,'G-7 WaterC'' Data'!$B$2:$G$8,2,FALSE))</f>
        <v/>
      </c>
      <c r="F218" s="291" t="str">
        <f>IFERROR(VLOOKUP(E218,'G-7 WaterC'' Data'!$C$4:$D$8,2,FALSE),"")</f>
        <v/>
      </c>
      <c r="G218" s="95"/>
      <c r="H218" s="291" t="str">
        <f>IFERROR(INDEX('G-7 WaterC'' Data'!$H$4:$L$8,MATCH(C218,'G-7 WaterC'' Data'!$B$4:$B$8,0),MATCH(G218,'G-7 WaterC'' Data'!$H$3:$L$3,0)),"")</f>
        <v/>
      </c>
      <c r="I218" s="38"/>
      <c r="J218" s="298" t="str">
        <f>IF(I218="","",IF(VLOOKUP(I218,'G-7 WaterC'' Data'!$AK$4:$AM$6,2,FALSE)=0,"Spatial Data Missing ⚠",VLOOKUP(I218,'G-7 WaterC'' Data'!$AK$4:$AM$6,2,FALSE)))</f>
        <v/>
      </c>
      <c r="K218" s="291" t="str">
        <f>IF(I218="","",IF(VLOOKUP(I218,'G-7 WaterC'' Data'!$AK$4:$AM$6,3,FALSE)=0,"Spatial Data Missing ⚠",VLOOKUP(I218,'G-7 WaterC'' Data'!$AK$4:$AM$6,3,FALSE)))</f>
        <v/>
      </c>
      <c r="L218" s="290" t="str">
        <f>IFERROR(INDEX('G-7 WaterC'' Data'!$O$3:$O$7,MATCH(G218,'G-7 WaterC'' Data'!$N$3:$N$7,0)),"")</f>
        <v/>
      </c>
      <c r="M218" s="47"/>
      <c r="N218" s="138"/>
      <c r="O218" s="298" t="str">
        <f t="shared" si="15"/>
        <v/>
      </c>
      <c r="P218" s="311" t="str">
        <f t="shared" si="16"/>
        <v/>
      </c>
      <c r="Q218" s="344" t="str">
        <f>IFERROR(IF(P218="Check Data ⚠","Check Data ⚠",VLOOKUP(P218,'G-4 Temporal multipliers'!$A$4:$C$37,3,FALSE)),"")</f>
        <v/>
      </c>
      <c r="R218" s="290" t="str">
        <f>IF(C218="","",VLOOKUP(C218,'G-7 WaterC'' Data'!$B$4:$G$8,4,FALSE))</f>
        <v/>
      </c>
      <c r="S218" s="298" t="str">
        <f t="shared" si="17"/>
        <v/>
      </c>
      <c r="T218" s="328" t="str">
        <f t="shared" si="18"/>
        <v/>
      </c>
      <c r="U218" s="291" t="str">
        <f>IF(C218="","",VLOOKUP(T218,'G-3 Multipliers'!$P$2:$Q$6,2,FALSE))</f>
        <v/>
      </c>
      <c r="V218" s="96"/>
      <c r="W218" s="291" t="str">
        <f>IF(V218="","",IF(AND(V218="N/A - Culvert",C218&lt;&gt;"Culvert"),"Not possible ▲",IF(AND(C218="Culvert",V218&lt;&gt;"N/A - Culvert"),"Not possible ▲",IF(VLOOKUP(V218,'G-7 WaterC'' Data'!$AA$4:$AB$7,2,FALSE)=0,"Spatial Data Missing ⚠",VLOOKUP(V218,'G-7 WaterC'' Data'!$AA$4:$AB$7,2,FALSE)))))</f>
        <v/>
      </c>
      <c r="X218" s="44"/>
      <c r="Y218" s="291" t="str">
        <f>IF(X218="","",IF(AND(X218="N/A - Culvert", C218&lt;&gt;"Culvert"), "Not possible ▲",IF(AND(C218="Culvert",X218&lt;&gt;"N/A - Culvert"),"Not possible ▲",IF(VLOOKUP(X218,'G-7 WaterC'' Data'!$AD$4:$AE$14,2,FALSE)=0,"Enrcoachment Data Missing ⚠",VLOOKUP(X218,'G-7 WaterC'' Data'!$AD$4:$AE$14,2,FALSE)))))</f>
        <v/>
      </c>
      <c r="Z218" s="332" t="str">
        <f t="shared" si="19"/>
        <v/>
      </c>
      <c r="AA218" s="98"/>
      <c r="AB218" s="99"/>
      <c r="AC218" s="101"/>
      <c r="AH218" s="15" t="str">
        <f>IFERROR(INDEX('G-7 WaterC'' Data'!$AZ$3:$AZ$7,MATCH(C218,'G-7 WaterC'' Data'!$AY$3:$AY$7,0)),"")</f>
        <v/>
      </c>
    </row>
    <row r="219" spans="2:34" ht="14" x14ac:dyDescent="0.3">
      <c r="B219" s="92">
        <v>208</v>
      </c>
      <c r="C219" s="119"/>
      <c r="D219" s="120"/>
      <c r="E219" s="290" t="str">
        <f>IF(C219="","",VLOOKUP(C219,'G-7 WaterC'' Data'!$B$2:$G$8,2,FALSE))</f>
        <v/>
      </c>
      <c r="F219" s="291" t="str">
        <f>IFERROR(VLOOKUP(E219,'G-7 WaterC'' Data'!$C$4:$D$8,2,FALSE),"")</f>
        <v/>
      </c>
      <c r="G219" s="95"/>
      <c r="H219" s="291" t="str">
        <f>IFERROR(INDEX('G-7 WaterC'' Data'!$H$4:$L$8,MATCH(C219,'G-7 WaterC'' Data'!$B$4:$B$8,0),MATCH(G219,'G-7 WaterC'' Data'!$H$3:$L$3,0)),"")</f>
        <v/>
      </c>
      <c r="I219" s="38"/>
      <c r="J219" s="298" t="str">
        <f>IF(I219="","",IF(VLOOKUP(I219,'G-7 WaterC'' Data'!$AK$4:$AM$6,2,FALSE)=0,"Spatial Data Missing ⚠",VLOOKUP(I219,'G-7 WaterC'' Data'!$AK$4:$AM$6,2,FALSE)))</f>
        <v/>
      </c>
      <c r="K219" s="291" t="str">
        <f>IF(I219="","",IF(VLOOKUP(I219,'G-7 WaterC'' Data'!$AK$4:$AM$6,3,FALSE)=0,"Spatial Data Missing ⚠",VLOOKUP(I219,'G-7 WaterC'' Data'!$AK$4:$AM$6,3,FALSE)))</f>
        <v/>
      </c>
      <c r="L219" s="290" t="str">
        <f>IFERROR(INDEX('G-7 WaterC'' Data'!$O$3:$O$7,MATCH(G219,'G-7 WaterC'' Data'!$N$3:$N$7,0)),"")</f>
        <v/>
      </c>
      <c r="M219" s="47"/>
      <c r="N219" s="138"/>
      <c r="O219" s="298" t="str">
        <f t="shared" si="15"/>
        <v/>
      </c>
      <c r="P219" s="311" t="str">
        <f t="shared" si="16"/>
        <v/>
      </c>
      <c r="Q219" s="344" t="str">
        <f>IFERROR(IF(P219="Check Data ⚠","Check Data ⚠",VLOOKUP(P219,'G-4 Temporal multipliers'!$A$4:$C$37,3,FALSE)),"")</f>
        <v/>
      </c>
      <c r="R219" s="290" t="str">
        <f>IF(C219="","",VLOOKUP(C219,'G-7 WaterC'' Data'!$B$4:$G$8,4,FALSE))</f>
        <v/>
      </c>
      <c r="S219" s="298" t="str">
        <f t="shared" si="17"/>
        <v/>
      </c>
      <c r="T219" s="328" t="str">
        <f t="shared" si="18"/>
        <v/>
      </c>
      <c r="U219" s="291" t="str">
        <f>IF(C219="","",VLOOKUP(T219,'G-3 Multipliers'!$P$2:$Q$6,2,FALSE))</f>
        <v/>
      </c>
      <c r="V219" s="96"/>
      <c r="W219" s="291" t="str">
        <f>IF(V219="","",IF(AND(V219="N/A - Culvert",C219&lt;&gt;"Culvert"),"Not possible ▲",IF(AND(C219="Culvert",V219&lt;&gt;"N/A - Culvert"),"Not possible ▲",IF(VLOOKUP(V219,'G-7 WaterC'' Data'!$AA$4:$AB$7,2,FALSE)=0,"Spatial Data Missing ⚠",VLOOKUP(V219,'G-7 WaterC'' Data'!$AA$4:$AB$7,2,FALSE)))))</f>
        <v/>
      </c>
      <c r="X219" s="44"/>
      <c r="Y219" s="291" t="str">
        <f>IF(X219="","",IF(AND(X219="N/A - Culvert", C219&lt;&gt;"Culvert"), "Not possible ▲",IF(AND(C219="Culvert",X219&lt;&gt;"N/A - Culvert"),"Not possible ▲",IF(VLOOKUP(X219,'G-7 WaterC'' Data'!$AD$4:$AE$14,2,FALSE)=0,"Enrcoachment Data Missing ⚠",VLOOKUP(X219,'G-7 WaterC'' Data'!$AD$4:$AE$14,2,FALSE)))))</f>
        <v/>
      </c>
      <c r="Z219" s="332" t="str">
        <f t="shared" si="19"/>
        <v/>
      </c>
      <c r="AA219" s="98"/>
      <c r="AB219" s="99"/>
      <c r="AC219" s="101"/>
      <c r="AH219" s="15" t="str">
        <f>IFERROR(INDEX('G-7 WaterC'' Data'!$AZ$3:$AZ$7,MATCH(C219,'G-7 WaterC'' Data'!$AY$3:$AY$7,0)),"")</f>
        <v/>
      </c>
    </row>
    <row r="220" spans="2:34" ht="14" x14ac:dyDescent="0.3">
      <c r="B220" s="92">
        <v>209</v>
      </c>
      <c r="C220" s="119"/>
      <c r="D220" s="120"/>
      <c r="E220" s="290" t="str">
        <f>IF(C220="","",VLOOKUP(C220,'G-7 WaterC'' Data'!$B$2:$G$8,2,FALSE))</f>
        <v/>
      </c>
      <c r="F220" s="291" t="str">
        <f>IFERROR(VLOOKUP(E220,'G-7 WaterC'' Data'!$C$4:$D$8,2,FALSE),"")</f>
        <v/>
      </c>
      <c r="G220" s="95"/>
      <c r="H220" s="291" t="str">
        <f>IFERROR(INDEX('G-7 WaterC'' Data'!$H$4:$L$8,MATCH(C220,'G-7 WaterC'' Data'!$B$4:$B$8,0),MATCH(G220,'G-7 WaterC'' Data'!$H$3:$L$3,0)),"")</f>
        <v/>
      </c>
      <c r="I220" s="38"/>
      <c r="J220" s="298" t="str">
        <f>IF(I220="","",IF(VLOOKUP(I220,'G-7 WaterC'' Data'!$AK$4:$AM$6,2,FALSE)=0,"Spatial Data Missing ⚠",VLOOKUP(I220,'G-7 WaterC'' Data'!$AK$4:$AM$6,2,FALSE)))</f>
        <v/>
      </c>
      <c r="K220" s="291" t="str">
        <f>IF(I220="","",IF(VLOOKUP(I220,'G-7 WaterC'' Data'!$AK$4:$AM$6,3,FALSE)=0,"Spatial Data Missing ⚠",VLOOKUP(I220,'G-7 WaterC'' Data'!$AK$4:$AM$6,3,FALSE)))</f>
        <v/>
      </c>
      <c r="L220" s="290" t="str">
        <f>IFERROR(INDEX('G-7 WaterC'' Data'!$O$3:$O$7,MATCH(G220,'G-7 WaterC'' Data'!$N$3:$N$7,0)),"")</f>
        <v/>
      </c>
      <c r="M220" s="47"/>
      <c r="N220" s="138"/>
      <c r="O220" s="298" t="str">
        <f t="shared" si="15"/>
        <v/>
      </c>
      <c r="P220" s="311" t="str">
        <f t="shared" si="16"/>
        <v/>
      </c>
      <c r="Q220" s="344" t="str">
        <f>IFERROR(IF(P220="Check Data ⚠","Check Data ⚠",VLOOKUP(P220,'G-4 Temporal multipliers'!$A$4:$C$37,3,FALSE)),"")</f>
        <v/>
      </c>
      <c r="R220" s="290" t="str">
        <f>IF(C220="","",VLOOKUP(C220,'G-7 WaterC'' Data'!$B$4:$G$8,4,FALSE))</f>
        <v/>
      </c>
      <c r="S220" s="298" t="str">
        <f t="shared" si="17"/>
        <v/>
      </c>
      <c r="T220" s="328" t="str">
        <f t="shared" si="18"/>
        <v/>
      </c>
      <c r="U220" s="291" t="str">
        <f>IF(C220="","",VLOOKUP(T220,'G-3 Multipliers'!$P$2:$Q$6,2,FALSE))</f>
        <v/>
      </c>
      <c r="V220" s="96"/>
      <c r="W220" s="291" t="str">
        <f>IF(V220="","",IF(AND(V220="N/A - Culvert",C220&lt;&gt;"Culvert"),"Not possible ▲",IF(AND(C220="Culvert",V220&lt;&gt;"N/A - Culvert"),"Not possible ▲",IF(VLOOKUP(V220,'G-7 WaterC'' Data'!$AA$4:$AB$7,2,FALSE)=0,"Spatial Data Missing ⚠",VLOOKUP(V220,'G-7 WaterC'' Data'!$AA$4:$AB$7,2,FALSE)))))</f>
        <v/>
      </c>
      <c r="X220" s="44"/>
      <c r="Y220" s="291" t="str">
        <f>IF(X220="","",IF(AND(X220="N/A - Culvert", C220&lt;&gt;"Culvert"), "Not possible ▲",IF(AND(C220="Culvert",X220&lt;&gt;"N/A - Culvert"),"Not possible ▲",IF(VLOOKUP(X220,'G-7 WaterC'' Data'!$AD$4:$AE$14,2,FALSE)=0,"Enrcoachment Data Missing ⚠",VLOOKUP(X220,'G-7 WaterC'' Data'!$AD$4:$AE$14,2,FALSE)))))</f>
        <v/>
      </c>
      <c r="Z220" s="332" t="str">
        <f t="shared" si="19"/>
        <v/>
      </c>
      <c r="AA220" s="98"/>
      <c r="AB220" s="99"/>
      <c r="AC220" s="101"/>
      <c r="AH220" s="15" t="str">
        <f>IFERROR(INDEX('G-7 WaterC'' Data'!$AZ$3:$AZ$7,MATCH(C220,'G-7 WaterC'' Data'!$AY$3:$AY$7,0)),"")</f>
        <v/>
      </c>
    </row>
    <row r="221" spans="2:34" ht="14" x14ac:dyDescent="0.3">
      <c r="B221" s="92">
        <v>210</v>
      </c>
      <c r="C221" s="119"/>
      <c r="D221" s="120"/>
      <c r="E221" s="290" t="str">
        <f>IF(C221="","",VLOOKUP(C221,'G-7 WaterC'' Data'!$B$2:$G$8,2,FALSE))</f>
        <v/>
      </c>
      <c r="F221" s="291" t="str">
        <f>IFERROR(VLOOKUP(E221,'G-7 WaterC'' Data'!$C$4:$D$8,2,FALSE),"")</f>
        <v/>
      </c>
      <c r="G221" s="95"/>
      <c r="H221" s="291" t="str">
        <f>IFERROR(INDEX('G-7 WaterC'' Data'!$H$4:$L$8,MATCH(C221,'G-7 WaterC'' Data'!$B$4:$B$8,0),MATCH(G221,'G-7 WaterC'' Data'!$H$3:$L$3,0)),"")</f>
        <v/>
      </c>
      <c r="I221" s="38"/>
      <c r="J221" s="298" t="str">
        <f>IF(I221="","",IF(VLOOKUP(I221,'G-7 WaterC'' Data'!$AK$4:$AM$6,2,FALSE)=0,"Spatial Data Missing ⚠",VLOOKUP(I221,'G-7 WaterC'' Data'!$AK$4:$AM$6,2,FALSE)))</f>
        <v/>
      </c>
      <c r="K221" s="291" t="str">
        <f>IF(I221="","",IF(VLOOKUP(I221,'G-7 WaterC'' Data'!$AK$4:$AM$6,3,FALSE)=0,"Spatial Data Missing ⚠",VLOOKUP(I221,'G-7 WaterC'' Data'!$AK$4:$AM$6,3,FALSE)))</f>
        <v/>
      </c>
      <c r="L221" s="290" t="str">
        <f>IFERROR(INDEX('G-7 WaterC'' Data'!$O$3:$O$7,MATCH(G221,'G-7 WaterC'' Data'!$N$3:$N$7,0)),"")</f>
        <v/>
      </c>
      <c r="M221" s="47"/>
      <c r="N221" s="138"/>
      <c r="O221" s="298" t="str">
        <f t="shared" si="15"/>
        <v/>
      </c>
      <c r="P221" s="311" t="str">
        <f t="shared" si="16"/>
        <v/>
      </c>
      <c r="Q221" s="344" t="str">
        <f>IFERROR(IF(P221="Check Data ⚠","Check Data ⚠",VLOOKUP(P221,'G-4 Temporal multipliers'!$A$4:$C$37,3,FALSE)),"")</f>
        <v/>
      </c>
      <c r="R221" s="290" t="str">
        <f>IF(C221="","",VLOOKUP(C221,'G-7 WaterC'' Data'!$B$4:$G$8,4,FALSE))</f>
        <v/>
      </c>
      <c r="S221" s="298" t="str">
        <f t="shared" si="17"/>
        <v/>
      </c>
      <c r="T221" s="328" t="str">
        <f t="shared" si="18"/>
        <v/>
      </c>
      <c r="U221" s="291" t="str">
        <f>IF(C221="","",VLOOKUP(T221,'G-3 Multipliers'!$P$2:$Q$6,2,FALSE))</f>
        <v/>
      </c>
      <c r="V221" s="96"/>
      <c r="W221" s="291" t="str">
        <f>IF(V221="","",IF(AND(V221="N/A - Culvert",C221&lt;&gt;"Culvert"),"Not possible ▲",IF(AND(C221="Culvert",V221&lt;&gt;"N/A - Culvert"),"Not possible ▲",IF(VLOOKUP(V221,'G-7 WaterC'' Data'!$AA$4:$AB$7,2,FALSE)=0,"Spatial Data Missing ⚠",VLOOKUP(V221,'G-7 WaterC'' Data'!$AA$4:$AB$7,2,FALSE)))))</f>
        <v/>
      </c>
      <c r="X221" s="44"/>
      <c r="Y221" s="291" t="str">
        <f>IF(X221="","",IF(AND(X221="N/A - Culvert", C221&lt;&gt;"Culvert"), "Not possible ▲",IF(AND(C221="Culvert",X221&lt;&gt;"N/A - Culvert"),"Not possible ▲",IF(VLOOKUP(X221,'G-7 WaterC'' Data'!$AD$4:$AE$14,2,FALSE)=0,"Enrcoachment Data Missing ⚠",VLOOKUP(X221,'G-7 WaterC'' Data'!$AD$4:$AE$14,2,FALSE)))))</f>
        <v/>
      </c>
      <c r="Z221" s="332" t="str">
        <f t="shared" si="19"/>
        <v/>
      </c>
      <c r="AA221" s="98"/>
      <c r="AB221" s="99"/>
      <c r="AC221" s="101"/>
      <c r="AH221" s="15" t="str">
        <f>IFERROR(INDEX('G-7 WaterC'' Data'!$AZ$3:$AZ$7,MATCH(C221,'G-7 WaterC'' Data'!$AY$3:$AY$7,0)),"")</f>
        <v/>
      </c>
    </row>
    <row r="222" spans="2:34" ht="14" x14ac:dyDescent="0.3">
      <c r="B222" s="92">
        <v>211</v>
      </c>
      <c r="C222" s="119"/>
      <c r="D222" s="120"/>
      <c r="E222" s="290" t="str">
        <f>IF(C222="","",VLOOKUP(C222,'G-7 WaterC'' Data'!$B$2:$G$8,2,FALSE))</f>
        <v/>
      </c>
      <c r="F222" s="291" t="str">
        <f>IFERROR(VLOOKUP(E222,'G-7 WaterC'' Data'!$C$4:$D$8,2,FALSE),"")</f>
        <v/>
      </c>
      <c r="G222" s="95"/>
      <c r="H222" s="291" t="str">
        <f>IFERROR(INDEX('G-7 WaterC'' Data'!$H$4:$L$8,MATCH(C222,'G-7 WaterC'' Data'!$B$4:$B$8,0),MATCH(G222,'G-7 WaterC'' Data'!$H$3:$L$3,0)),"")</f>
        <v/>
      </c>
      <c r="I222" s="38"/>
      <c r="J222" s="298" t="str">
        <f>IF(I222="","",IF(VLOOKUP(I222,'G-7 WaterC'' Data'!$AK$4:$AM$6,2,FALSE)=0,"Spatial Data Missing ⚠",VLOOKUP(I222,'G-7 WaterC'' Data'!$AK$4:$AM$6,2,FALSE)))</f>
        <v/>
      </c>
      <c r="K222" s="291" t="str">
        <f>IF(I222="","",IF(VLOOKUP(I222,'G-7 WaterC'' Data'!$AK$4:$AM$6,3,FALSE)=0,"Spatial Data Missing ⚠",VLOOKUP(I222,'G-7 WaterC'' Data'!$AK$4:$AM$6,3,FALSE)))</f>
        <v/>
      </c>
      <c r="L222" s="290" t="str">
        <f>IFERROR(INDEX('G-7 WaterC'' Data'!$O$3:$O$7,MATCH(G222,'G-7 WaterC'' Data'!$N$3:$N$7,0)),"")</f>
        <v/>
      </c>
      <c r="M222" s="47"/>
      <c r="N222" s="138"/>
      <c r="O222" s="298" t="str">
        <f t="shared" si="15"/>
        <v/>
      </c>
      <c r="P222" s="311" t="str">
        <f t="shared" si="16"/>
        <v/>
      </c>
      <c r="Q222" s="344" t="str">
        <f>IFERROR(IF(P222="Check Data ⚠","Check Data ⚠",VLOOKUP(P222,'G-4 Temporal multipliers'!$A$4:$C$37,3,FALSE)),"")</f>
        <v/>
      </c>
      <c r="R222" s="290" t="str">
        <f>IF(C222="","",VLOOKUP(C222,'G-7 WaterC'' Data'!$B$4:$G$8,4,FALSE))</f>
        <v/>
      </c>
      <c r="S222" s="298" t="str">
        <f t="shared" si="17"/>
        <v/>
      </c>
      <c r="T222" s="328" t="str">
        <f t="shared" si="18"/>
        <v/>
      </c>
      <c r="U222" s="291" t="str">
        <f>IF(C222="","",VLOOKUP(T222,'G-3 Multipliers'!$P$2:$Q$6,2,FALSE))</f>
        <v/>
      </c>
      <c r="V222" s="96"/>
      <c r="W222" s="291" t="str">
        <f>IF(V222="","",IF(AND(V222="N/A - Culvert",C222&lt;&gt;"Culvert"),"Not possible ▲",IF(AND(C222="Culvert",V222&lt;&gt;"N/A - Culvert"),"Not possible ▲",IF(VLOOKUP(V222,'G-7 WaterC'' Data'!$AA$4:$AB$7,2,FALSE)=0,"Spatial Data Missing ⚠",VLOOKUP(V222,'G-7 WaterC'' Data'!$AA$4:$AB$7,2,FALSE)))))</f>
        <v/>
      </c>
      <c r="X222" s="44"/>
      <c r="Y222" s="291" t="str">
        <f>IF(X222="","",IF(AND(X222="N/A - Culvert", C222&lt;&gt;"Culvert"), "Not possible ▲",IF(AND(C222="Culvert",X222&lt;&gt;"N/A - Culvert"),"Not possible ▲",IF(VLOOKUP(X222,'G-7 WaterC'' Data'!$AD$4:$AE$14,2,FALSE)=0,"Enrcoachment Data Missing ⚠",VLOOKUP(X222,'G-7 WaterC'' Data'!$AD$4:$AE$14,2,FALSE)))))</f>
        <v/>
      </c>
      <c r="Z222" s="332" t="str">
        <f t="shared" si="19"/>
        <v/>
      </c>
      <c r="AA222" s="98"/>
      <c r="AB222" s="99"/>
      <c r="AC222" s="101"/>
      <c r="AH222" s="15" t="str">
        <f>IFERROR(INDEX('G-7 WaterC'' Data'!$AZ$3:$AZ$7,MATCH(C222,'G-7 WaterC'' Data'!$AY$3:$AY$7,0)),"")</f>
        <v/>
      </c>
    </row>
    <row r="223" spans="2:34" ht="14" x14ac:dyDescent="0.3">
      <c r="B223" s="92">
        <v>212</v>
      </c>
      <c r="C223" s="119"/>
      <c r="D223" s="120"/>
      <c r="E223" s="290" t="str">
        <f>IF(C223="","",VLOOKUP(C223,'G-7 WaterC'' Data'!$B$2:$G$8,2,FALSE))</f>
        <v/>
      </c>
      <c r="F223" s="291" t="str">
        <f>IFERROR(VLOOKUP(E223,'G-7 WaterC'' Data'!$C$4:$D$8,2,FALSE),"")</f>
        <v/>
      </c>
      <c r="G223" s="95"/>
      <c r="H223" s="291" t="str">
        <f>IFERROR(INDEX('G-7 WaterC'' Data'!$H$4:$L$8,MATCH(C223,'G-7 WaterC'' Data'!$B$4:$B$8,0),MATCH(G223,'G-7 WaterC'' Data'!$H$3:$L$3,0)),"")</f>
        <v/>
      </c>
      <c r="I223" s="38"/>
      <c r="J223" s="298" t="str">
        <f>IF(I223="","",IF(VLOOKUP(I223,'G-7 WaterC'' Data'!$AK$4:$AM$6,2,FALSE)=0,"Spatial Data Missing ⚠",VLOOKUP(I223,'G-7 WaterC'' Data'!$AK$4:$AM$6,2,FALSE)))</f>
        <v/>
      </c>
      <c r="K223" s="291" t="str">
        <f>IF(I223="","",IF(VLOOKUP(I223,'G-7 WaterC'' Data'!$AK$4:$AM$6,3,FALSE)=0,"Spatial Data Missing ⚠",VLOOKUP(I223,'G-7 WaterC'' Data'!$AK$4:$AM$6,3,FALSE)))</f>
        <v/>
      </c>
      <c r="L223" s="290" t="str">
        <f>IFERROR(INDEX('G-7 WaterC'' Data'!$O$3:$O$7,MATCH(G223,'G-7 WaterC'' Data'!$N$3:$N$7,0)),"")</f>
        <v/>
      </c>
      <c r="M223" s="47"/>
      <c r="N223" s="138"/>
      <c r="O223" s="298" t="str">
        <f t="shared" si="15"/>
        <v/>
      </c>
      <c r="P223" s="311" t="str">
        <f t="shared" si="16"/>
        <v/>
      </c>
      <c r="Q223" s="344" t="str">
        <f>IFERROR(IF(P223="Check Data ⚠","Check Data ⚠",VLOOKUP(P223,'G-4 Temporal multipliers'!$A$4:$C$37,3,FALSE)),"")</f>
        <v/>
      </c>
      <c r="R223" s="290" t="str">
        <f>IF(C223="","",VLOOKUP(C223,'G-7 WaterC'' Data'!$B$4:$G$8,4,FALSE))</f>
        <v/>
      </c>
      <c r="S223" s="298" t="str">
        <f t="shared" si="17"/>
        <v/>
      </c>
      <c r="T223" s="328" t="str">
        <f t="shared" si="18"/>
        <v/>
      </c>
      <c r="U223" s="291" t="str">
        <f>IF(C223="","",VLOOKUP(T223,'G-3 Multipliers'!$P$2:$Q$6,2,FALSE))</f>
        <v/>
      </c>
      <c r="V223" s="96"/>
      <c r="W223" s="291" t="str">
        <f>IF(V223="","",IF(AND(V223="N/A - Culvert",C223&lt;&gt;"Culvert"),"Not possible ▲",IF(AND(C223="Culvert",V223&lt;&gt;"N/A - Culvert"),"Not possible ▲",IF(VLOOKUP(V223,'G-7 WaterC'' Data'!$AA$4:$AB$7,2,FALSE)=0,"Spatial Data Missing ⚠",VLOOKUP(V223,'G-7 WaterC'' Data'!$AA$4:$AB$7,2,FALSE)))))</f>
        <v/>
      </c>
      <c r="X223" s="44"/>
      <c r="Y223" s="291" t="str">
        <f>IF(X223="","",IF(AND(X223="N/A - Culvert", C223&lt;&gt;"Culvert"), "Not possible ▲",IF(AND(C223="Culvert",X223&lt;&gt;"N/A - Culvert"),"Not possible ▲",IF(VLOOKUP(X223,'G-7 WaterC'' Data'!$AD$4:$AE$14,2,FALSE)=0,"Enrcoachment Data Missing ⚠",VLOOKUP(X223,'G-7 WaterC'' Data'!$AD$4:$AE$14,2,FALSE)))))</f>
        <v/>
      </c>
      <c r="Z223" s="332" t="str">
        <f t="shared" si="19"/>
        <v/>
      </c>
      <c r="AA223" s="98"/>
      <c r="AB223" s="99"/>
      <c r="AC223" s="101"/>
      <c r="AH223" s="15" t="str">
        <f>IFERROR(INDEX('G-7 WaterC'' Data'!$AZ$3:$AZ$7,MATCH(C223,'G-7 WaterC'' Data'!$AY$3:$AY$7,0)),"")</f>
        <v/>
      </c>
    </row>
    <row r="224" spans="2:34" ht="14" x14ac:dyDescent="0.3">
      <c r="B224" s="92">
        <v>213</v>
      </c>
      <c r="C224" s="119"/>
      <c r="D224" s="120"/>
      <c r="E224" s="290" t="str">
        <f>IF(C224="","",VLOOKUP(C224,'G-7 WaterC'' Data'!$B$2:$G$8,2,FALSE))</f>
        <v/>
      </c>
      <c r="F224" s="291" t="str">
        <f>IFERROR(VLOOKUP(E224,'G-7 WaterC'' Data'!$C$4:$D$8,2,FALSE),"")</f>
        <v/>
      </c>
      <c r="G224" s="95"/>
      <c r="H224" s="291" t="str">
        <f>IFERROR(INDEX('G-7 WaterC'' Data'!$H$4:$L$8,MATCH(C224,'G-7 WaterC'' Data'!$B$4:$B$8,0),MATCH(G224,'G-7 WaterC'' Data'!$H$3:$L$3,0)),"")</f>
        <v/>
      </c>
      <c r="I224" s="38"/>
      <c r="J224" s="298" t="str">
        <f>IF(I224="","",IF(VLOOKUP(I224,'G-7 WaterC'' Data'!$AK$4:$AM$6,2,FALSE)=0,"Spatial Data Missing ⚠",VLOOKUP(I224,'G-7 WaterC'' Data'!$AK$4:$AM$6,2,FALSE)))</f>
        <v/>
      </c>
      <c r="K224" s="291" t="str">
        <f>IF(I224="","",IF(VLOOKUP(I224,'G-7 WaterC'' Data'!$AK$4:$AM$6,3,FALSE)=0,"Spatial Data Missing ⚠",VLOOKUP(I224,'G-7 WaterC'' Data'!$AK$4:$AM$6,3,FALSE)))</f>
        <v/>
      </c>
      <c r="L224" s="290" t="str">
        <f>IFERROR(INDEX('G-7 WaterC'' Data'!$O$3:$O$7,MATCH(G224,'G-7 WaterC'' Data'!$N$3:$N$7,0)),"")</f>
        <v/>
      </c>
      <c r="M224" s="47"/>
      <c r="N224" s="138"/>
      <c r="O224" s="298" t="str">
        <f t="shared" si="15"/>
        <v/>
      </c>
      <c r="P224" s="311" t="str">
        <f t="shared" si="16"/>
        <v/>
      </c>
      <c r="Q224" s="344" t="str">
        <f>IFERROR(IF(P224="Check Data ⚠","Check Data ⚠",VLOOKUP(P224,'G-4 Temporal multipliers'!$A$4:$C$37,3,FALSE)),"")</f>
        <v/>
      </c>
      <c r="R224" s="290" t="str">
        <f>IF(C224="","",VLOOKUP(C224,'G-7 WaterC'' Data'!$B$4:$G$8,4,FALSE))</f>
        <v/>
      </c>
      <c r="S224" s="298" t="str">
        <f t="shared" si="17"/>
        <v/>
      </c>
      <c r="T224" s="328" t="str">
        <f t="shared" si="18"/>
        <v/>
      </c>
      <c r="U224" s="291" t="str">
        <f>IF(C224="","",VLOOKUP(T224,'G-3 Multipliers'!$P$2:$Q$6,2,FALSE))</f>
        <v/>
      </c>
      <c r="V224" s="96"/>
      <c r="W224" s="291" t="str">
        <f>IF(V224="","",IF(AND(V224="N/A - Culvert",C224&lt;&gt;"Culvert"),"Not possible ▲",IF(AND(C224="Culvert",V224&lt;&gt;"N/A - Culvert"),"Not possible ▲",IF(VLOOKUP(V224,'G-7 WaterC'' Data'!$AA$4:$AB$7,2,FALSE)=0,"Spatial Data Missing ⚠",VLOOKUP(V224,'G-7 WaterC'' Data'!$AA$4:$AB$7,2,FALSE)))))</f>
        <v/>
      </c>
      <c r="X224" s="44"/>
      <c r="Y224" s="291" t="str">
        <f>IF(X224="","",IF(AND(X224="N/A - Culvert", C224&lt;&gt;"Culvert"), "Not possible ▲",IF(AND(C224="Culvert",X224&lt;&gt;"N/A - Culvert"),"Not possible ▲",IF(VLOOKUP(X224,'G-7 WaterC'' Data'!$AD$4:$AE$14,2,FALSE)=0,"Enrcoachment Data Missing ⚠",VLOOKUP(X224,'G-7 WaterC'' Data'!$AD$4:$AE$14,2,FALSE)))))</f>
        <v/>
      </c>
      <c r="Z224" s="332" t="str">
        <f t="shared" si="19"/>
        <v/>
      </c>
      <c r="AA224" s="98"/>
      <c r="AB224" s="99"/>
      <c r="AC224" s="101"/>
      <c r="AH224" s="15" t="str">
        <f>IFERROR(INDEX('G-7 WaterC'' Data'!$AZ$3:$AZ$7,MATCH(C224,'G-7 WaterC'' Data'!$AY$3:$AY$7,0)),"")</f>
        <v/>
      </c>
    </row>
    <row r="225" spans="2:34" ht="14" x14ac:dyDescent="0.3">
      <c r="B225" s="92">
        <v>214</v>
      </c>
      <c r="C225" s="119"/>
      <c r="D225" s="120"/>
      <c r="E225" s="290" t="str">
        <f>IF(C225="","",VLOOKUP(C225,'G-7 WaterC'' Data'!$B$2:$G$8,2,FALSE))</f>
        <v/>
      </c>
      <c r="F225" s="291" t="str">
        <f>IFERROR(VLOOKUP(E225,'G-7 WaterC'' Data'!$C$4:$D$8,2,FALSE),"")</f>
        <v/>
      </c>
      <c r="G225" s="95"/>
      <c r="H225" s="291" t="str">
        <f>IFERROR(INDEX('G-7 WaterC'' Data'!$H$4:$L$8,MATCH(C225,'G-7 WaterC'' Data'!$B$4:$B$8,0),MATCH(G225,'G-7 WaterC'' Data'!$H$3:$L$3,0)),"")</f>
        <v/>
      </c>
      <c r="I225" s="38"/>
      <c r="J225" s="298" t="str">
        <f>IF(I225="","",IF(VLOOKUP(I225,'G-7 WaterC'' Data'!$AK$4:$AM$6,2,FALSE)=0,"Spatial Data Missing ⚠",VLOOKUP(I225,'G-7 WaterC'' Data'!$AK$4:$AM$6,2,FALSE)))</f>
        <v/>
      </c>
      <c r="K225" s="291" t="str">
        <f>IF(I225="","",IF(VLOOKUP(I225,'G-7 WaterC'' Data'!$AK$4:$AM$6,3,FALSE)=0,"Spatial Data Missing ⚠",VLOOKUP(I225,'G-7 WaterC'' Data'!$AK$4:$AM$6,3,FALSE)))</f>
        <v/>
      </c>
      <c r="L225" s="290" t="str">
        <f>IFERROR(INDEX('G-7 WaterC'' Data'!$O$3:$O$7,MATCH(G225,'G-7 WaterC'' Data'!$N$3:$N$7,0)),"")</f>
        <v/>
      </c>
      <c r="M225" s="47"/>
      <c r="N225" s="138"/>
      <c r="O225" s="298" t="str">
        <f t="shared" si="15"/>
        <v/>
      </c>
      <c r="P225" s="311" t="str">
        <f t="shared" si="16"/>
        <v/>
      </c>
      <c r="Q225" s="344" t="str">
        <f>IFERROR(IF(P225="Check Data ⚠","Check Data ⚠",VLOOKUP(P225,'G-4 Temporal multipliers'!$A$4:$C$37,3,FALSE)),"")</f>
        <v/>
      </c>
      <c r="R225" s="290" t="str">
        <f>IF(C225="","",VLOOKUP(C225,'G-7 WaterC'' Data'!$B$4:$G$8,4,FALSE))</f>
        <v/>
      </c>
      <c r="S225" s="298" t="str">
        <f t="shared" si="17"/>
        <v/>
      </c>
      <c r="T225" s="328" t="str">
        <f t="shared" si="18"/>
        <v/>
      </c>
      <c r="U225" s="291" t="str">
        <f>IF(C225="","",VLOOKUP(T225,'G-3 Multipliers'!$P$2:$Q$6,2,FALSE))</f>
        <v/>
      </c>
      <c r="V225" s="96"/>
      <c r="W225" s="291" t="str">
        <f>IF(V225="","",IF(AND(V225="N/A - Culvert",C225&lt;&gt;"Culvert"),"Not possible ▲",IF(AND(C225="Culvert",V225&lt;&gt;"N/A - Culvert"),"Not possible ▲",IF(VLOOKUP(V225,'G-7 WaterC'' Data'!$AA$4:$AB$7,2,FALSE)=0,"Spatial Data Missing ⚠",VLOOKUP(V225,'G-7 WaterC'' Data'!$AA$4:$AB$7,2,FALSE)))))</f>
        <v/>
      </c>
      <c r="X225" s="44"/>
      <c r="Y225" s="291" t="str">
        <f>IF(X225="","",IF(AND(X225="N/A - Culvert", C225&lt;&gt;"Culvert"), "Not possible ▲",IF(AND(C225="Culvert",X225&lt;&gt;"N/A - Culvert"),"Not possible ▲",IF(VLOOKUP(X225,'G-7 WaterC'' Data'!$AD$4:$AE$14,2,FALSE)=0,"Enrcoachment Data Missing ⚠",VLOOKUP(X225,'G-7 WaterC'' Data'!$AD$4:$AE$14,2,FALSE)))))</f>
        <v/>
      </c>
      <c r="Z225" s="332" t="str">
        <f t="shared" si="19"/>
        <v/>
      </c>
      <c r="AA225" s="98"/>
      <c r="AB225" s="99"/>
      <c r="AC225" s="101"/>
      <c r="AH225" s="15" t="str">
        <f>IFERROR(INDEX('G-7 WaterC'' Data'!$AZ$3:$AZ$7,MATCH(C225,'G-7 WaterC'' Data'!$AY$3:$AY$7,0)),"")</f>
        <v/>
      </c>
    </row>
    <row r="226" spans="2:34" ht="14" x14ac:dyDescent="0.3">
      <c r="B226" s="92">
        <v>215</v>
      </c>
      <c r="C226" s="119"/>
      <c r="D226" s="120"/>
      <c r="E226" s="290" t="str">
        <f>IF(C226="","",VLOOKUP(C226,'G-7 WaterC'' Data'!$B$2:$G$8,2,FALSE))</f>
        <v/>
      </c>
      <c r="F226" s="291" t="str">
        <f>IFERROR(VLOOKUP(E226,'G-7 WaterC'' Data'!$C$4:$D$8,2,FALSE),"")</f>
        <v/>
      </c>
      <c r="G226" s="95"/>
      <c r="H226" s="291" t="str">
        <f>IFERROR(INDEX('G-7 WaterC'' Data'!$H$4:$L$8,MATCH(C226,'G-7 WaterC'' Data'!$B$4:$B$8,0),MATCH(G226,'G-7 WaterC'' Data'!$H$3:$L$3,0)),"")</f>
        <v/>
      </c>
      <c r="I226" s="38"/>
      <c r="J226" s="298" t="str">
        <f>IF(I226="","",IF(VLOOKUP(I226,'G-7 WaterC'' Data'!$AK$4:$AM$6,2,FALSE)=0,"Spatial Data Missing ⚠",VLOOKUP(I226,'G-7 WaterC'' Data'!$AK$4:$AM$6,2,FALSE)))</f>
        <v/>
      </c>
      <c r="K226" s="291" t="str">
        <f>IF(I226="","",IF(VLOOKUP(I226,'G-7 WaterC'' Data'!$AK$4:$AM$6,3,FALSE)=0,"Spatial Data Missing ⚠",VLOOKUP(I226,'G-7 WaterC'' Data'!$AK$4:$AM$6,3,FALSE)))</f>
        <v/>
      </c>
      <c r="L226" s="290" t="str">
        <f>IFERROR(INDEX('G-7 WaterC'' Data'!$O$3:$O$7,MATCH(G226,'G-7 WaterC'' Data'!$N$3:$N$7,0)),"")</f>
        <v/>
      </c>
      <c r="M226" s="47"/>
      <c r="N226" s="138"/>
      <c r="O226" s="298" t="str">
        <f t="shared" si="15"/>
        <v/>
      </c>
      <c r="P226" s="311" t="str">
        <f t="shared" si="16"/>
        <v/>
      </c>
      <c r="Q226" s="344" t="str">
        <f>IFERROR(IF(P226="Check Data ⚠","Check Data ⚠",VLOOKUP(P226,'G-4 Temporal multipliers'!$A$4:$C$37,3,FALSE)),"")</f>
        <v/>
      </c>
      <c r="R226" s="290" t="str">
        <f>IF(C226="","",VLOOKUP(C226,'G-7 WaterC'' Data'!$B$4:$G$8,4,FALSE))</f>
        <v/>
      </c>
      <c r="S226" s="298" t="str">
        <f t="shared" si="17"/>
        <v/>
      </c>
      <c r="T226" s="328" t="str">
        <f t="shared" si="18"/>
        <v/>
      </c>
      <c r="U226" s="291" t="str">
        <f>IF(C226="","",VLOOKUP(T226,'G-3 Multipliers'!$P$2:$Q$6,2,FALSE))</f>
        <v/>
      </c>
      <c r="V226" s="96"/>
      <c r="W226" s="291" t="str">
        <f>IF(V226="","",IF(AND(V226="N/A - Culvert",C226&lt;&gt;"Culvert"),"Not possible ▲",IF(AND(C226="Culvert",V226&lt;&gt;"N/A - Culvert"),"Not possible ▲",IF(VLOOKUP(V226,'G-7 WaterC'' Data'!$AA$4:$AB$7,2,FALSE)=0,"Spatial Data Missing ⚠",VLOOKUP(V226,'G-7 WaterC'' Data'!$AA$4:$AB$7,2,FALSE)))))</f>
        <v/>
      </c>
      <c r="X226" s="44"/>
      <c r="Y226" s="291" t="str">
        <f>IF(X226="","",IF(AND(X226="N/A - Culvert", C226&lt;&gt;"Culvert"), "Not possible ▲",IF(AND(C226="Culvert",X226&lt;&gt;"N/A - Culvert"),"Not possible ▲",IF(VLOOKUP(X226,'G-7 WaterC'' Data'!$AD$4:$AE$14,2,FALSE)=0,"Enrcoachment Data Missing ⚠",VLOOKUP(X226,'G-7 WaterC'' Data'!$AD$4:$AE$14,2,FALSE)))))</f>
        <v/>
      </c>
      <c r="Z226" s="332" t="str">
        <f t="shared" si="19"/>
        <v/>
      </c>
      <c r="AA226" s="98"/>
      <c r="AB226" s="99"/>
      <c r="AC226" s="101"/>
      <c r="AH226" s="15" t="str">
        <f>IFERROR(INDEX('G-7 WaterC'' Data'!$AZ$3:$AZ$7,MATCH(C226,'G-7 WaterC'' Data'!$AY$3:$AY$7,0)),"")</f>
        <v/>
      </c>
    </row>
    <row r="227" spans="2:34" ht="14" x14ac:dyDescent="0.3">
      <c r="B227" s="92">
        <v>216</v>
      </c>
      <c r="C227" s="119"/>
      <c r="D227" s="120"/>
      <c r="E227" s="290" t="str">
        <f>IF(C227="","",VLOOKUP(C227,'G-7 WaterC'' Data'!$B$2:$G$8,2,FALSE))</f>
        <v/>
      </c>
      <c r="F227" s="291" t="str">
        <f>IFERROR(VLOOKUP(E227,'G-7 WaterC'' Data'!$C$4:$D$8,2,FALSE),"")</f>
        <v/>
      </c>
      <c r="G227" s="95"/>
      <c r="H227" s="291" t="str">
        <f>IFERROR(INDEX('G-7 WaterC'' Data'!$H$4:$L$8,MATCH(C227,'G-7 WaterC'' Data'!$B$4:$B$8,0),MATCH(G227,'G-7 WaterC'' Data'!$H$3:$L$3,0)),"")</f>
        <v/>
      </c>
      <c r="I227" s="38"/>
      <c r="J227" s="298" t="str">
        <f>IF(I227="","",IF(VLOOKUP(I227,'G-7 WaterC'' Data'!$AK$4:$AM$6,2,FALSE)=0,"Spatial Data Missing ⚠",VLOOKUP(I227,'G-7 WaterC'' Data'!$AK$4:$AM$6,2,FALSE)))</f>
        <v/>
      </c>
      <c r="K227" s="291" t="str">
        <f>IF(I227="","",IF(VLOOKUP(I227,'G-7 WaterC'' Data'!$AK$4:$AM$6,3,FALSE)=0,"Spatial Data Missing ⚠",VLOOKUP(I227,'G-7 WaterC'' Data'!$AK$4:$AM$6,3,FALSE)))</f>
        <v/>
      </c>
      <c r="L227" s="290" t="str">
        <f>IFERROR(INDEX('G-7 WaterC'' Data'!$O$3:$O$7,MATCH(G227,'G-7 WaterC'' Data'!$N$3:$N$7,0)),"")</f>
        <v/>
      </c>
      <c r="M227" s="47"/>
      <c r="N227" s="138"/>
      <c r="O227" s="298" t="str">
        <f t="shared" si="15"/>
        <v/>
      </c>
      <c r="P227" s="311" t="str">
        <f t="shared" si="16"/>
        <v/>
      </c>
      <c r="Q227" s="344" t="str">
        <f>IFERROR(IF(P227="Check Data ⚠","Check Data ⚠",VLOOKUP(P227,'G-4 Temporal multipliers'!$A$4:$C$37,3,FALSE)),"")</f>
        <v/>
      </c>
      <c r="R227" s="290" t="str">
        <f>IF(C227="","",VLOOKUP(C227,'G-7 WaterC'' Data'!$B$4:$G$8,4,FALSE))</f>
        <v/>
      </c>
      <c r="S227" s="298" t="str">
        <f t="shared" si="17"/>
        <v/>
      </c>
      <c r="T227" s="328" t="str">
        <f t="shared" si="18"/>
        <v/>
      </c>
      <c r="U227" s="291" t="str">
        <f>IF(C227="","",VLOOKUP(T227,'G-3 Multipliers'!$P$2:$Q$6,2,FALSE))</f>
        <v/>
      </c>
      <c r="V227" s="96"/>
      <c r="W227" s="291" t="str">
        <f>IF(V227="","",IF(AND(V227="N/A - Culvert",C227&lt;&gt;"Culvert"),"Not possible ▲",IF(AND(C227="Culvert",V227&lt;&gt;"N/A - Culvert"),"Not possible ▲",IF(VLOOKUP(V227,'G-7 WaterC'' Data'!$AA$4:$AB$7,2,FALSE)=0,"Spatial Data Missing ⚠",VLOOKUP(V227,'G-7 WaterC'' Data'!$AA$4:$AB$7,2,FALSE)))))</f>
        <v/>
      </c>
      <c r="X227" s="44"/>
      <c r="Y227" s="291" t="str">
        <f>IF(X227="","",IF(AND(X227="N/A - Culvert", C227&lt;&gt;"Culvert"), "Not possible ▲",IF(AND(C227="Culvert",X227&lt;&gt;"N/A - Culvert"),"Not possible ▲",IF(VLOOKUP(X227,'G-7 WaterC'' Data'!$AD$4:$AE$14,2,FALSE)=0,"Enrcoachment Data Missing ⚠",VLOOKUP(X227,'G-7 WaterC'' Data'!$AD$4:$AE$14,2,FALSE)))))</f>
        <v/>
      </c>
      <c r="Z227" s="332" t="str">
        <f t="shared" si="19"/>
        <v/>
      </c>
      <c r="AA227" s="98"/>
      <c r="AB227" s="99"/>
      <c r="AC227" s="101"/>
      <c r="AH227" s="15" t="str">
        <f>IFERROR(INDEX('G-7 WaterC'' Data'!$AZ$3:$AZ$7,MATCH(C227,'G-7 WaterC'' Data'!$AY$3:$AY$7,0)),"")</f>
        <v/>
      </c>
    </row>
    <row r="228" spans="2:34" ht="14" x14ac:dyDescent="0.3">
      <c r="B228" s="92">
        <v>217</v>
      </c>
      <c r="C228" s="119"/>
      <c r="D228" s="120"/>
      <c r="E228" s="290" t="str">
        <f>IF(C228="","",VLOOKUP(C228,'G-7 WaterC'' Data'!$B$2:$G$8,2,FALSE))</f>
        <v/>
      </c>
      <c r="F228" s="291" t="str">
        <f>IFERROR(VLOOKUP(E228,'G-7 WaterC'' Data'!$C$4:$D$8,2,FALSE),"")</f>
        <v/>
      </c>
      <c r="G228" s="95"/>
      <c r="H228" s="291" t="str">
        <f>IFERROR(INDEX('G-7 WaterC'' Data'!$H$4:$L$8,MATCH(C228,'G-7 WaterC'' Data'!$B$4:$B$8,0),MATCH(G228,'G-7 WaterC'' Data'!$H$3:$L$3,0)),"")</f>
        <v/>
      </c>
      <c r="I228" s="38"/>
      <c r="J228" s="298" t="str">
        <f>IF(I228="","",IF(VLOOKUP(I228,'G-7 WaterC'' Data'!$AK$4:$AM$6,2,FALSE)=0,"Spatial Data Missing ⚠",VLOOKUP(I228,'G-7 WaterC'' Data'!$AK$4:$AM$6,2,FALSE)))</f>
        <v/>
      </c>
      <c r="K228" s="291" t="str">
        <f>IF(I228="","",IF(VLOOKUP(I228,'G-7 WaterC'' Data'!$AK$4:$AM$6,3,FALSE)=0,"Spatial Data Missing ⚠",VLOOKUP(I228,'G-7 WaterC'' Data'!$AK$4:$AM$6,3,FALSE)))</f>
        <v/>
      </c>
      <c r="L228" s="290" t="str">
        <f>IFERROR(INDEX('G-7 WaterC'' Data'!$O$3:$O$7,MATCH(G228,'G-7 WaterC'' Data'!$N$3:$N$7,0)),"")</f>
        <v/>
      </c>
      <c r="M228" s="47"/>
      <c r="N228" s="138"/>
      <c r="O228" s="298" t="str">
        <f t="shared" si="15"/>
        <v/>
      </c>
      <c r="P228" s="311" t="str">
        <f t="shared" si="16"/>
        <v/>
      </c>
      <c r="Q228" s="344" t="str">
        <f>IFERROR(IF(P228="Check Data ⚠","Check Data ⚠",VLOOKUP(P228,'G-4 Temporal multipliers'!$A$4:$C$37,3,FALSE)),"")</f>
        <v/>
      </c>
      <c r="R228" s="290" t="str">
        <f>IF(C228="","",VLOOKUP(C228,'G-7 WaterC'' Data'!$B$4:$G$8,4,FALSE))</f>
        <v/>
      </c>
      <c r="S228" s="298" t="str">
        <f t="shared" si="17"/>
        <v/>
      </c>
      <c r="T228" s="328" t="str">
        <f t="shared" si="18"/>
        <v/>
      </c>
      <c r="U228" s="291" t="str">
        <f>IF(C228="","",VLOOKUP(T228,'G-3 Multipliers'!$P$2:$Q$6,2,FALSE))</f>
        <v/>
      </c>
      <c r="V228" s="96"/>
      <c r="W228" s="291" t="str">
        <f>IF(V228="","",IF(AND(V228="N/A - Culvert",C228&lt;&gt;"Culvert"),"Not possible ▲",IF(AND(C228="Culvert",V228&lt;&gt;"N/A - Culvert"),"Not possible ▲",IF(VLOOKUP(V228,'G-7 WaterC'' Data'!$AA$4:$AB$7,2,FALSE)=0,"Spatial Data Missing ⚠",VLOOKUP(V228,'G-7 WaterC'' Data'!$AA$4:$AB$7,2,FALSE)))))</f>
        <v/>
      </c>
      <c r="X228" s="44"/>
      <c r="Y228" s="291" t="str">
        <f>IF(X228="","",IF(AND(X228="N/A - Culvert", C228&lt;&gt;"Culvert"), "Not possible ▲",IF(AND(C228="Culvert",X228&lt;&gt;"N/A - Culvert"),"Not possible ▲",IF(VLOOKUP(X228,'G-7 WaterC'' Data'!$AD$4:$AE$14,2,FALSE)=0,"Enrcoachment Data Missing ⚠",VLOOKUP(X228,'G-7 WaterC'' Data'!$AD$4:$AE$14,2,FALSE)))))</f>
        <v/>
      </c>
      <c r="Z228" s="332" t="str">
        <f t="shared" si="19"/>
        <v/>
      </c>
      <c r="AA228" s="98"/>
      <c r="AB228" s="99"/>
      <c r="AC228" s="101"/>
      <c r="AH228" s="15" t="str">
        <f>IFERROR(INDEX('G-7 WaterC'' Data'!$AZ$3:$AZ$7,MATCH(C228,'G-7 WaterC'' Data'!$AY$3:$AY$7,0)),"")</f>
        <v/>
      </c>
    </row>
    <row r="229" spans="2:34" ht="14" x14ac:dyDescent="0.3">
      <c r="B229" s="92">
        <v>218</v>
      </c>
      <c r="C229" s="119"/>
      <c r="D229" s="120"/>
      <c r="E229" s="290" t="str">
        <f>IF(C229="","",VLOOKUP(C229,'G-7 WaterC'' Data'!$B$2:$G$8,2,FALSE))</f>
        <v/>
      </c>
      <c r="F229" s="291" t="str">
        <f>IFERROR(VLOOKUP(E229,'G-7 WaterC'' Data'!$C$4:$D$8,2,FALSE),"")</f>
        <v/>
      </c>
      <c r="G229" s="95"/>
      <c r="H229" s="291" t="str">
        <f>IFERROR(INDEX('G-7 WaterC'' Data'!$H$4:$L$8,MATCH(C229,'G-7 WaterC'' Data'!$B$4:$B$8,0),MATCH(G229,'G-7 WaterC'' Data'!$H$3:$L$3,0)),"")</f>
        <v/>
      </c>
      <c r="I229" s="38"/>
      <c r="J229" s="298" t="str">
        <f>IF(I229="","",IF(VLOOKUP(I229,'G-7 WaterC'' Data'!$AK$4:$AM$6,2,FALSE)=0,"Spatial Data Missing ⚠",VLOOKUP(I229,'G-7 WaterC'' Data'!$AK$4:$AM$6,2,FALSE)))</f>
        <v/>
      </c>
      <c r="K229" s="291" t="str">
        <f>IF(I229="","",IF(VLOOKUP(I229,'G-7 WaterC'' Data'!$AK$4:$AM$6,3,FALSE)=0,"Spatial Data Missing ⚠",VLOOKUP(I229,'G-7 WaterC'' Data'!$AK$4:$AM$6,3,FALSE)))</f>
        <v/>
      </c>
      <c r="L229" s="290" t="str">
        <f>IFERROR(INDEX('G-7 WaterC'' Data'!$O$3:$O$7,MATCH(G229,'G-7 WaterC'' Data'!$N$3:$N$7,0)),"")</f>
        <v/>
      </c>
      <c r="M229" s="47"/>
      <c r="N229" s="138"/>
      <c r="O229" s="298" t="str">
        <f t="shared" si="15"/>
        <v/>
      </c>
      <c r="P229" s="311" t="str">
        <f t="shared" si="16"/>
        <v/>
      </c>
      <c r="Q229" s="344" t="str">
        <f>IFERROR(IF(P229="Check Data ⚠","Check Data ⚠",VLOOKUP(P229,'G-4 Temporal multipliers'!$A$4:$C$37,3,FALSE)),"")</f>
        <v/>
      </c>
      <c r="R229" s="290" t="str">
        <f>IF(C229="","",VLOOKUP(C229,'G-7 WaterC'' Data'!$B$4:$G$8,4,FALSE))</f>
        <v/>
      </c>
      <c r="S229" s="298" t="str">
        <f t="shared" si="17"/>
        <v/>
      </c>
      <c r="T229" s="328" t="str">
        <f t="shared" si="18"/>
        <v/>
      </c>
      <c r="U229" s="291" t="str">
        <f>IF(C229="","",VLOOKUP(T229,'G-3 Multipliers'!$P$2:$Q$6,2,FALSE))</f>
        <v/>
      </c>
      <c r="V229" s="96"/>
      <c r="W229" s="291" t="str">
        <f>IF(V229="","",IF(AND(V229="N/A - Culvert",C229&lt;&gt;"Culvert"),"Not possible ▲",IF(AND(C229="Culvert",V229&lt;&gt;"N/A - Culvert"),"Not possible ▲",IF(VLOOKUP(V229,'G-7 WaterC'' Data'!$AA$4:$AB$7,2,FALSE)=0,"Spatial Data Missing ⚠",VLOOKUP(V229,'G-7 WaterC'' Data'!$AA$4:$AB$7,2,FALSE)))))</f>
        <v/>
      </c>
      <c r="X229" s="44"/>
      <c r="Y229" s="291" t="str">
        <f>IF(X229="","",IF(AND(X229="N/A - Culvert", C229&lt;&gt;"Culvert"), "Not possible ▲",IF(AND(C229="Culvert",X229&lt;&gt;"N/A - Culvert"),"Not possible ▲",IF(VLOOKUP(X229,'G-7 WaterC'' Data'!$AD$4:$AE$14,2,FALSE)=0,"Enrcoachment Data Missing ⚠",VLOOKUP(X229,'G-7 WaterC'' Data'!$AD$4:$AE$14,2,FALSE)))))</f>
        <v/>
      </c>
      <c r="Z229" s="332" t="str">
        <f t="shared" si="19"/>
        <v/>
      </c>
      <c r="AA229" s="98"/>
      <c r="AB229" s="99"/>
      <c r="AC229" s="101"/>
      <c r="AH229" s="15" t="str">
        <f>IFERROR(INDEX('G-7 WaterC'' Data'!$AZ$3:$AZ$7,MATCH(C229,'G-7 WaterC'' Data'!$AY$3:$AY$7,0)),"")</f>
        <v/>
      </c>
    </row>
    <row r="230" spans="2:34" ht="14" x14ac:dyDescent="0.3">
      <c r="B230" s="92">
        <v>219</v>
      </c>
      <c r="C230" s="119"/>
      <c r="D230" s="120"/>
      <c r="E230" s="290" t="str">
        <f>IF(C230="","",VLOOKUP(C230,'G-7 WaterC'' Data'!$B$2:$G$8,2,FALSE))</f>
        <v/>
      </c>
      <c r="F230" s="291" t="str">
        <f>IFERROR(VLOOKUP(E230,'G-7 WaterC'' Data'!$C$4:$D$8,2,FALSE),"")</f>
        <v/>
      </c>
      <c r="G230" s="95"/>
      <c r="H230" s="291" t="str">
        <f>IFERROR(INDEX('G-7 WaterC'' Data'!$H$4:$L$8,MATCH(C230,'G-7 WaterC'' Data'!$B$4:$B$8,0),MATCH(G230,'G-7 WaterC'' Data'!$H$3:$L$3,0)),"")</f>
        <v/>
      </c>
      <c r="I230" s="38"/>
      <c r="J230" s="298" t="str">
        <f>IF(I230="","",IF(VLOOKUP(I230,'G-7 WaterC'' Data'!$AK$4:$AM$6,2,FALSE)=0,"Spatial Data Missing ⚠",VLOOKUP(I230,'G-7 WaterC'' Data'!$AK$4:$AM$6,2,FALSE)))</f>
        <v/>
      </c>
      <c r="K230" s="291" t="str">
        <f>IF(I230="","",IF(VLOOKUP(I230,'G-7 WaterC'' Data'!$AK$4:$AM$6,3,FALSE)=0,"Spatial Data Missing ⚠",VLOOKUP(I230,'G-7 WaterC'' Data'!$AK$4:$AM$6,3,FALSE)))</f>
        <v/>
      </c>
      <c r="L230" s="290" t="str">
        <f>IFERROR(INDEX('G-7 WaterC'' Data'!$O$3:$O$7,MATCH(G230,'G-7 WaterC'' Data'!$N$3:$N$7,0)),"")</f>
        <v/>
      </c>
      <c r="M230" s="47"/>
      <c r="N230" s="138"/>
      <c r="O230" s="298" t="str">
        <f t="shared" si="15"/>
        <v/>
      </c>
      <c r="P230" s="311" t="str">
        <f t="shared" si="16"/>
        <v/>
      </c>
      <c r="Q230" s="344" t="str">
        <f>IFERROR(IF(P230="Check Data ⚠","Check Data ⚠",VLOOKUP(P230,'G-4 Temporal multipliers'!$A$4:$C$37,3,FALSE)),"")</f>
        <v/>
      </c>
      <c r="R230" s="290" t="str">
        <f>IF(C230="","",VLOOKUP(C230,'G-7 WaterC'' Data'!$B$4:$G$8,4,FALSE))</f>
        <v/>
      </c>
      <c r="S230" s="298" t="str">
        <f t="shared" si="17"/>
        <v/>
      </c>
      <c r="T230" s="328" t="str">
        <f t="shared" si="18"/>
        <v/>
      </c>
      <c r="U230" s="291" t="str">
        <f>IF(C230="","",VLOOKUP(T230,'G-3 Multipliers'!$P$2:$Q$6,2,FALSE))</f>
        <v/>
      </c>
      <c r="V230" s="96"/>
      <c r="W230" s="291" t="str">
        <f>IF(V230="","",IF(AND(V230="N/A - Culvert",C230&lt;&gt;"Culvert"),"Not possible ▲",IF(AND(C230="Culvert",V230&lt;&gt;"N/A - Culvert"),"Not possible ▲",IF(VLOOKUP(V230,'G-7 WaterC'' Data'!$AA$4:$AB$7,2,FALSE)=0,"Spatial Data Missing ⚠",VLOOKUP(V230,'G-7 WaterC'' Data'!$AA$4:$AB$7,2,FALSE)))))</f>
        <v/>
      </c>
      <c r="X230" s="44"/>
      <c r="Y230" s="291" t="str">
        <f>IF(X230="","",IF(AND(X230="N/A - Culvert", C230&lt;&gt;"Culvert"), "Not possible ▲",IF(AND(C230="Culvert",X230&lt;&gt;"N/A - Culvert"),"Not possible ▲",IF(VLOOKUP(X230,'G-7 WaterC'' Data'!$AD$4:$AE$14,2,FALSE)=0,"Enrcoachment Data Missing ⚠",VLOOKUP(X230,'G-7 WaterC'' Data'!$AD$4:$AE$14,2,FALSE)))))</f>
        <v/>
      </c>
      <c r="Z230" s="332" t="str">
        <f t="shared" si="19"/>
        <v/>
      </c>
      <c r="AA230" s="98"/>
      <c r="AB230" s="99"/>
      <c r="AC230" s="101"/>
      <c r="AH230" s="15" t="str">
        <f>IFERROR(INDEX('G-7 WaterC'' Data'!$AZ$3:$AZ$7,MATCH(C230,'G-7 WaterC'' Data'!$AY$3:$AY$7,0)),"")</f>
        <v/>
      </c>
    </row>
    <row r="231" spans="2:34" ht="14" x14ac:dyDescent="0.3">
      <c r="B231" s="92">
        <v>220</v>
      </c>
      <c r="C231" s="119"/>
      <c r="D231" s="120"/>
      <c r="E231" s="290" t="str">
        <f>IF(C231="","",VLOOKUP(C231,'G-7 WaterC'' Data'!$B$2:$G$8,2,FALSE))</f>
        <v/>
      </c>
      <c r="F231" s="291" t="str">
        <f>IFERROR(VLOOKUP(E231,'G-7 WaterC'' Data'!$C$4:$D$8,2,FALSE),"")</f>
        <v/>
      </c>
      <c r="G231" s="95"/>
      <c r="H231" s="291" t="str">
        <f>IFERROR(INDEX('G-7 WaterC'' Data'!$H$4:$L$8,MATCH(C231,'G-7 WaterC'' Data'!$B$4:$B$8,0),MATCH(G231,'G-7 WaterC'' Data'!$H$3:$L$3,0)),"")</f>
        <v/>
      </c>
      <c r="I231" s="38"/>
      <c r="J231" s="298" t="str">
        <f>IF(I231="","",IF(VLOOKUP(I231,'G-7 WaterC'' Data'!$AK$4:$AM$6,2,FALSE)=0,"Spatial Data Missing ⚠",VLOOKUP(I231,'G-7 WaterC'' Data'!$AK$4:$AM$6,2,FALSE)))</f>
        <v/>
      </c>
      <c r="K231" s="291" t="str">
        <f>IF(I231="","",IF(VLOOKUP(I231,'G-7 WaterC'' Data'!$AK$4:$AM$6,3,FALSE)=0,"Spatial Data Missing ⚠",VLOOKUP(I231,'G-7 WaterC'' Data'!$AK$4:$AM$6,3,FALSE)))</f>
        <v/>
      </c>
      <c r="L231" s="290" t="str">
        <f>IFERROR(INDEX('G-7 WaterC'' Data'!$O$3:$O$7,MATCH(G231,'G-7 WaterC'' Data'!$N$3:$N$7,0)),"")</f>
        <v/>
      </c>
      <c r="M231" s="47"/>
      <c r="N231" s="138"/>
      <c r="O231" s="298" t="str">
        <f t="shared" si="15"/>
        <v/>
      </c>
      <c r="P231" s="311" t="str">
        <f t="shared" si="16"/>
        <v/>
      </c>
      <c r="Q231" s="344" t="str">
        <f>IFERROR(IF(P231="Check Data ⚠","Check Data ⚠",VLOOKUP(P231,'G-4 Temporal multipliers'!$A$4:$C$37,3,FALSE)),"")</f>
        <v/>
      </c>
      <c r="R231" s="290" t="str">
        <f>IF(C231="","",VLOOKUP(C231,'G-7 WaterC'' Data'!$B$4:$G$8,4,FALSE))</f>
        <v/>
      </c>
      <c r="S231" s="298" t="str">
        <f t="shared" si="17"/>
        <v/>
      </c>
      <c r="T231" s="328" t="str">
        <f t="shared" si="18"/>
        <v/>
      </c>
      <c r="U231" s="291" t="str">
        <f>IF(C231="","",VLOOKUP(T231,'G-3 Multipliers'!$P$2:$Q$6,2,FALSE))</f>
        <v/>
      </c>
      <c r="V231" s="96"/>
      <c r="W231" s="291" t="str">
        <f>IF(V231="","",IF(AND(V231="N/A - Culvert",C231&lt;&gt;"Culvert"),"Not possible ▲",IF(AND(C231="Culvert",V231&lt;&gt;"N/A - Culvert"),"Not possible ▲",IF(VLOOKUP(V231,'G-7 WaterC'' Data'!$AA$4:$AB$7,2,FALSE)=0,"Spatial Data Missing ⚠",VLOOKUP(V231,'G-7 WaterC'' Data'!$AA$4:$AB$7,2,FALSE)))))</f>
        <v/>
      </c>
      <c r="X231" s="44"/>
      <c r="Y231" s="291" t="str">
        <f>IF(X231="","",IF(AND(X231="N/A - Culvert", C231&lt;&gt;"Culvert"), "Not possible ▲",IF(AND(C231="Culvert",X231&lt;&gt;"N/A - Culvert"),"Not possible ▲",IF(VLOOKUP(X231,'G-7 WaterC'' Data'!$AD$4:$AE$14,2,FALSE)=0,"Enrcoachment Data Missing ⚠",VLOOKUP(X231,'G-7 WaterC'' Data'!$AD$4:$AE$14,2,FALSE)))))</f>
        <v/>
      </c>
      <c r="Z231" s="332" t="str">
        <f t="shared" si="19"/>
        <v/>
      </c>
      <c r="AA231" s="98"/>
      <c r="AB231" s="99"/>
      <c r="AC231" s="101"/>
      <c r="AH231" s="15" t="str">
        <f>IFERROR(INDEX('G-7 WaterC'' Data'!$AZ$3:$AZ$7,MATCH(C231,'G-7 WaterC'' Data'!$AY$3:$AY$7,0)),"")</f>
        <v/>
      </c>
    </row>
    <row r="232" spans="2:34" ht="14" x14ac:dyDescent="0.3">
      <c r="B232" s="92">
        <v>221</v>
      </c>
      <c r="C232" s="119"/>
      <c r="D232" s="120"/>
      <c r="E232" s="290" t="str">
        <f>IF(C232="","",VLOOKUP(C232,'G-7 WaterC'' Data'!$B$2:$G$8,2,FALSE))</f>
        <v/>
      </c>
      <c r="F232" s="291" t="str">
        <f>IFERROR(VLOOKUP(E232,'G-7 WaterC'' Data'!$C$4:$D$8,2,FALSE),"")</f>
        <v/>
      </c>
      <c r="G232" s="95"/>
      <c r="H232" s="291" t="str">
        <f>IFERROR(INDEX('G-7 WaterC'' Data'!$H$4:$L$8,MATCH(C232,'G-7 WaterC'' Data'!$B$4:$B$8,0),MATCH(G232,'G-7 WaterC'' Data'!$H$3:$L$3,0)),"")</f>
        <v/>
      </c>
      <c r="I232" s="38"/>
      <c r="J232" s="298" t="str">
        <f>IF(I232="","",IF(VLOOKUP(I232,'G-7 WaterC'' Data'!$AK$4:$AM$6,2,FALSE)=0,"Spatial Data Missing ⚠",VLOOKUP(I232,'G-7 WaterC'' Data'!$AK$4:$AM$6,2,FALSE)))</f>
        <v/>
      </c>
      <c r="K232" s="291" t="str">
        <f>IF(I232="","",IF(VLOOKUP(I232,'G-7 WaterC'' Data'!$AK$4:$AM$6,3,FALSE)=0,"Spatial Data Missing ⚠",VLOOKUP(I232,'G-7 WaterC'' Data'!$AK$4:$AM$6,3,FALSE)))</f>
        <v/>
      </c>
      <c r="L232" s="290" t="str">
        <f>IFERROR(INDEX('G-7 WaterC'' Data'!$O$3:$O$7,MATCH(G232,'G-7 WaterC'' Data'!$N$3:$N$7,0)),"")</f>
        <v/>
      </c>
      <c r="M232" s="47"/>
      <c r="N232" s="138"/>
      <c r="O232" s="298" t="str">
        <f t="shared" si="15"/>
        <v/>
      </c>
      <c r="P232" s="311" t="str">
        <f t="shared" si="16"/>
        <v/>
      </c>
      <c r="Q232" s="344" t="str">
        <f>IFERROR(IF(P232="Check Data ⚠","Check Data ⚠",VLOOKUP(P232,'G-4 Temporal multipliers'!$A$4:$C$37,3,FALSE)),"")</f>
        <v/>
      </c>
      <c r="R232" s="290" t="str">
        <f>IF(C232="","",VLOOKUP(C232,'G-7 WaterC'' Data'!$B$4:$G$8,4,FALSE))</f>
        <v/>
      </c>
      <c r="S232" s="298" t="str">
        <f t="shared" si="17"/>
        <v/>
      </c>
      <c r="T232" s="328" t="str">
        <f t="shared" si="18"/>
        <v/>
      </c>
      <c r="U232" s="291" t="str">
        <f>IF(C232="","",VLOOKUP(T232,'G-3 Multipliers'!$P$2:$Q$6,2,FALSE))</f>
        <v/>
      </c>
      <c r="V232" s="96"/>
      <c r="W232" s="291" t="str">
        <f>IF(V232="","",IF(AND(V232="N/A - Culvert",C232&lt;&gt;"Culvert"),"Not possible ▲",IF(AND(C232="Culvert",V232&lt;&gt;"N/A - Culvert"),"Not possible ▲",IF(VLOOKUP(V232,'G-7 WaterC'' Data'!$AA$4:$AB$7,2,FALSE)=0,"Spatial Data Missing ⚠",VLOOKUP(V232,'G-7 WaterC'' Data'!$AA$4:$AB$7,2,FALSE)))))</f>
        <v/>
      </c>
      <c r="X232" s="44"/>
      <c r="Y232" s="291" t="str">
        <f>IF(X232="","",IF(AND(X232="N/A - Culvert", C232&lt;&gt;"Culvert"), "Not possible ▲",IF(AND(C232="Culvert",X232&lt;&gt;"N/A - Culvert"),"Not possible ▲",IF(VLOOKUP(X232,'G-7 WaterC'' Data'!$AD$4:$AE$14,2,FALSE)=0,"Enrcoachment Data Missing ⚠",VLOOKUP(X232,'G-7 WaterC'' Data'!$AD$4:$AE$14,2,FALSE)))))</f>
        <v/>
      </c>
      <c r="Z232" s="332" t="str">
        <f t="shared" si="19"/>
        <v/>
      </c>
      <c r="AA232" s="98"/>
      <c r="AB232" s="99"/>
      <c r="AC232" s="101"/>
      <c r="AH232" s="15" t="str">
        <f>IFERROR(INDEX('G-7 WaterC'' Data'!$AZ$3:$AZ$7,MATCH(C232,'G-7 WaterC'' Data'!$AY$3:$AY$7,0)),"")</f>
        <v/>
      </c>
    </row>
    <row r="233" spans="2:34" ht="14" x14ac:dyDescent="0.3">
      <c r="B233" s="92">
        <v>222</v>
      </c>
      <c r="C233" s="119"/>
      <c r="D233" s="120"/>
      <c r="E233" s="290" t="str">
        <f>IF(C233="","",VLOOKUP(C233,'G-7 WaterC'' Data'!$B$2:$G$8,2,FALSE))</f>
        <v/>
      </c>
      <c r="F233" s="291" t="str">
        <f>IFERROR(VLOOKUP(E233,'G-7 WaterC'' Data'!$C$4:$D$8,2,FALSE),"")</f>
        <v/>
      </c>
      <c r="G233" s="95"/>
      <c r="H233" s="291" t="str">
        <f>IFERROR(INDEX('G-7 WaterC'' Data'!$H$4:$L$8,MATCH(C233,'G-7 WaterC'' Data'!$B$4:$B$8,0),MATCH(G233,'G-7 WaterC'' Data'!$H$3:$L$3,0)),"")</f>
        <v/>
      </c>
      <c r="I233" s="38"/>
      <c r="J233" s="298" t="str">
        <f>IF(I233="","",IF(VLOOKUP(I233,'G-7 WaterC'' Data'!$AK$4:$AM$6,2,FALSE)=0,"Spatial Data Missing ⚠",VLOOKUP(I233,'G-7 WaterC'' Data'!$AK$4:$AM$6,2,FALSE)))</f>
        <v/>
      </c>
      <c r="K233" s="291" t="str">
        <f>IF(I233="","",IF(VLOOKUP(I233,'G-7 WaterC'' Data'!$AK$4:$AM$6,3,FALSE)=0,"Spatial Data Missing ⚠",VLOOKUP(I233,'G-7 WaterC'' Data'!$AK$4:$AM$6,3,FALSE)))</f>
        <v/>
      </c>
      <c r="L233" s="290" t="str">
        <f>IFERROR(INDEX('G-7 WaterC'' Data'!$O$3:$O$7,MATCH(G233,'G-7 WaterC'' Data'!$N$3:$N$7,0)),"")</f>
        <v/>
      </c>
      <c r="M233" s="47"/>
      <c r="N233" s="138"/>
      <c r="O233" s="298" t="str">
        <f t="shared" si="15"/>
        <v/>
      </c>
      <c r="P233" s="311" t="str">
        <f t="shared" si="16"/>
        <v/>
      </c>
      <c r="Q233" s="344" t="str">
        <f>IFERROR(IF(P233="Check Data ⚠","Check Data ⚠",VLOOKUP(P233,'G-4 Temporal multipliers'!$A$4:$C$37,3,FALSE)),"")</f>
        <v/>
      </c>
      <c r="R233" s="290" t="str">
        <f>IF(C233="","",VLOOKUP(C233,'G-7 WaterC'' Data'!$B$4:$G$8,4,FALSE))</f>
        <v/>
      </c>
      <c r="S233" s="298" t="str">
        <f t="shared" si="17"/>
        <v/>
      </c>
      <c r="T233" s="328" t="str">
        <f t="shared" si="18"/>
        <v/>
      </c>
      <c r="U233" s="291" t="str">
        <f>IF(C233="","",VLOOKUP(T233,'G-3 Multipliers'!$P$2:$Q$6,2,FALSE))</f>
        <v/>
      </c>
      <c r="V233" s="96"/>
      <c r="W233" s="291" t="str">
        <f>IF(V233="","",IF(AND(V233="N/A - Culvert",C233&lt;&gt;"Culvert"),"Not possible ▲",IF(AND(C233="Culvert",V233&lt;&gt;"N/A - Culvert"),"Not possible ▲",IF(VLOOKUP(V233,'G-7 WaterC'' Data'!$AA$4:$AB$7,2,FALSE)=0,"Spatial Data Missing ⚠",VLOOKUP(V233,'G-7 WaterC'' Data'!$AA$4:$AB$7,2,FALSE)))))</f>
        <v/>
      </c>
      <c r="X233" s="44"/>
      <c r="Y233" s="291" t="str">
        <f>IF(X233="","",IF(AND(X233="N/A - Culvert", C233&lt;&gt;"Culvert"), "Not possible ▲",IF(AND(C233="Culvert",X233&lt;&gt;"N/A - Culvert"),"Not possible ▲",IF(VLOOKUP(X233,'G-7 WaterC'' Data'!$AD$4:$AE$14,2,FALSE)=0,"Enrcoachment Data Missing ⚠",VLOOKUP(X233,'G-7 WaterC'' Data'!$AD$4:$AE$14,2,FALSE)))))</f>
        <v/>
      </c>
      <c r="Z233" s="332" t="str">
        <f t="shared" si="19"/>
        <v/>
      </c>
      <c r="AA233" s="98"/>
      <c r="AB233" s="99"/>
      <c r="AC233" s="101"/>
      <c r="AH233" s="15" t="str">
        <f>IFERROR(INDEX('G-7 WaterC'' Data'!$AZ$3:$AZ$7,MATCH(C233,'G-7 WaterC'' Data'!$AY$3:$AY$7,0)),"")</f>
        <v/>
      </c>
    </row>
    <row r="234" spans="2:34" ht="14" x14ac:dyDescent="0.3">
      <c r="B234" s="92">
        <v>223</v>
      </c>
      <c r="C234" s="119"/>
      <c r="D234" s="120"/>
      <c r="E234" s="290" t="str">
        <f>IF(C234="","",VLOOKUP(C234,'G-7 WaterC'' Data'!$B$2:$G$8,2,FALSE))</f>
        <v/>
      </c>
      <c r="F234" s="291" t="str">
        <f>IFERROR(VLOOKUP(E234,'G-7 WaterC'' Data'!$C$4:$D$8,2,FALSE),"")</f>
        <v/>
      </c>
      <c r="G234" s="95"/>
      <c r="H234" s="291" t="str">
        <f>IFERROR(INDEX('G-7 WaterC'' Data'!$H$4:$L$8,MATCH(C234,'G-7 WaterC'' Data'!$B$4:$B$8,0),MATCH(G234,'G-7 WaterC'' Data'!$H$3:$L$3,0)),"")</f>
        <v/>
      </c>
      <c r="I234" s="38"/>
      <c r="J234" s="298" t="str">
        <f>IF(I234="","",IF(VLOOKUP(I234,'G-7 WaterC'' Data'!$AK$4:$AM$6,2,FALSE)=0,"Spatial Data Missing ⚠",VLOOKUP(I234,'G-7 WaterC'' Data'!$AK$4:$AM$6,2,FALSE)))</f>
        <v/>
      </c>
      <c r="K234" s="291" t="str">
        <f>IF(I234="","",IF(VLOOKUP(I234,'G-7 WaterC'' Data'!$AK$4:$AM$6,3,FALSE)=0,"Spatial Data Missing ⚠",VLOOKUP(I234,'G-7 WaterC'' Data'!$AK$4:$AM$6,3,FALSE)))</f>
        <v/>
      </c>
      <c r="L234" s="290" t="str">
        <f>IFERROR(INDEX('G-7 WaterC'' Data'!$O$3:$O$7,MATCH(G234,'G-7 WaterC'' Data'!$N$3:$N$7,0)),"")</f>
        <v/>
      </c>
      <c r="M234" s="47"/>
      <c r="N234" s="138"/>
      <c r="O234" s="298" t="str">
        <f t="shared" si="15"/>
        <v/>
      </c>
      <c r="P234" s="311" t="str">
        <f t="shared" si="16"/>
        <v/>
      </c>
      <c r="Q234" s="344" t="str">
        <f>IFERROR(IF(P234="Check Data ⚠","Check Data ⚠",VLOOKUP(P234,'G-4 Temporal multipliers'!$A$4:$C$37,3,FALSE)),"")</f>
        <v/>
      </c>
      <c r="R234" s="290" t="str">
        <f>IF(C234="","",VLOOKUP(C234,'G-7 WaterC'' Data'!$B$4:$G$8,4,FALSE))</f>
        <v/>
      </c>
      <c r="S234" s="298" t="str">
        <f t="shared" si="17"/>
        <v/>
      </c>
      <c r="T234" s="328" t="str">
        <f t="shared" si="18"/>
        <v/>
      </c>
      <c r="U234" s="291" t="str">
        <f>IF(C234="","",VLOOKUP(T234,'G-3 Multipliers'!$P$2:$Q$6,2,FALSE))</f>
        <v/>
      </c>
      <c r="V234" s="96"/>
      <c r="W234" s="291" t="str">
        <f>IF(V234="","",IF(AND(V234="N/A - Culvert",C234&lt;&gt;"Culvert"),"Not possible ▲",IF(AND(C234="Culvert",V234&lt;&gt;"N/A - Culvert"),"Not possible ▲",IF(VLOOKUP(V234,'G-7 WaterC'' Data'!$AA$4:$AB$7,2,FALSE)=0,"Spatial Data Missing ⚠",VLOOKUP(V234,'G-7 WaterC'' Data'!$AA$4:$AB$7,2,FALSE)))))</f>
        <v/>
      </c>
      <c r="X234" s="44"/>
      <c r="Y234" s="291" t="str">
        <f>IF(X234="","",IF(AND(X234="N/A - Culvert", C234&lt;&gt;"Culvert"), "Not possible ▲",IF(AND(C234="Culvert",X234&lt;&gt;"N/A - Culvert"),"Not possible ▲",IF(VLOOKUP(X234,'G-7 WaterC'' Data'!$AD$4:$AE$14,2,FALSE)=0,"Enrcoachment Data Missing ⚠",VLOOKUP(X234,'G-7 WaterC'' Data'!$AD$4:$AE$14,2,FALSE)))))</f>
        <v/>
      </c>
      <c r="Z234" s="332" t="str">
        <f t="shared" si="19"/>
        <v/>
      </c>
      <c r="AA234" s="98"/>
      <c r="AB234" s="99"/>
      <c r="AC234" s="101"/>
      <c r="AH234" s="15" t="str">
        <f>IFERROR(INDEX('G-7 WaterC'' Data'!$AZ$3:$AZ$7,MATCH(C234,'G-7 WaterC'' Data'!$AY$3:$AY$7,0)),"")</f>
        <v/>
      </c>
    </row>
    <row r="235" spans="2:34" ht="14" x14ac:dyDescent="0.3">
      <c r="B235" s="92">
        <v>224</v>
      </c>
      <c r="C235" s="119"/>
      <c r="D235" s="120"/>
      <c r="E235" s="290" t="str">
        <f>IF(C235="","",VLOOKUP(C235,'G-7 WaterC'' Data'!$B$2:$G$8,2,FALSE))</f>
        <v/>
      </c>
      <c r="F235" s="291" t="str">
        <f>IFERROR(VLOOKUP(E235,'G-7 WaterC'' Data'!$C$4:$D$8,2,FALSE),"")</f>
        <v/>
      </c>
      <c r="G235" s="95"/>
      <c r="H235" s="291" t="str">
        <f>IFERROR(INDEX('G-7 WaterC'' Data'!$H$4:$L$8,MATCH(C235,'G-7 WaterC'' Data'!$B$4:$B$8,0),MATCH(G235,'G-7 WaterC'' Data'!$H$3:$L$3,0)),"")</f>
        <v/>
      </c>
      <c r="I235" s="38"/>
      <c r="J235" s="298" t="str">
        <f>IF(I235="","",IF(VLOOKUP(I235,'G-7 WaterC'' Data'!$AK$4:$AM$6,2,FALSE)=0,"Spatial Data Missing ⚠",VLOOKUP(I235,'G-7 WaterC'' Data'!$AK$4:$AM$6,2,FALSE)))</f>
        <v/>
      </c>
      <c r="K235" s="291" t="str">
        <f>IF(I235="","",IF(VLOOKUP(I235,'G-7 WaterC'' Data'!$AK$4:$AM$6,3,FALSE)=0,"Spatial Data Missing ⚠",VLOOKUP(I235,'G-7 WaterC'' Data'!$AK$4:$AM$6,3,FALSE)))</f>
        <v/>
      </c>
      <c r="L235" s="290" t="str">
        <f>IFERROR(INDEX('G-7 WaterC'' Data'!$O$3:$O$7,MATCH(G235,'G-7 WaterC'' Data'!$N$3:$N$7,0)),"")</f>
        <v/>
      </c>
      <c r="M235" s="47"/>
      <c r="N235" s="138"/>
      <c r="O235" s="298" t="str">
        <f t="shared" si="15"/>
        <v/>
      </c>
      <c r="P235" s="311" t="str">
        <f t="shared" si="16"/>
        <v/>
      </c>
      <c r="Q235" s="344" t="str">
        <f>IFERROR(IF(P235="Check Data ⚠","Check Data ⚠",VLOOKUP(P235,'G-4 Temporal multipliers'!$A$4:$C$37,3,FALSE)),"")</f>
        <v/>
      </c>
      <c r="R235" s="290" t="str">
        <f>IF(C235="","",VLOOKUP(C235,'G-7 WaterC'' Data'!$B$4:$G$8,4,FALSE))</f>
        <v/>
      </c>
      <c r="S235" s="298" t="str">
        <f t="shared" si="17"/>
        <v/>
      </c>
      <c r="T235" s="328" t="str">
        <f t="shared" si="18"/>
        <v/>
      </c>
      <c r="U235" s="291" t="str">
        <f>IF(C235="","",VLOOKUP(T235,'G-3 Multipliers'!$P$2:$Q$6,2,FALSE))</f>
        <v/>
      </c>
      <c r="V235" s="96"/>
      <c r="W235" s="291" t="str">
        <f>IF(V235="","",IF(AND(V235="N/A - Culvert",C235&lt;&gt;"Culvert"),"Not possible ▲",IF(AND(C235="Culvert",V235&lt;&gt;"N/A - Culvert"),"Not possible ▲",IF(VLOOKUP(V235,'G-7 WaterC'' Data'!$AA$4:$AB$7,2,FALSE)=0,"Spatial Data Missing ⚠",VLOOKUP(V235,'G-7 WaterC'' Data'!$AA$4:$AB$7,2,FALSE)))))</f>
        <v/>
      </c>
      <c r="X235" s="44"/>
      <c r="Y235" s="291" t="str">
        <f>IF(X235="","",IF(AND(X235="N/A - Culvert", C235&lt;&gt;"Culvert"), "Not possible ▲",IF(AND(C235="Culvert",X235&lt;&gt;"N/A - Culvert"),"Not possible ▲",IF(VLOOKUP(X235,'G-7 WaterC'' Data'!$AD$4:$AE$14,2,FALSE)=0,"Enrcoachment Data Missing ⚠",VLOOKUP(X235,'G-7 WaterC'' Data'!$AD$4:$AE$14,2,FALSE)))))</f>
        <v/>
      </c>
      <c r="Z235" s="332" t="str">
        <f t="shared" si="19"/>
        <v/>
      </c>
      <c r="AA235" s="98"/>
      <c r="AB235" s="99"/>
      <c r="AC235" s="101"/>
      <c r="AH235" s="15" t="str">
        <f>IFERROR(INDEX('G-7 WaterC'' Data'!$AZ$3:$AZ$7,MATCH(C235,'G-7 WaterC'' Data'!$AY$3:$AY$7,0)),"")</f>
        <v/>
      </c>
    </row>
    <row r="236" spans="2:34" ht="14" x14ac:dyDescent="0.3">
      <c r="B236" s="92">
        <v>225</v>
      </c>
      <c r="C236" s="119"/>
      <c r="D236" s="120"/>
      <c r="E236" s="290" t="str">
        <f>IF(C236="","",VLOOKUP(C236,'G-7 WaterC'' Data'!$B$2:$G$8,2,FALSE))</f>
        <v/>
      </c>
      <c r="F236" s="291" t="str">
        <f>IFERROR(VLOOKUP(E236,'G-7 WaterC'' Data'!$C$4:$D$8,2,FALSE),"")</f>
        <v/>
      </c>
      <c r="G236" s="95"/>
      <c r="H236" s="291" t="str">
        <f>IFERROR(INDEX('G-7 WaterC'' Data'!$H$4:$L$8,MATCH(C236,'G-7 WaterC'' Data'!$B$4:$B$8,0),MATCH(G236,'G-7 WaterC'' Data'!$H$3:$L$3,0)),"")</f>
        <v/>
      </c>
      <c r="I236" s="38"/>
      <c r="J236" s="298" t="str">
        <f>IF(I236="","",IF(VLOOKUP(I236,'G-7 WaterC'' Data'!$AK$4:$AM$6,2,FALSE)=0,"Spatial Data Missing ⚠",VLOOKUP(I236,'G-7 WaterC'' Data'!$AK$4:$AM$6,2,FALSE)))</f>
        <v/>
      </c>
      <c r="K236" s="291" t="str">
        <f>IF(I236="","",IF(VLOOKUP(I236,'G-7 WaterC'' Data'!$AK$4:$AM$6,3,FALSE)=0,"Spatial Data Missing ⚠",VLOOKUP(I236,'G-7 WaterC'' Data'!$AK$4:$AM$6,3,FALSE)))</f>
        <v/>
      </c>
      <c r="L236" s="290" t="str">
        <f>IFERROR(INDEX('G-7 WaterC'' Data'!$O$3:$O$7,MATCH(G236,'G-7 WaterC'' Data'!$N$3:$N$7,0)),"")</f>
        <v/>
      </c>
      <c r="M236" s="47"/>
      <c r="N236" s="138"/>
      <c r="O236" s="298" t="str">
        <f t="shared" si="15"/>
        <v/>
      </c>
      <c r="P236" s="311" t="str">
        <f t="shared" si="16"/>
        <v/>
      </c>
      <c r="Q236" s="344" t="str">
        <f>IFERROR(IF(P236="Check Data ⚠","Check Data ⚠",VLOOKUP(P236,'G-4 Temporal multipliers'!$A$4:$C$37,3,FALSE)),"")</f>
        <v/>
      </c>
      <c r="R236" s="290" t="str">
        <f>IF(C236="","",VLOOKUP(C236,'G-7 WaterC'' Data'!$B$4:$G$8,4,FALSE))</f>
        <v/>
      </c>
      <c r="S236" s="298" t="str">
        <f t="shared" si="17"/>
        <v/>
      </c>
      <c r="T236" s="328" t="str">
        <f t="shared" si="18"/>
        <v/>
      </c>
      <c r="U236" s="291" t="str">
        <f>IF(C236="","",VLOOKUP(T236,'G-3 Multipliers'!$P$2:$Q$6,2,FALSE))</f>
        <v/>
      </c>
      <c r="V236" s="96"/>
      <c r="W236" s="291" t="str">
        <f>IF(V236="","",IF(AND(V236="N/A - Culvert",C236&lt;&gt;"Culvert"),"Not possible ▲",IF(AND(C236="Culvert",V236&lt;&gt;"N/A - Culvert"),"Not possible ▲",IF(VLOOKUP(V236,'G-7 WaterC'' Data'!$AA$4:$AB$7,2,FALSE)=0,"Spatial Data Missing ⚠",VLOOKUP(V236,'G-7 WaterC'' Data'!$AA$4:$AB$7,2,FALSE)))))</f>
        <v/>
      </c>
      <c r="X236" s="44"/>
      <c r="Y236" s="291" t="str">
        <f>IF(X236="","",IF(AND(X236="N/A - Culvert", C236&lt;&gt;"Culvert"), "Not possible ▲",IF(AND(C236="Culvert",X236&lt;&gt;"N/A - Culvert"),"Not possible ▲",IF(VLOOKUP(X236,'G-7 WaterC'' Data'!$AD$4:$AE$14,2,FALSE)=0,"Enrcoachment Data Missing ⚠",VLOOKUP(X236,'G-7 WaterC'' Data'!$AD$4:$AE$14,2,FALSE)))))</f>
        <v/>
      </c>
      <c r="Z236" s="332" t="str">
        <f t="shared" si="19"/>
        <v/>
      </c>
      <c r="AA236" s="98"/>
      <c r="AB236" s="99"/>
      <c r="AC236" s="101"/>
      <c r="AH236" s="15" t="str">
        <f>IFERROR(INDEX('G-7 WaterC'' Data'!$AZ$3:$AZ$7,MATCH(C236,'G-7 WaterC'' Data'!$AY$3:$AY$7,0)),"")</f>
        <v/>
      </c>
    </row>
    <row r="237" spans="2:34" ht="14" x14ac:dyDescent="0.3">
      <c r="B237" s="92">
        <v>226</v>
      </c>
      <c r="C237" s="119"/>
      <c r="D237" s="120"/>
      <c r="E237" s="290" t="str">
        <f>IF(C237="","",VLOOKUP(C237,'G-7 WaterC'' Data'!$B$2:$G$8,2,FALSE))</f>
        <v/>
      </c>
      <c r="F237" s="291" t="str">
        <f>IFERROR(VLOOKUP(E237,'G-7 WaterC'' Data'!$C$4:$D$8,2,FALSE),"")</f>
        <v/>
      </c>
      <c r="G237" s="95"/>
      <c r="H237" s="291" t="str">
        <f>IFERROR(INDEX('G-7 WaterC'' Data'!$H$4:$L$8,MATCH(C237,'G-7 WaterC'' Data'!$B$4:$B$8,0),MATCH(G237,'G-7 WaterC'' Data'!$H$3:$L$3,0)),"")</f>
        <v/>
      </c>
      <c r="I237" s="38"/>
      <c r="J237" s="298" t="str">
        <f>IF(I237="","",IF(VLOOKUP(I237,'G-7 WaterC'' Data'!$AK$4:$AM$6,2,FALSE)=0,"Spatial Data Missing ⚠",VLOOKUP(I237,'G-7 WaterC'' Data'!$AK$4:$AM$6,2,FALSE)))</f>
        <v/>
      </c>
      <c r="K237" s="291" t="str">
        <f>IF(I237="","",IF(VLOOKUP(I237,'G-7 WaterC'' Data'!$AK$4:$AM$6,3,FALSE)=0,"Spatial Data Missing ⚠",VLOOKUP(I237,'G-7 WaterC'' Data'!$AK$4:$AM$6,3,FALSE)))</f>
        <v/>
      </c>
      <c r="L237" s="290" t="str">
        <f>IFERROR(INDEX('G-7 WaterC'' Data'!$O$3:$O$7,MATCH(G237,'G-7 WaterC'' Data'!$N$3:$N$7,0)),"")</f>
        <v/>
      </c>
      <c r="M237" s="47"/>
      <c r="N237" s="138"/>
      <c r="O237" s="298" t="str">
        <f t="shared" si="15"/>
        <v/>
      </c>
      <c r="P237" s="311" t="str">
        <f t="shared" si="16"/>
        <v/>
      </c>
      <c r="Q237" s="344" t="str">
        <f>IFERROR(IF(P237="Check Data ⚠","Check Data ⚠",VLOOKUP(P237,'G-4 Temporal multipliers'!$A$4:$C$37,3,FALSE)),"")</f>
        <v/>
      </c>
      <c r="R237" s="290" t="str">
        <f>IF(C237="","",VLOOKUP(C237,'G-7 WaterC'' Data'!$B$4:$G$8,4,FALSE))</f>
        <v/>
      </c>
      <c r="S237" s="298" t="str">
        <f t="shared" si="17"/>
        <v/>
      </c>
      <c r="T237" s="328" t="str">
        <f t="shared" si="18"/>
        <v/>
      </c>
      <c r="U237" s="291" t="str">
        <f>IF(C237="","",VLOOKUP(T237,'G-3 Multipliers'!$P$2:$Q$6,2,FALSE))</f>
        <v/>
      </c>
      <c r="V237" s="96"/>
      <c r="W237" s="291" t="str">
        <f>IF(V237="","",IF(AND(V237="N/A - Culvert",C237&lt;&gt;"Culvert"),"Not possible ▲",IF(AND(C237="Culvert",V237&lt;&gt;"N/A - Culvert"),"Not possible ▲",IF(VLOOKUP(V237,'G-7 WaterC'' Data'!$AA$4:$AB$7,2,FALSE)=0,"Spatial Data Missing ⚠",VLOOKUP(V237,'G-7 WaterC'' Data'!$AA$4:$AB$7,2,FALSE)))))</f>
        <v/>
      </c>
      <c r="X237" s="44"/>
      <c r="Y237" s="291" t="str">
        <f>IF(X237="","",IF(AND(X237="N/A - Culvert", C237&lt;&gt;"Culvert"), "Not possible ▲",IF(AND(C237="Culvert",X237&lt;&gt;"N/A - Culvert"),"Not possible ▲",IF(VLOOKUP(X237,'G-7 WaterC'' Data'!$AD$4:$AE$14,2,FALSE)=0,"Enrcoachment Data Missing ⚠",VLOOKUP(X237,'G-7 WaterC'' Data'!$AD$4:$AE$14,2,FALSE)))))</f>
        <v/>
      </c>
      <c r="Z237" s="332" t="str">
        <f t="shared" si="19"/>
        <v/>
      </c>
      <c r="AA237" s="98"/>
      <c r="AB237" s="99"/>
      <c r="AC237" s="101"/>
      <c r="AH237" s="15" t="str">
        <f>IFERROR(INDEX('G-7 WaterC'' Data'!$AZ$3:$AZ$7,MATCH(C237,'G-7 WaterC'' Data'!$AY$3:$AY$7,0)),"")</f>
        <v/>
      </c>
    </row>
    <row r="238" spans="2:34" ht="14" x14ac:dyDescent="0.3">
      <c r="B238" s="92">
        <v>227</v>
      </c>
      <c r="C238" s="119"/>
      <c r="D238" s="120"/>
      <c r="E238" s="290" t="str">
        <f>IF(C238="","",VLOOKUP(C238,'G-7 WaterC'' Data'!$B$2:$G$8,2,FALSE))</f>
        <v/>
      </c>
      <c r="F238" s="291" t="str">
        <f>IFERROR(VLOOKUP(E238,'G-7 WaterC'' Data'!$C$4:$D$8,2,FALSE),"")</f>
        <v/>
      </c>
      <c r="G238" s="95"/>
      <c r="H238" s="291" t="str">
        <f>IFERROR(INDEX('G-7 WaterC'' Data'!$H$4:$L$8,MATCH(C238,'G-7 WaterC'' Data'!$B$4:$B$8,0),MATCH(G238,'G-7 WaterC'' Data'!$H$3:$L$3,0)),"")</f>
        <v/>
      </c>
      <c r="I238" s="38"/>
      <c r="J238" s="298" t="str">
        <f>IF(I238="","",IF(VLOOKUP(I238,'G-7 WaterC'' Data'!$AK$4:$AM$6,2,FALSE)=0,"Spatial Data Missing ⚠",VLOOKUP(I238,'G-7 WaterC'' Data'!$AK$4:$AM$6,2,FALSE)))</f>
        <v/>
      </c>
      <c r="K238" s="291" t="str">
        <f>IF(I238="","",IF(VLOOKUP(I238,'G-7 WaterC'' Data'!$AK$4:$AM$6,3,FALSE)=0,"Spatial Data Missing ⚠",VLOOKUP(I238,'G-7 WaterC'' Data'!$AK$4:$AM$6,3,FALSE)))</f>
        <v/>
      </c>
      <c r="L238" s="290" t="str">
        <f>IFERROR(INDEX('G-7 WaterC'' Data'!$O$3:$O$7,MATCH(G238,'G-7 WaterC'' Data'!$N$3:$N$7,0)),"")</f>
        <v/>
      </c>
      <c r="M238" s="47"/>
      <c r="N238" s="138"/>
      <c r="O238" s="298" t="str">
        <f t="shared" si="15"/>
        <v/>
      </c>
      <c r="P238" s="311" t="str">
        <f t="shared" si="16"/>
        <v/>
      </c>
      <c r="Q238" s="344" t="str">
        <f>IFERROR(IF(P238="Check Data ⚠","Check Data ⚠",VLOOKUP(P238,'G-4 Temporal multipliers'!$A$4:$C$37,3,FALSE)),"")</f>
        <v/>
      </c>
      <c r="R238" s="290" t="str">
        <f>IF(C238="","",VLOOKUP(C238,'G-7 WaterC'' Data'!$B$4:$G$8,4,FALSE))</f>
        <v/>
      </c>
      <c r="S238" s="298" t="str">
        <f t="shared" si="17"/>
        <v/>
      </c>
      <c r="T238" s="328" t="str">
        <f t="shared" si="18"/>
        <v/>
      </c>
      <c r="U238" s="291" t="str">
        <f>IF(C238="","",VLOOKUP(T238,'G-3 Multipliers'!$P$2:$Q$6,2,FALSE))</f>
        <v/>
      </c>
      <c r="V238" s="96"/>
      <c r="W238" s="291" t="str">
        <f>IF(V238="","",IF(AND(V238="N/A - Culvert",C238&lt;&gt;"Culvert"),"Not possible ▲",IF(AND(C238="Culvert",V238&lt;&gt;"N/A - Culvert"),"Not possible ▲",IF(VLOOKUP(V238,'G-7 WaterC'' Data'!$AA$4:$AB$7,2,FALSE)=0,"Spatial Data Missing ⚠",VLOOKUP(V238,'G-7 WaterC'' Data'!$AA$4:$AB$7,2,FALSE)))))</f>
        <v/>
      </c>
      <c r="X238" s="44"/>
      <c r="Y238" s="291" t="str">
        <f>IF(X238="","",IF(AND(X238="N/A - Culvert", C238&lt;&gt;"Culvert"), "Not possible ▲",IF(AND(C238="Culvert",X238&lt;&gt;"N/A - Culvert"),"Not possible ▲",IF(VLOOKUP(X238,'G-7 WaterC'' Data'!$AD$4:$AE$14,2,FALSE)=0,"Enrcoachment Data Missing ⚠",VLOOKUP(X238,'G-7 WaterC'' Data'!$AD$4:$AE$14,2,FALSE)))))</f>
        <v/>
      </c>
      <c r="Z238" s="332" t="str">
        <f t="shared" si="19"/>
        <v/>
      </c>
      <c r="AA238" s="98"/>
      <c r="AB238" s="99"/>
      <c r="AC238" s="101"/>
      <c r="AH238" s="15" t="str">
        <f>IFERROR(INDEX('G-7 WaterC'' Data'!$AZ$3:$AZ$7,MATCH(C238,'G-7 WaterC'' Data'!$AY$3:$AY$7,0)),"")</f>
        <v/>
      </c>
    </row>
    <row r="239" spans="2:34" ht="14" x14ac:dyDescent="0.3">
      <c r="B239" s="92">
        <v>228</v>
      </c>
      <c r="C239" s="119"/>
      <c r="D239" s="120"/>
      <c r="E239" s="290" t="str">
        <f>IF(C239="","",VLOOKUP(C239,'G-7 WaterC'' Data'!$B$2:$G$8,2,FALSE))</f>
        <v/>
      </c>
      <c r="F239" s="291" t="str">
        <f>IFERROR(VLOOKUP(E239,'G-7 WaterC'' Data'!$C$4:$D$8,2,FALSE),"")</f>
        <v/>
      </c>
      <c r="G239" s="95"/>
      <c r="H239" s="291" t="str">
        <f>IFERROR(INDEX('G-7 WaterC'' Data'!$H$4:$L$8,MATCH(C239,'G-7 WaterC'' Data'!$B$4:$B$8,0),MATCH(G239,'G-7 WaterC'' Data'!$H$3:$L$3,0)),"")</f>
        <v/>
      </c>
      <c r="I239" s="38"/>
      <c r="J239" s="298" t="str">
        <f>IF(I239="","",IF(VLOOKUP(I239,'G-7 WaterC'' Data'!$AK$4:$AM$6,2,FALSE)=0,"Spatial Data Missing ⚠",VLOOKUP(I239,'G-7 WaterC'' Data'!$AK$4:$AM$6,2,FALSE)))</f>
        <v/>
      </c>
      <c r="K239" s="291" t="str">
        <f>IF(I239="","",IF(VLOOKUP(I239,'G-7 WaterC'' Data'!$AK$4:$AM$6,3,FALSE)=0,"Spatial Data Missing ⚠",VLOOKUP(I239,'G-7 WaterC'' Data'!$AK$4:$AM$6,3,FALSE)))</f>
        <v/>
      </c>
      <c r="L239" s="290" t="str">
        <f>IFERROR(INDEX('G-7 WaterC'' Data'!$O$3:$O$7,MATCH(G239,'G-7 WaterC'' Data'!$N$3:$N$7,0)),"")</f>
        <v/>
      </c>
      <c r="M239" s="47"/>
      <c r="N239" s="138"/>
      <c r="O239" s="298" t="str">
        <f t="shared" si="15"/>
        <v/>
      </c>
      <c r="P239" s="311" t="str">
        <f t="shared" si="16"/>
        <v/>
      </c>
      <c r="Q239" s="344" t="str">
        <f>IFERROR(IF(P239="Check Data ⚠","Check Data ⚠",VLOOKUP(P239,'G-4 Temporal multipliers'!$A$4:$C$37,3,FALSE)),"")</f>
        <v/>
      </c>
      <c r="R239" s="290" t="str">
        <f>IF(C239="","",VLOOKUP(C239,'G-7 WaterC'' Data'!$B$4:$G$8,4,FALSE))</f>
        <v/>
      </c>
      <c r="S239" s="298" t="str">
        <f t="shared" si="17"/>
        <v/>
      </c>
      <c r="T239" s="328" t="str">
        <f t="shared" si="18"/>
        <v/>
      </c>
      <c r="U239" s="291" t="str">
        <f>IF(C239="","",VLOOKUP(T239,'G-3 Multipliers'!$P$2:$Q$6,2,FALSE))</f>
        <v/>
      </c>
      <c r="V239" s="96"/>
      <c r="W239" s="291" t="str">
        <f>IF(V239="","",IF(AND(V239="N/A - Culvert",C239&lt;&gt;"Culvert"),"Not possible ▲",IF(AND(C239="Culvert",V239&lt;&gt;"N/A - Culvert"),"Not possible ▲",IF(VLOOKUP(V239,'G-7 WaterC'' Data'!$AA$4:$AB$7,2,FALSE)=0,"Spatial Data Missing ⚠",VLOOKUP(V239,'G-7 WaterC'' Data'!$AA$4:$AB$7,2,FALSE)))))</f>
        <v/>
      </c>
      <c r="X239" s="44"/>
      <c r="Y239" s="291" t="str">
        <f>IF(X239="","",IF(AND(X239="N/A - Culvert", C239&lt;&gt;"Culvert"), "Not possible ▲",IF(AND(C239="Culvert",X239&lt;&gt;"N/A - Culvert"),"Not possible ▲",IF(VLOOKUP(X239,'G-7 WaterC'' Data'!$AD$4:$AE$14,2,FALSE)=0,"Enrcoachment Data Missing ⚠",VLOOKUP(X239,'G-7 WaterC'' Data'!$AD$4:$AE$14,2,FALSE)))))</f>
        <v/>
      </c>
      <c r="Z239" s="332" t="str">
        <f t="shared" si="19"/>
        <v/>
      </c>
      <c r="AA239" s="98"/>
      <c r="AB239" s="99"/>
      <c r="AC239" s="101"/>
      <c r="AH239" s="15" t="str">
        <f>IFERROR(INDEX('G-7 WaterC'' Data'!$AZ$3:$AZ$7,MATCH(C239,'G-7 WaterC'' Data'!$AY$3:$AY$7,0)),"")</f>
        <v/>
      </c>
    </row>
    <row r="240" spans="2:34" ht="14" x14ac:dyDescent="0.3">
      <c r="B240" s="92">
        <v>229</v>
      </c>
      <c r="C240" s="119"/>
      <c r="D240" s="120"/>
      <c r="E240" s="290" t="str">
        <f>IF(C240="","",VLOOKUP(C240,'G-7 WaterC'' Data'!$B$2:$G$8,2,FALSE))</f>
        <v/>
      </c>
      <c r="F240" s="291" t="str">
        <f>IFERROR(VLOOKUP(E240,'G-7 WaterC'' Data'!$C$4:$D$8,2,FALSE),"")</f>
        <v/>
      </c>
      <c r="G240" s="95"/>
      <c r="H240" s="291" t="str">
        <f>IFERROR(INDEX('G-7 WaterC'' Data'!$H$4:$L$8,MATCH(C240,'G-7 WaterC'' Data'!$B$4:$B$8,0),MATCH(G240,'G-7 WaterC'' Data'!$H$3:$L$3,0)),"")</f>
        <v/>
      </c>
      <c r="I240" s="38"/>
      <c r="J240" s="298" t="str">
        <f>IF(I240="","",IF(VLOOKUP(I240,'G-7 WaterC'' Data'!$AK$4:$AM$6,2,FALSE)=0,"Spatial Data Missing ⚠",VLOOKUP(I240,'G-7 WaterC'' Data'!$AK$4:$AM$6,2,FALSE)))</f>
        <v/>
      </c>
      <c r="K240" s="291" t="str">
        <f>IF(I240="","",IF(VLOOKUP(I240,'G-7 WaterC'' Data'!$AK$4:$AM$6,3,FALSE)=0,"Spatial Data Missing ⚠",VLOOKUP(I240,'G-7 WaterC'' Data'!$AK$4:$AM$6,3,FALSE)))</f>
        <v/>
      </c>
      <c r="L240" s="290" t="str">
        <f>IFERROR(INDEX('G-7 WaterC'' Data'!$O$3:$O$7,MATCH(G240,'G-7 WaterC'' Data'!$N$3:$N$7,0)),"")</f>
        <v/>
      </c>
      <c r="M240" s="47"/>
      <c r="N240" s="138"/>
      <c r="O240" s="298" t="str">
        <f t="shared" si="15"/>
        <v/>
      </c>
      <c r="P240" s="311" t="str">
        <f t="shared" si="16"/>
        <v/>
      </c>
      <c r="Q240" s="344" t="str">
        <f>IFERROR(IF(P240="Check Data ⚠","Check Data ⚠",VLOOKUP(P240,'G-4 Temporal multipliers'!$A$4:$C$37,3,FALSE)),"")</f>
        <v/>
      </c>
      <c r="R240" s="290" t="str">
        <f>IF(C240="","",VLOOKUP(C240,'G-7 WaterC'' Data'!$B$4:$G$8,4,FALSE))</f>
        <v/>
      </c>
      <c r="S240" s="298" t="str">
        <f t="shared" si="17"/>
        <v/>
      </c>
      <c r="T240" s="328" t="str">
        <f t="shared" si="18"/>
        <v/>
      </c>
      <c r="U240" s="291" t="str">
        <f>IF(C240="","",VLOOKUP(T240,'G-3 Multipliers'!$P$2:$Q$6,2,FALSE))</f>
        <v/>
      </c>
      <c r="V240" s="96"/>
      <c r="W240" s="291" t="str">
        <f>IF(V240="","",IF(AND(V240="N/A - Culvert",C240&lt;&gt;"Culvert"),"Not possible ▲",IF(AND(C240="Culvert",V240&lt;&gt;"N/A - Culvert"),"Not possible ▲",IF(VLOOKUP(V240,'G-7 WaterC'' Data'!$AA$4:$AB$7,2,FALSE)=0,"Spatial Data Missing ⚠",VLOOKUP(V240,'G-7 WaterC'' Data'!$AA$4:$AB$7,2,FALSE)))))</f>
        <v/>
      </c>
      <c r="X240" s="44"/>
      <c r="Y240" s="291" t="str">
        <f>IF(X240="","",IF(AND(X240="N/A - Culvert", C240&lt;&gt;"Culvert"), "Not possible ▲",IF(AND(C240="Culvert",X240&lt;&gt;"N/A - Culvert"),"Not possible ▲",IF(VLOOKUP(X240,'G-7 WaterC'' Data'!$AD$4:$AE$14,2,FALSE)=0,"Enrcoachment Data Missing ⚠",VLOOKUP(X240,'G-7 WaterC'' Data'!$AD$4:$AE$14,2,FALSE)))))</f>
        <v/>
      </c>
      <c r="Z240" s="332" t="str">
        <f t="shared" si="19"/>
        <v/>
      </c>
      <c r="AA240" s="98"/>
      <c r="AB240" s="99"/>
      <c r="AC240" s="101"/>
      <c r="AH240" s="15" t="str">
        <f>IFERROR(INDEX('G-7 WaterC'' Data'!$AZ$3:$AZ$7,MATCH(C240,'G-7 WaterC'' Data'!$AY$3:$AY$7,0)),"")</f>
        <v/>
      </c>
    </row>
    <row r="241" spans="2:34" ht="14" x14ac:dyDescent="0.3">
      <c r="B241" s="92">
        <v>230</v>
      </c>
      <c r="C241" s="119"/>
      <c r="D241" s="120"/>
      <c r="E241" s="290" t="str">
        <f>IF(C241="","",VLOOKUP(C241,'G-7 WaterC'' Data'!$B$2:$G$8,2,FALSE))</f>
        <v/>
      </c>
      <c r="F241" s="291" t="str">
        <f>IFERROR(VLOOKUP(E241,'G-7 WaterC'' Data'!$C$4:$D$8,2,FALSE),"")</f>
        <v/>
      </c>
      <c r="G241" s="95"/>
      <c r="H241" s="291" t="str">
        <f>IFERROR(INDEX('G-7 WaterC'' Data'!$H$4:$L$8,MATCH(C241,'G-7 WaterC'' Data'!$B$4:$B$8,0),MATCH(G241,'G-7 WaterC'' Data'!$H$3:$L$3,0)),"")</f>
        <v/>
      </c>
      <c r="I241" s="38"/>
      <c r="J241" s="298" t="str">
        <f>IF(I241="","",IF(VLOOKUP(I241,'G-7 WaterC'' Data'!$AK$4:$AM$6,2,FALSE)=0,"Spatial Data Missing ⚠",VLOOKUP(I241,'G-7 WaterC'' Data'!$AK$4:$AM$6,2,FALSE)))</f>
        <v/>
      </c>
      <c r="K241" s="291" t="str">
        <f>IF(I241="","",IF(VLOOKUP(I241,'G-7 WaterC'' Data'!$AK$4:$AM$6,3,FALSE)=0,"Spatial Data Missing ⚠",VLOOKUP(I241,'G-7 WaterC'' Data'!$AK$4:$AM$6,3,FALSE)))</f>
        <v/>
      </c>
      <c r="L241" s="290" t="str">
        <f>IFERROR(INDEX('G-7 WaterC'' Data'!$O$3:$O$7,MATCH(G241,'G-7 WaterC'' Data'!$N$3:$N$7,0)),"")</f>
        <v/>
      </c>
      <c r="M241" s="47"/>
      <c r="N241" s="138"/>
      <c r="O241" s="298" t="str">
        <f t="shared" si="15"/>
        <v/>
      </c>
      <c r="P241" s="311" t="str">
        <f t="shared" si="16"/>
        <v/>
      </c>
      <c r="Q241" s="344" t="str">
        <f>IFERROR(IF(P241="Check Data ⚠","Check Data ⚠",VLOOKUP(P241,'G-4 Temporal multipliers'!$A$4:$C$37,3,FALSE)),"")</f>
        <v/>
      </c>
      <c r="R241" s="290" t="str">
        <f>IF(C241="","",VLOOKUP(C241,'G-7 WaterC'' Data'!$B$4:$G$8,4,FALSE))</f>
        <v/>
      </c>
      <c r="S241" s="298" t="str">
        <f t="shared" si="17"/>
        <v/>
      </c>
      <c r="T241" s="328" t="str">
        <f t="shared" si="18"/>
        <v/>
      </c>
      <c r="U241" s="291" t="str">
        <f>IF(C241="","",VLOOKUP(T241,'G-3 Multipliers'!$P$2:$Q$6,2,FALSE))</f>
        <v/>
      </c>
      <c r="V241" s="96"/>
      <c r="W241" s="291" t="str">
        <f>IF(V241="","",IF(AND(V241="N/A - Culvert",C241&lt;&gt;"Culvert"),"Not possible ▲",IF(AND(C241="Culvert",V241&lt;&gt;"N/A - Culvert"),"Not possible ▲",IF(VLOOKUP(V241,'G-7 WaterC'' Data'!$AA$4:$AB$7,2,FALSE)=0,"Spatial Data Missing ⚠",VLOOKUP(V241,'G-7 WaterC'' Data'!$AA$4:$AB$7,2,FALSE)))))</f>
        <v/>
      </c>
      <c r="X241" s="44"/>
      <c r="Y241" s="291" t="str">
        <f>IF(X241="","",IF(AND(X241="N/A - Culvert", C241&lt;&gt;"Culvert"), "Not possible ▲",IF(AND(C241="Culvert",X241&lt;&gt;"N/A - Culvert"),"Not possible ▲",IF(VLOOKUP(X241,'G-7 WaterC'' Data'!$AD$4:$AE$14,2,FALSE)=0,"Enrcoachment Data Missing ⚠",VLOOKUP(X241,'G-7 WaterC'' Data'!$AD$4:$AE$14,2,FALSE)))))</f>
        <v/>
      </c>
      <c r="Z241" s="332" t="str">
        <f t="shared" si="19"/>
        <v/>
      </c>
      <c r="AA241" s="98"/>
      <c r="AB241" s="99"/>
      <c r="AC241" s="101"/>
      <c r="AH241" s="15" t="str">
        <f>IFERROR(INDEX('G-7 WaterC'' Data'!$AZ$3:$AZ$7,MATCH(C241,'G-7 WaterC'' Data'!$AY$3:$AY$7,0)),"")</f>
        <v/>
      </c>
    </row>
    <row r="242" spans="2:34" ht="14" x14ac:dyDescent="0.3">
      <c r="B242" s="92">
        <v>231</v>
      </c>
      <c r="C242" s="119"/>
      <c r="D242" s="120"/>
      <c r="E242" s="290" t="str">
        <f>IF(C242="","",VLOOKUP(C242,'G-7 WaterC'' Data'!$B$2:$G$8,2,FALSE))</f>
        <v/>
      </c>
      <c r="F242" s="291" t="str">
        <f>IFERROR(VLOOKUP(E242,'G-7 WaterC'' Data'!$C$4:$D$8,2,FALSE),"")</f>
        <v/>
      </c>
      <c r="G242" s="95"/>
      <c r="H242" s="291" t="str">
        <f>IFERROR(INDEX('G-7 WaterC'' Data'!$H$4:$L$8,MATCH(C242,'G-7 WaterC'' Data'!$B$4:$B$8,0),MATCH(G242,'G-7 WaterC'' Data'!$H$3:$L$3,0)),"")</f>
        <v/>
      </c>
      <c r="I242" s="38"/>
      <c r="J242" s="298" t="str">
        <f>IF(I242="","",IF(VLOOKUP(I242,'G-7 WaterC'' Data'!$AK$4:$AM$6,2,FALSE)=0,"Spatial Data Missing ⚠",VLOOKUP(I242,'G-7 WaterC'' Data'!$AK$4:$AM$6,2,FALSE)))</f>
        <v/>
      </c>
      <c r="K242" s="291" t="str">
        <f>IF(I242="","",IF(VLOOKUP(I242,'G-7 WaterC'' Data'!$AK$4:$AM$6,3,FALSE)=0,"Spatial Data Missing ⚠",VLOOKUP(I242,'G-7 WaterC'' Data'!$AK$4:$AM$6,3,FALSE)))</f>
        <v/>
      </c>
      <c r="L242" s="290" t="str">
        <f>IFERROR(INDEX('G-7 WaterC'' Data'!$O$3:$O$7,MATCH(G242,'G-7 WaterC'' Data'!$N$3:$N$7,0)),"")</f>
        <v/>
      </c>
      <c r="M242" s="47"/>
      <c r="N242" s="138"/>
      <c r="O242" s="298" t="str">
        <f t="shared" si="15"/>
        <v/>
      </c>
      <c r="P242" s="311" t="str">
        <f t="shared" si="16"/>
        <v/>
      </c>
      <c r="Q242" s="344" t="str">
        <f>IFERROR(IF(P242="Check Data ⚠","Check Data ⚠",VLOOKUP(P242,'G-4 Temporal multipliers'!$A$4:$C$37,3,FALSE)),"")</f>
        <v/>
      </c>
      <c r="R242" s="290" t="str">
        <f>IF(C242="","",VLOOKUP(C242,'G-7 WaterC'' Data'!$B$4:$G$8,4,FALSE))</f>
        <v/>
      </c>
      <c r="S242" s="298" t="str">
        <f t="shared" si="17"/>
        <v/>
      </c>
      <c r="T242" s="328" t="str">
        <f t="shared" si="18"/>
        <v/>
      </c>
      <c r="U242" s="291" t="str">
        <f>IF(C242="","",VLOOKUP(T242,'G-3 Multipliers'!$P$2:$Q$6,2,FALSE))</f>
        <v/>
      </c>
      <c r="V242" s="96"/>
      <c r="W242" s="291" t="str">
        <f>IF(V242="","",IF(AND(V242="N/A - Culvert",C242&lt;&gt;"Culvert"),"Not possible ▲",IF(AND(C242="Culvert",V242&lt;&gt;"N/A - Culvert"),"Not possible ▲",IF(VLOOKUP(V242,'G-7 WaterC'' Data'!$AA$4:$AB$7,2,FALSE)=0,"Spatial Data Missing ⚠",VLOOKUP(V242,'G-7 WaterC'' Data'!$AA$4:$AB$7,2,FALSE)))))</f>
        <v/>
      </c>
      <c r="X242" s="44"/>
      <c r="Y242" s="291" t="str">
        <f>IF(X242="","",IF(AND(X242="N/A - Culvert", C242&lt;&gt;"Culvert"), "Not possible ▲",IF(AND(C242="Culvert",X242&lt;&gt;"N/A - Culvert"),"Not possible ▲",IF(VLOOKUP(X242,'G-7 WaterC'' Data'!$AD$4:$AE$14,2,FALSE)=0,"Enrcoachment Data Missing ⚠",VLOOKUP(X242,'G-7 WaterC'' Data'!$AD$4:$AE$14,2,FALSE)))))</f>
        <v/>
      </c>
      <c r="Z242" s="332" t="str">
        <f t="shared" si="19"/>
        <v/>
      </c>
      <c r="AA242" s="98"/>
      <c r="AB242" s="99"/>
      <c r="AC242" s="101"/>
      <c r="AH242" s="15" t="str">
        <f>IFERROR(INDEX('G-7 WaterC'' Data'!$AZ$3:$AZ$7,MATCH(C242,'G-7 WaterC'' Data'!$AY$3:$AY$7,0)),"")</f>
        <v/>
      </c>
    </row>
    <row r="243" spans="2:34" ht="14" x14ac:dyDescent="0.3">
      <c r="B243" s="92">
        <v>232</v>
      </c>
      <c r="C243" s="119"/>
      <c r="D243" s="120"/>
      <c r="E243" s="290" t="str">
        <f>IF(C243="","",VLOOKUP(C243,'G-7 WaterC'' Data'!$B$2:$G$8,2,FALSE))</f>
        <v/>
      </c>
      <c r="F243" s="291" t="str">
        <f>IFERROR(VLOOKUP(E243,'G-7 WaterC'' Data'!$C$4:$D$8,2,FALSE),"")</f>
        <v/>
      </c>
      <c r="G243" s="95"/>
      <c r="H243" s="291" t="str">
        <f>IFERROR(INDEX('G-7 WaterC'' Data'!$H$4:$L$8,MATCH(C243,'G-7 WaterC'' Data'!$B$4:$B$8,0),MATCH(G243,'G-7 WaterC'' Data'!$H$3:$L$3,0)),"")</f>
        <v/>
      </c>
      <c r="I243" s="38"/>
      <c r="J243" s="298" t="str">
        <f>IF(I243="","",IF(VLOOKUP(I243,'G-7 WaterC'' Data'!$AK$4:$AM$6,2,FALSE)=0,"Spatial Data Missing ⚠",VLOOKUP(I243,'G-7 WaterC'' Data'!$AK$4:$AM$6,2,FALSE)))</f>
        <v/>
      </c>
      <c r="K243" s="291" t="str">
        <f>IF(I243="","",IF(VLOOKUP(I243,'G-7 WaterC'' Data'!$AK$4:$AM$6,3,FALSE)=0,"Spatial Data Missing ⚠",VLOOKUP(I243,'G-7 WaterC'' Data'!$AK$4:$AM$6,3,FALSE)))</f>
        <v/>
      </c>
      <c r="L243" s="290" t="str">
        <f>IFERROR(INDEX('G-7 WaterC'' Data'!$O$3:$O$7,MATCH(G243,'G-7 WaterC'' Data'!$N$3:$N$7,0)),"")</f>
        <v/>
      </c>
      <c r="M243" s="47"/>
      <c r="N243" s="138"/>
      <c r="O243" s="298" t="str">
        <f t="shared" si="15"/>
        <v/>
      </c>
      <c r="P243" s="311" t="str">
        <f t="shared" si="16"/>
        <v/>
      </c>
      <c r="Q243" s="344" t="str">
        <f>IFERROR(IF(P243="Check Data ⚠","Check Data ⚠",VLOOKUP(P243,'G-4 Temporal multipliers'!$A$4:$C$37,3,FALSE)),"")</f>
        <v/>
      </c>
      <c r="R243" s="290" t="str">
        <f>IF(C243="","",VLOOKUP(C243,'G-7 WaterC'' Data'!$B$4:$G$8,4,FALSE))</f>
        <v/>
      </c>
      <c r="S243" s="298" t="str">
        <f t="shared" si="17"/>
        <v/>
      </c>
      <c r="T243" s="328" t="str">
        <f t="shared" si="18"/>
        <v/>
      </c>
      <c r="U243" s="291" t="str">
        <f>IF(C243="","",VLOOKUP(T243,'G-3 Multipliers'!$P$2:$Q$6,2,FALSE))</f>
        <v/>
      </c>
      <c r="V243" s="96"/>
      <c r="W243" s="291" t="str">
        <f>IF(V243="","",IF(AND(V243="N/A - Culvert",C243&lt;&gt;"Culvert"),"Not possible ▲",IF(AND(C243="Culvert",V243&lt;&gt;"N/A - Culvert"),"Not possible ▲",IF(VLOOKUP(V243,'G-7 WaterC'' Data'!$AA$4:$AB$7,2,FALSE)=0,"Spatial Data Missing ⚠",VLOOKUP(V243,'G-7 WaterC'' Data'!$AA$4:$AB$7,2,FALSE)))))</f>
        <v/>
      </c>
      <c r="X243" s="44"/>
      <c r="Y243" s="291" t="str">
        <f>IF(X243="","",IF(AND(X243="N/A - Culvert", C243&lt;&gt;"Culvert"), "Not possible ▲",IF(AND(C243="Culvert",X243&lt;&gt;"N/A - Culvert"),"Not possible ▲",IF(VLOOKUP(X243,'G-7 WaterC'' Data'!$AD$4:$AE$14,2,FALSE)=0,"Enrcoachment Data Missing ⚠",VLOOKUP(X243,'G-7 WaterC'' Data'!$AD$4:$AE$14,2,FALSE)))))</f>
        <v/>
      </c>
      <c r="Z243" s="332" t="str">
        <f t="shared" si="19"/>
        <v/>
      </c>
      <c r="AA243" s="98"/>
      <c r="AB243" s="99"/>
      <c r="AC243" s="101"/>
      <c r="AH243" s="15" t="str">
        <f>IFERROR(INDEX('G-7 WaterC'' Data'!$AZ$3:$AZ$7,MATCH(C243,'G-7 WaterC'' Data'!$AY$3:$AY$7,0)),"")</f>
        <v/>
      </c>
    </row>
    <row r="244" spans="2:34" ht="14" x14ac:dyDescent="0.3">
      <c r="B244" s="92">
        <v>233</v>
      </c>
      <c r="C244" s="119"/>
      <c r="D244" s="120"/>
      <c r="E244" s="290" t="str">
        <f>IF(C244="","",VLOOKUP(C244,'G-7 WaterC'' Data'!$B$2:$G$8,2,FALSE))</f>
        <v/>
      </c>
      <c r="F244" s="291" t="str">
        <f>IFERROR(VLOOKUP(E244,'G-7 WaterC'' Data'!$C$4:$D$8,2,FALSE),"")</f>
        <v/>
      </c>
      <c r="G244" s="95"/>
      <c r="H244" s="291" t="str">
        <f>IFERROR(INDEX('G-7 WaterC'' Data'!$H$4:$L$8,MATCH(C244,'G-7 WaterC'' Data'!$B$4:$B$8,0),MATCH(G244,'G-7 WaterC'' Data'!$H$3:$L$3,0)),"")</f>
        <v/>
      </c>
      <c r="I244" s="38"/>
      <c r="J244" s="298" t="str">
        <f>IF(I244="","",IF(VLOOKUP(I244,'G-7 WaterC'' Data'!$AK$4:$AM$6,2,FALSE)=0,"Spatial Data Missing ⚠",VLOOKUP(I244,'G-7 WaterC'' Data'!$AK$4:$AM$6,2,FALSE)))</f>
        <v/>
      </c>
      <c r="K244" s="291" t="str">
        <f>IF(I244="","",IF(VLOOKUP(I244,'G-7 WaterC'' Data'!$AK$4:$AM$6,3,FALSE)=0,"Spatial Data Missing ⚠",VLOOKUP(I244,'G-7 WaterC'' Data'!$AK$4:$AM$6,3,FALSE)))</f>
        <v/>
      </c>
      <c r="L244" s="290" t="str">
        <f>IFERROR(INDEX('G-7 WaterC'' Data'!$O$3:$O$7,MATCH(G244,'G-7 WaterC'' Data'!$N$3:$N$7,0)),"")</f>
        <v/>
      </c>
      <c r="M244" s="47"/>
      <c r="N244" s="138"/>
      <c r="O244" s="298" t="str">
        <f t="shared" si="15"/>
        <v/>
      </c>
      <c r="P244" s="311" t="str">
        <f t="shared" si="16"/>
        <v/>
      </c>
      <c r="Q244" s="344" t="str">
        <f>IFERROR(IF(P244="Check Data ⚠","Check Data ⚠",VLOOKUP(P244,'G-4 Temporal multipliers'!$A$4:$C$37,3,FALSE)),"")</f>
        <v/>
      </c>
      <c r="R244" s="290" t="str">
        <f>IF(C244="","",VLOOKUP(C244,'G-7 WaterC'' Data'!$B$4:$G$8,4,FALSE))</f>
        <v/>
      </c>
      <c r="S244" s="298" t="str">
        <f t="shared" si="17"/>
        <v/>
      </c>
      <c r="T244" s="328" t="str">
        <f t="shared" si="18"/>
        <v/>
      </c>
      <c r="U244" s="291" t="str">
        <f>IF(C244="","",VLOOKUP(T244,'G-3 Multipliers'!$P$2:$Q$6,2,FALSE))</f>
        <v/>
      </c>
      <c r="V244" s="96"/>
      <c r="W244" s="291" t="str">
        <f>IF(V244="","",IF(AND(V244="N/A - Culvert",C244&lt;&gt;"Culvert"),"Not possible ▲",IF(AND(C244="Culvert",V244&lt;&gt;"N/A - Culvert"),"Not possible ▲",IF(VLOOKUP(V244,'G-7 WaterC'' Data'!$AA$4:$AB$7,2,FALSE)=0,"Spatial Data Missing ⚠",VLOOKUP(V244,'G-7 WaterC'' Data'!$AA$4:$AB$7,2,FALSE)))))</f>
        <v/>
      </c>
      <c r="X244" s="44"/>
      <c r="Y244" s="291" t="str">
        <f>IF(X244="","",IF(AND(X244="N/A - Culvert", C244&lt;&gt;"Culvert"), "Not possible ▲",IF(AND(C244="Culvert",X244&lt;&gt;"N/A - Culvert"),"Not possible ▲",IF(VLOOKUP(X244,'G-7 WaterC'' Data'!$AD$4:$AE$14,2,FALSE)=0,"Enrcoachment Data Missing ⚠",VLOOKUP(X244,'G-7 WaterC'' Data'!$AD$4:$AE$14,2,FALSE)))))</f>
        <v/>
      </c>
      <c r="Z244" s="332" t="str">
        <f t="shared" si="19"/>
        <v/>
      </c>
      <c r="AA244" s="98"/>
      <c r="AB244" s="99"/>
      <c r="AC244" s="101"/>
      <c r="AH244" s="15" t="str">
        <f>IFERROR(INDEX('G-7 WaterC'' Data'!$AZ$3:$AZ$7,MATCH(C244,'G-7 WaterC'' Data'!$AY$3:$AY$7,0)),"")</f>
        <v/>
      </c>
    </row>
    <row r="245" spans="2:34" ht="14" x14ac:dyDescent="0.3">
      <c r="B245" s="92">
        <v>234</v>
      </c>
      <c r="C245" s="119"/>
      <c r="D245" s="120"/>
      <c r="E245" s="290" t="str">
        <f>IF(C245="","",VLOOKUP(C245,'G-7 WaterC'' Data'!$B$2:$G$8,2,FALSE))</f>
        <v/>
      </c>
      <c r="F245" s="291" t="str">
        <f>IFERROR(VLOOKUP(E245,'G-7 WaterC'' Data'!$C$4:$D$8,2,FALSE),"")</f>
        <v/>
      </c>
      <c r="G245" s="95"/>
      <c r="H245" s="291" t="str">
        <f>IFERROR(INDEX('G-7 WaterC'' Data'!$H$4:$L$8,MATCH(C245,'G-7 WaterC'' Data'!$B$4:$B$8,0),MATCH(G245,'G-7 WaterC'' Data'!$H$3:$L$3,0)),"")</f>
        <v/>
      </c>
      <c r="I245" s="38"/>
      <c r="J245" s="298" t="str">
        <f>IF(I245="","",IF(VLOOKUP(I245,'G-7 WaterC'' Data'!$AK$4:$AM$6,2,FALSE)=0,"Spatial Data Missing ⚠",VLOOKUP(I245,'G-7 WaterC'' Data'!$AK$4:$AM$6,2,FALSE)))</f>
        <v/>
      </c>
      <c r="K245" s="291" t="str">
        <f>IF(I245="","",IF(VLOOKUP(I245,'G-7 WaterC'' Data'!$AK$4:$AM$6,3,FALSE)=0,"Spatial Data Missing ⚠",VLOOKUP(I245,'G-7 WaterC'' Data'!$AK$4:$AM$6,3,FALSE)))</f>
        <v/>
      </c>
      <c r="L245" s="290" t="str">
        <f>IFERROR(INDEX('G-7 WaterC'' Data'!$O$3:$O$7,MATCH(G245,'G-7 WaterC'' Data'!$N$3:$N$7,0)),"")</f>
        <v/>
      </c>
      <c r="M245" s="47"/>
      <c r="N245" s="138"/>
      <c r="O245" s="298" t="str">
        <f t="shared" si="15"/>
        <v/>
      </c>
      <c r="P245" s="311" t="str">
        <f t="shared" si="16"/>
        <v/>
      </c>
      <c r="Q245" s="344" t="str">
        <f>IFERROR(IF(P245="Check Data ⚠","Check Data ⚠",VLOOKUP(P245,'G-4 Temporal multipliers'!$A$4:$C$37,3,FALSE)),"")</f>
        <v/>
      </c>
      <c r="R245" s="290" t="str">
        <f>IF(C245="","",VLOOKUP(C245,'G-7 WaterC'' Data'!$B$4:$G$8,4,FALSE))</f>
        <v/>
      </c>
      <c r="S245" s="298" t="str">
        <f t="shared" si="17"/>
        <v/>
      </c>
      <c r="T245" s="328" t="str">
        <f t="shared" si="18"/>
        <v/>
      </c>
      <c r="U245" s="291" t="str">
        <f>IF(C245="","",VLOOKUP(T245,'G-3 Multipliers'!$P$2:$Q$6,2,FALSE))</f>
        <v/>
      </c>
      <c r="V245" s="96"/>
      <c r="W245" s="291" t="str">
        <f>IF(V245="","",IF(AND(V245="N/A - Culvert",C245&lt;&gt;"Culvert"),"Not possible ▲",IF(AND(C245="Culvert",V245&lt;&gt;"N/A - Culvert"),"Not possible ▲",IF(VLOOKUP(V245,'G-7 WaterC'' Data'!$AA$4:$AB$7,2,FALSE)=0,"Spatial Data Missing ⚠",VLOOKUP(V245,'G-7 WaterC'' Data'!$AA$4:$AB$7,2,FALSE)))))</f>
        <v/>
      </c>
      <c r="X245" s="44"/>
      <c r="Y245" s="291" t="str">
        <f>IF(X245="","",IF(AND(X245="N/A - Culvert", C245&lt;&gt;"Culvert"), "Not possible ▲",IF(AND(C245="Culvert",X245&lt;&gt;"N/A - Culvert"),"Not possible ▲",IF(VLOOKUP(X245,'G-7 WaterC'' Data'!$AD$4:$AE$14,2,FALSE)=0,"Enrcoachment Data Missing ⚠",VLOOKUP(X245,'G-7 WaterC'' Data'!$AD$4:$AE$14,2,FALSE)))))</f>
        <v/>
      </c>
      <c r="Z245" s="332" t="str">
        <f t="shared" si="19"/>
        <v/>
      </c>
      <c r="AA245" s="98"/>
      <c r="AB245" s="99"/>
      <c r="AC245" s="101"/>
      <c r="AH245" s="15" t="str">
        <f>IFERROR(INDEX('G-7 WaterC'' Data'!$AZ$3:$AZ$7,MATCH(C245,'G-7 WaterC'' Data'!$AY$3:$AY$7,0)),"")</f>
        <v/>
      </c>
    </row>
    <row r="246" spans="2:34" ht="14" x14ac:dyDescent="0.3">
      <c r="B246" s="92">
        <v>235</v>
      </c>
      <c r="C246" s="119"/>
      <c r="D246" s="120"/>
      <c r="E246" s="290" t="str">
        <f>IF(C246="","",VLOOKUP(C246,'G-7 WaterC'' Data'!$B$2:$G$8,2,FALSE))</f>
        <v/>
      </c>
      <c r="F246" s="291" t="str">
        <f>IFERROR(VLOOKUP(E246,'G-7 WaterC'' Data'!$C$4:$D$8,2,FALSE),"")</f>
        <v/>
      </c>
      <c r="G246" s="95"/>
      <c r="H246" s="291" t="str">
        <f>IFERROR(INDEX('G-7 WaterC'' Data'!$H$4:$L$8,MATCH(C246,'G-7 WaterC'' Data'!$B$4:$B$8,0),MATCH(G246,'G-7 WaterC'' Data'!$H$3:$L$3,0)),"")</f>
        <v/>
      </c>
      <c r="I246" s="38"/>
      <c r="J246" s="298" t="str">
        <f>IF(I246="","",IF(VLOOKUP(I246,'G-7 WaterC'' Data'!$AK$4:$AM$6,2,FALSE)=0,"Spatial Data Missing ⚠",VLOOKUP(I246,'G-7 WaterC'' Data'!$AK$4:$AM$6,2,FALSE)))</f>
        <v/>
      </c>
      <c r="K246" s="291" t="str">
        <f>IF(I246="","",IF(VLOOKUP(I246,'G-7 WaterC'' Data'!$AK$4:$AM$6,3,FALSE)=0,"Spatial Data Missing ⚠",VLOOKUP(I246,'G-7 WaterC'' Data'!$AK$4:$AM$6,3,FALSE)))</f>
        <v/>
      </c>
      <c r="L246" s="290" t="str">
        <f>IFERROR(INDEX('G-7 WaterC'' Data'!$O$3:$O$7,MATCH(G246,'G-7 WaterC'' Data'!$N$3:$N$7,0)),"")</f>
        <v/>
      </c>
      <c r="M246" s="47"/>
      <c r="N246" s="138"/>
      <c r="O246" s="298" t="str">
        <f t="shared" si="15"/>
        <v/>
      </c>
      <c r="P246" s="311" t="str">
        <f t="shared" si="16"/>
        <v/>
      </c>
      <c r="Q246" s="344" t="str">
        <f>IFERROR(IF(P246="Check Data ⚠","Check Data ⚠",VLOOKUP(P246,'G-4 Temporal multipliers'!$A$4:$C$37,3,FALSE)),"")</f>
        <v/>
      </c>
      <c r="R246" s="290" t="str">
        <f>IF(C246="","",VLOOKUP(C246,'G-7 WaterC'' Data'!$B$4:$G$8,4,FALSE))</f>
        <v/>
      </c>
      <c r="S246" s="298" t="str">
        <f t="shared" si="17"/>
        <v/>
      </c>
      <c r="T246" s="328" t="str">
        <f t="shared" si="18"/>
        <v/>
      </c>
      <c r="U246" s="291" t="str">
        <f>IF(C246="","",VLOOKUP(T246,'G-3 Multipliers'!$P$2:$Q$6,2,FALSE))</f>
        <v/>
      </c>
      <c r="V246" s="96"/>
      <c r="W246" s="291" t="str">
        <f>IF(V246="","",IF(AND(V246="N/A - Culvert",C246&lt;&gt;"Culvert"),"Not possible ▲",IF(AND(C246="Culvert",V246&lt;&gt;"N/A - Culvert"),"Not possible ▲",IF(VLOOKUP(V246,'G-7 WaterC'' Data'!$AA$4:$AB$7,2,FALSE)=0,"Spatial Data Missing ⚠",VLOOKUP(V246,'G-7 WaterC'' Data'!$AA$4:$AB$7,2,FALSE)))))</f>
        <v/>
      </c>
      <c r="X246" s="44"/>
      <c r="Y246" s="291" t="str">
        <f>IF(X246="","",IF(AND(X246="N/A - Culvert", C246&lt;&gt;"Culvert"), "Not possible ▲",IF(AND(C246="Culvert",X246&lt;&gt;"N/A - Culvert"),"Not possible ▲",IF(VLOOKUP(X246,'G-7 WaterC'' Data'!$AD$4:$AE$14,2,FALSE)=0,"Enrcoachment Data Missing ⚠",VLOOKUP(X246,'G-7 WaterC'' Data'!$AD$4:$AE$14,2,FALSE)))))</f>
        <v/>
      </c>
      <c r="Z246" s="332" t="str">
        <f t="shared" si="19"/>
        <v/>
      </c>
      <c r="AA246" s="98"/>
      <c r="AB246" s="99"/>
      <c r="AC246" s="101"/>
      <c r="AH246" s="15" t="str">
        <f>IFERROR(INDEX('G-7 WaterC'' Data'!$AZ$3:$AZ$7,MATCH(C246,'G-7 WaterC'' Data'!$AY$3:$AY$7,0)),"")</f>
        <v/>
      </c>
    </row>
    <row r="247" spans="2:34" ht="14" x14ac:dyDescent="0.3">
      <c r="B247" s="92">
        <v>236</v>
      </c>
      <c r="C247" s="119"/>
      <c r="D247" s="120"/>
      <c r="E247" s="290" t="str">
        <f>IF(C247="","",VLOOKUP(C247,'G-7 WaterC'' Data'!$B$2:$G$8,2,FALSE))</f>
        <v/>
      </c>
      <c r="F247" s="291" t="str">
        <f>IFERROR(VLOOKUP(E247,'G-7 WaterC'' Data'!$C$4:$D$8,2,FALSE),"")</f>
        <v/>
      </c>
      <c r="G247" s="95"/>
      <c r="H247" s="291" t="str">
        <f>IFERROR(INDEX('G-7 WaterC'' Data'!$H$4:$L$8,MATCH(C247,'G-7 WaterC'' Data'!$B$4:$B$8,0),MATCH(G247,'G-7 WaterC'' Data'!$H$3:$L$3,0)),"")</f>
        <v/>
      </c>
      <c r="I247" s="38"/>
      <c r="J247" s="298" t="str">
        <f>IF(I247="","",IF(VLOOKUP(I247,'G-7 WaterC'' Data'!$AK$4:$AM$6,2,FALSE)=0,"Spatial Data Missing ⚠",VLOOKUP(I247,'G-7 WaterC'' Data'!$AK$4:$AM$6,2,FALSE)))</f>
        <v/>
      </c>
      <c r="K247" s="291" t="str">
        <f>IF(I247="","",IF(VLOOKUP(I247,'G-7 WaterC'' Data'!$AK$4:$AM$6,3,FALSE)=0,"Spatial Data Missing ⚠",VLOOKUP(I247,'G-7 WaterC'' Data'!$AK$4:$AM$6,3,FALSE)))</f>
        <v/>
      </c>
      <c r="L247" s="290" t="str">
        <f>IFERROR(INDEX('G-7 WaterC'' Data'!$O$3:$O$7,MATCH(G247,'G-7 WaterC'' Data'!$N$3:$N$7,0)),"")</f>
        <v/>
      </c>
      <c r="M247" s="47"/>
      <c r="N247" s="138"/>
      <c r="O247" s="298" t="str">
        <f t="shared" si="15"/>
        <v/>
      </c>
      <c r="P247" s="311" t="str">
        <f t="shared" si="16"/>
        <v/>
      </c>
      <c r="Q247" s="344" t="str">
        <f>IFERROR(IF(P247="Check Data ⚠","Check Data ⚠",VLOOKUP(P247,'G-4 Temporal multipliers'!$A$4:$C$37,3,FALSE)),"")</f>
        <v/>
      </c>
      <c r="R247" s="290" t="str">
        <f>IF(C247="","",VLOOKUP(C247,'G-7 WaterC'' Data'!$B$4:$G$8,4,FALSE))</f>
        <v/>
      </c>
      <c r="S247" s="298" t="str">
        <f t="shared" si="17"/>
        <v/>
      </c>
      <c r="T247" s="328" t="str">
        <f t="shared" si="18"/>
        <v/>
      </c>
      <c r="U247" s="291" t="str">
        <f>IF(C247="","",VLOOKUP(T247,'G-3 Multipliers'!$P$2:$Q$6,2,FALSE))</f>
        <v/>
      </c>
      <c r="V247" s="96"/>
      <c r="W247" s="291" t="str">
        <f>IF(V247="","",IF(AND(V247="N/A - Culvert",C247&lt;&gt;"Culvert"),"Not possible ▲",IF(AND(C247="Culvert",V247&lt;&gt;"N/A - Culvert"),"Not possible ▲",IF(VLOOKUP(V247,'G-7 WaterC'' Data'!$AA$4:$AB$7,2,FALSE)=0,"Spatial Data Missing ⚠",VLOOKUP(V247,'G-7 WaterC'' Data'!$AA$4:$AB$7,2,FALSE)))))</f>
        <v/>
      </c>
      <c r="X247" s="44"/>
      <c r="Y247" s="291" t="str">
        <f>IF(X247="","",IF(AND(X247="N/A - Culvert", C247&lt;&gt;"Culvert"), "Not possible ▲",IF(AND(C247="Culvert",X247&lt;&gt;"N/A - Culvert"),"Not possible ▲",IF(VLOOKUP(X247,'G-7 WaterC'' Data'!$AD$4:$AE$14,2,FALSE)=0,"Enrcoachment Data Missing ⚠",VLOOKUP(X247,'G-7 WaterC'' Data'!$AD$4:$AE$14,2,FALSE)))))</f>
        <v/>
      </c>
      <c r="Z247" s="332" t="str">
        <f t="shared" si="19"/>
        <v/>
      </c>
      <c r="AA247" s="98"/>
      <c r="AB247" s="99"/>
      <c r="AC247" s="101"/>
      <c r="AH247" s="15" t="str">
        <f>IFERROR(INDEX('G-7 WaterC'' Data'!$AZ$3:$AZ$7,MATCH(C247,'G-7 WaterC'' Data'!$AY$3:$AY$7,0)),"")</f>
        <v/>
      </c>
    </row>
    <row r="248" spans="2:34" ht="14" x14ac:dyDescent="0.3">
      <c r="B248" s="92">
        <v>237</v>
      </c>
      <c r="C248" s="119"/>
      <c r="D248" s="120"/>
      <c r="E248" s="290" t="str">
        <f>IF(C248="","",VLOOKUP(C248,'G-7 WaterC'' Data'!$B$2:$G$8,2,FALSE))</f>
        <v/>
      </c>
      <c r="F248" s="291" t="str">
        <f>IFERROR(VLOOKUP(E248,'G-7 WaterC'' Data'!$C$4:$D$8,2,FALSE),"")</f>
        <v/>
      </c>
      <c r="G248" s="95"/>
      <c r="H248" s="291" t="str">
        <f>IFERROR(INDEX('G-7 WaterC'' Data'!$H$4:$L$8,MATCH(C248,'G-7 WaterC'' Data'!$B$4:$B$8,0),MATCH(G248,'G-7 WaterC'' Data'!$H$3:$L$3,0)),"")</f>
        <v/>
      </c>
      <c r="I248" s="38"/>
      <c r="J248" s="298" t="str">
        <f>IF(I248="","",IF(VLOOKUP(I248,'G-7 WaterC'' Data'!$AK$4:$AM$6,2,FALSE)=0,"Spatial Data Missing ⚠",VLOOKUP(I248,'G-7 WaterC'' Data'!$AK$4:$AM$6,2,FALSE)))</f>
        <v/>
      </c>
      <c r="K248" s="291" t="str">
        <f>IF(I248="","",IF(VLOOKUP(I248,'G-7 WaterC'' Data'!$AK$4:$AM$6,3,FALSE)=0,"Spatial Data Missing ⚠",VLOOKUP(I248,'G-7 WaterC'' Data'!$AK$4:$AM$6,3,FALSE)))</f>
        <v/>
      </c>
      <c r="L248" s="290" t="str">
        <f>IFERROR(INDEX('G-7 WaterC'' Data'!$O$3:$O$7,MATCH(G248,'G-7 WaterC'' Data'!$N$3:$N$7,0)),"")</f>
        <v/>
      </c>
      <c r="M248" s="47"/>
      <c r="N248" s="138"/>
      <c r="O248" s="298" t="str">
        <f t="shared" si="15"/>
        <v/>
      </c>
      <c r="P248" s="311" t="str">
        <f t="shared" si="16"/>
        <v/>
      </c>
      <c r="Q248" s="344" t="str">
        <f>IFERROR(IF(P248="Check Data ⚠","Check Data ⚠",VLOOKUP(P248,'G-4 Temporal multipliers'!$A$4:$C$37,3,FALSE)),"")</f>
        <v/>
      </c>
      <c r="R248" s="290" t="str">
        <f>IF(C248="","",VLOOKUP(C248,'G-7 WaterC'' Data'!$B$4:$G$8,4,FALSE))</f>
        <v/>
      </c>
      <c r="S248" s="298" t="str">
        <f t="shared" si="17"/>
        <v/>
      </c>
      <c r="T248" s="328" t="str">
        <f t="shared" si="18"/>
        <v/>
      </c>
      <c r="U248" s="291" t="str">
        <f>IF(C248="","",VLOOKUP(T248,'G-3 Multipliers'!$P$2:$Q$6,2,FALSE))</f>
        <v/>
      </c>
      <c r="V248" s="96"/>
      <c r="W248" s="291" t="str">
        <f>IF(V248="","",IF(AND(V248="N/A - Culvert",C248&lt;&gt;"Culvert"),"Not possible ▲",IF(AND(C248="Culvert",V248&lt;&gt;"N/A - Culvert"),"Not possible ▲",IF(VLOOKUP(V248,'G-7 WaterC'' Data'!$AA$4:$AB$7,2,FALSE)=0,"Spatial Data Missing ⚠",VLOOKUP(V248,'G-7 WaterC'' Data'!$AA$4:$AB$7,2,FALSE)))))</f>
        <v/>
      </c>
      <c r="X248" s="44"/>
      <c r="Y248" s="291" t="str">
        <f>IF(X248="","",IF(AND(X248="N/A - Culvert", C248&lt;&gt;"Culvert"), "Not possible ▲",IF(AND(C248="Culvert",X248&lt;&gt;"N/A - Culvert"),"Not possible ▲",IF(VLOOKUP(X248,'G-7 WaterC'' Data'!$AD$4:$AE$14,2,FALSE)=0,"Enrcoachment Data Missing ⚠",VLOOKUP(X248,'G-7 WaterC'' Data'!$AD$4:$AE$14,2,FALSE)))))</f>
        <v/>
      </c>
      <c r="Z248" s="332" t="str">
        <f t="shared" si="19"/>
        <v/>
      </c>
      <c r="AA248" s="98"/>
      <c r="AB248" s="99"/>
      <c r="AC248" s="101"/>
      <c r="AH248" s="15" t="str">
        <f>IFERROR(INDEX('G-7 WaterC'' Data'!$AZ$3:$AZ$7,MATCH(C248,'G-7 WaterC'' Data'!$AY$3:$AY$7,0)),"")</f>
        <v/>
      </c>
    </row>
    <row r="249" spans="2:34" ht="14" x14ac:dyDescent="0.3">
      <c r="B249" s="92">
        <v>238</v>
      </c>
      <c r="C249" s="119"/>
      <c r="D249" s="120"/>
      <c r="E249" s="290" t="str">
        <f>IF(C249="","",VLOOKUP(C249,'G-7 WaterC'' Data'!$B$2:$G$8,2,FALSE))</f>
        <v/>
      </c>
      <c r="F249" s="291" t="str">
        <f>IFERROR(VLOOKUP(E249,'G-7 WaterC'' Data'!$C$4:$D$8,2,FALSE),"")</f>
        <v/>
      </c>
      <c r="G249" s="95"/>
      <c r="H249" s="291" t="str">
        <f>IFERROR(INDEX('G-7 WaterC'' Data'!$H$4:$L$8,MATCH(C249,'G-7 WaterC'' Data'!$B$4:$B$8,0),MATCH(G249,'G-7 WaterC'' Data'!$H$3:$L$3,0)),"")</f>
        <v/>
      </c>
      <c r="I249" s="38"/>
      <c r="J249" s="298" t="str">
        <f>IF(I249="","",IF(VLOOKUP(I249,'G-7 WaterC'' Data'!$AK$4:$AM$6,2,FALSE)=0,"Spatial Data Missing ⚠",VLOOKUP(I249,'G-7 WaterC'' Data'!$AK$4:$AM$6,2,FALSE)))</f>
        <v/>
      </c>
      <c r="K249" s="291" t="str">
        <f>IF(I249="","",IF(VLOOKUP(I249,'G-7 WaterC'' Data'!$AK$4:$AM$6,3,FALSE)=0,"Spatial Data Missing ⚠",VLOOKUP(I249,'G-7 WaterC'' Data'!$AK$4:$AM$6,3,FALSE)))</f>
        <v/>
      </c>
      <c r="L249" s="290" t="str">
        <f>IFERROR(INDEX('G-7 WaterC'' Data'!$O$3:$O$7,MATCH(G249,'G-7 WaterC'' Data'!$N$3:$N$7,0)),"")</f>
        <v/>
      </c>
      <c r="M249" s="47"/>
      <c r="N249" s="138"/>
      <c r="O249" s="298" t="str">
        <f t="shared" si="15"/>
        <v/>
      </c>
      <c r="P249" s="311" t="str">
        <f t="shared" si="16"/>
        <v/>
      </c>
      <c r="Q249" s="344" t="str">
        <f>IFERROR(IF(P249="Check Data ⚠","Check Data ⚠",VLOOKUP(P249,'G-4 Temporal multipliers'!$A$4:$C$37,3,FALSE)),"")</f>
        <v/>
      </c>
      <c r="R249" s="290" t="str">
        <f>IF(C249="","",VLOOKUP(C249,'G-7 WaterC'' Data'!$B$4:$G$8,4,FALSE))</f>
        <v/>
      </c>
      <c r="S249" s="298" t="str">
        <f t="shared" si="17"/>
        <v/>
      </c>
      <c r="T249" s="328" t="str">
        <f t="shared" si="18"/>
        <v/>
      </c>
      <c r="U249" s="291" t="str">
        <f>IF(C249="","",VLOOKUP(T249,'G-3 Multipliers'!$P$2:$Q$6,2,FALSE))</f>
        <v/>
      </c>
      <c r="V249" s="96"/>
      <c r="W249" s="291" t="str">
        <f>IF(V249="","",IF(AND(V249="N/A - Culvert",C249&lt;&gt;"Culvert"),"Not possible ▲",IF(AND(C249="Culvert",V249&lt;&gt;"N/A - Culvert"),"Not possible ▲",IF(VLOOKUP(V249,'G-7 WaterC'' Data'!$AA$4:$AB$7,2,FALSE)=0,"Spatial Data Missing ⚠",VLOOKUP(V249,'G-7 WaterC'' Data'!$AA$4:$AB$7,2,FALSE)))))</f>
        <v/>
      </c>
      <c r="X249" s="44"/>
      <c r="Y249" s="291" t="str">
        <f>IF(X249="","",IF(AND(X249="N/A - Culvert", C249&lt;&gt;"Culvert"), "Not possible ▲",IF(AND(C249="Culvert",X249&lt;&gt;"N/A - Culvert"),"Not possible ▲",IF(VLOOKUP(X249,'G-7 WaterC'' Data'!$AD$4:$AE$14,2,FALSE)=0,"Enrcoachment Data Missing ⚠",VLOOKUP(X249,'G-7 WaterC'' Data'!$AD$4:$AE$14,2,FALSE)))))</f>
        <v/>
      </c>
      <c r="Z249" s="332" t="str">
        <f t="shared" si="19"/>
        <v/>
      </c>
      <c r="AA249" s="98"/>
      <c r="AB249" s="99"/>
      <c r="AC249" s="101"/>
      <c r="AH249" s="15" t="str">
        <f>IFERROR(INDEX('G-7 WaterC'' Data'!$AZ$3:$AZ$7,MATCH(C249,'G-7 WaterC'' Data'!$AY$3:$AY$7,0)),"")</f>
        <v/>
      </c>
    </row>
    <row r="250" spans="2:34" ht="14" x14ac:dyDescent="0.3">
      <c r="B250" s="92">
        <v>239</v>
      </c>
      <c r="C250" s="119"/>
      <c r="D250" s="120"/>
      <c r="E250" s="290" t="str">
        <f>IF(C250="","",VLOOKUP(C250,'G-7 WaterC'' Data'!$B$2:$G$8,2,FALSE))</f>
        <v/>
      </c>
      <c r="F250" s="291" t="str">
        <f>IFERROR(VLOOKUP(E250,'G-7 WaterC'' Data'!$C$4:$D$8,2,FALSE),"")</f>
        <v/>
      </c>
      <c r="G250" s="95"/>
      <c r="H250" s="291" t="str">
        <f>IFERROR(INDEX('G-7 WaterC'' Data'!$H$4:$L$8,MATCH(C250,'G-7 WaterC'' Data'!$B$4:$B$8,0),MATCH(G250,'G-7 WaterC'' Data'!$H$3:$L$3,0)),"")</f>
        <v/>
      </c>
      <c r="I250" s="38"/>
      <c r="J250" s="298" t="str">
        <f>IF(I250="","",IF(VLOOKUP(I250,'G-7 WaterC'' Data'!$AK$4:$AM$6,2,FALSE)=0,"Spatial Data Missing ⚠",VLOOKUP(I250,'G-7 WaterC'' Data'!$AK$4:$AM$6,2,FALSE)))</f>
        <v/>
      </c>
      <c r="K250" s="291" t="str">
        <f>IF(I250="","",IF(VLOOKUP(I250,'G-7 WaterC'' Data'!$AK$4:$AM$6,3,FALSE)=0,"Spatial Data Missing ⚠",VLOOKUP(I250,'G-7 WaterC'' Data'!$AK$4:$AM$6,3,FALSE)))</f>
        <v/>
      </c>
      <c r="L250" s="290" t="str">
        <f>IFERROR(INDEX('G-7 WaterC'' Data'!$O$3:$O$7,MATCH(G250,'G-7 WaterC'' Data'!$N$3:$N$7,0)),"")</f>
        <v/>
      </c>
      <c r="M250" s="47"/>
      <c r="N250" s="138"/>
      <c r="O250" s="298" t="str">
        <f t="shared" si="15"/>
        <v/>
      </c>
      <c r="P250" s="311" t="str">
        <f t="shared" si="16"/>
        <v/>
      </c>
      <c r="Q250" s="344" t="str">
        <f>IFERROR(IF(P250="Check Data ⚠","Check Data ⚠",VLOOKUP(P250,'G-4 Temporal multipliers'!$A$4:$C$37,3,FALSE)),"")</f>
        <v/>
      </c>
      <c r="R250" s="290" t="str">
        <f>IF(C250="","",VLOOKUP(C250,'G-7 WaterC'' Data'!$B$4:$G$8,4,FALSE))</f>
        <v/>
      </c>
      <c r="S250" s="298" t="str">
        <f t="shared" si="17"/>
        <v/>
      </c>
      <c r="T250" s="328" t="str">
        <f t="shared" si="18"/>
        <v/>
      </c>
      <c r="U250" s="291" t="str">
        <f>IF(C250="","",VLOOKUP(T250,'G-3 Multipliers'!$P$2:$Q$6,2,FALSE))</f>
        <v/>
      </c>
      <c r="V250" s="96"/>
      <c r="W250" s="291" t="str">
        <f>IF(V250="","",IF(AND(V250="N/A - Culvert",C250&lt;&gt;"Culvert"),"Not possible ▲",IF(AND(C250="Culvert",V250&lt;&gt;"N/A - Culvert"),"Not possible ▲",IF(VLOOKUP(V250,'G-7 WaterC'' Data'!$AA$4:$AB$7,2,FALSE)=0,"Spatial Data Missing ⚠",VLOOKUP(V250,'G-7 WaterC'' Data'!$AA$4:$AB$7,2,FALSE)))))</f>
        <v/>
      </c>
      <c r="X250" s="44"/>
      <c r="Y250" s="291" t="str">
        <f>IF(X250="","",IF(AND(X250="N/A - Culvert", C250&lt;&gt;"Culvert"), "Not possible ▲",IF(AND(C250="Culvert",X250&lt;&gt;"N/A - Culvert"),"Not possible ▲",IF(VLOOKUP(X250,'G-7 WaterC'' Data'!$AD$4:$AE$14,2,FALSE)=0,"Enrcoachment Data Missing ⚠",VLOOKUP(X250,'G-7 WaterC'' Data'!$AD$4:$AE$14,2,FALSE)))))</f>
        <v/>
      </c>
      <c r="Z250" s="332" t="str">
        <f t="shared" si="19"/>
        <v/>
      </c>
      <c r="AA250" s="98"/>
      <c r="AB250" s="99"/>
      <c r="AC250" s="101"/>
      <c r="AH250" s="15" t="str">
        <f>IFERROR(INDEX('G-7 WaterC'' Data'!$AZ$3:$AZ$7,MATCH(C250,'G-7 WaterC'' Data'!$AY$3:$AY$7,0)),"")</f>
        <v/>
      </c>
    </row>
    <row r="251" spans="2:34" ht="14" x14ac:dyDescent="0.3">
      <c r="B251" s="92">
        <v>240</v>
      </c>
      <c r="C251" s="119"/>
      <c r="D251" s="120"/>
      <c r="E251" s="290" t="str">
        <f>IF(C251="","",VLOOKUP(C251,'G-7 WaterC'' Data'!$B$2:$G$8,2,FALSE))</f>
        <v/>
      </c>
      <c r="F251" s="291" t="str">
        <f>IFERROR(VLOOKUP(E251,'G-7 WaterC'' Data'!$C$4:$D$8,2,FALSE),"")</f>
        <v/>
      </c>
      <c r="G251" s="95"/>
      <c r="H251" s="291" t="str">
        <f>IFERROR(INDEX('G-7 WaterC'' Data'!$H$4:$L$8,MATCH(C251,'G-7 WaterC'' Data'!$B$4:$B$8,0),MATCH(G251,'G-7 WaterC'' Data'!$H$3:$L$3,0)),"")</f>
        <v/>
      </c>
      <c r="I251" s="38"/>
      <c r="J251" s="298" t="str">
        <f>IF(I251="","",IF(VLOOKUP(I251,'G-7 WaterC'' Data'!$AK$4:$AM$6,2,FALSE)=0,"Spatial Data Missing ⚠",VLOOKUP(I251,'G-7 WaterC'' Data'!$AK$4:$AM$6,2,FALSE)))</f>
        <v/>
      </c>
      <c r="K251" s="291" t="str">
        <f>IF(I251="","",IF(VLOOKUP(I251,'G-7 WaterC'' Data'!$AK$4:$AM$6,3,FALSE)=0,"Spatial Data Missing ⚠",VLOOKUP(I251,'G-7 WaterC'' Data'!$AK$4:$AM$6,3,FALSE)))</f>
        <v/>
      </c>
      <c r="L251" s="290" t="str">
        <f>IFERROR(INDEX('G-7 WaterC'' Data'!$O$3:$O$7,MATCH(G251,'G-7 WaterC'' Data'!$N$3:$N$7,0)),"")</f>
        <v/>
      </c>
      <c r="M251" s="47"/>
      <c r="N251" s="138"/>
      <c r="O251" s="298" t="str">
        <f t="shared" si="15"/>
        <v/>
      </c>
      <c r="P251" s="311" t="str">
        <f t="shared" si="16"/>
        <v/>
      </c>
      <c r="Q251" s="344" t="str">
        <f>IFERROR(IF(P251="Check Data ⚠","Check Data ⚠",VLOOKUP(P251,'G-4 Temporal multipliers'!$A$4:$C$37,3,FALSE)),"")</f>
        <v/>
      </c>
      <c r="R251" s="290" t="str">
        <f>IF(C251="","",VLOOKUP(C251,'G-7 WaterC'' Data'!$B$4:$G$8,4,FALSE))</f>
        <v/>
      </c>
      <c r="S251" s="298" t="str">
        <f t="shared" si="17"/>
        <v/>
      </c>
      <c r="T251" s="328" t="str">
        <f t="shared" si="18"/>
        <v/>
      </c>
      <c r="U251" s="291" t="str">
        <f>IF(C251="","",VLOOKUP(T251,'G-3 Multipliers'!$P$2:$Q$6,2,FALSE))</f>
        <v/>
      </c>
      <c r="V251" s="96"/>
      <c r="W251" s="291" t="str">
        <f>IF(V251="","",IF(AND(V251="N/A - Culvert",C251&lt;&gt;"Culvert"),"Not possible ▲",IF(AND(C251="Culvert",V251&lt;&gt;"N/A - Culvert"),"Not possible ▲",IF(VLOOKUP(V251,'G-7 WaterC'' Data'!$AA$4:$AB$7,2,FALSE)=0,"Spatial Data Missing ⚠",VLOOKUP(V251,'G-7 WaterC'' Data'!$AA$4:$AB$7,2,FALSE)))))</f>
        <v/>
      </c>
      <c r="X251" s="44"/>
      <c r="Y251" s="291" t="str">
        <f>IF(X251="","",IF(AND(X251="N/A - Culvert", C251&lt;&gt;"Culvert"), "Not possible ▲",IF(AND(C251="Culvert",X251&lt;&gt;"N/A - Culvert"),"Not possible ▲",IF(VLOOKUP(X251,'G-7 WaterC'' Data'!$AD$4:$AE$14,2,FALSE)=0,"Enrcoachment Data Missing ⚠",VLOOKUP(X251,'G-7 WaterC'' Data'!$AD$4:$AE$14,2,FALSE)))))</f>
        <v/>
      </c>
      <c r="Z251" s="332" t="str">
        <f t="shared" si="19"/>
        <v/>
      </c>
      <c r="AA251" s="98"/>
      <c r="AB251" s="99"/>
      <c r="AC251" s="101"/>
      <c r="AH251" s="15" t="str">
        <f>IFERROR(INDEX('G-7 WaterC'' Data'!$AZ$3:$AZ$7,MATCH(C251,'G-7 WaterC'' Data'!$AY$3:$AY$7,0)),"")</f>
        <v/>
      </c>
    </row>
    <row r="252" spans="2:34" ht="14" x14ac:dyDescent="0.3">
      <c r="B252" s="92">
        <v>241</v>
      </c>
      <c r="C252" s="119"/>
      <c r="D252" s="120"/>
      <c r="E252" s="290" t="str">
        <f>IF(C252="","",VLOOKUP(C252,'G-7 WaterC'' Data'!$B$2:$G$8,2,FALSE))</f>
        <v/>
      </c>
      <c r="F252" s="291" t="str">
        <f>IFERROR(VLOOKUP(E252,'G-7 WaterC'' Data'!$C$4:$D$8,2,FALSE),"")</f>
        <v/>
      </c>
      <c r="G252" s="95"/>
      <c r="H252" s="291" t="str">
        <f>IFERROR(INDEX('G-7 WaterC'' Data'!$H$4:$L$8,MATCH(C252,'G-7 WaterC'' Data'!$B$4:$B$8,0),MATCH(G252,'G-7 WaterC'' Data'!$H$3:$L$3,0)),"")</f>
        <v/>
      </c>
      <c r="I252" s="38"/>
      <c r="J252" s="298" t="str">
        <f>IF(I252="","",IF(VLOOKUP(I252,'G-7 WaterC'' Data'!$AK$4:$AM$6,2,FALSE)=0,"Spatial Data Missing ⚠",VLOOKUP(I252,'G-7 WaterC'' Data'!$AK$4:$AM$6,2,FALSE)))</f>
        <v/>
      </c>
      <c r="K252" s="291" t="str">
        <f>IF(I252="","",IF(VLOOKUP(I252,'G-7 WaterC'' Data'!$AK$4:$AM$6,3,FALSE)=0,"Spatial Data Missing ⚠",VLOOKUP(I252,'G-7 WaterC'' Data'!$AK$4:$AM$6,3,FALSE)))</f>
        <v/>
      </c>
      <c r="L252" s="290" t="str">
        <f>IFERROR(INDEX('G-7 WaterC'' Data'!$O$3:$O$7,MATCH(G252,'G-7 WaterC'' Data'!$N$3:$N$7,0)),"")</f>
        <v/>
      </c>
      <c r="M252" s="47"/>
      <c r="N252" s="138"/>
      <c r="O252" s="298" t="str">
        <f t="shared" si="15"/>
        <v/>
      </c>
      <c r="P252" s="311" t="str">
        <f t="shared" si="16"/>
        <v/>
      </c>
      <c r="Q252" s="344" t="str">
        <f>IFERROR(IF(P252="Check Data ⚠","Check Data ⚠",VLOOKUP(P252,'G-4 Temporal multipliers'!$A$4:$C$37,3,FALSE)),"")</f>
        <v/>
      </c>
      <c r="R252" s="290" t="str">
        <f>IF(C252="","",VLOOKUP(C252,'G-7 WaterC'' Data'!$B$4:$G$8,4,FALSE))</f>
        <v/>
      </c>
      <c r="S252" s="298" t="str">
        <f t="shared" si="17"/>
        <v/>
      </c>
      <c r="T252" s="328" t="str">
        <f t="shared" si="18"/>
        <v/>
      </c>
      <c r="U252" s="291" t="str">
        <f>IF(C252="","",VLOOKUP(T252,'G-3 Multipliers'!$P$2:$Q$6,2,FALSE))</f>
        <v/>
      </c>
      <c r="V252" s="96"/>
      <c r="W252" s="291" t="str">
        <f>IF(V252="","",IF(AND(V252="N/A - Culvert",C252&lt;&gt;"Culvert"),"Not possible ▲",IF(AND(C252="Culvert",V252&lt;&gt;"N/A - Culvert"),"Not possible ▲",IF(VLOOKUP(V252,'G-7 WaterC'' Data'!$AA$4:$AB$7,2,FALSE)=0,"Spatial Data Missing ⚠",VLOOKUP(V252,'G-7 WaterC'' Data'!$AA$4:$AB$7,2,FALSE)))))</f>
        <v/>
      </c>
      <c r="X252" s="44"/>
      <c r="Y252" s="291" t="str">
        <f>IF(X252="","",IF(AND(X252="N/A - Culvert", C252&lt;&gt;"Culvert"), "Not possible ▲",IF(AND(C252="Culvert",X252&lt;&gt;"N/A - Culvert"),"Not possible ▲",IF(VLOOKUP(X252,'G-7 WaterC'' Data'!$AD$4:$AE$14,2,FALSE)=0,"Enrcoachment Data Missing ⚠",VLOOKUP(X252,'G-7 WaterC'' Data'!$AD$4:$AE$14,2,FALSE)))))</f>
        <v/>
      </c>
      <c r="Z252" s="332" t="str">
        <f t="shared" si="19"/>
        <v/>
      </c>
      <c r="AA252" s="98"/>
      <c r="AB252" s="99"/>
      <c r="AC252" s="101"/>
      <c r="AH252" s="15" t="str">
        <f>IFERROR(INDEX('G-7 WaterC'' Data'!$AZ$3:$AZ$7,MATCH(C252,'G-7 WaterC'' Data'!$AY$3:$AY$7,0)),"")</f>
        <v/>
      </c>
    </row>
    <row r="253" spans="2:34" ht="14" x14ac:dyDescent="0.3">
      <c r="B253" s="92">
        <v>242</v>
      </c>
      <c r="C253" s="119"/>
      <c r="D253" s="120"/>
      <c r="E253" s="290" t="str">
        <f>IF(C253="","",VLOOKUP(C253,'G-7 WaterC'' Data'!$B$2:$G$8,2,FALSE))</f>
        <v/>
      </c>
      <c r="F253" s="291" t="str">
        <f>IFERROR(VLOOKUP(E253,'G-7 WaterC'' Data'!$C$4:$D$8,2,FALSE),"")</f>
        <v/>
      </c>
      <c r="G253" s="95"/>
      <c r="H253" s="291" t="str">
        <f>IFERROR(INDEX('G-7 WaterC'' Data'!$H$4:$L$8,MATCH(C253,'G-7 WaterC'' Data'!$B$4:$B$8,0),MATCH(G253,'G-7 WaterC'' Data'!$H$3:$L$3,0)),"")</f>
        <v/>
      </c>
      <c r="I253" s="38"/>
      <c r="J253" s="298" t="str">
        <f>IF(I253="","",IF(VLOOKUP(I253,'G-7 WaterC'' Data'!$AK$4:$AM$6,2,FALSE)=0,"Spatial Data Missing ⚠",VLOOKUP(I253,'G-7 WaterC'' Data'!$AK$4:$AM$6,2,FALSE)))</f>
        <v/>
      </c>
      <c r="K253" s="291" t="str">
        <f>IF(I253="","",IF(VLOOKUP(I253,'G-7 WaterC'' Data'!$AK$4:$AM$6,3,FALSE)=0,"Spatial Data Missing ⚠",VLOOKUP(I253,'G-7 WaterC'' Data'!$AK$4:$AM$6,3,FALSE)))</f>
        <v/>
      </c>
      <c r="L253" s="290" t="str">
        <f>IFERROR(INDEX('G-7 WaterC'' Data'!$O$3:$O$7,MATCH(G253,'G-7 WaterC'' Data'!$N$3:$N$7,0)),"")</f>
        <v/>
      </c>
      <c r="M253" s="47"/>
      <c r="N253" s="138"/>
      <c r="O253" s="298" t="str">
        <f t="shared" si="15"/>
        <v/>
      </c>
      <c r="P253" s="311" t="str">
        <f t="shared" si="16"/>
        <v/>
      </c>
      <c r="Q253" s="344" t="str">
        <f>IFERROR(IF(P253="Check Data ⚠","Check Data ⚠",VLOOKUP(P253,'G-4 Temporal multipliers'!$A$4:$C$37,3,FALSE)),"")</f>
        <v/>
      </c>
      <c r="R253" s="290" t="str">
        <f>IF(C253="","",VLOOKUP(C253,'G-7 WaterC'' Data'!$B$4:$G$8,4,FALSE))</f>
        <v/>
      </c>
      <c r="S253" s="298" t="str">
        <f t="shared" si="17"/>
        <v/>
      </c>
      <c r="T253" s="328" t="str">
        <f t="shared" si="18"/>
        <v/>
      </c>
      <c r="U253" s="291" t="str">
        <f>IF(C253="","",VLOOKUP(T253,'G-3 Multipliers'!$P$2:$Q$6,2,FALSE))</f>
        <v/>
      </c>
      <c r="V253" s="96"/>
      <c r="W253" s="291" t="str">
        <f>IF(V253="","",IF(AND(V253="N/A - Culvert",C253&lt;&gt;"Culvert"),"Not possible ▲",IF(AND(C253="Culvert",V253&lt;&gt;"N/A - Culvert"),"Not possible ▲",IF(VLOOKUP(V253,'G-7 WaterC'' Data'!$AA$4:$AB$7,2,FALSE)=0,"Spatial Data Missing ⚠",VLOOKUP(V253,'G-7 WaterC'' Data'!$AA$4:$AB$7,2,FALSE)))))</f>
        <v/>
      </c>
      <c r="X253" s="44"/>
      <c r="Y253" s="291" t="str">
        <f>IF(X253="","",IF(AND(X253="N/A - Culvert", C253&lt;&gt;"Culvert"), "Not possible ▲",IF(AND(C253="Culvert",X253&lt;&gt;"N/A - Culvert"),"Not possible ▲",IF(VLOOKUP(X253,'G-7 WaterC'' Data'!$AD$4:$AE$14,2,FALSE)=0,"Enrcoachment Data Missing ⚠",VLOOKUP(X253,'G-7 WaterC'' Data'!$AD$4:$AE$14,2,FALSE)))))</f>
        <v/>
      </c>
      <c r="Z253" s="332" t="str">
        <f t="shared" si="19"/>
        <v/>
      </c>
      <c r="AA253" s="98"/>
      <c r="AB253" s="99"/>
      <c r="AC253" s="101"/>
      <c r="AH253" s="15" t="str">
        <f>IFERROR(INDEX('G-7 WaterC'' Data'!$AZ$3:$AZ$7,MATCH(C253,'G-7 WaterC'' Data'!$AY$3:$AY$7,0)),"")</f>
        <v/>
      </c>
    </row>
    <row r="254" spans="2:34" ht="14" x14ac:dyDescent="0.3">
      <c r="B254" s="92">
        <v>243</v>
      </c>
      <c r="C254" s="119"/>
      <c r="D254" s="120"/>
      <c r="E254" s="290" t="str">
        <f>IF(C254="","",VLOOKUP(C254,'G-7 WaterC'' Data'!$B$2:$G$8,2,FALSE))</f>
        <v/>
      </c>
      <c r="F254" s="291" t="str">
        <f>IFERROR(VLOOKUP(E254,'G-7 WaterC'' Data'!$C$4:$D$8,2,FALSE),"")</f>
        <v/>
      </c>
      <c r="G254" s="95"/>
      <c r="H254" s="291" t="str">
        <f>IFERROR(INDEX('G-7 WaterC'' Data'!$H$4:$L$8,MATCH(C254,'G-7 WaterC'' Data'!$B$4:$B$8,0),MATCH(G254,'G-7 WaterC'' Data'!$H$3:$L$3,0)),"")</f>
        <v/>
      </c>
      <c r="I254" s="38"/>
      <c r="J254" s="298" t="str">
        <f>IF(I254="","",IF(VLOOKUP(I254,'G-7 WaterC'' Data'!$AK$4:$AM$6,2,FALSE)=0,"Spatial Data Missing ⚠",VLOOKUP(I254,'G-7 WaterC'' Data'!$AK$4:$AM$6,2,FALSE)))</f>
        <v/>
      </c>
      <c r="K254" s="291" t="str">
        <f>IF(I254="","",IF(VLOOKUP(I254,'G-7 WaterC'' Data'!$AK$4:$AM$6,3,FALSE)=0,"Spatial Data Missing ⚠",VLOOKUP(I254,'G-7 WaterC'' Data'!$AK$4:$AM$6,3,FALSE)))</f>
        <v/>
      </c>
      <c r="L254" s="290" t="str">
        <f>IFERROR(INDEX('G-7 WaterC'' Data'!$O$3:$O$7,MATCH(G254,'G-7 WaterC'' Data'!$N$3:$N$7,0)),"")</f>
        <v/>
      </c>
      <c r="M254" s="47"/>
      <c r="N254" s="138"/>
      <c r="O254" s="298" t="str">
        <f t="shared" si="15"/>
        <v/>
      </c>
      <c r="P254" s="311" t="str">
        <f t="shared" si="16"/>
        <v/>
      </c>
      <c r="Q254" s="344" t="str">
        <f>IFERROR(IF(P254="Check Data ⚠","Check Data ⚠",VLOOKUP(P254,'G-4 Temporal multipliers'!$A$4:$C$37,3,FALSE)),"")</f>
        <v/>
      </c>
      <c r="R254" s="290" t="str">
        <f>IF(C254="","",VLOOKUP(C254,'G-7 WaterC'' Data'!$B$4:$G$8,4,FALSE))</f>
        <v/>
      </c>
      <c r="S254" s="298" t="str">
        <f t="shared" si="17"/>
        <v/>
      </c>
      <c r="T254" s="328" t="str">
        <f t="shared" si="18"/>
        <v/>
      </c>
      <c r="U254" s="291" t="str">
        <f>IF(C254="","",VLOOKUP(T254,'G-3 Multipliers'!$P$2:$Q$6,2,FALSE))</f>
        <v/>
      </c>
      <c r="V254" s="96"/>
      <c r="W254" s="291" t="str">
        <f>IF(V254="","",IF(AND(V254="N/A - Culvert",C254&lt;&gt;"Culvert"),"Not possible ▲",IF(AND(C254="Culvert",V254&lt;&gt;"N/A - Culvert"),"Not possible ▲",IF(VLOOKUP(V254,'G-7 WaterC'' Data'!$AA$4:$AB$7,2,FALSE)=0,"Spatial Data Missing ⚠",VLOOKUP(V254,'G-7 WaterC'' Data'!$AA$4:$AB$7,2,FALSE)))))</f>
        <v/>
      </c>
      <c r="X254" s="44"/>
      <c r="Y254" s="291" t="str">
        <f>IF(X254="","",IF(AND(X254="N/A - Culvert", C254&lt;&gt;"Culvert"), "Not possible ▲",IF(AND(C254="Culvert",X254&lt;&gt;"N/A - Culvert"),"Not possible ▲",IF(VLOOKUP(X254,'G-7 WaterC'' Data'!$AD$4:$AE$14,2,FALSE)=0,"Enrcoachment Data Missing ⚠",VLOOKUP(X254,'G-7 WaterC'' Data'!$AD$4:$AE$14,2,FALSE)))))</f>
        <v/>
      </c>
      <c r="Z254" s="332" t="str">
        <f t="shared" si="19"/>
        <v/>
      </c>
      <c r="AA254" s="98"/>
      <c r="AB254" s="99"/>
      <c r="AC254" s="101"/>
      <c r="AH254" s="15" t="str">
        <f>IFERROR(INDEX('G-7 WaterC'' Data'!$AZ$3:$AZ$7,MATCH(C254,'G-7 WaterC'' Data'!$AY$3:$AY$7,0)),"")</f>
        <v/>
      </c>
    </row>
    <row r="255" spans="2:34" ht="14" x14ac:dyDescent="0.3">
      <c r="B255" s="92">
        <v>244</v>
      </c>
      <c r="C255" s="119"/>
      <c r="D255" s="120"/>
      <c r="E255" s="290" t="str">
        <f>IF(C255="","",VLOOKUP(C255,'G-7 WaterC'' Data'!$B$2:$G$8,2,FALSE))</f>
        <v/>
      </c>
      <c r="F255" s="291" t="str">
        <f>IFERROR(VLOOKUP(E255,'G-7 WaterC'' Data'!$C$4:$D$8,2,FALSE),"")</f>
        <v/>
      </c>
      <c r="G255" s="95"/>
      <c r="H255" s="291" t="str">
        <f>IFERROR(INDEX('G-7 WaterC'' Data'!$H$4:$L$8,MATCH(C255,'G-7 WaterC'' Data'!$B$4:$B$8,0),MATCH(G255,'G-7 WaterC'' Data'!$H$3:$L$3,0)),"")</f>
        <v/>
      </c>
      <c r="I255" s="38"/>
      <c r="J255" s="298" t="str">
        <f>IF(I255="","",IF(VLOOKUP(I255,'G-7 WaterC'' Data'!$AK$4:$AM$6,2,FALSE)=0,"Spatial Data Missing ⚠",VLOOKUP(I255,'G-7 WaterC'' Data'!$AK$4:$AM$6,2,FALSE)))</f>
        <v/>
      </c>
      <c r="K255" s="291" t="str">
        <f>IF(I255="","",IF(VLOOKUP(I255,'G-7 WaterC'' Data'!$AK$4:$AM$6,3,FALSE)=0,"Spatial Data Missing ⚠",VLOOKUP(I255,'G-7 WaterC'' Data'!$AK$4:$AM$6,3,FALSE)))</f>
        <v/>
      </c>
      <c r="L255" s="290" t="str">
        <f>IFERROR(INDEX('G-7 WaterC'' Data'!$O$3:$O$7,MATCH(G255,'G-7 WaterC'' Data'!$N$3:$N$7,0)),"")</f>
        <v/>
      </c>
      <c r="M255" s="47"/>
      <c r="N255" s="138"/>
      <c r="O255" s="298" t="str">
        <f t="shared" si="15"/>
        <v/>
      </c>
      <c r="P255" s="311" t="str">
        <f t="shared" si="16"/>
        <v/>
      </c>
      <c r="Q255" s="344" t="str">
        <f>IFERROR(IF(P255="Check Data ⚠","Check Data ⚠",VLOOKUP(P255,'G-4 Temporal multipliers'!$A$4:$C$37,3,FALSE)),"")</f>
        <v/>
      </c>
      <c r="R255" s="290" t="str">
        <f>IF(C255="","",VLOOKUP(C255,'G-7 WaterC'' Data'!$B$4:$G$8,4,FALSE))</f>
        <v/>
      </c>
      <c r="S255" s="298" t="str">
        <f t="shared" si="17"/>
        <v/>
      </c>
      <c r="T255" s="328" t="str">
        <f t="shared" si="18"/>
        <v/>
      </c>
      <c r="U255" s="291" t="str">
        <f>IF(C255="","",VLOOKUP(T255,'G-3 Multipliers'!$P$2:$Q$6,2,FALSE))</f>
        <v/>
      </c>
      <c r="V255" s="96"/>
      <c r="W255" s="291" t="str">
        <f>IF(V255="","",IF(AND(V255="N/A - Culvert",C255&lt;&gt;"Culvert"),"Not possible ▲",IF(AND(C255="Culvert",V255&lt;&gt;"N/A - Culvert"),"Not possible ▲",IF(VLOOKUP(V255,'G-7 WaterC'' Data'!$AA$4:$AB$7,2,FALSE)=0,"Spatial Data Missing ⚠",VLOOKUP(V255,'G-7 WaterC'' Data'!$AA$4:$AB$7,2,FALSE)))))</f>
        <v/>
      </c>
      <c r="X255" s="44"/>
      <c r="Y255" s="291" t="str">
        <f>IF(X255="","",IF(AND(X255="N/A - Culvert", C255&lt;&gt;"Culvert"), "Not possible ▲",IF(AND(C255="Culvert",X255&lt;&gt;"N/A - Culvert"),"Not possible ▲",IF(VLOOKUP(X255,'G-7 WaterC'' Data'!$AD$4:$AE$14,2,FALSE)=0,"Enrcoachment Data Missing ⚠",VLOOKUP(X255,'G-7 WaterC'' Data'!$AD$4:$AE$14,2,FALSE)))))</f>
        <v/>
      </c>
      <c r="Z255" s="332" t="str">
        <f t="shared" si="19"/>
        <v/>
      </c>
      <c r="AA255" s="98"/>
      <c r="AB255" s="99"/>
      <c r="AC255" s="101"/>
      <c r="AH255" s="15" t="str">
        <f>IFERROR(INDEX('G-7 WaterC'' Data'!$AZ$3:$AZ$7,MATCH(C255,'G-7 WaterC'' Data'!$AY$3:$AY$7,0)),"")</f>
        <v/>
      </c>
    </row>
    <row r="256" spans="2:34" ht="14" x14ac:dyDescent="0.3">
      <c r="B256" s="92">
        <v>245</v>
      </c>
      <c r="C256" s="119"/>
      <c r="D256" s="120"/>
      <c r="E256" s="290" t="str">
        <f>IF(C256="","",VLOOKUP(C256,'G-7 WaterC'' Data'!$B$2:$G$8,2,FALSE))</f>
        <v/>
      </c>
      <c r="F256" s="291" t="str">
        <f>IFERROR(VLOOKUP(E256,'G-7 WaterC'' Data'!$C$4:$D$8,2,FALSE),"")</f>
        <v/>
      </c>
      <c r="G256" s="95"/>
      <c r="H256" s="291" t="str">
        <f>IFERROR(INDEX('G-7 WaterC'' Data'!$H$4:$L$8,MATCH(C256,'G-7 WaterC'' Data'!$B$4:$B$8,0),MATCH(G256,'G-7 WaterC'' Data'!$H$3:$L$3,0)),"")</f>
        <v/>
      </c>
      <c r="I256" s="38"/>
      <c r="J256" s="298" t="str">
        <f>IF(I256="","",IF(VLOOKUP(I256,'G-7 WaterC'' Data'!$AK$4:$AM$6,2,FALSE)=0,"Spatial Data Missing ⚠",VLOOKUP(I256,'G-7 WaterC'' Data'!$AK$4:$AM$6,2,FALSE)))</f>
        <v/>
      </c>
      <c r="K256" s="291" t="str">
        <f>IF(I256="","",IF(VLOOKUP(I256,'G-7 WaterC'' Data'!$AK$4:$AM$6,3,FALSE)=0,"Spatial Data Missing ⚠",VLOOKUP(I256,'G-7 WaterC'' Data'!$AK$4:$AM$6,3,FALSE)))</f>
        <v/>
      </c>
      <c r="L256" s="290" t="str">
        <f>IFERROR(INDEX('G-7 WaterC'' Data'!$O$3:$O$7,MATCH(G256,'G-7 WaterC'' Data'!$N$3:$N$7,0)),"")</f>
        <v/>
      </c>
      <c r="M256" s="47"/>
      <c r="N256" s="138"/>
      <c r="O256" s="298" t="str">
        <f t="shared" si="15"/>
        <v/>
      </c>
      <c r="P256" s="311" t="str">
        <f t="shared" si="16"/>
        <v/>
      </c>
      <c r="Q256" s="344" t="str">
        <f>IFERROR(IF(P256="Check Data ⚠","Check Data ⚠",VLOOKUP(P256,'G-4 Temporal multipliers'!$A$4:$C$37,3,FALSE)),"")</f>
        <v/>
      </c>
      <c r="R256" s="290" t="str">
        <f>IF(C256="","",VLOOKUP(C256,'G-7 WaterC'' Data'!$B$4:$G$8,4,FALSE))</f>
        <v/>
      </c>
      <c r="S256" s="298" t="str">
        <f t="shared" si="17"/>
        <v/>
      </c>
      <c r="T256" s="328" t="str">
        <f t="shared" si="18"/>
        <v/>
      </c>
      <c r="U256" s="291" t="str">
        <f>IF(C256="","",VLOOKUP(T256,'G-3 Multipliers'!$P$2:$Q$6,2,FALSE))</f>
        <v/>
      </c>
      <c r="V256" s="96"/>
      <c r="W256" s="291" t="str">
        <f>IF(V256="","",IF(AND(V256="N/A - Culvert",C256&lt;&gt;"Culvert"),"Not possible ▲",IF(AND(C256="Culvert",V256&lt;&gt;"N/A - Culvert"),"Not possible ▲",IF(VLOOKUP(V256,'G-7 WaterC'' Data'!$AA$4:$AB$7,2,FALSE)=0,"Spatial Data Missing ⚠",VLOOKUP(V256,'G-7 WaterC'' Data'!$AA$4:$AB$7,2,FALSE)))))</f>
        <v/>
      </c>
      <c r="X256" s="44"/>
      <c r="Y256" s="291" t="str">
        <f>IF(X256="","",IF(AND(X256="N/A - Culvert", C256&lt;&gt;"Culvert"), "Not possible ▲",IF(AND(C256="Culvert",X256&lt;&gt;"N/A - Culvert"),"Not possible ▲",IF(VLOOKUP(X256,'G-7 WaterC'' Data'!$AD$4:$AE$14,2,FALSE)=0,"Enrcoachment Data Missing ⚠",VLOOKUP(X256,'G-7 WaterC'' Data'!$AD$4:$AE$14,2,FALSE)))))</f>
        <v/>
      </c>
      <c r="Z256" s="332" t="str">
        <f t="shared" si="19"/>
        <v/>
      </c>
      <c r="AA256" s="98"/>
      <c r="AB256" s="99"/>
      <c r="AC256" s="101"/>
      <c r="AH256" s="15" t="str">
        <f>IFERROR(INDEX('G-7 WaterC'' Data'!$AZ$3:$AZ$7,MATCH(C256,'G-7 WaterC'' Data'!$AY$3:$AY$7,0)),"")</f>
        <v/>
      </c>
    </row>
    <row r="257" spans="2:34" ht="14" x14ac:dyDescent="0.3">
      <c r="B257" s="92">
        <v>246</v>
      </c>
      <c r="C257" s="119"/>
      <c r="D257" s="120"/>
      <c r="E257" s="290" t="str">
        <f>IF(C257="","",VLOOKUP(C257,'G-7 WaterC'' Data'!$B$2:$G$8,2,FALSE))</f>
        <v/>
      </c>
      <c r="F257" s="291" t="str">
        <f>IFERROR(VLOOKUP(E257,'G-7 WaterC'' Data'!$C$4:$D$8,2,FALSE),"")</f>
        <v/>
      </c>
      <c r="G257" s="95"/>
      <c r="H257" s="291" t="str">
        <f>IFERROR(INDEX('G-7 WaterC'' Data'!$H$4:$L$8,MATCH(C257,'G-7 WaterC'' Data'!$B$4:$B$8,0),MATCH(G257,'G-7 WaterC'' Data'!$H$3:$L$3,0)),"")</f>
        <v/>
      </c>
      <c r="I257" s="38"/>
      <c r="J257" s="298" t="str">
        <f>IF(I257="","",IF(VLOOKUP(I257,'G-7 WaterC'' Data'!$AK$4:$AM$6,2,FALSE)=0,"Spatial Data Missing ⚠",VLOOKUP(I257,'G-7 WaterC'' Data'!$AK$4:$AM$6,2,FALSE)))</f>
        <v/>
      </c>
      <c r="K257" s="291" t="str">
        <f>IF(I257="","",IF(VLOOKUP(I257,'G-7 WaterC'' Data'!$AK$4:$AM$6,3,FALSE)=0,"Spatial Data Missing ⚠",VLOOKUP(I257,'G-7 WaterC'' Data'!$AK$4:$AM$6,3,FALSE)))</f>
        <v/>
      </c>
      <c r="L257" s="290" t="str">
        <f>IFERROR(INDEX('G-7 WaterC'' Data'!$O$3:$O$7,MATCH(G257,'G-7 WaterC'' Data'!$N$3:$N$7,0)),"")</f>
        <v/>
      </c>
      <c r="M257" s="47"/>
      <c r="N257" s="138"/>
      <c r="O257" s="298" t="str">
        <f t="shared" si="15"/>
        <v/>
      </c>
      <c r="P257" s="311" t="str">
        <f t="shared" si="16"/>
        <v/>
      </c>
      <c r="Q257" s="344" t="str">
        <f>IFERROR(IF(P257="Check Data ⚠","Check Data ⚠",VLOOKUP(P257,'G-4 Temporal multipliers'!$A$4:$C$37,3,FALSE)),"")</f>
        <v/>
      </c>
      <c r="R257" s="290" t="str">
        <f>IF(C257="","",VLOOKUP(C257,'G-7 WaterC'' Data'!$B$4:$G$8,4,FALSE))</f>
        <v/>
      </c>
      <c r="S257" s="298" t="str">
        <f t="shared" si="17"/>
        <v/>
      </c>
      <c r="T257" s="328" t="str">
        <f t="shared" si="18"/>
        <v/>
      </c>
      <c r="U257" s="291" t="str">
        <f>IF(C257="","",VLOOKUP(T257,'G-3 Multipliers'!$P$2:$Q$6,2,FALSE))</f>
        <v/>
      </c>
      <c r="V257" s="96"/>
      <c r="W257" s="291" t="str">
        <f>IF(V257="","",IF(AND(V257="N/A - Culvert",C257&lt;&gt;"Culvert"),"Not possible ▲",IF(AND(C257="Culvert",V257&lt;&gt;"N/A - Culvert"),"Not possible ▲",IF(VLOOKUP(V257,'G-7 WaterC'' Data'!$AA$4:$AB$7,2,FALSE)=0,"Spatial Data Missing ⚠",VLOOKUP(V257,'G-7 WaterC'' Data'!$AA$4:$AB$7,2,FALSE)))))</f>
        <v/>
      </c>
      <c r="X257" s="44"/>
      <c r="Y257" s="291" t="str">
        <f>IF(X257="","",IF(AND(X257="N/A - Culvert", C257&lt;&gt;"Culvert"), "Not possible ▲",IF(AND(C257="Culvert",X257&lt;&gt;"N/A - Culvert"),"Not possible ▲",IF(VLOOKUP(X257,'G-7 WaterC'' Data'!$AD$4:$AE$14,2,FALSE)=0,"Enrcoachment Data Missing ⚠",VLOOKUP(X257,'G-7 WaterC'' Data'!$AD$4:$AE$14,2,FALSE)))))</f>
        <v/>
      </c>
      <c r="Z257" s="332" t="str">
        <f t="shared" si="19"/>
        <v/>
      </c>
      <c r="AA257" s="98"/>
      <c r="AB257" s="99"/>
      <c r="AC257" s="101"/>
      <c r="AH257" s="15" t="str">
        <f>IFERROR(INDEX('G-7 WaterC'' Data'!$AZ$3:$AZ$7,MATCH(C257,'G-7 WaterC'' Data'!$AY$3:$AY$7,0)),"")</f>
        <v/>
      </c>
    </row>
    <row r="258" spans="2:34" ht="14" x14ac:dyDescent="0.3">
      <c r="B258" s="92">
        <v>247</v>
      </c>
      <c r="C258" s="119"/>
      <c r="D258" s="120"/>
      <c r="E258" s="290" t="str">
        <f>IF(C258="","",VLOOKUP(C258,'G-7 WaterC'' Data'!$B$2:$G$8,2,FALSE))</f>
        <v/>
      </c>
      <c r="F258" s="291" t="str">
        <f>IFERROR(VLOOKUP(E258,'G-7 WaterC'' Data'!$C$4:$D$8,2,FALSE),"")</f>
        <v/>
      </c>
      <c r="G258" s="95"/>
      <c r="H258" s="291" t="str">
        <f>IFERROR(INDEX('G-7 WaterC'' Data'!$H$4:$L$8,MATCH(C258,'G-7 WaterC'' Data'!$B$4:$B$8,0),MATCH(G258,'G-7 WaterC'' Data'!$H$3:$L$3,0)),"")</f>
        <v/>
      </c>
      <c r="I258" s="38"/>
      <c r="J258" s="298" t="str">
        <f>IF(I258="","",IF(VLOOKUP(I258,'G-7 WaterC'' Data'!$AK$4:$AM$6,2,FALSE)=0,"Spatial Data Missing ⚠",VLOOKUP(I258,'G-7 WaterC'' Data'!$AK$4:$AM$6,2,FALSE)))</f>
        <v/>
      </c>
      <c r="K258" s="291" t="str">
        <f>IF(I258="","",IF(VLOOKUP(I258,'G-7 WaterC'' Data'!$AK$4:$AM$6,3,FALSE)=0,"Spatial Data Missing ⚠",VLOOKUP(I258,'G-7 WaterC'' Data'!$AK$4:$AM$6,3,FALSE)))</f>
        <v/>
      </c>
      <c r="L258" s="290" t="str">
        <f>IFERROR(INDEX('G-7 WaterC'' Data'!$O$3:$O$7,MATCH(G258,'G-7 WaterC'' Data'!$N$3:$N$7,0)),"")</f>
        <v/>
      </c>
      <c r="M258" s="47"/>
      <c r="N258" s="138"/>
      <c r="O258" s="298" t="str">
        <f t="shared" si="15"/>
        <v/>
      </c>
      <c r="P258" s="311" t="str">
        <f t="shared" si="16"/>
        <v/>
      </c>
      <c r="Q258" s="344" t="str">
        <f>IFERROR(IF(P258="Check Data ⚠","Check Data ⚠",VLOOKUP(P258,'G-4 Temporal multipliers'!$A$4:$C$37,3,FALSE)),"")</f>
        <v/>
      </c>
      <c r="R258" s="290" t="str">
        <f>IF(C258="","",VLOOKUP(C258,'G-7 WaterC'' Data'!$B$4:$G$8,4,FALSE))</f>
        <v/>
      </c>
      <c r="S258" s="298" t="str">
        <f t="shared" si="17"/>
        <v/>
      </c>
      <c r="T258" s="328" t="str">
        <f t="shared" si="18"/>
        <v/>
      </c>
      <c r="U258" s="291" t="str">
        <f>IF(C258="","",VLOOKUP(T258,'G-3 Multipliers'!$P$2:$Q$6,2,FALSE))</f>
        <v/>
      </c>
      <c r="V258" s="96"/>
      <c r="W258" s="291" t="str">
        <f>IF(V258="","",IF(AND(V258="N/A - Culvert",C258&lt;&gt;"Culvert"),"Not possible ▲",IF(AND(C258="Culvert",V258&lt;&gt;"N/A - Culvert"),"Not possible ▲",IF(VLOOKUP(V258,'G-7 WaterC'' Data'!$AA$4:$AB$7,2,FALSE)=0,"Spatial Data Missing ⚠",VLOOKUP(V258,'G-7 WaterC'' Data'!$AA$4:$AB$7,2,FALSE)))))</f>
        <v/>
      </c>
      <c r="X258" s="44"/>
      <c r="Y258" s="291" t="str">
        <f>IF(X258="","",IF(AND(X258="N/A - Culvert", C258&lt;&gt;"Culvert"), "Not possible ▲",IF(AND(C258="Culvert",X258&lt;&gt;"N/A - Culvert"),"Not possible ▲",IF(VLOOKUP(X258,'G-7 WaterC'' Data'!$AD$4:$AE$14,2,FALSE)=0,"Enrcoachment Data Missing ⚠",VLOOKUP(X258,'G-7 WaterC'' Data'!$AD$4:$AE$14,2,FALSE)))))</f>
        <v/>
      </c>
      <c r="Z258" s="332" t="str">
        <f t="shared" si="19"/>
        <v/>
      </c>
      <c r="AA258" s="98"/>
      <c r="AB258" s="99"/>
      <c r="AC258" s="101"/>
      <c r="AH258" s="15" t="str">
        <f>IFERROR(INDEX('G-7 WaterC'' Data'!$AZ$3:$AZ$7,MATCH(C258,'G-7 WaterC'' Data'!$AY$3:$AY$7,0)),"")</f>
        <v/>
      </c>
    </row>
    <row r="259" spans="2:34" ht="14.5" thickBot="1" x14ac:dyDescent="0.35">
      <c r="B259" s="107">
        <v>248</v>
      </c>
      <c r="C259" s="108"/>
      <c r="D259" s="109"/>
      <c r="E259" s="292" t="str">
        <f>IF(C259="","",VLOOKUP(C259,'G-7 WaterC'' Data'!$B$2:$G$8,2,FALSE))</f>
        <v/>
      </c>
      <c r="F259" s="293" t="str">
        <f>IFERROR(VLOOKUP(E259,'G-7 WaterC'' Data'!$C$4:$D$8,2,FALSE),"")</f>
        <v/>
      </c>
      <c r="G259" s="95"/>
      <c r="H259" s="293" t="str">
        <f>IFERROR(INDEX('G-7 WaterC'' Data'!$H$4:$L$8,MATCH(C259,'G-7 WaterC'' Data'!$B$4:$B$8,0),MATCH(G259,'G-7 WaterC'' Data'!$H$3:$L$3,0)),"")</f>
        <v/>
      </c>
      <c r="I259" s="38"/>
      <c r="J259" s="298" t="str">
        <f>IF(I259="","",IF(VLOOKUP(I259,'G-7 WaterC'' Data'!$AK$4:$AM$6,2,FALSE)=0,"Spatial Data Missing ⚠",VLOOKUP(I259,'G-7 WaterC'' Data'!$AK$4:$AM$6,2,FALSE)))</f>
        <v/>
      </c>
      <c r="K259" s="291" t="str">
        <f>IF(I259="","",IF(VLOOKUP(I259,'G-7 WaterC'' Data'!$AK$4:$AM$6,3,FALSE)=0,"Spatial Data Missing ⚠",VLOOKUP(I259,'G-7 WaterC'' Data'!$AK$4:$AM$6,3,FALSE)))</f>
        <v/>
      </c>
      <c r="L259" s="292" t="str">
        <f>IFERROR(INDEX('G-7 WaterC'' Data'!$O$3:$O$7,MATCH(G259,'G-7 WaterC'' Data'!$N$3:$N$7,0)),"")</f>
        <v/>
      </c>
      <c r="M259" s="47"/>
      <c r="N259" s="144"/>
      <c r="O259" s="298" t="str">
        <f t="shared" si="15"/>
        <v/>
      </c>
      <c r="P259" s="311" t="str">
        <f t="shared" si="16"/>
        <v/>
      </c>
      <c r="Q259" s="344" t="str">
        <f>IFERROR(IF(P259="Check Data ⚠","Check Data ⚠",VLOOKUP(P259,'G-4 Temporal multipliers'!$A$4:$C$37,3,FALSE)),"")</f>
        <v/>
      </c>
      <c r="R259" s="292" t="str">
        <f>IF(C259="","",VLOOKUP(C259,'G-7 WaterC'' Data'!$B$4:$G$8,4,FALSE))</f>
        <v/>
      </c>
      <c r="S259" s="298" t="str">
        <f t="shared" si="17"/>
        <v/>
      </c>
      <c r="T259" s="328" t="str">
        <f t="shared" si="18"/>
        <v/>
      </c>
      <c r="U259" s="291" t="str">
        <f>IF(C259="","",VLOOKUP(T259,'G-3 Multipliers'!$P$2:$Q$6,2,FALSE))</f>
        <v/>
      </c>
      <c r="V259" s="96"/>
      <c r="W259" s="291" t="str">
        <f>IF(V259="","",IF(AND(V259="N/A - Culvert",C259&lt;&gt;"Culvert"),"Not possible ▲",IF(AND(C259="Culvert",V259&lt;&gt;"N/A - Culvert"),"Not possible ▲",IF(VLOOKUP(V259,'G-7 WaterC'' Data'!$AA$4:$AB$7,2,FALSE)=0,"Spatial Data Missing ⚠",VLOOKUP(V259,'G-7 WaterC'' Data'!$AA$4:$AB$7,2,FALSE)))))</f>
        <v/>
      </c>
      <c r="X259" s="44"/>
      <c r="Y259" s="291" t="str">
        <f>IF(X259="","",IF(AND(X259="N/A - Culvert", C259&lt;&gt;"Culvert"), "Not possible ▲",IF(AND(C259="Culvert",X259&lt;&gt;"N/A - Culvert"),"Not possible ▲",IF(VLOOKUP(X259,'G-7 WaterC'' Data'!$AD$4:$AE$14,2,FALSE)=0,"Enrcoachment Data Missing ⚠",VLOOKUP(X259,'G-7 WaterC'' Data'!$AD$4:$AE$14,2,FALSE)))))</f>
        <v/>
      </c>
      <c r="Z259" s="333" t="str">
        <f t="shared" si="19"/>
        <v/>
      </c>
      <c r="AA259" s="111"/>
      <c r="AB259" s="112"/>
      <c r="AC259" s="112"/>
      <c r="AH259" s="15" t="str">
        <f>IFERROR(INDEX('G-7 WaterC'' Data'!$AZ$3:$AZ$7,MATCH(C259,'G-7 WaterC'' Data'!$AY$3:$AY$7,0)),"")</f>
        <v/>
      </c>
    </row>
    <row r="260" spans="2:34" ht="14.5" thickBot="1" x14ac:dyDescent="0.35">
      <c r="B260" s="19"/>
      <c r="C260" s="181"/>
      <c r="D260" s="294">
        <f>SUM(D12:D259)</f>
        <v>0</v>
      </c>
      <c r="E260" s="19"/>
      <c r="F260" s="19"/>
      <c r="G260" s="19"/>
      <c r="H260" s="19"/>
      <c r="I260" s="19"/>
      <c r="J260" s="19"/>
      <c r="K260" s="19"/>
      <c r="L260" s="19"/>
      <c r="M260" s="19"/>
      <c r="N260" s="19"/>
      <c r="O260" s="19"/>
      <c r="P260" s="19"/>
      <c r="Q260" s="19"/>
      <c r="R260" s="19"/>
      <c r="S260" s="19"/>
      <c r="T260" s="19"/>
      <c r="U260" s="19"/>
      <c r="V260" s="19"/>
      <c r="W260" s="19"/>
      <c r="X260" s="1229"/>
      <c r="Y260" s="1229"/>
      <c r="Z260" s="294">
        <f>SUM(Z12:Z259)</f>
        <v>0</v>
      </c>
      <c r="AA260" s="19"/>
      <c r="AB260" s="19"/>
    </row>
    <row r="261" spans="2:34" ht="28.9" customHeight="1" x14ac:dyDescent="0.3"/>
    <row r="262" spans="2:34" ht="27" customHeight="1" x14ac:dyDescent="0.3"/>
    <row r="263" spans="2:34" ht="14" hidden="1" x14ac:dyDescent="0.3"/>
    <row r="264" spans="2:34" ht="14" hidden="1" x14ac:dyDescent="0.3"/>
    <row r="265" spans="2:34" ht="14" hidden="1" x14ac:dyDescent="0.3"/>
    <row r="266" spans="2:34" ht="14" hidden="1" x14ac:dyDescent="0.3"/>
    <row r="267" spans="2:34" ht="14" hidden="1" x14ac:dyDescent="0.3"/>
    <row r="268" spans="2:34" ht="14" hidden="1" x14ac:dyDescent="0.3"/>
  </sheetData>
  <sheetProtection algorithmName="SHA-512" hashValue="rAbduXS4Wh6+f6/S7Td2nIUdClPeyQ7mzHGEgdNJe79xGbSAs1Qh1DQOJGvOC0ycX0zmnbyNcwtQAAGmDe/1CQ==" saltValue="Qm6oZe4dT0AseTGqzgpLuw==" spinCount="100000" sheet="1" objects="1" scenarios="1"/>
  <customSheetViews>
    <customSheetView guid="{8BDA793C-C9C5-4FC6-A0A5-F1109F6D4F22}" state="hidden">
      <pane ySplit="11" topLeftCell="A12" activePane="bottomLeft" state="frozen"/>
      <selection pane="bottomLeft" activeCell="D14" sqref="D14"/>
    </customSheetView>
  </customSheetViews>
  <mergeCells count="22">
    <mergeCell ref="B2:E2"/>
    <mergeCell ref="B3:E4"/>
    <mergeCell ref="I10:K10"/>
    <mergeCell ref="C10:D10"/>
    <mergeCell ref="E10:F10"/>
    <mergeCell ref="G10:H10"/>
    <mergeCell ref="I4:L4"/>
    <mergeCell ref="I5:L5"/>
    <mergeCell ref="L10:Q10"/>
    <mergeCell ref="M5:O5"/>
    <mergeCell ref="I3:O3"/>
    <mergeCell ref="M4:O4"/>
    <mergeCell ref="V2:AA4"/>
    <mergeCell ref="R10:U10"/>
    <mergeCell ref="X260:Y260"/>
    <mergeCell ref="I6:L6"/>
    <mergeCell ref="M6:O6"/>
    <mergeCell ref="AA10:AC10"/>
    <mergeCell ref="V5:Z6"/>
    <mergeCell ref="V10:W10"/>
    <mergeCell ref="X10:Y10"/>
    <mergeCell ref="Z10:Z11"/>
  </mergeCells>
  <conditionalFormatting sqref="Z12:Z259">
    <cfRule type="containsText" dxfId="78" priority="34" operator="containsText" text="Existing Value Not Required">
      <formula>NOT(ISERROR(SEARCH("Existing Value Not Required",Z12)))</formula>
    </cfRule>
    <cfRule type="containsText" dxfId="77" priority="35" operator="containsText" text="Existing Value Required">
      <formula>NOT(ISERROR(SEARCH("Existing Value Required",Z12)))</formula>
    </cfRule>
  </conditionalFormatting>
  <conditionalFormatting sqref="J12:K259">
    <cfRule type="containsText" dxfId="76" priority="33" operator="containsText" text="Spatial">
      <formula>NOT(ISERROR(SEARCH("Spatial",J12)))</formula>
    </cfRule>
  </conditionalFormatting>
  <conditionalFormatting sqref="O12:Q259">
    <cfRule type="cellIs" dxfId="75" priority="21" operator="equal">
      <formula>"30+ ⚠"</formula>
    </cfRule>
    <cfRule type="containsText" dxfId="74" priority="31" operator="containsText" text="Check">
      <formula>NOT(ISERROR(SEARCH("Check",O12)))</formula>
    </cfRule>
    <cfRule type="containsText" dxfId="73" priority="32" operator="containsText" text="Error">
      <formula>NOT(ISERROR(SEARCH("Error",O12)))</formula>
    </cfRule>
  </conditionalFormatting>
  <conditionalFormatting sqref="S12:Z259">
    <cfRule type="containsText" dxfId="72" priority="27" operator="containsText" text="Error">
      <formula>NOT(ISERROR(SEARCH("Error",S12)))</formula>
    </cfRule>
    <cfRule type="containsText" dxfId="71" priority="28" operator="containsText" text="Check">
      <formula>NOT(ISERROR(SEARCH("Check",S12)))</formula>
    </cfRule>
  </conditionalFormatting>
  <conditionalFormatting sqref="S12:S259">
    <cfRule type="containsText" dxfId="70" priority="1" operator="containsText" text="⚠">
      <formula>NOT(ISERROR(SEARCH("⚠",S12)))</formula>
    </cfRule>
    <cfRule type="beginsWith" dxfId="69" priority="26" operator="beginsWith" text="No - Low Difficulty">
      <formula>LEFT(S12,LEN("No - Low Difficulty"))="No - Low Difficulty"</formula>
    </cfRule>
  </conditionalFormatting>
  <conditionalFormatting sqref="W12:W259">
    <cfRule type="containsText" dxfId="68" priority="25" operator="containsText" text="Spatial">
      <formula>NOT(ISERROR(SEARCH("Spatial",W12)))</formula>
    </cfRule>
  </conditionalFormatting>
  <conditionalFormatting sqref="Y12:Y259">
    <cfRule type="containsText" dxfId="67" priority="24" operator="containsText" text="Missing">
      <formula>NOT(ISERROR(SEARCH("Missing",Y12)))</formula>
    </cfRule>
  </conditionalFormatting>
  <conditionalFormatting sqref="H12:H259">
    <cfRule type="beginsWith" dxfId="66" priority="23" operator="beginsWith" text="Not Possible">
      <formula>LEFT(H12,LEN("Not Possible"))="Not Possible"</formula>
    </cfRule>
  </conditionalFormatting>
  <conditionalFormatting sqref="L7:P7 V2">
    <cfRule type="containsText" dxfId="65" priority="22" operator="containsText" text="Note">
      <formula>NOT(ISERROR(SEARCH("Note",L2)))</formula>
    </cfRule>
  </conditionalFormatting>
  <conditionalFormatting sqref="M4">
    <cfRule type="containsText" dxfId="64" priority="19" operator="containsText" text="Error">
      <formula>NOT(ISERROR(SEARCH("Error",M4)))</formula>
    </cfRule>
    <cfRule type="containsText" dxfId="63" priority="20" operator="containsText" text="Check">
      <formula>NOT(ISERROR(SEARCH("Check",M4)))</formula>
    </cfRule>
  </conditionalFormatting>
  <conditionalFormatting sqref="M5">
    <cfRule type="containsText" dxfId="62" priority="9" operator="containsText" text="Error">
      <formula>NOT(ISERROR(SEARCH("Error",M5)))</formula>
    </cfRule>
    <cfRule type="containsText" dxfId="61" priority="10" operator="containsText" text="Check">
      <formula>NOT(ISERROR(SEARCH("Check",M5)))</formula>
    </cfRule>
  </conditionalFormatting>
  <conditionalFormatting sqref="V2 V5">
    <cfRule type="containsText" dxfId="60" priority="14" operator="containsText" text="Error">
      <formula>NOT(ISERROR(SEARCH("Error",V2)))</formula>
    </cfRule>
  </conditionalFormatting>
  <conditionalFormatting sqref="V5:Z6">
    <cfRule type="containsText" dxfId="59" priority="13" operator="containsText" text="Check">
      <formula>NOT(ISERROR(SEARCH("Check",V5)))</formula>
    </cfRule>
  </conditionalFormatting>
  <conditionalFormatting sqref="M6">
    <cfRule type="containsText" dxfId="58" priority="11" operator="containsText" text="No">
      <formula>NOT(ISERROR(SEARCH("No",M6)))</formula>
    </cfRule>
    <cfRule type="containsText" dxfId="57" priority="12" operator="containsText" text="Yes">
      <formula>NOT(ISERROR(SEARCH("Yes",M6)))</formula>
    </cfRule>
  </conditionalFormatting>
  <conditionalFormatting sqref="M5:O5">
    <cfRule type="cellIs" dxfId="56" priority="8" operator="equal">
      <formula>0</formula>
    </cfRule>
    <cfRule type="cellIs" dxfId="55" priority="451" operator="lessThan">
      <formula>0</formula>
    </cfRule>
  </conditionalFormatting>
  <conditionalFormatting sqref="M4:O6">
    <cfRule type="containsText" dxfId="54" priority="7" operator="containsText" text="N/A">
      <formula>NOT(ISERROR(SEARCH("N/A",M4)))</formula>
    </cfRule>
  </conditionalFormatting>
  <conditionalFormatting sqref="W1:W1048576">
    <cfRule type="containsText" dxfId="53" priority="5" operator="containsText" text="Not possible">
      <formula>NOT(ISERROR(SEARCH("Not possible",W1)))</formula>
    </cfRule>
  </conditionalFormatting>
  <conditionalFormatting sqref="Y1:Y1048576">
    <cfRule type="containsText" dxfId="52" priority="4" operator="containsText" text="Not possible">
      <formula>NOT(ISERROR(SEARCH("Not possible",Y1)))</formula>
    </cfRule>
  </conditionalFormatting>
  <conditionalFormatting sqref="J1:J1048576">
    <cfRule type="containsText" dxfId="51" priority="2" operator="containsText" text="Not possible ">
      <formula>NOT(ISERROR(SEARCH("Not possible ",J1)))</formula>
    </cfRule>
  </conditionalFormatting>
  <dataValidations count="3">
    <dataValidation type="list" allowBlank="1" showInputMessage="1" showErrorMessage="1" sqref="G12:G259" xr:uid="{00000000-0002-0000-1900-000000000000}">
      <formula1>INDIRECT(AH12)</formula1>
    </dataValidation>
    <dataValidation type="list" allowBlank="1" showInputMessage="1" showErrorMessage="1" sqref="V12:V259" xr:uid="{E5ED14EB-7AAD-4CCC-8D4C-187B077F5FF3}">
      <formula1>IF(C12="Culvert",riparianencroachment2,riparianencroachment1)</formula1>
    </dataValidation>
    <dataValidation type="list" allowBlank="1" showInputMessage="1" showErrorMessage="1" sqref="X12:X259" xr:uid="{715F5744-C7FB-45AD-BCC9-047294F1BEFE}">
      <formula1>IF(C12="Culvert",Encroachment2,Encroachment1)</formula1>
    </dataValidation>
  </dataValidations>
  <pageMargins left="0.7" right="0.7" top="0.75" bottom="0.75" header="0.3" footer="0.3"/>
  <pageSetup paperSize="9"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expression" priority="3" id="{EAEC8804-B75E-4EAA-BCCF-4FCE7525D4D2}">
            <xm:f>#REF!=0</xm:f>
            <x14:dxf>
              <font>
                <color auto="1"/>
              </font>
              <fill>
                <patternFill>
                  <bgColor rgb="FFE0DCD3"/>
                </patternFill>
              </fill>
            </x14:dxf>
          </x14:cfRule>
          <xm:sqref>M5:O5</xm:sqref>
        </x14:conditionalFormatting>
        <x14:conditionalFormatting xmlns:xm="http://schemas.microsoft.com/office/excel/2006/main">
          <x14:cfRule type="cellIs" priority="6" operator="lessThan" id="{84BACA77-6ED3-4402-B70B-8E87E52B228F}">
            <xm:f>Start!$F$22</xm:f>
            <x14:dxf>
              <font>
                <color rgb="FF383745"/>
              </font>
              <fill>
                <patternFill>
                  <bgColor rgb="FFFFC000"/>
                </patternFill>
              </fill>
            </x14:dxf>
          </x14:cfRule>
          <x14:cfRule type="cellIs" priority="452" operator="greaterThanOrEqual" id="{1DDB35E0-9F96-4A59-9099-5FC45D1AEB5F}">
            <xm:f>Start!$F$22</xm:f>
            <x14:dxf>
              <font>
                <color rgb="FF383745"/>
              </font>
              <fill>
                <patternFill>
                  <bgColor rgb="FF92D050"/>
                </patternFill>
              </fill>
            </x14:dxf>
          </x14:cfRule>
          <xm:sqref>M5:O5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900-000004000000}">
          <x14:formula1>
            <xm:f>'G-7 WaterC'' Data'!$B$4:$B$8</xm:f>
          </x14:formula1>
          <xm:sqref>C12:C259</xm:sqref>
        </x14:dataValidation>
        <x14:dataValidation type="list" allowBlank="1" showInputMessage="1" showErrorMessage="1" xr:uid="{00000000-0002-0000-1900-000006000000}">
          <x14:formula1>
            <xm:f>'G-4 Temporal multipliers'!$A$42:$A$73</xm:f>
          </x14:formula1>
          <xm:sqref>M12:N259</xm:sqref>
        </x14:dataValidation>
        <x14:dataValidation type="list" allowBlank="1" showInputMessage="1" showErrorMessage="1" xr:uid="{6E1AEA2A-0520-4F06-9A47-EDE593EA9C03}">
          <x14:formula1>
            <xm:f>'G-7 WaterC'' Data'!$AK$4:$AK$6</xm:f>
          </x14:formula1>
          <xm:sqref>I12:I259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tabColor rgb="FF0033CC"/>
  </sheetPr>
  <dimension ref="A1:XFC266"/>
  <sheetViews>
    <sheetView topLeftCell="AB1" zoomScaleNormal="90" workbookViewId="0">
      <pane ySplit="11" topLeftCell="A12" activePane="bottomLeft" state="frozen"/>
      <selection activeCell="U12" sqref="U12"/>
      <selection pane="bottomLeft" activeCell="U12" sqref="U12"/>
    </sheetView>
  </sheetViews>
  <sheetFormatPr defaultColWidth="0" defaultRowHeight="0" customHeight="1" zeroHeight="1" x14ac:dyDescent="0.3"/>
  <cols>
    <col min="1" max="1" width="2.81640625" style="15" customWidth="1"/>
    <col min="2" max="2" width="14.1796875" style="15" customWidth="1"/>
    <col min="3" max="3" width="41.26953125" style="15" customWidth="1"/>
    <col min="4" max="4" width="9" style="15" customWidth="1"/>
    <col min="5" max="5" width="18.81640625" style="15" customWidth="1"/>
    <col min="6" max="6" width="18.26953125" style="15" customWidth="1"/>
    <col min="7" max="7" width="18.1796875" style="15" customWidth="1"/>
    <col min="8" max="8" width="19.26953125" style="15" customWidth="1"/>
    <col min="9" max="9" width="28.81640625" style="15" customWidth="1"/>
    <col min="10" max="10" width="28.26953125" style="15" customWidth="1"/>
    <col min="11" max="11" width="19.26953125" style="15" customWidth="1"/>
    <col min="12" max="12" width="29.1796875" style="15" customWidth="1"/>
    <col min="13" max="13" width="19.26953125" style="15" customWidth="1"/>
    <col min="14" max="14" width="45.7265625" style="15" customWidth="1"/>
    <col min="15" max="15" width="34.26953125" style="15" customWidth="1"/>
    <col min="16" max="16" width="46.7265625" style="15" customWidth="1"/>
    <col min="17" max="17" width="10" style="15" customWidth="1"/>
    <col min="18" max="18" width="19.453125" style="15" customWidth="1"/>
    <col min="19" max="19" width="13.1796875" style="15" customWidth="1"/>
    <col min="20" max="20" width="12.54296875" style="15" bestFit="1" customWidth="1"/>
    <col min="21" max="21" width="12.54296875" style="15" customWidth="1"/>
    <col min="22" max="22" width="33.7265625" style="15" customWidth="1"/>
    <col min="23" max="23" width="15.453125" style="15" customWidth="1"/>
    <col min="24" max="24" width="12.26953125" style="15" customWidth="1"/>
    <col min="25" max="25" width="18.453125" style="15" customWidth="1"/>
    <col min="26" max="26" width="21" style="15" customWidth="1"/>
    <col min="27" max="27" width="24.453125" style="15" customWidth="1"/>
    <col min="28" max="28" width="34.453125" style="15" customWidth="1"/>
    <col min="29" max="29" width="18.453125" style="15" customWidth="1"/>
    <col min="30" max="30" width="15.26953125" style="15" customWidth="1"/>
    <col min="31" max="31" width="16.54296875" style="15" customWidth="1"/>
    <col min="32" max="32" width="28.26953125" style="15" customWidth="1"/>
    <col min="33" max="33" width="16.26953125" style="15" customWidth="1"/>
    <col min="34" max="34" width="15.26953125" style="15" customWidth="1"/>
    <col min="35" max="35" width="17.54296875" style="15" customWidth="1"/>
    <col min="36" max="36" width="15.26953125" style="15" customWidth="1"/>
    <col min="37" max="37" width="19.54296875" style="15" customWidth="1"/>
    <col min="38" max="38" width="12.7265625" style="15" customWidth="1"/>
    <col min="39" max="39" width="15.1796875" style="15" customWidth="1"/>
    <col min="40" max="41" width="34.81640625" style="15" customWidth="1"/>
    <col min="42" max="42" width="14.26953125" style="15" customWidth="1"/>
    <col min="43" max="43" width="3.1796875" style="15" customWidth="1"/>
    <col min="44" max="44" width="3.1796875" style="15" hidden="1"/>
    <col min="45" max="45" width="9.7265625" style="15" hidden="1"/>
    <col min="46" max="46" width="16.81640625" style="15" hidden="1"/>
    <col min="47" max="49" width="6.7265625" style="15" hidden="1"/>
    <col min="50" max="50" width="24.1796875" style="15" hidden="1"/>
    <col min="51" max="52" width="14.54296875" style="15" hidden="1"/>
    <col min="53" max="53" width="11" style="15" hidden="1"/>
    <col min="54" max="16383" width="3.1796875" style="15" hidden="1"/>
    <col min="16384" max="16384" width="10.1796875" style="15" hidden="1"/>
  </cols>
  <sheetData>
    <row r="1" spans="2:53" ht="20.5" customHeight="1" thickBot="1" x14ac:dyDescent="0.35"/>
    <row r="2" spans="2:53" ht="27" customHeight="1" thickBot="1" x14ac:dyDescent="0.35">
      <c r="B2" s="1245" t="str">
        <f>CONCATENATE("Project Name:", " ", Start!F12, "     ", "Map Reference:", " ", Start!K55)</f>
        <v xml:space="preserve">Project Name: Gain Site 2 for Digital     Map Reference: </v>
      </c>
      <c r="C2" s="1246"/>
      <c r="D2" s="1246"/>
      <c r="E2" s="1247"/>
      <c r="O2" s="1270" t="s">
        <v>245</v>
      </c>
      <c r="P2" s="1271"/>
      <c r="Q2" s="406"/>
      <c r="R2" s="86"/>
      <c r="S2" s="1227" t="str" cm="1">
        <f t="array" ref="S2">IF(OR(T12:T257 = "Fairly Good", T12:T257 = "Fairly Poor"),"A 'Fairly' Category has been used - check evidence to ensure this is appropriate ⚠", "")</f>
        <v/>
      </c>
      <c r="T2" s="1227"/>
      <c r="U2" s="1227"/>
      <c r="V2" s="1227"/>
      <c r="W2" s="1227"/>
      <c r="X2" s="1227"/>
      <c r="Y2" s="1171" t="str">
        <f>IF(OR(COUNTIF($Y$12:Y259,"*30+*")&gt;0,COUNTIF($AC$12:AC259,"*30+*")&gt;0),"Note; Habitat selected has a time to target condition greater than 30 years. Non standard agreement may be required. ⚠","")</f>
        <v/>
      </c>
      <c r="Z2" s="1171"/>
      <c r="AA2" s="1171"/>
      <c r="AB2" s="1171"/>
      <c r="AC2" s="1171"/>
      <c r="AD2" s="1171"/>
    </row>
    <row r="3" spans="2:53" ht="18" customHeight="1" thickBot="1" x14ac:dyDescent="0.35">
      <c r="B3" s="1282" t="str">
        <f ca="1">MID(CELL("filename",A1),FIND("]",CELL("filename",A1))+1,256)</f>
        <v>C-3 On-Site WaterC' Enhancement</v>
      </c>
      <c r="C3" s="1283"/>
      <c r="D3" s="1283"/>
      <c r="E3" s="1284"/>
      <c r="O3" s="421" t="s">
        <v>131</v>
      </c>
      <c r="P3" s="407" t="e">
        <f>#REF!</f>
        <v>#REF!</v>
      </c>
      <c r="Q3" s="405"/>
      <c r="S3" s="1227"/>
      <c r="T3" s="1227"/>
      <c r="U3" s="1227"/>
      <c r="V3" s="1227"/>
      <c r="W3" s="1227"/>
      <c r="X3" s="1227"/>
      <c r="Y3" s="1171"/>
      <c r="Z3" s="1171"/>
      <c r="AA3" s="1171"/>
      <c r="AB3" s="1171"/>
      <c r="AC3" s="1171"/>
      <c r="AD3" s="1171"/>
    </row>
    <row r="4" spans="2:53" ht="21" customHeight="1" thickBot="1" x14ac:dyDescent="0.35">
      <c r="B4" s="1282"/>
      <c r="C4" s="1283"/>
      <c r="D4" s="1283"/>
      <c r="E4" s="1284"/>
      <c r="F4" s="1256" t="str" cm="1">
        <f t="array" ref="F4">IF(OR(AS12:AS257="Yes"), "👁 Enhanced irreplaceable habitats highlighted below ", "")</f>
        <v/>
      </c>
      <c r="G4" s="1256"/>
      <c r="H4" s="1256"/>
      <c r="I4" s="1256"/>
      <c r="O4" s="404" t="s">
        <v>133</v>
      </c>
      <c r="P4" s="440" t="e">
        <f>#REF!</f>
        <v>#REF!</v>
      </c>
      <c r="Q4" s="405"/>
      <c r="S4" s="1227"/>
      <c r="T4" s="1227"/>
      <c r="U4" s="1227"/>
      <c r="V4" s="1227"/>
      <c r="W4" s="1227"/>
      <c r="X4" s="1227"/>
      <c r="Y4" s="1171"/>
      <c r="Z4" s="1171"/>
      <c r="AA4" s="1171"/>
      <c r="AB4" s="1171"/>
      <c r="AC4" s="1171"/>
      <c r="AD4" s="1171"/>
    </row>
    <row r="5" spans="2:53" ht="15.65" customHeight="1" thickBot="1" x14ac:dyDescent="0.35">
      <c r="F5" s="1256"/>
      <c r="G5" s="1256"/>
      <c r="H5" s="1256"/>
      <c r="I5" s="1256"/>
      <c r="O5" s="422" t="s">
        <v>135</v>
      </c>
      <c r="P5" s="403" t="e" cm="1">
        <f t="array" ref="P5">IF(OR('Trading Summary WaterC''s'!G5:H8="No ▲"), "No - check trading summary ▲", "Yes ✓")</f>
        <v>#REF!</v>
      </c>
      <c r="Q5" s="405"/>
      <c r="R5" s="405"/>
      <c r="AH5" s="137"/>
      <c r="AI5" s="137"/>
      <c r="AJ5" s="137"/>
      <c r="AK5" s="137"/>
      <c r="AL5" s="137"/>
    </row>
    <row r="6" spans="2:53" ht="16.149999999999999" customHeight="1" x14ac:dyDescent="0.3">
      <c r="F6" s="85"/>
      <c r="AM6" s="1256" t="str">
        <f>IF(AP6&gt;0, "Error - No enhancement - units less than baseline ▲", " ")</f>
        <v xml:space="preserve"> </v>
      </c>
      <c r="AN6" s="1256"/>
      <c r="AO6" s="1256"/>
      <c r="AP6" s="776" cm="1">
        <f t="array" ref="AP6">SUMPRODUCT(--(AM12:AM257&lt;AY12:AY257))</f>
        <v>0</v>
      </c>
    </row>
    <row r="7" spans="2:53" ht="14" x14ac:dyDescent="0.3"/>
    <row r="8" spans="2:53" ht="14.5" thickBot="1" x14ac:dyDescent="0.35"/>
    <row r="9" spans="2:53" ht="14.5" thickBot="1" x14ac:dyDescent="0.35">
      <c r="C9" s="85"/>
      <c r="D9" s="85"/>
      <c r="E9" s="85"/>
      <c r="F9" s="85"/>
      <c r="G9" s="85"/>
      <c r="H9" s="85"/>
      <c r="I9" s="85"/>
      <c r="J9" s="85"/>
      <c r="K9" s="85"/>
      <c r="L9" s="85"/>
      <c r="M9" s="85"/>
      <c r="N9" s="1236" t="s">
        <v>177</v>
      </c>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8"/>
      <c r="AM9" s="268"/>
    </row>
    <row r="10" spans="2:53" s="18" customFormat="1" ht="27" customHeight="1" thickBot="1" x14ac:dyDescent="0.35">
      <c r="C10" s="1228" t="s">
        <v>198</v>
      </c>
      <c r="D10" s="1228"/>
      <c r="E10" s="1228"/>
      <c r="F10" s="1228"/>
      <c r="G10" s="1228"/>
      <c r="H10" s="1228"/>
      <c r="I10" s="1228"/>
      <c r="J10" s="1228"/>
      <c r="K10" s="1228"/>
      <c r="L10" s="1228"/>
      <c r="M10" s="1228"/>
      <c r="N10" s="1252" t="s">
        <v>1535</v>
      </c>
      <c r="O10" s="1266" t="s">
        <v>199</v>
      </c>
      <c r="P10" s="1266"/>
      <c r="Q10" s="1241" t="s">
        <v>28</v>
      </c>
      <c r="R10" s="1241" t="s">
        <v>261</v>
      </c>
      <c r="S10" s="1241"/>
      <c r="T10" s="1241" t="s">
        <v>262</v>
      </c>
      <c r="U10" s="1241"/>
      <c r="V10" s="1252" t="s">
        <v>139</v>
      </c>
      <c r="W10" s="1253"/>
      <c r="X10" s="1254"/>
      <c r="Y10" s="1252" t="s">
        <v>180</v>
      </c>
      <c r="Z10" s="1253"/>
      <c r="AA10" s="1253"/>
      <c r="AB10" s="1253"/>
      <c r="AC10" s="1253"/>
      <c r="AD10" s="1254"/>
      <c r="AE10" s="1252" t="s">
        <v>181</v>
      </c>
      <c r="AF10" s="1253"/>
      <c r="AG10" s="1253"/>
      <c r="AH10" s="1254"/>
      <c r="AI10" s="1241" t="s">
        <v>247</v>
      </c>
      <c r="AJ10" s="1241"/>
      <c r="AK10" s="1252" t="s">
        <v>248</v>
      </c>
      <c r="AL10" s="1254"/>
      <c r="AM10" s="1241" t="s">
        <v>259</v>
      </c>
      <c r="AN10" s="1233" t="s">
        <v>144</v>
      </c>
      <c r="AO10" s="1234"/>
      <c r="AP10" s="1235"/>
    </row>
    <row r="11" spans="2:53" ht="62.25" customHeight="1" thickBot="1" x14ac:dyDescent="0.35">
      <c r="B11" s="493" t="s">
        <v>204</v>
      </c>
      <c r="C11" s="121" t="s">
        <v>205</v>
      </c>
      <c r="D11" s="126" t="s">
        <v>28</v>
      </c>
      <c r="E11" s="126" t="s">
        <v>207</v>
      </c>
      <c r="F11" s="126" t="s">
        <v>208</v>
      </c>
      <c r="G11" s="126" t="s">
        <v>209</v>
      </c>
      <c r="H11" s="126" t="s">
        <v>210</v>
      </c>
      <c r="I11" s="126" t="s">
        <v>211</v>
      </c>
      <c r="J11" s="126" t="s">
        <v>139</v>
      </c>
      <c r="K11" s="126" t="s">
        <v>263</v>
      </c>
      <c r="L11" s="126" t="s">
        <v>140</v>
      </c>
      <c r="M11" s="125" t="s">
        <v>213</v>
      </c>
      <c r="N11" s="1285"/>
      <c r="O11" s="107" t="s">
        <v>240</v>
      </c>
      <c r="P11" s="580" t="s">
        <v>241</v>
      </c>
      <c r="Q11" s="1265"/>
      <c r="R11" s="107" t="s">
        <v>137</v>
      </c>
      <c r="S11" s="580" t="s">
        <v>154</v>
      </c>
      <c r="T11" s="107" t="s">
        <v>138</v>
      </c>
      <c r="U11" s="580" t="s">
        <v>154</v>
      </c>
      <c r="V11" s="107" t="s">
        <v>139</v>
      </c>
      <c r="W11" s="588" t="s">
        <v>139</v>
      </c>
      <c r="X11" s="580" t="s">
        <v>183</v>
      </c>
      <c r="Y11" s="107" t="s">
        <v>238</v>
      </c>
      <c r="Z11" s="588" t="s">
        <v>224</v>
      </c>
      <c r="AA11" s="588" t="s">
        <v>219</v>
      </c>
      <c r="AB11" s="588" t="s">
        <v>187</v>
      </c>
      <c r="AC11" s="588" t="s">
        <v>188</v>
      </c>
      <c r="AD11" s="580" t="s">
        <v>242</v>
      </c>
      <c r="AE11" s="107" t="s">
        <v>243</v>
      </c>
      <c r="AF11" s="588" t="s">
        <v>1491</v>
      </c>
      <c r="AG11" s="588" t="s">
        <v>221</v>
      </c>
      <c r="AH11" s="580" t="s">
        <v>193</v>
      </c>
      <c r="AI11" s="107" t="s">
        <v>250</v>
      </c>
      <c r="AJ11" s="580" t="s">
        <v>251</v>
      </c>
      <c r="AK11" s="107" t="s">
        <v>252</v>
      </c>
      <c r="AL11" s="580" t="s">
        <v>251</v>
      </c>
      <c r="AM11" s="1265"/>
      <c r="AN11" s="682" t="s">
        <v>163</v>
      </c>
      <c r="AO11" s="680" t="s">
        <v>164</v>
      </c>
      <c r="AP11" s="586" t="s">
        <v>1539</v>
      </c>
      <c r="AS11" s="15" t="s">
        <v>1495</v>
      </c>
      <c r="AT11" s="18" t="s">
        <v>1529</v>
      </c>
      <c r="AU11" s="18" t="s">
        <v>1530</v>
      </c>
      <c r="AV11" s="170" t="s">
        <v>148</v>
      </c>
      <c r="AX11" s="15" t="s">
        <v>1600</v>
      </c>
      <c r="AY11" s="18" t="s">
        <v>1601</v>
      </c>
      <c r="AZ11" s="18" t="s">
        <v>1602</v>
      </c>
      <c r="BA11" s="18" t="s">
        <v>1603</v>
      </c>
    </row>
    <row r="12" spans="2:53" ht="14" x14ac:dyDescent="0.3">
      <c r="B12" s="582" t="str">
        <f>'C-1 On-Site WaterC'' Baseline'!AP10</f>
        <v/>
      </c>
      <c r="C12" s="298" t="str">
        <f>IF(B12="","",VLOOKUP($B12,'C-1 On-Site WaterC'' Baseline'!$C$9:$R$257,2,FALSE))</f>
        <v/>
      </c>
      <c r="D12" s="298" t="str">
        <f>IF(C12="","",VLOOKUP($B12,'C-1 On-Site WaterC'' Baseline'!$C$9:$R$257,3,FALSE))</f>
        <v/>
      </c>
      <c r="E12" s="298" t="str">
        <f>IF(D12="","",VLOOKUP($B12,'C-1 On-Site WaterC'' Baseline'!$C$9:$R$257,4,FALSE))</f>
        <v/>
      </c>
      <c r="F12" s="298" t="str">
        <f>IF(E12="","",VLOOKUP($B12,'C-1 On-Site WaterC'' Baseline'!$C$9:$R$257,5,FALSE))</f>
        <v/>
      </c>
      <c r="G12" s="298" t="str">
        <f>IF(F12="","",VLOOKUP($B12,'C-1 On-Site WaterC'' Baseline'!$C$9:$R$257,6,FALSE))</f>
        <v/>
      </c>
      <c r="H12" s="298" t="str">
        <f>IF(G12="","",VLOOKUP($B12,'C-1 On-Site WaterC'' Baseline'!$C$9:$R$257,7,FALSE))</f>
        <v/>
      </c>
      <c r="I12" s="298" t="str">
        <f>IF(H12="","",VLOOKUP($B12,'C-1 On-Site WaterC'' Baseline'!$C$9:$R$257,8,FALSE))</f>
        <v/>
      </c>
      <c r="J12" s="298" t="str">
        <f>IF(I12="","",VLOOKUP($B12,'C-1 On-Site WaterC'' Baseline'!$C$9:$R$257,9,FALSE))</f>
        <v/>
      </c>
      <c r="K12" s="298" t="str">
        <f>IF(J12="","",VLOOKUP($B12,'C-1 On-Site WaterC'' Baseline'!$C$9:$R$257,10,FALSE))</f>
        <v/>
      </c>
      <c r="L12" s="298" t="str">
        <f>IF(B12="","",VLOOKUP($B12,'C-1 On-Site WaterC'' Baseline'!$C$9:$R$257,15,FALSE))</f>
        <v/>
      </c>
      <c r="M12" s="291" t="str">
        <f>IF(L12="","",VLOOKUP($B12,'C-1 On-Site WaterC'' Baseline'!$C$9:$R$257,16,FALSE))</f>
        <v/>
      </c>
      <c r="N12" s="259"/>
      <c r="O12" s="290" t="str">
        <f>IF(B12="","",IF(S12&lt;F12,"Error Trading Down ▲",E12&amp;" - "&amp;R12))</f>
        <v/>
      </c>
      <c r="P12" s="291" t="str">
        <f>IF(C12="","",IF(AND(N12&lt;&gt;C12,AS12="Yes"),"Error you cannot replace and irreplaceable habitat ▲",IF(AND(LEFT(C12,55)&lt;&gt;LEFT(N12,55),O12="High - High"),"Error - Not like for like ▲",IF(H12&gt;U12,"Error - Can not reduce condition ▲",IF(AND(C12&lt;&gt;N12,F12&lt;S12),"Lower Distinctiveness Habitat"&amp;" - "&amp;T12,G12&amp;" - "&amp;T12)))))</f>
        <v/>
      </c>
      <c r="Q12" s="346" t="str">
        <f>IF(N12="","",VLOOKUP(B12,'C-1 On-Site WaterC'' Baseline'!$C$10:$AC$257,20,FALSE))</f>
        <v/>
      </c>
      <c r="R12" s="290" t="str">
        <f>IF(N12="","",VLOOKUP(N12,'G-7 WaterC'' Data'!$B$2:$G$8,2,FALSE))</f>
        <v/>
      </c>
      <c r="S12" s="291" t="str">
        <f>IFERROR(VLOOKUP(R12,'G-7 WaterC'' Data'!$C$4:$D$8,2,FALSE),"")</f>
        <v/>
      </c>
      <c r="T12" s="572"/>
      <c r="U12" s="542" t="str">
        <f>IFERROR(INDEX('G-7 WaterC'' Data'!$H$4:$L$8,MATCH(N12,'G-7 WaterC'' Data'!$B$4:$B$8,0),MATCH(T12,'G-7 WaterC'' Data'!$H$3:$L$3,0)),"")</f>
        <v/>
      </c>
      <c r="V12" s="572"/>
      <c r="W12" s="298" t="str">
        <f>IF(V12="","",IF(VLOOKUP(V12,'G-7 WaterC'' Data'!$AK$4:$AM$6,2,FALSE)=0,"Spatial Data Missing ⚠",VLOOKUP(V12,'G-7 WaterC'' Data'!$AK$4:$AM$6,2,FALSE)))</f>
        <v/>
      </c>
      <c r="X12" s="542" t="str">
        <f>IF(V12="","",IF(VLOOKUP(V12,'G-7 WaterC'' Data'!$AK$4:$AM$6,3,FALSE)=0,"Spatial Data Missing ⚠",VLOOKUP(V12,'G-7 WaterC'' Data'!$AK$4:$AM$6,3,FALSE)))</f>
        <v/>
      </c>
      <c r="Y12" s="363" t="str">
        <f>IFERROR(IF(OR(LEFT(P12,5)="Error",LEFT(O12,5)="Error ▲"),"Check Data ⚠",IF(F12&lt;S12,'G-7 WaterC'' Data'!$R$3,INDEX('G-7 WaterC'' Data'!$U$5:$Y$9,MATCH(G12,'G-7 WaterC'' Data'!$T$5:$T$9,0),MATCH(T12,'G-7 WaterC'' Data'!$U$4:$Y$4,0)))),"")</f>
        <v/>
      </c>
      <c r="Z12" s="573"/>
      <c r="AA12" s="573"/>
      <c r="AB12" s="295" t="str">
        <f>IF(Y12="","",IF(Y12="Check Data ⚠","Check Data ⚠",IF(AND(Z12&gt;0,AA12&gt;0),"Error -both advance and delayed habitat creation ▲",IF(AND(OR(Z12="Habitat already in target condition",Y12&lt;=Z12),AA12=0),"Check details - Is there evidence that habitat has reached target condition? ⚠",IF(Z12&gt;0,"Check details - Is there evidence habitat creation started/in place? ⚠",IF(AA12&gt;0,"Check details- Delay in starting habitat in required condition? ⚠","Standard time to target condition applied"))))))</f>
        <v/>
      </c>
      <c r="AC12" s="366" t="str">
        <f>IF(AB12="Error -both advance and delayed habitat creation ▲","Check Data ⚠",IF(AB12="Check Data ⚠","Check Data ⚠",IF(Y12="","",IF(Z12="30+",0,IF(AA12="30+","30+",IF(Y12+AA12&gt;30,"30+",IF(Y12+AA12-Z12&gt;0,Y12+AA12-Z12,IF(Y12-Z12&lt;0,0,Y12+AA12-Z12))))))))</f>
        <v/>
      </c>
      <c r="AD12" s="594" t="str">
        <f>IFERROR(IF(AC12="Check Data ⚠","Check Data ⚠",VLOOKUP(AC12,'G-4 Temporal multipliers'!$A$4:$C$37,3,FALSE)),"")</f>
        <v/>
      </c>
      <c r="AE12" s="363" t="str">
        <f>IF(N12="","",VLOOKUP(N12,'G-7 WaterC'' Data'!$B$4:$G$8,5,FALSE))</f>
        <v/>
      </c>
      <c r="AF12" s="295" t="str">
        <f>IF(N12="","",IF(AC12="Check Data ⚠","Check Data ⚠",IF(T12="","",IF($AB12="Check details - Is there evidence that habitat has reached target condition? ⚠","Low Difficulty - only applicable if all habitat created before losses ⚠","Standard difficulty applied"))))</f>
        <v/>
      </c>
      <c r="AG12" s="574" t="str">
        <f>(IF(AND(AF12="Standard difficulty applied",Y12&gt;Z12),AE12,IF(AND(AF12="Low Difficulty - only applicable if all habitat created before losses ⚠",Z12&gt;=Y12),"Low",AE12)))</f>
        <v/>
      </c>
      <c r="AH12" s="542" t="str">
        <f t="shared" ref="AH12:AH75" si="0">IF(N12="","",VLOOKUP(AG12,Difficulty,2,FALSE))</f>
        <v/>
      </c>
      <c r="AI12" s="572"/>
      <c r="AJ12" s="542" t="str">
        <f>IF(AI12="","",IF(AND(AI12="N/A - Culvert",N12&lt;&gt;"Culvert"),"Not possible ▲",IF(VLOOKUP(AI12,'G-7 WaterC'' Data'!$AA$4:$AB$7,2,FALSE)=0,"Spatial Data Missing ⚠",VLOOKUP(AI12,'G-7 WaterC'' Data'!$AA$4:$AB$7,2,FALSE))))</f>
        <v/>
      </c>
      <c r="AK12" s="595"/>
      <c r="AL12" s="542" t="str">
        <f>IF(AK12="","",IF(AND(AK12="N/A - Culvert",N12&lt;&gt;"Culvert"),"Not possible ▲",IF(VLOOKUP(AK12,'G-7 WaterC'' Data'!$AD$4:$AE$14,2,FALSE)=0,"Spatial Data Missing ⚠",VLOOKUP(AK12,'G-7 WaterC'' Data'!$AD$4:$AE$14,2,FALSE))))</f>
        <v/>
      </c>
      <c r="AM12" s="575" t="str">
        <f>IFERROR(IF(C12="","",IF(AND(N12&lt;&gt;"",M12=""),"Check Data ⚠",IF(Q12&gt;D12,((((Q12*S12*U12)-(D12*F12*H12))*(AH12*AD12))+(D12*F12*H12))*(AL12*X12*AJ12),((((Q12*S12*U12)-(Q12*F12*H12))*(AH12*AD12))+(Q12*F12*H12))*(AL12*X12*AJ12)))),"")</f>
        <v/>
      </c>
      <c r="AN12" s="117"/>
      <c r="AO12" s="118"/>
      <c r="AP12" s="99"/>
      <c r="AS12" s="15" t="str">
        <f>IF(B12="","",IF(ISNA(VLOOKUP($B12,'C-1 On-Site WaterC'' Baseline'!$C$8:$AD$257,17,FALSE)),"",(VLOOKUP($B12,'C-1 On-Site WaterC'' Baseline'!$C$8:$AD$257,17,FALSE))))</f>
        <v/>
      </c>
      <c r="AT12" s="15" t="str">
        <f>IF(B12="","",VLOOKUP($B12,'C-1 On-Site WaterC'' Baseline'!$C$9:$Z$257,12,FALSE))</f>
        <v/>
      </c>
      <c r="AU12" s="15" t="str">
        <f>IF(B12="","",VLOOKUP($B12,'C-1 On-Site WaterC'' Baseline'!$C$9:$Z$257,14,FALSE))</f>
        <v/>
      </c>
      <c r="AV12" s="15" t="str">
        <f>IFERROR(INDEX('G-7 WaterC'' Data'!$AZ$3:$AZ$7,MATCH(N12,'G-7 WaterC'' Data'!$AY$3:$AY$7,0)),"")</f>
        <v/>
      </c>
      <c r="AX12" s="15" t="str">
        <f>IF(B12="","",VLOOKUP($B12,'C-1 On-Site WaterC'' Baseline'!$C$9:$Y$257,22,FALSE))</f>
        <v/>
      </c>
      <c r="AY12" s="15" t="str">
        <f>IF(B12="","", IF(AX12&gt;M12, M12, IF((BA12+Q12)&gt;D12, M12 - AZ12, AX12)))</f>
        <v/>
      </c>
      <c r="AZ12" s="15" t="str">
        <f>IF(B12="","",VLOOKUP($B12,'C-1 On-Site WaterC'' Baseline'!$C$9:$Y$257,21,FALSE))</f>
        <v/>
      </c>
      <c r="BA12" s="15" t="str">
        <f>IF(B12="","",VLOOKUP($B12,'C-1 On-Site WaterC'' Baseline'!$C$9:$Y$257,19,FALSE))</f>
        <v/>
      </c>
    </row>
    <row r="13" spans="2:53" ht="14" x14ac:dyDescent="0.3">
      <c r="B13" s="319" t="str">
        <f>'C-1 On-Site WaterC'' Baseline'!AP11</f>
        <v/>
      </c>
      <c r="C13" s="310" t="str">
        <f>IF(B13="","",VLOOKUP($B13,'C-1 On-Site WaterC'' Baseline'!$C$9:$R$257,2,FALSE))</f>
        <v/>
      </c>
      <c r="D13" s="310" t="str">
        <f>IF(C13="","",VLOOKUP($B13,'C-1 On-Site WaterC'' Baseline'!$C$9:$R$257,3,FALSE))</f>
        <v/>
      </c>
      <c r="E13" s="310" t="str">
        <f>IF(D13="","",VLOOKUP($B13,'C-1 On-Site WaterC'' Baseline'!$C$9:$R$257,4,FALSE))</f>
        <v/>
      </c>
      <c r="F13" s="310" t="str">
        <f>IF(E13="","",VLOOKUP($B13,'C-1 On-Site WaterC'' Baseline'!$C$9:$R$257,5,FALSE))</f>
        <v/>
      </c>
      <c r="G13" s="310" t="str">
        <f>IF(F13="","",VLOOKUP($B13,'C-1 On-Site WaterC'' Baseline'!$C$9:$R$257,6,FALSE))</f>
        <v/>
      </c>
      <c r="H13" s="310" t="str">
        <f>IF(G13="","",VLOOKUP($B13,'C-1 On-Site WaterC'' Baseline'!$C$9:$R$257,7,FALSE))</f>
        <v/>
      </c>
      <c r="I13" s="310" t="str">
        <f>IF(H13="","",VLOOKUP($B13,'C-1 On-Site WaterC'' Baseline'!$C$9:$R$257,8,FALSE))</f>
        <v/>
      </c>
      <c r="J13" s="310" t="str">
        <f>IF(I13="","",VLOOKUP($B13,'C-1 On-Site WaterC'' Baseline'!$C$9:$R$257,9,FALSE))</f>
        <v/>
      </c>
      <c r="K13" s="310" t="str">
        <f>IF(J13="","",VLOOKUP($B13,'C-1 On-Site WaterC'' Baseline'!$C$9:$R$257,10,FALSE))</f>
        <v/>
      </c>
      <c r="L13" s="310" t="str">
        <f>IF(B13="","",VLOOKUP($B13,'C-1 On-Site WaterC'' Baseline'!$C$9:$R$257,15,FALSE))</f>
        <v/>
      </c>
      <c r="M13" s="314" t="str">
        <f>IF(L13="","",VLOOKUP($B13,'C-1 On-Site WaterC'' Baseline'!$C$9:$R$257,16,FALSE))</f>
        <v/>
      </c>
      <c r="N13" s="259"/>
      <c r="O13" s="290" t="str">
        <f t="shared" ref="O13:O76" si="1">IF(B13="","",IF(S13&lt;F13,"Error Trading Down ▲",E13&amp;" - "&amp;R13))</f>
        <v/>
      </c>
      <c r="P13" s="291" t="str">
        <f t="shared" ref="P13:P76" si="2">IF(C13="","",IF(AND(N13&lt;&gt;C13,AS13="Yes"),"Error you cannot replace and irreplaceable habitat ▲",IF(AND(LEFT(C13,55)&lt;&gt;LEFT(N13,55),O13="High - High"),"Error - Not like for like ▲",IF(H13&gt;U13,"Error - Can not reduce condition ▲",IF(AND(C13&lt;&gt;N13,F13&lt;S13),"Lower Distinctiveness Habitat"&amp;" - "&amp;T13,G13&amp;" - "&amp;T13)))))</f>
        <v/>
      </c>
      <c r="Q13" s="346" t="str">
        <f>IF(N13="","",VLOOKUP(B13,'C-1 On-Site WaterC'' Baseline'!$C$10:$AC$257,20,FALSE))</f>
        <v/>
      </c>
      <c r="R13" s="290" t="str">
        <f>IF(N13="","",VLOOKUP(N13,'G-7 WaterC'' Data'!$B$2:$G$8,2,FALSE))</f>
        <v/>
      </c>
      <c r="S13" s="291" t="str">
        <f>IFERROR(VLOOKUP(R13,'G-7 WaterC'' Data'!$C$4:$D$8,2,FALSE),"")</f>
        <v/>
      </c>
      <c r="T13" s="95"/>
      <c r="U13" s="291" t="str">
        <f>IFERROR(INDEX('G-7 WaterC'' Data'!$H$4:$L$8,MATCH(N13,'G-7 WaterC'' Data'!$B$4:$B$8,0),MATCH(T13,'G-7 WaterC'' Data'!$H$3:$L$3,0)),"")</f>
        <v/>
      </c>
      <c r="V13" s="95"/>
      <c r="W13" s="298" t="str">
        <f>IF(V13="","",IF(VLOOKUP(V13,'G-7 WaterC'' Data'!$AK$4:$AM$6,2,FALSE)=0,"Spatial Data Missing ⚠",VLOOKUP(V13,'G-7 WaterC'' Data'!$AK$4:$AM$6,2,FALSE)))</f>
        <v/>
      </c>
      <c r="X13" s="291" t="str">
        <f>IF(V13="","",IF(VLOOKUP(V13,'G-7 WaterC'' Data'!$AK$4:$AM$6,3,FALSE)=0,"Spatial Data Missing ⚠",VLOOKUP(V13,'G-7 WaterC'' Data'!$AK$4:$AM$6,3,FALSE)))</f>
        <v/>
      </c>
      <c r="Y13" s="290" t="str">
        <f>IFERROR(IF(OR(LEFT(P13,5)="Error",LEFT(O13,5)="Error ▲"),"Check Data ⚠",IF(F13&lt;S13,'G-7 WaterC'' Data'!$R$3,INDEX('G-7 WaterC'' Data'!$U$5:$Y$9,MATCH(G13,'G-7 WaterC'' Data'!$T$5:$T$9,0),MATCH(T13,'G-7 WaterC'' Data'!$U$4:$Y$4,0)))),"")</f>
        <v/>
      </c>
      <c r="Z13" s="138"/>
      <c r="AA13" s="138"/>
      <c r="AB13" s="298" t="str">
        <f t="shared" ref="AB13:AB76" si="3">IF(Y13="","",IF(Y13="Check Data ⚠","Check Data ⚠",IF(AND(Z13&gt;0,AA13&gt;0),"Error -both advance and delayed habitat creation ▲",IF(AND(OR(Z13="Habitat already in target condition",Y13&lt;=Z13),AA13=0),"Check details - Is there evidence that habitat has reached target condition? ⚠",IF(Z13&gt;0,"Check details - Is there evidence habitat creation started/in place? ⚠",IF(AA13&gt;0,"Check details- Delay in starting habitat in required condition? ⚠","Standard time to target condition applied"))))))</f>
        <v/>
      </c>
      <c r="AC13" s="311" t="str">
        <f t="shared" ref="AC13:AC76" si="4">IF(AB13="Error -both advance and delayed habitat creation ▲","Check Data ⚠",IF(AB13="Check Data ⚠","Check Data ⚠",IF(Y13="","",IF(Z13="30+",0,IF(AA13="30+","30+",IF(Y13+AA13&gt;30,"30+",IF(Y13+AA13-Z13&gt;0,Y13+AA13-Z13,IF(Y13-Z13&lt;0,0,Y13+AA13-Z13))))))))</f>
        <v/>
      </c>
      <c r="AD13" s="344" t="str">
        <f>IFERROR(IF(AC13="Check Data ⚠","Check Data ⚠",VLOOKUP(AC13,'G-4 Temporal multipliers'!$A$4:$C$37,3,FALSE)),"")</f>
        <v/>
      </c>
      <c r="AE13" s="290" t="str">
        <f>IF(N13="","",VLOOKUP(N13,'G-7 WaterC'' Data'!$B$4:$G$8,5,FALSE))</f>
        <v/>
      </c>
      <c r="AF13" s="298" t="str">
        <f t="shared" ref="AF13:AF76" si="5">IF(N13="","",IF(AC13="Check Data ⚠","Check Data ⚠",IF(T13="","",IF($AB13="Check details - Is there evidence that habitat has reached target condition? ⚠","Low Difficulty - only applicable if all habitat created before losses ⚠","Standard difficulty applied"))))</f>
        <v/>
      </c>
      <c r="AG13" s="328" t="str">
        <f t="shared" ref="AG13:AG76" si="6">(IF(AND(AF13="Standard difficulty applied",Y13&gt;Z13),AE13,IF(AND(AF13="Low Difficulty - only applicable if all habitat created before losses ⚠",Z13&gt;=Y13),"Low",AE13)))</f>
        <v/>
      </c>
      <c r="AH13" s="291" t="str">
        <f t="shared" si="0"/>
        <v/>
      </c>
      <c r="AI13" s="103"/>
      <c r="AJ13" s="291" t="str">
        <f>IF(AI13="","",IF(AND(AI13="N/A - Culvert",N13&lt;&gt;"Culvert"),"Not possible ▲",IF(VLOOKUP(AI13,'G-7 WaterC'' Data'!$AA$4:$AB$7,2,FALSE)=0,"Spatial Data Missing ⚠",VLOOKUP(AI13,'G-7 WaterC'' Data'!$AA$4:$AB$7,2,FALSE))))</f>
        <v/>
      </c>
      <c r="AK13" s="104"/>
      <c r="AL13" s="291" t="str">
        <f>IF(AK13="","",IF(AND(AK13="N/A - Culvert",N13&lt;&gt;"Culvert"),"Not possible ▲",IF(VLOOKUP(AK13,'G-7 WaterC'' Data'!$AD$4:$AE$14,2,FALSE)=0,"Spatial Data Missing ⚠",VLOOKUP(AK13,'G-7 WaterC'' Data'!$AD$4:$AE$14,2,FALSE))))</f>
        <v/>
      </c>
      <c r="AM13" s="332" t="str">
        <f t="shared" ref="AM13:AM76" si="7">IFERROR(IF(C13="","",IF(AND(N13&lt;&gt;"",M13=""),"Check Data ⚠",IF(Q13&gt;D13,((((Q13*S13*U13)-(D13*F13*H13))*(AH13*AD13))+(D13*F13*H13))*(AL13*X13*AJ13),((((Q13*S13*U13)-(Q13*F13*H13))*(AH13*AD13))+(Q13*F13*H13))*(AL13*X13*AJ13)))),"")</f>
        <v/>
      </c>
      <c r="AN13" s="98"/>
      <c r="AO13" s="99"/>
      <c r="AP13" s="101"/>
      <c r="AS13" s="15" t="str">
        <f>IF(B13="","",IF(ISNA(VLOOKUP($B13,'C-1 On-Site WaterC'' Baseline'!$C$8:$AD$257,17,FALSE)),"",(VLOOKUP($B13,'C-1 On-Site WaterC'' Baseline'!$C$8:$AD$257,17,FALSE))))</f>
        <v/>
      </c>
      <c r="AT13" s="15" t="str">
        <f>IF(B13="","",VLOOKUP($B13,'C-1 On-Site WaterC'' Baseline'!$C$9:$Z$257,12,FALSE))</f>
        <v/>
      </c>
      <c r="AU13" s="15" t="str">
        <f>IF(B13="","",VLOOKUP($B13,'C-1 On-Site WaterC'' Baseline'!$C$9:$Z$257,14,FALSE))</f>
        <v/>
      </c>
      <c r="AV13" s="15" t="str">
        <f>IFERROR(INDEX('G-7 WaterC'' Data'!$AZ$3:$AZ$7,MATCH(N13,'G-7 WaterC'' Data'!$AY$3:$AY$7,0)),"")</f>
        <v/>
      </c>
      <c r="AX13" s="15" t="str">
        <f>IF(B13="","",VLOOKUP($B13,'C-1 On-Site WaterC'' Baseline'!$C$9:$Y$257,22,FALSE))</f>
        <v/>
      </c>
      <c r="AY13" s="15" t="str">
        <f t="shared" ref="AY13:AY76" si="8">IF(B13="","", IF(AX13&gt;M13, M13, IF((BA13+Q13)&gt;D13, M13 - AZ13, AX13)))</f>
        <v/>
      </c>
      <c r="AZ13" s="15" t="str">
        <f>IF(B13="","",VLOOKUP($B13,'C-1 On-Site WaterC'' Baseline'!$C$9:$Y$257,21,FALSE))</f>
        <v/>
      </c>
      <c r="BA13" s="15" t="str">
        <f>IF(B13="","",VLOOKUP($B13,'C-1 On-Site WaterC'' Baseline'!$C$9:$Y$257,19,FALSE))</f>
        <v/>
      </c>
    </row>
    <row r="14" spans="2:53" ht="14" x14ac:dyDescent="0.3">
      <c r="B14" s="319" t="str">
        <f>'C-1 On-Site WaterC'' Baseline'!AP12</f>
        <v/>
      </c>
      <c r="C14" s="310" t="str">
        <f>IF(B14="","",VLOOKUP($B14,'C-1 On-Site WaterC'' Baseline'!$C$9:$R$257,2,FALSE))</f>
        <v/>
      </c>
      <c r="D14" s="310" t="str">
        <f>IF(C14="","",VLOOKUP($B14,'C-1 On-Site WaterC'' Baseline'!$C$9:$R$257,3,FALSE))</f>
        <v/>
      </c>
      <c r="E14" s="310" t="str">
        <f>IF(D14="","",VLOOKUP($B14,'C-1 On-Site WaterC'' Baseline'!$C$9:$R$257,4,FALSE))</f>
        <v/>
      </c>
      <c r="F14" s="310" t="str">
        <f>IF(E14="","",VLOOKUP($B14,'C-1 On-Site WaterC'' Baseline'!$C$9:$R$257,5,FALSE))</f>
        <v/>
      </c>
      <c r="G14" s="310" t="str">
        <f>IF(F14="","",VLOOKUP($B14,'C-1 On-Site WaterC'' Baseline'!$C$9:$R$257,6,FALSE))</f>
        <v/>
      </c>
      <c r="H14" s="310" t="str">
        <f>IF(G14="","",VLOOKUP($B14,'C-1 On-Site WaterC'' Baseline'!$C$9:$R$257,7,FALSE))</f>
        <v/>
      </c>
      <c r="I14" s="310" t="str">
        <f>IF(H14="","",VLOOKUP($B14,'C-1 On-Site WaterC'' Baseline'!$C$9:$R$257,8,FALSE))</f>
        <v/>
      </c>
      <c r="J14" s="310" t="str">
        <f>IF(I14="","",VLOOKUP($B14,'C-1 On-Site WaterC'' Baseline'!$C$9:$R$257,9,FALSE))</f>
        <v/>
      </c>
      <c r="K14" s="310" t="str">
        <f>IF(J14="","",VLOOKUP($B14,'C-1 On-Site WaterC'' Baseline'!$C$9:$R$257,10,FALSE))</f>
        <v/>
      </c>
      <c r="L14" s="310" t="str">
        <f>IF(B14="","",VLOOKUP($B14,'C-1 On-Site WaterC'' Baseline'!$C$9:$R$257,15,FALSE))</f>
        <v/>
      </c>
      <c r="M14" s="314" t="str">
        <f>IF(L14="","",VLOOKUP($B14,'C-1 On-Site WaterC'' Baseline'!$C$9:$R$257,16,FALSE))</f>
        <v/>
      </c>
      <c r="N14" s="259"/>
      <c r="O14" s="290" t="str">
        <f t="shared" si="1"/>
        <v/>
      </c>
      <c r="P14" s="291" t="str">
        <f t="shared" si="2"/>
        <v/>
      </c>
      <c r="Q14" s="346" t="str">
        <f>IF(N14="","",VLOOKUP(B14,'C-1 On-Site WaterC'' Baseline'!$C$10:$AC$257,20,FALSE))</f>
        <v/>
      </c>
      <c r="R14" s="290" t="str">
        <f>IF(N14="","",VLOOKUP(N14,'G-7 WaterC'' Data'!$B$2:$G$8,2,FALSE))</f>
        <v/>
      </c>
      <c r="S14" s="291" t="str">
        <f>IFERROR(VLOOKUP(R14,'G-7 WaterC'' Data'!$C$4:$D$8,2,FALSE),"")</f>
        <v/>
      </c>
      <c r="T14" s="95"/>
      <c r="U14" s="291" t="str">
        <f>IFERROR(INDEX('G-7 WaterC'' Data'!$H$4:$L$8,MATCH(N14,'G-7 WaterC'' Data'!$B$4:$B$8,0),MATCH(T14,'G-7 WaterC'' Data'!$H$3:$L$3,0)),"")</f>
        <v/>
      </c>
      <c r="V14" s="95"/>
      <c r="W14" s="298" t="str">
        <f>IF(V14="","",IF(VLOOKUP(V14,'G-7 WaterC'' Data'!$AK$4:$AM$6,2,FALSE)=0,"Spatial Data Missing ⚠",VLOOKUP(V14,'G-7 WaterC'' Data'!$AK$4:$AM$6,2,FALSE)))</f>
        <v/>
      </c>
      <c r="X14" s="291" t="str">
        <f>IF(V14="","",IF(VLOOKUP(V14,'G-7 WaterC'' Data'!$AK$4:$AM$6,3,FALSE)=0,"Spatial Data Missing ⚠",VLOOKUP(V14,'G-7 WaterC'' Data'!$AK$4:$AM$6,3,FALSE)))</f>
        <v/>
      </c>
      <c r="Y14" s="290" t="str">
        <f>IFERROR(IF(OR(LEFT(P14,5)="Error",LEFT(O14,5)="Error ▲"),"Check Data ⚠",IF(F14&lt;S14,'G-7 WaterC'' Data'!$R$3,INDEX('G-7 WaterC'' Data'!$U$5:$Y$9,MATCH(G14,'G-7 WaterC'' Data'!$T$5:$T$9,0),MATCH(T14,'G-7 WaterC'' Data'!$U$4:$Y$4,0)))),"")</f>
        <v/>
      </c>
      <c r="Z14" s="138"/>
      <c r="AA14" s="138"/>
      <c r="AB14" s="298" t="str">
        <f t="shared" si="3"/>
        <v/>
      </c>
      <c r="AC14" s="311" t="str">
        <f t="shared" si="4"/>
        <v/>
      </c>
      <c r="AD14" s="344" t="str">
        <f>IFERROR(IF(AC14="Check Data ⚠","Check Data ⚠",VLOOKUP(AC14,'G-4 Temporal multipliers'!$A$4:$C$37,3,FALSE)),"")</f>
        <v/>
      </c>
      <c r="AE14" s="290" t="str">
        <f>IF(N14="","",VLOOKUP(N14,'G-7 WaterC'' Data'!$B$4:$G$8,5,FALSE))</f>
        <v/>
      </c>
      <c r="AF14" s="298" t="str">
        <f t="shared" si="5"/>
        <v/>
      </c>
      <c r="AG14" s="328" t="str">
        <f t="shared" si="6"/>
        <v/>
      </c>
      <c r="AH14" s="291" t="str">
        <f t="shared" si="0"/>
        <v/>
      </c>
      <c r="AI14" s="103"/>
      <c r="AJ14" s="291" t="str">
        <f>IF(AI14="","",IF(AND(AI14="N/A - Culvert",N14&lt;&gt;"Culvert"),"Not possible ▲",IF(VLOOKUP(AI14,'G-7 WaterC'' Data'!$AA$4:$AB$7,2,FALSE)=0,"Spatial Data Missing ⚠",VLOOKUP(AI14,'G-7 WaterC'' Data'!$AA$4:$AB$7,2,FALSE))))</f>
        <v/>
      </c>
      <c r="AK14" s="104"/>
      <c r="AL14" s="291" t="str">
        <f>IF(AK14="","",IF(AND(AK14="N/A - Culvert",N14&lt;&gt;"Culvert"),"Not possible ▲",IF(VLOOKUP(AK14,'G-7 WaterC'' Data'!$AD$4:$AE$14,2,FALSE)=0,"Spatial Data Missing ⚠",VLOOKUP(AK14,'G-7 WaterC'' Data'!$AD$4:$AE$14,2,FALSE))))</f>
        <v/>
      </c>
      <c r="AM14" s="332" t="str">
        <f t="shared" si="7"/>
        <v/>
      </c>
      <c r="AN14" s="98"/>
      <c r="AO14" s="99"/>
      <c r="AP14" s="101"/>
      <c r="AS14" s="15" t="str">
        <f>IF(B14="","",IF(ISNA(VLOOKUP($B14,'C-1 On-Site WaterC'' Baseline'!$C$8:$AD$257,17,FALSE)),"",(VLOOKUP($B14,'C-1 On-Site WaterC'' Baseline'!$C$8:$AD$257,17,FALSE))))</f>
        <v/>
      </c>
      <c r="AT14" s="15" t="str">
        <f>IF(B14="","",VLOOKUP($B14,'C-1 On-Site WaterC'' Baseline'!$C$9:$Z$257,12,FALSE))</f>
        <v/>
      </c>
      <c r="AU14" s="15" t="str">
        <f>IF(B14="","",VLOOKUP($B14,'C-1 On-Site WaterC'' Baseline'!$C$9:$Z$257,14,FALSE))</f>
        <v/>
      </c>
      <c r="AV14" s="15" t="str">
        <f>IFERROR(INDEX('G-7 WaterC'' Data'!$AZ$3:$AZ$7,MATCH(N14,'G-7 WaterC'' Data'!$AY$3:$AY$7,0)),"")</f>
        <v/>
      </c>
      <c r="AX14" s="15" t="str">
        <f>IF(B14="","",VLOOKUP($B14,'C-1 On-Site WaterC'' Baseline'!$C$9:$Y$257,22,FALSE))</f>
        <v/>
      </c>
      <c r="AY14" s="15" t="str">
        <f t="shared" si="8"/>
        <v/>
      </c>
      <c r="AZ14" s="15" t="str">
        <f>IF(B14="","",VLOOKUP($B14,'C-1 On-Site WaterC'' Baseline'!$C$9:$Y$257,21,FALSE))</f>
        <v/>
      </c>
      <c r="BA14" s="15" t="str">
        <f>IF(B14="","",VLOOKUP($B14,'C-1 On-Site WaterC'' Baseline'!$C$9:$Y$257,19,FALSE))</f>
        <v/>
      </c>
    </row>
    <row r="15" spans="2:53" ht="14" x14ac:dyDescent="0.3">
      <c r="B15" s="319" t="str">
        <f>'C-1 On-Site WaterC'' Baseline'!AP13</f>
        <v/>
      </c>
      <c r="C15" s="310" t="str">
        <f>IF(B15="","",VLOOKUP($B15,'C-1 On-Site WaterC'' Baseline'!$C$9:$R$257,2,FALSE))</f>
        <v/>
      </c>
      <c r="D15" s="310" t="str">
        <f>IF(C15="","",VLOOKUP($B15,'C-1 On-Site WaterC'' Baseline'!$C$9:$R$257,3,FALSE))</f>
        <v/>
      </c>
      <c r="E15" s="310" t="str">
        <f>IF(D15="","",VLOOKUP($B15,'C-1 On-Site WaterC'' Baseline'!$C$9:$R$257,4,FALSE))</f>
        <v/>
      </c>
      <c r="F15" s="310" t="str">
        <f>IF(E15="","",VLOOKUP($B15,'C-1 On-Site WaterC'' Baseline'!$C$9:$R$257,5,FALSE))</f>
        <v/>
      </c>
      <c r="G15" s="310" t="str">
        <f>IF(F15="","",VLOOKUP($B15,'C-1 On-Site WaterC'' Baseline'!$C$9:$R$257,6,FALSE))</f>
        <v/>
      </c>
      <c r="H15" s="310" t="str">
        <f>IF(G15="","",VLOOKUP($B15,'C-1 On-Site WaterC'' Baseline'!$C$9:$R$257,7,FALSE))</f>
        <v/>
      </c>
      <c r="I15" s="310" t="str">
        <f>IF(H15="","",VLOOKUP($B15,'C-1 On-Site WaterC'' Baseline'!$C$9:$R$257,8,FALSE))</f>
        <v/>
      </c>
      <c r="J15" s="310" t="str">
        <f>IF(I15="","",VLOOKUP($B15,'C-1 On-Site WaterC'' Baseline'!$C$9:$R$257,9,FALSE))</f>
        <v/>
      </c>
      <c r="K15" s="310" t="str">
        <f>IF(J15="","",VLOOKUP($B15,'C-1 On-Site WaterC'' Baseline'!$C$9:$R$257,10,FALSE))</f>
        <v/>
      </c>
      <c r="L15" s="310" t="str">
        <f>IF(B15="","",VLOOKUP($B15,'C-1 On-Site WaterC'' Baseline'!$C$9:$R$257,15,FALSE))</f>
        <v/>
      </c>
      <c r="M15" s="314" t="str">
        <f>IF(L15="","",VLOOKUP($B15,'C-1 On-Site WaterC'' Baseline'!$C$9:$R$257,16,FALSE))</f>
        <v/>
      </c>
      <c r="N15" s="259"/>
      <c r="O15" s="290" t="str">
        <f t="shared" si="1"/>
        <v/>
      </c>
      <c r="P15" s="291" t="str">
        <f t="shared" si="2"/>
        <v/>
      </c>
      <c r="Q15" s="346" t="str">
        <f>IF(N15="","",VLOOKUP(B15,'C-1 On-Site WaterC'' Baseline'!$C$10:$AC$257,20,FALSE))</f>
        <v/>
      </c>
      <c r="R15" s="290" t="str">
        <f>IF(N15="","",VLOOKUP(N15,'G-7 WaterC'' Data'!$B$2:$G$8,2,FALSE))</f>
        <v/>
      </c>
      <c r="S15" s="291" t="str">
        <f>IFERROR(VLOOKUP(R15,'G-7 WaterC'' Data'!$C$4:$D$8,2,FALSE),"")</f>
        <v/>
      </c>
      <c r="T15" s="95"/>
      <c r="U15" s="291" t="str">
        <f>IFERROR(INDEX('G-7 WaterC'' Data'!$H$4:$L$8,MATCH(N15,'G-7 WaterC'' Data'!$B$4:$B$8,0),MATCH(T15,'G-7 WaterC'' Data'!$H$3:$L$3,0)),"")</f>
        <v/>
      </c>
      <c r="V15" s="95"/>
      <c r="W15" s="298" t="str">
        <f>IF(V15="","",IF(VLOOKUP(V15,'G-7 WaterC'' Data'!$AK$4:$AM$6,2,FALSE)=0,"Spatial Data Missing ⚠",VLOOKUP(V15,'G-7 WaterC'' Data'!$AK$4:$AM$6,2,FALSE)))</f>
        <v/>
      </c>
      <c r="X15" s="291" t="str">
        <f>IF(V15="","",IF(VLOOKUP(V15,'G-7 WaterC'' Data'!$AK$4:$AM$6,3,FALSE)=0,"Spatial Data Missing ⚠",VLOOKUP(V15,'G-7 WaterC'' Data'!$AK$4:$AM$6,3,FALSE)))</f>
        <v/>
      </c>
      <c r="Y15" s="290" t="str">
        <f>IFERROR(IF(OR(LEFT(P15,5)="Error",LEFT(O15,5)="Error ▲"),"Check Data ⚠",IF(F15&lt;S15,'G-7 WaterC'' Data'!$R$3,INDEX('G-7 WaterC'' Data'!$U$5:$Y$9,MATCH(G15,'G-7 WaterC'' Data'!$T$5:$T$9,0),MATCH(T15,'G-7 WaterC'' Data'!$U$4:$Y$4,0)))),"")</f>
        <v/>
      </c>
      <c r="Z15" s="138"/>
      <c r="AA15" s="138"/>
      <c r="AB15" s="298" t="str">
        <f t="shared" si="3"/>
        <v/>
      </c>
      <c r="AC15" s="311" t="str">
        <f t="shared" si="4"/>
        <v/>
      </c>
      <c r="AD15" s="344" t="str">
        <f>IFERROR(IF(AC15="Check Data ⚠","Check Data ⚠",VLOOKUP(AC15,'G-4 Temporal multipliers'!$A$4:$C$37,3,FALSE)),"")</f>
        <v/>
      </c>
      <c r="AE15" s="290" t="str">
        <f>IF(N15="","",VLOOKUP(N15,'G-7 WaterC'' Data'!$B$4:$G$8,5,FALSE))</f>
        <v/>
      </c>
      <c r="AF15" s="298" t="str">
        <f t="shared" si="5"/>
        <v/>
      </c>
      <c r="AG15" s="328" t="str">
        <f t="shared" si="6"/>
        <v/>
      </c>
      <c r="AH15" s="291" t="str">
        <f t="shared" si="0"/>
        <v/>
      </c>
      <c r="AI15" s="103"/>
      <c r="AJ15" s="291" t="str">
        <f>IF(AI15="","",IF(AND(AI15="N/A - Culvert",N15&lt;&gt;"Culvert"),"Not possible ▲",IF(VLOOKUP(AI15,'G-7 WaterC'' Data'!$AA$4:$AB$7,2,FALSE)=0,"Spatial Data Missing ⚠",VLOOKUP(AI15,'G-7 WaterC'' Data'!$AA$4:$AB$7,2,FALSE))))</f>
        <v/>
      </c>
      <c r="AK15" s="104"/>
      <c r="AL15" s="291" t="str">
        <f>IF(AK15="","",IF(AND(AK15="N/A - Culvert",N15&lt;&gt;"Culvert"),"Not possible ▲",IF(VLOOKUP(AK15,'G-7 WaterC'' Data'!$AD$4:$AE$14,2,FALSE)=0,"Spatial Data Missing ⚠",VLOOKUP(AK15,'G-7 WaterC'' Data'!$AD$4:$AE$14,2,FALSE))))</f>
        <v/>
      </c>
      <c r="AM15" s="332" t="str">
        <f t="shared" si="7"/>
        <v/>
      </c>
      <c r="AN15" s="98"/>
      <c r="AO15" s="99"/>
      <c r="AP15" s="101"/>
      <c r="AS15" s="15" t="str">
        <f>IF(B15="","",IF(ISNA(VLOOKUP($B15,'C-1 On-Site WaterC'' Baseline'!$C$8:$AD$257,17,FALSE)),"",(VLOOKUP($B15,'C-1 On-Site WaterC'' Baseline'!$C$8:$AD$257,17,FALSE))))</f>
        <v/>
      </c>
      <c r="AT15" s="15" t="str">
        <f>IF(B15="","",VLOOKUP($B15,'C-1 On-Site WaterC'' Baseline'!$C$9:$Z$257,12,FALSE))</f>
        <v/>
      </c>
      <c r="AU15" s="15" t="str">
        <f>IF(B15="","",VLOOKUP($B15,'C-1 On-Site WaterC'' Baseline'!$C$9:$Z$257,14,FALSE))</f>
        <v/>
      </c>
      <c r="AV15" s="15" t="str">
        <f>IFERROR(INDEX('G-7 WaterC'' Data'!$AZ$3:$AZ$7,MATCH(N15,'G-7 WaterC'' Data'!$AY$3:$AY$7,0)),"")</f>
        <v/>
      </c>
      <c r="AX15" s="15" t="str">
        <f>IF(B15="","",VLOOKUP($B15,'C-1 On-Site WaterC'' Baseline'!$C$9:$Y$257,22,FALSE))</f>
        <v/>
      </c>
      <c r="AY15" s="15" t="str">
        <f t="shared" si="8"/>
        <v/>
      </c>
      <c r="AZ15" s="15" t="str">
        <f>IF(B15="","",VLOOKUP($B15,'C-1 On-Site WaterC'' Baseline'!$C$9:$Y$257,21,FALSE))</f>
        <v/>
      </c>
      <c r="BA15" s="15" t="str">
        <f>IF(B15="","",VLOOKUP($B15,'C-1 On-Site WaterC'' Baseline'!$C$9:$Y$257,19,FALSE))</f>
        <v/>
      </c>
    </row>
    <row r="16" spans="2:53" ht="14" x14ac:dyDescent="0.3">
      <c r="B16" s="319" t="str">
        <f>'C-1 On-Site WaterC'' Baseline'!AP14</f>
        <v/>
      </c>
      <c r="C16" s="310" t="str">
        <f>IF(B16="","",VLOOKUP($B16,'C-1 On-Site WaterC'' Baseline'!$C$9:$R$257,2,FALSE))</f>
        <v/>
      </c>
      <c r="D16" s="310" t="str">
        <f>IF(C16="","",VLOOKUP($B16,'C-1 On-Site WaterC'' Baseline'!$C$9:$R$257,3,FALSE))</f>
        <v/>
      </c>
      <c r="E16" s="310" t="str">
        <f>IF(D16="","",VLOOKUP($B16,'C-1 On-Site WaterC'' Baseline'!$C$9:$R$257,4,FALSE))</f>
        <v/>
      </c>
      <c r="F16" s="310" t="str">
        <f>IF(E16="","",VLOOKUP($B16,'C-1 On-Site WaterC'' Baseline'!$C$9:$R$257,5,FALSE))</f>
        <v/>
      </c>
      <c r="G16" s="310" t="str">
        <f>IF(F16="","",VLOOKUP($B16,'C-1 On-Site WaterC'' Baseline'!$C$9:$R$257,6,FALSE))</f>
        <v/>
      </c>
      <c r="H16" s="310" t="str">
        <f>IF(G16="","",VLOOKUP($B16,'C-1 On-Site WaterC'' Baseline'!$C$9:$R$257,7,FALSE))</f>
        <v/>
      </c>
      <c r="I16" s="310" t="str">
        <f>IF(H16="","",VLOOKUP($B16,'C-1 On-Site WaterC'' Baseline'!$C$9:$R$257,8,FALSE))</f>
        <v/>
      </c>
      <c r="J16" s="310" t="str">
        <f>IF(I16="","",VLOOKUP($B16,'C-1 On-Site WaterC'' Baseline'!$C$9:$R$257,9,FALSE))</f>
        <v/>
      </c>
      <c r="K16" s="310" t="str">
        <f>IF(J16="","",VLOOKUP($B16,'C-1 On-Site WaterC'' Baseline'!$C$9:$R$257,10,FALSE))</f>
        <v/>
      </c>
      <c r="L16" s="310" t="str">
        <f>IF(B16="","",VLOOKUP($B16,'C-1 On-Site WaterC'' Baseline'!$C$9:$R$257,15,FALSE))</f>
        <v/>
      </c>
      <c r="M16" s="314" t="str">
        <f>IF(L16="","",VLOOKUP($B16,'C-1 On-Site WaterC'' Baseline'!$C$9:$R$257,16,FALSE))</f>
        <v/>
      </c>
      <c r="N16" s="259"/>
      <c r="O16" s="290" t="str">
        <f t="shared" si="1"/>
        <v/>
      </c>
      <c r="P16" s="291" t="str">
        <f t="shared" si="2"/>
        <v/>
      </c>
      <c r="Q16" s="346" t="str">
        <f>IF(N16="","",VLOOKUP(B16,'C-1 On-Site WaterC'' Baseline'!$C$10:$AC$257,20,FALSE))</f>
        <v/>
      </c>
      <c r="R16" s="290" t="str">
        <f>IF(N16="","",VLOOKUP(N16,'G-7 WaterC'' Data'!$B$2:$G$8,2,FALSE))</f>
        <v/>
      </c>
      <c r="S16" s="291" t="str">
        <f>IFERROR(VLOOKUP(R16,'G-7 WaterC'' Data'!$C$4:$D$8,2,FALSE),"")</f>
        <v/>
      </c>
      <c r="T16" s="95"/>
      <c r="U16" s="291" t="str">
        <f>IFERROR(INDEX('G-7 WaterC'' Data'!$H$4:$L$8,MATCH(N16,'G-7 WaterC'' Data'!$B$4:$B$8,0),MATCH(T16,'G-7 WaterC'' Data'!$H$3:$L$3,0)),"")</f>
        <v/>
      </c>
      <c r="V16" s="95"/>
      <c r="W16" s="298" t="str">
        <f>IF(V16="","",IF(VLOOKUP(V16,'G-7 WaterC'' Data'!$AK$4:$AM$6,2,FALSE)=0,"Spatial Data Missing ⚠",VLOOKUP(V16,'G-7 WaterC'' Data'!$AK$4:$AM$6,2,FALSE)))</f>
        <v/>
      </c>
      <c r="X16" s="291" t="str">
        <f>IF(V16="","",IF(VLOOKUP(V16,'G-7 WaterC'' Data'!$AK$4:$AM$6,3,FALSE)=0,"Spatial Data Missing ⚠",VLOOKUP(V16,'G-7 WaterC'' Data'!$AK$4:$AM$6,3,FALSE)))</f>
        <v/>
      </c>
      <c r="Y16" s="290" t="str">
        <f>IFERROR(IF(OR(LEFT(P16,5)="Error",LEFT(O16,5)="Error ▲"),"Check Data ⚠",IF(F16&lt;S16,'G-7 WaterC'' Data'!$R$3,INDEX('G-7 WaterC'' Data'!$U$5:$Y$9,MATCH(G16,'G-7 WaterC'' Data'!$T$5:$T$9,0),MATCH(T16,'G-7 WaterC'' Data'!$U$4:$Y$4,0)))),"")</f>
        <v/>
      </c>
      <c r="Z16" s="138"/>
      <c r="AA16" s="138"/>
      <c r="AB16" s="298" t="str">
        <f t="shared" si="3"/>
        <v/>
      </c>
      <c r="AC16" s="311" t="str">
        <f t="shared" si="4"/>
        <v/>
      </c>
      <c r="AD16" s="344" t="str">
        <f>IFERROR(IF(AC16="Check Data ⚠","Check Data ⚠",VLOOKUP(AC16,'G-4 Temporal multipliers'!$A$4:$C$37,3,FALSE)),"")</f>
        <v/>
      </c>
      <c r="AE16" s="290" t="str">
        <f>IF(N16="","",VLOOKUP(N16,'G-7 WaterC'' Data'!$B$4:$G$8,5,FALSE))</f>
        <v/>
      </c>
      <c r="AF16" s="298" t="str">
        <f t="shared" si="5"/>
        <v/>
      </c>
      <c r="AG16" s="328" t="str">
        <f t="shared" si="6"/>
        <v/>
      </c>
      <c r="AH16" s="291" t="str">
        <f t="shared" si="0"/>
        <v/>
      </c>
      <c r="AI16" s="103"/>
      <c r="AJ16" s="291" t="str">
        <f>IF(AI16="","",IF(AND(AI16="N/A - Culvert",N16&lt;&gt;"Culvert"),"Not possible ▲",IF(VLOOKUP(AI16,'G-7 WaterC'' Data'!$AA$4:$AB$7,2,FALSE)=0,"Spatial Data Missing ⚠",VLOOKUP(AI16,'G-7 WaterC'' Data'!$AA$4:$AB$7,2,FALSE))))</f>
        <v/>
      </c>
      <c r="AK16" s="104"/>
      <c r="AL16" s="291" t="str">
        <f>IF(AK16="","",IF(AND(AK16="N/A - Culvert",N16&lt;&gt;"Culvert"),"Not possible ▲",IF(VLOOKUP(AK16,'G-7 WaterC'' Data'!$AD$4:$AE$14,2,FALSE)=0,"Spatial Data Missing ⚠",VLOOKUP(AK16,'G-7 WaterC'' Data'!$AD$4:$AE$14,2,FALSE))))</f>
        <v/>
      </c>
      <c r="AM16" s="332" t="str">
        <f t="shared" si="7"/>
        <v/>
      </c>
      <c r="AN16" s="98"/>
      <c r="AO16" s="99"/>
      <c r="AP16" s="101"/>
      <c r="AS16" s="15" t="str">
        <f>IF(B16="","",IF(ISNA(VLOOKUP($B16,'C-1 On-Site WaterC'' Baseline'!$C$8:$AD$257,17,FALSE)),"",(VLOOKUP($B16,'C-1 On-Site WaterC'' Baseline'!$C$8:$AD$257,17,FALSE))))</f>
        <v/>
      </c>
      <c r="AT16" s="15" t="str">
        <f>IF(B16="","",VLOOKUP($B16,'C-1 On-Site WaterC'' Baseline'!$C$9:$Z$257,12,FALSE))</f>
        <v/>
      </c>
      <c r="AU16" s="15" t="str">
        <f>IF(B16="","",VLOOKUP($B16,'C-1 On-Site WaterC'' Baseline'!$C$9:$Z$257,14,FALSE))</f>
        <v/>
      </c>
      <c r="AV16" s="15" t="str">
        <f>IFERROR(INDEX('G-7 WaterC'' Data'!$AZ$3:$AZ$7,MATCH(N16,'G-7 WaterC'' Data'!$AY$3:$AY$7,0)),"")</f>
        <v/>
      </c>
      <c r="AX16" s="15" t="str">
        <f>IF(B16="","",VLOOKUP($B16,'C-1 On-Site WaterC'' Baseline'!$C$9:$Y$257,22,FALSE))</f>
        <v/>
      </c>
      <c r="AY16" s="15" t="str">
        <f t="shared" si="8"/>
        <v/>
      </c>
      <c r="AZ16" s="15" t="str">
        <f>IF(B16="","",VLOOKUP($B16,'C-1 On-Site WaterC'' Baseline'!$C$9:$Y$257,21,FALSE))</f>
        <v/>
      </c>
      <c r="BA16" s="15" t="str">
        <f>IF(B16="","",VLOOKUP($B16,'C-1 On-Site WaterC'' Baseline'!$C$9:$Y$257,19,FALSE))</f>
        <v/>
      </c>
    </row>
    <row r="17" spans="2:53" ht="14" x14ac:dyDescent="0.3">
      <c r="B17" s="319" t="str">
        <f>'C-1 On-Site WaterC'' Baseline'!AP15</f>
        <v/>
      </c>
      <c r="C17" s="310" t="str">
        <f>IF(B17="","",VLOOKUP($B17,'C-1 On-Site WaterC'' Baseline'!$C$9:$R$257,2,FALSE))</f>
        <v/>
      </c>
      <c r="D17" s="310" t="str">
        <f>IF(C17="","",VLOOKUP($B17,'C-1 On-Site WaterC'' Baseline'!$C$9:$R$257,3,FALSE))</f>
        <v/>
      </c>
      <c r="E17" s="310" t="str">
        <f>IF(D17="","",VLOOKUP($B17,'C-1 On-Site WaterC'' Baseline'!$C$9:$R$257,4,FALSE))</f>
        <v/>
      </c>
      <c r="F17" s="310" t="str">
        <f>IF(E17="","",VLOOKUP($B17,'C-1 On-Site WaterC'' Baseline'!$C$9:$R$257,5,FALSE))</f>
        <v/>
      </c>
      <c r="G17" s="310" t="str">
        <f>IF(F17="","",VLOOKUP($B17,'C-1 On-Site WaterC'' Baseline'!$C$9:$R$257,6,FALSE))</f>
        <v/>
      </c>
      <c r="H17" s="310" t="str">
        <f>IF(G17="","",VLOOKUP($B17,'C-1 On-Site WaterC'' Baseline'!$C$9:$R$257,7,FALSE))</f>
        <v/>
      </c>
      <c r="I17" s="310" t="str">
        <f>IF(H17="","",VLOOKUP($B17,'C-1 On-Site WaterC'' Baseline'!$C$9:$R$257,8,FALSE))</f>
        <v/>
      </c>
      <c r="J17" s="310" t="str">
        <f>IF(I17="","",VLOOKUP($B17,'C-1 On-Site WaterC'' Baseline'!$C$9:$R$257,9,FALSE))</f>
        <v/>
      </c>
      <c r="K17" s="310" t="str">
        <f>IF(J17="","",VLOOKUP($B17,'C-1 On-Site WaterC'' Baseline'!$C$9:$R$257,10,FALSE))</f>
        <v/>
      </c>
      <c r="L17" s="310" t="str">
        <f>IF(B17="","",VLOOKUP($B17,'C-1 On-Site WaterC'' Baseline'!$C$9:$R$257,15,FALSE))</f>
        <v/>
      </c>
      <c r="M17" s="314" t="str">
        <f>IF(L17="","",VLOOKUP($B17,'C-1 On-Site WaterC'' Baseline'!$C$9:$R$257,16,FALSE))</f>
        <v/>
      </c>
      <c r="N17" s="259"/>
      <c r="O17" s="290" t="str">
        <f t="shared" si="1"/>
        <v/>
      </c>
      <c r="P17" s="291" t="str">
        <f t="shared" si="2"/>
        <v/>
      </c>
      <c r="Q17" s="346" t="str">
        <f>IF(N17="","",VLOOKUP(B17,'C-1 On-Site WaterC'' Baseline'!$C$10:$AC$257,20,FALSE))</f>
        <v/>
      </c>
      <c r="R17" s="290" t="str">
        <f>IF(N17="","",VLOOKUP(N17,'G-7 WaterC'' Data'!$B$2:$G$8,2,FALSE))</f>
        <v/>
      </c>
      <c r="S17" s="291" t="str">
        <f>IFERROR(VLOOKUP(R17,'G-7 WaterC'' Data'!$C$4:$D$8,2,FALSE),"")</f>
        <v/>
      </c>
      <c r="T17" s="95"/>
      <c r="U17" s="291" t="str">
        <f>IFERROR(INDEX('G-7 WaterC'' Data'!$H$4:$L$8,MATCH(N17,'G-7 WaterC'' Data'!$B$4:$B$8,0),MATCH(T17,'G-7 WaterC'' Data'!$H$3:$L$3,0)),"")</f>
        <v/>
      </c>
      <c r="V17" s="95"/>
      <c r="W17" s="298" t="str">
        <f>IF(V17="","",IF(VLOOKUP(V17,'G-7 WaterC'' Data'!$AK$4:$AM$6,2,FALSE)=0,"Spatial Data Missing ⚠",VLOOKUP(V17,'G-7 WaterC'' Data'!$AK$4:$AM$6,2,FALSE)))</f>
        <v/>
      </c>
      <c r="X17" s="291" t="str">
        <f>IF(V17="","",IF(VLOOKUP(V17,'G-7 WaterC'' Data'!$AK$4:$AM$6,3,FALSE)=0,"Spatial Data Missing ⚠",VLOOKUP(V17,'G-7 WaterC'' Data'!$AK$4:$AM$6,3,FALSE)))</f>
        <v/>
      </c>
      <c r="Y17" s="290" t="str">
        <f>IFERROR(IF(OR(LEFT(P17,5)="Error",LEFT(O17,5)="Error ▲"),"Check Data ⚠",IF(F17&lt;S17,'G-7 WaterC'' Data'!$R$3,INDEX('G-7 WaterC'' Data'!$U$5:$Y$9,MATCH(G17,'G-7 WaterC'' Data'!$T$5:$T$9,0),MATCH(T17,'G-7 WaterC'' Data'!$U$4:$Y$4,0)))),"")</f>
        <v/>
      </c>
      <c r="Z17" s="138"/>
      <c r="AA17" s="138"/>
      <c r="AB17" s="298" t="str">
        <f t="shared" si="3"/>
        <v/>
      </c>
      <c r="AC17" s="311" t="str">
        <f t="shared" si="4"/>
        <v/>
      </c>
      <c r="AD17" s="344" t="str">
        <f>IFERROR(IF(AC17="Check Data ⚠","Check Data ⚠",VLOOKUP(AC17,'G-4 Temporal multipliers'!$A$4:$C$37,3,FALSE)),"")</f>
        <v/>
      </c>
      <c r="AE17" s="290" t="str">
        <f>IF(N17="","",VLOOKUP(N17,'G-7 WaterC'' Data'!$B$4:$G$8,5,FALSE))</f>
        <v/>
      </c>
      <c r="AF17" s="298" t="str">
        <f t="shared" si="5"/>
        <v/>
      </c>
      <c r="AG17" s="328" t="str">
        <f t="shared" si="6"/>
        <v/>
      </c>
      <c r="AH17" s="291" t="str">
        <f t="shared" si="0"/>
        <v/>
      </c>
      <c r="AI17" s="103"/>
      <c r="AJ17" s="291" t="str">
        <f>IF(AI17="","",IF(AND(AI17="N/A - Culvert",N17&lt;&gt;"Culvert"),"Not possible ▲",IF(VLOOKUP(AI17,'G-7 WaterC'' Data'!$AA$4:$AB$7,2,FALSE)=0,"Spatial Data Missing ⚠",VLOOKUP(AI17,'G-7 WaterC'' Data'!$AA$4:$AB$7,2,FALSE))))</f>
        <v/>
      </c>
      <c r="AK17" s="104"/>
      <c r="AL17" s="291" t="str">
        <f>IF(AK17="","",IF(AND(AK17="N/A - Culvert",N17&lt;&gt;"Culvert"),"Not possible ▲",IF(VLOOKUP(AK17,'G-7 WaterC'' Data'!$AD$4:$AE$14,2,FALSE)=0,"Spatial Data Missing ⚠",VLOOKUP(AK17,'G-7 WaterC'' Data'!$AD$4:$AE$14,2,FALSE))))</f>
        <v/>
      </c>
      <c r="AM17" s="332" t="str">
        <f t="shared" si="7"/>
        <v/>
      </c>
      <c r="AN17" s="98"/>
      <c r="AO17" s="99"/>
      <c r="AP17" s="101"/>
      <c r="AS17" s="15" t="str">
        <f>IF(B17="","",IF(ISNA(VLOOKUP($B17,'C-1 On-Site WaterC'' Baseline'!$C$8:$AD$257,17,FALSE)),"",(VLOOKUP($B17,'C-1 On-Site WaterC'' Baseline'!$C$8:$AD$257,17,FALSE))))</f>
        <v/>
      </c>
      <c r="AT17" s="15" t="str">
        <f>IF(B17="","",VLOOKUP($B17,'C-1 On-Site WaterC'' Baseline'!$C$9:$Z$257,12,FALSE))</f>
        <v/>
      </c>
      <c r="AU17" s="15" t="str">
        <f>IF(B17="","",VLOOKUP($B17,'C-1 On-Site WaterC'' Baseline'!$C$9:$Z$257,14,FALSE))</f>
        <v/>
      </c>
      <c r="AV17" s="15" t="str">
        <f>IFERROR(INDEX('G-7 WaterC'' Data'!$AZ$3:$AZ$7,MATCH(N17,'G-7 WaterC'' Data'!$AY$3:$AY$7,0)),"")</f>
        <v/>
      </c>
      <c r="AX17" s="15" t="str">
        <f>IF(B17="","",VLOOKUP($B17,'C-1 On-Site WaterC'' Baseline'!$C$9:$Y$257,22,FALSE))</f>
        <v/>
      </c>
      <c r="AY17" s="15" t="str">
        <f t="shared" si="8"/>
        <v/>
      </c>
      <c r="AZ17" s="15" t="str">
        <f>IF(B17="","",VLOOKUP($B17,'C-1 On-Site WaterC'' Baseline'!$C$9:$Y$257,21,FALSE))</f>
        <v/>
      </c>
      <c r="BA17" s="15" t="str">
        <f>IF(B17="","",VLOOKUP($B17,'C-1 On-Site WaterC'' Baseline'!$C$9:$Y$257,19,FALSE))</f>
        <v/>
      </c>
    </row>
    <row r="18" spans="2:53" ht="14" x14ac:dyDescent="0.3">
      <c r="B18" s="319" t="str">
        <f>'C-1 On-Site WaterC'' Baseline'!AP16</f>
        <v/>
      </c>
      <c r="C18" s="310" t="str">
        <f>IF(B18="","",VLOOKUP($B18,'C-1 On-Site WaterC'' Baseline'!$C$9:$R$257,2,FALSE))</f>
        <v/>
      </c>
      <c r="D18" s="310" t="str">
        <f>IF(C18="","",VLOOKUP($B18,'C-1 On-Site WaterC'' Baseline'!$C$9:$R$257,3,FALSE))</f>
        <v/>
      </c>
      <c r="E18" s="310" t="str">
        <f>IF(D18="","",VLOOKUP($B18,'C-1 On-Site WaterC'' Baseline'!$C$9:$R$257,4,FALSE))</f>
        <v/>
      </c>
      <c r="F18" s="310" t="str">
        <f>IF(E18="","",VLOOKUP($B18,'C-1 On-Site WaterC'' Baseline'!$C$9:$R$257,5,FALSE))</f>
        <v/>
      </c>
      <c r="G18" s="310" t="str">
        <f>IF(F18="","",VLOOKUP($B18,'C-1 On-Site WaterC'' Baseline'!$C$9:$R$257,6,FALSE))</f>
        <v/>
      </c>
      <c r="H18" s="310" t="str">
        <f>IF(G18="","",VLOOKUP($B18,'C-1 On-Site WaterC'' Baseline'!$C$9:$R$257,7,FALSE))</f>
        <v/>
      </c>
      <c r="I18" s="310" t="str">
        <f>IF(H18="","",VLOOKUP($B18,'C-1 On-Site WaterC'' Baseline'!$C$9:$R$257,8,FALSE))</f>
        <v/>
      </c>
      <c r="J18" s="310" t="str">
        <f>IF(I18="","",VLOOKUP($B18,'C-1 On-Site WaterC'' Baseline'!$C$9:$R$257,9,FALSE))</f>
        <v/>
      </c>
      <c r="K18" s="310" t="str">
        <f>IF(J18="","",VLOOKUP($B18,'C-1 On-Site WaterC'' Baseline'!$C$9:$R$257,10,FALSE))</f>
        <v/>
      </c>
      <c r="L18" s="310" t="str">
        <f>IF(B18="","",VLOOKUP($B18,'C-1 On-Site WaterC'' Baseline'!$C$9:$R$257,15,FALSE))</f>
        <v/>
      </c>
      <c r="M18" s="314" t="str">
        <f>IF(L18="","",VLOOKUP($B18,'C-1 On-Site WaterC'' Baseline'!$C$9:$R$257,16,FALSE))</f>
        <v/>
      </c>
      <c r="N18" s="259"/>
      <c r="O18" s="290" t="str">
        <f t="shared" si="1"/>
        <v/>
      </c>
      <c r="P18" s="291" t="str">
        <f t="shared" si="2"/>
        <v/>
      </c>
      <c r="Q18" s="346" t="str">
        <f>IF(N18="","",VLOOKUP(B18,'C-1 On-Site WaterC'' Baseline'!$C$10:$AC$257,20,FALSE))</f>
        <v/>
      </c>
      <c r="R18" s="290" t="str">
        <f>IF(N18="","",VLOOKUP(N18,'G-7 WaterC'' Data'!$B$2:$G$8,2,FALSE))</f>
        <v/>
      </c>
      <c r="S18" s="291" t="str">
        <f>IFERROR(VLOOKUP(R18,'G-7 WaterC'' Data'!$C$4:$D$8,2,FALSE),"")</f>
        <v/>
      </c>
      <c r="T18" s="95"/>
      <c r="U18" s="291" t="str">
        <f>IFERROR(INDEX('G-7 WaterC'' Data'!$H$4:$L$8,MATCH(N18,'G-7 WaterC'' Data'!$B$4:$B$8,0),MATCH(T18,'G-7 WaterC'' Data'!$H$3:$L$3,0)),"")</f>
        <v/>
      </c>
      <c r="V18" s="95"/>
      <c r="W18" s="298" t="str">
        <f>IF(V18="","",IF(VLOOKUP(V18,'G-7 WaterC'' Data'!$AK$4:$AM$6,2,FALSE)=0,"Spatial Data Missing ⚠",VLOOKUP(V18,'G-7 WaterC'' Data'!$AK$4:$AM$6,2,FALSE)))</f>
        <v/>
      </c>
      <c r="X18" s="291" t="str">
        <f>IF(V18="","",IF(VLOOKUP(V18,'G-7 WaterC'' Data'!$AK$4:$AM$6,3,FALSE)=0,"Spatial Data Missing ⚠",VLOOKUP(V18,'G-7 WaterC'' Data'!$AK$4:$AM$6,3,FALSE)))</f>
        <v/>
      </c>
      <c r="Y18" s="290" t="str">
        <f>IFERROR(IF(OR(LEFT(P18,5)="Error",LEFT(O18,5)="Error ▲"),"Check Data ⚠",IF(F18&lt;S18,'G-7 WaterC'' Data'!$R$3,INDEX('G-7 WaterC'' Data'!$U$5:$Y$9,MATCH(G18,'G-7 WaterC'' Data'!$T$5:$T$9,0),MATCH(T18,'G-7 WaterC'' Data'!$U$4:$Y$4,0)))),"")</f>
        <v/>
      </c>
      <c r="Z18" s="138"/>
      <c r="AA18" s="138"/>
      <c r="AB18" s="298" t="str">
        <f t="shared" si="3"/>
        <v/>
      </c>
      <c r="AC18" s="311" t="str">
        <f t="shared" si="4"/>
        <v/>
      </c>
      <c r="AD18" s="344" t="str">
        <f>IFERROR(IF(AC18="Check Data ⚠","Check Data ⚠",VLOOKUP(AC18,'G-4 Temporal multipliers'!$A$4:$C$37,3,FALSE)),"")</f>
        <v/>
      </c>
      <c r="AE18" s="290" t="str">
        <f>IF(N18="","",VLOOKUP(N18,'G-7 WaterC'' Data'!$B$4:$G$8,5,FALSE))</f>
        <v/>
      </c>
      <c r="AF18" s="298" t="str">
        <f t="shared" si="5"/>
        <v/>
      </c>
      <c r="AG18" s="328" t="str">
        <f t="shared" si="6"/>
        <v/>
      </c>
      <c r="AH18" s="291" t="str">
        <f t="shared" si="0"/>
        <v/>
      </c>
      <c r="AI18" s="103"/>
      <c r="AJ18" s="291" t="str">
        <f>IF(AI18="","",IF(AND(AI18="N/A - Culvert",N18&lt;&gt;"Culvert"),"Not possible ▲",IF(VLOOKUP(AI18,'G-7 WaterC'' Data'!$AA$4:$AB$7,2,FALSE)=0,"Spatial Data Missing ⚠",VLOOKUP(AI18,'G-7 WaterC'' Data'!$AA$4:$AB$7,2,FALSE))))</f>
        <v/>
      </c>
      <c r="AK18" s="104"/>
      <c r="AL18" s="291" t="str">
        <f>IF(AK18="","",IF(AND(AK18="N/A - Culvert",N18&lt;&gt;"Culvert"),"Not possible ▲",IF(VLOOKUP(AK18,'G-7 WaterC'' Data'!$AD$4:$AE$14,2,FALSE)=0,"Spatial Data Missing ⚠",VLOOKUP(AK18,'G-7 WaterC'' Data'!$AD$4:$AE$14,2,FALSE))))</f>
        <v/>
      </c>
      <c r="AM18" s="332" t="str">
        <f t="shared" si="7"/>
        <v/>
      </c>
      <c r="AN18" s="98"/>
      <c r="AO18" s="99"/>
      <c r="AP18" s="101"/>
      <c r="AS18" s="15" t="str">
        <f>IF(B18="","",IF(ISNA(VLOOKUP($B18,'C-1 On-Site WaterC'' Baseline'!$C$8:$AD$257,17,FALSE)),"",(VLOOKUP($B18,'C-1 On-Site WaterC'' Baseline'!$C$8:$AD$257,17,FALSE))))</f>
        <v/>
      </c>
      <c r="AT18" s="15" t="str">
        <f>IF(B18="","",VLOOKUP($B18,'C-1 On-Site WaterC'' Baseline'!$C$9:$Z$257,12,FALSE))</f>
        <v/>
      </c>
      <c r="AU18" s="15" t="str">
        <f>IF(B18="","",VLOOKUP($B18,'C-1 On-Site WaterC'' Baseline'!$C$9:$Z$257,14,FALSE))</f>
        <v/>
      </c>
      <c r="AV18" s="15" t="str">
        <f>IFERROR(INDEX('G-7 WaterC'' Data'!$AZ$3:$AZ$7,MATCH(N18,'G-7 WaterC'' Data'!$AY$3:$AY$7,0)),"")</f>
        <v/>
      </c>
      <c r="AX18" s="15" t="str">
        <f>IF(B18="","",VLOOKUP($B18,'C-1 On-Site WaterC'' Baseline'!$C$9:$Y$257,22,FALSE))</f>
        <v/>
      </c>
      <c r="AY18" s="15" t="str">
        <f t="shared" si="8"/>
        <v/>
      </c>
      <c r="AZ18" s="15" t="str">
        <f>IF(B18="","",VLOOKUP($B18,'C-1 On-Site WaterC'' Baseline'!$C$9:$Y$257,21,FALSE))</f>
        <v/>
      </c>
      <c r="BA18" s="15" t="str">
        <f>IF(B18="","",VLOOKUP($B18,'C-1 On-Site WaterC'' Baseline'!$C$9:$Y$257,19,FALSE))</f>
        <v/>
      </c>
    </row>
    <row r="19" spans="2:53" ht="14" x14ac:dyDescent="0.3">
      <c r="B19" s="319" t="str">
        <f>'C-1 On-Site WaterC'' Baseline'!AP17</f>
        <v/>
      </c>
      <c r="C19" s="310" t="str">
        <f>IF(B19="","",VLOOKUP($B19,'C-1 On-Site WaterC'' Baseline'!$C$9:$R$257,2,FALSE))</f>
        <v/>
      </c>
      <c r="D19" s="310" t="str">
        <f>IF(C19="","",VLOOKUP($B19,'C-1 On-Site WaterC'' Baseline'!$C$9:$R$257,3,FALSE))</f>
        <v/>
      </c>
      <c r="E19" s="310" t="str">
        <f>IF(D19="","",VLOOKUP($B19,'C-1 On-Site WaterC'' Baseline'!$C$9:$R$257,4,FALSE))</f>
        <v/>
      </c>
      <c r="F19" s="310" t="str">
        <f>IF(E19="","",VLOOKUP($B19,'C-1 On-Site WaterC'' Baseline'!$C$9:$R$257,5,FALSE))</f>
        <v/>
      </c>
      <c r="G19" s="310" t="str">
        <f>IF(F19="","",VLOOKUP($B19,'C-1 On-Site WaterC'' Baseline'!$C$9:$R$257,6,FALSE))</f>
        <v/>
      </c>
      <c r="H19" s="310" t="str">
        <f>IF(G19="","",VLOOKUP($B19,'C-1 On-Site WaterC'' Baseline'!$C$9:$R$257,7,FALSE))</f>
        <v/>
      </c>
      <c r="I19" s="310" t="str">
        <f>IF(H19="","",VLOOKUP($B19,'C-1 On-Site WaterC'' Baseline'!$C$9:$R$257,8,FALSE))</f>
        <v/>
      </c>
      <c r="J19" s="310" t="str">
        <f>IF(I19="","",VLOOKUP($B19,'C-1 On-Site WaterC'' Baseline'!$C$9:$R$257,9,FALSE))</f>
        <v/>
      </c>
      <c r="K19" s="310" t="str">
        <f>IF(J19="","",VLOOKUP($B19,'C-1 On-Site WaterC'' Baseline'!$C$9:$R$257,10,FALSE))</f>
        <v/>
      </c>
      <c r="L19" s="310" t="str">
        <f>IF(B19="","",VLOOKUP($B19,'C-1 On-Site WaterC'' Baseline'!$C$9:$R$257,15,FALSE))</f>
        <v/>
      </c>
      <c r="M19" s="314" t="str">
        <f>IF(L19="","",VLOOKUP($B19,'C-1 On-Site WaterC'' Baseline'!$C$9:$R$257,16,FALSE))</f>
        <v/>
      </c>
      <c r="N19" s="259"/>
      <c r="O19" s="290" t="str">
        <f t="shared" si="1"/>
        <v/>
      </c>
      <c r="P19" s="291" t="str">
        <f t="shared" si="2"/>
        <v/>
      </c>
      <c r="Q19" s="346" t="str">
        <f>IF(N19="","",VLOOKUP(B19,'C-1 On-Site WaterC'' Baseline'!$C$10:$AC$257,20,FALSE))</f>
        <v/>
      </c>
      <c r="R19" s="290" t="str">
        <f>IF(N19="","",VLOOKUP(N19,'G-7 WaterC'' Data'!$B$2:$G$8,2,FALSE))</f>
        <v/>
      </c>
      <c r="S19" s="291" t="str">
        <f>IFERROR(VLOOKUP(R19,'G-7 WaterC'' Data'!$C$4:$D$8,2,FALSE),"")</f>
        <v/>
      </c>
      <c r="T19" s="95"/>
      <c r="U19" s="291" t="str">
        <f>IFERROR(INDEX('G-7 WaterC'' Data'!$H$4:$L$8,MATCH(N19,'G-7 WaterC'' Data'!$B$4:$B$8,0),MATCH(T19,'G-7 WaterC'' Data'!$H$3:$L$3,0)),"")</f>
        <v/>
      </c>
      <c r="V19" s="95"/>
      <c r="W19" s="298" t="str">
        <f>IF(V19="","",IF(VLOOKUP(V19,'G-7 WaterC'' Data'!$AK$4:$AM$6,2,FALSE)=0,"Spatial Data Missing ⚠",VLOOKUP(V19,'G-7 WaterC'' Data'!$AK$4:$AM$6,2,FALSE)))</f>
        <v/>
      </c>
      <c r="X19" s="291" t="str">
        <f>IF(V19="","",IF(VLOOKUP(V19,'G-7 WaterC'' Data'!$AK$4:$AM$6,3,FALSE)=0,"Spatial Data Missing ⚠",VLOOKUP(V19,'G-7 WaterC'' Data'!$AK$4:$AM$6,3,FALSE)))</f>
        <v/>
      </c>
      <c r="Y19" s="290" t="str">
        <f>IFERROR(IF(OR(LEFT(P19,5)="Error",LEFT(O19,5)="Error ▲"),"Check Data ⚠",IF(F19&lt;S19,'G-7 WaterC'' Data'!$R$3,INDEX('G-7 WaterC'' Data'!$U$5:$Y$9,MATCH(G19,'G-7 WaterC'' Data'!$T$5:$T$9,0),MATCH(T19,'G-7 WaterC'' Data'!$U$4:$Y$4,0)))),"")</f>
        <v/>
      </c>
      <c r="Z19" s="138"/>
      <c r="AA19" s="138"/>
      <c r="AB19" s="298" t="str">
        <f t="shared" si="3"/>
        <v/>
      </c>
      <c r="AC19" s="311" t="str">
        <f t="shared" si="4"/>
        <v/>
      </c>
      <c r="AD19" s="344" t="str">
        <f>IFERROR(IF(AC19="Check Data ⚠","Check Data ⚠",VLOOKUP(AC19,'G-4 Temporal multipliers'!$A$4:$C$37,3,FALSE)),"")</f>
        <v/>
      </c>
      <c r="AE19" s="290" t="str">
        <f>IF(N19="","",VLOOKUP(N19,'G-7 WaterC'' Data'!$B$4:$G$8,5,FALSE))</f>
        <v/>
      </c>
      <c r="AF19" s="298" t="str">
        <f t="shared" si="5"/>
        <v/>
      </c>
      <c r="AG19" s="328" t="str">
        <f t="shared" si="6"/>
        <v/>
      </c>
      <c r="AH19" s="291" t="str">
        <f t="shared" si="0"/>
        <v/>
      </c>
      <c r="AI19" s="103"/>
      <c r="AJ19" s="291" t="str">
        <f>IF(AI19="","",IF(AND(AI19="N/A - Culvert",N19&lt;&gt;"Culvert"),"Not possible ▲",IF(VLOOKUP(AI19,'G-7 WaterC'' Data'!$AA$4:$AB$7,2,FALSE)=0,"Spatial Data Missing ⚠",VLOOKUP(AI19,'G-7 WaterC'' Data'!$AA$4:$AB$7,2,FALSE))))</f>
        <v/>
      </c>
      <c r="AK19" s="104"/>
      <c r="AL19" s="291" t="str">
        <f>IF(AK19="","",IF(AND(AK19="N/A - Culvert",N19&lt;&gt;"Culvert"),"Not possible ▲",IF(VLOOKUP(AK19,'G-7 WaterC'' Data'!$AD$4:$AE$14,2,FALSE)=0,"Spatial Data Missing ⚠",VLOOKUP(AK19,'G-7 WaterC'' Data'!$AD$4:$AE$14,2,FALSE))))</f>
        <v/>
      </c>
      <c r="AM19" s="332" t="str">
        <f t="shared" si="7"/>
        <v/>
      </c>
      <c r="AN19" s="98"/>
      <c r="AO19" s="99"/>
      <c r="AP19" s="101"/>
      <c r="AS19" s="15" t="str">
        <f>IF(B19="","",IF(ISNA(VLOOKUP($B19,'C-1 On-Site WaterC'' Baseline'!$C$8:$AD$257,17,FALSE)),"",(VLOOKUP($B19,'C-1 On-Site WaterC'' Baseline'!$C$8:$AD$257,17,FALSE))))</f>
        <v/>
      </c>
      <c r="AT19" s="15" t="str">
        <f>IF(B19="","",VLOOKUP($B19,'C-1 On-Site WaterC'' Baseline'!$C$9:$Z$257,12,FALSE))</f>
        <v/>
      </c>
      <c r="AU19" s="15" t="str">
        <f>IF(B19="","",VLOOKUP($B19,'C-1 On-Site WaterC'' Baseline'!$C$9:$Z$257,14,FALSE))</f>
        <v/>
      </c>
      <c r="AV19" s="15" t="str">
        <f>IFERROR(INDEX('G-7 WaterC'' Data'!$AZ$3:$AZ$7,MATCH(N19,'G-7 WaterC'' Data'!$AY$3:$AY$7,0)),"")</f>
        <v/>
      </c>
      <c r="AX19" s="15" t="str">
        <f>IF(B19="","",VLOOKUP($B19,'C-1 On-Site WaterC'' Baseline'!$C$9:$Y$257,22,FALSE))</f>
        <v/>
      </c>
      <c r="AY19" s="15" t="str">
        <f t="shared" si="8"/>
        <v/>
      </c>
      <c r="AZ19" s="15" t="str">
        <f>IF(B19="","",VLOOKUP($B19,'C-1 On-Site WaterC'' Baseline'!$C$9:$Y$257,21,FALSE))</f>
        <v/>
      </c>
      <c r="BA19" s="15" t="str">
        <f>IF(B19="","",VLOOKUP($B19,'C-1 On-Site WaterC'' Baseline'!$C$9:$Y$257,19,FALSE))</f>
        <v/>
      </c>
    </row>
    <row r="20" spans="2:53" ht="14" x14ac:dyDescent="0.3">
      <c r="B20" s="319" t="str">
        <f>'C-1 On-Site WaterC'' Baseline'!AP18</f>
        <v/>
      </c>
      <c r="C20" s="310" t="str">
        <f>IF(B20="","",VLOOKUP($B20,'C-1 On-Site WaterC'' Baseline'!$C$9:$R$257,2,FALSE))</f>
        <v/>
      </c>
      <c r="D20" s="310" t="str">
        <f>IF(C20="","",VLOOKUP($B20,'C-1 On-Site WaterC'' Baseline'!$C$9:$R$257,3,FALSE))</f>
        <v/>
      </c>
      <c r="E20" s="310" t="str">
        <f>IF(D20="","",VLOOKUP($B20,'C-1 On-Site WaterC'' Baseline'!$C$9:$R$257,4,FALSE))</f>
        <v/>
      </c>
      <c r="F20" s="310" t="str">
        <f>IF(E20="","",VLOOKUP($B20,'C-1 On-Site WaterC'' Baseline'!$C$9:$R$257,5,FALSE))</f>
        <v/>
      </c>
      <c r="G20" s="310" t="str">
        <f>IF(F20="","",VLOOKUP($B20,'C-1 On-Site WaterC'' Baseline'!$C$9:$R$257,6,FALSE))</f>
        <v/>
      </c>
      <c r="H20" s="310" t="str">
        <f>IF(G20="","",VLOOKUP($B20,'C-1 On-Site WaterC'' Baseline'!$C$9:$R$257,7,FALSE))</f>
        <v/>
      </c>
      <c r="I20" s="310" t="str">
        <f>IF(H20="","",VLOOKUP($B20,'C-1 On-Site WaterC'' Baseline'!$C$9:$R$257,8,FALSE))</f>
        <v/>
      </c>
      <c r="J20" s="310" t="str">
        <f>IF(I20="","",VLOOKUP($B20,'C-1 On-Site WaterC'' Baseline'!$C$9:$R$257,9,FALSE))</f>
        <v/>
      </c>
      <c r="K20" s="310" t="str">
        <f>IF(J20="","",VLOOKUP($B20,'C-1 On-Site WaterC'' Baseline'!$C$9:$R$257,10,FALSE))</f>
        <v/>
      </c>
      <c r="L20" s="310" t="str">
        <f>IF(B20="","",VLOOKUP($B20,'C-1 On-Site WaterC'' Baseline'!$C$9:$R$257,15,FALSE))</f>
        <v/>
      </c>
      <c r="M20" s="314" t="str">
        <f>IF(L20="","",VLOOKUP($B20,'C-1 On-Site WaterC'' Baseline'!$C$9:$R$257,16,FALSE))</f>
        <v/>
      </c>
      <c r="N20" s="259"/>
      <c r="O20" s="290" t="str">
        <f t="shared" si="1"/>
        <v/>
      </c>
      <c r="P20" s="291" t="str">
        <f t="shared" si="2"/>
        <v/>
      </c>
      <c r="Q20" s="346" t="str">
        <f>IF(N20="","",VLOOKUP(B20,'C-1 On-Site WaterC'' Baseline'!$C$10:$AC$257,20,FALSE))</f>
        <v/>
      </c>
      <c r="R20" s="290" t="str">
        <f>IF(N20="","",VLOOKUP(N20,'G-7 WaterC'' Data'!$B$2:$G$8,2,FALSE))</f>
        <v/>
      </c>
      <c r="S20" s="291" t="str">
        <f>IFERROR(VLOOKUP(R20,'G-7 WaterC'' Data'!$C$4:$D$8,2,FALSE),"")</f>
        <v/>
      </c>
      <c r="T20" s="95"/>
      <c r="U20" s="291" t="str">
        <f>IFERROR(INDEX('G-7 WaterC'' Data'!$H$4:$L$8,MATCH(N20,'G-7 WaterC'' Data'!$B$4:$B$8,0),MATCH(T20,'G-7 WaterC'' Data'!$H$3:$L$3,0)),"")</f>
        <v/>
      </c>
      <c r="V20" s="95"/>
      <c r="W20" s="298" t="str">
        <f>IF(V20="","",IF(VLOOKUP(V20,'G-7 WaterC'' Data'!$AK$4:$AM$6,2,FALSE)=0,"Spatial Data Missing ⚠",VLOOKUP(V20,'G-7 WaterC'' Data'!$AK$4:$AM$6,2,FALSE)))</f>
        <v/>
      </c>
      <c r="X20" s="291" t="str">
        <f>IF(V20="","",IF(VLOOKUP(V20,'G-7 WaterC'' Data'!$AK$4:$AM$6,3,FALSE)=0,"Spatial Data Missing ⚠",VLOOKUP(V20,'G-7 WaterC'' Data'!$AK$4:$AM$6,3,FALSE)))</f>
        <v/>
      </c>
      <c r="Y20" s="290" t="str">
        <f>IFERROR(IF(OR(LEFT(P20,5)="Error",LEFT(O20,5)="Error ▲"),"Check Data ⚠",IF(F20&lt;S20,'G-7 WaterC'' Data'!$R$3,INDEX('G-7 WaterC'' Data'!$U$5:$Y$9,MATCH(G20,'G-7 WaterC'' Data'!$T$5:$T$9,0),MATCH(T20,'G-7 WaterC'' Data'!$U$4:$Y$4,0)))),"")</f>
        <v/>
      </c>
      <c r="Z20" s="138"/>
      <c r="AA20" s="138"/>
      <c r="AB20" s="298" t="str">
        <f t="shared" si="3"/>
        <v/>
      </c>
      <c r="AC20" s="311" t="str">
        <f t="shared" si="4"/>
        <v/>
      </c>
      <c r="AD20" s="344" t="str">
        <f>IFERROR(IF(AC20="Check Data ⚠","Check Data ⚠",VLOOKUP(AC20,'G-4 Temporal multipliers'!$A$4:$C$37,3,FALSE)),"")</f>
        <v/>
      </c>
      <c r="AE20" s="290" t="str">
        <f>IF(N20="","",VLOOKUP(N20,'G-7 WaterC'' Data'!$B$4:$G$8,5,FALSE))</f>
        <v/>
      </c>
      <c r="AF20" s="298" t="str">
        <f t="shared" si="5"/>
        <v/>
      </c>
      <c r="AG20" s="328" t="str">
        <f t="shared" si="6"/>
        <v/>
      </c>
      <c r="AH20" s="291" t="str">
        <f t="shared" si="0"/>
        <v/>
      </c>
      <c r="AI20" s="103"/>
      <c r="AJ20" s="291" t="str">
        <f>IF(AI20="","",IF(AND(AI20="N/A - Culvert",N20&lt;&gt;"Culvert"),"Not possible ▲",IF(VLOOKUP(AI20,'G-7 WaterC'' Data'!$AA$4:$AB$7,2,FALSE)=0,"Spatial Data Missing ⚠",VLOOKUP(AI20,'G-7 WaterC'' Data'!$AA$4:$AB$7,2,FALSE))))</f>
        <v/>
      </c>
      <c r="AK20" s="104"/>
      <c r="AL20" s="291" t="str">
        <f>IF(AK20="","",IF(AND(AK20="N/A - Culvert",N20&lt;&gt;"Culvert"),"Not possible ▲",IF(VLOOKUP(AK20,'G-7 WaterC'' Data'!$AD$4:$AE$14,2,FALSE)=0,"Spatial Data Missing ⚠",VLOOKUP(AK20,'G-7 WaterC'' Data'!$AD$4:$AE$14,2,FALSE))))</f>
        <v/>
      </c>
      <c r="AM20" s="332" t="str">
        <f t="shared" si="7"/>
        <v/>
      </c>
      <c r="AN20" s="98"/>
      <c r="AO20" s="99"/>
      <c r="AP20" s="101"/>
      <c r="AS20" s="15" t="str">
        <f>IF(B20="","",IF(ISNA(VLOOKUP($B20,'C-1 On-Site WaterC'' Baseline'!$C$8:$AD$257,17,FALSE)),"",(VLOOKUP($B20,'C-1 On-Site WaterC'' Baseline'!$C$8:$AD$257,17,FALSE))))</f>
        <v/>
      </c>
      <c r="AT20" s="15" t="str">
        <f>IF(B20="","",VLOOKUP($B20,'C-1 On-Site WaterC'' Baseline'!$C$9:$Z$257,12,FALSE))</f>
        <v/>
      </c>
      <c r="AU20" s="15" t="str">
        <f>IF(B20="","",VLOOKUP($B20,'C-1 On-Site WaterC'' Baseline'!$C$9:$Z$257,14,FALSE))</f>
        <v/>
      </c>
      <c r="AV20" s="15" t="str">
        <f>IFERROR(INDEX('G-7 WaterC'' Data'!$AZ$3:$AZ$7,MATCH(N20,'G-7 WaterC'' Data'!$AY$3:$AY$7,0)),"")</f>
        <v/>
      </c>
      <c r="AX20" s="15" t="str">
        <f>IF(B20="","",VLOOKUP($B20,'C-1 On-Site WaterC'' Baseline'!$C$9:$Y$257,22,FALSE))</f>
        <v/>
      </c>
      <c r="AY20" s="15" t="str">
        <f t="shared" si="8"/>
        <v/>
      </c>
      <c r="AZ20" s="15" t="str">
        <f>IF(B20="","",VLOOKUP($B20,'C-1 On-Site WaterC'' Baseline'!$C$9:$Y$257,21,FALSE))</f>
        <v/>
      </c>
      <c r="BA20" s="15" t="str">
        <f>IF(B20="","",VLOOKUP($B20,'C-1 On-Site WaterC'' Baseline'!$C$9:$Y$257,19,FALSE))</f>
        <v/>
      </c>
    </row>
    <row r="21" spans="2:53" ht="14" x14ac:dyDescent="0.3">
      <c r="B21" s="319" t="str">
        <f>'C-1 On-Site WaterC'' Baseline'!AP19</f>
        <v/>
      </c>
      <c r="C21" s="310" t="str">
        <f>IF(B21="","",VLOOKUP($B21,'C-1 On-Site WaterC'' Baseline'!$C$9:$R$257,2,FALSE))</f>
        <v/>
      </c>
      <c r="D21" s="310" t="str">
        <f>IF(C21="","",VLOOKUP($B21,'C-1 On-Site WaterC'' Baseline'!$C$9:$R$257,3,FALSE))</f>
        <v/>
      </c>
      <c r="E21" s="310" t="str">
        <f>IF(D21="","",VLOOKUP($B21,'C-1 On-Site WaterC'' Baseline'!$C$9:$R$257,4,FALSE))</f>
        <v/>
      </c>
      <c r="F21" s="310" t="str">
        <f>IF(E21="","",VLOOKUP($B21,'C-1 On-Site WaterC'' Baseline'!$C$9:$R$257,5,FALSE))</f>
        <v/>
      </c>
      <c r="G21" s="310" t="str">
        <f>IF(F21="","",VLOOKUP($B21,'C-1 On-Site WaterC'' Baseline'!$C$9:$R$257,6,FALSE))</f>
        <v/>
      </c>
      <c r="H21" s="310" t="str">
        <f>IF(G21="","",VLOOKUP($B21,'C-1 On-Site WaterC'' Baseline'!$C$9:$R$257,7,FALSE))</f>
        <v/>
      </c>
      <c r="I21" s="310" t="str">
        <f>IF(H21="","",VLOOKUP($B21,'C-1 On-Site WaterC'' Baseline'!$C$9:$R$257,8,FALSE))</f>
        <v/>
      </c>
      <c r="J21" s="310" t="str">
        <f>IF(I21="","",VLOOKUP($B21,'C-1 On-Site WaterC'' Baseline'!$C$9:$R$257,9,FALSE))</f>
        <v/>
      </c>
      <c r="K21" s="310" t="str">
        <f>IF(J21="","",VLOOKUP($B21,'C-1 On-Site WaterC'' Baseline'!$C$9:$R$257,10,FALSE))</f>
        <v/>
      </c>
      <c r="L21" s="310" t="str">
        <f>IF(B21="","",VLOOKUP($B21,'C-1 On-Site WaterC'' Baseline'!$C$9:$R$257,15,FALSE))</f>
        <v/>
      </c>
      <c r="M21" s="314" t="str">
        <f>IF(L21="","",VLOOKUP($B21,'C-1 On-Site WaterC'' Baseline'!$C$9:$R$257,16,FALSE))</f>
        <v/>
      </c>
      <c r="N21" s="259"/>
      <c r="O21" s="290" t="str">
        <f t="shared" si="1"/>
        <v/>
      </c>
      <c r="P21" s="291" t="str">
        <f t="shared" si="2"/>
        <v/>
      </c>
      <c r="Q21" s="346" t="str">
        <f>IF(N21="","",VLOOKUP(B21,'C-1 On-Site WaterC'' Baseline'!$C$10:$AC$257,20,FALSE))</f>
        <v/>
      </c>
      <c r="R21" s="290" t="str">
        <f>IF(N21="","",VLOOKUP(N21,'G-7 WaterC'' Data'!$B$2:$G$8,2,FALSE))</f>
        <v/>
      </c>
      <c r="S21" s="291" t="str">
        <f>IFERROR(VLOOKUP(R21,'G-7 WaterC'' Data'!$C$4:$D$8,2,FALSE),"")</f>
        <v/>
      </c>
      <c r="T21" s="95"/>
      <c r="U21" s="291" t="str">
        <f>IFERROR(INDEX('G-7 WaterC'' Data'!$H$4:$L$8,MATCH(N21,'G-7 WaterC'' Data'!$B$4:$B$8,0),MATCH(T21,'G-7 WaterC'' Data'!$H$3:$L$3,0)),"")</f>
        <v/>
      </c>
      <c r="V21" s="95"/>
      <c r="W21" s="298" t="str">
        <f>IF(V21="","",IF(VLOOKUP(V21,'G-7 WaterC'' Data'!$AK$4:$AM$6,2,FALSE)=0,"Spatial Data Missing ⚠",VLOOKUP(V21,'G-7 WaterC'' Data'!$AK$4:$AM$6,2,FALSE)))</f>
        <v/>
      </c>
      <c r="X21" s="291" t="str">
        <f>IF(V21="","",IF(VLOOKUP(V21,'G-7 WaterC'' Data'!$AK$4:$AM$6,3,FALSE)=0,"Spatial Data Missing ⚠",VLOOKUP(V21,'G-7 WaterC'' Data'!$AK$4:$AM$6,3,FALSE)))</f>
        <v/>
      </c>
      <c r="Y21" s="290" t="str">
        <f>IFERROR(IF(OR(LEFT(P21,5)="Error",LEFT(O21,5)="Error ▲"),"Check Data ⚠",IF(F21&lt;S21,'G-7 WaterC'' Data'!$R$3,INDEX('G-7 WaterC'' Data'!$U$5:$Y$9,MATCH(G21,'G-7 WaterC'' Data'!$T$5:$T$9,0),MATCH(T21,'G-7 WaterC'' Data'!$U$4:$Y$4,0)))),"")</f>
        <v/>
      </c>
      <c r="Z21" s="138"/>
      <c r="AA21" s="138"/>
      <c r="AB21" s="298" t="str">
        <f t="shared" si="3"/>
        <v/>
      </c>
      <c r="AC21" s="311" t="str">
        <f t="shared" si="4"/>
        <v/>
      </c>
      <c r="AD21" s="344" t="str">
        <f>IFERROR(IF(AC21="Check Data ⚠","Check Data ⚠",VLOOKUP(AC21,'G-4 Temporal multipliers'!$A$4:$C$37,3,FALSE)),"")</f>
        <v/>
      </c>
      <c r="AE21" s="290" t="str">
        <f>IF(N21="","",VLOOKUP(N21,'G-7 WaterC'' Data'!$B$4:$G$8,5,FALSE))</f>
        <v/>
      </c>
      <c r="AF21" s="298" t="str">
        <f t="shared" si="5"/>
        <v/>
      </c>
      <c r="AG21" s="328" t="str">
        <f t="shared" si="6"/>
        <v/>
      </c>
      <c r="AH21" s="291" t="str">
        <f t="shared" si="0"/>
        <v/>
      </c>
      <c r="AI21" s="103"/>
      <c r="AJ21" s="291" t="str">
        <f>IF(AI21="","",IF(AND(AI21="N/A - Culvert",N21&lt;&gt;"Culvert"),"Not possible ▲",IF(VLOOKUP(AI21,'G-7 WaterC'' Data'!$AA$4:$AB$7,2,FALSE)=0,"Spatial Data Missing ⚠",VLOOKUP(AI21,'G-7 WaterC'' Data'!$AA$4:$AB$7,2,FALSE))))</f>
        <v/>
      </c>
      <c r="AK21" s="104"/>
      <c r="AL21" s="291" t="str">
        <f>IF(AK21="","",IF(AND(AK21="N/A - Culvert",N21&lt;&gt;"Culvert"),"Not possible ▲",IF(VLOOKUP(AK21,'G-7 WaterC'' Data'!$AD$4:$AE$14,2,FALSE)=0,"Spatial Data Missing ⚠",VLOOKUP(AK21,'G-7 WaterC'' Data'!$AD$4:$AE$14,2,FALSE))))</f>
        <v/>
      </c>
      <c r="AM21" s="332" t="str">
        <f t="shared" si="7"/>
        <v/>
      </c>
      <c r="AN21" s="98"/>
      <c r="AO21" s="99"/>
      <c r="AP21" s="101"/>
      <c r="AS21" s="15" t="str">
        <f>IF(B21="","",IF(ISNA(VLOOKUP($B21,'C-1 On-Site WaterC'' Baseline'!$C$8:$AD$257,17,FALSE)),"",(VLOOKUP($B21,'C-1 On-Site WaterC'' Baseline'!$C$8:$AD$257,17,FALSE))))</f>
        <v/>
      </c>
      <c r="AT21" s="15" t="str">
        <f>IF(B21="","",VLOOKUP($B21,'C-1 On-Site WaterC'' Baseline'!$C$9:$Z$257,12,FALSE))</f>
        <v/>
      </c>
      <c r="AU21" s="15" t="str">
        <f>IF(B21="","",VLOOKUP($B21,'C-1 On-Site WaterC'' Baseline'!$C$9:$Z$257,14,FALSE))</f>
        <v/>
      </c>
      <c r="AV21" s="15" t="str">
        <f>IFERROR(INDEX('G-7 WaterC'' Data'!$AZ$3:$AZ$7,MATCH(N21,'G-7 WaterC'' Data'!$AY$3:$AY$7,0)),"")</f>
        <v/>
      </c>
      <c r="AX21" s="15" t="str">
        <f>IF(B21="","",VLOOKUP($B21,'C-1 On-Site WaterC'' Baseline'!$C$9:$Y$257,22,FALSE))</f>
        <v/>
      </c>
      <c r="AY21" s="15" t="str">
        <f t="shared" si="8"/>
        <v/>
      </c>
      <c r="AZ21" s="15" t="str">
        <f>IF(B21="","",VLOOKUP($B21,'C-1 On-Site WaterC'' Baseline'!$C$9:$Y$257,21,FALSE))</f>
        <v/>
      </c>
      <c r="BA21" s="15" t="str">
        <f>IF(B21="","",VLOOKUP($B21,'C-1 On-Site WaterC'' Baseline'!$C$9:$Y$257,19,FALSE))</f>
        <v/>
      </c>
    </row>
    <row r="22" spans="2:53" ht="14" x14ac:dyDescent="0.3">
      <c r="B22" s="319" t="str">
        <f>'C-1 On-Site WaterC'' Baseline'!AP20</f>
        <v/>
      </c>
      <c r="C22" s="310" t="str">
        <f>IF(B22="","",VLOOKUP($B22,'C-1 On-Site WaterC'' Baseline'!$C$9:$R$257,2,FALSE))</f>
        <v/>
      </c>
      <c r="D22" s="310" t="str">
        <f>IF(C22="","",VLOOKUP($B22,'C-1 On-Site WaterC'' Baseline'!$C$9:$R$257,3,FALSE))</f>
        <v/>
      </c>
      <c r="E22" s="310" t="str">
        <f>IF(D22="","",VLOOKUP($B22,'C-1 On-Site WaterC'' Baseline'!$C$9:$R$257,4,FALSE))</f>
        <v/>
      </c>
      <c r="F22" s="310" t="str">
        <f>IF(E22="","",VLOOKUP($B22,'C-1 On-Site WaterC'' Baseline'!$C$9:$R$257,5,FALSE))</f>
        <v/>
      </c>
      <c r="G22" s="310" t="str">
        <f>IF(F22="","",VLOOKUP($B22,'C-1 On-Site WaterC'' Baseline'!$C$9:$R$257,6,FALSE))</f>
        <v/>
      </c>
      <c r="H22" s="310" t="str">
        <f>IF(G22="","",VLOOKUP($B22,'C-1 On-Site WaterC'' Baseline'!$C$9:$R$257,7,FALSE))</f>
        <v/>
      </c>
      <c r="I22" s="310" t="str">
        <f>IF(H22="","",VLOOKUP($B22,'C-1 On-Site WaterC'' Baseline'!$C$9:$R$257,8,FALSE))</f>
        <v/>
      </c>
      <c r="J22" s="310" t="str">
        <f>IF(I22="","",VLOOKUP($B22,'C-1 On-Site WaterC'' Baseline'!$C$9:$R$257,9,FALSE))</f>
        <v/>
      </c>
      <c r="K22" s="310" t="str">
        <f>IF(J22="","",VLOOKUP($B22,'C-1 On-Site WaterC'' Baseline'!$C$9:$R$257,10,FALSE))</f>
        <v/>
      </c>
      <c r="L22" s="310" t="str">
        <f>IF(B22="","",VLOOKUP($B22,'C-1 On-Site WaterC'' Baseline'!$C$9:$R$257,15,FALSE))</f>
        <v/>
      </c>
      <c r="M22" s="314" t="str">
        <f>IF(L22="","",VLOOKUP($B22,'C-1 On-Site WaterC'' Baseline'!$C$9:$R$257,16,FALSE))</f>
        <v/>
      </c>
      <c r="N22" s="259"/>
      <c r="O22" s="290" t="str">
        <f t="shared" si="1"/>
        <v/>
      </c>
      <c r="P22" s="291" t="str">
        <f t="shared" si="2"/>
        <v/>
      </c>
      <c r="Q22" s="346" t="str">
        <f>IF(N22="","",VLOOKUP(B22,'C-1 On-Site WaterC'' Baseline'!$C$10:$AC$257,20,FALSE))</f>
        <v/>
      </c>
      <c r="R22" s="290" t="str">
        <f>IF(N22="","",VLOOKUP(N22,'G-7 WaterC'' Data'!$B$2:$G$8,2,FALSE))</f>
        <v/>
      </c>
      <c r="S22" s="291" t="str">
        <f>IFERROR(VLOOKUP(R22,'G-7 WaterC'' Data'!$C$4:$D$8,2,FALSE),"")</f>
        <v/>
      </c>
      <c r="T22" s="95"/>
      <c r="U22" s="291" t="str">
        <f>IFERROR(INDEX('G-7 WaterC'' Data'!$H$4:$L$8,MATCH(N22,'G-7 WaterC'' Data'!$B$4:$B$8,0),MATCH(T22,'G-7 WaterC'' Data'!$H$3:$L$3,0)),"")</f>
        <v/>
      </c>
      <c r="V22" s="95"/>
      <c r="W22" s="298" t="str">
        <f>IF(V22="","",IF(VLOOKUP(V22,'G-7 WaterC'' Data'!$AK$4:$AM$6,2,FALSE)=0,"Spatial Data Missing ⚠",VLOOKUP(V22,'G-7 WaterC'' Data'!$AK$4:$AM$6,2,FALSE)))</f>
        <v/>
      </c>
      <c r="X22" s="291" t="str">
        <f>IF(V22="","",IF(VLOOKUP(V22,'G-7 WaterC'' Data'!$AK$4:$AM$6,3,FALSE)=0,"Spatial Data Missing ⚠",VLOOKUP(V22,'G-7 WaterC'' Data'!$AK$4:$AM$6,3,FALSE)))</f>
        <v/>
      </c>
      <c r="Y22" s="290" t="str">
        <f>IFERROR(IF(OR(LEFT(P22,5)="Error",LEFT(O22,5)="Error ▲"),"Check Data ⚠",IF(F22&lt;S22,'G-7 WaterC'' Data'!$R$3,INDEX('G-7 WaterC'' Data'!$U$5:$Y$9,MATCH(G22,'G-7 WaterC'' Data'!$T$5:$T$9,0),MATCH(T22,'G-7 WaterC'' Data'!$U$4:$Y$4,0)))),"")</f>
        <v/>
      </c>
      <c r="Z22" s="138"/>
      <c r="AA22" s="138"/>
      <c r="AB22" s="298" t="str">
        <f t="shared" si="3"/>
        <v/>
      </c>
      <c r="AC22" s="311" t="str">
        <f t="shared" si="4"/>
        <v/>
      </c>
      <c r="AD22" s="344" t="str">
        <f>IFERROR(IF(AC22="Check Data ⚠","Check Data ⚠",VLOOKUP(AC22,'G-4 Temporal multipliers'!$A$4:$C$37,3,FALSE)),"")</f>
        <v/>
      </c>
      <c r="AE22" s="290" t="str">
        <f>IF(N22="","",VLOOKUP(N22,'G-7 WaterC'' Data'!$B$4:$G$8,5,FALSE))</f>
        <v/>
      </c>
      <c r="AF22" s="298" t="str">
        <f t="shared" si="5"/>
        <v/>
      </c>
      <c r="AG22" s="328" t="str">
        <f t="shared" si="6"/>
        <v/>
      </c>
      <c r="AH22" s="291" t="str">
        <f t="shared" si="0"/>
        <v/>
      </c>
      <c r="AI22" s="103"/>
      <c r="AJ22" s="291" t="str">
        <f>IF(AI22="","",IF(AND(AI22="N/A - Culvert",N22&lt;&gt;"Culvert"),"Not possible ▲",IF(VLOOKUP(AI22,'G-7 WaterC'' Data'!$AA$4:$AB$7,2,FALSE)=0,"Spatial Data Missing ⚠",VLOOKUP(AI22,'G-7 WaterC'' Data'!$AA$4:$AB$7,2,FALSE))))</f>
        <v/>
      </c>
      <c r="AK22" s="104"/>
      <c r="AL22" s="291" t="str">
        <f>IF(AK22="","",IF(AND(AK22="N/A - Culvert",N22&lt;&gt;"Culvert"),"Not possible ▲",IF(VLOOKUP(AK22,'G-7 WaterC'' Data'!$AD$4:$AE$14,2,FALSE)=0,"Spatial Data Missing ⚠",VLOOKUP(AK22,'G-7 WaterC'' Data'!$AD$4:$AE$14,2,FALSE))))</f>
        <v/>
      </c>
      <c r="AM22" s="332" t="str">
        <f t="shared" si="7"/>
        <v/>
      </c>
      <c r="AN22" s="98"/>
      <c r="AO22" s="99"/>
      <c r="AP22" s="101"/>
      <c r="AS22" s="15" t="str">
        <f>IF(B22="","",IF(ISNA(VLOOKUP($B22,'C-1 On-Site WaterC'' Baseline'!$C$8:$AD$257,17,FALSE)),"",(VLOOKUP($B22,'C-1 On-Site WaterC'' Baseline'!$C$8:$AD$257,17,FALSE))))</f>
        <v/>
      </c>
      <c r="AT22" s="15" t="str">
        <f>IF(B22="","",VLOOKUP($B22,'C-1 On-Site WaterC'' Baseline'!$C$9:$Z$257,12,FALSE))</f>
        <v/>
      </c>
      <c r="AU22" s="15" t="str">
        <f>IF(B22="","",VLOOKUP($B22,'C-1 On-Site WaterC'' Baseline'!$C$9:$Z$257,14,FALSE))</f>
        <v/>
      </c>
      <c r="AV22" s="15" t="str">
        <f>IFERROR(INDEX('G-7 WaterC'' Data'!$AZ$3:$AZ$7,MATCH(N22,'G-7 WaterC'' Data'!$AY$3:$AY$7,0)),"")</f>
        <v/>
      </c>
      <c r="AX22" s="15" t="str">
        <f>IF(B22="","",VLOOKUP($B22,'C-1 On-Site WaterC'' Baseline'!$C$9:$Y$257,22,FALSE))</f>
        <v/>
      </c>
      <c r="AY22" s="15" t="str">
        <f t="shared" si="8"/>
        <v/>
      </c>
      <c r="AZ22" s="15" t="str">
        <f>IF(B22="","",VLOOKUP($B22,'C-1 On-Site WaterC'' Baseline'!$C$9:$Y$257,21,FALSE))</f>
        <v/>
      </c>
      <c r="BA22" s="15" t="str">
        <f>IF(B22="","",VLOOKUP($B22,'C-1 On-Site WaterC'' Baseline'!$C$9:$Y$257,19,FALSE))</f>
        <v/>
      </c>
    </row>
    <row r="23" spans="2:53" ht="14" x14ac:dyDescent="0.3">
      <c r="B23" s="319" t="str">
        <f>'C-1 On-Site WaterC'' Baseline'!AP21</f>
        <v/>
      </c>
      <c r="C23" s="310" t="str">
        <f>IF(B23="","",VLOOKUP($B23,'C-1 On-Site WaterC'' Baseline'!$C$9:$R$257,2,FALSE))</f>
        <v/>
      </c>
      <c r="D23" s="310" t="str">
        <f>IF(C23="","",VLOOKUP($B23,'C-1 On-Site WaterC'' Baseline'!$C$9:$R$257,3,FALSE))</f>
        <v/>
      </c>
      <c r="E23" s="310" t="str">
        <f>IF(D23="","",VLOOKUP($B23,'C-1 On-Site WaterC'' Baseline'!$C$9:$R$257,4,FALSE))</f>
        <v/>
      </c>
      <c r="F23" s="310" t="str">
        <f>IF(E23="","",VLOOKUP($B23,'C-1 On-Site WaterC'' Baseline'!$C$9:$R$257,5,FALSE))</f>
        <v/>
      </c>
      <c r="G23" s="310" t="str">
        <f>IF(F23="","",VLOOKUP($B23,'C-1 On-Site WaterC'' Baseline'!$C$9:$R$257,6,FALSE))</f>
        <v/>
      </c>
      <c r="H23" s="310" t="str">
        <f>IF(G23="","",VLOOKUP($B23,'C-1 On-Site WaterC'' Baseline'!$C$9:$R$257,7,FALSE))</f>
        <v/>
      </c>
      <c r="I23" s="310" t="str">
        <f>IF(H23="","",VLOOKUP($B23,'C-1 On-Site WaterC'' Baseline'!$C$9:$R$257,8,FALSE))</f>
        <v/>
      </c>
      <c r="J23" s="310" t="str">
        <f>IF(I23="","",VLOOKUP($B23,'C-1 On-Site WaterC'' Baseline'!$C$9:$R$257,9,FALSE))</f>
        <v/>
      </c>
      <c r="K23" s="310" t="str">
        <f>IF(J23="","",VLOOKUP($B23,'C-1 On-Site WaterC'' Baseline'!$C$9:$R$257,10,FALSE))</f>
        <v/>
      </c>
      <c r="L23" s="310" t="str">
        <f>IF(B23="","",VLOOKUP($B23,'C-1 On-Site WaterC'' Baseline'!$C$9:$R$257,15,FALSE))</f>
        <v/>
      </c>
      <c r="M23" s="314" t="str">
        <f>IF(L23="","",VLOOKUP($B23,'C-1 On-Site WaterC'' Baseline'!$C$9:$R$257,16,FALSE))</f>
        <v/>
      </c>
      <c r="N23" s="259"/>
      <c r="O23" s="290" t="str">
        <f t="shared" si="1"/>
        <v/>
      </c>
      <c r="P23" s="291" t="str">
        <f t="shared" si="2"/>
        <v/>
      </c>
      <c r="Q23" s="346" t="str">
        <f>IF(N23="","",VLOOKUP(B23,'C-1 On-Site WaterC'' Baseline'!$C$10:$AC$257,20,FALSE))</f>
        <v/>
      </c>
      <c r="R23" s="290" t="str">
        <f>IF(N23="","",VLOOKUP(N23,'G-7 WaterC'' Data'!$B$2:$G$8,2,FALSE))</f>
        <v/>
      </c>
      <c r="S23" s="291" t="str">
        <f>IFERROR(VLOOKUP(R23,'G-7 WaterC'' Data'!$C$4:$D$8,2,FALSE),"")</f>
        <v/>
      </c>
      <c r="T23" s="95"/>
      <c r="U23" s="291" t="str">
        <f>IFERROR(INDEX('G-7 WaterC'' Data'!$H$4:$L$8,MATCH(N23,'G-7 WaterC'' Data'!$B$4:$B$8,0),MATCH(T23,'G-7 WaterC'' Data'!$H$3:$L$3,0)),"")</f>
        <v/>
      </c>
      <c r="V23" s="95"/>
      <c r="W23" s="298" t="str">
        <f>IF(V23="","",IF(VLOOKUP(V23,'G-7 WaterC'' Data'!$AK$4:$AM$6,2,FALSE)=0,"Spatial Data Missing ⚠",VLOOKUP(V23,'G-7 WaterC'' Data'!$AK$4:$AM$6,2,FALSE)))</f>
        <v/>
      </c>
      <c r="X23" s="291" t="str">
        <f>IF(V23="","",IF(VLOOKUP(V23,'G-7 WaterC'' Data'!$AK$4:$AM$6,3,FALSE)=0,"Spatial Data Missing ⚠",VLOOKUP(V23,'G-7 WaterC'' Data'!$AK$4:$AM$6,3,FALSE)))</f>
        <v/>
      </c>
      <c r="Y23" s="290" t="str">
        <f>IFERROR(IF(OR(LEFT(P23,5)="Error",LEFT(O23,5)="Error ▲"),"Check Data ⚠",IF(F23&lt;S23,'G-7 WaterC'' Data'!$R$3,INDEX('G-7 WaterC'' Data'!$U$5:$Y$9,MATCH(G23,'G-7 WaterC'' Data'!$T$5:$T$9,0),MATCH(T23,'G-7 WaterC'' Data'!$U$4:$Y$4,0)))),"")</f>
        <v/>
      </c>
      <c r="Z23" s="138"/>
      <c r="AA23" s="138"/>
      <c r="AB23" s="298" t="str">
        <f t="shared" si="3"/>
        <v/>
      </c>
      <c r="AC23" s="311" t="str">
        <f t="shared" si="4"/>
        <v/>
      </c>
      <c r="AD23" s="344" t="str">
        <f>IFERROR(IF(AC23="Check Data ⚠","Check Data ⚠",VLOOKUP(AC23,'G-4 Temporal multipliers'!$A$4:$C$37,3,FALSE)),"")</f>
        <v/>
      </c>
      <c r="AE23" s="290" t="str">
        <f>IF(N23="","",VLOOKUP(N23,'G-7 WaterC'' Data'!$B$4:$G$8,5,FALSE))</f>
        <v/>
      </c>
      <c r="AF23" s="298" t="str">
        <f t="shared" si="5"/>
        <v/>
      </c>
      <c r="AG23" s="328" t="str">
        <f t="shared" si="6"/>
        <v/>
      </c>
      <c r="AH23" s="291" t="str">
        <f t="shared" si="0"/>
        <v/>
      </c>
      <c r="AI23" s="103"/>
      <c r="AJ23" s="291" t="str">
        <f>IF(AI23="","",IF(AND(AI23="N/A - Culvert",N23&lt;&gt;"Culvert"),"Not possible ▲",IF(VLOOKUP(AI23,'G-7 WaterC'' Data'!$AA$4:$AB$7,2,FALSE)=0,"Spatial Data Missing ⚠",VLOOKUP(AI23,'G-7 WaterC'' Data'!$AA$4:$AB$7,2,FALSE))))</f>
        <v/>
      </c>
      <c r="AK23" s="104"/>
      <c r="AL23" s="291" t="str">
        <f>IF(AK23="","",IF(AND(AK23="N/A - Culvert",N23&lt;&gt;"Culvert"),"Not possible ▲",IF(VLOOKUP(AK23,'G-7 WaterC'' Data'!$AD$4:$AE$14,2,FALSE)=0,"Spatial Data Missing ⚠",VLOOKUP(AK23,'G-7 WaterC'' Data'!$AD$4:$AE$14,2,FALSE))))</f>
        <v/>
      </c>
      <c r="AM23" s="332" t="str">
        <f t="shared" si="7"/>
        <v/>
      </c>
      <c r="AN23" s="98"/>
      <c r="AO23" s="99"/>
      <c r="AP23" s="101"/>
      <c r="AS23" s="15" t="str">
        <f>IF(B23="","",IF(ISNA(VLOOKUP($B23,'C-1 On-Site WaterC'' Baseline'!$C$8:$AD$257,17,FALSE)),"",(VLOOKUP($B23,'C-1 On-Site WaterC'' Baseline'!$C$8:$AD$257,17,FALSE))))</f>
        <v/>
      </c>
      <c r="AT23" s="15" t="str">
        <f>IF(B23="","",VLOOKUP($B23,'C-1 On-Site WaterC'' Baseline'!$C$9:$Z$257,12,FALSE))</f>
        <v/>
      </c>
      <c r="AU23" s="15" t="str">
        <f>IF(B23="","",VLOOKUP($B23,'C-1 On-Site WaterC'' Baseline'!$C$9:$Z$257,14,FALSE))</f>
        <v/>
      </c>
      <c r="AV23" s="15" t="str">
        <f>IFERROR(INDEX('G-7 WaterC'' Data'!$AZ$3:$AZ$7,MATCH(N23,'G-7 WaterC'' Data'!$AY$3:$AY$7,0)),"")</f>
        <v/>
      </c>
      <c r="AX23" s="15" t="str">
        <f>IF(B23="","",VLOOKUP($B23,'C-1 On-Site WaterC'' Baseline'!$C$9:$Y$257,22,FALSE))</f>
        <v/>
      </c>
      <c r="AY23" s="15" t="str">
        <f t="shared" si="8"/>
        <v/>
      </c>
      <c r="AZ23" s="15" t="str">
        <f>IF(B23="","",VLOOKUP($B23,'C-1 On-Site WaterC'' Baseline'!$C$9:$Y$257,21,FALSE))</f>
        <v/>
      </c>
      <c r="BA23" s="15" t="str">
        <f>IF(B23="","",VLOOKUP($B23,'C-1 On-Site WaterC'' Baseline'!$C$9:$Y$257,19,FALSE))</f>
        <v/>
      </c>
    </row>
    <row r="24" spans="2:53" ht="14" x14ac:dyDescent="0.3">
      <c r="B24" s="319" t="str">
        <f>'C-1 On-Site WaterC'' Baseline'!AP22</f>
        <v/>
      </c>
      <c r="C24" s="310" t="str">
        <f>IF(B24="","",VLOOKUP($B24,'C-1 On-Site WaterC'' Baseline'!$C$9:$R$257,2,FALSE))</f>
        <v/>
      </c>
      <c r="D24" s="310" t="str">
        <f>IF(C24="","",VLOOKUP($B24,'C-1 On-Site WaterC'' Baseline'!$C$9:$R$257,3,FALSE))</f>
        <v/>
      </c>
      <c r="E24" s="310" t="str">
        <f>IF(D24="","",VLOOKUP($B24,'C-1 On-Site WaterC'' Baseline'!$C$9:$R$257,4,FALSE))</f>
        <v/>
      </c>
      <c r="F24" s="310" t="str">
        <f>IF(E24="","",VLOOKUP($B24,'C-1 On-Site WaterC'' Baseline'!$C$9:$R$257,5,FALSE))</f>
        <v/>
      </c>
      <c r="G24" s="310" t="str">
        <f>IF(F24="","",VLOOKUP($B24,'C-1 On-Site WaterC'' Baseline'!$C$9:$R$257,6,FALSE))</f>
        <v/>
      </c>
      <c r="H24" s="310" t="str">
        <f>IF(G24="","",VLOOKUP($B24,'C-1 On-Site WaterC'' Baseline'!$C$9:$R$257,7,FALSE))</f>
        <v/>
      </c>
      <c r="I24" s="310" t="str">
        <f>IF(H24="","",VLOOKUP($B24,'C-1 On-Site WaterC'' Baseline'!$C$9:$R$257,8,FALSE))</f>
        <v/>
      </c>
      <c r="J24" s="310" t="str">
        <f>IF(I24="","",VLOOKUP($B24,'C-1 On-Site WaterC'' Baseline'!$C$9:$R$257,9,FALSE))</f>
        <v/>
      </c>
      <c r="K24" s="310" t="str">
        <f>IF(J24="","",VLOOKUP($B24,'C-1 On-Site WaterC'' Baseline'!$C$9:$R$257,10,FALSE))</f>
        <v/>
      </c>
      <c r="L24" s="310" t="str">
        <f>IF(B24="","",VLOOKUP($B24,'C-1 On-Site WaterC'' Baseline'!$C$9:$R$257,15,FALSE))</f>
        <v/>
      </c>
      <c r="M24" s="314" t="str">
        <f>IF(L24="","",VLOOKUP($B24,'C-1 On-Site WaterC'' Baseline'!$C$9:$R$257,16,FALSE))</f>
        <v/>
      </c>
      <c r="N24" s="259"/>
      <c r="O24" s="290" t="str">
        <f t="shared" si="1"/>
        <v/>
      </c>
      <c r="P24" s="291" t="str">
        <f t="shared" si="2"/>
        <v/>
      </c>
      <c r="Q24" s="346" t="str">
        <f>IF(N24="","",VLOOKUP(B24,'C-1 On-Site WaterC'' Baseline'!$C$10:$AC$257,20,FALSE))</f>
        <v/>
      </c>
      <c r="R24" s="290" t="str">
        <f>IF(N24="","",VLOOKUP(N24,'G-7 WaterC'' Data'!$B$2:$G$8,2,FALSE))</f>
        <v/>
      </c>
      <c r="S24" s="291" t="str">
        <f>IFERROR(VLOOKUP(R24,'G-7 WaterC'' Data'!$C$4:$D$8,2,FALSE),"")</f>
        <v/>
      </c>
      <c r="T24" s="95"/>
      <c r="U24" s="291" t="str">
        <f>IFERROR(INDEX('G-7 WaterC'' Data'!$H$4:$L$8,MATCH(N24,'G-7 WaterC'' Data'!$B$4:$B$8,0),MATCH(T24,'G-7 WaterC'' Data'!$H$3:$L$3,0)),"")</f>
        <v/>
      </c>
      <c r="V24" s="95"/>
      <c r="W24" s="298" t="str">
        <f>IF(V24="","",IF(VLOOKUP(V24,'G-7 WaterC'' Data'!$AK$4:$AM$6,2,FALSE)=0,"Spatial Data Missing ⚠",VLOOKUP(V24,'G-7 WaterC'' Data'!$AK$4:$AM$6,2,FALSE)))</f>
        <v/>
      </c>
      <c r="X24" s="291" t="str">
        <f>IF(V24="","",IF(VLOOKUP(V24,'G-7 WaterC'' Data'!$AK$4:$AM$6,3,FALSE)=0,"Spatial Data Missing ⚠",VLOOKUP(V24,'G-7 WaterC'' Data'!$AK$4:$AM$6,3,FALSE)))</f>
        <v/>
      </c>
      <c r="Y24" s="290" t="str">
        <f>IFERROR(IF(OR(LEFT(P24,5)="Error",LEFT(O24,5)="Error ▲"),"Check Data ⚠",IF(F24&lt;S24,'G-7 WaterC'' Data'!$R$3,INDEX('G-7 WaterC'' Data'!$U$5:$Y$9,MATCH(G24,'G-7 WaterC'' Data'!$T$5:$T$9,0),MATCH(T24,'G-7 WaterC'' Data'!$U$4:$Y$4,0)))),"")</f>
        <v/>
      </c>
      <c r="Z24" s="138"/>
      <c r="AA24" s="138"/>
      <c r="AB24" s="298" t="str">
        <f t="shared" si="3"/>
        <v/>
      </c>
      <c r="AC24" s="311" t="str">
        <f t="shared" si="4"/>
        <v/>
      </c>
      <c r="AD24" s="344" t="str">
        <f>IFERROR(IF(AC24="Check Data ⚠","Check Data ⚠",VLOOKUP(AC24,'G-4 Temporal multipliers'!$A$4:$C$37,3,FALSE)),"")</f>
        <v/>
      </c>
      <c r="AE24" s="290" t="str">
        <f>IF(N24="","",VLOOKUP(N24,'G-7 WaterC'' Data'!$B$4:$G$8,5,FALSE))</f>
        <v/>
      </c>
      <c r="AF24" s="298" t="str">
        <f t="shared" si="5"/>
        <v/>
      </c>
      <c r="AG24" s="328" t="str">
        <f t="shared" si="6"/>
        <v/>
      </c>
      <c r="AH24" s="291" t="str">
        <f t="shared" si="0"/>
        <v/>
      </c>
      <c r="AI24" s="103"/>
      <c r="AJ24" s="291" t="str">
        <f>IF(AI24="","",IF(AND(AI24="N/A - Culvert",N24&lt;&gt;"Culvert"),"Not possible ▲",IF(VLOOKUP(AI24,'G-7 WaterC'' Data'!$AA$4:$AB$7,2,FALSE)=0,"Spatial Data Missing ⚠",VLOOKUP(AI24,'G-7 WaterC'' Data'!$AA$4:$AB$7,2,FALSE))))</f>
        <v/>
      </c>
      <c r="AK24" s="104"/>
      <c r="AL24" s="291" t="str">
        <f>IF(AK24="","",IF(AND(AK24="N/A - Culvert",N24&lt;&gt;"Culvert"),"Not possible ▲",IF(VLOOKUP(AK24,'G-7 WaterC'' Data'!$AD$4:$AE$14,2,FALSE)=0,"Spatial Data Missing ⚠",VLOOKUP(AK24,'G-7 WaterC'' Data'!$AD$4:$AE$14,2,FALSE))))</f>
        <v/>
      </c>
      <c r="AM24" s="332" t="str">
        <f t="shared" si="7"/>
        <v/>
      </c>
      <c r="AN24" s="98"/>
      <c r="AO24" s="99"/>
      <c r="AP24" s="101"/>
      <c r="AS24" s="15" t="str">
        <f>IF(B24="","",IF(ISNA(VLOOKUP($B24,'C-1 On-Site WaterC'' Baseline'!$C$8:$AD$257,17,FALSE)),"",(VLOOKUP($B24,'C-1 On-Site WaterC'' Baseline'!$C$8:$AD$257,17,FALSE))))</f>
        <v/>
      </c>
      <c r="AT24" s="15" t="str">
        <f>IF(B24="","",VLOOKUP($B24,'C-1 On-Site WaterC'' Baseline'!$C$9:$Z$257,12,FALSE))</f>
        <v/>
      </c>
      <c r="AU24" s="15" t="str">
        <f>IF(B24="","",VLOOKUP($B24,'C-1 On-Site WaterC'' Baseline'!$C$9:$Z$257,14,FALSE))</f>
        <v/>
      </c>
      <c r="AV24" s="15" t="str">
        <f>IFERROR(INDEX('G-7 WaterC'' Data'!$AZ$3:$AZ$7,MATCH(N24,'G-7 WaterC'' Data'!$AY$3:$AY$7,0)),"")</f>
        <v/>
      </c>
      <c r="AX24" s="15" t="str">
        <f>IF(B24="","",VLOOKUP($B24,'C-1 On-Site WaterC'' Baseline'!$C$9:$Y$257,22,FALSE))</f>
        <v/>
      </c>
      <c r="AY24" s="15" t="str">
        <f t="shared" si="8"/>
        <v/>
      </c>
      <c r="AZ24" s="15" t="str">
        <f>IF(B24="","",VLOOKUP($B24,'C-1 On-Site WaterC'' Baseline'!$C$9:$Y$257,21,FALSE))</f>
        <v/>
      </c>
      <c r="BA24" s="15" t="str">
        <f>IF(B24="","",VLOOKUP($B24,'C-1 On-Site WaterC'' Baseline'!$C$9:$Y$257,19,FALSE))</f>
        <v/>
      </c>
    </row>
    <row r="25" spans="2:53" ht="14" x14ac:dyDescent="0.3">
      <c r="B25" s="319" t="str">
        <f>'C-1 On-Site WaterC'' Baseline'!AP23</f>
        <v/>
      </c>
      <c r="C25" s="310" t="str">
        <f>IF(B25="","",VLOOKUP($B25,'C-1 On-Site WaterC'' Baseline'!$C$9:$R$257,2,FALSE))</f>
        <v/>
      </c>
      <c r="D25" s="310" t="str">
        <f>IF(C25="","",VLOOKUP($B25,'C-1 On-Site WaterC'' Baseline'!$C$9:$R$257,3,FALSE))</f>
        <v/>
      </c>
      <c r="E25" s="310" t="str">
        <f>IF(D25="","",VLOOKUP($B25,'C-1 On-Site WaterC'' Baseline'!$C$9:$R$257,4,FALSE))</f>
        <v/>
      </c>
      <c r="F25" s="310" t="str">
        <f>IF(E25="","",VLOOKUP($B25,'C-1 On-Site WaterC'' Baseline'!$C$9:$R$257,5,FALSE))</f>
        <v/>
      </c>
      <c r="G25" s="310" t="str">
        <f>IF(F25="","",VLOOKUP($B25,'C-1 On-Site WaterC'' Baseline'!$C$9:$R$257,6,FALSE))</f>
        <v/>
      </c>
      <c r="H25" s="310" t="str">
        <f>IF(G25="","",VLOOKUP($B25,'C-1 On-Site WaterC'' Baseline'!$C$9:$R$257,7,FALSE))</f>
        <v/>
      </c>
      <c r="I25" s="310" t="str">
        <f>IF(H25="","",VLOOKUP($B25,'C-1 On-Site WaterC'' Baseline'!$C$9:$R$257,8,FALSE))</f>
        <v/>
      </c>
      <c r="J25" s="310" t="str">
        <f>IF(I25="","",VLOOKUP($B25,'C-1 On-Site WaterC'' Baseline'!$C$9:$R$257,9,FALSE))</f>
        <v/>
      </c>
      <c r="K25" s="310" t="str">
        <f>IF(J25="","",VLOOKUP($B25,'C-1 On-Site WaterC'' Baseline'!$C$9:$R$257,10,FALSE))</f>
        <v/>
      </c>
      <c r="L25" s="310" t="str">
        <f>IF(B25="","",VLOOKUP($B25,'C-1 On-Site WaterC'' Baseline'!$C$9:$R$257,15,FALSE))</f>
        <v/>
      </c>
      <c r="M25" s="314" t="str">
        <f>IF(L25="","",VLOOKUP($B25,'C-1 On-Site WaterC'' Baseline'!$C$9:$R$257,16,FALSE))</f>
        <v/>
      </c>
      <c r="N25" s="259"/>
      <c r="O25" s="290" t="str">
        <f t="shared" si="1"/>
        <v/>
      </c>
      <c r="P25" s="291" t="str">
        <f t="shared" si="2"/>
        <v/>
      </c>
      <c r="Q25" s="346" t="str">
        <f>IF(N25="","",VLOOKUP(B25,'C-1 On-Site WaterC'' Baseline'!$C$10:$AC$257,20,FALSE))</f>
        <v/>
      </c>
      <c r="R25" s="290" t="str">
        <f>IF(N25="","",VLOOKUP(N25,'G-7 WaterC'' Data'!$B$2:$G$8,2,FALSE))</f>
        <v/>
      </c>
      <c r="S25" s="291" t="str">
        <f>IFERROR(VLOOKUP(R25,'G-7 WaterC'' Data'!$C$4:$D$8,2,FALSE),"")</f>
        <v/>
      </c>
      <c r="T25" s="95"/>
      <c r="U25" s="291" t="str">
        <f>IFERROR(INDEX('G-7 WaterC'' Data'!$H$4:$L$8,MATCH(N25,'G-7 WaterC'' Data'!$B$4:$B$8,0),MATCH(T25,'G-7 WaterC'' Data'!$H$3:$L$3,0)),"")</f>
        <v/>
      </c>
      <c r="V25" s="95"/>
      <c r="W25" s="298" t="str">
        <f>IF(V25="","",IF(VLOOKUP(V25,'G-7 WaterC'' Data'!$AK$4:$AM$6,2,FALSE)=0,"Spatial Data Missing ⚠",VLOOKUP(V25,'G-7 WaterC'' Data'!$AK$4:$AM$6,2,FALSE)))</f>
        <v/>
      </c>
      <c r="X25" s="291" t="str">
        <f>IF(V25="","",IF(VLOOKUP(V25,'G-7 WaterC'' Data'!$AK$4:$AM$6,3,FALSE)=0,"Spatial Data Missing ⚠",VLOOKUP(V25,'G-7 WaterC'' Data'!$AK$4:$AM$6,3,FALSE)))</f>
        <v/>
      </c>
      <c r="Y25" s="290" t="str">
        <f>IFERROR(IF(OR(LEFT(P25,5)="Error",LEFT(O25,5)="Error ▲"),"Check Data ⚠",IF(F25&lt;S25,'G-7 WaterC'' Data'!$R$3,INDEX('G-7 WaterC'' Data'!$U$5:$Y$9,MATCH(G25,'G-7 WaterC'' Data'!$T$5:$T$9,0),MATCH(T25,'G-7 WaterC'' Data'!$U$4:$Y$4,0)))),"")</f>
        <v/>
      </c>
      <c r="Z25" s="138"/>
      <c r="AA25" s="138"/>
      <c r="AB25" s="298" t="str">
        <f t="shared" si="3"/>
        <v/>
      </c>
      <c r="AC25" s="311" t="str">
        <f t="shared" si="4"/>
        <v/>
      </c>
      <c r="AD25" s="344" t="str">
        <f>IFERROR(IF(AC25="Check Data ⚠","Check Data ⚠",VLOOKUP(AC25,'G-4 Temporal multipliers'!$A$4:$C$37,3,FALSE)),"")</f>
        <v/>
      </c>
      <c r="AE25" s="290" t="str">
        <f>IF(N25="","",VLOOKUP(N25,'G-7 WaterC'' Data'!$B$4:$G$8,5,FALSE))</f>
        <v/>
      </c>
      <c r="AF25" s="298" t="str">
        <f t="shared" si="5"/>
        <v/>
      </c>
      <c r="AG25" s="328" t="str">
        <f t="shared" si="6"/>
        <v/>
      </c>
      <c r="AH25" s="291" t="str">
        <f t="shared" si="0"/>
        <v/>
      </c>
      <c r="AI25" s="103"/>
      <c r="AJ25" s="291" t="str">
        <f>IF(AI25="","",IF(AND(AI25="N/A - Culvert",N25&lt;&gt;"Culvert"),"Not possible ▲",IF(VLOOKUP(AI25,'G-7 WaterC'' Data'!$AA$4:$AB$7,2,FALSE)=0,"Spatial Data Missing ⚠",VLOOKUP(AI25,'G-7 WaterC'' Data'!$AA$4:$AB$7,2,FALSE))))</f>
        <v/>
      </c>
      <c r="AK25" s="104"/>
      <c r="AL25" s="291" t="str">
        <f>IF(AK25="","",IF(AND(AK25="N/A - Culvert",N25&lt;&gt;"Culvert"),"Not possible ▲",IF(VLOOKUP(AK25,'G-7 WaterC'' Data'!$AD$4:$AE$14,2,FALSE)=0,"Spatial Data Missing ⚠",VLOOKUP(AK25,'G-7 WaterC'' Data'!$AD$4:$AE$14,2,FALSE))))</f>
        <v/>
      </c>
      <c r="AM25" s="332" t="str">
        <f t="shared" si="7"/>
        <v/>
      </c>
      <c r="AN25" s="98"/>
      <c r="AO25" s="99"/>
      <c r="AP25" s="101"/>
      <c r="AS25" s="15" t="str">
        <f>IF(B25="","",IF(ISNA(VLOOKUP($B25,'C-1 On-Site WaterC'' Baseline'!$C$8:$AD$257,17,FALSE)),"",(VLOOKUP($B25,'C-1 On-Site WaterC'' Baseline'!$C$8:$AD$257,17,FALSE))))</f>
        <v/>
      </c>
      <c r="AT25" s="15" t="str">
        <f>IF(B25="","",VLOOKUP($B25,'C-1 On-Site WaterC'' Baseline'!$C$9:$Z$257,12,FALSE))</f>
        <v/>
      </c>
      <c r="AU25" s="15" t="str">
        <f>IF(B25="","",VLOOKUP($B25,'C-1 On-Site WaterC'' Baseline'!$C$9:$Z$257,14,FALSE))</f>
        <v/>
      </c>
      <c r="AV25" s="15" t="str">
        <f>IFERROR(INDEX('G-7 WaterC'' Data'!$AZ$3:$AZ$7,MATCH(N25,'G-7 WaterC'' Data'!$AY$3:$AY$7,0)),"")</f>
        <v/>
      </c>
      <c r="AX25" s="15" t="str">
        <f>IF(B25="","",VLOOKUP($B25,'C-1 On-Site WaterC'' Baseline'!$C$9:$Y$257,22,FALSE))</f>
        <v/>
      </c>
      <c r="AY25" s="15" t="str">
        <f t="shared" si="8"/>
        <v/>
      </c>
      <c r="AZ25" s="15" t="str">
        <f>IF(B25="","",VLOOKUP($B25,'C-1 On-Site WaterC'' Baseline'!$C$9:$Y$257,21,FALSE))</f>
        <v/>
      </c>
      <c r="BA25" s="15" t="str">
        <f>IF(B25="","",VLOOKUP($B25,'C-1 On-Site WaterC'' Baseline'!$C$9:$Y$257,19,FALSE))</f>
        <v/>
      </c>
    </row>
    <row r="26" spans="2:53" ht="14" x14ac:dyDescent="0.3">
      <c r="B26" s="319" t="str">
        <f>'C-1 On-Site WaterC'' Baseline'!AP24</f>
        <v/>
      </c>
      <c r="C26" s="310" t="str">
        <f>IF(B26="","",VLOOKUP($B26,'C-1 On-Site WaterC'' Baseline'!$C$9:$R$257,2,FALSE))</f>
        <v/>
      </c>
      <c r="D26" s="310" t="str">
        <f>IF(C26="","",VLOOKUP($B26,'C-1 On-Site WaterC'' Baseline'!$C$9:$R$257,3,FALSE))</f>
        <v/>
      </c>
      <c r="E26" s="310" t="str">
        <f>IF(D26="","",VLOOKUP($B26,'C-1 On-Site WaterC'' Baseline'!$C$9:$R$257,4,FALSE))</f>
        <v/>
      </c>
      <c r="F26" s="310" t="str">
        <f>IF(E26="","",VLOOKUP($B26,'C-1 On-Site WaterC'' Baseline'!$C$9:$R$257,5,FALSE))</f>
        <v/>
      </c>
      <c r="G26" s="310" t="str">
        <f>IF(F26="","",VLOOKUP($B26,'C-1 On-Site WaterC'' Baseline'!$C$9:$R$257,6,FALSE))</f>
        <v/>
      </c>
      <c r="H26" s="310" t="str">
        <f>IF(G26="","",VLOOKUP($B26,'C-1 On-Site WaterC'' Baseline'!$C$9:$R$257,7,FALSE))</f>
        <v/>
      </c>
      <c r="I26" s="310" t="str">
        <f>IF(H26="","",VLOOKUP($B26,'C-1 On-Site WaterC'' Baseline'!$C$9:$R$257,8,FALSE))</f>
        <v/>
      </c>
      <c r="J26" s="310" t="str">
        <f>IF(I26="","",VLOOKUP($B26,'C-1 On-Site WaterC'' Baseline'!$C$9:$R$257,9,FALSE))</f>
        <v/>
      </c>
      <c r="K26" s="310" t="str">
        <f>IF(J26="","",VLOOKUP($B26,'C-1 On-Site WaterC'' Baseline'!$C$9:$R$257,10,FALSE))</f>
        <v/>
      </c>
      <c r="L26" s="310" t="str">
        <f>IF(B26="","",VLOOKUP($B26,'C-1 On-Site WaterC'' Baseline'!$C$9:$R$257,15,FALSE))</f>
        <v/>
      </c>
      <c r="M26" s="314" t="str">
        <f>IF(L26="","",VLOOKUP($B26,'C-1 On-Site WaterC'' Baseline'!$C$9:$R$257,16,FALSE))</f>
        <v/>
      </c>
      <c r="N26" s="259"/>
      <c r="O26" s="290" t="str">
        <f t="shared" si="1"/>
        <v/>
      </c>
      <c r="P26" s="291" t="str">
        <f t="shared" si="2"/>
        <v/>
      </c>
      <c r="Q26" s="346" t="str">
        <f>IF(N26="","",VLOOKUP(B26,'C-1 On-Site WaterC'' Baseline'!$C$10:$AC$257,20,FALSE))</f>
        <v/>
      </c>
      <c r="R26" s="290" t="str">
        <f>IF(N26="","",VLOOKUP(N26,'G-7 WaterC'' Data'!$B$2:$G$8,2,FALSE))</f>
        <v/>
      </c>
      <c r="S26" s="291" t="str">
        <f>IFERROR(VLOOKUP(R26,'G-7 WaterC'' Data'!$C$4:$D$8,2,FALSE),"")</f>
        <v/>
      </c>
      <c r="T26" s="95"/>
      <c r="U26" s="291" t="str">
        <f>IFERROR(INDEX('G-7 WaterC'' Data'!$H$4:$L$8,MATCH(N26,'G-7 WaterC'' Data'!$B$4:$B$8,0),MATCH(T26,'G-7 WaterC'' Data'!$H$3:$L$3,0)),"")</f>
        <v/>
      </c>
      <c r="V26" s="95"/>
      <c r="W26" s="298" t="str">
        <f>IF(V26="","",IF(VLOOKUP(V26,'G-7 WaterC'' Data'!$AK$4:$AM$6,2,FALSE)=0,"Spatial Data Missing ⚠",VLOOKUP(V26,'G-7 WaterC'' Data'!$AK$4:$AM$6,2,FALSE)))</f>
        <v/>
      </c>
      <c r="X26" s="291" t="str">
        <f>IF(V26="","",IF(VLOOKUP(V26,'G-7 WaterC'' Data'!$AK$4:$AM$6,3,FALSE)=0,"Spatial Data Missing ⚠",VLOOKUP(V26,'G-7 WaterC'' Data'!$AK$4:$AM$6,3,FALSE)))</f>
        <v/>
      </c>
      <c r="Y26" s="290" t="str">
        <f>IFERROR(IF(OR(LEFT(P26,5)="Error",LEFT(O26,5)="Error ▲"),"Check Data ⚠",IF(F26&lt;S26,'G-7 WaterC'' Data'!$R$3,INDEX('G-7 WaterC'' Data'!$U$5:$Y$9,MATCH(G26,'G-7 WaterC'' Data'!$T$5:$T$9,0),MATCH(T26,'G-7 WaterC'' Data'!$U$4:$Y$4,0)))),"")</f>
        <v/>
      </c>
      <c r="Z26" s="138"/>
      <c r="AA26" s="138"/>
      <c r="AB26" s="298" t="str">
        <f t="shared" si="3"/>
        <v/>
      </c>
      <c r="AC26" s="311" t="str">
        <f t="shared" si="4"/>
        <v/>
      </c>
      <c r="AD26" s="344" t="str">
        <f>IFERROR(IF(AC26="Check Data ⚠","Check Data ⚠",VLOOKUP(AC26,'G-4 Temporal multipliers'!$A$4:$C$37,3,FALSE)),"")</f>
        <v/>
      </c>
      <c r="AE26" s="290" t="str">
        <f>IF(N26="","",VLOOKUP(N26,'G-7 WaterC'' Data'!$B$4:$G$8,5,FALSE))</f>
        <v/>
      </c>
      <c r="AF26" s="298" t="str">
        <f t="shared" si="5"/>
        <v/>
      </c>
      <c r="AG26" s="328" t="str">
        <f t="shared" si="6"/>
        <v/>
      </c>
      <c r="AH26" s="291" t="str">
        <f t="shared" si="0"/>
        <v/>
      </c>
      <c r="AI26" s="103"/>
      <c r="AJ26" s="291" t="str">
        <f>IF(AI26="","",IF(AND(AI26="N/A - Culvert",N26&lt;&gt;"Culvert"),"Not possible ▲",IF(VLOOKUP(AI26,'G-7 WaterC'' Data'!$AA$4:$AB$7,2,FALSE)=0,"Spatial Data Missing ⚠",VLOOKUP(AI26,'G-7 WaterC'' Data'!$AA$4:$AB$7,2,FALSE))))</f>
        <v/>
      </c>
      <c r="AK26" s="104"/>
      <c r="AL26" s="291" t="str">
        <f>IF(AK26="","",IF(AND(AK26="N/A - Culvert",N26&lt;&gt;"Culvert"),"Not possible ▲",IF(VLOOKUP(AK26,'G-7 WaterC'' Data'!$AD$4:$AE$14,2,FALSE)=0,"Spatial Data Missing ⚠",VLOOKUP(AK26,'G-7 WaterC'' Data'!$AD$4:$AE$14,2,FALSE))))</f>
        <v/>
      </c>
      <c r="AM26" s="332" t="str">
        <f t="shared" si="7"/>
        <v/>
      </c>
      <c r="AN26" s="98"/>
      <c r="AO26" s="99"/>
      <c r="AP26" s="101"/>
      <c r="AS26" s="15" t="str">
        <f>IF(B26="","",IF(ISNA(VLOOKUP($B26,'C-1 On-Site WaterC'' Baseline'!$C$8:$AD$257,17,FALSE)),"",(VLOOKUP($B26,'C-1 On-Site WaterC'' Baseline'!$C$8:$AD$257,17,FALSE))))</f>
        <v/>
      </c>
      <c r="AT26" s="15" t="str">
        <f>IF(B26="","",VLOOKUP($B26,'C-1 On-Site WaterC'' Baseline'!$C$9:$Z$257,12,FALSE))</f>
        <v/>
      </c>
      <c r="AU26" s="15" t="str">
        <f>IF(B26="","",VLOOKUP($B26,'C-1 On-Site WaterC'' Baseline'!$C$9:$Z$257,14,FALSE))</f>
        <v/>
      </c>
      <c r="AV26" s="15" t="str">
        <f>IFERROR(INDEX('G-7 WaterC'' Data'!$AZ$3:$AZ$7,MATCH(N26,'G-7 WaterC'' Data'!$AY$3:$AY$7,0)),"")</f>
        <v/>
      </c>
      <c r="AX26" s="15" t="str">
        <f>IF(B26="","",VLOOKUP($B26,'C-1 On-Site WaterC'' Baseline'!$C$9:$Y$257,22,FALSE))</f>
        <v/>
      </c>
      <c r="AY26" s="15" t="str">
        <f t="shared" si="8"/>
        <v/>
      </c>
      <c r="AZ26" s="15" t="str">
        <f>IF(B26="","",VLOOKUP($B26,'C-1 On-Site WaterC'' Baseline'!$C$9:$Y$257,21,FALSE))</f>
        <v/>
      </c>
      <c r="BA26" s="15" t="str">
        <f>IF(B26="","",VLOOKUP($B26,'C-1 On-Site WaterC'' Baseline'!$C$9:$Y$257,19,FALSE))</f>
        <v/>
      </c>
    </row>
    <row r="27" spans="2:53" ht="14" x14ac:dyDescent="0.3">
      <c r="B27" s="319" t="str">
        <f>'C-1 On-Site WaterC'' Baseline'!AP25</f>
        <v/>
      </c>
      <c r="C27" s="310" t="str">
        <f>IF(B27="","",VLOOKUP($B27,'C-1 On-Site WaterC'' Baseline'!$C$9:$R$257,2,FALSE))</f>
        <v/>
      </c>
      <c r="D27" s="310" t="str">
        <f>IF(C27="","",VLOOKUP($B27,'C-1 On-Site WaterC'' Baseline'!$C$9:$R$257,3,FALSE))</f>
        <v/>
      </c>
      <c r="E27" s="310" t="str">
        <f>IF(D27="","",VLOOKUP($B27,'C-1 On-Site WaterC'' Baseline'!$C$9:$R$257,4,FALSE))</f>
        <v/>
      </c>
      <c r="F27" s="310" t="str">
        <f>IF(E27="","",VLOOKUP($B27,'C-1 On-Site WaterC'' Baseline'!$C$9:$R$257,5,FALSE))</f>
        <v/>
      </c>
      <c r="G27" s="310" t="str">
        <f>IF(F27="","",VLOOKUP($B27,'C-1 On-Site WaterC'' Baseline'!$C$9:$R$257,6,FALSE))</f>
        <v/>
      </c>
      <c r="H27" s="310" t="str">
        <f>IF(G27="","",VLOOKUP($B27,'C-1 On-Site WaterC'' Baseline'!$C$9:$R$257,7,FALSE))</f>
        <v/>
      </c>
      <c r="I27" s="310" t="str">
        <f>IF(H27="","",VLOOKUP($B27,'C-1 On-Site WaterC'' Baseline'!$C$9:$R$257,8,FALSE))</f>
        <v/>
      </c>
      <c r="J27" s="310" t="str">
        <f>IF(I27="","",VLOOKUP($B27,'C-1 On-Site WaterC'' Baseline'!$C$9:$R$257,9,FALSE))</f>
        <v/>
      </c>
      <c r="K27" s="310" t="str">
        <f>IF(J27="","",VLOOKUP($B27,'C-1 On-Site WaterC'' Baseline'!$C$9:$R$257,10,FALSE))</f>
        <v/>
      </c>
      <c r="L27" s="310" t="str">
        <f>IF(B27="","",VLOOKUP($B27,'C-1 On-Site WaterC'' Baseline'!$C$9:$R$257,15,FALSE))</f>
        <v/>
      </c>
      <c r="M27" s="314" t="str">
        <f>IF(L27="","",VLOOKUP($B27,'C-1 On-Site WaterC'' Baseline'!$C$9:$R$257,16,FALSE))</f>
        <v/>
      </c>
      <c r="N27" s="259"/>
      <c r="O27" s="290" t="str">
        <f t="shared" si="1"/>
        <v/>
      </c>
      <c r="P27" s="291" t="str">
        <f t="shared" si="2"/>
        <v/>
      </c>
      <c r="Q27" s="346" t="str">
        <f>IF(N27="","",VLOOKUP(B27,'C-1 On-Site WaterC'' Baseline'!$C$10:$AC$257,20,FALSE))</f>
        <v/>
      </c>
      <c r="R27" s="290" t="str">
        <f>IF(N27="","",VLOOKUP(N27,'G-7 WaterC'' Data'!$B$2:$G$8,2,FALSE))</f>
        <v/>
      </c>
      <c r="S27" s="291" t="str">
        <f>IFERROR(VLOOKUP(R27,'G-7 WaterC'' Data'!$C$4:$D$8,2,FALSE),"")</f>
        <v/>
      </c>
      <c r="T27" s="95"/>
      <c r="U27" s="291" t="str">
        <f>IFERROR(INDEX('G-7 WaterC'' Data'!$H$4:$L$8,MATCH(N27,'G-7 WaterC'' Data'!$B$4:$B$8,0),MATCH(T27,'G-7 WaterC'' Data'!$H$3:$L$3,0)),"")</f>
        <v/>
      </c>
      <c r="V27" s="95"/>
      <c r="W27" s="298" t="str">
        <f>IF(V27="","",IF(VLOOKUP(V27,'G-7 WaterC'' Data'!$AK$4:$AM$6,2,FALSE)=0,"Spatial Data Missing ⚠",VLOOKUP(V27,'G-7 WaterC'' Data'!$AK$4:$AM$6,2,FALSE)))</f>
        <v/>
      </c>
      <c r="X27" s="291" t="str">
        <f>IF(V27="","",IF(VLOOKUP(V27,'G-7 WaterC'' Data'!$AK$4:$AM$6,3,FALSE)=0,"Spatial Data Missing ⚠",VLOOKUP(V27,'G-7 WaterC'' Data'!$AK$4:$AM$6,3,FALSE)))</f>
        <v/>
      </c>
      <c r="Y27" s="290" t="str">
        <f>IFERROR(IF(OR(LEFT(P27,5)="Error",LEFT(O27,5)="Error ▲"),"Check Data ⚠",IF(F27&lt;S27,'G-7 WaterC'' Data'!$R$3,INDEX('G-7 WaterC'' Data'!$U$5:$Y$9,MATCH(G27,'G-7 WaterC'' Data'!$T$5:$T$9,0),MATCH(T27,'G-7 WaterC'' Data'!$U$4:$Y$4,0)))),"")</f>
        <v/>
      </c>
      <c r="Z27" s="138"/>
      <c r="AA27" s="138"/>
      <c r="AB27" s="298" t="str">
        <f t="shared" si="3"/>
        <v/>
      </c>
      <c r="AC27" s="311" t="str">
        <f t="shared" si="4"/>
        <v/>
      </c>
      <c r="AD27" s="344" t="str">
        <f>IFERROR(IF(AC27="Check Data ⚠","Check Data ⚠",VLOOKUP(AC27,'G-4 Temporal multipliers'!$A$4:$C$37,3,FALSE)),"")</f>
        <v/>
      </c>
      <c r="AE27" s="290" t="str">
        <f>IF(N27="","",VLOOKUP(N27,'G-7 WaterC'' Data'!$B$4:$G$8,5,FALSE))</f>
        <v/>
      </c>
      <c r="AF27" s="298" t="str">
        <f t="shared" si="5"/>
        <v/>
      </c>
      <c r="AG27" s="328" t="str">
        <f t="shared" si="6"/>
        <v/>
      </c>
      <c r="AH27" s="291" t="str">
        <f t="shared" si="0"/>
        <v/>
      </c>
      <c r="AI27" s="103"/>
      <c r="AJ27" s="291" t="str">
        <f>IF(AI27="","",IF(AND(AI27="N/A - Culvert",N27&lt;&gt;"Culvert"),"Not possible ▲",IF(VLOOKUP(AI27,'G-7 WaterC'' Data'!$AA$4:$AB$7,2,FALSE)=0,"Spatial Data Missing ⚠",VLOOKUP(AI27,'G-7 WaterC'' Data'!$AA$4:$AB$7,2,FALSE))))</f>
        <v/>
      </c>
      <c r="AK27" s="104"/>
      <c r="AL27" s="291" t="str">
        <f>IF(AK27="","",IF(AND(AK27="N/A - Culvert",N27&lt;&gt;"Culvert"),"Not possible ▲",IF(VLOOKUP(AK27,'G-7 WaterC'' Data'!$AD$4:$AE$14,2,FALSE)=0,"Spatial Data Missing ⚠",VLOOKUP(AK27,'G-7 WaterC'' Data'!$AD$4:$AE$14,2,FALSE))))</f>
        <v/>
      </c>
      <c r="AM27" s="332" t="str">
        <f t="shared" si="7"/>
        <v/>
      </c>
      <c r="AN27" s="98"/>
      <c r="AO27" s="99"/>
      <c r="AP27" s="101"/>
      <c r="AS27" s="15" t="str">
        <f>IF(B27="","",IF(ISNA(VLOOKUP($B27,'C-1 On-Site WaterC'' Baseline'!$C$8:$AD$257,17,FALSE)),"",(VLOOKUP($B27,'C-1 On-Site WaterC'' Baseline'!$C$8:$AD$257,17,FALSE))))</f>
        <v/>
      </c>
      <c r="AT27" s="15" t="str">
        <f>IF(B27="","",VLOOKUP($B27,'C-1 On-Site WaterC'' Baseline'!$C$9:$Z$257,12,FALSE))</f>
        <v/>
      </c>
      <c r="AU27" s="15" t="str">
        <f>IF(B27="","",VLOOKUP($B27,'C-1 On-Site WaterC'' Baseline'!$C$9:$Z$257,14,FALSE))</f>
        <v/>
      </c>
      <c r="AV27" s="15" t="str">
        <f>IFERROR(INDEX('G-7 WaterC'' Data'!$AZ$3:$AZ$7,MATCH(N27,'G-7 WaterC'' Data'!$AY$3:$AY$7,0)),"")</f>
        <v/>
      </c>
      <c r="AX27" s="15" t="str">
        <f>IF(B27="","",VLOOKUP($B27,'C-1 On-Site WaterC'' Baseline'!$C$9:$Y$257,22,FALSE))</f>
        <v/>
      </c>
      <c r="AY27" s="15" t="str">
        <f t="shared" si="8"/>
        <v/>
      </c>
      <c r="AZ27" s="15" t="str">
        <f>IF(B27="","",VLOOKUP($B27,'C-1 On-Site WaterC'' Baseline'!$C$9:$Y$257,21,FALSE))</f>
        <v/>
      </c>
      <c r="BA27" s="15" t="str">
        <f>IF(B27="","",VLOOKUP($B27,'C-1 On-Site WaterC'' Baseline'!$C$9:$Y$257,19,FALSE))</f>
        <v/>
      </c>
    </row>
    <row r="28" spans="2:53" ht="14" x14ac:dyDescent="0.3">
      <c r="B28" s="319" t="str">
        <f>'C-1 On-Site WaterC'' Baseline'!AP26</f>
        <v/>
      </c>
      <c r="C28" s="310" t="str">
        <f>IF(B28="","",VLOOKUP($B28,'C-1 On-Site WaterC'' Baseline'!$C$9:$R$257,2,FALSE))</f>
        <v/>
      </c>
      <c r="D28" s="310" t="str">
        <f>IF(C28="","",VLOOKUP($B28,'C-1 On-Site WaterC'' Baseline'!$C$9:$R$257,3,FALSE))</f>
        <v/>
      </c>
      <c r="E28" s="310" t="str">
        <f>IF(D28="","",VLOOKUP($B28,'C-1 On-Site WaterC'' Baseline'!$C$9:$R$257,4,FALSE))</f>
        <v/>
      </c>
      <c r="F28" s="310" t="str">
        <f>IF(E28="","",VLOOKUP($B28,'C-1 On-Site WaterC'' Baseline'!$C$9:$R$257,5,FALSE))</f>
        <v/>
      </c>
      <c r="G28" s="310" t="str">
        <f>IF(F28="","",VLOOKUP($B28,'C-1 On-Site WaterC'' Baseline'!$C$9:$R$257,6,FALSE))</f>
        <v/>
      </c>
      <c r="H28" s="310" t="str">
        <f>IF(G28="","",VLOOKUP($B28,'C-1 On-Site WaterC'' Baseline'!$C$9:$R$257,7,FALSE))</f>
        <v/>
      </c>
      <c r="I28" s="310" t="str">
        <f>IF(H28="","",VLOOKUP($B28,'C-1 On-Site WaterC'' Baseline'!$C$9:$R$257,8,FALSE))</f>
        <v/>
      </c>
      <c r="J28" s="310" t="str">
        <f>IF(I28="","",VLOOKUP($B28,'C-1 On-Site WaterC'' Baseline'!$C$9:$R$257,9,FALSE))</f>
        <v/>
      </c>
      <c r="K28" s="310" t="str">
        <f>IF(J28="","",VLOOKUP($B28,'C-1 On-Site WaterC'' Baseline'!$C$9:$R$257,10,FALSE))</f>
        <v/>
      </c>
      <c r="L28" s="310" t="str">
        <f>IF(B28="","",VLOOKUP($B28,'C-1 On-Site WaterC'' Baseline'!$C$9:$R$257,15,FALSE))</f>
        <v/>
      </c>
      <c r="M28" s="314" t="str">
        <f>IF(L28="","",VLOOKUP($B28,'C-1 On-Site WaterC'' Baseline'!$C$9:$R$257,16,FALSE))</f>
        <v/>
      </c>
      <c r="N28" s="259"/>
      <c r="O28" s="290" t="str">
        <f t="shared" si="1"/>
        <v/>
      </c>
      <c r="P28" s="291" t="str">
        <f t="shared" si="2"/>
        <v/>
      </c>
      <c r="Q28" s="346" t="str">
        <f>IF(N28="","",VLOOKUP(B28,'C-1 On-Site WaterC'' Baseline'!$C$10:$AC$257,20,FALSE))</f>
        <v/>
      </c>
      <c r="R28" s="290" t="str">
        <f>IF(N28="","",VLOOKUP(N28,'G-7 WaterC'' Data'!$B$2:$G$8,2,FALSE))</f>
        <v/>
      </c>
      <c r="S28" s="291" t="str">
        <f>IFERROR(VLOOKUP(R28,'G-7 WaterC'' Data'!$C$4:$D$8,2,FALSE),"")</f>
        <v/>
      </c>
      <c r="T28" s="95"/>
      <c r="U28" s="291" t="str">
        <f>IFERROR(INDEX('G-7 WaterC'' Data'!$H$4:$L$8,MATCH(N28,'G-7 WaterC'' Data'!$B$4:$B$8,0),MATCH(T28,'G-7 WaterC'' Data'!$H$3:$L$3,0)),"")</f>
        <v/>
      </c>
      <c r="V28" s="95"/>
      <c r="W28" s="298" t="str">
        <f>IF(V28="","",IF(VLOOKUP(V28,'G-7 WaterC'' Data'!$AK$4:$AM$6,2,FALSE)=0,"Spatial Data Missing ⚠",VLOOKUP(V28,'G-7 WaterC'' Data'!$AK$4:$AM$6,2,FALSE)))</f>
        <v/>
      </c>
      <c r="X28" s="291" t="str">
        <f>IF(V28="","",IF(VLOOKUP(V28,'G-7 WaterC'' Data'!$AK$4:$AM$6,3,FALSE)=0,"Spatial Data Missing ⚠",VLOOKUP(V28,'G-7 WaterC'' Data'!$AK$4:$AM$6,3,FALSE)))</f>
        <v/>
      </c>
      <c r="Y28" s="290" t="str">
        <f>IFERROR(IF(OR(LEFT(P28,5)="Error",LEFT(O28,5)="Error ▲"),"Check Data ⚠",IF(F28&lt;S28,'G-7 WaterC'' Data'!$R$3,INDEX('G-7 WaterC'' Data'!$U$5:$Y$9,MATCH(G28,'G-7 WaterC'' Data'!$T$5:$T$9,0),MATCH(T28,'G-7 WaterC'' Data'!$U$4:$Y$4,0)))),"")</f>
        <v/>
      </c>
      <c r="Z28" s="138"/>
      <c r="AA28" s="138"/>
      <c r="AB28" s="298" t="str">
        <f t="shared" si="3"/>
        <v/>
      </c>
      <c r="AC28" s="311" t="str">
        <f t="shared" si="4"/>
        <v/>
      </c>
      <c r="AD28" s="344" t="str">
        <f>IFERROR(IF(AC28="Check Data ⚠","Check Data ⚠",VLOOKUP(AC28,'G-4 Temporal multipliers'!$A$4:$C$37,3,FALSE)),"")</f>
        <v/>
      </c>
      <c r="AE28" s="290" t="str">
        <f>IF(N28="","",VLOOKUP(N28,'G-7 WaterC'' Data'!$B$4:$G$8,5,FALSE))</f>
        <v/>
      </c>
      <c r="AF28" s="298" t="str">
        <f t="shared" si="5"/>
        <v/>
      </c>
      <c r="AG28" s="328" t="str">
        <f t="shared" si="6"/>
        <v/>
      </c>
      <c r="AH28" s="291" t="str">
        <f t="shared" si="0"/>
        <v/>
      </c>
      <c r="AI28" s="103"/>
      <c r="AJ28" s="291" t="str">
        <f>IF(AI28="","",IF(AND(AI28="N/A - Culvert",N28&lt;&gt;"Culvert"),"Not possible ▲",IF(VLOOKUP(AI28,'G-7 WaterC'' Data'!$AA$4:$AB$7,2,FALSE)=0,"Spatial Data Missing ⚠",VLOOKUP(AI28,'G-7 WaterC'' Data'!$AA$4:$AB$7,2,FALSE))))</f>
        <v/>
      </c>
      <c r="AK28" s="104"/>
      <c r="AL28" s="291" t="str">
        <f>IF(AK28="","",IF(AND(AK28="N/A - Culvert",N28&lt;&gt;"Culvert"),"Not possible ▲",IF(VLOOKUP(AK28,'G-7 WaterC'' Data'!$AD$4:$AE$14,2,FALSE)=0,"Spatial Data Missing ⚠",VLOOKUP(AK28,'G-7 WaterC'' Data'!$AD$4:$AE$14,2,FALSE))))</f>
        <v/>
      </c>
      <c r="AM28" s="332" t="str">
        <f t="shared" si="7"/>
        <v/>
      </c>
      <c r="AN28" s="98"/>
      <c r="AO28" s="99"/>
      <c r="AP28" s="101"/>
      <c r="AS28" s="15" t="str">
        <f>IF(B28="","",IF(ISNA(VLOOKUP($B28,'C-1 On-Site WaterC'' Baseline'!$C$8:$AD$257,17,FALSE)),"",(VLOOKUP($B28,'C-1 On-Site WaterC'' Baseline'!$C$8:$AD$257,17,FALSE))))</f>
        <v/>
      </c>
      <c r="AT28" s="15" t="str">
        <f>IF(B28="","",VLOOKUP($B28,'C-1 On-Site WaterC'' Baseline'!$C$9:$Z$257,12,FALSE))</f>
        <v/>
      </c>
      <c r="AU28" s="15" t="str">
        <f>IF(B28="","",VLOOKUP($B28,'C-1 On-Site WaterC'' Baseline'!$C$9:$Z$257,14,FALSE))</f>
        <v/>
      </c>
      <c r="AV28" s="15" t="str">
        <f>IFERROR(INDEX('G-7 WaterC'' Data'!$AZ$3:$AZ$7,MATCH(N28,'G-7 WaterC'' Data'!$AY$3:$AY$7,0)),"")</f>
        <v/>
      </c>
      <c r="AX28" s="15" t="str">
        <f>IF(B28="","",VLOOKUP($B28,'C-1 On-Site WaterC'' Baseline'!$C$9:$Y$257,22,FALSE))</f>
        <v/>
      </c>
      <c r="AY28" s="15" t="str">
        <f t="shared" si="8"/>
        <v/>
      </c>
      <c r="AZ28" s="15" t="str">
        <f>IF(B28="","",VLOOKUP($B28,'C-1 On-Site WaterC'' Baseline'!$C$9:$Y$257,21,FALSE))</f>
        <v/>
      </c>
      <c r="BA28" s="15" t="str">
        <f>IF(B28="","",VLOOKUP($B28,'C-1 On-Site WaterC'' Baseline'!$C$9:$Y$257,19,FALSE))</f>
        <v/>
      </c>
    </row>
    <row r="29" spans="2:53" ht="14" x14ac:dyDescent="0.3">
      <c r="B29" s="319" t="str">
        <f>'C-1 On-Site WaterC'' Baseline'!AP27</f>
        <v/>
      </c>
      <c r="C29" s="310" t="str">
        <f>IF(B29="","",VLOOKUP($B29,'C-1 On-Site WaterC'' Baseline'!$C$9:$R$257,2,FALSE))</f>
        <v/>
      </c>
      <c r="D29" s="310" t="str">
        <f>IF(C29="","",VLOOKUP($B29,'C-1 On-Site WaterC'' Baseline'!$C$9:$R$257,3,FALSE))</f>
        <v/>
      </c>
      <c r="E29" s="310" t="str">
        <f>IF(D29="","",VLOOKUP($B29,'C-1 On-Site WaterC'' Baseline'!$C$9:$R$257,4,FALSE))</f>
        <v/>
      </c>
      <c r="F29" s="310" t="str">
        <f>IF(E29="","",VLOOKUP($B29,'C-1 On-Site WaterC'' Baseline'!$C$9:$R$257,5,FALSE))</f>
        <v/>
      </c>
      <c r="G29" s="310" t="str">
        <f>IF(F29="","",VLOOKUP($B29,'C-1 On-Site WaterC'' Baseline'!$C$9:$R$257,6,FALSE))</f>
        <v/>
      </c>
      <c r="H29" s="310" t="str">
        <f>IF(G29="","",VLOOKUP($B29,'C-1 On-Site WaterC'' Baseline'!$C$9:$R$257,7,FALSE))</f>
        <v/>
      </c>
      <c r="I29" s="310" t="str">
        <f>IF(H29="","",VLOOKUP($B29,'C-1 On-Site WaterC'' Baseline'!$C$9:$R$257,8,FALSE))</f>
        <v/>
      </c>
      <c r="J29" s="310" t="str">
        <f>IF(I29="","",VLOOKUP($B29,'C-1 On-Site WaterC'' Baseline'!$C$9:$R$257,9,FALSE))</f>
        <v/>
      </c>
      <c r="K29" s="310" t="str">
        <f>IF(J29="","",VLOOKUP($B29,'C-1 On-Site WaterC'' Baseline'!$C$9:$R$257,10,FALSE))</f>
        <v/>
      </c>
      <c r="L29" s="310" t="str">
        <f>IF(B29="","",VLOOKUP($B29,'C-1 On-Site WaterC'' Baseline'!$C$9:$R$257,15,FALSE))</f>
        <v/>
      </c>
      <c r="M29" s="314" t="str">
        <f>IF(L29="","",VLOOKUP($B29,'C-1 On-Site WaterC'' Baseline'!$C$9:$R$257,16,FALSE))</f>
        <v/>
      </c>
      <c r="N29" s="259"/>
      <c r="O29" s="290" t="str">
        <f t="shared" si="1"/>
        <v/>
      </c>
      <c r="P29" s="291" t="str">
        <f t="shared" si="2"/>
        <v/>
      </c>
      <c r="Q29" s="346" t="str">
        <f>IF(N29="","",VLOOKUP(B29,'C-1 On-Site WaterC'' Baseline'!$C$10:$AC$257,20,FALSE))</f>
        <v/>
      </c>
      <c r="R29" s="290" t="str">
        <f>IF(N29="","",VLOOKUP(N29,'G-7 WaterC'' Data'!$B$2:$G$8,2,FALSE))</f>
        <v/>
      </c>
      <c r="S29" s="291" t="str">
        <f>IFERROR(VLOOKUP(R29,'G-7 WaterC'' Data'!$C$4:$D$8,2,FALSE),"")</f>
        <v/>
      </c>
      <c r="T29" s="95"/>
      <c r="U29" s="291" t="str">
        <f>IFERROR(INDEX('G-7 WaterC'' Data'!$H$4:$L$8,MATCH(N29,'G-7 WaterC'' Data'!$B$4:$B$8,0),MATCH(T29,'G-7 WaterC'' Data'!$H$3:$L$3,0)),"")</f>
        <v/>
      </c>
      <c r="V29" s="95"/>
      <c r="W29" s="298" t="str">
        <f>IF(V29="","",IF(VLOOKUP(V29,'G-7 WaterC'' Data'!$AK$4:$AM$6,2,FALSE)=0,"Spatial Data Missing ⚠",VLOOKUP(V29,'G-7 WaterC'' Data'!$AK$4:$AM$6,2,FALSE)))</f>
        <v/>
      </c>
      <c r="X29" s="291" t="str">
        <f>IF(V29="","",IF(VLOOKUP(V29,'G-7 WaterC'' Data'!$AK$4:$AM$6,3,FALSE)=0,"Spatial Data Missing ⚠",VLOOKUP(V29,'G-7 WaterC'' Data'!$AK$4:$AM$6,3,FALSE)))</f>
        <v/>
      </c>
      <c r="Y29" s="290" t="str">
        <f>IFERROR(IF(OR(LEFT(P29,5)="Error",LEFT(O29,5)="Error ▲"),"Check Data ⚠",IF(F29&lt;S29,'G-7 WaterC'' Data'!$R$3,INDEX('G-7 WaterC'' Data'!$U$5:$Y$9,MATCH(G29,'G-7 WaterC'' Data'!$T$5:$T$9,0),MATCH(T29,'G-7 WaterC'' Data'!$U$4:$Y$4,0)))),"")</f>
        <v/>
      </c>
      <c r="Z29" s="138"/>
      <c r="AA29" s="138"/>
      <c r="AB29" s="298" t="str">
        <f t="shared" si="3"/>
        <v/>
      </c>
      <c r="AC29" s="311" t="str">
        <f t="shared" si="4"/>
        <v/>
      </c>
      <c r="AD29" s="344" t="str">
        <f>IFERROR(IF(AC29="Check Data ⚠","Check Data ⚠",VLOOKUP(AC29,'G-4 Temporal multipliers'!$A$4:$C$37,3,FALSE)),"")</f>
        <v/>
      </c>
      <c r="AE29" s="290" t="str">
        <f>IF(N29="","",VLOOKUP(N29,'G-7 WaterC'' Data'!$B$4:$G$8,5,FALSE))</f>
        <v/>
      </c>
      <c r="AF29" s="298" t="str">
        <f t="shared" si="5"/>
        <v/>
      </c>
      <c r="AG29" s="328" t="str">
        <f t="shared" si="6"/>
        <v/>
      </c>
      <c r="AH29" s="291" t="str">
        <f t="shared" si="0"/>
        <v/>
      </c>
      <c r="AI29" s="103"/>
      <c r="AJ29" s="291" t="str">
        <f>IF(AI29="","",IF(AND(AI29="N/A - Culvert",N29&lt;&gt;"Culvert"),"Not possible ▲",IF(VLOOKUP(AI29,'G-7 WaterC'' Data'!$AA$4:$AB$7,2,FALSE)=0,"Spatial Data Missing ⚠",VLOOKUP(AI29,'G-7 WaterC'' Data'!$AA$4:$AB$7,2,FALSE))))</f>
        <v/>
      </c>
      <c r="AK29" s="104"/>
      <c r="AL29" s="291" t="str">
        <f>IF(AK29="","",IF(AND(AK29="N/A - Culvert",N29&lt;&gt;"Culvert"),"Not possible ▲",IF(VLOOKUP(AK29,'G-7 WaterC'' Data'!$AD$4:$AE$14,2,FALSE)=0,"Spatial Data Missing ⚠",VLOOKUP(AK29,'G-7 WaterC'' Data'!$AD$4:$AE$14,2,FALSE))))</f>
        <v/>
      </c>
      <c r="AM29" s="332" t="str">
        <f t="shared" si="7"/>
        <v/>
      </c>
      <c r="AN29" s="98"/>
      <c r="AO29" s="99"/>
      <c r="AP29" s="101"/>
      <c r="AS29" s="15" t="str">
        <f>IF(B29="","",IF(ISNA(VLOOKUP($B29,'C-1 On-Site WaterC'' Baseline'!$C$8:$AD$257,17,FALSE)),"",(VLOOKUP($B29,'C-1 On-Site WaterC'' Baseline'!$C$8:$AD$257,17,FALSE))))</f>
        <v/>
      </c>
      <c r="AT29" s="15" t="str">
        <f>IF(B29="","",VLOOKUP($B29,'C-1 On-Site WaterC'' Baseline'!$C$9:$Z$257,12,FALSE))</f>
        <v/>
      </c>
      <c r="AU29" s="15" t="str">
        <f>IF(B29="","",VLOOKUP($B29,'C-1 On-Site WaterC'' Baseline'!$C$9:$Z$257,14,FALSE))</f>
        <v/>
      </c>
      <c r="AV29" s="15" t="str">
        <f>IFERROR(INDEX('G-7 WaterC'' Data'!$AZ$3:$AZ$7,MATCH(N29,'G-7 WaterC'' Data'!$AY$3:$AY$7,0)),"")</f>
        <v/>
      </c>
      <c r="AX29" s="15" t="str">
        <f>IF(B29="","",VLOOKUP($B29,'C-1 On-Site WaterC'' Baseline'!$C$9:$Y$257,22,FALSE))</f>
        <v/>
      </c>
      <c r="AY29" s="15" t="str">
        <f t="shared" si="8"/>
        <v/>
      </c>
      <c r="AZ29" s="15" t="str">
        <f>IF(B29="","",VLOOKUP($B29,'C-1 On-Site WaterC'' Baseline'!$C$9:$Y$257,21,FALSE))</f>
        <v/>
      </c>
      <c r="BA29" s="15" t="str">
        <f>IF(B29="","",VLOOKUP($B29,'C-1 On-Site WaterC'' Baseline'!$C$9:$Y$257,19,FALSE))</f>
        <v/>
      </c>
    </row>
    <row r="30" spans="2:53" ht="14" x14ac:dyDescent="0.3">
      <c r="B30" s="319" t="str">
        <f>'C-1 On-Site WaterC'' Baseline'!AP28</f>
        <v/>
      </c>
      <c r="C30" s="310" t="str">
        <f>IF(B30="","",VLOOKUP($B30,'C-1 On-Site WaterC'' Baseline'!$C$9:$R$257,2,FALSE))</f>
        <v/>
      </c>
      <c r="D30" s="310" t="str">
        <f>IF(C30="","",VLOOKUP($B30,'C-1 On-Site WaterC'' Baseline'!$C$9:$R$257,3,FALSE))</f>
        <v/>
      </c>
      <c r="E30" s="310" t="str">
        <f>IF(D30="","",VLOOKUP($B30,'C-1 On-Site WaterC'' Baseline'!$C$9:$R$257,4,FALSE))</f>
        <v/>
      </c>
      <c r="F30" s="310" t="str">
        <f>IF(E30="","",VLOOKUP($B30,'C-1 On-Site WaterC'' Baseline'!$C$9:$R$257,5,FALSE))</f>
        <v/>
      </c>
      <c r="G30" s="310" t="str">
        <f>IF(F30="","",VLOOKUP($B30,'C-1 On-Site WaterC'' Baseline'!$C$9:$R$257,6,FALSE))</f>
        <v/>
      </c>
      <c r="H30" s="310" t="str">
        <f>IF(G30="","",VLOOKUP($B30,'C-1 On-Site WaterC'' Baseline'!$C$9:$R$257,7,FALSE))</f>
        <v/>
      </c>
      <c r="I30" s="310" t="str">
        <f>IF(H30="","",VLOOKUP($B30,'C-1 On-Site WaterC'' Baseline'!$C$9:$R$257,8,FALSE))</f>
        <v/>
      </c>
      <c r="J30" s="310" t="str">
        <f>IF(I30="","",VLOOKUP($B30,'C-1 On-Site WaterC'' Baseline'!$C$9:$R$257,9,FALSE))</f>
        <v/>
      </c>
      <c r="K30" s="310" t="str">
        <f>IF(J30="","",VLOOKUP($B30,'C-1 On-Site WaterC'' Baseline'!$C$9:$R$257,10,FALSE))</f>
        <v/>
      </c>
      <c r="L30" s="310" t="str">
        <f>IF(B30="","",VLOOKUP($B30,'C-1 On-Site WaterC'' Baseline'!$C$9:$R$257,15,FALSE))</f>
        <v/>
      </c>
      <c r="M30" s="314" t="str">
        <f>IF(L30="","",VLOOKUP($B30,'C-1 On-Site WaterC'' Baseline'!$C$9:$R$257,16,FALSE))</f>
        <v/>
      </c>
      <c r="N30" s="259"/>
      <c r="O30" s="290" t="str">
        <f t="shared" si="1"/>
        <v/>
      </c>
      <c r="P30" s="291" t="str">
        <f t="shared" si="2"/>
        <v/>
      </c>
      <c r="Q30" s="346" t="str">
        <f>IF(N30="","",VLOOKUP(B30,'C-1 On-Site WaterC'' Baseline'!$C$10:$AC$257,20,FALSE))</f>
        <v/>
      </c>
      <c r="R30" s="290" t="str">
        <f>IF(N30="","",VLOOKUP(N30,'G-7 WaterC'' Data'!$B$2:$G$8,2,FALSE))</f>
        <v/>
      </c>
      <c r="S30" s="291" t="str">
        <f>IFERROR(VLOOKUP(R30,'G-7 WaterC'' Data'!$C$4:$D$8,2,FALSE),"")</f>
        <v/>
      </c>
      <c r="T30" s="95"/>
      <c r="U30" s="291" t="str">
        <f>IFERROR(INDEX('G-7 WaterC'' Data'!$H$4:$L$8,MATCH(N30,'G-7 WaterC'' Data'!$B$4:$B$8,0),MATCH(T30,'G-7 WaterC'' Data'!$H$3:$L$3,0)),"")</f>
        <v/>
      </c>
      <c r="V30" s="95"/>
      <c r="W30" s="298" t="str">
        <f>IF(V30="","",IF(VLOOKUP(V30,'G-7 WaterC'' Data'!$AK$4:$AM$6,2,FALSE)=0,"Spatial Data Missing ⚠",VLOOKUP(V30,'G-7 WaterC'' Data'!$AK$4:$AM$6,2,FALSE)))</f>
        <v/>
      </c>
      <c r="X30" s="291" t="str">
        <f>IF(V30="","",IF(VLOOKUP(V30,'G-7 WaterC'' Data'!$AK$4:$AM$6,3,FALSE)=0,"Spatial Data Missing ⚠",VLOOKUP(V30,'G-7 WaterC'' Data'!$AK$4:$AM$6,3,FALSE)))</f>
        <v/>
      </c>
      <c r="Y30" s="290" t="str">
        <f>IFERROR(IF(OR(LEFT(P30,5)="Error",LEFT(O30,5)="Error ▲"),"Check Data ⚠",IF(F30&lt;S30,'G-7 WaterC'' Data'!$R$3,INDEX('G-7 WaterC'' Data'!$U$5:$Y$9,MATCH(G30,'G-7 WaterC'' Data'!$T$5:$T$9,0),MATCH(T30,'G-7 WaterC'' Data'!$U$4:$Y$4,0)))),"")</f>
        <v/>
      </c>
      <c r="Z30" s="138"/>
      <c r="AA30" s="138"/>
      <c r="AB30" s="298" t="str">
        <f t="shared" si="3"/>
        <v/>
      </c>
      <c r="AC30" s="311" t="str">
        <f t="shared" si="4"/>
        <v/>
      </c>
      <c r="AD30" s="344" t="str">
        <f>IFERROR(IF(AC30="Check Data ⚠","Check Data ⚠",VLOOKUP(AC30,'G-4 Temporal multipliers'!$A$4:$C$37,3,FALSE)),"")</f>
        <v/>
      </c>
      <c r="AE30" s="290" t="str">
        <f>IF(N30="","",VLOOKUP(N30,'G-7 WaterC'' Data'!$B$4:$G$8,5,FALSE))</f>
        <v/>
      </c>
      <c r="AF30" s="298" t="str">
        <f t="shared" si="5"/>
        <v/>
      </c>
      <c r="AG30" s="328" t="str">
        <f t="shared" si="6"/>
        <v/>
      </c>
      <c r="AH30" s="291" t="str">
        <f t="shared" si="0"/>
        <v/>
      </c>
      <c r="AI30" s="103"/>
      <c r="AJ30" s="291" t="str">
        <f>IF(AI30="","",IF(AND(AI30="N/A - Culvert",N30&lt;&gt;"Culvert"),"Not possible ▲",IF(VLOOKUP(AI30,'G-7 WaterC'' Data'!$AA$4:$AB$7,2,FALSE)=0,"Spatial Data Missing ⚠",VLOOKUP(AI30,'G-7 WaterC'' Data'!$AA$4:$AB$7,2,FALSE))))</f>
        <v/>
      </c>
      <c r="AK30" s="104"/>
      <c r="AL30" s="291" t="str">
        <f>IF(AK30="","",IF(AND(AK30="N/A - Culvert",N30&lt;&gt;"Culvert"),"Not possible ▲",IF(VLOOKUP(AK30,'G-7 WaterC'' Data'!$AD$4:$AE$14,2,FALSE)=0,"Spatial Data Missing ⚠",VLOOKUP(AK30,'G-7 WaterC'' Data'!$AD$4:$AE$14,2,FALSE))))</f>
        <v/>
      </c>
      <c r="AM30" s="332" t="str">
        <f t="shared" si="7"/>
        <v/>
      </c>
      <c r="AN30" s="98"/>
      <c r="AO30" s="99"/>
      <c r="AP30" s="101"/>
      <c r="AS30" s="15" t="str">
        <f>IF(B30="","",IF(ISNA(VLOOKUP($B30,'C-1 On-Site WaterC'' Baseline'!$C$8:$AD$257,17,FALSE)),"",(VLOOKUP($B30,'C-1 On-Site WaterC'' Baseline'!$C$8:$AD$257,17,FALSE))))</f>
        <v/>
      </c>
      <c r="AT30" s="15" t="str">
        <f>IF(B30="","",VLOOKUP($B30,'C-1 On-Site WaterC'' Baseline'!$C$9:$Z$257,12,FALSE))</f>
        <v/>
      </c>
      <c r="AU30" s="15" t="str">
        <f>IF(B30="","",VLOOKUP($B30,'C-1 On-Site WaterC'' Baseline'!$C$9:$Z$257,14,FALSE))</f>
        <v/>
      </c>
      <c r="AV30" s="15" t="str">
        <f>IFERROR(INDEX('G-7 WaterC'' Data'!$AZ$3:$AZ$7,MATCH(N30,'G-7 WaterC'' Data'!$AY$3:$AY$7,0)),"")</f>
        <v/>
      </c>
      <c r="AX30" s="15" t="str">
        <f>IF(B30="","",VLOOKUP($B30,'C-1 On-Site WaterC'' Baseline'!$C$9:$Y$257,22,FALSE))</f>
        <v/>
      </c>
      <c r="AY30" s="15" t="str">
        <f t="shared" si="8"/>
        <v/>
      </c>
      <c r="AZ30" s="15" t="str">
        <f>IF(B30="","",VLOOKUP($B30,'C-1 On-Site WaterC'' Baseline'!$C$9:$Y$257,21,FALSE))</f>
        <v/>
      </c>
      <c r="BA30" s="15" t="str">
        <f>IF(B30="","",VLOOKUP($B30,'C-1 On-Site WaterC'' Baseline'!$C$9:$Y$257,19,FALSE))</f>
        <v/>
      </c>
    </row>
    <row r="31" spans="2:53" ht="14" x14ac:dyDescent="0.3">
      <c r="B31" s="319" t="str">
        <f>'C-1 On-Site WaterC'' Baseline'!AP29</f>
        <v/>
      </c>
      <c r="C31" s="310" t="str">
        <f>IF(B31="","",VLOOKUP($B31,'C-1 On-Site WaterC'' Baseline'!$C$9:$R$257,2,FALSE))</f>
        <v/>
      </c>
      <c r="D31" s="310" t="str">
        <f>IF(C31="","",VLOOKUP($B31,'C-1 On-Site WaterC'' Baseline'!$C$9:$R$257,3,FALSE))</f>
        <v/>
      </c>
      <c r="E31" s="310" t="str">
        <f>IF(D31="","",VLOOKUP($B31,'C-1 On-Site WaterC'' Baseline'!$C$9:$R$257,4,FALSE))</f>
        <v/>
      </c>
      <c r="F31" s="310" t="str">
        <f>IF(E31="","",VLOOKUP($B31,'C-1 On-Site WaterC'' Baseline'!$C$9:$R$257,5,FALSE))</f>
        <v/>
      </c>
      <c r="G31" s="310" t="str">
        <f>IF(F31="","",VLOOKUP($B31,'C-1 On-Site WaterC'' Baseline'!$C$9:$R$257,6,FALSE))</f>
        <v/>
      </c>
      <c r="H31" s="310" t="str">
        <f>IF(G31="","",VLOOKUP($B31,'C-1 On-Site WaterC'' Baseline'!$C$9:$R$257,7,FALSE))</f>
        <v/>
      </c>
      <c r="I31" s="310" t="str">
        <f>IF(H31="","",VLOOKUP($B31,'C-1 On-Site WaterC'' Baseline'!$C$9:$R$257,8,FALSE))</f>
        <v/>
      </c>
      <c r="J31" s="310" t="str">
        <f>IF(I31="","",VLOOKUP($B31,'C-1 On-Site WaterC'' Baseline'!$C$9:$R$257,9,FALSE))</f>
        <v/>
      </c>
      <c r="K31" s="310" t="str">
        <f>IF(J31="","",VLOOKUP($B31,'C-1 On-Site WaterC'' Baseline'!$C$9:$R$257,10,FALSE))</f>
        <v/>
      </c>
      <c r="L31" s="310" t="str">
        <f>IF(B31="","",VLOOKUP($B31,'C-1 On-Site WaterC'' Baseline'!$C$9:$R$257,15,FALSE))</f>
        <v/>
      </c>
      <c r="M31" s="314" t="str">
        <f>IF(L31="","",VLOOKUP($B31,'C-1 On-Site WaterC'' Baseline'!$C$9:$R$257,16,FALSE))</f>
        <v/>
      </c>
      <c r="N31" s="259"/>
      <c r="O31" s="290" t="str">
        <f t="shared" si="1"/>
        <v/>
      </c>
      <c r="P31" s="291" t="str">
        <f t="shared" si="2"/>
        <v/>
      </c>
      <c r="Q31" s="346" t="str">
        <f>IF(N31="","",VLOOKUP(B31,'C-1 On-Site WaterC'' Baseline'!$C$10:$AC$257,20,FALSE))</f>
        <v/>
      </c>
      <c r="R31" s="290" t="str">
        <f>IF(N31="","",VLOOKUP(N31,'G-7 WaterC'' Data'!$B$2:$G$8,2,FALSE))</f>
        <v/>
      </c>
      <c r="S31" s="291" t="str">
        <f>IFERROR(VLOOKUP(R31,'G-7 WaterC'' Data'!$C$4:$D$8,2,FALSE),"")</f>
        <v/>
      </c>
      <c r="T31" s="95"/>
      <c r="U31" s="291" t="str">
        <f>IFERROR(INDEX('G-7 WaterC'' Data'!$H$4:$L$8,MATCH(N31,'G-7 WaterC'' Data'!$B$4:$B$8,0),MATCH(T31,'G-7 WaterC'' Data'!$H$3:$L$3,0)),"")</f>
        <v/>
      </c>
      <c r="V31" s="95"/>
      <c r="W31" s="298" t="str">
        <f>IF(V31="","",IF(VLOOKUP(V31,'G-7 WaterC'' Data'!$AK$4:$AM$6,2,FALSE)=0,"Spatial Data Missing ⚠",VLOOKUP(V31,'G-7 WaterC'' Data'!$AK$4:$AM$6,2,FALSE)))</f>
        <v/>
      </c>
      <c r="X31" s="291" t="str">
        <f>IF(V31="","",IF(VLOOKUP(V31,'G-7 WaterC'' Data'!$AK$4:$AM$6,3,FALSE)=0,"Spatial Data Missing ⚠",VLOOKUP(V31,'G-7 WaterC'' Data'!$AK$4:$AM$6,3,FALSE)))</f>
        <v/>
      </c>
      <c r="Y31" s="290" t="str">
        <f>IFERROR(IF(OR(LEFT(P31,5)="Error",LEFT(O31,5)="Error ▲"),"Check Data ⚠",IF(F31&lt;S31,'G-7 WaterC'' Data'!$R$3,INDEX('G-7 WaterC'' Data'!$U$5:$Y$9,MATCH(G31,'G-7 WaterC'' Data'!$T$5:$T$9,0),MATCH(T31,'G-7 WaterC'' Data'!$U$4:$Y$4,0)))),"")</f>
        <v/>
      </c>
      <c r="Z31" s="138"/>
      <c r="AA31" s="138"/>
      <c r="AB31" s="298" t="str">
        <f t="shared" si="3"/>
        <v/>
      </c>
      <c r="AC31" s="311" t="str">
        <f t="shared" si="4"/>
        <v/>
      </c>
      <c r="AD31" s="344" t="str">
        <f>IFERROR(IF(AC31="Check Data ⚠","Check Data ⚠",VLOOKUP(AC31,'G-4 Temporal multipliers'!$A$4:$C$37,3,FALSE)),"")</f>
        <v/>
      </c>
      <c r="AE31" s="290" t="str">
        <f>IF(N31="","",VLOOKUP(N31,'G-7 WaterC'' Data'!$B$4:$G$8,5,FALSE))</f>
        <v/>
      </c>
      <c r="AF31" s="298" t="str">
        <f t="shared" si="5"/>
        <v/>
      </c>
      <c r="AG31" s="328" t="str">
        <f t="shared" si="6"/>
        <v/>
      </c>
      <c r="AH31" s="291" t="str">
        <f t="shared" si="0"/>
        <v/>
      </c>
      <c r="AI31" s="103"/>
      <c r="AJ31" s="291" t="str">
        <f>IF(AI31="","",IF(AND(AI31="N/A - Culvert",N31&lt;&gt;"Culvert"),"Not possible ▲",IF(VLOOKUP(AI31,'G-7 WaterC'' Data'!$AA$4:$AB$7,2,FALSE)=0,"Spatial Data Missing ⚠",VLOOKUP(AI31,'G-7 WaterC'' Data'!$AA$4:$AB$7,2,FALSE))))</f>
        <v/>
      </c>
      <c r="AK31" s="104"/>
      <c r="AL31" s="291" t="str">
        <f>IF(AK31="","",IF(AND(AK31="N/A - Culvert",N31&lt;&gt;"Culvert"),"Not possible ▲",IF(VLOOKUP(AK31,'G-7 WaterC'' Data'!$AD$4:$AE$14,2,FALSE)=0,"Spatial Data Missing ⚠",VLOOKUP(AK31,'G-7 WaterC'' Data'!$AD$4:$AE$14,2,FALSE))))</f>
        <v/>
      </c>
      <c r="AM31" s="332" t="str">
        <f t="shared" si="7"/>
        <v/>
      </c>
      <c r="AN31" s="98"/>
      <c r="AO31" s="99"/>
      <c r="AP31" s="101"/>
      <c r="AS31" s="15" t="str">
        <f>IF(B31="","",IF(ISNA(VLOOKUP($B31,'C-1 On-Site WaterC'' Baseline'!$C$8:$AD$257,17,FALSE)),"",(VLOOKUP($B31,'C-1 On-Site WaterC'' Baseline'!$C$8:$AD$257,17,FALSE))))</f>
        <v/>
      </c>
      <c r="AT31" s="15" t="str">
        <f>IF(B31="","",VLOOKUP($B31,'C-1 On-Site WaterC'' Baseline'!$C$9:$Z$257,12,FALSE))</f>
        <v/>
      </c>
      <c r="AU31" s="15" t="str">
        <f>IF(B31="","",VLOOKUP($B31,'C-1 On-Site WaterC'' Baseline'!$C$9:$Z$257,14,FALSE))</f>
        <v/>
      </c>
      <c r="AV31" s="15" t="str">
        <f>IFERROR(INDEX('G-7 WaterC'' Data'!$AZ$3:$AZ$7,MATCH(N31,'G-7 WaterC'' Data'!$AY$3:$AY$7,0)),"")</f>
        <v/>
      </c>
      <c r="AX31" s="15" t="str">
        <f>IF(B31="","",VLOOKUP($B31,'C-1 On-Site WaterC'' Baseline'!$C$9:$Y$257,22,FALSE))</f>
        <v/>
      </c>
      <c r="AY31" s="15" t="str">
        <f t="shared" si="8"/>
        <v/>
      </c>
      <c r="AZ31" s="15" t="str">
        <f>IF(B31="","",VLOOKUP($B31,'C-1 On-Site WaterC'' Baseline'!$C$9:$Y$257,21,FALSE))</f>
        <v/>
      </c>
      <c r="BA31" s="15" t="str">
        <f>IF(B31="","",VLOOKUP($B31,'C-1 On-Site WaterC'' Baseline'!$C$9:$Y$257,19,FALSE))</f>
        <v/>
      </c>
    </row>
    <row r="32" spans="2:53" ht="14" x14ac:dyDescent="0.3">
      <c r="B32" s="319" t="str">
        <f>'C-1 On-Site WaterC'' Baseline'!AP30</f>
        <v/>
      </c>
      <c r="C32" s="310" t="str">
        <f>IF(B32="","",VLOOKUP($B32,'C-1 On-Site WaterC'' Baseline'!$C$9:$R$257,2,FALSE))</f>
        <v/>
      </c>
      <c r="D32" s="310" t="str">
        <f>IF(C32="","",VLOOKUP($B32,'C-1 On-Site WaterC'' Baseline'!$C$9:$R$257,3,FALSE))</f>
        <v/>
      </c>
      <c r="E32" s="310" t="str">
        <f>IF(D32="","",VLOOKUP($B32,'C-1 On-Site WaterC'' Baseline'!$C$9:$R$257,4,FALSE))</f>
        <v/>
      </c>
      <c r="F32" s="310" t="str">
        <f>IF(E32="","",VLOOKUP($B32,'C-1 On-Site WaterC'' Baseline'!$C$9:$R$257,5,FALSE))</f>
        <v/>
      </c>
      <c r="G32" s="310" t="str">
        <f>IF(F32="","",VLOOKUP($B32,'C-1 On-Site WaterC'' Baseline'!$C$9:$R$257,6,FALSE))</f>
        <v/>
      </c>
      <c r="H32" s="310" t="str">
        <f>IF(G32="","",VLOOKUP($B32,'C-1 On-Site WaterC'' Baseline'!$C$9:$R$257,7,FALSE))</f>
        <v/>
      </c>
      <c r="I32" s="310" t="str">
        <f>IF(H32="","",VLOOKUP($B32,'C-1 On-Site WaterC'' Baseline'!$C$9:$R$257,8,FALSE))</f>
        <v/>
      </c>
      <c r="J32" s="310" t="str">
        <f>IF(I32="","",VLOOKUP($B32,'C-1 On-Site WaterC'' Baseline'!$C$9:$R$257,9,FALSE))</f>
        <v/>
      </c>
      <c r="K32" s="310" t="str">
        <f>IF(J32="","",VLOOKUP($B32,'C-1 On-Site WaterC'' Baseline'!$C$9:$R$257,10,FALSE))</f>
        <v/>
      </c>
      <c r="L32" s="310" t="str">
        <f>IF(B32="","",VLOOKUP($B32,'C-1 On-Site WaterC'' Baseline'!$C$9:$R$257,15,FALSE))</f>
        <v/>
      </c>
      <c r="M32" s="314" t="str">
        <f>IF(L32="","",VLOOKUP($B32,'C-1 On-Site WaterC'' Baseline'!$C$9:$R$257,16,FALSE))</f>
        <v/>
      </c>
      <c r="N32" s="259"/>
      <c r="O32" s="290" t="str">
        <f t="shared" si="1"/>
        <v/>
      </c>
      <c r="P32" s="291" t="str">
        <f t="shared" si="2"/>
        <v/>
      </c>
      <c r="Q32" s="346" t="str">
        <f>IF(N32="","",VLOOKUP(B32,'C-1 On-Site WaterC'' Baseline'!$C$10:$AC$257,20,FALSE))</f>
        <v/>
      </c>
      <c r="R32" s="290" t="str">
        <f>IF(N32="","",VLOOKUP(N32,'G-7 WaterC'' Data'!$B$2:$G$8,2,FALSE))</f>
        <v/>
      </c>
      <c r="S32" s="291" t="str">
        <f>IFERROR(VLOOKUP(R32,'G-7 WaterC'' Data'!$C$4:$D$8,2,FALSE),"")</f>
        <v/>
      </c>
      <c r="T32" s="95"/>
      <c r="U32" s="291" t="str">
        <f>IFERROR(INDEX('G-7 WaterC'' Data'!$H$4:$L$8,MATCH(N32,'G-7 WaterC'' Data'!$B$4:$B$8,0),MATCH(T32,'G-7 WaterC'' Data'!$H$3:$L$3,0)),"")</f>
        <v/>
      </c>
      <c r="V32" s="95"/>
      <c r="W32" s="298" t="str">
        <f>IF(V32="","",IF(VLOOKUP(V32,'G-7 WaterC'' Data'!$AK$4:$AM$6,2,FALSE)=0,"Spatial Data Missing ⚠",VLOOKUP(V32,'G-7 WaterC'' Data'!$AK$4:$AM$6,2,FALSE)))</f>
        <v/>
      </c>
      <c r="X32" s="291" t="str">
        <f>IF(V32="","",IF(VLOOKUP(V32,'G-7 WaterC'' Data'!$AK$4:$AM$6,3,FALSE)=0,"Spatial Data Missing ⚠",VLOOKUP(V32,'G-7 WaterC'' Data'!$AK$4:$AM$6,3,FALSE)))</f>
        <v/>
      </c>
      <c r="Y32" s="290" t="str">
        <f>IFERROR(IF(OR(LEFT(P32,5)="Error",LEFT(O32,5)="Error ▲"),"Check Data ⚠",IF(F32&lt;S32,'G-7 WaterC'' Data'!$R$3,INDEX('G-7 WaterC'' Data'!$U$5:$Y$9,MATCH(G32,'G-7 WaterC'' Data'!$T$5:$T$9,0),MATCH(T32,'G-7 WaterC'' Data'!$U$4:$Y$4,0)))),"")</f>
        <v/>
      </c>
      <c r="Z32" s="138"/>
      <c r="AA32" s="138"/>
      <c r="AB32" s="298" t="str">
        <f t="shared" si="3"/>
        <v/>
      </c>
      <c r="AC32" s="311" t="str">
        <f t="shared" si="4"/>
        <v/>
      </c>
      <c r="AD32" s="344" t="str">
        <f>IFERROR(IF(AC32="Check Data ⚠","Check Data ⚠",VLOOKUP(AC32,'G-4 Temporal multipliers'!$A$4:$C$37,3,FALSE)),"")</f>
        <v/>
      </c>
      <c r="AE32" s="290" t="str">
        <f>IF(N32="","",VLOOKUP(N32,'G-7 WaterC'' Data'!$B$4:$G$8,5,FALSE))</f>
        <v/>
      </c>
      <c r="AF32" s="298" t="str">
        <f t="shared" si="5"/>
        <v/>
      </c>
      <c r="AG32" s="328" t="str">
        <f t="shared" si="6"/>
        <v/>
      </c>
      <c r="AH32" s="291" t="str">
        <f t="shared" si="0"/>
        <v/>
      </c>
      <c r="AI32" s="103"/>
      <c r="AJ32" s="291" t="str">
        <f>IF(AI32="","",IF(AND(AI32="N/A - Culvert",N32&lt;&gt;"Culvert"),"Not possible ▲",IF(VLOOKUP(AI32,'G-7 WaterC'' Data'!$AA$4:$AB$7,2,FALSE)=0,"Spatial Data Missing ⚠",VLOOKUP(AI32,'G-7 WaterC'' Data'!$AA$4:$AB$7,2,FALSE))))</f>
        <v/>
      </c>
      <c r="AK32" s="104"/>
      <c r="AL32" s="291" t="str">
        <f>IF(AK32="","",IF(AND(AK32="N/A - Culvert",N32&lt;&gt;"Culvert"),"Not possible ▲",IF(VLOOKUP(AK32,'G-7 WaterC'' Data'!$AD$4:$AE$14,2,FALSE)=0,"Spatial Data Missing ⚠",VLOOKUP(AK32,'G-7 WaterC'' Data'!$AD$4:$AE$14,2,FALSE))))</f>
        <v/>
      </c>
      <c r="AM32" s="332" t="str">
        <f t="shared" si="7"/>
        <v/>
      </c>
      <c r="AN32" s="98"/>
      <c r="AO32" s="99"/>
      <c r="AP32" s="101"/>
      <c r="AS32" s="15" t="str">
        <f>IF(B32="","",IF(ISNA(VLOOKUP($B32,'C-1 On-Site WaterC'' Baseline'!$C$8:$AD$257,17,FALSE)),"",(VLOOKUP($B32,'C-1 On-Site WaterC'' Baseline'!$C$8:$AD$257,17,FALSE))))</f>
        <v/>
      </c>
      <c r="AT32" s="15" t="str">
        <f>IF(B32="","",VLOOKUP($B32,'C-1 On-Site WaterC'' Baseline'!$C$9:$Z$257,12,FALSE))</f>
        <v/>
      </c>
      <c r="AU32" s="15" t="str">
        <f>IF(B32="","",VLOOKUP($B32,'C-1 On-Site WaterC'' Baseline'!$C$9:$Z$257,14,FALSE))</f>
        <v/>
      </c>
      <c r="AV32" s="15" t="str">
        <f>IFERROR(INDEX('G-7 WaterC'' Data'!$AZ$3:$AZ$7,MATCH(N32,'G-7 WaterC'' Data'!$AY$3:$AY$7,0)),"")</f>
        <v/>
      </c>
      <c r="AX32" s="15" t="str">
        <f>IF(B32="","",VLOOKUP($B32,'C-1 On-Site WaterC'' Baseline'!$C$9:$Y$257,22,FALSE))</f>
        <v/>
      </c>
      <c r="AY32" s="15" t="str">
        <f t="shared" si="8"/>
        <v/>
      </c>
      <c r="AZ32" s="15" t="str">
        <f>IF(B32="","",VLOOKUP($B32,'C-1 On-Site WaterC'' Baseline'!$C$9:$Y$257,21,FALSE))</f>
        <v/>
      </c>
      <c r="BA32" s="15" t="str">
        <f>IF(B32="","",VLOOKUP($B32,'C-1 On-Site WaterC'' Baseline'!$C$9:$Y$257,19,FALSE))</f>
        <v/>
      </c>
    </row>
    <row r="33" spans="2:53" ht="14" x14ac:dyDescent="0.3">
      <c r="B33" s="319" t="str">
        <f>'C-1 On-Site WaterC'' Baseline'!AP31</f>
        <v/>
      </c>
      <c r="C33" s="310" t="str">
        <f>IF(B33="","",VLOOKUP($B33,'C-1 On-Site WaterC'' Baseline'!$C$9:$R$257,2,FALSE))</f>
        <v/>
      </c>
      <c r="D33" s="310" t="str">
        <f>IF(C33="","",VLOOKUP($B33,'C-1 On-Site WaterC'' Baseline'!$C$9:$R$257,3,FALSE))</f>
        <v/>
      </c>
      <c r="E33" s="310" t="str">
        <f>IF(D33="","",VLOOKUP($B33,'C-1 On-Site WaterC'' Baseline'!$C$9:$R$257,4,FALSE))</f>
        <v/>
      </c>
      <c r="F33" s="310" t="str">
        <f>IF(E33="","",VLOOKUP($B33,'C-1 On-Site WaterC'' Baseline'!$C$9:$R$257,5,FALSE))</f>
        <v/>
      </c>
      <c r="G33" s="310" t="str">
        <f>IF(F33="","",VLOOKUP($B33,'C-1 On-Site WaterC'' Baseline'!$C$9:$R$257,6,FALSE))</f>
        <v/>
      </c>
      <c r="H33" s="310" t="str">
        <f>IF(G33="","",VLOOKUP($B33,'C-1 On-Site WaterC'' Baseline'!$C$9:$R$257,7,FALSE))</f>
        <v/>
      </c>
      <c r="I33" s="310" t="str">
        <f>IF(H33="","",VLOOKUP($B33,'C-1 On-Site WaterC'' Baseline'!$C$9:$R$257,8,FALSE))</f>
        <v/>
      </c>
      <c r="J33" s="310" t="str">
        <f>IF(I33="","",VLOOKUP($B33,'C-1 On-Site WaterC'' Baseline'!$C$9:$R$257,9,FALSE))</f>
        <v/>
      </c>
      <c r="K33" s="310" t="str">
        <f>IF(J33="","",VLOOKUP($B33,'C-1 On-Site WaterC'' Baseline'!$C$9:$R$257,10,FALSE))</f>
        <v/>
      </c>
      <c r="L33" s="310" t="str">
        <f>IF(B33="","",VLOOKUP($B33,'C-1 On-Site WaterC'' Baseline'!$C$9:$R$257,15,FALSE))</f>
        <v/>
      </c>
      <c r="M33" s="314" t="str">
        <f>IF(L33="","",VLOOKUP($B33,'C-1 On-Site WaterC'' Baseline'!$C$9:$R$257,16,FALSE))</f>
        <v/>
      </c>
      <c r="N33" s="259"/>
      <c r="O33" s="290" t="str">
        <f t="shared" si="1"/>
        <v/>
      </c>
      <c r="P33" s="291" t="str">
        <f t="shared" si="2"/>
        <v/>
      </c>
      <c r="Q33" s="346" t="str">
        <f>IF(N33="","",VLOOKUP(B33,'C-1 On-Site WaterC'' Baseline'!$C$10:$AC$257,20,FALSE))</f>
        <v/>
      </c>
      <c r="R33" s="290" t="str">
        <f>IF(N33="","",VLOOKUP(N33,'G-7 WaterC'' Data'!$B$2:$G$8,2,FALSE))</f>
        <v/>
      </c>
      <c r="S33" s="291" t="str">
        <f>IFERROR(VLOOKUP(R33,'G-7 WaterC'' Data'!$C$4:$D$8,2,FALSE),"")</f>
        <v/>
      </c>
      <c r="T33" s="95"/>
      <c r="U33" s="291" t="str">
        <f>IFERROR(INDEX('G-7 WaterC'' Data'!$H$4:$L$8,MATCH(N33,'G-7 WaterC'' Data'!$B$4:$B$8,0),MATCH(T33,'G-7 WaterC'' Data'!$H$3:$L$3,0)),"")</f>
        <v/>
      </c>
      <c r="V33" s="95"/>
      <c r="W33" s="298" t="str">
        <f>IF(V33="","",IF(VLOOKUP(V33,'G-7 WaterC'' Data'!$AK$4:$AM$6,2,FALSE)=0,"Spatial Data Missing ⚠",VLOOKUP(V33,'G-7 WaterC'' Data'!$AK$4:$AM$6,2,FALSE)))</f>
        <v/>
      </c>
      <c r="X33" s="291" t="str">
        <f>IF(V33="","",IF(VLOOKUP(V33,'G-7 WaterC'' Data'!$AK$4:$AM$6,3,FALSE)=0,"Spatial Data Missing ⚠",VLOOKUP(V33,'G-7 WaterC'' Data'!$AK$4:$AM$6,3,FALSE)))</f>
        <v/>
      </c>
      <c r="Y33" s="290" t="str">
        <f>IFERROR(IF(OR(LEFT(P33,5)="Error",LEFT(O33,5)="Error ▲"),"Check Data ⚠",IF(F33&lt;S33,'G-7 WaterC'' Data'!$R$3,INDEX('G-7 WaterC'' Data'!$U$5:$Y$9,MATCH(G33,'G-7 WaterC'' Data'!$T$5:$T$9,0),MATCH(T33,'G-7 WaterC'' Data'!$U$4:$Y$4,0)))),"")</f>
        <v/>
      </c>
      <c r="Z33" s="138"/>
      <c r="AA33" s="138"/>
      <c r="AB33" s="298" t="str">
        <f t="shared" si="3"/>
        <v/>
      </c>
      <c r="AC33" s="311" t="str">
        <f t="shared" si="4"/>
        <v/>
      </c>
      <c r="AD33" s="344" t="str">
        <f>IFERROR(IF(AC33="Check Data ⚠","Check Data ⚠",VLOOKUP(AC33,'G-4 Temporal multipliers'!$A$4:$C$37,3,FALSE)),"")</f>
        <v/>
      </c>
      <c r="AE33" s="290" t="str">
        <f>IF(N33="","",VLOOKUP(N33,'G-7 WaterC'' Data'!$B$4:$G$8,5,FALSE))</f>
        <v/>
      </c>
      <c r="AF33" s="298" t="str">
        <f t="shared" si="5"/>
        <v/>
      </c>
      <c r="AG33" s="328" t="str">
        <f t="shared" si="6"/>
        <v/>
      </c>
      <c r="AH33" s="291" t="str">
        <f t="shared" si="0"/>
        <v/>
      </c>
      <c r="AI33" s="103"/>
      <c r="AJ33" s="291" t="str">
        <f>IF(AI33="","",IF(AND(AI33="N/A - Culvert",N33&lt;&gt;"Culvert"),"Not possible ▲",IF(VLOOKUP(AI33,'G-7 WaterC'' Data'!$AA$4:$AB$7,2,FALSE)=0,"Spatial Data Missing ⚠",VLOOKUP(AI33,'G-7 WaterC'' Data'!$AA$4:$AB$7,2,FALSE))))</f>
        <v/>
      </c>
      <c r="AK33" s="104"/>
      <c r="AL33" s="291" t="str">
        <f>IF(AK33="","",IF(AND(AK33="N/A - Culvert",N33&lt;&gt;"Culvert"),"Not possible ▲",IF(VLOOKUP(AK33,'G-7 WaterC'' Data'!$AD$4:$AE$14,2,FALSE)=0,"Spatial Data Missing ⚠",VLOOKUP(AK33,'G-7 WaterC'' Data'!$AD$4:$AE$14,2,FALSE))))</f>
        <v/>
      </c>
      <c r="AM33" s="332" t="str">
        <f t="shared" si="7"/>
        <v/>
      </c>
      <c r="AN33" s="98"/>
      <c r="AO33" s="99"/>
      <c r="AP33" s="101"/>
      <c r="AS33" s="15" t="str">
        <f>IF(B33="","",IF(ISNA(VLOOKUP($B33,'C-1 On-Site WaterC'' Baseline'!$C$8:$AD$257,17,FALSE)),"",(VLOOKUP($B33,'C-1 On-Site WaterC'' Baseline'!$C$8:$AD$257,17,FALSE))))</f>
        <v/>
      </c>
      <c r="AT33" s="15" t="str">
        <f>IF(B33="","",VLOOKUP($B33,'C-1 On-Site WaterC'' Baseline'!$C$9:$Z$257,12,FALSE))</f>
        <v/>
      </c>
      <c r="AU33" s="15" t="str">
        <f>IF(B33="","",VLOOKUP($B33,'C-1 On-Site WaterC'' Baseline'!$C$9:$Z$257,14,FALSE))</f>
        <v/>
      </c>
      <c r="AV33" s="15" t="str">
        <f>IFERROR(INDEX('G-7 WaterC'' Data'!$AZ$3:$AZ$7,MATCH(N33,'G-7 WaterC'' Data'!$AY$3:$AY$7,0)),"")</f>
        <v/>
      </c>
      <c r="AX33" s="15" t="str">
        <f>IF(B33="","",VLOOKUP($B33,'C-1 On-Site WaterC'' Baseline'!$C$9:$Y$257,22,FALSE))</f>
        <v/>
      </c>
      <c r="AY33" s="15" t="str">
        <f t="shared" si="8"/>
        <v/>
      </c>
      <c r="AZ33" s="15" t="str">
        <f>IF(B33="","",VLOOKUP($B33,'C-1 On-Site WaterC'' Baseline'!$C$9:$Y$257,21,FALSE))</f>
        <v/>
      </c>
      <c r="BA33" s="15" t="str">
        <f>IF(B33="","",VLOOKUP($B33,'C-1 On-Site WaterC'' Baseline'!$C$9:$Y$257,19,FALSE))</f>
        <v/>
      </c>
    </row>
    <row r="34" spans="2:53" ht="14" x14ac:dyDescent="0.3">
      <c r="B34" s="319" t="str">
        <f>'C-1 On-Site WaterC'' Baseline'!AP32</f>
        <v/>
      </c>
      <c r="C34" s="310" t="str">
        <f>IF(B34="","",VLOOKUP($B34,'C-1 On-Site WaterC'' Baseline'!$C$9:$R$257,2,FALSE))</f>
        <v/>
      </c>
      <c r="D34" s="310" t="str">
        <f>IF(C34="","",VLOOKUP($B34,'C-1 On-Site WaterC'' Baseline'!$C$9:$R$257,3,FALSE))</f>
        <v/>
      </c>
      <c r="E34" s="310" t="str">
        <f>IF(D34="","",VLOOKUP($B34,'C-1 On-Site WaterC'' Baseline'!$C$9:$R$257,4,FALSE))</f>
        <v/>
      </c>
      <c r="F34" s="310" t="str">
        <f>IF(E34="","",VLOOKUP($B34,'C-1 On-Site WaterC'' Baseline'!$C$9:$R$257,5,FALSE))</f>
        <v/>
      </c>
      <c r="G34" s="310" t="str">
        <f>IF(F34="","",VLOOKUP($B34,'C-1 On-Site WaterC'' Baseline'!$C$9:$R$257,6,FALSE))</f>
        <v/>
      </c>
      <c r="H34" s="310" t="str">
        <f>IF(G34="","",VLOOKUP($B34,'C-1 On-Site WaterC'' Baseline'!$C$9:$R$257,7,FALSE))</f>
        <v/>
      </c>
      <c r="I34" s="310" t="str">
        <f>IF(H34="","",VLOOKUP($B34,'C-1 On-Site WaterC'' Baseline'!$C$9:$R$257,8,FALSE))</f>
        <v/>
      </c>
      <c r="J34" s="310" t="str">
        <f>IF(I34="","",VLOOKUP($B34,'C-1 On-Site WaterC'' Baseline'!$C$9:$R$257,9,FALSE))</f>
        <v/>
      </c>
      <c r="K34" s="310" t="str">
        <f>IF(J34="","",VLOOKUP($B34,'C-1 On-Site WaterC'' Baseline'!$C$9:$R$257,10,FALSE))</f>
        <v/>
      </c>
      <c r="L34" s="310" t="str">
        <f>IF(B34="","",VLOOKUP($B34,'C-1 On-Site WaterC'' Baseline'!$C$9:$R$257,15,FALSE))</f>
        <v/>
      </c>
      <c r="M34" s="314" t="str">
        <f>IF(L34="","",VLOOKUP($B34,'C-1 On-Site WaterC'' Baseline'!$C$9:$R$257,16,FALSE))</f>
        <v/>
      </c>
      <c r="N34" s="259"/>
      <c r="O34" s="290" t="str">
        <f t="shared" si="1"/>
        <v/>
      </c>
      <c r="P34" s="291" t="str">
        <f t="shared" si="2"/>
        <v/>
      </c>
      <c r="Q34" s="346" t="str">
        <f>IF(N34="","",VLOOKUP(B34,'C-1 On-Site WaterC'' Baseline'!$C$10:$AC$257,20,FALSE))</f>
        <v/>
      </c>
      <c r="R34" s="290" t="str">
        <f>IF(N34="","",VLOOKUP(N34,'G-7 WaterC'' Data'!$B$2:$G$8,2,FALSE))</f>
        <v/>
      </c>
      <c r="S34" s="291" t="str">
        <f>IFERROR(VLOOKUP(R34,'G-7 WaterC'' Data'!$C$4:$D$8,2,FALSE),"")</f>
        <v/>
      </c>
      <c r="T34" s="95"/>
      <c r="U34" s="291" t="str">
        <f>IFERROR(INDEX('G-7 WaterC'' Data'!$H$4:$L$8,MATCH(N34,'G-7 WaterC'' Data'!$B$4:$B$8,0),MATCH(T34,'G-7 WaterC'' Data'!$H$3:$L$3,0)),"")</f>
        <v/>
      </c>
      <c r="V34" s="95"/>
      <c r="W34" s="298" t="str">
        <f>IF(V34="","",IF(VLOOKUP(V34,'G-7 WaterC'' Data'!$AK$4:$AM$6,2,FALSE)=0,"Spatial Data Missing ⚠",VLOOKUP(V34,'G-7 WaterC'' Data'!$AK$4:$AM$6,2,FALSE)))</f>
        <v/>
      </c>
      <c r="X34" s="291" t="str">
        <f>IF(V34="","",IF(VLOOKUP(V34,'G-7 WaterC'' Data'!$AK$4:$AM$6,3,FALSE)=0,"Spatial Data Missing ⚠",VLOOKUP(V34,'G-7 WaterC'' Data'!$AK$4:$AM$6,3,FALSE)))</f>
        <v/>
      </c>
      <c r="Y34" s="290" t="str">
        <f>IFERROR(IF(OR(LEFT(P34,5)="Error",LEFT(O34,5)="Error ▲"),"Check Data ⚠",IF(F34&lt;S34,'G-7 WaterC'' Data'!$R$3,INDEX('G-7 WaterC'' Data'!$U$5:$Y$9,MATCH(G34,'G-7 WaterC'' Data'!$T$5:$T$9,0),MATCH(T34,'G-7 WaterC'' Data'!$U$4:$Y$4,0)))),"")</f>
        <v/>
      </c>
      <c r="Z34" s="138"/>
      <c r="AA34" s="138"/>
      <c r="AB34" s="298" t="str">
        <f t="shared" si="3"/>
        <v/>
      </c>
      <c r="AC34" s="311" t="str">
        <f t="shared" si="4"/>
        <v/>
      </c>
      <c r="AD34" s="344" t="str">
        <f>IFERROR(IF(AC34="Check Data ⚠","Check Data ⚠",VLOOKUP(AC34,'G-4 Temporal multipliers'!$A$4:$C$37,3,FALSE)),"")</f>
        <v/>
      </c>
      <c r="AE34" s="290" t="str">
        <f>IF(N34="","",VLOOKUP(N34,'G-7 WaterC'' Data'!$B$4:$G$8,5,FALSE))</f>
        <v/>
      </c>
      <c r="AF34" s="298" t="str">
        <f t="shared" si="5"/>
        <v/>
      </c>
      <c r="AG34" s="328" t="str">
        <f t="shared" si="6"/>
        <v/>
      </c>
      <c r="AH34" s="291" t="str">
        <f t="shared" si="0"/>
        <v/>
      </c>
      <c r="AI34" s="103"/>
      <c r="AJ34" s="291" t="str">
        <f>IF(AI34="","",IF(AND(AI34="N/A - Culvert",N34&lt;&gt;"Culvert"),"Not possible ▲",IF(VLOOKUP(AI34,'G-7 WaterC'' Data'!$AA$4:$AB$7,2,FALSE)=0,"Spatial Data Missing ⚠",VLOOKUP(AI34,'G-7 WaterC'' Data'!$AA$4:$AB$7,2,FALSE))))</f>
        <v/>
      </c>
      <c r="AK34" s="104"/>
      <c r="AL34" s="291" t="str">
        <f>IF(AK34="","",IF(AND(AK34="N/A - Culvert",N34&lt;&gt;"Culvert"),"Not possible ▲",IF(VLOOKUP(AK34,'G-7 WaterC'' Data'!$AD$4:$AE$14,2,FALSE)=0,"Spatial Data Missing ⚠",VLOOKUP(AK34,'G-7 WaterC'' Data'!$AD$4:$AE$14,2,FALSE))))</f>
        <v/>
      </c>
      <c r="AM34" s="332" t="str">
        <f t="shared" si="7"/>
        <v/>
      </c>
      <c r="AN34" s="98"/>
      <c r="AO34" s="99"/>
      <c r="AP34" s="101"/>
      <c r="AS34" s="15" t="str">
        <f>IF(B34="","",IF(ISNA(VLOOKUP($B34,'C-1 On-Site WaterC'' Baseline'!$C$8:$AD$257,17,FALSE)),"",(VLOOKUP($B34,'C-1 On-Site WaterC'' Baseline'!$C$8:$AD$257,17,FALSE))))</f>
        <v/>
      </c>
      <c r="AT34" s="15" t="str">
        <f>IF(B34="","",VLOOKUP($B34,'C-1 On-Site WaterC'' Baseline'!$C$9:$Z$257,12,FALSE))</f>
        <v/>
      </c>
      <c r="AU34" s="15" t="str">
        <f>IF(B34="","",VLOOKUP($B34,'C-1 On-Site WaterC'' Baseline'!$C$9:$Z$257,14,FALSE))</f>
        <v/>
      </c>
      <c r="AV34" s="15" t="str">
        <f>IFERROR(INDEX('G-7 WaterC'' Data'!$AZ$3:$AZ$7,MATCH(N34,'G-7 WaterC'' Data'!$AY$3:$AY$7,0)),"")</f>
        <v/>
      </c>
      <c r="AX34" s="15" t="str">
        <f>IF(B34="","",VLOOKUP($B34,'C-1 On-Site WaterC'' Baseline'!$C$9:$Y$257,22,FALSE))</f>
        <v/>
      </c>
      <c r="AY34" s="15" t="str">
        <f t="shared" si="8"/>
        <v/>
      </c>
      <c r="AZ34" s="15" t="str">
        <f>IF(B34="","",VLOOKUP($B34,'C-1 On-Site WaterC'' Baseline'!$C$9:$Y$257,21,FALSE))</f>
        <v/>
      </c>
      <c r="BA34" s="15" t="str">
        <f>IF(B34="","",VLOOKUP($B34,'C-1 On-Site WaterC'' Baseline'!$C$9:$Y$257,19,FALSE))</f>
        <v/>
      </c>
    </row>
    <row r="35" spans="2:53" ht="14" x14ac:dyDescent="0.3">
      <c r="B35" s="319" t="str">
        <f>'C-1 On-Site WaterC'' Baseline'!AP33</f>
        <v/>
      </c>
      <c r="C35" s="310" t="str">
        <f>IF(B35="","",VLOOKUP($B35,'C-1 On-Site WaterC'' Baseline'!$C$9:$R$257,2,FALSE))</f>
        <v/>
      </c>
      <c r="D35" s="310" t="str">
        <f>IF(C35="","",VLOOKUP($B35,'C-1 On-Site WaterC'' Baseline'!$C$9:$R$257,3,FALSE))</f>
        <v/>
      </c>
      <c r="E35" s="310" t="str">
        <f>IF(D35="","",VLOOKUP($B35,'C-1 On-Site WaterC'' Baseline'!$C$9:$R$257,4,FALSE))</f>
        <v/>
      </c>
      <c r="F35" s="310" t="str">
        <f>IF(E35="","",VLOOKUP($B35,'C-1 On-Site WaterC'' Baseline'!$C$9:$R$257,5,FALSE))</f>
        <v/>
      </c>
      <c r="G35" s="310" t="str">
        <f>IF(F35="","",VLOOKUP($B35,'C-1 On-Site WaterC'' Baseline'!$C$9:$R$257,6,FALSE))</f>
        <v/>
      </c>
      <c r="H35" s="310" t="str">
        <f>IF(G35="","",VLOOKUP($B35,'C-1 On-Site WaterC'' Baseline'!$C$9:$R$257,7,FALSE))</f>
        <v/>
      </c>
      <c r="I35" s="310" t="str">
        <f>IF(H35="","",VLOOKUP($B35,'C-1 On-Site WaterC'' Baseline'!$C$9:$R$257,8,FALSE))</f>
        <v/>
      </c>
      <c r="J35" s="310" t="str">
        <f>IF(I35="","",VLOOKUP($B35,'C-1 On-Site WaterC'' Baseline'!$C$9:$R$257,9,FALSE))</f>
        <v/>
      </c>
      <c r="K35" s="310" t="str">
        <f>IF(J35="","",VLOOKUP($B35,'C-1 On-Site WaterC'' Baseline'!$C$9:$R$257,10,FALSE))</f>
        <v/>
      </c>
      <c r="L35" s="310" t="str">
        <f>IF(B35="","",VLOOKUP($B35,'C-1 On-Site WaterC'' Baseline'!$C$9:$R$257,15,FALSE))</f>
        <v/>
      </c>
      <c r="M35" s="314" t="str">
        <f>IF(L35="","",VLOOKUP($B35,'C-1 On-Site WaterC'' Baseline'!$C$9:$R$257,16,FALSE))</f>
        <v/>
      </c>
      <c r="N35" s="259"/>
      <c r="O35" s="290" t="str">
        <f t="shared" si="1"/>
        <v/>
      </c>
      <c r="P35" s="291" t="str">
        <f t="shared" si="2"/>
        <v/>
      </c>
      <c r="Q35" s="346" t="str">
        <f>IF(N35="","",VLOOKUP(B35,'C-1 On-Site WaterC'' Baseline'!$C$10:$AC$257,20,FALSE))</f>
        <v/>
      </c>
      <c r="R35" s="290" t="str">
        <f>IF(N35="","",VLOOKUP(N35,'G-7 WaterC'' Data'!$B$2:$G$8,2,FALSE))</f>
        <v/>
      </c>
      <c r="S35" s="291" t="str">
        <f>IFERROR(VLOOKUP(R35,'G-7 WaterC'' Data'!$C$4:$D$8,2,FALSE),"")</f>
        <v/>
      </c>
      <c r="T35" s="95"/>
      <c r="U35" s="291" t="str">
        <f>IFERROR(INDEX('G-7 WaterC'' Data'!$H$4:$L$8,MATCH(N35,'G-7 WaterC'' Data'!$B$4:$B$8,0),MATCH(T35,'G-7 WaterC'' Data'!$H$3:$L$3,0)),"")</f>
        <v/>
      </c>
      <c r="V35" s="95"/>
      <c r="W35" s="298" t="str">
        <f>IF(V35="","",IF(VLOOKUP(V35,'G-7 WaterC'' Data'!$AK$4:$AM$6,2,FALSE)=0,"Spatial Data Missing ⚠",VLOOKUP(V35,'G-7 WaterC'' Data'!$AK$4:$AM$6,2,FALSE)))</f>
        <v/>
      </c>
      <c r="X35" s="291" t="str">
        <f>IF(V35="","",IF(VLOOKUP(V35,'G-7 WaterC'' Data'!$AK$4:$AM$6,3,FALSE)=0,"Spatial Data Missing ⚠",VLOOKUP(V35,'G-7 WaterC'' Data'!$AK$4:$AM$6,3,FALSE)))</f>
        <v/>
      </c>
      <c r="Y35" s="290" t="str">
        <f>IFERROR(IF(OR(LEFT(P35,5)="Error",LEFT(O35,5)="Error ▲"),"Check Data ⚠",IF(F35&lt;S35,'G-7 WaterC'' Data'!$R$3,INDEX('G-7 WaterC'' Data'!$U$5:$Y$9,MATCH(G35,'G-7 WaterC'' Data'!$T$5:$T$9,0),MATCH(T35,'G-7 WaterC'' Data'!$U$4:$Y$4,0)))),"")</f>
        <v/>
      </c>
      <c r="Z35" s="138"/>
      <c r="AA35" s="138"/>
      <c r="AB35" s="298" t="str">
        <f t="shared" si="3"/>
        <v/>
      </c>
      <c r="AC35" s="311" t="str">
        <f t="shared" si="4"/>
        <v/>
      </c>
      <c r="AD35" s="344" t="str">
        <f>IFERROR(IF(AC35="Check Data ⚠","Check Data ⚠",VLOOKUP(AC35,'G-4 Temporal multipliers'!$A$4:$C$37,3,FALSE)),"")</f>
        <v/>
      </c>
      <c r="AE35" s="290" t="str">
        <f>IF(N35="","",VLOOKUP(N35,'G-7 WaterC'' Data'!$B$4:$G$8,5,FALSE))</f>
        <v/>
      </c>
      <c r="AF35" s="298" t="str">
        <f t="shared" si="5"/>
        <v/>
      </c>
      <c r="AG35" s="328" t="str">
        <f t="shared" si="6"/>
        <v/>
      </c>
      <c r="AH35" s="291" t="str">
        <f t="shared" si="0"/>
        <v/>
      </c>
      <c r="AI35" s="103"/>
      <c r="AJ35" s="291" t="str">
        <f>IF(AI35="","",IF(AND(AI35="N/A - Culvert",N35&lt;&gt;"Culvert"),"Not possible ▲",IF(VLOOKUP(AI35,'G-7 WaterC'' Data'!$AA$4:$AB$7,2,FALSE)=0,"Spatial Data Missing ⚠",VLOOKUP(AI35,'G-7 WaterC'' Data'!$AA$4:$AB$7,2,FALSE))))</f>
        <v/>
      </c>
      <c r="AK35" s="104"/>
      <c r="AL35" s="291" t="str">
        <f>IF(AK35="","",IF(AND(AK35="N/A - Culvert",N35&lt;&gt;"Culvert"),"Not possible ▲",IF(VLOOKUP(AK35,'G-7 WaterC'' Data'!$AD$4:$AE$14,2,FALSE)=0,"Spatial Data Missing ⚠",VLOOKUP(AK35,'G-7 WaterC'' Data'!$AD$4:$AE$14,2,FALSE))))</f>
        <v/>
      </c>
      <c r="AM35" s="332" t="str">
        <f t="shared" si="7"/>
        <v/>
      </c>
      <c r="AN35" s="98"/>
      <c r="AO35" s="99"/>
      <c r="AP35" s="101"/>
      <c r="AS35" s="15" t="str">
        <f>IF(B35="","",IF(ISNA(VLOOKUP($B35,'C-1 On-Site WaterC'' Baseline'!$C$8:$AD$257,17,FALSE)),"",(VLOOKUP($B35,'C-1 On-Site WaterC'' Baseline'!$C$8:$AD$257,17,FALSE))))</f>
        <v/>
      </c>
      <c r="AT35" s="15" t="str">
        <f>IF(B35="","",VLOOKUP($B35,'C-1 On-Site WaterC'' Baseline'!$C$9:$Z$257,12,FALSE))</f>
        <v/>
      </c>
      <c r="AU35" s="15" t="str">
        <f>IF(B35="","",VLOOKUP($B35,'C-1 On-Site WaterC'' Baseline'!$C$9:$Z$257,14,FALSE))</f>
        <v/>
      </c>
      <c r="AV35" s="15" t="str">
        <f>IFERROR(INDEX('G-7 WaterC'' Data'!$AZ$3:$AZ$7,MATCH(N35,'G-7 WaterC'' Data'!$AY$3:$AY$7,0)),"")</f>
        <v/>
      </c>
      <c r="AX35" s="15" t="str">
        <f>IF(B35="","",VLOOKUP($B35,'C-1 On-Site WaterC'' Baseline'!$C$9:$Y$257,22,FALSE))</f>
        <v/>
      </c>
      <c r="AY35" s="15" t="str">
        <f t="shared" si="8"/>
        <v/>
      </c>
      <c r="AZ35" s="15" t="str">
        <f>IF(B35="","",VLOOKUP($B35,'C-1 On-Site WaterC'' Baseline'!$C$9:$Y$257,21,FALSE))</f>
        <v/>
      </c>
      <c r="BA35" s="15" t="str">
        <f>IF(B35="","",VLOOKUP($B35,'C-1 On-Site WaterC'' Baseline'!$C$9:$Y$257,19,FALSE))</f>
        <v/>
      </c>
    </row>
    <row r="36" spans="2:53" ht="14" x14ac:dyDescent="0.3">
      <c r="B36" s="319" t="str">
        <f>'C-1 On-Site WaterC'' Baseline'!AP34</f>
        <v/>
      </c>
      <c r="C36" s="310" t="str">
        <f>IF(B36="","",VLOOKUP($B36,'C-1 On-Site WaterC'' Baseline'!$C$9:$R$257,2,FALSE))</f>
        <v/>
      </c>
      <c r="D36" s="310" t="str">
        <f>IF(C36="","",VLOOKUP($B36,'C-1 On-Site WaterC'' Baseline'!$C$9:$R$257,3,FALSE))</f>
        <v/>
      </c>
      <c r="E36" s="310" t="str">
        <f>IF(D36="","",VLOOKUP($B36,'C-1 On-Site WaterC'' Baseline'!$C$9:$R$257,4,FALSE))</f>
        <v/>
      </c>
      <c r="F36" s="310" t="str">
        <f>IF(E36="","",VLOOKUP($B36,'C-1 On-Site WaterC'' Baseline'!$C$9:$R$257,5,FALSE))</f>
        <v/>
      </c>
      <c r="G36" s="310" t="str">
        <f>IF(F36="","",VLOOKUP($B36,'C-1 On-Site WaterC'' Baseline'!$C$9:$R$257,6,FALSE))</f>
        <v/>
      </c>
      <c r="H36" s="310" t="str">
        <f>IF(G36="","",VLOOKUP($B36,'C-1 On-Site WaterC'' Baseline'!$C$9:$R$257,7,FALSE))</f>
        <v/>
      </c>
      <c r="I36" s="310" t="str">
        <f>IF(H36="","",VLOOKUP($B36,'C-1 On-Site WaterC'' Baseline'!$C$9:$R$257,8,FALSE))</f>
        <v/>
      </c>
      <c r="J36" s="310" t="str">
        <f>IF(I36="","",VLOOKUP($B36,'C-1 On-Site WaterC'' Baseline'!$C$9:$R$257,9,FALSE))</f>
        <v/>
      </c>
      <c r="K36" s="310" t="str">
        <f>IF(J36="","",VLOOKUP($B36,'C-1 On-Site WaterC'' Baseline'!$C$9:$R$257,10,FALSE))</f>
        <v/>
      </c>
      <c r="L36" s="310" t="str">
        <f>IF(B36="","",VLOOKUP($B36,'C-1 On-Site WaterC'' Baseline'!$C$9:$R$257,15,FALSE))</f>
        <v/>
      </c>
      <c r="M36" s="314" t="str">
        <f>IF(L36="","",VLOOKUP($B36,'C-1 On-Site WaterC'' Baseline'!$C$9:$R$257,16,FALSE))</f>
        <v/>
      </c>
      <c r="N36" s="259"/>
      <c r="O36" s="290" t="str">
        <f t="shared" si="1"/>
        <v/>
      </c>
      <c r="P36" s="291" t="str">
        <f t="shared" si="2"/>
        <v/>
      </c>
      <c r="Q36" s="346" t="str">
        <f>IF(N36="","",VLOOKUP(B36,'C-1 On-Site WaterC'' Baseline'!$C$10:$AC$257,20,FALSE))</f>
        <v/>
      </c>
      <c r="R36" s="290" t="str">
        <f>IF(N36="","",VLOOKUP(N36,'G-7 WaterC'' Data'!$B$2:$G$8,2,FALSE))</f>
        <v/>
      </c>
      <c r="S36" s="291" t="str">
        <f>IFERROR(VLOOKUP(R36,'G-7 WaterC'' Data'!$C$4:$D$8,2,FALSE),"")</f>
        <v/>
      </c>
      <c r="T36" s="95"/>
      <c r="U36" s="291" t="str">
        <f>IFERROR(INDEX('G-7 WaterC'' Data'!$H$4:$L$8,MATCH(N36,'G-7 WaterC'' Data'!$B$4:$B$8,0),MATCH(T36,'G-7 WaterC'' Data'!$H$3:$L$3,0)),"")</f>
        <v/>
      </c>
      <c r="V36" s="95"/>
      <c r="W36" s="298" t="str">
        <f>IF(V36="","",IF(VLOOKUP(V36,'G-7 WaterC'' Data'!$AK$4:$AM$6,2,FALSE)=0,"Spatial Data Missing ⚠",VLOOKUP(V36,'G-7 WaterC'' Data'!$AK$4:$AM$6,2,FALSE)))</f>
        <v/>
      </c>
      <c r="X36" s="291" t="str">
        <f>IF(V36="","",IF(VLOOKUP(V36,'G-7 WaterC'' Data'!$AK$4:$AM$6,3,FALSE)=0,"Spatial Data Missing ⚠",VLOOKUP(V36,'G-7 WaterC'' Data'!$AK$4:$AM$6,3,FALSE)))</f>
        <v/>
      </c>
      <c r="Y36" s="290" t="str">
        <f>IFERROR(IF(OR(LEFT(P36,5)="Error",LEFT(O36,5)="Error ▲"),"Check Data ⚠",IF(F36&lt;S36,'G-7 WaterC'' Data'!$R$3,INDEX('G-7 WaterC'' Data'!$U$5:$Y$9,MATCH(G36,'G-7 WaterC'' Data'!$T$5:$T$9,0),MATCH(T36,'G-7 WaterC'' Data'!$U$4:$Y$4,0)))),"")</f>
        <v/>
      </c>
      <c r="Z36" s="138"/>
      <c r="AA36" s="138"/>
      <c r="AB36" s="298" t="str">
        <f t="shared" si="3"/>
        <v/>
      </c>
      <c r="AC36" s="311" t="str">
        <f t="shared" si="4"/>
        <v/>
      </c>
      <c r="AD36" s="344" t="str">
        <f>IFERROR(IF(AC36="Check Data ⚠","Check Data ⚠",VLOOKUP(AC36,'G-4 Temporal multipliers'!$A$4:$C$37,3,FALSE)),"")</f>
        <v/>
      </c>
      <c r="AE36" s="290" t="str">
        <f>IF(N36="","",VLOOKUP(N36,'G-7 WaterC'' Data'!$B$4:$G$8,5,FALSE))</f>
        <v/>
      </c>
      <c r="AF36" s="298" t="str">
        <f t="shared" si="5"/>
        <v/>
      </c>
      <c r="AG36" s="328" t="str">
        <f t="shared" si="6"/>
        <v/>
      </c>
      <c r="AH36" s="291" t="str">
        <f t="shared" si="0"/>
        <v/>
      </c>
      <c r="AI36" s="103"/>
      <c r="AJ36" s="291" t="str">
        <f>IF(AI36="","",IF(AND(AI36="N/A - Culvert",N36&lt;&gt;"Culvert"),"Not possible ▲",IF(VLOOKUP(AI36,'G-7 WaterC'' Data'!$AA$4:$AB$7,2,FALSE)=0,"Spatial Data Missing ⚠",VLOOKUP(AI36,'G-7 WaterC'' Data'!$AA$4:$AB$7,2,FALSE))))</f>
        <v/>
      </c>
      <c r="AK36" s="104"/>
      <c r="AL36" s="291" t="str">
        <f>IF(AK36="","",IF(AND(AK36="N/A - Culvert",N36&lt;&gt;"Culvert"),"Not possible ▲",IF(VLOOKUP(AK36,'G-7 WaterC'' Data'!$AD$4:$AE$14,2,FALSE)=0,"Spatial Data Missing ⚠",VLOOKUP(AK36,'G-7 WaterC'' Data'!$AD$4:$AE$14,2,FALSE))))</f>
        <v/>
      </c>
      <c r="AM36" s="332" t="str">
        <f t="shared" si="7"/>
        <v/>
      </c>
      <c r="AN36" s="98"/>
      <c r="AO36" s="99"/>
      <c r="AP36" s="101"/>
      <c r="AS36" s="15" t="str">
        <f>IF(B36="","",IF(ISNA(VLOOKUP($B36,'C-1 On-Site WaterC'' Baseline'!$C$8:$AD$257,17,FALSE)),"",(VLOOKUP($B36,'C-1 On-Site WaterC'' Baseline'!$C$8:$AD$257,17,FALSE))))</f>
        <v/>
      </c>
      <c r="AT36" s="15" t="str">
        <f>IF(B36="","",VLOOKUP($B36,'C-1 On-Site WaterC'' Baseline'!$C$9:$Z$257,12,FALSE))</f>
        <v/>
      </c>
      <c r="AU36" s="15" t="str">
        <f>IF(B36="","",VLOOKUP($B36,'C-1 On-Site WaterC'' Baseline'!$C$9:$Z$257,14,FALSE))</f>
        <v/>
      </c>
      <c r="AV36" s="15" t="str">
        <f>IFERROR(INDEX('G-7 WaterC'' Data'!$AZ$3:$AZ$7,MATCH(N36,'G-7 WaterC'' Data'!$AY$3:$AY$7,0)),"")</f>
        <v/>
      </c>
      <c r="AX36" s="15" t="str">
        <f>IF(B36="","",VLOOKUP($B36,'C-1 On-Site WaterC'' Baseline'!$C$9:$Y$257,22,FALSE))</f>
        <v/>
      </c>
      <c r="AY36" s="15" t="str">
        <f t="shared" si="8"/>
        <v/>
      </c>
      <c r="AZ36" s="15" t="str">
        <f>IF(B36="","",VLOOKUP($B36,'C-1 On-Site WaterC'' Baseline'!$C$9:$Y$257,21,FALSE))</f>
        <v/>
      </c>
      <c r="BA36" s="15" t="str">
        <f>IF(B36="","",VLOOKUP($B36,'C-1 On-Site WaterC'' Baseline'!$C$9:$Y$257,19,FALSE))</f>
        <v/>
      </c>
    </row>
    <row r="37" spans="2:53" ht="14" x14ac:dyDescent="0.3">
      <c r="B37" s="319" t="str">
        <f>'C-1 On-Site WaterC'' Baseline'!AP35</f>
        <v/>
      </c>
      <c r="C37" s="310" t="str">
        <f>IF(B37="","",VLOOKUP($B37,'C-1 On-Site WaterC'' Baseline'!$C$9:$R$257,2,FALSE))</f>
        <v/>
      </c>
      <c r="D37" s="310" t="str">
        <f>IF(C37="","",VLOOKUP($B37,'C-1 On-Site WaterC'' Baseline'!$C$9:$R$257,3,FALSE))</f>
        <v/>
      </c>
      <c r="E37" s="310" t="str">
        <f>IF(D37="","",VLOOKUP($B37,'C-1 On-Site WaterC'' Baseline'!$C$9:$R$257,4,FALSE))</f>
        <v/>
      </c>
      <c r="F37" s="310" t="str">
        <f>IF(E37="","",VLOOKUP($B37,'C-1 On-Site WaterC'' Baseline'!$C$9:$R$257,5,FALSE))</f>
        <v/>
      </c>
      <c r="G37" s="310" t="str">
        <f>IF(F37="","",VLOOKUP($B37,'C-1 On-Site WaterC'' Baseline'!$C$9:$R$257,6,FALSE))</f>
        <v/>
      </c>
      <c r="H37" s="310" t="str">
        <f>IF(G37="","",VLOOKUP($B37,'C-1 On-Site WaterC'' Baseline'!$C$9:$R$257,7,FALSE))</f>
        <v/>
      </c>
      <c r="I37" s="310" t="str">
        <f>IF(H37="","",VLOOKUP($B37,'C-1 On-Site WaterC'' Baseline'!$C$9:$R$257,8,FALSE))</f>
        <v/>
      </c>
      <c r="J37" s="310" t="str">
        <f>IF(I37="","",VLOOKUP($B37,'C-1 On-Site WaterC'' Baseline'!$C$9:$R$257,9,FALSE))</f>
        <v/>
      </c>
      <c r="K37" s="310" t="str">
        <f>IF(J37="","",VLOOKUP($B37,'C-1 On-Site WaterC'' Baseline'!$C$9:$R$257,10,FALSE))</f>
        <v/>
      </c>
      <c r="L37" s="310" t="str">
        <f>IF(B37="","",VLOOKUP($B37,'C-1 On-Site WaterC'' Baseline'!$C$9:$R$257,15,FALSE))</f>
        <v/>
      </c>
      <c r="M37" s="314" t="str">
        <f>IF(L37="","",VLOOKUP($B37,'C-1 On-Site WaterC'' Baseline'!$C$9:$R$257,16,FALSE))</f>
        <v/>
      </c>
      <c r="N37" s="259"/>
      <c r="O37" s="290" t="str">
        <f t="shared" si="1"/>
        <v/>
      </c>
      <c r="P37" s="291" t="str">
        <f t="shared" si="2"/>
        <v/>
      </c>
      <c r="Q37" s="346" t="str">
        <f>IF(N37="","",VLOOKUP(B37,'C-1 On-Site WaterC'' Baseline'!$C$10:$AC$257,20,FALSE))</f>
        <v/>
      </c>
      <c r="R37" s="290" t="str">
        <f>IF(N37="","",VLOOKUP(N37,'G-7 WaterC'' Data'!$B$2:$G$8,2,FALSE))</f>
        <v/>
      </c>
      <c r="S37" s="291" t="str">
        <f>IFERROR(VLOOKUP(R37,'G-7 WaterC'' Data'!$C$4:$D$8,2,FALSE),"")</f>
        <v/>
      </c>
      <c r="T37" s="95"/>
      <c r="U37" s="291" t="str">
        <f>IFERROR(INDEX('G-7 WaterC'' Data'!$H$4:$L$8,MATCH(N37,'G-7 WaterC'' Data'!$B$4:$B$8,0),MATCH(T37,'G-7 WaterC'' Data'!$H$3:$L$3,0)),"")</f>
        <v/>
      </c>
      <c r="V37" s="95"/>
      <c r="W37" s="298" t="str">
        <f>IF(V37="","",IF(VLOOKUP(V37,'G-7 WaterC'' Data'!$AK$4:$AM$6,2,FALSE)=0,"Spatial Data Missing ⚠",VLOOKUP(V37,'G-7 WaterC'' Data'!$AK$4:$AM$6,2,FALSE)))</f>
        <v/>
      </c>
      <c r="X37" s="291" t="str">
        <f>IF(V37="","",IF(VLOOKUP(V37,'G-7 WaterC'' Data'!$AK$4:$AM$6,3,FALSE)=0,"Spatial Data Missing ⚠",VLOOKUP(V37,'G-7 WaterC'' Data'!$AK$4:$AM$6,3,FALSE)))</f>
        <v/>
      </c>
      <c r="Y37" s="290" t="str">
        <f>IFERROR(IF(OR(LEFT(P37,5)="Error",LEFT(O37,5)="Error ▲"),"Check Data ⚠",IF(F37&lt;S37,'G-7 WaterC'' Data'!$R$3,INDEX('G-7 WaterC'' Data'!$U$5:$Y$9,MATCH(G37,'G-7 WaterC'' Data'!$T$5:$T$9,0),MATCH(T37,'G-7 WaterC'' Data'!$U$4:$Y$4,0)))),"")</f>
        <v/>
      </c>
      <c r="Z37" s="138"/>
      <c r="AA37" s="138"/>
      <c r="AB37" s="298" t="str">
        <f t="shared" si="3"/>
        <v/>
      </c>
      <c r="AC37" s="311" t="str">
        <f t="shared" si="4"/>
        <v/>
      </c>
      <c r="AD37" s="344" t="str">
        <f>IFERROR(IF(AC37="Check Data ⚠","Check Data ⚠",VLOOKUP(AC37,'G-4 Temporal multipliers'!$A$4:$C$37,3,FALSE)),"")</f>
        <v/>
      </c>
      <c r="AE37" s="290" t="str">
        <f>IF(N37="","",VLOOKUP(N37,'G-7 WaterC'' Data'!$B$4:$G$8,5,FALSE))</f>
        <v/>
      </c>
      <c r="AF37" s="298" t="str">
        <f t="shared" si="5"/>
        <v/>
      </c>
      <c r="AG37" s="328" t="str">
        <f t="shared" si="6"/>
        <v/>
      </c>
      <c r="AH37" s="291" t="str">
        <f t="shared" si="0"/>
        <v/>
      </c>
      <c r="AI37" s="103"/>
      <c r="AJ37" s="291" t="str">
        <f>IF(AI37="","",IF(AND(AI37="N/A - Culvert",N37&lt;&gt;"Culvert"),"Not possible ▲",IF(VLOOKUP(AI37,'G-7 WaterC'' Data'!$AA$4:$AB$7,2,FALSE)=0,"Spatial Data Missing ⚠",VLOOKUP(AI37,'G-7 WaterC'' Data'!$AA$4:$AB$7,2,FALSE))))</f>
        <v/>
      </c>
      <c r="AK37" s="104"/>
      <c r="AL37" s="291" t="str">
        <f>IF(AK37="","",IF(AND(AK37="N/A - Culvert",N37&lt;&gt;"Culvert"),"Not possible ▲",IF(VLOOKUP(AK37,'G-7 WaterC'' Data'!$AD$4:$AE$14,2,FALSE)=0,"Spatial Data Missing ⚠",VLOOKUP(AK37,'G-7 WaterC'' Data'!$AD$4:$AE$14,2,FALSE))))</f>
        <v/>
      </c>
      <c r="AM37" s="332" t="str">
        <f t="shared" si="7"/>
        <v/>
      </c>
      <c r="AN37" s="98"/>
      <c r="AO37" s="99"/>
      <c r="AP37" s="101"/>
      <c r="AS37" s="15" t="str">
        <f>IF(B37="","",IF(ISNA(VLOOKUP($B37,'C-1 On-Site WaterC'' Baseline'!$C$8:$AD$257,17,FALSE)),"",(VLOOKUP($B37,'C-1 On-Site WaterC'' Baseline'!$C$8:$AD$257,17,FALSE))))</f>
        <v/>
      </c>
      <c r="AT37" s="15" t="str">
        <f>IF(B37="","",VLOOKUP($B37,'C-1 On-Site WaterC'' Baseline'!$C$9:$Z$257,12,FALSE))</f>
        <v/>
      </c>
      <c r="AU37" s="15" t="str">
        <f>IF(B37="","",VLOOKUP($B37,'C-1 On-Site WaterC'' Baseline'!$C$9:$Z$257,14,FALSE))</f>
        <v/>
      </c>
      <c r="AV37" s="15" t="str">
        <f>IFERROR(INDEX('G-7 WaterC'' Data'!$AZ$3:$AZ$7,MATCH(N37,'G-7 WaterC'' Data'!$AY$3:$AY$7,0)),"")</f>
        <v/>
      </c>
      <c r="AX37" s="15" t="str">
        <f>IF(B37="","",VLOOKUP($B37,'C-1 On-Site WaterC'' Baseline'!$C$9:$Y$257,22,FALSE))</f>
        <v/>
      </c>
      <c r="AY37" s="15" t="str">
        <f t="shared" si="8"/>
        <v/>
      </c>
      <c r="AZ37" s="15" t="str">
        <f>IF(B37="","",VLOOKUP($B37,'C-1 On-Site WaterC'' Baseline'!$C$9:$Y$257,21,FALSE))</f>
        <v/>
      </c>
      <c r="BA37" s="15" t="str">
        <f>IF(B37="","",VLOOKUP($B37,'C-1 On-Site WaterC'' Baseline'!$C$9:$Y$257,19,FALSE))</f>
        <v/>
      </c>
    </row>
    <row r="38" spans="2:53" ht="14" x14ac:dyDescent="0.3">
      <c r="B38" s="319" t="str">
        <f>'C-1 On-Site WaterC'' Baseline'!AP36</f>
        <v/>
      </c>
      <c r="C38" s="310" t="str">
        <f>IF(B38="","",VLOOKUP($B38,'C-1 On-Site WaterC'' Baseline'!$C$9:$R$257,2,FALSE))</f>
        <v/>
      </c>
      <c r="D38" s="310" t="str">
        <f>IF(C38="","",VLOOKUP($B38,'C-1 On-Site WaterC'' Baseline'!$C$9:$R$257,3,FALSE))</f>
        <v/>
      </c>
      <c r="E38" s="310" t="str">
        <f>IF(D38="","",VLOOKUP($B38,'C-1 On-Site WaterC'' Baseline'!$C$9:$R$257,4,FALSE))</f>
        <v/>
      </c>
      <c r="F38" s="310" t="str">
        <f>IF(E38="","",VLOOKUP($B38,'C-1 On-Site WaterC'' Baseline'!$C$9:$R$257,5,FALSE))</f>
        <v/>
      </c>
      <c r="G38" s="310" t="str">
        <f>IF(F38="","",VLOOKUP($B38,'C-1 On-Site WaterC'' Baseline'!$C$9:$R$257,6,FALSE))</f>
        <v/>
      </c>
      <c r="H38" s="310" t="str">
        <f>IF(G38="","",VLOOKUP($B38,'C-1 On-Site WaterC'' Baseline'!$C$9:$R$257,7,FALSE))</f>
        <v/>
      </c>
      <c r="I38" s="310" t="str">
        <f>IF(H38="","",VLOOKUP($B38,'C-1 On-Site WaterC'' Baseline'!$C$9:$R$257,8,FALSE))</f>
        <v/>
      </c>
      <c r="J38" s="310" t="str">
        <f>IF(I38="","",VLOOKUP($B38,'C-1 On-Site WaterC'' Baseline'!$C$9:$R$257,9,FALSE))</f>
        <v/>
      </c>
      <c r="K38" s="310" t="str">
        <f>IF(J38="","",VLOOKUP($B38,'C-1 On-Site WaterC'' Baseline'!$C$9:$R$257,10,FALSE))</f>
        <v/>
      </c>
      <c r="L38" s="310" t="str">
        <f>IF(B38="","",VLOOKUP($B38,'C-1 On-Site WaterC'' Baseline'!$C$9:$R$257,15,FALSE))</f>
        <v/>
      </c>
      <c r="M38" s="314" t="str">
        <f>IF(L38="","",VLOOKUP($B38,'C-1 On-Site WaterC'' Baseline'!$C$9:$R$257,16,FALSE))</f>
        <v/>
      </c>
      <c r="N38" s="259"/>
      <c r="O38" s="290" t="str">
        <f t="shared" si="1"/>
        <v/>
      </c>
      <c r="P38" s="291" t="str">
        <f t="shared" si="2"/>
        <v/>
      </c>
      <c r="Q38" s="346" t="str">
        <f>IF(N38="","",VLOOKUP(B38,'C-1 On-Site WaterC'' Baseline'!$C$10:$AC$257,20,FALSE))</f>
        <v/>
      </c>
      <c r="R38" s="290" t="str">
        <f>IF(N38="","",VLOOKUP(N38,'G-7 WaterC'' Data'!$B$2:$G$8,2,FALSE))</f>
        <v/>
      </c>
      <c r="S38" s="291" t="str">
        <f>IFERROR(VLOOKUP(R38,'G-7 WaterC'' Data'!$C$4:$D$8,2,FALSE),"")</f>
        <v/>
      </c>
      <c r="T38" s="95"/>
      <c r="U38" s="291" t="str">
        <f>IFERROR(INDEX('G-7 WaterC'' Data'!$H$4:$L$8,MATCH(N38,'G-7 WaterC'' Data'!$B$4:$B$8,0),MATCH(T38,'G-7 WaterC'' Data'!$H$3:$L$3,0)),"")</f>
        <v/>
      </c>
      <c r="V38" s="95"/>
      <c r="W38" s="298" t="str">
        <f>IF(V38="","",IF(VLOOKUP(V38,'G-7 WaterC'' Data'!$AK$4:$AM$6,2,FALSE)=0,"Spatial Data Missing ⚠",VLOOKUP(V38,'G-7 WaterC'' Data'!$AK$4:$AM$6,2,FALSE)))</f>
        <v/>
      </c>
      <c r="X38" s="291" t="str">
        <f>IF(V38="","",IF(VLOOKUP(V38,'G-7 WaterC'' Data'!$AK$4:$AM$6,3,FALSE)=0,"Spatial Data Missing ⚠",VLOOKUP(V38,'G-7 WaterC'' Data'!$AK$4:$AM$6,3,FALSE)))</f>
        <v/>
      </c>
      <c r="Y38" s="290" t="str">
        <f>IFERROR(IF(OR(LEFT(P38,5)="Error",LEFT(O38,5)="Error ▲"),"Check Data ⚠",IF(F38&lt;S38,'G-7 WaterC'' Data'!$R$3,INDEX('G-7 WaterC'' Data'!$U$5:$Y$9,MATCH(G38,'G-7 WaterC'' Data'!$T$5:$T$9,0),MATCH(T38,'G-7 WaterC'' Data'!$U$4:$Y$4,0)))),"")</f>
        <v/>
      </c>
      <c r="Z38" s="138"/>
      <c r="AA38" s="138"/>
      <c r="AB38" s="298" t="str">
        <f t="shared" si="3"/>
        <v/>
      </c>
      <c r="AC38" s="311" t="str">
        <f t="shared" si="4"/>
        <v/>
      </c>
      <c r="AD38" s="344" t="str">
        <f>IFERROR(IF(AC38="Check Data ⚠","Check Data ⚠",VLOOKUP(AC38,'G-4 Temporal multipliers'!$A$4:$C$37,3,FALSE)),"")</f>
        <v/>
      </c>
      <c r="AE38" s="290" t="str">
        <f>IF(N38="","",VLOOKUP(N38,'G-7 WaterC'' Data'!$B$4:$G$8,5,FALSE))</f>
        <v/>
      </c>
      <c r="AF38" s="298" t="str">
        <f t="shared" si="5"/>
        <v/>
      </c>
      <c r="AG38" s="328" t="str">
        <f t="shared" si="6"/>
        <v/>
      </c>
      <c r="AH38" s="291" t="str">
        <f t="shared" si="0"/>
        <v/>
      </c>
      <c r="AI38" s="103"/>
      <c r="AJ38" s="291" t="str">
        <f>IF(AI38="","",IF(AND(AI38="N/A - Culvert",N38&lt;&gt;"Culvert"),"Not possible ▲",IF(VLOOKUP(AI38,'G-7 WaterC'' Data'!$AA$4:$AB$7,2,FALSE)=0,"Spatial Data Missing ⚠",VLOOKUP(AI38,'G-7 WaterC'' Data'!$AA$4:$AB$7,2,FALSE))))</f>
        <v/>
      </c>
      <c r="AK38" s="104"/>
      <c r="AL38" s="291" t="str">
        <f>IF(AK38="","",IF(AND(AK38="N/A - Culvert",N38&lt;&gt;"Culvert"),"Not possible ▲",IF(VLOOKUP(AK38,'G-7 WaterC'' Data'!$AD$4:$AE$14,2,FALSE)=0,"Spatial Data Missing ⚠",VLOOKUP(AK38,'G-7 WaterC'' Data'!$AD$4:$AE$14,2,FALSE))))</f>
        <v/>
      </c>
      <c r="AM38" s="332" t="str">
        <f t="shared" si="7"/>
        <v/>
      </c>
      <c r="AN38" s="98"/>
      <c r="AO38" s="99"/>
      <c r="AP38" s="101"/>
      <c r="AS38" s="15" t="str">
        <f>IF(B38="","",IF(ISNA(VLOOKUP($B38,'C-1 On-Site WaterC'' Baseline'!$C$8:$AD$257,17,FALSE)),"",(VLOOKUP($B38,'C-1 On-Site WaterC'' Baseline'!$C$8:$AD$257,17,FALSE))))</f>
        <v/>
      </c>
      <c r="AT38" s="15" t="str">
        <f>IF(B38="","",VLOOKUP($B38,'C-1 On-Site WaterC'' Baseline'!$C$9:$Z$257,12,FALSE))</f>
        <v/>
      </c>
      <c r="AU38" s="15" t="str">
        <f>IF(B38="","",VLOOKUP($B38,'C-1 On-Site WaterC'' Baseline'!$C$9:$Z$257,14,FALSE))</f>
        <v/>
      </c>
      <c r="AV38" s="15" t="str">
        <f>IFERROR(INDEX('G-7 WaterC'' Data'!$AZ$3:$AZ$7,MATCH(N38,'G-7 WaterC'' Data'!$AY$3:$AY$7,0)),"")</f>
        <v/>
      </c>
      <c r="AX38" s="15" t="str">
        <f>IF(B38="","",VLOOKUP($B38,'C-1 On-Site WaterC'' Baseline'!$C$9:$Y$257,22,FALSE))</f>
        <v/>
      </c>
      <c r="AY38" s="15" t="str">
        <f t="shared" si="8"/>
        <v/>
      </c>
      <c r="AZ38" s="15" t="str">
        <f>IF(B38="","",VLOOKUP($B38,'C-1 On-Site WaterC'' Baseline'!$C$9:$Y$257,21,FALSE))</f>
        <v/>
      </c>
      <c r="BA38" s="15" t="str">
        <f>IF(B38="","",VLOOKUP($B38,'C-1 On-Site WaterC'' Baseline'!$C$9:$Y$257,19,FALSE))</f>
        <v/>
      </c>
    </row>
    <row r="39" spans="2:53" ht="14" x14ac:dyDescent="0.3">
      <c r="B39" s="319" t="str">
        <f>'C-1 On-Site WaterC'' Baseline'!AP37</f>
        <v/>
      </c>
      <c r="C39" s="310" t="str">
        <f>IF(B39="","",VLOOKUP($B39,'C-1 On-Site WaterC'' Baseline'!$C$9:$R$257,2,FALSE))</f>
        <v/>
      </c>
      <c r="D39" s="310" t="str">
        <f>IF(C39="","",VLOOKUP($B39,'C-1 On-Site WaterC'' Baseline'!$C$9:$R$257,3,FALSE))</f>
        <v/>
      </c>
      <c r="E39" s="310" t="str">
        <f>IF(D39="","",VLOOKUP($B39,'C-1 On-Site WaterC'' Baseline'!$C$9:$R$257,4,FALSE))</f>
        <v/>
      </c>
      <c r="F39" s="310" t="str">
        <f>IF(E39="","",VLOOKUP($B39,'C-1 On-Site WaterC'' Baseline'!$C$9:$R$257,5,FALSE))</f>
        <v/>
      </c>
      <c r="G39" s="310" t="str">
        <f>IF(F39="","",VLOOKUP($B39,'C-1 On-Site WaterC'' Baseline'!$C$9:$R$257,6,FALSE))</f>
        <v/>
      </c>
      <c r="H39" s="310" t="str">
        <f>IF(G39="","",VLOOKUP($B39,'C-1 On-Site WaterC'' Baseline'!$C$9:$R$257,7,FALSE))</f>
        <v/>
      </c>
      <c r="I39" s="310" t="str">
        <f>IF(H39="","",VLOOKUP($B39,'C-1 On-Site WaterC'' Baseline'!$C$9:$R$257,8,FALSE))</f>
        <v/>
      </c>
      <c r="J39" s="310" t="str">
        <f>IF(I39="","",VLOOKUP($B39,'C-1 On-Site WaterC'' Baseline'!$C$9:$R$257,9,FALSE))</f>
        <v/>
      </c>
      <c r="K39" s="310" t="str">
        <f>IF(J39="","",VLOOKUP($B39,'C-1 On-Site WaterC'' Baseline'!$C$9:$R$257,10,FALSE))</f>
        <v/>
      </c>
      <c r="L39" s="310" t="str">
        <f>IF(B39="","",VLOOKUP($B39,'C-1 On-Site WaterC'' Baseline'!$C$9:$R$257,15,FALSE))</f>
        <v/>
      </c>
      <c r="M39" s="314" t="str">
        <f>IF(L39="","",VLOOKUP($B39,'C-1 On-Site WaterC'' Baseline'!$C$9:$R$257,16,FALSE))</f>
        <v/>
      </c>
      <c r="N39" s="259"/>
      <c r="O39" s="290" t="str">
        <f t="shared" si="1"/>
        <v/>
      </c>
      <c r="P39" s="291" t="str">
        <f t="shared" si="2"/>
        <v/>
      </c>
      <c r="Q39" s="346" t="str">
        <f>IF(N39="","",VLOOKUP(B39,'C-1 On-Site WaterC'' Baseline'!$C$10:$AC$257,20,FALSE))</f>
        <v/>
      </c>
      <c r="R39" s="290" t="str">
        <f>IF(N39="","",VLOOKUP(N39,'G-7 WaterC'' Data'!$B$2:$G$8,2,FALSE))</f>
        <v/>
      </c>
      <c r="S39" s="291" t="str">
        <f>IFERROR(VLOOKUP(R39,'G-7 WaterC'' Data'!$C$4:$D$8,2,FALSE),"")</f>
        <v/>
      </c>
      <c r="T39" s="95"/>
      <c r="U39" s="291" t="str">
        <f>IFERROR(INDEX('G-7 WaterC'' Data'!$H$4:$L$8,MATCH(N39,'G-7 WaterC'' Data'!$B$4:$B$8,0),MATCH(T39,'G-7 WaterC'' Data'!$H$3:$L$3,0)),"")</f>
        <v/>
      </c>
      <c r="V39" s="95"/>
      <c r="W39" s="298" t="str">
        <f>IF(V39="","",IF(VLOOKUP(V39,'G-7 WaterC'' Data'!$AK$4:$AM$6,2,FALSE)=0,"Spatial Data Missing ⚠",VLOOKUP(V39,'G-7 WaterC'' Data'!$AK$4:$AM$6,2,FALSE)))</f>
        <v/>
      </c>
      <c r="X39" s="291" t="str">
        <f>IF(V39="","",IF(VLOOKUP(V39,'G-7 WaterC'' Data'!$AK$4:$AM$6,3,FALSE)=0,"Spatial Data Missing ⚠",VLOOKUP(V39,'G-7 WaterC'' Data'!$AK$4:$AM$6,3,FALSE)))</f>
        <v/>
      </c>
      <c r="Y39" s="290" t="str">
        <f>IFERROR(IF(OR(LEFT(P39,5)="Error",LEFT(O39,5)="Error ▲"),"Check Data ⚠",IF(F39&lt;S39,'G-7 WaterC'' Data'!$R$3,INDEX('G-7 WaterC'' Data'!$U$5:$Y$9,MATCH(G39,'G-7 WaterC'' Data'!$T$5:$T$9,0),MATCH(T39,'G-7 WaterC'' Data'!$U$4:$Y$4,0)))),"")</f>
        <v/>
      </c>
      <c r="Z39" s="138"/>
      <c r="AA39" s="138"/>
      <c r="AB39" s="298" t="str">
        <f t="shared" si="3"/>
        <v/>
      </c>
      <c r="AC39" s="311" t="str">
        <f t="shared" si="4"/>
        <v/>
      </c>
      <c r="AD39" s="344" t="str">
        <f>IFERROR(IF(AC39="Check Data ⚠","Check Data ⚠",VLOOKUP(AC39,'G-4 Temporal multipliers'!$A$4:$C$37,3,FALSE)),"")</f>
        <v/>
      </c>
      <c r="AE39" s="290" t="str">
        <f>IF(N39="","",VLOOKUP(N39,'G-7 WaterC'' Data'!$B$4:$G$8,5,FALSE))</f>
        <v/>
      </c>
      <c r="AF39" s="298" t="str">
        <f t="shared" si="5"/>
        <v/>
      </c>
      <c r="AG39" s="328" t="str">
        <f t="shared" si="6"/>
        <v/>
      </c>
      <c r="AH39" s="291" t="str">
        <f t="shared" si="0"/>
        <v/>
      </c>
      <c r="AI39" s="103"/>
      <c r="AJ39" s="291" t="str">
        <f>IF(AI39="","",IF(AND(AI39="N/A - Culvert",N39&lt;&gt;"Culvert"),"Not possible ▲",IF(VLOOKUP(AI39,'G-7 WaterC'' Data'!$AA$4:$AB$7,2,FALSE)=0,"Spatial Data Missing ⚠",VLOOKUP(AI39,'G-7 WaterC'' Data'!$AA$4:$AB$7,2,FALSE))))</f>
        <v/>
      </c>
      <c r="AK39" s="104"/>
      <c r="AL39" s="291" t="str">
        <f>IF(AK39="","",IF(AND(AK39="N/A - Culvert",N39&lt;&gt;"Culvert"),"Not possible ▲",IF(VLOOKUP(AK39,'G-7 WaterC'' Data'!$AD$4:$AE$14,2,FALSE)=0,"Spatial Data Missing ⚠",VLOOKUP(AK39,'G-7 WaterC'' Data'!$AD$4:$AE$14,2,FALSE))))</f>
        <v/>
      </c>
      <c r="AM39" s="332" t="str">
        <f t="shared" si="7"/>
        <v/>
      </c>
      <c r="AN39" s="98"/>
      <c r="AO39" s="99"/>
      <c r="AP39" s="101"/>
      <c r="AS39" s="15" t="str">
        <f>IF(B39="","",IF(ISNA(VLOOKUP($B39,'C-1 On-Site WaterC'' Baseline'!$C$8:$AD$257,17,FALSE)),"",(VLOOKUP($B39,'C-1 On-Site WaterC'' Baseline'!$C$8:$AD$257,17,FALSE))))</f>
        <v/>
      </c>
      <c r="AT39" s="15" t="str">
        <f>IF(B39="","",VLOOKUP($B39,'C-1 On-Site WaterC'' Baseline'!$C$9:$Z$257,12,FALSE))</f>
        <v/>
      </c>
      <c r="AU39" s="15" t="str">
        <f>IF(B39="","",VLOOKUP($B39,'C-1 On-Site WaterC'' Baseline'!$C$9:$Z$257,14,FALSE))</f>
        <v/>
      </c>
      <c r="AV39" s="15" t="str">
        <f>IFERROR(INDEX('G-7 WaterC'' Data'!$AZ$3:$AZ$7,MATCH(N39,'G-7 WaterC'' Data'!$AY$3:$AY$7,0)),"")</f>
        <v/>
      </c>
      <c r="AX39" s="15" t="str">
        <f>IF(B39="","",VLOOKUP($B39,'C-1 On-Site WaterC'' Baseline'!$C$9:$Y$257,22,FALSE))</f>
        <v/>
      </c>
      <c r="AY39" s="15" t="str">
        <f t="shared" si="8"/>
        <v/>
      </c>
      <c r="AZ39" s="15" t="str">
        <f>IF(B39="","",VLOOKUP($B39,'C-1 On-Site WaterC'' Baseline'!$C$9:$Y$257,21,FALSE))</f>
        <v/>
      </c>
      <c r="BA39" s="15" t="str">
        <f>IF(B39="","",VLOOKUP($B39,'C-1 On-Site WaterC'' Baseline'!$C$9:$Y$257,19,FALSE))</f>
        <v/>
      </c>
    </row>
    <row r="40" spans="2:53" ht="14" x14ac:dyDescent="0.3">
      <c r="B40" s="319" t="str">
        <f>'C-1 On-Site WaterC'' Baseline'!AP38</f>
        <v/>
      </c>
      <c r="C40" s="310" t="str">
        <f>IF(B40="","",VLOOKUP($B40,'C-1 On-Site WaterC'' Baseline'!$C$9:$R$257,2,FALSE))</f>
        <v/>
      </c>
      <c r="D40" s="310" t="str">
        <f>IF(C40="","",VLOOKUP($B40,'C-1 On-Site WaterC'' Baseline'!$C$9:$R$257,3,FALSE))</f>
        <v/>
      </c>
      <c r="E40" s="310" t="str">
        <f>IF(D40="","",VLOOKUP($B40,'C-1 On-Site WaterC'' Baseline'!$C$9:$R$257,4,FALSE))</f>
        <v/>
      </c>
      <c r="F40" s="310" t="str">
        <f>IF(E40="","",VLOOKUP($B40,'C-1 On-Site WaterC'' Baseline'!$C$9:$R$257,5,FALSE))</f>
        <v/>
      </c>
      <c r="G40" s="310" t="str">
        <f>IF(F40="","",VLOOKUP($B40,'C-1 On-Site WaterC'' Baseline'!$C$9:$R$257,6,FALSE))</f>
        <v/>
      </c>
      <c r="H40" s="310" t="str">
        <f>IF(G40="","",VLOOKUP($B40,'C-1 On-Site WaterC'' Baseline'!$C$9:$R$257,7,FALSE))</f>
        <v/>
      </c>
      <c r="I40" s="310" t="str">
        <f>IF(H40="","",VLOOKUP($B40,'C-1 On-Site WaterC'' Baseline'!$C$9:$R$257,8,FALSE))</f>
        <v/>
      </c>
      <c r="J40" s="310" t="str">
        <f>IF(I40="","",VLOOKUP($B40,'C-1 On-Site WaterC'' Baseline'!$C$9:$R$257,9,FALSE))</f>
        <v/>
      </c>
      <c r="K40" s="310" t="str">
        <f>IF(J40="","",VLOOKUP($B40,'C-1 On-Site WaterC'' Baseline'!$C$9:$R$257,10,FALSE))</f>
        <v/>
      </c>
      <c r="L40" s="310" t="str">
        <f>IF(B40="","",VLOOKUP($B40,'C-1 On-Site WaterC'' Baseline'!$C$9:$R$257,15,FALSE))</f>
        <v/>
      </c>
      <c r="M40" s="314" t="str">
        <f>IF(L40="","",VLOOKUP($B40,'C-1 On-Site WaterC'' Baseline'!$C$9:$R$257,16,FALSE))</f>
        <v/>
      </c>
      <c r="N40" s="259"/>
      <c r="O40" s="290" t="str">
        <f t="shared" si="1"/>
        <v/>
      </c>
      <c r="P40" s="291" t="str">
        <f t="shared" si="2"/>
        <v/>
      </c>
      <c r="Q40" s="346" t="str">
        <f>IF(N40="","",VLOOKUP(B40,'C-1 On-Site WaterC'' Baseline'!$C$10:$AC$257,20,FALSE))</f>
        <v/>
      </c>
      <c r="R40" s="290" t="str">
        <f>IF(N40="","",VLOOKUP(N40,'G-7 WaterC'' Data'!$B$2:$G$8,2,FALSE))</f>
        <v/>
      </c>
      <c r="S40" s="291" t="str">
        <f>IFERROR(VLOOKUP(R40,'G-7 WaterC'' Data'!$C$4:$D$8,2,FALSE),"")</f>
        <v/>
      </c>
      <c r="T40" s="95"/>
      <c r="U40" s="291" t="str">
        <f>IFERROR(INDEX('G-7 WaterC'' Data'!$H$4:$L$8,MATCH(N40,'G-7 WaterC'' Data'!$B$4:$B$8,0),MATCH(T40,'G-7 WaterC'' Data'!$H$3:$L$3,0)),"")</f>
        <v/>
      </c>
      <c r="V40" s="95"/>
      <c r="W40" s="298" t="str">
        <f>IF(V40="","",IF(VLOOKUP(V40,'G-7 WaterC'' Data'!$AK$4:$AM$6,2,FALSE)=0,"Spatial Data Missing ⚠",VLOOKUP(V40,'G-7 WaterC'' Data'!$AK$4:$AM$6,2,FALSE)))</f>
        <v/>
      </c>
      <c r="X40" s="291" t="str">
        <f>IF(V40="","",IF(VLOOKUP(V40,'G-7 WaterC'' Data'!$AK$4:$AM$6,3,FALSE)=0,"Spatial Data Missing ⚠",VLOOKUP(V40,'G-7 WaterC'' Data'!$AK$4:$AM$6,3,FALSE)))</f>
        <v/>
      </c>
      <c r="Y40" s="290" t="str">
        <f>IFERROR(IF(OR(LEFT(P40,5)="Error",LEFT(O40,5)="Error ▲"),"Check Data ⚠",IF(F40&lt;S40,'G-7 WaterC'' Data'!$R$3,INDEX('G-7 WaterC'' Data'!$U$5:$Y$9,MATCH(G40,'G-7 WaterC'' Data'!$T$5:$T$9,0),MATCH(T40,'G-7 WaterC'' Data'!$U$4:$Y$4,0)))),"")</f>
        <v/>
      </c>
      <c r="Z40" s="138"/>
      <c r="AA40" s="138"/>
      <c r="AB40" s="298" t="str">
        <f t="shared" si="3"/>
        <v/>
      </c>
      <c r="AC40" s="311" t="str">
        <f t="shared" si="4"/>
        <v/>
      </c>
      <c r="AD40" s="344" t="str">
        <f>IFERROR(IF(AC40="Check Data ⚠","Check Data ⚠",VLOOKUP(AC40,'G-4 Temporal multipliers'!$A$4:$C$37,3,FALSE)),"")</f>
        <v/>
      </c>
      <c r="AE40" s="290" t="str">
        <f>IF(N40="","",VLOOKUP(N40,'G-7 WaterC'' Data'!$B$4:$G$8,5,FALSE))</f>
        <v/>
      </c>
      <c r="AF40" s="298" t="str">
        <f t="shared" si="5"/>
        <v/>
      </c>
      <c r="AG40" s="328" t="str">
        <f t="shared" si="6"/>
        <v/>
      </c>
      <c r="AH40" s="291" t="str">
        <f t="shared" si="0"/>
        <v/>
      </c>
      <c r="AI40" s="103"/>
      <c r="AJ40" s="291" t="str">
        <f>IF(AI40="","",IF(AND(AI40="N/A - Culvert",N40&lt;&gt;"Culvert"),"Not possible ▲",IF(VLOOKUP(AI40,'G-7 WaterC'' Data'!$AA$4:$AB$7,2,FALSE)=0,"Spatial Data Missing ⚠",VLOOKUP(AI40,'G-7 WaterC'' Data'!$AA$4:$AB$7,2,FALSE))))</f>
        <v/>
      </c>
      <c r="AK40" s="104"/>
      <c r="AL40" s="291" t="str">
        <f>IF(AK40="","",IF(AND(AK40="N/A - Culvert",N40&lt;&gt;"Culvert"),"Not possible ▲",IF(VLOOKUP(AK40,'G-7 WaterC'' Data'!$AD$4:$AE$14,2,FALSE)=0,"Spatial Data Missing ⚠",VLOOKUP(AK40,'G-7 WaterC'' Data'!$AD$4:$AE$14,2,FALSE))))</f>
        <v/>
      </c>
      <c r="AM40" s="332" t="str">
        <f t="shared" si="7"/>
        <v/>
      </c>
      <c r="AN40" s="98"/>
      <c r="AO40" s="99"/>
      <c r="AP40" s="101"/>
      <c r="AS40" s="15" t="str">
        <f>IF(B40="","",IF(ISNA(VLOOKUP($B40,'C-1 On-Site WaterC'' Baseline'!$C$8:$AD$257,17,FALSE)),"",(VLOOKUP($B40,'C-1 On-Site WaterC'' Baseline'!$C$8:$AD$257,17,FALSE))))</f>
        <v/>
      </c>
      <c r="AT40" s="15" t="str">
        <f>IF(B40="","",VLOOKUP($B40,'C-1 On-Site WaterC'' Baseline'!$C$9:$Z$257,12,FALSE))</f>
        <v/>
      </c>
      <c r="AU40" s="15" t="str">
        <f>IF(B40="","",VLOOKUP($B40,'C-1 On-Site WaterC'' Baseline'!$C$9:$Z$257,14,FALSE))</f>
        <v/>
      </c>
      <c r="AV40" s="15" t="str">
        <f>IFERROR(INDEX('G-7 WaterC'' Data'!$AZ$3:$AZ$7,MATCH(N40,'G-7 WaterC'' Data'!$AY$3:$AY$7,0)),"")</f>
        <v/>
      </c>
      <c r="AX40" s="15" t="str">
        <f>IF(B40="","",VLOOKUP($B40,'C-1 On-Site WaterC'' Baseline'!$C$9:$Y$257,22,FALSE))</f>
        <v/>
      </c>
      <c r="AY40" s="15" t="str">
        <f t="shared" si="8"/>
        <v/>
      </c>
      <c r="AZ40" s="15" t="str">
        <f>IF(B40="","",VLOOKUP($B40,'C-1 On-Site WaterC'' Baseline'!$C$9:$Y$257,21,FALSE))</f>
        <v/>
      </c>
      <c r="BA40" s="15" t="str">
        <f>IF(B40="","",VLOOKUP($B40,'C-1 On-Site WaterC'' Baseline'!$C$9:$Y$257,19,FALSE))</f>
        <v/>
      </c>
    </row>
    <row r="41" spans="2:53" ht="14" x14ac:dyDescent="0.3">
      <c r="B41" s="319" t="str">
        <f>'C-1 On-Site WaterC'' Baseline'!AP39</f>
        <v/>
      </c>
      <c r="C41" s="310" t="str">
        <f>IF(B41="","",VLOOKUP($B41,'C-1 On-Site WaterC'' Baseline'!$C$9:$R$257,2,FALSE))</f>
        <v/>
      </c>
      <c r="D41" s="310" t="str">
        <f>IF(C41="","",VLOOKUP($B41,'C-1 On-Site WaterC'' Baseline'!$C$9:$R$257,3,FALSE))</f>
        <v/>
      </c>
      <c r="E41" s="310" t="str">
        <f>IF(D41="","",VLOOKUP($B41,'C-1 On-Site WaterC'' Baseline'!$C$9:$R$257,4,FALSE))</f>
        <v/>
      </c>
      <c r="F41" s="310" t="str">
        <f>IF(E41="","",VLOOKUP($B41,'C-1 On-Site WaterC'' Baseline'!$C$9:$R$257,5,FALSE))</f>
        <v/>
      </c>
      <c r="G41" s="310" t="str">
        <f>IF(F41="","",VLOOKUP($B41,'C-1 On-Site WaterC'' Baseline'!$C$9:$R$257,6,FALSE))</f>
        <v/>
      </c>
      <c r="H41" s="310" t="str">
        <f>IF(G41="","",VLOOKUP($B41,'C-1 On-Site WaterC'' Baseline'!$C$9:$R$257,7,FALSE))</f>
        <v/>
      </c>
      <c r="I41" s="310" t="str">
        <f>IF(H41="","",VLOOKUP($B41,'C-1 On-Site WaterC'' Baseline'!$C$9:$R$257,8,FALSE))</f>
        <v/>
      </c>
      <c r="J41" s="310" t="str">
        <f>IF(I41="","",VLOOKUP($B41,'C-1 On-Site WaterC'' Baseline'!$C$9:$R$257,9,FALSE))</f>
        <v/>
      </c>
      <c r="K41" s="310" t="str">
        <f>IF(J41="","",VLOOKUP($B41,'C-1 On-Site WaterC'' Baseline'!$C$9:$R$257,10,FALSE))</f>
        <v/>
      </c>
      <c r="L41" s="310" t="str">
        <f>IF(B41="","",VLOOKUP($B41,'C-1 On-Site WaterC'' Baseline'!$C$9:$R$257,15,FALSE))</f>
        <v/>
      </c>
      <c r="M41" s="314" t="str">
        <f>IF(L41="","",VLOOKUP($B41,'C-1 On-Site WaterC'' Baseline'!$C$9:$R$257,16,FALSE))</f>
        <v/>
      </c>
      <c r="N41" s="259"/>
      <c r="O41" s="290" t="str">
        <f t="shared" si="1"/>
        <v/>
      </c>
      <c r="P41" s="291" t="str">
        <f t="shared" si="2"/>
        <v/>
      </c>
      <c r="Q41" s="346" t="str">
        <f>IF(N41="","",VLOOKUP(B41,'C-1 On-Site WaterC'' Baseline'!$C$10:$AC$257,20,FALSE))</f>
        <v/>
      </c>
      <c r="R41" s="290" t="str">
        <f>IF(N41="","",VLOOKUP(N41,'G-7 WaterC'' Data'!$B$2:$G$8,2,FALSE))</f>
        <v/>
      </c>
      <c r="S41" s="291" t="str">
        <f>IFERROR(VLOOKUP(R41,'G-7 WaterC'' Data'!$C$4:$D$8,2,FALSE),"")</f>
        <v/>
      </c>
      <c r="T41" s="95"/>
      <c r="U41" s="291" t="str">
        <f>IFERROR(INDEX('G-7 WaterC'' Data'!$H$4:$L$8,MATCH(N41,'G-7 WaterC'' Data'!$B$4:$B$8,0),MATCH(T41,'G-7 WaterC'' Data'!$H$3:$L$3,0)),"")</f>
        <v/>
      </c>
      <c r="V41" s="95"/>
      <c r="W41" s="298" t="str">
        <f>IF(V41="","",IF(VLOOKUP(V41,'G-7 WaterC'' Data'!$AK$4:$AM$6,2,FALSE)=0,"Spatial Data Missing ⚠",VLOOKUP(V41,'G-7 WaterC'' Data'!$AK$4:$AM$6,2,FALSE)))</f>
        <v/>
      </c>
      <c r="X41" s="291" t="str">
        <f>IF(V41="","",IF(VLOOKUP(V41,'G-7 WaterC'' Data'!$AK$4:$AM$6,3,FALSE)=0,"Spatial Data Missing ⚠",VLOOKUP(V41,'G-7 WaterC'' Data'!$AK$4:$AM$6,3,FALSE)))</f>
        <v/>
      </c>
      <c r="Y41" s="290" t="str">
        <f>IFERROR(IF(OR(LEFT(P41,5)="Error",LEFT(O41,5)="Error ▲"),"Check Data ⚠",IF(F41&lt;S41,'G-7 WaterC'' Data'!$R$3,INDEX('G-7 WaterC'' Data'!$U$5:$Y$9,MATCH(G41,'G-7 WaterC'' Data'!$T$5:$T$9,0),MATCH(T41,'G-7 WaterC'' Data'!$U$4:$Y$4,0)))),"")</f>
        <v/>
      </c>
      <c r="Z41" s="138"/>
      <c r="AA41" s="138"/>
      <c r="AB41" s="298" t="str">
        <f t="shared" si="3"/>
        <v/>
      </c>
      <c r="AC41" s="311" t="str">
        <f t="shared" si="4"/>
        <v/>
      </c>
      <c r="AD41" s="344" t="str">
        <f>IFERROR(IF(AC41="Check Data ⚠","Check Data ⚠",VLOOKUP(AC41,'G-4 Temporal multipliers'!$A$4:$C$37,3,FALSE)),"")</f>
        <v/>
      </c>
      <c r="AE41" s="290" t="str">
        <f>IF(N41="","",VLOOKUP(N41,'G-7 WaterC'' Data'!$B$4:$G$8,5,FALSE))</f>
        <v/>
      </c>
      <c r="AF41" s="298" t="str">
        <f t="shared" si="5"/>
        <v/>
      </c>
      <c r="AG41" s="328" t="str">
        <f t="shared" si="6"/>
        <v/>
      </c>
      <c r="AH41" s="291" t="str">
        <f t="shared" si="0"/>
        <v/>
      </c>
      <c r="AI41" s="103"/>
      <c r="AJ41" s="291" t="str">
        <f>IF(AI41="","",IF(AND(AI41="N/A - Culvert",N41&lt;&gt;"Culvert"),"Not possible ▲",IF(VLOOKUP(AI41,'G-7 WaterC'' Data'!$AA$4:$AB$7,2,FALSE)=0,"Spatial Data Missing ⚠",VLOOKUP(AI41,'G-7 WaterC'' Data'!$AA$4:$AB$7,2,FALSE))))</f>
        <v/>
      </c>
      <c r="AK41" s="104"/>
      <c r="AL41" s="291" t="str">
        <f>IF(AK41="","",IF(AND(AK41="N/A - Culvert",N41&lt;&gt;"Culvert"),"Not possible ▲",IF(VLOOKUP(AK41,'G-7 WaterC'' Data'!$AD$4:$AE$14,2,FALSE)=0,"Spatial Data Missing ⚠",VLOOKUP(AK41,'G-7 WaterC'' Data'!$AD$4:$AE$14,2,FALSE))))</f>
        <v/>
      </c>
      <c r="AM41" s="332" t="str">
        <f t="shared" si="7"/>
        <v/>
      </c>
      <c r="AN41" s="98"/>
      <c r="AO41" s="99"/>
      <c r="AP41" s="101"/>
      <c r="AS41" s="15" t="str">
        <f>IF(B41="","",IF(ISNA(VLOOKUP($B41,'C-1 On-Site WaterC'' Baseline'!$C$8:$AD$257,17,FALSE)),"",(VLOOKUP($B41,'C-1 On-Site WaterC'' Baseline'!$C$8:$AD$257,17,FALSE))))</f>
        <v/>
      </c>
      <c r="AT41" s="15" t="str">
        <f>IF(B41="","",VLOOKUP($B41,'C-1 On-Site WaterC'' Baseline'!$C$9:$Z$257,12,FALSE))</f>
        <v/>
      </c>
      <c r="AU41" s="15" t="str">
        <f>IF(B41="","",VLOOKUP($B41,'C-1 On-Site WaterC'' Baseline'!$C$9:$Z$257,14,FALSE))</f>
        <v/>
      </c>
      <c r="AV41" s="15" t="str">
        <f>IFERROR(INDEX('G-7 WaterC'' Data'!$AZ$3:$AZ$7,MATCH(N41,'G-7 WaterC'' Data'!$AY$3:$AY$7,0)),"")</f>
        <v/>
      </c>
      <c r="AX41" s="15" t="str">
        <f>IF(B41="","",VLOOKUP($B41,'C-1 On-Site WaterC'' Baseline'!$C$9:$Y$257,22,FALSE))</f>
        <v/>
      </c>
      <c r="AY41" s="15" t="str">
        <f t="shared" si="8"/>
        <v/>
      </c>
      <c r="AZ41" s="15" t="str">
        <f>IF(B41="","",VLOOKUP($B41,'C-1 On-Site WaterC'' Baseline'!$C$9:$Y$257,21,FALSE))</f>
        <v/>
      </c>
      <c r="BA41" s="15" t="str">
        <f>IF(B41="","",VLOOKUP($B41,'C-1 On-Site WaterC'' Baseline'!$C$9:$Y$257,19,FALSE))</f>
        <v/>
      </c>
    </row>
    <row r="42" spans="2:53" ht="14" x14ac:dyDescent="0.3">
      <c r="B42" s="319" t="str">
        <f>'C-1 On-Site WaterC'' Baseline'!AP40</f>
        <v/>
      </c>
      <c r="C42" s="310" t="str">
        <f>IF(B42="","",VLOOKUP($B42,'C-1 On-Site WaterC'' Baseline'!$C$9:$R$257,2,FALSE))</f>
        <v/>
      </c>
      <c r="D42" s="310" t="str">
        <f>IF(C42="","",VLOOKUP($B42,'C-1 On-Site WaterC'' Baseline'!$C$9:$R$257,3,FALSE))</f>
        <v/>
      </c>
      <c r="E42" s="310" t="str">
        <f>IF(D42="","",VLOOKUP($B42,'C-1 On-Site WaterC'' Baseline'!$C$9:$R$257,4,FALSE))</f>
        <v/>
      </c>
      <c r="F42" s="310" t="str">
        <f>IF(E42="","",VLOOKUP($B42,'C-1 On-Site WaterC'' Baseline'!$C$9:$R$257,5,FALSE))</f>
        <v/>
      </c>
      <c r="G42" s="310" t="str">
        <f>IF(F42="","",VLOOKUP($B42,'C-1 On-Site WaterC'' Baseline'!$C$9:$R$257,6,FALSE))</f>
        <v/>
      </c>
      <c r="H42" s="310" t="str">
        <f>IF(G42="","",VLOOKUP($B42,'C-1 On-Site WaterC'' Baseline'!$C$9:$R$257,7,FALSE))</f>
        <v/>
      </c>
      <c r="I42" s="310" t="str">
        <f>IF(H42="","",VLOOKUP($B42,'C-1 On-Site WaterC'' Baseline'!$C$9:$R$257,8,FALSE))</f>
        <v/>
      </c>
      <c r="J42" s="310" t="str">
        <f>IF(I42="","",VLOOKUP($B42,'C-1 On-Site WaterC'' Baseline'!$C$9:$R$257,9,FALSE))</f>
        <v/>
      </c>
      <c r="K42" s="310" t="str">
        <f>IF(J42="","",VLOOKUP($B42,'C-1 On-Site WaterC'' Baseline'!$C$9:$R$257,10,FALSE))</f>
        <v/>
      </c>
      <c r="L42" s="310" t="str">
        <f>IF(B42="","",VLOOKUP($B42,'C-1 On-Site WaterC'' Baseline'!$C$9:$R$257,15,FALSE))</f>
        <v/>
      </c>
      <c r="M42" s="314" t="str">
        <f>IF(L42="","",VLOOKUP($B42,'C-1 On-Site WaterC'' Baseline'!$C$9:$R$257,16,FALSE))</f>
        <v/>
      </c>
      <c r="N42" s="259"/>
      <c r="O42" s="290" t="str">
        <f t="shared" si="1"/>
        <v/>
      </c>
      <c r="P42" s="291" t="str">
        <f t="shared" si="2"/>
        <v/>
      </c>
      <c r="Q42" s="346" t="str">
        <f>IF(N42="","",VLOOKUP(B42,'C-1 On-Site WaterC'' Baseline'!$C$10:$AC$257,20,FALSE))</f>
        <v/>
      </c>
      <c r="R42" s="290" t="str">
        <f>IF(N42="","",VLOOKUP(N42,'G-7 WaterC'' Data'!$B$2:$G$8,2,FALSE))</f>
        <v/>
      </c>
      <c r="S42" s="291" t="str">
        <f>IFERROR(VLOOKUP(R42,'G-7 WaterC'' Data'!$C$4:$D$8,2,FALSE),"")</f>
        <v/>
      </c>
      <c r="T42" s="95"/>
      <c r="U42" s="291" t="str">
        <f>IFERROR(INDEX('G-7 WaterC'' Data'!$H$4:$L$8,MATCH(N42,'G-7 WaterC'' Data'!$B$4:$B$8,0),MATCH(T42,'G-7 WaterC'' Data'!$H$3:$L$3,0)),"")</f>
        <v/>
      </c>
      <c r="V42" s="95"/>
      <c r="W42" s="298" t="str">
        <f>IF(V42="","",IF(VLOOKUP(V42,'G-7 WaterC'' Data'!$AK$4:$AM$6,2,FALSE)=0,"Spatial Data Missing ⚠",VLOOKUP(V42,'G-7 WaterC'' Data'!$AK$4:$AM$6,2,FALSE)))</f>
        <v/>
      </c>
      <c r="X42" s="291" t="str">
        <f>IF(V42="","",IF(VLOOKUP(V42,'G-7 WaterC'' Data'!$AK$4:$AM$6,3,FALSE)=0,"Spatial Data Missing ⚠",VLOOKUP(V42,'G-7 WaterC'' Data'!$AK$4:$AM$6,3,FALSE)))</f>
        <v/>
      </c>
      <c r="Y42" s="290" t="str">
        <f>IFERROR(IF(OR(LEFT(P42,5)="Error",LEFT(O42,5)="Error ▲"),"Check Data ⚠",IF(F42&lt;S42,'G-7 WaterC'' Data'!$R$3,INDEX('G-7 WaterC'' Data'!$U$5:$Y$9,MATCH(G42,'G-7 WaterC'' Data'!$T$5:$T$9,0),MATCH(T42,'G-7 WaterC'' Data'!$U$4:$Y$4,0)))),"")</f>
        <v/>
      </c>
      <c r="Z42" s="138"/>
      <c r="AA42" s="138"/>
      <c r="AB42" s="298" t="str">
        <f t="shared" si="3"/>
        <v/>
      </c>
      <c r="AC42" s="311" t="str">
        <f t="shared" si="4"/>
        <v/>
      </c>
      <c r="AD42" s="344" t="str">
        <f>IFERROR(IF(AC42="Check Data ⚠","Check Data ⚠",VLOOKUP(AC42,'G-4 Temporal multipliers'!$A$4:$C$37,3,FALSE)),"")</f>
        <v/>
      </c>
      <c r="AE42" s="290" t="str">
        <f>IF(N42="","",VLOOKUP(N42,'G-7 WaterC'' Data'!$B$4:$G$8,5,FALSE))</f>
        <v/>
      </c>
      <c r="AF42" s="298" t="str">
        <f t="shared" si="5"/>
        <v/>
      </c>
      <c r="AG42" s="328" t="str">
        <f t="shared" si="6"/>
        <v/>
      </c>
      <c r="AH42" s="291" t="str">
        <f t="shared" si="0"/>
        <v/>
      </c>
      <c r="AI42" s="103"/>
      <c r="AJ42" s="291" t="str">
        <f>IF(AI42="","",IF(AND(AI42="N/A - Culvert",N42&lt;&gt;"Culvert"),"Not possible ▲",IF(VLOOKUP(AI42,'G-7 WaterC'' Data'!$AA$4:$AB$7,2,FALSE)=0,"Spatial Data Missing ⚠",VLOOKUP(AI42,'G-7 WaterC'' Data'!$AA$4:$AB$7,2,FALSE))))</f>
        <v/>
      </c>
      <c r="AK42" s="104"/>
      <c r="AL42" s="291" t="str">
        <f>IF(AK42="","",IF(AND(AK42="N/A - Culvert",N42&lt;&gt;"Culvert"),"Not possible ▲",IF(VLOOKUP(AK42,'G-7 WaterC'' Data'!$AD$4:$AE$14,2,FALSE)=0,"Spatial Data Missing ⚠",VLOOKUP(AK42,'G-7 WaterC'' Data'!$AD$4:$AE$14,2,FALSE))))</f>
        <v/>
      </c>
      <c r="AM42" s="332" t="str">
        <f t="shared" si="7"/>
        <v/>
      </c>
      <c r="AN42" s="98"/>
      <c r="AO42" s="99"/>
      <c r="AP42" s="101"/>
      <c r="AS42" s="15" t="str">
        <f>IF(B42="","",IF(ISNA(VLOOKUP($B42,'C-1 On-Site WaterC'' Baseline'!$C$8:$AD$257,17,FALSE)),"",(VLOOKUP($B42,'C-1 On-Site WaterC'' Baseline'!$C$8:$AD$257,17,FALSE))))</f>
        <v/>
      </c>
      <c r="AT42" s="15" t="str">
        <f>IF(B42="","",VLOOKUP($B42,'C-1 On-Site WaterC'' Baseline'!$C$9:$Z$257,12,FALSE))</f>
        <v/>
      </c>
      <c r="AU42" s="15" t="str">
        <f>IF(B42="","",VLOOKUP($B42,'C-1 On-Site WaterC'' Baseline'!$C$9:$Z$257,14,FALSE))</f>
        <v/>
      </c>
      <c r="AV42" s="15" t="str">
        <f>IFERROR(INDEX('G-7 WaterC'' Data'!$AZ$3:$AZ$7,MATCH(N42,'G-7 WaterC'' Data'!$AY$3:$AY$7,0)),"")</f>
        <v/>
      </c>
      <c r="AX42" s="15" t="str">
        <f>IF(B42="","",VLOOKUP($B42,'C-1 On-Site WaterC'' Baseline'!$C$9:$Y$257,22,FALSE))</f>
        <v/>
      </c>
      <c r="AY42" s="15" t="str">
        <f t="shared" si="8"/>
        <v/>
      </c>
      <c r="AZ42" s="15" t="str">
        <f>IF(B42="","",VLOOKUP($B42,'C-1 On-Site WaterC'' Baseline'!$C$9:$Y$257,21,FALSE))</f>
        <v/>
      </c>
      <c r="BA42" s="15" t="str">
        <f>IF(B42="","",VLOOKUP($B42,'C-1 On-Site WaterC'' Baseline'!$C$9:$Y$257,19,FALSE))</f>
        <v/>
      </c>
    </row>
    <row r="43" spans="2:53" ht="14" x14ac:dyDescent="0.3">
      <c r="B43" s="319" t="str">
        <f>'C-1 On-Site WaterC'' Baseline'!AP41</f>
        <v/>
      </c>
      <c r="C43" s="310" t="str">
        <f>IF(B43="","",VLOOKUP($B43,'C-1 On-Site WaterC'' Baseline'!$C$9:$R$257,2,FALSE))</f>
        <v/>
      </c>
      <c r="D43" s="310" t="str">
        <f>IF(C43="","",VLOOKUP($B43,'C-1 On-Site WaterC'' Baseline'!$C$9:$R$257,3,FALSE))</f>
        <v/>
      </c>
      <c r="E43" s="310" t="str">
        <f>IF(D43="","",VLOOKUP($B43,'C-1 On-Site WaterC'' Baseline'!$C$9:$R$257,4,FALSE))</f>
        <v/>
      </c>
      <c r="F43" s="310" t="str">
        <f>IF(E43="","",VLOOKUP($B43,'C-1 On-Site WaterC'' Baseline'!$C$9:$R$257,5,FALSE))</f>
        <v/>
      </c>
      <c r="G43" s="310" t="str">
        <f>IF(F43="","",VLOOKUP($B43,'C-1 On-Site WaterC'' Baseline'!$C$9:$R$257,6,FALSE))</f>
        <v/>
      </c>
      <c r="H43" s="310" t="str">
        <f>IF(G43="","",VLOOKUP($B43,'C-1 On-Site WaterC'' Baseline'!$C$9:$R$257,7,FALSE))</f>
        <v/>
      </c>
      <c r="I43" s="310" t="str">
        <f>IF(H43="","",VLOOKUP($B43,'C-1 On-Site WaterC'' Baseline'!$C$9:$R$257,8,FALSE))</f>
        <v/>
      </c>
      <c r="J43" s="310" t="str">
        <f>IF(I43="","",VLOOKUP($B43,'C-1 On-Site WaterC'' Baseline'!$C$9:$R$257,9,FALSE))</f>
        <v/>
      </c>
      <c r="K43" s="310" t="str">
        <f>IF(J43="","",VLOOKUP($B43,'C-1 On-Site WaterC'' Baseline'!$C$9:$R$257,10,FALSE))</f>
        <v/>
      </c>
      <c r="L43" s="310" t="str">
        <f>IF(B43="","",VLOOKUP($B43,'C-1 On-Site WaterC'' Baseline'!$C$9:$R$257,15,FALSE))</f>
        <v/>
      </c>
      <c r="M43" s="314" t="str">
        <f>IF(L43="","",VLOOKUP($B43,'C-1 On-Site WaterC'' Baseline'!$C$9:$R$257,16,FALSE))</f>
        <v/>
      </c>
      <c r="N43" s="259"/>
      <c r="O43" s="290" t="str">
        <f t="shared" si="1"/>
        <v/>
      </c>
      <c r="P43" s="291" t="str">
        <f t="shared" si="2"/>
        <v/>
      </c>
      <c r="Q43" s="346" t="str">
        <f>IF(N43="","",VLOOKUP(B43,'C-1 On-Site WaterC'' Baseline'!$C$10:$AC$257,20,FALSE))</f>
        <v/>
      </c>
      <c r="R43" s="290" t="str">
        <f>IF(N43="","",VLOOKUP(N43,'G-7 WaterC'' Data'!$B$2:$G$8,2,FALSE))</f>
        <v/>
      </c>
      <c r="S43" s="291" t="str">
        <f>IFERROR(VLOOKUP(R43,'G-7 WaterC'' Data'!$C$4:$D$8,2,FALSE),"")</f>
        <v/>
      </c>
      <c r="T43" s="95"/>
      <c r="U43" s="291" t="str">
        <f>IFERROR(INDEX('G-7 WaterC'' Data'!$H$4:$L$8,MATCH(N43,'G-7 WaterC'' Data'!$B$4:$B$8,0),MATCH(T43,'G-7 WaterC'' Data'!$H$3:$L$3,0)),"")</f>
        <v/>
      </c>
      <c r="V43" s="95"/>
      <c r="W43" s="298" t="str">
        <f>IF(V43="","",IF(VLOOKUP(V43,'G-7 WaterC'' Data'!$AK$4:$AM$6,2,FALSE)=0,"Spatial Data Missing ⚠",VLOOKUP(V43,'G-7 WaterC'' Data'!$AK$4:$AM$6,2,FALSE)))</f>
        <v/>
      </c>
      <c r="X43" s="291" t="str">
        <f>IF(V43="","",IF(VLOOKUP(V43,'G-7 WaterC'' Data'!$AK$4:$AM$6,3,FALSE)=0,"Spatial Data Missing ⚠",VLOOKUP(V43,'G-7 WaterC'' Data'!$AK$4:$AM$6,3,FALSE)))</f>
        <v/>
      </c>
      <c r="Y43" s="290" t="str">
        <f>IFERROR(IF(OR(LEFT(P43,5)="Error",LEFT(O43,5)="Error ▲"),"Check Data ⚠",IF(F43&lt;S43,'G-7 WaterC'' Data'!$R$3,INDEX('G-7 WaterC'' Data'!$U$5:$Y$9,MATCH(G43,'G-7 WaterC'' Data'!$T$5:$T$9,0),MATCH(T43,'G-7 WaterC'' Data'!$U$4:$Y$4,0)))),"")</f>
        <v/>
      </c>
      <c r="Z43" s="138"/>
      <c r="AA43" s="138"/>
      <c r="AB43" s="298" t="str">
        <f t="shared" si="3"/>
        <v/>
      </c>
      <c r="AC43" s="311" t="str">
        <f t="shared" si="4"/>
        <v/>
      </c>
      <c r="AD43" s="344" t="str">
        <f>IFERROR(IF(AC43="Check Data ⚠","Check Data ⚠",VLOOKUP(AC43,'G-4 Temporal multipliers'!$A$4:$C$37,3,FALSE)),"")</f>
        <v/>
      </c>
      <c r="AE43" s="290" t="str">
        <f>IF(N43="","",VLOOKUP(N43,'G-7 WaterC'' Data'!$B$4:$G$8,5,FALSE))</f>
        <v/>
      </c>
      <c r="AF43" s="298" t="str">
        <f t="shared" si="5"/>
        <v/>
      </c>
      <c r="AG43" s="328" t="str">
        <f t="shared" si="6"/>
        <v/>
      </c>
      <c r="AH43" s="291" t="str">
        <f t="shared" si="0"/>
        <v/>
      </c>
      <c r="AI43" s="103"/>
      <c r="AJ43" s="291" t="str">
        <f>IF(AI43="","",IF(AND(AI43="N/A - Culvert",N43&lt;&gt;"Culvert"),"Not possible ▲",IF(VLOOKUP(AI43,'G-7 WaterC'' Data'!$AA$4:$AB$7,2,FALSE)=0,"Spatial Data Missing ⚠",VLOOKUP(AI43,'G-7 WaterC'' Data'!$AA$4:$AB$7,2,FALSE))))</f>
        <v/>
      </c>
      <c r="AK43" s="104"/>
      <c r="AL43" s="291" t="str">
        <f>IF(AK43="","",IF(AND(AK43="N/A - Culvert",N43&lt;&gt;"Culvert"),"Not possible ▲",IF(VLOOKUP(AK43,'G-7 WaterC'' Data'!$AD$4:$AE$14,2,FALSE)=0,"Spatial Data Missing ⚠",VLOOKUP(AK43,'G-7 WaterC'' Data'!$AD$4:$AE$14,2,FALSE))))</f>
        <v/>
      </c>
      <c r="AM43" s="332" t="str">
        <f t="shared" si="7"/>
        <v/>
      </c>
      <c r="AN43" s="98"/>
      <c r="AO43" s="99"/>
      <c r="AP43" s="101"/>
      <c r="AS43" s="15" t="str">
        <f>IF(B43="","",IF(ISNA(VLOOKUP($B43,'C-1 On-Site WaterC'' Baseline'!$C$8:$AD$257,17,FALSE)),"",(VLOOKUP($B43,'C-1 On-Site WaterC'' Baseline'!$C$8:$AD$257,17,FALSE))))</f>
        <v/>
      </c>
      <c r="AT43" s="15" t="str">
        <f>IF(B43="","",VLOOKUP($B43,'C-1 On-Site WaterC'' Baseline'!$C$9:$Z$257,12,FALSE))</f>
        <v/>
      </c>
      <c r="AU43" s="15" t="str">
        <f>IF(B43="","",VLOOKUP($B43,'C-1 On-Site WaterC'' Baseline'!$C$9:$Z$257,14,FALSE))</f>
        <v/>
      </c>
      <c r="AV43" s="15" t="str">
        <f>IFERROR(INDEX('G-7 WaterC'' Data'!$AZ$3:$AZ$7,MATCH(N43,'G-7 WaterC'' Data'!$AY$3:$AY$7,0)),"")</f>
        <v/>
      </c>
      <c r="AX43" s="15" t="str">
        <f>IF(B43="","",VLOOKUP($B43,'C-1 On-Site WaterC'' Baseline'!$C$9:$Y$257,22,FALSE))</f>
        <v/>
      </c>
      <c r="AY43" s="15" t="str">
        <f t="shared" si="8"/>
        <v/>
      </c>
      <c r="AZ43" s="15" t="str">
        <f>IF(B43="","",VLOOKUP($B43,'C-1 On-Site WaterC'' Baseline'!$C$9:$Y$257,21,FALSE))</f>
        <v/>
      </c>
      <c r="BA43" s="15" t="str">
        <f>IF(B43="","",VLOOKUP($B43,'C-1 On-Site WaterC'' Baseline'!$C$9:$Y$257,19,FALSE))</f>
        <v/>
      </c>
    </row>
    <row r="44" spans="2:53" ht="14" x14ac:dyDescent="0.3">
      <c r="B44" s="319" t="str">
        <f>'C-1 On-Site WaterC'' Baseline'!AP42</f>
        <v/>
      </c>
      <c r="C44" s="310" t="str">
        <f>IF(B44="","",VLOOKUP($B44,'C-1 On-Site WaterC'' Baseline'!$C$9:$R$257,2,FALSE))</f>
        <v/>
      </c>
      <c r="D44" s="310" t="str">
        <f>IF(C44="","",VLOOKUP($B44,'C-1 On-Site WaterC'' Baseline'!$C$9:$R$257,3,FALSE))</f>
        <v/>
      </c>
      <c r="E44" s="310" t="str">
        <f>IF(D44="","",VLOOKUP($B44,'C-1 On-Site WaterC'' Baseline'!$C$9:$R$257,4,FALSE))</f>
        <v/>
      </c>
      <c r="F44" s="310" t="str">
        <f>IF(E44="","",VLOOKUP($B44,'C-1 On-Site WaterC'' Baseline'!$C$9:$R$257,5,FALSE))</f>
        <v/>
      </c>
      <c r="G44" s="310" t="str">
        <f>IF(F44="","",VLOOKUP($B44,'C-1 On-Site WaterC'' Baseline'!$C$9:$R$257,6,FALSE))</f>
        <v/>
      </c>
      <c r="H44" s="310" t="str">
        <f>IF(G44="","",VLOOKUP($B44,'C-1 On-Site WaterC'' Baseline'!$C$9:$R$257,7,FALSE))</f>
        <v/>
      </c>
      <c r="I44" s="310" t="str">
        <f>IF(H44="","",VLOOKUP($B44,'C-1 On-Site WaterC'' Baseline'!$C$9:$R$257,8,FALSE))</f>
        <v/>
      </c>
      <c r="J44" s="310" t="str">
        <f>IF(I44="","",VLOOKUP($B44,'C-1 On-Site WaterC'' Baseline'!$C$9:$R$257,9,FALSE))</f>
        <v/>
      </c>
      <c r="K44" s="310" t="str">
        <f>IF(J44="","",VLOOKUP($B44,'C-1 On-Site WaterC'' Baseline'!$C$9:$R$257,10,FALSE))</f>
        <v/>
      </c>
      <c r="L44" s="310" t="str">
        <f>IF(B44="","",VLOOKUP($B44,'C-1 On-Site WaterC'' Baseline'!$C$9:$R$257,15,FALSE))</f>
        <v/>
      </c>
      <c r="M44" s="314" t="str">
        <f>IF(L44="","",VLOOKUP($B44,'C-1 On-Site WaterC'' Baseline'!$C$9:$R$257,16,FALSE))</f>
        <v/>
      </c>
      <c r="N44" s="259"/>
      <c r="O44" s="290" t="str">
        <f t="shared" si="1"/>
        <v/>
      </c>
      <c r="P44" s="291" t="str">
        <f t="shared" si="2"/>
        <v/>
      </c>
      <c r="Q44" s="346" t="str">
        <f>IF(N44="","",VLOOKUP(B44,'C-1 On-Site WaterC'' Baseline'!$C$10:$AC$257,20,FALSE))</f>
        <v/>
      </c>
      <c r="R44" s="290" t="str">
        <f>IF(N44="","",VLOOKUP(N44,'G-7 WaterC'' Data'!$B$2:$G$8,2,FALSE))</f>
        <v/>
      </c>
      <c r="S44" s="291" t="str">
        <f>IFERROR(VLOOKUP(R44,'G-7 WaterC'' Data'!$C$4:$D$8,2,FALSE),"")</f>
        <v/>
      </c>
      <c r="T44" s="95"/>
      <c r="U44" s="291" t="str">
        <f>IFERROR(INDEX('G-7 WaterC'' Data'!$H$4:$L$8,MATCH(N44,'G-7 WaterC'' Data'!$B$4:$B$8,0),MATCH(T44,'G-7 WaterC'' Data'!$H$3:$L$3,0)),"")</f>
        <v/>
      </c>
      <c r="V44" s="95"/>
      <c r="W44" s="298" t="str">
        <f>IF(V44="","",IF(VLOOKUP(V44,'G-7 WaterC'' Data'!$AK$4:$AM$6,2,FALSE)=0,"Spatial Data Missing ⚠",VLOOKUP(V44,'G-7 WaterC'' Data'!$AK$4:$AM$6,2,FALSE)))</f>
        <v/>
      </c>
      <c r="X44" s="291" t="str">
        <f>IF(V44="","",IF(VLOOKUP(V44,'G-7 WaterC'' Data'!$AK$4:$AM$6,3,FALSE)=0,"Spatial Data Missing ⚠",VLOOKUP(V44,'G-7 WaterC'' Data'!$AK$4:$AM$6,3,FALSE)))</f>
        <v/>
      </c>
      <c r="Y44" s="290" t="str">
        <f>IFERROR(IF(OR(LEFT(P44,5)="Error",LEFT(O44,5)="Error ▲"),"Check Data ⚠",IF(F44&lt;S44,'G-7 WaterC'' Data'!$R$3,INDEX('G-7 WaterC'' Data'!$U$5:$Y$9,MATCH(G44,'G-7 WaterC'' Data'!$T$5:$T$9,0),MATCH(T44,'G-7 WaterC'' Data'!$U$4:$Y$4,0)))),"")</f>
        <v/>
      </c>
      <c r="Z44" s="138"/>
      <c r="AA44" s="138"/>
      <c r="AB44" s="298" t="str">
        <f t="shared" si="3"/>
        <v/>
      </c>
      <c r="AC44" s="311" t="str">
        <f t="shared" si="4"/>
        <v/>
      </c>
      <c r="AD44" s="344" t="str">
        <f>IFERROR(IF(AC44="Check Data ⚠","Check Data ⚠",VLOOKUP(AC44,'G-4 Temporal multipliers'!$A$4:$C$37,3,FALSE)),"")</f>
        <v/>
      </c>
      <c r="AE44" s="290" t="str">
        <f>IF(N44="","",VLOOKUP(N44,'G-7 WaterC'' Data'!$B$4:$G$8,5,FALSE))</f>
        <v/>
      </c>
      <c r="AF44" s="298" t="str">
        <f t="shared" si="5"/>
        <v/>
      </c>
      <c r="AG44" s="328" t="str">
        <f t="shared" si="6"/>
        <v/>
      </c>
      <c r="AH44" s="291" t="str">
        <f t="shared" si="0"/>
        <v/>
      </c>
      <c r="AI44" s="103"/>
      <c r="AJ44" s="291" t="str">
        <f>IF(AI44="","",IF(AND(AI44="N/A - Culvert",N44&lt;&gt;"Culvert"),"Not possible ▲",IF(VLOOKUP(AI44,'G-7 WaterC'' Data'!$AA$4:$AB$7,2,FALSE)=0,"Spatial Data Missing ⚠",VLOOKUP(AI44,'G-7 WaterC'' Data'!$AA$4:$AB$7,2,FALSE))))</f>
        <v/>
      </c>
      <c r="AK44" s="104"/>
      <c r="AL44" s="291" t="str">
        <f>IF(AK44="","",IF(AND(AK44="N/A - Culvert",N44&lt;&gt;"Culvert"),"Not possible ▲",IF(VLOOKUP(AK44,'G-7 WaterC'' Data'!$AD$4:$AE$14,2,FALSE)=0,"Spatial Data Missing ⚠",VLOOKUP(AK44,'G-7 WaterC'' Data'!$AD$4:$AE$14,2,FALSE))))</f>
        <v/>
      </c>
      <c r="AM44" s="332" t="str">
        <f t="shared" si="7"/>
        <v/>
      </c>
      <c r="AN44" s="98"/>
      <c r="AO44" s="99"/>
      <c r="AP44" s="101"/>
      <c r="AS44" s="15" t="str">
        <f>IF(B44="","",IF(ISNA(VLOOKUP($B44,'C-1 On-Site WaterC'' Baseline'!$C$8:$AD$257,17,FALSE)),"",(VLOOKUP($B44,'C-1 On-Site WaterC'' Baseline'!$C$8:$AD$257,17,FALSE))))</f>
        <v/>
      </c>
      <c r="AT44" s="15" t="str">
        <f>IF(B44="","",VLOOKUP($B44,'C-1 On-Site WaterC'' Baseline'!$C$9:$Z$257,12,FALSE))</f>
        <v/>
      </c>
      <c r="AU44" s="15" t="str">
        <f>IF(B44="","",VLOOKUP($B44,'C-1 On-Site WaterC'' Baseline'!$C$9:$Z$257,14,FALSE))</f>
        <v/>
      </c>
      <c r="AV44" s="15" t="str">
        <f>IFERROR(INDEX('G-7 WaterC'' Data'!$AZ$3:$AZ$7,MATCH(N44,'G-7 WaterC'' Data'!$AY$3:$AY$7,0)),"")</f>
        <v/>
      </c>
      <c r="AX44" s="15" t="str">
        <f>IF(B44="","",VLOOKUP($B44,'C-1 On-Site WaterC'' Baseline'!$C$9:$Y$257,22,FALSE))</f>
        <v/>
      </c>
      <c r="AY44" s="15" t="str">
        <f t="shared" si="8"/>
        <v/>
      </c>
      <c r="AZ44" s="15" t="str">
        <f>IF(B44="","",VLOOKUP($B44,'C-1 On-Site WaterC'' Baseline'!$C$9:$Y$257,21,FALSE))</f>
        <v/>
      </c>
      <c r="BA44" s="15" t="str">
        <f>IF(B44="","",VLOOKUP($B44,'C-1 On-Site WaterC'' Baseline'!$C$9:$Y$257,19,FALSE))</f>
        <v/>
      </c>
    </row>
    <row r="45" spans="2:53" ht="14" x14ac:dyDescent="0.3">
      <c r="B45" s="319" t="str">
        <f>'C-1 On-Site WaterC'' Baseline'!AP43</f>
        <v/>
      </c>
      <c r="C45" s="310" t="str">
        <f>IF(B45="","",VLOOKUP($B45,'C-1 On-Site WaterC'' Baseline'!$C$9:$R$257,2,FALSE))</f>
        <v/>
      </c>
      <c r="D45" s="310" t="str">
        <f>IF(C45="","",VLOOKUP($B45,'C-1 On-Site WaterC'' Baseline'!$C$9:$R$257,3,FALSE))</f>
        <v/>
      </c>
      <c r="E45" s="310" t="str">
        <f>IF(D45="","",VLOOKUP($B45,'C-1 On-Site WaterC'' Baseline'!$C$9:$R$257,4,FALSE))</f>
        <v/>
      </c>
      <c r="F45" s="310" t="str">
        <f>IF(E45="","",VLOOKUP($B45,'C-1 On-Site WaterC'' Baseline'!$C$9:$R$257,5,FALSE))</f>
        <v/>
      </c>
      <c r="G45" s="310" t="str">
        <f>IF(F45="","",VLOOKUP($B45,'C-1 On-Site WaterC'' Baseline'!$C$9:$R$257,6,FALSE))</f>
        <v/>
      </c>
      <c r="H45" s="310" t="str">
        <f>IF(G45="","",VLOOKUP($B45,'C-1 On-Site WaterC'' Baseline'!$C$9:$R$257,7,FALSE))</f>
        <v/>
      </c>
      <c r="I45" s="310" t="str">
        <f>IF(H45="","",VLOOKUP($B45,'C-1 On-Site WaterC'' Baseline'!$C$9:$R$257,8,FALSE))</f>
        <v/>
      </c>
      <c r="J45" s="310" t="str">
        <f>IF(I45="","",VLOOKUP($B45,'C-1 On-Site WaterC'' Baseline'!$C$9:$R$257,9,FALSE))</f>
        <v/>
      </c>
      <c r="K45" s="310" t="str">
        <f>IF(J45="","",VLOOKUP($B45,'C-1 On-Site WaterC'' Baseline'!$C$9:$R$257,10,FALSE))</f>
        <v/>
      </c>
      <c r="L45" s="310" t="str">
        <f>IF(B45="","",VLOOKUP($B45,'C-1 On-Site WaterC'' Baseline'!$C$9:$R$257,15,FALSE))</f>
        <v/>
      </c>
      <c r="M45" s="314" t="str">
        <f>IF(L45="","",VLOOKUP($B45,'C-1 On-Site WaterC'' Baseline'!$C$9:$R$257,16,FALSE))</f>
        <v/>
      </c>
      <c r="N45" s="259"/>
      <c r="O45" s="290" t="str">
        <f t="shared" si="1"/>
        <v/>
      </c>
      <c r="P45" s="291" t="str">
        <f t="shared" si="2"/>
        <v/>
      </c>
      <c r="Q45" s="346" t="str">
        <f>IF(N45="","",VLOOKUP(B45,'C-1 On-Site WaterC'' Baseline'!$C$10:$AC$257,20,FALSE))</f>
        <v/>
      </c>
      <c r="R45" s="290" t="str">
        <f>IF(N45="","",VLOOKUP(N45,'G-7 WaterC'' Data'!$B$2:$G$8,2,FALSE))</f>
        <v/>
      </c>
      <c r="S45" s="291" t="str">
        <f>IFERROR(VLOOKUP(R45,'G-7 WaterC'' Data'!$C$4:$D$8,2,FALSE),"")</f>
        <v/>
      </c>
      <c r="T45" s="95"/>
      <c r="U45" s="291" t="str">
        <f>IFERROR(INDEX('G-7 WaterC'' Data'!$H$4:$L$8,MATCH(N45,'G-7 WaterC'' Data'!$B$4:$B$8,0),MATCH(T45,'G-7 WaterC'' Data'!$H$3:$L$3,0)),"")</f>
        <v/>
      </c>
      <c r="V45" s="95"/>
      <c r="W45" s="298" t="str">
        <f>IF(V45="","",IF(VLOOKUP(V45,'G-7 WaterC'' Data'!$AK$4:$AM$6,2,FALSE)=0,"Spatial Data Missing ⚠",VLOOKUP(V45,'G-7 WaterC'' Data'!$AK$4:$AM$6,2,FALSE)))</f>
        <v/>
      </c>
      <c r="X45" s="291" t="str">
        <f>IF(V45="","",IF(VLOOKUP(V45,'G-7 WaterC'' Data'!$AK$4:$AM$6,3,FALSE)=0,"Spatial Data Missing ⚠",VLOOKUP(V45,'G-7 WaterC'' Data'!$AK$4:$AM$6,3,FALSE)))</f>
        <v/>
      </c>
      <c r="Y45" s="290" t="str">
        <f>IFERROR(IF(OR(LEFT(P45,5)="Error",LEFT(O45,5)="Error ▲"),"Check Data ⚠",IF(F45&lt;S45,'G-7 WaterC'' Data'!$R$3,INDEX('G-7 WaterC'' Data'!$U$5:$Y$9,MATCH(G45,'G-7 WaterC'' Data'!$T$5:$T$9,0),MATCH(T45,'G-7 WaterC'' Data'!$U$4:$Y$4,0)))),"")</f>
        <v/>
      </c>
      <c r="Z45" s="138"/>
      <c r="AA45" s="138"/>
      <c r="AB45" s="298" t="str">
        <f t="shared" si="3"/>
        <v/>
      </c>
      <c r="AC45" s="311" t="str">
        <f t="shared" si="4"/>
        <v/>
      </c>
      <c r="AD45" s="344" t="str">
        <f>IFERROR(IF(AC45="Check Data ⚠","Check Data ⚠",VLOOKUP(AC45,'G-4 Temporal multipliers'!$A$4:$C$37,3,FALSE)),"")</f>
        <v/>
      </c>
      <c r="AE45" s="290" t="str">
        <f>IF(N45="","",VLOOKUP(N45,'G-7 WaterC'' Data'!$B$4:$G$8,5,FALSE))</f>
        <v/>
      </c>
      <c r="AF45" s="298" t="str">
        <f t="shared" si="5"/>
        <v/>
      </c>
      <c r="AG45" s="328" t="str">
        <f t="shared" si="6"/>
        <v/>
      </c>
      <c r="AH45" s="291" t="str">
        <f t="shared" si="0"/>
        <v/>
      </c>
      <c r="AI45" s="103"/>
      <c r="AJ45" s="291" t="str">
        <f>IF(AI45="","",IF(AND(AI45="N/A - Culvert",N45&lt;&gt;"Culvert"),"Not possible ▲",IF(VLOOKUP(AI45,'G-7 WaterC'' Data'!$AA$4:$AB$7,2,FALSE)=0,"Spatial Data Missing ⚠",VLOOKUP(AI45,'G-7 WaterC'' Data'!$AA$4:$AB$7,2,FALSE))))</f>
        <v/>
      </c>
      <c r="AK45" s="104"/>
      <c r="AL45" s="291" t="str">
        <f>IF(AK45="","",IF(AND(AK45="N/A - Culvert",N45&lt;&gt;"Culvert"),"Not possible ▲",IF(VLOOKUP(AK45,'G-7 WaterC'' Data'!$AD$4:$AE$14,2,FALSE)=0,"Spatial Data Missing ⚠",VLOOKUP(AK45,'G-7 WaterC'' Data'!$AD$4:$AE$14,2,FALSE))))</f>
        <v/>
      </c>
      <c r="AM45" s="332" t="str">
        <f t="shared" si="7"/>
        <v/>
      </c>
      <c r="AN45" s="98"/>
      <c r="AO45" s="99"/>
      <c r="AP45" s="101"/>
      <c r="AS45" s="15" t="str">
        <f>IF(B45="","",IF(ISNA(VLOOKUP($B45,'C-1 On-Site WaterC'' Baseline'!$C$8:$AD$257,17,FALSE)),"",(VLOOKUP($B45,'C-1 On-Site WaterC'' Baseline'!$C$8:$AD$257,17,FALSE))))</f>
        <v/>
      </c>
      <c r="AT45" s="15" t="str">
        <f>IF(B45="","",VLOOKUP($B45,'C-1 On-Site WaterC'' Baseline'!$C$9:$Z$257,12,FALSE))</f>
        <v/>
      </c>
      <c r="AU45" s="15" t="str">
        <f>IF(B45="","",VLOOKUP($B45,'C-1 On-Site WaterC'' Baseline'!$C$9:$Z$257,14,FALSE))</f>
        <v/>
      </c>
      <c r="AV45" s="15" t="str">
        <f>IFERROR(INDEX('G-7 WaterC'' Data'!$AZ$3:$AZ$7,MATCH(N45,'G-7 WaterC'' Data'!$AY$3:$AY$7,0)),"")</f>
        <v/>
      </c>
      <c r="AX45" s="15" t="str">
        <f>IF(B45="","",VLOOKUP($B45,'C-1 On-Site WaterC'' Baseline'!$C$9:$Y$257,22,FALSE))</f>
        <v/>
      </c>
      <c r="AY45" s="15" t="str">
        <f t="shared" si="8"/>
        <v/>
      </c>
      <c r="AZ45" s="15" t="str">
        <f>IF(B45="","",VLOOKUP($B45,'C-1 On-Site WaterC'' Baseline'!$C$9:$Y$257,21,FALSE))</f>
        <v/>
      </c>
      <c r="BA45" s="15" t="str">
        <f>IF(B45="","",VLOOKUP($B45,'C-1 On-Site WaterC'' Baseline'!$C$9:$Y$257,19,FALSE))</f>
        <v/>
      </c>
    </row>
    <row r="46" spans="2:53" ht="14" x14ac:dyDescent="0.3">
      <c r="B46" s="319" t="str">
        <f>'C-1 On-Site WaterC'' Baseline'!AP44</f>
        <v/>
      </c>
      <c r="C46" s="310" t="str">
        <f>IF(B46="","",VLOOKUP($B46,'C-1 On-Site WaterC'' Baseline'!$C$9:$R$257,2,FALSE))</f>
        <v/>
      </c>
      <c r="D46" s="310" t="str">
        <f>IF(C46="","",VLOOKUP($B46,'C-1 On-Site WaterC'' Baseline'!$C$9:$R$257,3,FALSE))</f>
        <v/>
      </c>
      <c r="E46" s="310" t="str">
        <f>IF(D46="","",VLOOKUP($B46,'C-1 On-Site WaterC'' Baseline'!$C$9:$R$257,4,FALSE))</f>
        <v/>
      </c>
      <c r="F46" s="310" t="str">
        <f>IF(E46="","",VLOOKUP($B46,'C-1 On-Site WaterC'' Baseline'!$C$9:$R$257,5,FALSE))</f>
        <v/>
      </c>
      <c r="G46" s="310" t="str">
        <f>IF(F46="","",VLOOKUP($B46,'C-1 On-Site WaterC'' Baseline'!$C$9:$R$257,6,FALSE))</f>
        <v/>
      </c>
      <c r="H46" s="310" t="str">
        <f>IF(G46="","",VLOOKUP($B46,'C-1 On-Site WaterC'' Baseline'!$C$9:$R$257,7,FALSE))</f>
        <v/>
      </c>
      <c r="I46" s="310" t="str">
        <f>IF(H46="","",VLOOKUP($B46,'C-1 On-Site WaterC'' Baseline'!$C$9:$R$257,8,FALSE))</f>
        <v/>
      </c>
      <c r="J46" s="310" t="str">
        <f>IF(I46="","",VLOOKUP($B46,'C-1 On-Site WaterC'' Baseline'!$C$9:$R$257,9,FALSE))</f>
        <v/>
      </c>
      <c r="K46" s="310" t="str">
        <f>IF(J46="","",VLOOKUP($B46,'C-1 On-Site WaterC'' Baseline'!$C$9:$R$257,10,FALSE))</f>
        <v/>
      </c>
      <c r="L46" s="310" t="str">
        <f>IF(B46="","",VLOOKUP($B46,'C-1 On-Site WaterC'' Baseline'!$C$9:$R$257,15,FALSE))</f>
        <v/>
      </c>
      <c r="M46" s="314" t="str">
        <f>IF(L46="","",VLOOKUP($B46,'C-1 On-Site WaterC'' Baseline'!$C$9:$R$257,16,FALSE))</f>
        <v/>
      </c>
      <c r="N46" s="259"/>
      <c r="O46" s="290" t="str">
        <f t="shared" si="1"/>
        <v/>
      </c>
      <c r="P46" s="291" t="str">
        <f t="shared" si="2"/>
        <v/>
      </c>
      <c r="Q46" s="346" t="str">
        <f>IF(N46="","",VLOOKUP(B46,'C-1 On-Site WaterC'' Baseline'!$C$10:$AC$257,20,FALSE))</f>
        <v/>
      </c>
      <c r="R46" s="290" t="str">
        <f>IF(N46="","",VLOOKUP(N46,'G-7 WaterC'' Data'!$B$2:$G$8,2,FALSE))</f>
        <v/>
      </c>
      <c r="S46" s="291" t="str">
        <f>IFERROR(VLOOKUP(R46,'G-7 WaterC'' Data'!$C$4:$D$8,2,FALSE),"")</f>
        <v/>
      </c>
      <c r="T46" s="95"/>
      <c r="U46" s="291" t="str">
        <f>IFERROR(INDEX('G-7 WaterC'' Data'!$H$4:$L$8,MATCH(N46,'G-7 WaterC'' Data'!$B$4:$B$8,0),MATCH(T46,'G-7 WaterC'' Data'!$H$3:$L$3,0)),"")</f>
        <v/>
      </c>
      <c r="V46" s="95"/>
      <c r="W46" s="298" t="str">
        <f>IF(V46="","",IF(VLOOKUP(V46,'G-7 WaterC'' Data'!$AK$4:$AM$6,2,FALSE)=0,"Spatial Data Missing ⚠",VLOOKUP(V46,'G-7 WaterC'' Data'!$AK$4:$AM$6,2,FALSE)))</f>
        <v/>
      </c>
      <c r="X46" s="291" t="str">
        <f>IF(V46="","",IF(VLOOKUP(V46,'G-7 WaterC'' Data'!$AK$4:$AM$6,3,FALSE)=0,"Spatial Data Missing ⚠",VLOOKUP(V46,'G-7 WaterC'' Data'!$AK$4:$AM$6,3,FALSE)))</f>
        <v/>
      </c>
      <c r="Y46" s="290" t="str">
        <f>IFERROR(IF(OR(LEFT(P46,5)="Error",LEFT(O46,5)="Error ▲"),"Check Data ⚠",IF(F46&lt;S46,'G-7 WaterC'' Data'!$R$3,INDEX('G-7 WaterC'' Data'!$U$5:$Y$9,MATCH(G46,'G-7 WaterC'' Data'!$T$5:$T$9,0),MATCH(T46,'G-7 WaterC'' Data'!$U$4:$Y$4,0)))),"")</f>
        <v/>
      </c>
      <c r="Z46" s="138"/>
      <c r="AA46" s="138"/>
      <c r="AB46" s="298" t="str">
        <f t="shared" si="3"/>
        <v/>
      </c>
      <c r="AC46" s="311" t="str">
        <f t="shared" si="4"/>
        <v/>
      </c>
      <c r="AD46" s="344" t="str">
        <f>IFERROR(IF(AC46="Check Data ⚠","Check Data ⚠",VLOOKUP(AC46,'G-4 Temporal multipliers'!$A$4:$C$37,3,FALSE)),"")</f>
        <v/>
      </c>
      <c r="AE46" s="290" t="str">
        <f>IF(N46="","",VLOOKUP(N46,'G-7 WaterC'' Data'!$B$4:$G$8,5,FALSE))</f>
        <v/>
      </c>
      <c r="AF46" s="298" t="str">
        <f t="shared" si="5"/>
        <v/>
      </c>
      <c r="AG46" s="328" t="str">
        <f t="shared" si="6"/>
        <v/>
      </c>
      <c r="AH46" s="291" t="str">
        <f t="shared" si="0"/>
        <v/>
      </c>
      <c r="AI46" s="103"/>
      <c r="AJ46" s="291" t="str">
        <f>IF(AI46="","",IF(AND(AI46="N/A - Culvert",N46&lt;&gt;"Culvert"),"Not possible ▲",IF(VLOOKUP(AI46,'G-7 WaterC'' Data'!$AA$4:$AB$7,2,FALSE)=0,"Spatial Data Missing ⚠",VLOOKUP(AI46,'G-7 WaterC'' Data'!$AA$4:$AB$7,2,FALSE))))</f>
        <v/>
      </c>
      <c r="AK46" s="104"/>
      <c r="AL46" s="291" t="str">
        <f>IF(AK46="","",IF(AND(AK46="N/A - Culvert",N46&lt;&gt;"Culvert"),"Not possible ▲",IF(VLOOKUP(AK46,'G-7 WaterC'' Data'!$AD$4:$AE$14,2,FALSE)=0,"Spatial Data Missing ⚠",VLOOKUP(AK46,'G-7 WaterC'' Data'!$AD$4:$AE$14,2,FALSE))))</f>
        <v/>
      </c>
      <c r="AM46" s="332" t="str">
        <f t="shared" si="7"/>
        <v/>
      </c>
      <c r="AN46" s="98"/>
      <c r="AO46" s="99"/>
      <c r="AP46" s="101"/>
      <c r="AS46" s="15" t="str">
        <f>IF(B46="","",IF(ISNA(VLOOKUP($B46,'C-1 On-Site WaterC'' Baseline'!$C$8:$AD$257,17,FALSE)),"",(VLOOKUP($B46,'C-1 On-Site WaterC'' Baseline'!$C$8:$AD$257,17,FALSE))))</f>
        <v/>
      </c>
      <c r="AT46" s="15" t="str">
        <f>IF(B46="","",VLOOKUP($B46,'C-1 On-Site WaterC'' Baseline'!$C$9:$Z$257,12,FALSE))</f>
        <v/>
      </c>
      <c r="AU46" s="15" t="str">
        <f>IF(B46="","",VLOOKUP($B46,'C-1 On-Site WaterC'' Baseline'!$C$9:$Z$257,14,FALSE))</f>
        <v/>
      </c>
      <c r="AV46" s="15" t="str">
        <f>IFERROR(INDEX('G-7 WaterC'' Data'!$AZ$3:$AZ$7,MATCH(N46,'G-7 WaterC'' Data'!$AY$3:$AY$7,0)),"")</f>
        <v/>
      </c>
      <c r="AX46" s="15" t="str">
        <f>IF(B46="","",VLOOKUP($B46,'C-1 On-Site WaterC'' Baseline'!$C$9:$Y$257,22,FALSE))</f>
        <v/>
      </c>
      <c r="AY46" s="15" t="str">
        <f t="shared" si="8"/>
        <v/>
      </c>
      <c r="AZ46" s="15" t="str">
        <f>IF(B46="","",VLOOKUP($B46,'C-1 On-Site WaterC'' Baseline'!$C$9:$Y$257,21,FALSE))</f>
        <v/>
      </c>
      <c r="BA46" s="15" t="str">
        <f>IF(B46="","",VLOOKUP($B46,'C-1 On-Site WaterC'' Baseline'!$C$9:$Y$257,19,FALSE))</f>
        <v/>
      </c>
    </row>
    <row r="47" spans="2:53" ht="14" x14ac:dyDescent="0.3">
      <c r="B47" s="319" t="str">
        <f>'C-1 On-Site WaterC'' Baseline'!AP45</f>
        <v/>
      </c>
      <c r="C47" s="310" t="str">
        <f>IF(B47="","",VLOOKUP($B47,'C-1 On-Site WaterC'' Baseline'!$C$9:$R$257,2,FALSE))</f>
        <v/>
      </c>
      <c r="D47" s="310" t="str">
        <f>IF(C47="","",VLOOKUP($B47,'C-1 On-Site WaterC'' Baseline'!$C$9:$R$257,3,FALSE))</f>
        <v/>
      </c>
      <c r="E47" s="310" t="str">
        <f>IF(D47="","",VLOOKUP($B47,'C-1 On-Site WaterC'' Baseline'!$C$9:$R$257,4,FALSE))</f>
        <v/>
      </c>
      <c r="F47" s="310" t="str">
        <f>IF(E47="","",VLOOKUP($B47,'C-1 On-Site WaterC'' Baseline'!$C$9:$R$257,5,FALSE))</f>
        <v/>
      </c>
      <c r="G47" s="310" t="str">
        <f>IF(F47="","",VLOOKUP($B47,'C-1 On-Site WaterC'' Baseline'!$C$9:$R$257,6,FALSE))</f>
        <v/>
      </c>
      <c r="H47" s="310" t="str">
        <f>IF(G47="","",VLOOKUP($B47,'C-1 On-Site WaterC'' Baseline'!$C$9:$R$257,7,FALSE))</f>
        <v/>
      </c>
      <c r="I47" s="310" t="str">
        <f>IF(H47="","",VLOOKUP($B47,'C-1 On-Site WaterC'' Baseline'!$C$9:$R$257,8,FALSE))</f>
        <v/>
      </c>
      <c r="J47" s="310" t="str">
        <f>IF(I47="","",VLOOKUP($B47,'C-1 On-Site WaterC'' Baseline'!$C$9:$R$257,9,FALSE))</f>
        <v/>
      </c>
      <c r="K47" s="310" t="str">
        <f>IF(J47="","",VLOOKUP($B47,'C-1 On-Site WaterC'' Baseline'!$C$9:$R$257,10,FALSE))</f>
        <v/>
      </c>
      <c r="L47" s="310" t="str">
        <f>IF(B47="","",VLOOKUP($B47,'C-1 On-Site WaterC'' Baseline'!$C$9:$R$257,15,FALSE))</f>
        <v/>
      </c>
      <c r="M47" s="314" t="str">
        <f>IF(L47="","",VLOOKUP($B47,'C-1 On-Site WaterC'' Baseline'!$C$9:$R$257,16,FALSE))</f>
        <v/>
      </c>
      <c r="N47" s="259"/>
      <c r="O47" s="290" t="str">
        <f t="shared" si="1"/>
        <v/>
      </c>
      <c r="P47" s="291" t="str">
        <f t="shared" si="2"/>
        <v/>
      </c>
      <c r="Q47" s="346" t="str">
        <f>IF(N47="","",VLOOKUP(B47,'C-1 On-Site WaterC'' Baseline'!$C$10:$AC$257,20,FALSE))</f>
        <v/>
      </c>
      <c r="R47" s="290" t="str">
        <f>IF(N47="","",VLOOKUP(N47,'G-7 WaterC'' Data'!$B$2:$G$8,2,FALSE))</f>
        <v/>
      </c>
      <c r="S47" s="291" t="str">
        <f>IFERROR(VLOOKUP(R47,'G-7 WaterC'' Data'!$C$4:$D$8,2,FALSE),"")</f>
        <v/>
      </c>
      <c r="T47" s="95"/>
      <c r="U47" s="291" t="str">
        <f>IFERROR(INDEX('G-7 WaterC'' Data'!$H$4:$L$8,MATCH(N47,'G-7 WaterC'' Data'!$B$4:$B$8,0),MATCH(T47,'G-7 WaterC'' Data'!$H$3:$L$3,0)),"")</f>
        <v/>
      </c>
      <c r="V47" s="95"/>
      <c r="W47" s="298" t="str">
        <f>IF(V47="","",IF(VLOOKUP(V47,'G-7 WaterC'' Data'!$AK$4:$AM$6,2,FALSE)=0,"Spatial Data Missing ⚠",VLOOKUP(V47,'G-7 WaterC'' Data'!$AK$4:$AM$6,2,FALSE)))</f>
        <v/>
      </c>
      <c r="X47" s="291" t="str">
        <f>IF(V47="","",IF(VLOOKUP(V47,'G-7 WaterC'' Data'!$AK$4:$AM$6,3,FALSE)=0,"Spatial Data Missing ⚠",VLOOKUP(V47,'G-7 WaterC'' Data'!$AK$4:$AM$6,3,FALSE)))</f>
        <v/>
      </c>
      <c r="Y47" s="290" t="str">
        <f>IFERROR(IF(OR(LEFT(P47,5)="Error",LEFT(O47,5)="Error ▲"),"Check Data ⚠",IF(F47&lt;S47,'G-7 WaterC'' Data'!$R$3,INDEX('G-7 WaterC'' Data'!$U$5:$Y$9,MATCH(G47,'G-7 WaterC'' Data'!$T$5:$T$9,0),MATCH(T47,'G-7 WaterC'' Data'!$U$4:$Y$4,0)))),"")</f>
        <v/>
      </c>
      <c r="Z47" s="138"/>
      <c r="AA47" s="138"/>
      <c r="AB47" s="298" t="str">
        <f t="shared" si="3"/>
        <v/>
      </c>
      <c r="AC47" s="311" t="str">
        <f t="shared" si="4"/>
        <v/>
      </c>
      <c r="AD47" s="344" t="str">
        <f>IFERROR(IF(AC47="Check Data ⚠","Check Data ⚠",VLOOKUP(AC47,'G-4 Temporal multipliers'!$A$4:$C$37,3,FALSE)),"")</f>
        <v/>
      </c>
      <c r="AE47" s="290" t="str">
        <f>IF(N47="","",VLOOKUP(N47,'G-7 WaterC'' Data'!$B$4:$G$8,5,FALSE))</f>
        <v/>
      </c>
      <c r="AF47" s="298" t="str">
        <f t="shared" si="5"/>
        <v/>
      </c>
      <c r="AG47" s="328" t="str">
        <f t="shared" si="6"/>
        <v/>
      </c>
      <c r="AH47" s="291" t="str">
        <f t="shared" si="0"/>
        <v/>
      </c>
      <c r="AI47" s="103"/>
      <c r="AJ47" s="291" t="str">
        <f>IF(AI47="","",IF(AND(AI47="N/A - Culvert",N47&lt;&gt;"Culvert"),"Not possible ▲",IF(VLOOKUP(AI47,'G-7 WaterC'' Data'!$AA$4:$AB$7,2,FALSE)=0,"Spatial Data Missing ⚠",VLOOKUP(AI47,'G-7 WaterC'' Data'!$AA$4:$AB$7,2,FALSE))))</f>
        <v/>
      </c>
      <c r="AK47" s="104"/>
      <c r="AL47" s="291" t="str">
        <f>IF(AK47="","",IF(AND(AK47="N/A - Culvert",N47&lt;&gt;"Culvert"),"Not possible ▲",IF(VLOOKUP(AK47,'G-7 WaterC'' Data'!$AD$4:$AE$14,2,FALSE)=0,"Spatial Data Missing ⚠",VLOOKUP(AK47,'G-7 WaterC'' Data'!$AD$4:$AE$14,2,FALSE))))</f>
        <v/>
      </c>
      <c r="AM47" s="332" t="str">
        <f t="shared" si="7"/>
        <v/>
      </c>
      <c r="AN47" s="98"/>
      <c r="AO47" s="99"/>
      <c r="AP47" s="101"/>
      <c r="AS47" s="15" t="str">
        <f>IF(B47="","",IF(ISNA(VLOOKUP($B47,'C-1 On-Site WaterC'' Baseline'!$C$8:$AD$257,17,FALSE)),"",(VLOOKUP($B47,'C-1 On-Site WaterC'' Baseline'!$C$8:$AD$257,17,FALSE))))</f>
        <v/>
      </c>
      <c r="AT47" s="15" t="str">
        <f>IF(B47="","",VLOOKUP($B47,'C-1 On-Site WaterC'' Baseline'!$C$9:$Z$257,12,FALSE))</f>
        <v/>
      </c>
      <c r="AU47" s="15" t="str">
        <f>IF(B47="","",VLOOKUP($B47,'C-1 On-Site WaterC'' Baseline'!$C$9:$Z$257,14,FALSE))</f>
        <v/>
      </c>
      <c r="AV47" s="15" t="str">
        <f>IFERROR(INDEX('G-7 WaterC'' Data'!$AZ$3:$AZ$7,MATCH(N47,'G-7 WaterC'' Data'!$AY$3:$AY$7,0)),"")</f>
        <v/>
      </c>
      <c r="AX47" s="15" t="str">
        <f>IF(B47="","",VLOOKUP($B47,'C-1 On-Site WaterC'' Baseline'!$C$9:$Y$257,22,FALSE))</f>
        <v/>
      </c>
      <c r="AY47" s="15" t="str">
        <f t="shared" si="8"/>
        <v/>
      </c>
      <c r="AZ47" s="15" t="str">
        <f>IF(B47="","",VLOOKUP($B47,'C-1 On-Site WaterC'' Baseline'!$C$9:$Y$257,21,FALSE))</f>
        <v/>
      </c>
      <c r="BA47" s="15" t="str">
        <f>IF(B47="","",VLOOKUP($B47,'C-1 On-Site WaterC'' Baseline'!$C$9:$Y$257,19,FALSE))</f>
        <v/>
      </c>
    </row>
    <row r="48" spans="2:53" ht="14" x14ac:dyDescent="0.3">
      <c r="B48" s="319" t="str">
        <f>'C-1 On-Site WaterC'' Baseline'!AP46</f>
        <v/>
      </c>
      <c r="C48" s="310" t="str">
        <f>IF(B48="","",VLOOKUP($B48,'C-1 On-Site WaterC'' Baseline'!$C$9:$R$257,2,FALSE))</f>
        <v/>
      </c>
      <c r="D48" s="310" t="str">
        <f>IF(C48="","",VLOOKUP($B48,'C-1 On-Site WaterC'' Baseline'!$C$9:$R$257,3,FALSE))</f>
        <v/>
      </c>
      <c r="E48" s="310" t="str">
        <f>IF(D48="","",VLOOKUP($B48,'C-1 On-Site WaterC'' Baseline'!$C$9:$R$257,4,FALSE))</f>
        <v/>
      </c>
      <c r="F48" s="310" t="str">
        <f>IF(E48="","",VLOOKUP($B48,'C-1 On-Site WaterC'' Baseline'!$C$9:$R$257,5,FALSE))</f>
        <v/>
      </c>
      <c r="G48" s="310" t="str">
        <f>IF(F48="","",VLOOKUP($B48,'C-1 On-Site WaterC'' Baseline'!$C$9:$R$257,6,FALSE))</f>
        <v/>
      </c>
      <c r="H48" s="310" t="str">
        <f>IF(G48="","",VLOOKUP($B48,'C-1 On-Site WaterC'' Baseline'!$C$9:$R$257,7,FALSE))</f>
        <v/>
      </c>
      <c r="I48" s="310" t="str">
        <f>IF(H48="","",VLOOKUP($B48,'C-1 On-Site WaterC'' Baseline'!$C$9:$R$257,8,FALSE))</f>
        <v/>
      </c>
      <c r="J48" s="310" t="str">
        <f>IF(I48="","",VLOOKUP($B48,'C-1 On-Site WaterC'' Baseline'!$C$9:$R$257,9,FALSE))</f>
        <v/>
      </c>
      <c r="K48" s="310" t="str">
        <f>IF(J48="","",VLOOKUP($B48,'C-1 On-Site WaterC'' Baseline'!$C$9:$R$257,10,FALSE))</f>
        <v/>
      </c>
      <c r="L48" s="310" t="str">
        <f>IF(B48="","",VLOOKUP($B48,'C-1 On-Site WaterC'' Baseline'!$C$9:$R$257,15,FALSE))</f>
        <v/>
      </c>
      <c r="M48" s="314" t="str">
        <f>IF(L48="","",VLOOKUP($B48,'C-1 On-Site WaterC'' Baseline'!$C$9:$R$257,16,FALSE))</f>
        <v/>
      </c>
      <c r="N48" s="259"/>
      <c r="O48" s="290" t="str">
        <f t="shared" si="1"/>
        <v/>
      </c>
      <c r="P48" s="291" t="str">
        <f t="shared" si="2"/>
        <v/>
      </c>
      <c r="Q48" s="346" t="str">
        <f>IF(N48="","",VLOOKUP(B48,'C-1 On-Site WaterC'' Baseline'!$C$10:$AC$257,20,FALSE))</f>
        <v/>
      </c>
      <c r="R48" s="290" t="str">
        <f>IF(N48="","",VLOOKUP(N48,'G-7 WaterC'' Data'!$B$2:$G$8,2,FALSE))</f>
        <v/>
      </c>
      <c r="S48" s="291" t="str">
        <f>IFERROR(VLOOKUP(R48,'G-7 WaterC'' Data'!$C$4:$D$8,2,FALSE),"")</f>
        <v/>
      </c>
      <c r="T48" s="95"/>
      <c r="U48" s="291" t="str">
        <f>IFERROR(INDEX('G-7 WaterC'' Data'!$H$4:$L$8,MATCH(N48,'G-7 WaterC'' Data'!$B$4:$B$8,0),MATCH(T48,'G-7 WaterC'' Data'!$H$3:$L$3,0)),"")</f>
        <v/>
      </c>
      <c r="V48" s="95"/>
      <c r="W48" s="298" t="str">
        <f>IF(V48="","",IF(VLOOKUP(V48,'G-7 WaterC'' Data'!$AK$4:$AM$6,2,FALSE)=0,"Spatial Data Missing ⚠",VLOOKUP(V48,'G-7 WaterC'' Data'!$AK$4:$AM$6,2,FALSE)))</f>
        <v/>
      </c>
      <c r="X48" s="291" t="str">
        <f>IF(V48="","",IF(VLOOKUP(V48,'G-7 WaterC'' Data'!$AK$4:$AM$6,3,FALSE)=0,"Spatial Data Missing ⚠",VLOOKUP(V48,'G-7 WaterC'' Data'!$AK$4:$AM$6,3,FALSE)))</f>
        <v/>
      </c>
      <c r="Y48" s="290" t="str">
        <f>IFERROR(IF(OR(LEFT(P48,5)="Error",LEFT(O48,5)="Error ▲"),"Check Data ⚠",IF(F48&lt;S48,'G-7 WaterC'' Data'!$R$3,INDEX('G-7 WaterC'' Data'!$U$5:$Y$9,MATCH(G48,'G-7 WaterC'' Data'!$T$5:$T$9,0),MATCH(T48,'G-7 WaterC'' Data'!$U$4:$Y$4,0)))),"")</f>
        <v/>
      </c>
      <c r="Z48" s="138"/>
      <c r="AA48" s="138"/>
      <c r="AB48" s="298" t="str">
        <f t="shared" si="3"/>
        <v/>
      </c>
      <c r="AC48" s="311" t="str">
        <f t="shared" si="4"/>
        <v/>
      </c>
      <c r="AD48" s="344" t="str">
        <f>IFERROR(IF(AC48="Check Data ⚠","Check Data ⚠",VLOOKUP(AC48,'G-4 Temporal multipliers'!$A$4:$C$37,3,FALSE)),"")</f>
        <v/>
      </c>
      <c r="AE48" s="290" t="str">
        <f>IF(N48="","",VLOOKUP(N48,'G-7 WaterC'' Data'!$B$4:$G$8,5,FALSE))</f>
        <v/>
      </c>
      <c r="AF48" s="298" t="str">
        <f t="shared" si="5"/>
        <v/>
      </c>
      <c r="AG48" s="328" t="str">
        <f t="shared" si="6"/>
        <v/>
      </c>
      <c r="AH48" s="291" t="str">
        <f t="shared" si="0"/>
        <v/>
      </c>
      <c r="AI48" s="103"/>
      <c r="AJ48" s="291" t="str">
        <f>IF(AI48="","",IF(AND(AI48="N/A - Culvert",N48&lt;&gt;"Culvert"),"Not possible ▲",IF(VLOOKUP(AI48,'G-7 WaterC'' Data'!$AA$4:$AB$7,2,FALSE)=0,"Spatial Data Missing ⚠",VLOOKUP(AI48,'G-7 WaterC'' Data'!$AA$4:$AB$7,2,FALSE))))</f>
        <v/>
      </c>
      <c r="AK48" s="104"/>
      <c r="AL48" s="291" t="str">
        <f>IF(AK48="","",IF(AND(AK48="N/A - Culvert",N48&lt;&gt;"Culvert"),"Not possible ▲",IF(VLOOKUP(AK48,'G-7 WaterC'' Data'!$AD$4:$AE$14,2,FALSE)=0,"Spatial Data Missing ⚠",VLOOKUP(AK48,'G-7 WaterC'' Data'!$AD$4:$AE$14,2,FALSE))))</f>
        <v/>
      </c>
      <c r="AM48" s="332" t="str">
        <f t="shared" si="7"/>
        <v/>
      </c>
      <c r="AN48" s="98"/>
      <c r="AO48" s="99"/>
      <c r="AP48" s="101"/>
      <c r="AS48" s="15" t="str">
        <f>IF(B48="","",IF(ISNA(VLOOKUP($B48,'C-1 On-Site WaterC'' Baseline'!$C$8:$AD$257,17,FALSE)),"",(VLOOKUP($B48,'C-1 On-Site WaterC'' Baseline'!$C$8:$AD$257,17,FALSE))))</f>
        <v/>
      </c>
      <c r="AT48" s="15" t="str">
        <f>IF(B48="","",VLOOKUP($B48,'C-1 On-Site WaterC'' Baseline'!$C$9:$Z$257,12,FALSE))</f>
        <v/>
      </c>
      <c r="AU48" s="15" t="str">
        <f>IF(B48="","",VLOOKUP($B48,'C-1 On-Site WaterC'' Baseline'!$C$9:$Z$257,14,FALSE))</f>
        <v/>
      </c>
      <c r="AV48" s="15" t="str">
        <f>IFERROR(INDEX('G-7 WaterC'' Data'!$AZ$3:$AZ$7,MATCH(N48,'G-7 WaterC'' Data'!$AY$3:$AY$7,0)),"")</f>
        <v/>
      </c>
      <c r="AX48" s="15" t="str">
        <f>IF(B48="","",VLOOKUP($B48,'C-1 On-Site WaterC'' Baseline'!$C$9:$Y$257,22,FALSE))</f>
        <v/>
      </c>
      <c r="AY48" s="15" t="str">
        <f t="shared" si="8"/>
        <v/>
      </c>
      <c r="AZ48" s="15" t="str">
        <f>IF(B48="","",VLOOKUP($B48,'C-1 On-Site WaterC'' Baseline'!$C$9:$Y$257,21,FALSE))</f>
        <v/>
      </c>
      <c r="BA48" s="15" t="str">
        <f>IF(B48="","",VLOOKUP($B48,'C-1 On-Site WaterC'' Baseline'!$C$9:$Y$257,19,FALSE))</f>
        <v/>
      </c>
    </row>
    <row r="49" spans="2:53" ht="14" x14ac:dyDescent="0.3">
      <c r="B49" s="319" t="str">
        <f>'C-1 On-Site WaterC'' Baseline'!AP47</f>
        <v/>
      </c>
      <c r="C49" s="310" t="str">
        <f>IF(B49="","",VLOOKUP($B49,'C-1 On-Site WaterC'' Baseline'!$C$9:$R$257,2,FALSE))</f>
        <v/>
      </c>
      <c r="D49" s="310" t="str">
        <f>IF(C49="","",VLOOKUP($B49,'C-1 On-Site WaterC'' Baseline'!$C$9:$R$257,3,FALSE))</f>
        <v/>
      </c>
      <c r="E49" s="310" t="str">
        <f>IF(D49="","",VLOOKUP($B49,'C-1 On-Site WaterC'' Baseline'!$C$9:$R$257,4,FALSE))</f>
        <v/>
      </c>
      <c r="F49" s="310" t="str">
        <f>IF(E49="","",VLOOKUP($B49,'C-1 On-Site WaterC'' Baseline'!$C$9:$R$257,5,FALSE))</f>
        <v/>
      </c>
      <c r="G49" s="310" t="str">
        <f>IF(F49="","",VLOOKUP($B49,'C-1 On-Site WaterC'' Baseline'!$C$9:$R$257,6,FALSE))</f>
        <v/>
      </c>
      <c r="H49" s="310" t="str">
        <f>IF(G49="","",VLOOKUP($B49,'C-1 On-Site WaterC'' Baseline'!$C$9:$R$257,7,FALSE))</f>
        <v/>
      </c>
      <c r="I49" s="310" t="str">
        <f>IF(H49="","",VLOOKUP($B49,'C-1 On-Site WaterC'' Baseline'!$C$9:$R$257,8,FALSE))</f>
        <v/>
      </c>
      <c r="J49" s="310" t="str">
        <f>IF(I49="","",VLOOKUP($B49,'C-1 On-Site WaterC'' Baseline'!$C$9:$R$257,9,FALSE))</f>
        <v/>
      </c>
      <c r="K49" s="310" t="str">
        <f>IF(J49="","",VLOOKUP($B49,'C-1 On-Site WaterC'' Baseline'!$C$9:$R$257,10,FALSE))</f>
        <v/>
      </c>
      <c r="L49" s="310" t="str">
        <f>IF(B49="","",VLOOKUP($B49,'C-1 On-Site WaterC'' Baseline'!$C$9:$R$257,15,FALSE))</f>
        <v/>
      </c>
      <c r="M49" s="314" t="str">
        <f>IF(L49="","",VLOOKUP($B49,'C-1 On-Site WaterC'' Baseline'!$C$9:$R$257,16,FALSE))</f>
        <v/>
      </c>
      <c r="N49" s="259"/>
      <c r="O49" s="290" t="str">
        <f t="shared" si="1"/>
        <v/>
      </c>
      <c r="P49" s="291" t="str">
        <f t="shared" si="2"/>
        <v/>
      </c>
      <c r="Q49" s="346" t="str">
        <f>IF(N49="","",VLOOKUP(B49,'C-1 On-Site WaterC'' Baseline'!$C$10:$AC$257,20,FALSE))</f>
        <v/>
      </c>
      <c r="R49" s="290" t="str">
        <f>IF(N49="","",VLOOKUP(N49,'G-7 WaterC'' Data'!$B$2:$G$8,2,FALSE))</f>
        <v/>
      </c>
      <c r="S49" s="291" t="str">
        <f>IFERROR(VLOOKUP(R49,'G-7 WaterC'' Data'!$C$4:$D$8,2,FALSE),"")</f>
        <v/>
      </c>
      <c r="T49" s="95"/>
      <c r="U49" s="291" t="str">
        <f>IFERROR(INDEX('G-7 WaterC'' Data'!$H$4:$L$8,MATCH(N49,'G-7 WaterC'' Data'!$B$4:$B$8,0),MATCH(T49,'G-7 WaterC'' Data'!$H$3:$L$3,0)),"")</f>
        <v/>
      </c>
      <c r="V49" s="95"/>
      <c r="W49" s="298" t="str">
        <f>IF(V49="","",IF(VLOOKUP(V49,'G-7 WaterC'' Data'!$AK$4:$AM$6,2,FALSE)=0,"Spatial Data Missing ⚠",VLOOKUP(V49,'G-7 WaterC'' Data'!$AK$4:$AM$6,2,FALSE)))</f>
        <v/>
      </c>
      <c r="X49" s="291" t="str">
        <f>IF(V49="","",IF(VLOOKUP(V49,'G-7 WaterC'' Data'!$AK$4:$AM$6,3,FALSE)=0,"Spatial Data Missing ⚠",VLOOKUP(V49,'G-7 WaterC'' Data'!$AK$4:$AM$6,3,FALSE)))</f>
        <v/>
      </c>
      <c r="Y49" s="290" t="str">
        <f>IFERROR(IF(OR(LEFT(P49,5)="Error",LEFT(O49,5)="Error ▲"),"Check Data ⚠",IF(F49&lt;S49,'G-7 WaterC'' Data'!$R$3,INDEX('G-7 WaterC'' Data'!$U$5:$Y$9,MATCH(G49,'G-7 WaterC'' Data'!$T$5:$T$9,0),MATCH(T49,'G-7 WaterC'' Data'!$U$4:$Y$4,0)))),"")</f>
        <v/>
      </c>
      <c r="Z49" s="138"/>
      <c r="AA49" s="138"/>
      <c r="AB49" s="298" t="str">
        <f t="shared" si="3"/>
        <v/>
      </c>
      <c r="AC49" s="311" t="str">
        <f t="shared" si="4"/>
        <v/>
      </c>
      <c r="AD49" s="344" t="str">
        <f>IFERROR(IF(AC49="Check Data ⚠","Check Data ⚠",VLOOKUP(AC49,'G-4 Temporal multipliers'!$A$4:$C$37,3,FALSE)),"")</f>
        <v/>
      </c>
      <c r="AE49" s="290" t="str">
        <f>IF(N49="","",VLOOKUP(N49,'G-7 WaterC'' Data'!$B$4:$G$8,5,FALSE))</f>
        <v/>
      </c>
      <c r="AF49" s="298" t="str">
        <f t="shared" si="5"/>
        <v/>
      </c>
      <c r="AG49" s="328" t="str">
        <f t="shared" si="6"/>
        <v/>
      </c>
      <c r="AH49" s="291" t="str">
        <f t="shared" si="0"/>
        <v/>
      </c>
      <c r="AI49" s="103"/>
      <c r="AJ49" s="291" t="str">
        <f>IF(AI49="","",IF(AND(AI49="N/A - Culvert",N49&lt;&gt;"Culvert"),"Not possible ▲",IF(VLOOKUP(AI49,'G-7 WaterC'' Data'!$AA$4:$AB$7,2,FALSE)=0,"Spatial Data Missing ⚠",VLOOKUP(AI49,'G-7 WaterC'' Data'!$AA$4:$AB$7,2,FALSE))))</f>
        <v/>
      </c>
      <c r="AK49" s="104"/>
      <c r="AL49" s="291" t="str">
        <f>IF(AK49="","",IF(AND(AK49="N/A - Culvert",N49&lt;&gt;"Culvert"),"Not possible ▲",IF(VLOOKUP(AK49,'G-7 WaterC'' Data'!$AD$4:$AE$14,2,FALSE)=0,"Spatial Data Missing ⚠",VLOOKUP(AK49,'G-7 WaterC'' Data'!$AD$4:$AE$14,2,FALSE))))</f>
        <v/>
      </c>
      <c r="AM49" s="332" t="str">
        <f t="shared" si="7"/>
        <v/>
      </c>
      <c r="AN49" s="98"/>
      <c r="AO49" s="99"/>
      <c r="AP49" s="101"/>
      <c r="AS49" s="15" t="str">
        <f>IF(B49="","",IF(ISNA(VLOOKUP($B49,'C-1 On-Site WaterC'' Baseline'!$C$8:$AD$257,17,FALSE)),"",(VLOOKUP($B49,'C-1 On-Site WaterC'' Baseline'!$C$8:$AD$257,17,FALSE))))</f>
        <v/>
      </c>
      <c r="AT49" s="15" t="str">
        <f>IF(B49="","",VLOOKUP($B49,'C-1 On-Site WaterC'' Baseline'!$C$9:$Z$257,12,FALSE))</f>
        <v/>
      </c>
      <c r="AU49" s="15" t="str">
        <f>IF(B49="","",VLOOKUP($B49,'C-1 On-Site WaterC'' Baseline'!$C$9:$Z$257,14,FALSE))</f>
        <v/>
      </c>
      <c r="AV49" s="15" t="str">
        <f>IFERROR(INDEX('G-7 WaterC'' Data'!$AZ$3:$AZ$7,MATCH(N49,'G-7 WaterC'' Data'!$AY$3:$AY$7,0)),"")</f>
        <v/>
      </c>
      <c r="AX49" s="15" t="str">
        <f>IF(B49="","",VLOOKUP($B49,'C-1 On-Site WaterC'' Baseline'!$C$9:$Y$257,22,FALSE))</f>
        <v/>
      </c>
      <c r="AY49" s="15" t="str">
        <f t="shared" si="8"/>
        <v/>
      </c>
      <c r="AZ49" s="15" t="str">
        <f>IF(B49="","",VLOOKUP($B49,'C-1 On-Site WaterC'' Baseline'!$C$9:$Y$257,21,FALSE))</f>
        <v/>
      </c>
      <c r="BA49" s="15" t="str">
        <f>IF(B49="","",VLOOKUP($B49,'C-1 On-Site WaterC'' Baseline'!$C$9:$Y$257,19,FALSE))</f>
        <v/>
      </c>
    </row>
    <row r="50" spans="2:53" ht="14" x14ac:dyDescent="0.3">
      <c r="B50" s="319" t="str">
        <f>'C-1 On-Site WaterC'' Baseline'!AP48</f>
        <v/>
      </c>
      <c r="C50" s="310" t="str">
        <f>IF(B50="","",VLOOKUP($B50,'C-1 On-Site WaterC'' Baseline'!$C$9:$R$257,2,FALSE))</f>
        <v/>
      </c>
      <c r="D50" s="310" t="str">
        <f>IF(C50="","",VLOOKUP($B50,'C-1 On-Site WaterC'' Baseline'!$C$9:$R$257,3,FALSE))</f>
        <v/>
      </c>
      <c r="E50" s="310" t="str">
        <f>IF(D50="","",VLOOKUP($B50,'C-1 On-Site WaterC'' Baseline'!$C$9:$R$257,4,FALSE))</f>
        <v/>
      </c>
      <c r="F50" s="310" t="str">
        <f>IF(E50="","",VLOOKUP($B50,'C-1 On-Site WaterC'' Baseline'!$C$9:$R$257,5,FALSE))</f>
        <v/>
      </c>
      <c r="G50" s="310" t="str">
        <f>IF(F50="","",VLOOKUP($B50,'C-1 On-Site WaterC'' Baseline'!$C$9:$R$257,6,FALSE))</f>
        <v/>
      </c>
      <c r="H50" s="310" t="str">
        <f>IF(G50="","",VLOOKUP($B50,'C-1 On-Site WaterC'' Baseline'!$C$9:$R$257,7,FALSE))</f>
        <v/>
      </c>
      <c r="I50" s="310" t="str">
        <f>IF(H50="","",VLOOKUP($B50,'C-1 On-Site WaterC'' Baseline'!$C$9:$R$257,8,FALSE))</f>
        <v/>
      </c>
      <c r="J50" s="310" t="str">
        <f>IF(I50="","",VLOOKUP($B50,'C-1 On-Site WaterC'' Baseline'!$C$9:$R$257,9,FALSE))</f>
        <v/>
      </c>
      <c r="K50" s="310" t="str">
        <f>IF(J50="","",VLOOKUP($B50,'C-1 On-Site WaterC'' Baseline'!$C$9:$R$257,10,FALSE))</f>
        <v/>
      </c>
      <c r="L50" s="310" t="str">
        <f>IF(B50="","",VLOOKUP($B50,'C-1 On-Site WaterC'' Baseline'!$C$9:$R$257,15,FALSE))</f>
        <v/>
      </c>
      <c r="M50" s="314" t="str">
        <f>IF(L50="","",VLOOKUP($B50,'C-1 On-Site WaterC'' Baseline'!$C$9:$R$257,16,FALSE))</f>
        <v/>
      </c>
      <c r="N50" s="259"/>
      <c r="O50" s="290" t="str">
        <f t="shared" si="1"/>
        <v/>
      </c>
      <c r="P50" s="291" t="str">
        <f t="shared" si="2"/>
        <v/>
      </c>
      <c r="Q50" s="346" t="str">
        <f>IF(N50="","",VLOOKUP(B50,'C-1 On-Site WaterC'' Baseline'!$C$10:$AC$257,20,FALSE))</f>
        <v/>
      </c>
      <c r="R50" s="290" t="str">
        <f>IF(N50="","",VLOOKUP(N50,'G-7 WaterC'' Data'!$B$2:$G$8,2,FALSE))</f>
        <v/>
      </c>
      <c r="S50" s="291" t="str">
        <f>IFERROR(VLOOKUP(R50,'G-7 WaterC'' Data'!$C$4:$D$8,2,FALSE),"")</f>
        <v/>
      </c>
      <c r="T50" s="95"/>
      <c r="U50" s="291" t="str">
        <f>IFERROR(INDEX('G-7 WaterC'' Data'!$H$4:$L$8,MATCH(N50,'G-7 WaterC'' Data'!$B$4:$B$8,0),MATCH(T50,'G-7 WaterC'' Data'!$H$3:$L$3,0)),"")</f>
        <v/>
      </c>
      <c r="V50" s="95"/>
      <c r="W50" s="298" t="str">
        <f>IF(V50="","",IF(VLOOKUP(V50,'G-7 WaterC'' Data'!$AK$4:$AM$6,2,FALSE)=0,"Spatial Data Missing ⚠",VLOOKUP(V50,'G-7 WaterC'' Data'!$AK$4:$AM$6,2,FALSE)))</f>
        <v/>
      </c>
      <c r="X50" s="291" t="str">
        <f>IF(V50="","",IF(VLOOKUP(V50,'G-7 WaterC'' Data'!$AK$4:$AM$6,3,FALSE)=0,"Spatial Data Missing ⚠",VLOOKUP(V50,'G-7 WaterC'' Data'!$AK$4:$AM$6,3,FALSE)))</f>
        <v/>
      </c>
      <c r="Y50" s="290" t="str">
        <f>IFERROR(IF(OR(LEFT(P50,5)="Error",LEFT(O50,5)="Error ▲"),"Check Data ⚠",IF(F50&lt;S50,'G-7 WaterC'' Data'!$R$3,INDEX('G-7 WaterC'' Data'!$U$5:$Y$9,MATCH(G50,'G-7 WaterC'' Data'!$T$5:$T$9,0),MATCH(T50,'G-7 WaterC'' Data'!$U$4:$Y$4,0)))),"")</f>
        <v/>
      </c>
      <c r="Z50" s="138"/>
      <c r="AA50" s="138"/>
      <c r="AB50" s="298" t="str">
        <f t="shared" si="3"/>
        <v/>
      </c>
      <c r="AC50" s="311" t="str">
        <f t="shared" si="4"/>
        <v/>
      </c>
      <c r="AD50" s="344" t="str">
        <f>IFERROR(IF(AC50="Check Data ⚠","Check Data ⚠",VLOOKUP(AC50,'G-4 Temporal multipliers'!$A$4:$C$37,3,FALSE)),"")</f>
        <v/>
      </c>
      <c r="AE50" s="290" t="str">
        <f>IF(N50="","",VLOOKUP(N50,'G-7 WaterC'' Data'!$B$4:$G$8,5,FALSE))</f>
        <v/>
      </c>
      <c r="AF50" s="298" t="str">
        <f t="shared" si="5"/>
        <v/>
      </c>
      <c r="AG50" s="328" t="str">
        <f t="shared" si="6"/>
        <v/>
      </c>
      <c r="AH50" s="291" t="str">
        <f t="shared" si="0"/>
        <v/>
      </c>
      <c r="AI50" s="103"/>
      <c r="AJ50" s="291" t="str">
        <f>IF(AI50="","",IF(AND(AI50="N/A - Culvert",N50&lt;&gt;"Culvert"),"Not possible ▲",IF(VLOOKUP(AI50,'G-7 WaterC'' Data'!$AA$4:$AB$7,2,FALSE)=0,"Spatial Data Missing ⚠",VLOOKUP(AI50,'G-7 WaterC'' Data'!$AA$4:$AB$7,2,FALSE))))</f>
        <v/>
      </c>
      <c r="AK50" s="104"/>
      <c r="AL50" s="291" t="str">
        <f>IF(AK50="","",IF(AND(AK50="N/A - Culvert",N50&lt;&gt;"Culvert"),"Not possible ▲",IF(VLOOKUP(AK50,'G-7 WaterC'' Data'!$AD$4:$AE$14,2,FALSE)=0,"Spatial Data Missing ⚠",VLOOKUP(AK50,'G-7 WaterC'' Data'!$AD$4:$AE$14,2,FALSE))))</f>
        <v/>
      </c>
      <c r="AM50" s="332" t="str">
        <f t="shared" si="7"/>
        <v/>
      </c>
      <c r="AN50" s="98"/>
      <c r="AO50" s="99"/>
      <c r="AP50" s="101"/>
      <c r="AS50" s="15" t="str">
        <f>IF(B50="","",IF(ISNA(VLOOKUP($B50,'C-1 On-Site WaterC'' Baseline'!$C$8:$AD$257,17,FALSE)),"",(VLOOKUP($B50,'C-1 On-Site WaterC'' Baseline'!$C$8:$AD$257,17,FALSE))))</f>
        <v/>
      </c>
      <c r="AT50" s="15" t="str">
        <f>IF(B50="","",VLOOKUP($B50,'C-1 On-Site WaterC'' Baseline'!$C$9:$Z$257,12,FALSE))</f>
        <v/>
      </c>
      <c r="AU50" s="15" t="str">
        <f>IF(B50="","",VLOOKUP($B50,'C-1 On-Site WaterC'' Baseline'!$C$9:$Z$257,14,FALSE))</f>
        <v/>
      </c>
      <c r="AV50" s="15" t="str">
        <f>IFERROR(INDEX('G-7 WaterC'' Data'!$AZ$3:$AZ$7,MATCH(N50,'G-7 WaterC'' Data'!$AY$3:$AY$7,0)),"")</f>
        <v/>
      </c>
      <c r="AX50" s="15" t="str">
        <f>IF(B50="","",VLOOKUP($B50,'C-1 On-Site WaterC'' Baseline'!$C$9:$Y$257,22,FALSE))</f>
        <v/>
      </c>
      <c r="AY50" s="15" t="str">
        <f t="shared" si="8"/>
        <v/>
      </c>
      <c r="AZ50" s="15" t="str">
        <f>IF(B50="","",VLOOKUP($B50,'C-1 On-Site WaterC'' Baseline'!$C$9:$Y$257,21,FALSE))</f>
        <v/>
      </c>
      <c r="BA50" s="15" t="str">
        <f>IF(B50="","",VLOOKUP($B50,'C-1 On-Site WaterC'' Baseline'!$C$9:$Y$257,19,FALSE))</f>
        <v/>
      </c>
    </row>
    <row r="51" spans="2:53" ht="14" x14ac:dyDescent="0.3">
      <c r="B51" s="319" t="str">
        <f>'C-1 On-Site WaterC'' Baseline'!AP49</f>
        <v/>
      </c>
      <c r="C51" s="310" t="str">
        <f>IF(B51="","",VLOOKUP($B51,'C-1 On-Site WaterC'' Baseline'!$C$9:$R$257,2,FALSE))</f>
        <v/>
      </c>
      <c r="D51" s="310" t="str">
        <f>IF(C51="","",VLOOKUP($B51,'C-1 On-Site WaterC'' Baseline'!$C$9:$R$257,3,FALSE))</f>
        <v/>
      </c>
      <c r="E51" s="310" t="str">
        <f>IF(D51="","",VLOOKUP($B51,'C-1 On-Site WaterC'' Baseline'!$C$9:$R$257,4,FALSE))</f>
        <v/>
      </c>
      <c r="F51" s="310" t="str">
        <f>IF(E51="","",VLOOKUP($B51,'C-1 On-Site WaterC'' Baseline'!$C$9:$R$257,5,FALSE))</f>
        <v/>
      </c>
      <c r="G51" s="310" t="str">
        <f>IF(F51="","",VLOOKUP($B51,'C-1 On-Site WaterC'' Baseline'!$C$9:$R$257,6,FALSE))</f>
        <v/>
      </c>
      <c r="H51" s="310" t="str">
        <f>IF(G51="","",VLOOKUP($B51,'C-1 On-Site WaterC'' Baseline'!$C$9:$R$257,7,FALSE))</f>
        <v/>
      </c>
      <c r="I51" s="310" t="str">
        <f>IF(H51="","",VLOOKUP($B51,'C-1 On-Site WaterC'' Baseline'!$C$9:$R$257,8,FALSE))</f>
        <v/>
      </c>
      <c r="J51" s="310" t="str">
        <f>IF(I51="","",VLOOKUP($B51,'C-1 On-Site WaterC'' Baseline'!$C$9:$R$257,9,FALSE))</f>
        <v/>
      </c>
      <c r="K51" s="310" t="str">
        <f>IF(J51="","",VLOOKUP($B51,'C-1 On-Site WaterC'' Baseline'!$C$9:$R$257,10,FALSE))</f>
        <v/>
      </c>
      <c r="L51" s="310" t="str">
        <f>IF(B51="","",VLOOKUP($B51,'C-1 On-Site WaterC'' Baseline'!$C$9:$R$257,15,FALSE))</f>
        <v/>
      </c>
      <c r="M51" s="314" t="str">
        <f>IF(L51="","",VLOOKUP($B51,'C-1 On-Site WaterC'' Baseline'!$C$9:$R$257,16,FALSE))</f>
        <v/>
      </c>
      <c r="N51" s="259"/>
      <c r="O51" s="290" t="str">
        <f t="shared" si="1"/>
        <v/>
      </c>
      <c r="P51" s="291" t="str">
        <f t="shared" si="2"/>
        <v/>
      </c>
      <c r="Q51" s="346" t="str">
        <f>IF(N51="","",VLOOKUP(B51,'C-1 On-Site WaterC'' Baseline'!$C$10:$AC$257,20,FALSE))</f>
        <v/>
      </c>
      <c r="R51" s="290" t="str">
        <f>IF(N51="","",VLOOKUP(N51,'G-7 WaterC'' Data'!$B$2:$G$8,2,FALSE))</f>
        <v/>
      </c>
      <c r="S51" s="291" t="str">
        <f>IFERROR(VLOOKUP(R51,'G-7 WaterC'' Data'!$C$4:$D$8,2,FALSE),"")</f>
        <v/>
      </c>
      <c r="T51" s="95"/>
      <c r="U51" s="291" t="str">
        <f>IFERROR(INDEX('G-7 WaterC'' Data'!$H$4:$L$8,MATCH(N51,'G-7 WaterC'' Data'!$B$4:$B$8,0),MATCH(T51,'G-7 WaterC'' Data'!$H$3:$L$3,0)),"")</f>
        <v/>
      </c>
      <c r="V51" s="95"/>
      <c r="W51" s="298" t="str">
        <f>IF(V51="","",IF(VLOOKUP(V51,'G-7 WaterC'' Data'!$AK$4:$AM$6,2,FALSE)=0,"Spatial Data Missing ⚠",VLOOKUP(V51,'G-7 WaterC'' Data'!$AK$4:$AM$6,2,FALSE)))</f>
        <v/>
      </c>
      <c r="X51" s="291" t="str">
        <f>IF(V51="","",IF(VLOOKUP(V51,'G-7 WaterC'' Data'!$AK$4:$AM$6,3,FALSE)=0,"Spatial Data Missing ⚠",VLOOKUP(V51,'G-7 WaterC'' Data'!$AK$4:$AM$6,3,FALSE)))</f>
        <v/>
      </c>
      <c r="Y51" s="290" t="str">
        <f>IFERROR(IF(OR(LEFT(P51,5)="Error",LEFT(O51,5)="Error ▲"),"Check Data ⚠",IF(F51&lt;S51,'G-7 WaterC'' Data'!$R$3,INDEX('G-7 WaterC'' Data'!$U$5:$Y$9,MATCH(G51,'G-7 WaterC'' Data'!$T$5:$T$9,0),MATCH(T51,'G-7 WaterC'' Data'!$U$4:$Y$4,0)))),"")</f>
        <v/>
      </c>
      <c r="Z51" s="138"/>
      <c r="AA51" s="138"/>
      <c r="AB51" s="298" t="str">
        <f t="shared" si="3"/>
        <v/>
      </c>
      <c r="AC51" s="311" t="str">
        <f t="shared" si="4"/>
        <v/>
      </c>
      <c r="AD51" s="344" t="str">
        <f>IFERROR(IF(AC51="Check Data ⚠","Check Data ⚠",VLOOKUP(AC51,'G-4 Temporal multipliers'!$A$4:$C$37,3,FALSE)),"")</f>
        <v/>
      </c>
      <c r="AE51" s="290" t="str">
        <f>IF(N51="","",VLOOKUP(N51,'G-7 WaterC'' Data'!$B$4:$G$8,5,FALSE))</f>
        <v/>
      </c>
      <c r="AF51" s="298" t="str">
        <f t="shared" si="5"/>
        <v/>
      </c>
      <c r="AG51" s="328" t="str">
        <f t="shared" si="6"/>
        <v/>
      </c>
      <c r="AH51" s="291" t="str">
        <f t="shared" si="0"/>
        <v/>
      </c>
      <c r="AI51" s="103"/>
      <c r="AJ51" s="291" t="str">
        <f>IF(AI51="","",IF(AND(AI51="N/A - Culvert",N51&lt;&gt;"Culvert"),"Not possible ▲",IF(VLOOKUP(AI51,'G-7 WaterC'' Data'!$AA$4:$AB$7,2,FALSE)=0,"Spatial Data Missing ⚠",VLOOKUP(AI51,'G-7 WaterC'' Data'!$AA$4:$AB$7,2,FALSE))))</f>
        <v/>
      </c>
      <c r="AK51" s="104"/>
      <c r="AL51" s="291" t="str">
        <f>IF(AK51="","",IF(AND(AK51="N/A - Culvert",N51&lt;&gt;"Culvert"),"Not possible ▲",IF(VLOOKUP(AK51,'G-7 WaterC'' Data'!$AD$4:$AE$14,2,FALSE)=0,"Spatial Data Missing ⚠",VLOOKUP(AK51,'G-7 WaterC'' Data'!$AD$4:$AE$14,2,FALSE))))</f>
        <v/>
      </c>
      <c r="AM51" s="332" t="str">
        <f t="shared" si="7"/>
        <v/>
      </c>
      <c r="AN51" s="98"/>
      <c r="AO51" s="99"/>
      <c r="AP51" s="101"/>
      <c r="AS51" s="15" t="str">
        <f>IF(B51="","",IF(ISNA(VLOOKUP($B51,'C-1 On-Site WaterC'' Baseline'!$C$8:$AD$257,17,FALSE)),"",(VLOOKUP($B51,'C-1 On-Site WaterC'' Baseline'!$C$8:$AD$257,17,FALSE))))</f>
        <v/>
      </c>
      <c r="AT51" s="15" t="str">
        <f>IF(B51="","",VLOOKUP($B51,'C-1 On-Site WaterC'' Baseline'!$C$9:$Z$257,12,FALSE))</f>
        <v/>
      </c>
      <c r="AU51" s="15" t="str">
        <f>IF(B51="","",VLOOKUP($B51,'C-1 On-Site WaterC'' Baseline'!$C$9:$Z$257,14,FALSE))</f>
        <v/>
      </c>
      <c r="AV51" s="15" t="str">
        <f>IFERROR(INDEX('G-7 WaterC'' Data'!$AZ$3:$AZ$7,MATCH(N51,'G-7 WaterC'' Data'!$AY$3:$AY$7,0)),"")</f>
        <v/>
      </c>
      <c r="AX51" s="15" t="str">
        <f>IF(B51="","",VLOOKUP($B51,'C-1 On-Site WaterC'' Baseline'!$C$9:$Y$257,22,FALSE))</f>
        <v/>
      </c>
      <c r="AY51" s="15" t="str">
        <f t="shared" si="8"/>
        <v/>
      </c>
      <c r="AZ51" s="15" t="str">
        <f>IF(B51="","",VLOOKUP($B51,'C-1 On-Site WaterC'' Baseline'!$C$9:$Y$257,21,FALSE))</f>
        <v/>
      </c>
      <c r="BA51" s="15" t="str">
        <f>IF(B51="","",VLOOKUP($B51,'C-1 On-Site WaterC'' Baseline'!$C$9:$Y$257,19,FALSE))</f>
        <v/>
      </c>
    </row>
    <row r="52" spans="2:53" ht="14" x14ac:dyDescent="0.3">
      <c r="B52" s="319" t="str">
        <f>'C-1 On-Site WaterC'' Baseline'!AP50</f>
        <v/>
      </c>
      <c r="C52" s="310" t="str">
        <f>IF(B52="","",VLOOKUP($B52,'C-1 On-Site WaterC'' Baseline'!$C$9:$R$257,2,FALSE))</f>
        <v/>
      </c>
      <c r="D52" s="310" t="str">
        <f>IF(C52="","",VLOOKUP($B52,'C-1 On-Site WaterC'' Baseline'!$C$9:$R$257,3,FALSE))</f>
        <v/>
      </c>
      <c r="E52" s="310" t="str">
        <f>IF(D52="","",VLOOKUP($B52,'C-1 On-Site WaterC'' Baseline'!$C$9:$R$257,4,FALSE))</f>
        <v/>
      </c>
      <c r="F52" s="310" t="str">
        <f>IF(E52="","",VLOOKUP($B52,'C-1 On-Site WaterC'' Baseline'!$C$9:$R$257,5,FALSE))</f>
        <v/>
      </c>
      <c r="G52" s="310" t="str">
        <f>IF(F52="","",VLOOKUP($B52,'C-1 On-Site WaterC'' Baseline'!$C$9:$R$257,6,FALSE))</f>
        <v/>
      </c>
      <c r="H52" s="310" t="str">
        <f>IF(G52="","",VLOOKUP($B52,'C-1 On-Site WaterC'' Baseline'!$C$9:$R$257,7,FALSE))</f>
        <v/>
      </c>
      <c r="I52" s="310" t="str">
        <f>IF(H52="","",VLOOKUP($B52,'C-1 On-Site WaterC'' Baseline'!$C$9:$R$257,8,FALSE))</f>
        <v/>
      </c>
      <c r="J52" s="310" t="str">
        <f>IF(I52="","",VLOOKUP($B52,'C-1 On-Site WaterC'' Baseline'!$C$9:$R$257,9,FALSE))</f>
        <v/>
      </c>
      <c r="K52" s="310" t="str">
        <f>IF(J52="","",VLOOKUP($B52,'C-1 On-Site WaterC'' Baseline'!$C$9:$R$257,10,FALSE))</f>
        <v/>
      </c>
      <c r="L52" s="310" t="str">
        <f>IF(B52="","",VLOOKUP($B52,'C-1 On-Site WaterC'' Baseline'!$C$9:$R$257,15,FALSE))</f>
        <v/>
      </c>
      <c r="M52" s="314" t="str">
        <f>IF(L52="","",VLOOKUP($B52,'C-1 On-Site WaterC'' Baseline'!$C$9:$R$257,16,FALSE))</f>
        <v/>
      </c>
      <c r="N52" s="259"/>
      <c r="O52" s="290" t="str">
        <f t="shared" si="1"/>
        <v/>
      </c>
      <c r="P52" s="291" t="str">
        <f t="shared" si="2"/>
        <v/>
      </c>
      <c r="Q52" s="346" t="str">
        <f>IF(N52="","",VLOOKUP(B52,'C-1 On-Site WaterC'' Baseline'!$C$10:$AC$257,20,FALSE))</f>
        <v/>
      </c>
      <c r="R52" s="290" t="str">
        <f>IF(N52="","",VLOOKUP(N52,'G-7 WaterC'' Data'!$B$2:$G$8,2,FALSE))</f>
        <v/>
      </c>
      <c r="S52" s="291" t="str">
        <f>IFERROR(VLOOKUP(R52,'G-7 WaterC'' Data'!$C$4:$D$8,2,FALSE),"")</f>
        <v/>
      </c>
      <c r="T52" s="95"/>
      <c r="U52" s="291" t="str">
        <f>IFERROR(INDEX('G-7 WaterC'' Data'!$H$4:$L$8,MATCH(N52,'G-7 WaterC'' Data'!$B$4:$B$8,0),MATCH(T52,'G-7 WaterC'' Data'!$H$3:$L$3,0)),"")</f>
        <v/>
      </c>
      <c r="V52" s="95"/>
      <c r="W52" s="298" t="str">
        <f>IF(V52="","",IF(VLOOKUP(V52,'G-7 WaterC'' Data'!$AK$4:$AM$6,2,FALSE)=0,"Spatial Data Missing ⚠",VLOOKUP(V52,'G-7 WaterC'' Data'!$AK$4:$AM$6,2,FALSE)))</f>
        <v/>
      </c>
      <c r="X52" s="291" t="str">
        <f>IF(V52="","",IF(VLOOKUP(V52,'G-7 WaterC'' Data'!$AK$4:$AM$6,3,FALSE)=0,"Spatial Data Missing ⚠",VLOOKUP(V52,'G-7 WaterC'' Data'!$AK$4:$AM$6,3,FALSE)))</f>
        <v/>
      </c>
      <c r="Y52" s="290" t="str">
        <f>IFERROR(IF(OR(LEFT(P52,5)="Error",LEFT(O52,5)="Error ▲"),"Check Data ⚠",IF(F52&lt;S52,'G-7 WaterC'' Data'!$R$3,INDEX('G-7 WaterC'' Data'!$U$5:$Y$9,MATCH(G52,'G-7 WaterC'' Data'!$T$5:$T$9,0),MATCH(T52,'G-7 WaterC'' Data'!$U$4:$Y$4,0)))),"")</f>
        <v/>
      </c>
      <c r="Z52" s="138"/>
      <c r="AA52" s="138"/>
      <c r="AB52" s="298" t="str">
        <f t="shared" si="3"/>
        <v/>
      </c>
      <c r="AC52" s="311" t="str">
        <f t="shared" si="4"/>
        <v/>
      </c>
      <c r="AD52" s="344" t="str">
        <f>IFERROR(IF(AC52="Check Data ⚠","Check Data ⚠",VLOOKUP(AC52,'G-4 Temporal multipliers'!$A$4:$C$37,3,FALSE)),"")</f>
        <v/>
      </c>
      <c r="AE52" s="290" t="str">
        <f>IF(N52="","",VLOOKUP(N52,'G-7 WaterC'' Data'!$B$4:$G$8,5,FALSE))</f>
        <v/>
      </c>
      <c r="AF52" s="298" t="str">
        <f t="shared" si="5"/>
        <v/>
      </c>
      <c r="AG52" s="328" t="str">
        <f t="shared" si="6"/>
        <v/>
      </c>
      <c r="AH52" s="291" t="str">
        <f t="shared" si="0"/>
        <v/>
      </c>
      <c r="AI52" s="103"/>
      <c r="AJ52" s="291" t="str">
        <f>IF(AI52="","",IF(AND(AI52="N/A - Culvert",N52&lt;&gt;"Culvert"),"Not possible ▲",IF(VLOOKUP(AI52,'G-7 WaterC'' Data'!$AA$4:$AB$7,2,FALSE)=0,"Spatial Data Missing ⚠",VLOOKUP(AI52,'G-7 WaterC'' Data'!$AA$4:$AB$7,2,FALSE))))</f>
        <v/>
      </c>
      <c r="AK52" s="104"/>
      <c r="AL52" s="291" t="str">
        <f>IF(AK52="","",IF(AND(AK52="N/A - Culvert",N52&lt;&gt;"Culvert"),"Not possible ▲",IF(VLOOKUP(AK52,'G-7 WaterC'' Data'!$AD$4:$AE$14,2,FALSE)=0,"Spatial Data Missing ⚠",VLOOKUP(AK52,'G-7 WaterC'' Data'!$AD$4:$AE$14,2,FALSE))))</f>
        <v/>
      </c>
      <c r="AM52" s="332" t="str">
        <f t="shared" si="7"/>
        <v/>
      </c>
      <c r="AN52" s="98"/>
      <c r="AO52" s="99"/>
      <c r="AP52" s="101"/>
      <c r="AS52" s="15" t="str">
        <f>IF(B52="","",IF(ISNA(VLOOKUP($B52,'C-1 On-Site WaterC'' Baseline'!$C$8:$AD$257,17,FALSE)),"",(VLOOKUP($B52,'C-1 On-Site WaterC'' Baseline'!$C$8:$AD$257,17,FALSE))))</f>
        <v/>
      </c>
      <c r="AT52" s="15" t="str">
        <f>IF(B52="","",VLOOKUP($B52,'C-1 On-Site WaterC'' Baseline'!$C$9:$Z$257,12,FALSE))</f>
        <v/>
      </c>
      <c r="AU52" s="15" t="str">
        <f>IF(B52="","",VLOOKUP($B52,'C-1 On-Site WaterC'' Baseline'!$C$9:$Z$257,14,FALSE))</f>
        <v/>
      </c>
      <c r="AV52" s="15" t="str">
        <f>IFERROR(INDEX('G-7 WaterC'' Data'!$AZ$3:$AZ$7,MATCH(N52,'G-7 WaterC'' Data'!$AY$3:$AY$7,0)),"")</f>
        <v/>
      </c>
      <c r="AX52" s="15" t="str">
        <f>IF(B52="","",VLOOKUP($B52,'C-1 On-Site WaterC'' Baseline'!$C$9:$Y$257,22,FALSE))</f>
        <v/>
      </c>
      <c r="AY52" s="15" t="str">
        <f t="shared" si="8"/>
        <v/>
      </c>
      <c r="AZ52" s="15" t="str">
        <f>IF(B52="","",VLOOKUP($B52,'C-1 On-Site WaterC'' Baseline'!$C$9:$Y$257,21,FALSE))</f>
        <v/>
      </c>
      <c r="BA52" s="15" t="str">
        <f>IF(B52="","",VLOOKUP($B52,'C-1 On-Site WaterC'' Baseline'!$C$9:$Y$257,19,FALSE))</f>
        <v/>
      </c>
    </row>
    <row r="53" spans="2:53" ht="14" x14ac:dyDescent="0.3">
      <c r="B53" s="319" t="str">
        <f>'C-1 On-Site WaterC'' Baseline'!AP51</f>
        <v/>
      </c>
      <c r="C53" s="310" t="str">
        <f>IF(B53="","",VLOOKUP($B53,'C-1 On-Site WaterC'' Baseline'!$C$9:$R$257,2,FALSE))</f>
        <v/>
      </c>
      <c r="D53" s="310" t="str">
        <f>IF(C53="","",VLOOKUP($B53,'C-1 On-Site WaterC'' Baseline'!$C$9:$R$257,3,FALSE))</f>
        <v/>
      </c>
      <c r="E53" s="310" t="str">
        <f>IF(D53="","",VLOOKUP($B53,'C-1 On-Site WaterC'' Baseline'!$C$9:$R$257,4,FALSE))</f>
        <v/>
      </c>
      <c r="F53" s="310" t="str">
        <f>IF(E53="","",VLOOKUP($B53,'C-1 On-Site WaterC'' Baseline'!$C$9:$R$257,5,FALSE))</f>
        <v/>
      </c>
      <c r="G53" s="310" t="str">
        <f>IF(F53="","",VLOOKUP($B53,'C-1 On-Site WaterC'' Baseline'!$C$9:$R$257,6,FALSE))</f>
        <v/>
      </c>
      <c r="H53" s="310" t="str">
        <f>IF(G53="","",VLOOKUP($B53,'C-1 On-Site WaterC'' Baseline'!$C$9:$R$257,7,FALSE))</f>
        <v/>
      </c>
      <c r="I53" s="310" t="str">
        <f>IF(H53="","",VLOOKUP($B53,'C-1 On-Site WaterC'' Baseline'!$C$9:$R$257,8,FALSE))</f>
        <v/>
      </c>
      <c r="J53" s="310" t="str">
        <f>IF(I53="","",VLOOKUP($B53,'C-1 On-Site WaterC'' Baseline'!$C$9:$R$257,9,FALSE))</f>
        <v/>
      </c>
      <c r="K53" s="310" t="str">
        <f>IF(J53="","",VLOOKUP($B53,'C-1 On-Site WaterC'' Baseline'!$C$9:$R$257,10,FALSE))</f>
        <v/>
      </c>
      <c r="L53" s="310" t="str">
        <f>IF(B53="","",VLOOKUP($B53,'C-1 On-Site WaterC'' Baseline'!$C$9:$R$257,15,FALSE))</f>
        <v/>
      </c>
      <c r="M53" s="314" t="str">
        <f>IF(L53="","",VLOOKUP($B53,'C-1 On-Site WaterC'' Baseline'!$C$9:$R$257,16,FALSE))</f>
        <v/>
      </c>
      <c r="N53" s="259"/>
      <c r="O53" s="290" t="str">
        <f t="shared" si="1"/>
        <v/>
      </c>
      <c r="P53" s="291" t="str">
        <f t="shared" si="2"/>
        <v/>
      </c>
      <c r="Q53" s="346" t="str">
        <f>IF(N53="","",VLOOKUP(B53,'C-1 On-Site WaterC'' Baseline'!$C$10:$AC$257,20,FALSE))</f>
        <v/>
      </c>
      <c r="R53" s="290" t="str">
        <f>IF(N53="","",VLOOKUP(N53,'G-7 WaterC'' Data'!$B$2:$G$8,2,FALSE))</f>
        <v/>
      </c>
      <c r="S53" s="291" t="str">
        <f>IFERROR(VLOOKUP(R53,'G-7 WaterC'' Data'!$C$4:$D$8,2,FALSE),"")</f>
        <v/>
      </c>
      <c r="T53" s="95"/>
      <c r="U53" s="291" t="str">
        <f>IFERROR(INDEX('G-7 WaterC'' Data'!$H$4:$L$8,MATCH(N53,'G-7 WaterC'' Data'!$B$4:$B$8,0),MATCH(T53,'G-7 WaterC'' Data'!$H$3:$L$3,0)),"")</f>
        <v/>
      </c>
      <c r="V53" s="95"/>
      <c r="W53" s="298" t="str">
        <f>IF(V53="","",IF(VLOOKUP(V53,'G-7 WaterC'' Data'!$AK$4:$AM$6,2,FALSE)=0,"Spatial Data Missing ⚠",VLOOKUP(V53,'G-7 WaterC'' Data'!$AK$4:$AM$6,2,FALSE)))</f>
        <v/>
      </c>
      <c r="X53" s="291" t="str">
        <f>IF(V53="","",IF(VLOOKUP(V53,'G-7 WaterC'' Data'!$AK$4:$AM$6,3,FALSE)=0,"Spatial Data Missing ⚠",VLOOKUP(V53,'G-7 WaterC'' Data'!$AK$4:$AM$6,3,FALSE)))</f>
        <v/>
      </c>
      <c r="Y53" s="290" t="str">
        <f>IFERROR(IF(OR(LEFT(P53,5)="Error",LEFT(O53,5)="Error ▲"),"Check Data ⚠",IF(F53&lt;S53,'G-7 WaterC'' Data'!$R$3,INDEX('G-7 WaterC'' Data'!$U$5:$Y$9,MATCH(G53,'G-7 WaterC'' Data'!$T$5:$T$9,0),MATCH(T53,'G-7 WaterC'' Data'!$U$4:$Y$4,0)))),"")</f>
        <v/>
      </c>
      <c r="Z53" s="138"/>
      <c r="AA53" s="138"/>
      <c r="AB53" s="298" t="str">
        <f t="shared" si="3"/>
        <v/>
      </c>
      <c r="AC53" s="311" t="str">
        <f t="shared" si="4"/>
        <v/>
      </c>
      <c r="AD53" s="344" t="str">
        <f>IFERROR(IF(AC53="Check Data ⚠","Check Data ⚠",VLOOKUP(AC53,'G-4 Temporal multipliers'!$A$4:$C$37,3,FALSE)),"")</f>
        <v/>
      </c>
      <c r="AE53" s="290" t="str">
        <f>IF(N53="","",VLOOKUP(N53,'G-7 WaterC'' Data'!$B$4:$G$8,5,FALSE))</f>
        <v/>
      </c>
      <c r="AF53" s="298" t="str">
        <f t="shared" si="5"/>
        <v/>
      </c>
      <c r="AG53" s="328" t="str">
        <f t="shared" si="6"/>
        <v/>
      </c>
      <c r="AH53" s="291" t="str">
        <f t="shared" si="0"/>
        <v/>
      </c>
      <c r="AI53" s="103"/>
      <c r="AJ53" s="291" t="str">
        <f>IF(AI53="","",IF(AND(AI53="N/A - Culvert",N53&lt;&gt;"Culvert"),"Not possible ▲",IF(VLOOKUP(AI53,'G-7 WaterC'' Data'!$AA$4:$AB$7,2,FALSE)=0,"Spatial Data Missing ⚠",VLOOKUP(AI53,'G-7 WaterC'' Data'!$AA$4:$AB$7,2,FALSE))))</f>
        <v/>
      </c>
      <c r="AK53" s="104"/>
      <c r="AL53" s="291" t="str">
        <f>IF(AK53="","",IF(AND(AK53="N/A - Culvert",N53&lt;&gt;"Culvert"),"Not possible ▲",IF(VLOOKUP(AK53,'G-7 WaterC'' Data'!$AD$4:$AE$14,2,FALSE)=0,"Spatial Data Missing ⚠",VLOOKUP(AK53,'G-7 WaterC'' Data'!$AD$4:$AE$14,2,FALSE))))</f>
        <v/>
      </c>
      <c r="AM53" s="332" t="str">
        <f t="shared" si="7"/>
        <v/>
      </c>
      <c r="AN53" s="98"/>
      <c r="AO53" s="99"/>
      <c r="AP53" s="101"/>
      <c r="AS53" s="15" t="str">
        <f>IF(B53="","",IF(ISNA(VLOOKUP($B53,'C-1 On-Site WaterC'' Baseline'!$C$8:$AD$257,17,FALSE)),"",(VLOOKUP($B53,'C-1 On-Site WaterC'' Baseline'!$C$8:$AD$257,17,FALSE))))</f>
        <v/>
      </c>
      <c r="AT53" s="15" t="str">
        <f>IF(B53="","",VLOOKUP($B53,'C-1 On-Site WaterC'' Baseline'!$C$9:$Z$257,12,FALSE))</f>
        <v/>
      </c>
      <c r="AU53" s="15" t="str">
        <f>IF(B53="","",VLOOKUP($B53,'C-1 On-Site WaterC'' Baseline'!$C$9:$Z$257,14,FALSE))</f>
        <v/>
      </c>
      <c r="AV53" s="15" t="str">
        <f>IFERROR(INDEX('G-7 WaterC'' Data'!$AZ$3:$AZ$7,MATCH(N53,'G-7 WaterC'' Data'!$AY$3:$AY$7,0)),"")</f>
        <v/>
      </c>
      <c r="AX53" s="15" t="str">
        <f>IF(B53="","",VLOOKUP($B53,'C-1 On-Site WaterC'' Baseline'!$C$9:$Y$257,22,FALSE))</f>
        <v/>
      </c>
      <c r="AY53" s="15" t="str">
        <f t="shared" si="8"/>
        <v/>
      </c>
      <c r="AZ53" s="15" t="str">
        <f>IF(B53="","",VLOOKUP($B53,'C-1 On-Site WaterC'' Baseline'!$C$9:$Y$257,21,FALSE))</f>
        <v/>
      </c>
      <c r="BA53" s="15" t="str">
        <f>IF(B53="","",VLOOKUP($B53,'C-1 On-Site WaterC'' Baseline'!$C$9:$Y$257,19,FALSE))</f>
        <v/>
      </c>
    </row>
    <row r="54" spans="2:53" ht="14" x14ac:dyDescent="0.3">
      <c r="B54" s="319" t="str">
        <f>'C-1 On-Site WaterC'' Baseline'!AP52</f>
        <v/>
      </c>
      <c r="C54" s="310" t="str">
        <f>IF(B54="","",VLOOKUP($B54,'C-1 On-Site WaterC'' Baseline'!$C$9:$R$257,2,FALSE))</f>
        <v/>
      </c>
      <c r="D54" s="310" t="str">
        <f>IF(C54="","",VLOOKUP($B54,'C-1 On-Site WaterC'' Baseline'!$C$9:$R$257,3,FALSE))</f>
        <v/>
      </c>
      <c r="E54" s="310" t="str">
        <f>IF(D54="","",VLOOKUP($B54,'C-1 On-Site WaterC'' Baseline'!$C$9:$R$257,4,FALSE))</f>
        <v/>
      </c>
      <c r="F54" s="310" t="str">
        <f>IF(E54="","",VLOOKUP($B54,'C-1 On-Site WaterC'' Baseline'!$C$9:$R$257,5,FALSE))</f>
        <v/>
      </c>
      <c r="G54" s="310" t="str">
        <f>IF(F54="","",VLOOKUP($B54,'C-1 On-Site WaterC'' Baseline'!$C$9:$R$257,6,FALSE))</f>
        <v/>
      </c>
      <c r="H54" s="310" t="str">
        <f>IF(G54="","",VLOOKUP($B54,'C-1 On-Site WaterC'' Baseline'!$C$9:$R$257,7,FALSE))</f>
        <v/>
      </c>
      <c r="I54" s="310" t="str">
        <f>IF(H54="","",VLOOKUP($B54,'C-1 On-Site WaterC'' Baseline'!$C$9:$R$257,8,FALSE))</f>
        <v/>
      </c>
      <c r="J54" s="310" t="str">
        <f>IF(I54="","",VLOOKUP($B54,'C-1 On-Site WaterC'' Baseline'!$C$9:$R$257,9,FALSE))</f>
        <v/>
      </c>
      <c r="K54" s="310" t="str">
        <f>IF(J54="","",VLOOKUP($B54,'C-1 On-Site WaterC'' Baseline'!$C$9:$R$257,10,FALSE))</f>
        <v/>
      </c>
      <c r="L54" s="310" t="str">
        <f>IF(B54="","",VLOOKUP($B54,'C-1 On-Site WaterC'' Baseline'!$C$9:$R$257,15,FALSE))</f>
        <v/>
      </c>
      <c r="M54" s="314" t="str">
        <f>IF(L54="","",VLOOKUP($B54,'C-1 On-Site WaterC'' Baseline'!$C$9:$R$257,16,FALSE))</f>
        <v/>
      </c>
      <c r="N54" s="259"/>
      <c r="O54" s="290" t="str">
        <f t="shared" si="1"/>
        <v/>
      </c>
      <c r="P54" s="291" t="str">
        <f t="shared" si="2"/>
        <v/>
      </c>
      <c r="Q54" s="346" t="str">
        <f>IF(N54="","",VLOOKUP(B54,'C-1 On-Site WaterC'' Baseline'!$C$10:$AC$257,20,FALSE))</f>
        <v/>
      </c>
      <c r="R54" s="290" t="str">
        <f>IF(N54="","",VLOOKUP(N54,'G-7 WaterC'' Data'!$B$2:$G$8,2,FALSE))</f>
        <v/>
      </c>
      <c r="S54" s="291" t="str">
        <f>IFERROR(VLOOKUP(R54,'G-7 WaterC'' Data'!$C$4:$D$8,2,FALSE),"")</f>
        <v/>
      </c>
      <c r="T54" s="95"/>
      <c r="U54" s="291" t="str">
        <f>IFERROR(INDEX('G-7 WaterC'' Data'!$H$4:$L$8,MATCH(N54,'G-7 WaterC'' Data'!$B$4:$B$8,0),MATCH(T54,'G-7 WaterC'' Data'!$H$3:$L$3,0)),"")</f>
        <v/>
      </c>
      <c r="V54" s="95"/>
      <c r="W54" s="298" t="str">
        <f>IF(V54="","",IF(VLOOKUP(V54,'G-7 WaterC'' Data'!$AK$4:$AM$6,2,FALSE)=0,"Spatial Data Missing ⚠",VLOOKUP(V54,'G-7 WaterC'' Data'!$AK$4:$AM$6,2,FALSE)))</f>
        <v/>
      </c>
      <c r="X54" s="291" t="str">
        <f>IF(V54="","",IF(VLOOKUP(V54,'G-7 WaterC'' Data'!$AK$4:$AM$6,3,FALSE)=0,"Spatial Data Missing ⚠",VLOOKUP(V54,'G-7 WaterC'' Data'!$AK$4:$AM$6,3,FALSE)))</f>
        <v/>
      </c>
      <c r="Y54" s="290" t="str">
        <f>IFERROR(IF(OR(LEFT(P54,5)="Error",LEFT(O54,5)="Error ▲"),"Check Data ⚠",IF(F54&lt;S54,'G-7 WaterC'' Data'!$R$3,INDEX('G-7 WaterC'' Data'!$U$5:$Y$9,MATCH(G54,'G-7 WaterC'' Data'!$T$5:$T$9,0),MATCH(T54,'G-7 WaterC'' Data'!$U$4:$Y$4,0)))),"")</f>
        <v/>
      </c>
      <c r="Z54" s="138"/>
      <c r="AA54" s="138"/>
      <c r="AB54" s="298" t="str">
        <f t="shared" si="3"/>
        <v/>
      </c>
      <c r="AC54" s="311" t="str">
        <f t="shared" si="4"/>
        <v/>
      </c>
      <c r="AD54" s="344" t="str">
        <f>IFERROR(IF(AC54="Check Data ⚠","Check Data ⚠",VLOOKUP(AC54,'G-4 Temporal multipliers'!$A$4:$C$37,3,FALSE)),"")</f>
        <v/>
      </c>
      <c r="AE54" s="290" t="str">
        <f>IF(N54="","",VLOOKUP(N54,'G-7 WaterC'' Data'!$B$4:$G$8,5,FALSE))</f>
        <v/>
      </c>
      <c r="AF54" s="298" t="str">
        <f t="shared" si="5"/>
        <v/>
      </c>
      <c r="AG54" s="328" t="str">
        <f t="shared" si="6"/>
        <v/>
      </c>
      <c r="AH54" s="291" t="str">
        <f t="shared" si="0"/>
        <v/>
      </c>
      <c r="AI54" s="103"/>
      <c r="AJ54" s="291" t="str">
        <f>IF(AI54="","",IF(AND(AI54="N/A - Culvert",N54&lt;&gt;"Culvert"),"Not possible ▲",IF(VLOOKUP(AI54,'G-7 WaterC'' Data'!$AA$4:$AB$7,2,FALSE)=0,"Spatial Data Missing ⚠",VLOOKUP(AI54,'G-7 WaterC'' Data'!$AA$4:$AB$7,2,FALSE))))</f>
        <v/>
      </c>
      <c r="AK54" s="104"/>
      <c r="AL54" s="291" t="str">
        <f>IF(AK54="","",IF(AND(AK54="N/A - Culvert",N54&lt;&gt;"Culvert"),"Not possible ▲",IF(VLOOKUP(AK54,'G-7 WaterC'' Data'!$AD$4:$AE$14,2,FALSE)=0,"Spatial Data Missing ⚠",VLOOKUP(AK54,'G-7 WaterC'' Data'!$AD$4:$AE$14,2,FALSE))))</f>
        <v/>
      </c>
      <c r="AM54" s="332" t="str">
        <f t="shared" si="7"/>
        <v/>
      </c>
      <c r="AN54" s="98"/>
      <c r="AO54" s="99"/>
      <c r="AP54" s="101"/>
      <c r="AS54" s="15" t="str">
        <f>IF(B54="","",IF(ISNA(VLOOKUP($B54,'C-1 On-Site WaterC'' Baseline'!$C$8:$AD$257,17,FALSE)),"",(VLOOKUP($B54,'C-1 On-Site WaterC'' Baseline'!$C$8:$AD$257,17,FALSE))))</f>
        <v/>
      </c>
      <c r="AT54" s="15" t="str">
        <f>IF(B54="","",VLOOKUP($B54,'C-1 On-Site WaterC'' Baseline'!$C$9:$Z$257,12,FALSE))</f>
        <v/>
      </c>
      <c r="AU54" s="15" t="str">
        <f>IF(B54="","",VLOOKUP($B54,'C-1 On-Site WaterC'' Baseline'!$C$9:$Z$257,14,FALSE))</f>
        <v/>
      </c>
      <c r="AV54" s="15" t="str">
        <f>IFERROR(INDEX('G-7 WaterC'' Data'!$AZ$3:$AZ$7,MATCH(N54,'G-7 WaterC'' Data'!$AY$3:$AY$7,0)),"")</f>
        <v/>
      </c>
      <c r="AX54" s="15" t="str">
        <f>IF(B54="","",VLOOKUP($B54,'C-1 On-Site WaterC'' Baseline'!$C$9:$Y$257,22,FALSE))</f>
        <v/>
      </c>
      <c r="AY54" s="15" t="str">
        <f t="shared" si="8"/>
        <v/>
      </c>
      <c r="AZ54" s="15" t="str">
        <f>IF(B54="","",VLOOKUP($B54,'C-1 On-Site WaterC'' Baseline'!$C$9:$Y$257,21,FALSE))</f>
        <v/>
      </c>
      <c r="BA54" s="15" t="str">
        <f>IF(B54="","",VLOOKUP($B54,'C-1 On-Site WaterC'' Baseline'!$C$9:$Y$257,19,FALSE))</f>
        <v/>
      </c>
    </row>
    <row r="55" spans="2:53" ht="14" x14ac:dyDescent="0.3">
      <c r="B55" s="319" t="str">
        <f>'C-1 On-Site WaterC'' Baseline'!AP53</f>
        <v/>
      </c>
      <c r="C55" s="310" t="str">
        <f>IF(B55="","",VLOOKUP($B55,'C-1 On-Site WaterC'' Baseline'!$C$9:$R$257,2,FALSE))</f>
        <v/>
      </c>
      <c r="D55" s="310" t="str">
        <f>IF(C55="","",VLOOKUP($B55,'C-1 On-Site WaterC'' Baseline'!$C$9:$R$257,3,FALSE))</f>
        <v/>
      </c>
      <c r="E55" s="310" t="str">
        <f>IF(D55="","",VLOOKUP($B55,'C-1 On-Site WaterC'' Baseline'!$C$9:$R$257,4,FALSE))</f>
        <v/>
      </c>
      <c r="F55" s="310" t="str">
        <f>IF(E55="","",VLOOKUP($B55,'C-1 On-Site WaterC'' Baseline'!$C$9:$R$257,5,FALSE))</f>
        <v/>
      </c>
      <c r="G55" s="310" t="str">
        <f>IF(F55="","",VLOOKUP($B55,'C-1 On-Site WaterC'' Baseline'!$C$9:$R$257,6,FALSE))</f>
        <v/>
      </c>
      <c r="H55" s="310" t="str">
        <f>IF(G55="","",VLOOKUP($B55,'C-1 On-Site WaterC'' Baseline'!$C$9:$R$257,7,FALSE))</f>
        <v/>
      </c>
      <c r="I55" s="310" t="str">
        <f>IF(H55="","",VLOOKUP($B55,'C-1 On-Site WaterC'' Baseline'!$C$9:$R$257,8,FALSE))</f>
        <v/>
      </c>
      <c r="J55" s="310" t="str">
        <f>IF(I55="","",VLOOKUP($B55,'C-1 On-Site WaterC'' Baseline'!$C$9:$R$257,9,FALSE))</f>
        <v/>
      </c>
      <c r="K55" s="310" t="str">
        <f>IF(J55="","",VLOOKUP($B55,'C-1 On-Site WaterC'' Baseline'!$C$9:$R$257,10,FALSE))</f>
        <v/>
      </c>
      <c r="L55" s="310" t="str">
        <f>IF(B55="","",VLOOKUP($B55,'C-1 On-Site WaterC'' Baseline'!$C$9:$R$257,15,FALSE))</f>
        <v/>
      </c>
      <c r="M55" s="314" t="str">
        <f>IF(L55="","",VLOOKUP($B55,'C-1 On-Site WaterC'' Baseline'!$C$9:$R$257,16,FALSE))</f>
        <v/>
      </c>
      <c r="N55" s="259"/>
      <c r="O55" s="290" t="str">
        <f t="shared" si="1"/>
        <v/>
      </c>
      <c r="P55" s="291" t="str">
        <f t="shared" si="2"/>
        <v/>
      </c>
      <c r="Q55" s="346" t="str">
        <f>IF(N55="","",VLOOKUP(B55,'C-1 On-Site WaterC'' Baseline'!$C$10:$AC$257,20,FALSE))</f>
        <v/>
      </c>
      <c r="R55" s="290" t="str">
        <f>IF(N55="","",VLOOKUP(N55,'G-7 WaterC'' Data'!$B$2:$G$8,2,FALSE))</f>
        <v/>
      </c>
      <c r="S55" s="291" t="str">
        <f>IFERROR(VLOOKUP(R55,'G-7 WaterC'' Data'!$C$4:$D$8,2,FALSE),"")</f>
        <v/>
      </c>
      <c r="T55" s="95"/>
      <c r="U55" s="291" t="str">
        <f>IFERROR(INDEX('G-7 WaterC'' Data'!$H$4:$L$8,MATCH(N55,'G-7 WaterC'' Data'!$B$4:$B$8,0),MATCH(T55,'G-7 WaterC'' Data'!$H$3:$L$3,0)),"")</f>
        <v/>
      </c>
      <c r="V55" s="95"/>
      <c r="W55" s="298" t="str">
        <f>IF(V55="","",IF(VLOOKUP(V55,'G-7 WaterC'' Data'!$AK$4:$AM$6,2,FALSE)=0,"Spatial Data Missing ⚠",VLOOKUP(V55,'G-7 WaterC'' Data'!$AK$4:$AM$6,2,FALSE)))</f>
        <v/>
      </c>
      <c r="X55" s="291" t="str">
        <f>IF(V55="","",IF(VLOOKUP(V55,'G-7 WaterC'' Data'!$AK$4:$AM$6,3,FALSE)=0,"Spatial Data Missing ⚠",VLOOKUP(V55,'G-7 WaterC'' Data'!$AK$4:$AM$6,3,FALSE)))</f>
        <v/>
      </c>
      <c r="Y55" s="290" t="str">
        <f>IFERROR(IF(OR(LEFT(P55,5)="Error",LEFT(O55,5)="Error ▲"),"Check Data ⚠",IF(F55&lt;S55,'G-7 WaterC'' Data'!$R$3,INDEX('G-7 WaterC'' Data'!$U$5:$Y$9,MATCH(G55,'G-7 WaterC'' Data'!$T$5:$T$9,0),MATCH(T55,'G-7 WaterC'' Data'!$U$4:$Y$4,0)))),"")</f>
        <v/>
      </c>
      <c r="Z55" s="138"/>
      <c r="AA55" s="138"/>
      <c r="AB55" s="298" t="str">
        <f t="shared" si="3"/>
        <v/>
      </c>
      <c r="AC55" s="311" t="str">
        <f t="shared" si="4"/>
        <v/>
      </c>
      <c r="AD55" s="344" t="str">
        <f>IFERROR(IF(AC55="Check Data ⚠","Check Data ⚠",VLOOKUP(AC55,'G-4 Temporal multipliers'!$A$4:$C$37,3,FALSE)),"")</f>
        <v/>
      </c>
      <c r="AE55" s="290" t="str">
        <f>IF(N55="","",VLOOKUP(N55,'G-7 WaterC'' Data'!$B$4:$G$8,5,FALSE))</f>
        <v/>
      </c>
      <c r="AF55" s="298" t="str">
        <f t="shared" si="5"/>
        <v/>
      </c>
      <c r="AG55" s="328" t="str">
        <f t="shared" si="6"/>
        <v/>
      </c>
      <c r="AH55" s="291" t="str">
        <f t="shared" si="0"/>
        <v/>
      </c>
      <c r="AI55" s="103"/>
      <c r="AJ55" s="291" t="str">
        <f>IF(AI55="","",IF(AND(AI55="N/A - Culvert",N55&lt;&gt;"Culvert"),"Not possible ▲",IF(VLOOKUP(AI55,'G-7 WaterC'' Data'!$AA$4:$AB$7,2,FALSE)=0,"Spatial Data Missing ⚠",VLOOKUP(AI55,'G-7 WaterC'' Data'!$AA$4:$AB$7,2,FALSE))))</f>
        <v/>
      </c>
      <c r="AK55" s="104"/>
      <c r="AL55" s="291" t="str">
        <f>IF(AK55="","",IF(AND(AK55="N/A - Culvert",N55&lt;&gt;"Culvert"),"Not possible ▲",IF(VLOOKUP(AK55,'G-7 WaterC'' Data'!$AD$4:$AE$14,2,FALSE)=0,"Spatial Data Missing ⚠",VLOOKUP(AK55,'G-7 WaterC'' Data'!$AD$4:$AE$14,2,FALSE))))</f>
        <v/>
      </c>
      <c r="AM55" s="332" t="str">
        <f t="shared" si="7"/>
        <v/>
      </c>
      <c r="AN55" s="98"/>
      <c r="AO55" s="99"/>
      <c r="AP55" s="101"/>
      <c r="AS55" s="15" t="str">
        <f>IF(B55="","",IF(ISNA(VLOOKUP($B55,'C-1 On-Site WaterC'' Baseline'!$C$8:$AD$257,17,FALSE)),"",(VLOOKUP($B55,'C-1 On-Site WaterC'' Baseline'!$C$8:$AD$257,17,FALSE))))</f>
        <v/>
      </c>
      <c r="AT55" s="15" t="str">
        <f>IF(B55="","",VLOOKUP($B55,'C-1 On-Site WaterC'' Baseline'!$C$9:$Z$257,12,FALSE))</f>
        <v/>
      </c>
      <c r="AU55" s="15" t="str">
        <f>IF(B55="","",VLOOKUP($B55,'C-1 On-Site WaterC'' Baseline'!$C$9:$Z$257,14,FALSE))</f>
        <v/>
      </c>
      <c r="AV55" s="15" t="str">
        <f>IFERROR(INDEX('G-7 WaterC'' Data'!$AZ$3:$AZ$7,MATCH(N55,'G-7 WaterC'' Data'!$AY$3:$AY$7,0)),"")</f>
        <v/>
      </c>
      <c r="AX55" s="15" t="str">
        <f>IF(B55="","",VLOOKUP($B55,'C-1 On-Site WaterC'' Baseline'!$C$9:$Y$257,22,FALSE))</f>
        <v/>
      </c>
      <c r="AY55" s="15" t="str">
        <f t="shared" si="8"/>
        <v/>
      </c>
      <c r="AZ55" s="15" t="str">
        <f>IF(B55="","",VLOOKUP($B55,'C-1 On-Site WaterC'' Baseline'!$C$9:$Y$257,21,FALSE))</f>
        <v/>
      </c>
      <c r="BA55" s="15" t="str">
        <f>IF(B55="","",VLOOKUP($B55,'C-1 On-Site WaterC'' Baseline'!$C$9:$Y$257,19,FALSE))</f>
        <v/>
      </c>
    </row>
    <row r="56" spans="2:53" ht="14" x14ac:dyDescent="0.3">
      <c r="B56" s="319" t="str">
        <f>'C-1 On-Site WaterC'' Baseline'!AP54</f>
        <v/>
      </c>
      <c r="C56" s="310" t="str">
        <f>IF(B56="","",VLOOKUP($B56,'C-1 On-Site WaterC'' Baseline'!$C$9:$R$257,2,FALSE))</f>
        <v/>
      </c>
      <c r="D56" s="310" t="str">
        <f>IF(C56="","",VLOOKUP($B56,'C-1 On-Site WaterC'' Baseline'!$C$9:$R$257,3,FALSE))</f>
        <v/>
      </c>
      <c r="E56" s="310" t="str">
        <f>IF(D56="","",VLOOKUP($B56,'C-1 On-Site WaterC'' Baseline'!$C$9:$R$257,4,FALSE))</f>
        <v/>
      </c>
      <c r="F56" s="310" t="str">
        <f>IF(E56="","",VLOOKUP($B56,'C-1 On-Site WaterC'' Baseline'!$C$9:$R$257,5,FALSE))</f>
        <v/>
      </c>
      <c r="G56" s="310" t="str">
        <f>IF(F56="","",VLOOKUP($B56,'C-1 On-Site WaterC'' Baseline'!$C$9:$R$257,6,FALSE))</f>
        <v/>
      </c>
      <c r="H56" s="310" t="str">
        <f>IF(G56="","",VLOOKUP($B56,'C-1 On-Site WaterC'' Baseline'!$C$9:$R$257,7,FALSE))</f>
        <v/>
      </c>
      <c r="I56" s="310" t="str">
        <f>IF(H56="","",VLOOKUP($B56,'C-1 On-Site WaterC'' Baseline'!$C$9:$R$257,8,FALSE))</f>
        <v/>
      </c>
      <c r="J56" s="310" t="str">
        <f>IF(I56="","",VLOOKUP($B56,'C-1 On-Site WaterC'' Baseline'!$C$9:$R$257,9,FALSE))</f>
        <v/>
      </c>
      <c r="K56" s="310" t="str">
        <f>IF(J56="","",VLOOKUP($B56,'C-1 On-Site WaterC'' Baseline'!$C$9:$R$257,10,FALSE))</f>
        <v/>
      </c>
      <c r="L56" s="310" t="str">
        <f>IF(B56="","",VLOOKUP($B56,'C-1 On-Site WaterC'' Baseline'!$C$9:$R$257,15,FALSE))</f>
        <v/>
      </c>
      <c r="M56" s="314" t="str">
        <f>IF(L56="","",VLOOKUP($B56,'C-1 On-Site WaterC'' Baseline'!$C$9:$R$257,16,FALSE))</f>
        <v/>
      </c>
      <c r="N56" s="259"/>
      <c r="O56" s="290" t="str">
        <f t="shared" si="1"/>
        <v/>
      </c>
      <c r="P56" s="291" t="str">
        <f t="shared" si="2"/>
        <v/>
      </c>
      <c r="Q56" s="346" t="str">
        <f>IF(N56="","",VLOOKUP(B56,'C-1 On-Site WaterC'' Baseline'!$C$10:$AC$257,20,FALSE))</f>
        <v/>
      </c>
      <c r="R56" s="290" t="str">
        <f>IF(N56="","",VLOOKUP(N56,'G-7 WaterC'' Data'!$B$2:$G$8,2,FALSE))</f>
        <v/>
      </c>
      <c r="S56" s="291" t="str">
        <f>IFERROR(VLOOKUP(R56,'G-7 WaterC'' Data'!$C$4:$D$8,2,FALSE),"")</f>
        <v/>
      </c>
      <c r="T56" s="95"/>
      <c r="U56" s="291" t="str">
        <f>IFERROR(INDEX('G-7 WaterC'' Data'!$H$4:$L$8,MATCH(N56,'G-7 WaterC'' Data'!$B$4:$B$8,0),MATCH(T56,'G-7 WaterC'' Data'!$H$3:$L$3,0)),"")</f>
        <v/>
      </c>
      <c r="V56" s="95"/>
      <c r="W56" s="298" t="str">
        <f>IF(V56="","",IF(VLOOKUP(V56,'G-7 WaterC'' Data'!$AK$4:$AM$6,2,FALSE)=0,"Spatial Data Missing ⚠",VLOOKUP(V56,'G-7 WaterC'' Data'!$AK$4:$AM$6,2,FALSE)))</f>
        <v/>
      </c>
      <c r="X56" s="291" t="str">
        <f>IF(V56="","",IF(VLOOKUP(V56,'G-7 WaterC'' Data'!$AK$4:$AM$6,3,FALSE)=0,"Spatial Data Missing ⚠",VLOOKUP(V56,'G-7 WaterC'' Data'!$AK$4:$AM$6,3,FALSE)))</f>
        <v/>
      </c>
      <c r="Y56" s="290" t="str">
        <f>IFERROR(IF(OR(LEFT(P56,5)="Error",LEFT(O56,5)="Error ▲"),"Check Data ⚠",IF(F56&lt;S56,'G-7 WaterC'' Data'!$R$3,INDEX('G-7 WaterC'' Data'!$U$5:$Y$9,MATCH(G56,'G-7 WaterC'' Data'!$T$5:$T$9,0),MATCH(T56,'G-7 WaterC'' Data'!$U$4:$Y$4,0)))),"")</f>
        <v/>
      </c>
      <c r="Z56" s="138"/>
      <c r="AA56" s="138"/>
      <c r="AB56" s="298" t="str">
        <f t="shared" si="3"/>
        <v/>
      </c>
      <c r="AC56" s="311" t="str">
        <f t="shared" si="4"/>
        <v/>
      </c>
      <c r="AD56" s="344" t="str">
        <f>IFERROR(IF(AC56="Check Data ⚠","Check Data ⚠",VLOOKUP(AC56,'G-4 Temporal multipliers'!$A$4:$C$37,3,FALSE)),"")</f>
        <v/>
      </c>
      <c r="AE56" s="290" t="str">
        <f>IF(N56="","",VLOOKUP(N56,'G-7 WaterC'' Data'!$B$4:$G$8,5,FALSE))</f>
        <v/>
      </c>
      <c r="AF56" s="298" t="str">
        <f t="shared" si="5"/>
        <v/>
      </c>
      <c r="AG56" s="328" t="str">
        <f t="shared" si="6"/>
        <v/>
      </c>
      <c r="AH56" s="291" t="str">
        <f t="shared" si="0"/>
        <v/>
      </c>
      <c r="AI56" s="103"/>
      <c r="AJ56" s="291" t="str">
        <f>IF(AI56="","",IF(AND(AI56="N/A - Culvert",N56&lt;&gt;"Culvert"),"Not possible ▲",IF(VLOOKUP(AI56,'G-7 WaterC'' Data'!$AA$4:$AB$7,2,FALSE)=0,"Spatial Data Missing ⚠",VLOOKUP(AI56,'G-7 WaterC'' Data'!$AA$4:$AB$7,2,FALSE))))</f>
        <v/>
      </c>
      <c r="AK56" s="104"/>
      <c r="AL56" s="291" t="str">
        <f>IF(AK56="","",IF(AND(AK56="N/A - Culvert",N56&lt;&gt;"Culvert"),"Not possible ▲",IF(VLOOKUP(AK56,'G-7 WaterC'' Data'!$AD$4:$AE$14,2,FALSE)=0,"Spatial Data Missing ⚠",VLOOKUP(AK56,'G-7 WaterC'' Data'!$AD$4:$AE$14,2,FALSE))))</f>
        <v/>
      </c>
      <c r="AM56" s="332" t="str">
        <f t="shared" si="7"/>
        <v/>
      </c>
      <c r="AN56" s="98"/>
      <c r="AO56" s="99"/>
      <c r="AP56" s="101"/>
      <c r="AS56" s="15" t="str">
        <f>IF(B56="","",IF(ISNA(VLOOKUP($B56,'C-1 On-Site WaterC'' Baseline'!$C$8:$AD$257,17,FALSE)),"",(VLOOKUP($B56,'C-1 On-Site WaterC'' Baseline'!$C$8:$AD$257,17,FALSE))))</f>
        <v/>
      </c>
      <c r="AT56" s="15" t="str">
        <f>IF(B56="","",VLOOKUP($B56,'C-1 On-Site WaterC'' Baseline'!$C$9:$Z$257,12,FALSE))</f>
        <v/>
      </c>
      <c r="AU56" s="15" t="str">
        <f>IF(B56="","",VLOOKUP($B56,'C-1 On-Site WaterC'' Baseline'!$C$9:$Z$257,14,FALSE))</f>
        <v/>
      </c>
      <c r="AV56" s="15" t="str">
        <f>IFERROR(INDEX('G-7 WaterC'' Data'!$AZ$3:$AZ$7,MATCH(N56,'G-7 WaterC'' Data'!$AY$3:$AY$7,0)),"")</f>
        <v/>
      </c>
      <c r="AX56" s="15" t="str">
        <f>IF(B56="","",VLOOKUP($B56,'C-1 On-Site WaterC'' Baseline'!$C$9:$Y$257,22,FALSE))</f>
        <v/>
      </c>
      <c r="AY56" s="15" t="str">
        <f t="shared" si="8"/>
        <v/>
      </c>
      <c r="AZ56" s="15" t="str">
        <f>IF(B56="","",VLOOKUP($B56,'C-1 On-Site WaterC'' Baseline'!$C$9:$Y$257,21,FALSE))</f>
        <v/>
      </c>
      <c r="BA56" s="15" t="str">
        <f>IF(B56="","",VLOOKUP($B56,'C-1 On-Site WaterC'' Baseline'!$C$9:$Y$257,19,FALSE))</f>
        <v/>
      </c>
    </row>
    <row r="57" spans="2:53" ht="14" x14ac:dyDescent="0.3">
      <c r="B57" s="319" t="str">
        <f>'C-1 On-Site WaterC'' Baseline'!AP55</f>
        <v/>
      </c>
      <c r="C57" s="310" t="str">
        <f>IF(B57="","",VLOOKUP($B57,'C-1 On-Site WaterC'' Baseline'!$C$9:$R$257,2,FALSE))</f>
        <v/>
      </c>
      <c r="D57" s="310" t="str">
        <f>IF(C57="","",VLOOKUP($B57,'C-1 On-Site WaterC'' Baseline'!$C$9:$R$257,3,FALSE))</f>
        <v/>
      </c>
      <c r="E57" s="310" t="str">
        <f>IF(D57="","",VLOOKUP($B57,'C-1 On-Site WaterC'' Baseline'!$C$9:$R$257,4,FALSE))</f>
        <v/>
      </c>
      <c r="F57" s="310" t="str">
        <f>IF(E57="","",VLOOKUP($B57,'C-1 On-Site WaterC'' Baseline'!$C$9:$R$257,5,FALSE))</f>
        <v/>
      </c>
      <c r="G57" s="310" t="str">
        <f>IF(F57="","",VLOOKUP($B57,'C-1 On-Site WaterC'' Baseline'!$C$9:$R$257,6,FALSE))</f>
        <v/>
      </c>
      <c r="H57" s="310" t="str">
        <f>IF(G57="","",VLOOKUP($B57,'C-1 On-Site WaterC'' Baseline'!$C$9:$R$257,7,FALSE))</f>
        <v/>
      </c>
      <c r="I57" s="310" t="str">
        <f>IF(H57="","",VLOOKUP($B57,'C-1 On-Site WaterC'' Baseline'!$C$9:$R$257,8,FALSE))</f>
        <v/>
      </c>
      <c r="J57" s="310" t="str">
        <f>IF(I57="","",VLOOKUP($B57,'C-1 On-Site WaterC'' Baseline'!$C$9:$R$257,9,FALSE))</f>
        <v/>
      </c>
      <c r="K57" s="310" t="str">
        <f>IF(J57="","",VLOOKUP($B57,'C-1 On-Site WaterC'' Baseline'!$C$9:$R$257,10,FALSE))</f>
        <v/>
      </c>
      <c r="L57" s="310" t="str">
        <f>IF(B57="","",VLOOKUP($B57,'C-1 On-Site WaterC'' Baseline'!$C$9:$R$257,15,FALSE))</f>
        <v/>
      </c>
      <c r="M57" s="314" t="str">
        <f>IF(L57="","",VLOOKUP($B57,'C-1 On-Site WaterC'' Baseline'!$C$9:$R$257,16,FALSE))</f>
        <v/>
      </c>
      <c r="N57" s="259"/>
      <c r="O57" s="290" t="str">
        <f t="shared" si="1"/>
        <v/>
      </c>
      <c r="P57" s="291" t="str">
        <f t="shared" si="2"/>
        <v/>
      </c>
      <c r="Q57" s="346" t="str">
        <f>IF(N57="","",VLOOKUP(B57,'C-1 On-Site WaterC'' Baseline'!$C$10:$AC$257,20,FALSE))</f>
        <v/>
      </c>
      <c r="R57" s="290" t="str">
        <f>IF(N57="","",VLOOKUP(N57,'G-7 WaterC'' Data'!$B$2:$G$8,2,FALSE))</f>
        <v/>
      </c>
      <c r="S57" s="291" t="str">
        <f>IFERROR(VLOOKUP(R57,'G-7 WaterC'' Data'!$C$4:$D$8,2,FALSE),"")</f>
        <v/>
      </c>
      <c r="T57" s="95"/>
      <c r="U57" s="291" t="str">
        <f>IFERROR(INDEX('G-7 WaterC'' Data'!$H$4:$L$8,MATCH(N57,'G-7 WaterC'' Data'!$B$4:$B$8,0),MATCH(T57,'G-7 WaterC'' Data'!$H$3:$L$3,0)),"")</f>
        <v/>
      </c>
      <c r="V57" s="95"/>
      <c r="W57" s="298" t="str">
        <f>IF(V57="","",IF(VLOOKUP(V57,'G-7 WaterC'' Data'!$AK$4:$AM$6,2,FALSE)=0,"Spatial Data Missing ⚠",VLOOKUP(V57,'G-7 WaterC'' Data'!$AK$4:$AM$6,2,FALSE)))</f>
        <v/>
      </c>
      <c r="X57" s="291" t="str">
        <f>IF(V57="","",IF(VLOOKUP(V57,'G-7 WaterC'' Data'!$AK$4:$AM$6,3,FALSE)=0,"Spatial Data Missing ⚠",VLOOKUP(V57,'G-7 WaterC'' Data'!$AK$4:$AM$6,3,FALSE)))</f>
        <v/>
      </c>
      <c r="Y57" s="290" t="str">
        <f>IFERROR(IF(OR(LEFT(P57,5)="Error",LEFT(O57,5)="Error ▲"),"Check Data ⚠",IF(F57&lt;S57,'G-7 WaterC'' Data'!$R$3,INDEX('G-7 WaterC'' Data'!$U$5:$Y$9,MATCH(G57,'G-7 WaterC'' Data'!$T$5:$T$9,0),MATCH(T57,'G-7 WaterC'' Data'!$U$4:$Y$4,0)))),"")</f>
        <v/>
      </c>
      <c r="Z57" s="138"/>
      <c r="AA57" s="138"/>
      <c r="AB57" s="298" t="str">
        <f t="shared" si="3"/>
        <v/>
      </c>
      <c r="AC57" s="311" t="str">
        <f t="shared" si="4"/>
        <v/>
      </c>
      <c r="AD57" s="344" t="str">
        <f>IFERROR(IF(AC57="Check Data ⚠","Check Data ⚠",VLOOKUP(AC57,'G-4 Temporal multipliers'!$A$4:$C$37,3,FALSE)),"")</f>
        <v/>
      </c>
      <c r="AE57" s="290" t="str">
        <f>IF(N57="","",VLOOKUP(N57,'G-7 WaterC'' Data'!$B$4:$G$8,5,FALSE))</f>
        <v/>
      </c>
      <c r="AF57" s="298" t="str">
        <f t="shared" si="5"/>
        <v/>
      </c>
      <c r="AG57" s="328" t="str">
        <f t="shared" si="6"/>
        <v/>
      </c>
      <c r="AH57" s="291" t="str">
        <f t="shared" si="0"/>
        <v/>
      </c>
      <c r="AI57" s="103"/>
      <c r="AJ57" s="291" t="str">
        <f>IF(AI57="","",IF(AND(AI57="N/A - Culvert",N57&lt;&gt;"Culvert"),"Not possible ▲",IF(VLOOKUP(AI57,'G-7 WaterC'' Data'!$AA$4:$AB$7,2,FALSE)=0,"Spatial Data Missing ⚠",VLOOKUP(AI57,'G-7 WaterC'' Data'!$AA$4:$AB$7,2,FALSE))))</f>
        <v/>
      </c>
      <c r="AK57" s="104"/>
      <c r="AL57" s="291" t="str">
        <f>IF(AK57="","",IF(AND(AK57="N/A - Culvert",N57&lt;&gt;"Culvert"),"Not possible ▲",IF(VLOOKUP(AK57,'G-7 WaterC'' Data'!$AD$4:$AE$14,2,FALSE)=0,"Spatial Data Missing ⚠",VLOOKUP(AK57,'G-7 WaterC'' Data'!$AD$4:$AE$14,2,FALSE))))</f>
        <v/>
      </c>
      <c r="AM57" s="332" t="str">
        <f t="shared" si="7"/>
        <v/>
      </c>
      <c r="AN57" s="98"/>
      <c r="AO57" s="99"/>
      <c r="AP57" s="101"/>
      <c r="AS57" s="15" t="str">
        <f>IF(B57="","",IF(ISNA(VLOOKUP($B57,'C-1 On-Site WaterC'' Baseline'!$C$8:$AD$257,17,FALSE)),"",(VLOOKUP($B57,'C-1 On-Site WaterC'' Baseline'!$C$8:$AD$257,17,FALSE))))</f>
        <v/>
      </c>
      <c r="AT57" s="15" t="str">
        <f>IF(B57="","",VLOOKUP($B57,'C-1 On-Site WaterC'' Baseline'!$C$9:$Z$257,12,FALSE))</f>
        <v/>
      </c>
      <c r="AU57" s="15" t="str">
        <f>IF(B57="","",VLOOKUP($B57,'C-1 On-Site WaterC'' Baseline'!$C$9:$Z$257,14,FALSE))</f>
        <v/>
      </c>
      <c r="AV57" s="15" t="str">
        <f>IFERROR(INDEX('G-7 WaterC'' Data'!$AZ$3:$AZ$7,MATCH(N57,'G-7 WaterC'' Data'!$AY$3:$AY$7,0)),"")</f>
        <v/>
      </c>
      <c r="AX57" s="15" t="str">
        <f>IF(B57="","",VLOOKUP($B57,'C-1 On-Site WaterC'' Baseline'!$C$9:$Y$257,22,FALSE))</f>
        <v/>
      </c>
      <c r="AY57" s="15" t="str">
        <f t="shared" si="8"/>
        <v/>
      </c>
      <c r="AZ57" s="15" t="str">
        <f>IF(B57="","",VLOOKUP($B57,'C-1 On-Site WaterC'' Baseline'!$C$9:$Y$257,21,FALSE))</f>
        <v/>
      </c>
      <c r="BA57" s="15" t="str">
        <f>IF(B57="","",VLOOKUP($B57,'C-1 On-Site WaterC'' Baseline'!$C$9:$Y$257,19,FALSE))</f>
        <v/>
      </c>
    </row>
    <row r="58" spans="2:53" ht="14" x14ac:dyDescent="0.3">
      <c r="B58" s="319" t="str">
        <f>'C-1 On-Site WaterC'' Baseline'!AP56</f>
        <v/>
      </c>
      <c r="C58" s="310" t="str">
        <f>IF(B58="","",VLOOKUP($B58,'C-1 On-Site WaterC'' Baseline'!$C$9:$R$257,2,FALSE))</f>
        <v/>
      </c>
      <c r="D58" s="310" t="str">
        <f>IF(C58="","",VLOOKUP($B58,'C-1 On-Site WaterC'' Baseline'!$C$9:$R$257,3,FALSE))</f>
        <v/>
      </c>
      <c r="E58" s="310" t="str">
        <f>IF(D58="","",VLOOKUP($B58,'C-1 On-Site WaterC'' Baseline'!$C$9:$R$257,4,FALSE))</f>
        <v/>
      </c>
      <c r="F58" s="310" t="str">
        <f>IF(E58="","",VLOOKUP($B58,'C-1 On-Site WaterC'' Baseline'!$C$9:$R$257,5,FALSE))</f>
        <v/>
      </c>
      <c r="G58" s="310" t="str">
        <f>IF(F58="","",VLOOKUP($B58,'C-1 On-Site WaterC'' Baseline'!$C$9:$R$257,6,FALSE))</f>
        <v/>
      </c>
      <c r="H58" s="310" t="str">
        <f>IF(G58="","",VLOOKUP($B58,'C-1 On-Site WaterC'' Baseline'!$C$9:$R$257,7,FALSE))</f>
        <v/>
      </c>
      <c r="I58" s="310" t="str">
        <f>IF(H58="","",VLOOKUP($B58,'C-1 On-Site WaterC'' Baseline'!$C$9:$R$257,8,FALSE))</f>
        <v/>
      </c>
      <c r="J58" s="310" t="str">
        <f>IF(I58="","",VLOOKUP($B58,'C-1 On-Site WaterC'' Baseline'!$C$9:$R$257,9,FALSE))</f>
        <v/>
      </c>
      <c r="K58" s="310" t="str">
        <f>IF(J58="","",VLOOKUP($B58,'C-1 On-Site WaterC'' Baseline'!$C$9:$R$257,10,FALSE))</f>
        <v/>
      </c>
      <c r="L58" s="310" t="str">
        <f>IF(B58="","",VLOOKUP($B58,'C-1 On-Site WaterC'' Baseline'!$C$9:$R$257,15,FALSE))</f>
        <v/>
      </c>
      <c r="M58" s="314" t="str">
        <f>IF(L58="","",VLOOKUP($B58,'C-1 On-Site WaterC'' Baseline'!$C$9:$R$257,16,FALSE))</f>
        <v/>
      </c>
      <c r="N58" s="259"/>
      <c r="O58" s="290" t="str">
        <f t="shared" si="1"/>
        <v/>
      </c>
      <c r="P58" s="291" t="str">
        <f t="shared" si="2"/>
        <v/>
      </c>
      <c r="Q58" s="346" t="str">
        <f>IF(N58="","",VLOOKUP(B58,'C-1 On-Site WaterC'' Baseline'!$C$10:$AC$257,20,FALSE))</f>
        <v/>
      </c>
      <c r="R58" s="290" t="str">
        <f>IF(N58="","",VLOOKUP(N58,'G-7 WaterC'' Data'!$B$2:$G$8,2,FALSE))</f>
        <v/>
      </c>
      <c r="S58" s="291" t="str">
        <f>IFERROR(VLOOKUP(R58,'G-7 WaterC'' Data'!$C$4:$D$8,2,FALSE),"")</f>
        <v/>
      </c>
      <c r="T58" s="95"/>
      <c r="U58" s="291" t="str">
        <f>IFERROR(INDEX('G-7 WaterC'' Data'!$H$4:$L$8,MATCH(N58,'G-7 WaterC'' Data'!$B$4:$B$8,0),MATCH(T58,'G-7 WaterC'' Data'!$H$3:$L$3,0)),"")</f>
        <v/>
      </c>
      <c r="V58" s="95"/>
      <c r="W58" s="298" t="str">
        <f>IF(V58="","",IF(VLOOKUP(V58,'G-7 WaterC'' Data'!$AK$4:$AM$6,2,FALSE)=0,"Spatial Data Missing ⚠",VLOOKUP(V58,'G-7 WaterC'' Data'!$AK$4:$AM$6,2,FALSE)))</f>
        <v/>
      </c>
      <c r="X58" s="291" t="str">
        <f>IF(V58="","",IF(VLOOKUP(V58,'G-7 WaterC'' Data'!$AK$4:$AM$6,3,FALSE)=0,"Spatial Data Missing ⚠",VLOOKUP(V58,'G-7 WaterC'' Data'!$AK$4:$AM$6,3,FALSE)))</f>
        <v/>
      </c>
      <c r="Y58" s="290" t="str">
        <f>IFERROR(IF(OR(LEFT(P58,5)="Error",LEFT(O58,5)="Error ▲"),"Check Data ⚠",IF(F58&lt;S58,'G-7 WaterC'' Data'!$R$3,INDEX('G-7 WaterC'' Data'!$U$5:$Y$9,MATCH(G58,'G-7 WaterC'' Data'!$T$5:$T$9,0),MATCH(T58,'G-7 WaterC'' Data'!$U$4:$Y$4,0)))),"")</f>
        <v/>
      </c>
      <c r="Z58" s="138"/>
      <c r="AA58" s="138"/>
      <c r="AB58" s="298" t="str">
        <f t="shared" si="3"/>
        <v/>
      </c>
      <c r="AC58" s="311" t="str">
        <f t="shared" si="4"/>
        <v/>
      </c>
      <c r="AD58" s="344" t="str">
        <f>IFERROR(IF(AC58="Check Data ⚠","Check Data ⚠",VLOOKUP(AC58,'G-4 Temporal multipliers'!$A$4:$C$37,3,FALSE)),"")</f>
        <v/>
      </c>
      <c r="AE58" s="290" t="str">
        <f>IF(N58="","",VLOOKUP(N58,'G-7 WaterC'' Data'!$B$4:$G$8,5,FALSE))</f>
        <v/>
      </c>
      <c r="AF58" s="298" t="str">
        <f t="shared" si="5"/>
        <v/>
      </c>
      <c r="AG58" s="328" t="str">
        <f t="shared" si="6"/>
        <v/>
      </c>
      <c r="AH58" s="291" t="str">
        <f t="shared" si="0"/>
        <v/>
      </c>
      <c r="AI58" s="103"/>
      <c r="AJ58" s="291" t="str">
        <f>IF(AI58="","",IF(AND(AI58="N/A - Culvert",N58&lt;&gt;"Culvert"),"Not possible ▲",IF(VLOOKUP(AI58,'G-7 WaterC'' Data'!$AA$4:$AB$7,2,FALSE)=0,"Spatial Data Missing ⚠",VLOOKUP(AI58,'G-7 WaterC'' Data'!$AA$4:$AB$7,2,FALSE))))</f>
        <v/>
      </c>
      <c r="AK58" s="104"/>
      <c r="AL58" s="291" t="str">
        <f>IF(AK58="","",IF(AND(AK58="N/A - Culvert",N58&lt;&gt;"Culvert"),"Not possible ▲",IF(VLOOKUP(AK58,'G-7 WaterC'' Data'!$AD$4:$AE$14,2,FALSE)=0,"Spatial Data Missing ⚠",VLOOKUP(AK58,'G-7 WaterC'' Data'!$AD$4:$AE$14,2,FALSE))))</f>
        <v/>
      </c>
      <c r="AM58" s="332" t="str">
        <f t="shared" si="7"/>
        <v/>
      </c>
      <c r="AN58" s="98"/>
      <c r="AO58" s="99"/>
      <c r="AP58" s="101"/>
      <c r="AS58" s="15" t="str">
        <f>IF(B58="","",IF(ISNA(VLOOKUP($B58,'C-1 On-Site WaterC'' Baseline'!$C$8:$AD$257,17,FALSE)),"",(VLOOKUP($B58,'C-1 On-Site WaterC'' Baseline'!$C$8:$AD$257,17,FALSE))))</f>
        <v/>
      </c>
      <c r="AT58" s="15" t="str">
        <f>IF(B58="","",VLOOKUP($B58,'C-1 On-Site WaterC'' Baseline'!$C$9:$Z$257,12,FALSE))</f>
        <v/>
      </c>
      <c r="AU58" s="15" t="str">
        <f>IF(B58="","",VLOOKUP($B58,'C-1 On-Site WaterC'' Baseline'!$C$9:$Z$257,14,FALSE))</f>
        <v/>
      </c>
      <c r="AV58" s="15" t="str">
        <f>IFERROR(INDEX('G-7 WaterC'' Data'!$AZ$3:$AZ$7,MATCH(N58,'G-7 WaterC'' Data'!$AY$3:$AY$7,0)),"")</f>
        <v/>
      </c>
      <c r="AX58" s="15" t="str">
        <f>IF(B58="","",VLOOKUP($B58,'C-1 On-Site WaterC'' Baseline'!$C$9:$Y$257,22,FALSE))</f>
        <v/>
      </c>
      <c r="AY58" s="15" t="str">
        <f t="shared" si="8"/>
        <v/>
      </c>
      <c r="AZ58" s="15" t="str">
        <f>IF(B58="","",VLOOKUP($B58,'C-1 On-Site WaterC'' Baseline'!$C$9:$Y$257,21,FALSE))</f>
        <v/>
      </c>
      <c r="BA58" s="15" t="str">
        <f>IF(B58="","",VLOOKUP($B58,'C-1 On-Site WaterC'' Baseline'!$C$9:$Y$257,19,FALSE))</f>
        <v/>
      </c>
    </row>
    <row r="59" spans="2:53" ht="14" x14ac:dyDescent="0.3">
      <c r="B59" s="319" t="str">
        <f>'C-1 On-Site WaterC'' Baseline'!AP57</f>
        <v/>
      </c>
      <c r="C59" s="310" t="str">
        <f>IF(B59="","",VLOOKUP($B59,'C-1 On-Site WaterC'' Baseline'!$C$9:$R$257,2,FALSE))</f>
        <v/>
      </c>
      <c r="D59" s="310" t="str">
        <f>IF(C59="","",VLOOKUP($B59,'C-1 On-Site WaterC'' Baseline'!$C$9:$R$257,3,FALSE))</f>
        <v/>
      </c>
      <c r="E59" s="310" t="str">
        <f>IF(D59="","",VLOOKUP($B59,'C-1 On-Site WaterC'' Baseline'!$C$9:$R$257,4,FALSE))</f>
        <v/>
      </c>
      <c r="F59" s="310" t="str">
        <f>IF(E59="","",VLOOKUP($B59,'C-1 On-Site WaterC'' Baseline'!$C$9:$R$257,5,FALSE))</f>
        <v/>
      </c>
      <c r="G59" s="310" t="str">
        <f>IF(F59="","",VLOOKUP($B59,'C-1 On-Site WaterC'' Baseline'!$C$9:$R$257,6,FALSE))</f>
        <v/>
      </c>
      <c r="H59" s="310" t="str">
        <f>IF(G59="","",VLOOKUP($B59,'C-1 On-Site WaterC'' Baseline'!$C$9:$R$257,7,FALSE))</f>
        <v/>
      </c>
      <c r="I59" s="310" t="str">
        <f>IF(H59="","",VLOOKUP($B59,'C-1 On-Site WaterC'' Baseline'!$C$9:$R$257,8,FALSE))</f>
        <v/>
      </c>
      <c r="J59" s="310" t="str">
        <f>IF(I59="","",VLOOKUP($B59,'C-1 On-Site WaterC'' Baseline'!$C$9:$R$257,9,FALSE))</f>
        <v/>
      </c>
      <c r="K59" s="310" t="str">
        <f>IF(J59="","",VLOOKUP($B59,'C-1 On-Site WaterC'' Baseline'!$C$9:$R$257,10,FALSE))</f>
        <v/>
      </c>
      <c r="L59" s="310" t="str">
        <f>IF(B59="","",VLOOKUP($B59,'C-1 On-Site WaterC'' Baseline'!$C$9:$R$257,15,FALSE))</f>
        <v/>
      </c>
      <c r="M59" s="314" t="str">
        <f>IF(L59="","",VLOOKUP($B59,'C-1 On-Site WaterC'' Baseline'!$C$9:$R$257,16,FALSE))</f>
        <v/>
      </c>
      <c r="N59" s="259"/>
      <c r="O59" s="290" t="str">
        <f t="shared" si="1"/>
        <v/>
      </c>
      <c r="P59" s="291" t="str">
        <f t="shared" si="2"/>
        <v/>
      </c>
      <c r="Q59" s="346" t="str">
        <f>IF(N59="","",VLOOKUP(B59,'C-1 On-Site WaterC'' Baseline'!$C$10:$AC$257,20,FALSE))</f>
        <v/>
      </c>
      <c r="R59" s="290" t="str">
        <f>IF(N59="","",VLOOKUP(N59,'G-7 WaterC'' Data'!$B$2:$G$8,2,FALSE))</f>
        <v/>
      </c>
      <c r="S59" s="291" t="str">
        <f>IFERROR(VLOOKUP(R59,'G-7 WaterC'' Data'!$C$4:$D$8,2,FALSE),"")</f>
        <v/>
      </c>
      <c r="T59" s="95"/>
      <c r="U59" s="291" t="str">
        <f>IFERROR(INDEX('G-7 WaterC'' Data'!$H$4:$L$8,MATCH(N59,'G-7 WaterC'' Data'!$B$4:$B$8,0),MATCH(T59,'G-7 WaterC'' Data'!$H$3:$L$3,0)),"")</f>
        <v/>
      </c>
      <c r="V59" s="95"/>
      <c r="W59" s="298" t="str">
        <f>IF(V59="","",IF(VLOOKUP(V59,'G-7 WaterC'' Data'!$AK$4:$AM$6,2,FALSE)=0,"Spatial Data Missing ⚠",VLOOKUP(V59,'G-7 WaterC'' Data'!$AK$4:$AM$6,2,FALSE)))</f>
        <v/>
      </c>
      <c r="X59" s="291" t="str">
        <f>IF(V59="","",IF(VLOOKUP(V59,'G-7 WaterC'' Data'!$AK$4:$AM$6,3,FALSE)=0,"Spatial Data Missing ⚠",VLOOKUP(V59,'G-7 WaterC'' Data'!$AK$4:$AM$6,3,FALSE)))</f>
        <v/>
      </c>
      <c r="Y59" s="290" t="str">
        <f>IFERROR(IF(OR(LEFT(P59,5)="Error",LEFT(O59,5)="Error ▲"),"Check Data ⚠",IF(F59&lt;S59,'G-7 WaterC'' Data'!$R$3,INDEX('G-7 WaterC'' Data'!$U$5:$Y$9,MATCH(G59,'G-7 WaterC'' Data'!$T$5:$T$9,0),MATCH(T59,'G-7 WaterC'' Data'!$U$4:$Y$4,0)))),"")</f>
        <v/>
      </c>
      <c r="Z59" s="138"/>
      <c r="AA59" s="138"/>
      <c r="AB59" s="298" t="str">
        <f t="shared" si="3"/>
        <v/>
      </c>
      <c r="AC59" s="311" t="str">
        <f t="shared" si="4"/>
        <v/>
      </c>
      <c r="AD59" s="344" t="str">
        <f>IFERROR(IF(AC59="Check Data ⚠","Check Data ⚠",VLOOKUP(AC59,'G-4 Temporal multipliers'!$A$4:$C$37,3,FALSE)),"")</f>
        <v/>
      </c>
      <c r="AE59" s="290" t="str">
        <f>IF(N59="","",VLOOKUP(N59,'G-7 WaterC'' Data'!$B$4:$G$8,5,FALSE))</f>
        <v/>
      </c>
      <c r="AF59" s="298" t="str">
        <f t="shared" si="5"/>
        <v/>
      </c>
      <c r="AG59" s="328" t="str">
        <f t="shared" si="6"/>
        <v/>
      </c>
      <c r="AH59" s="291" t="str">
        <f t="shared" si="0"/>
        <v/>
      </c>
      <c r="AI59" s="103"/>
      <c r="AJ59" s="291" t="str">
        <f>IF(AI59="","",IF(AND(AI59="N/A - Culvert",N59&lt;&gt;"Culvert"),"Not possible ▲",IF(VLOOKUP(AI59,'G-7 WaterC'' Data'!$AA$4:$AB$7,2,FALSE)=0,"Spatial Data Missing ⚠",VLOOKUP(AI59,'G-7 WaterC'' Data'!$AA$4:$AB$7,2,FALSE))))</f>
        <v/>
      </c>
      <c r="AK59" s="104"/>
      <c r="AL59" s="291" t="str">
        <f>IF(AK59="","",IF(AND(AK59="N/A - Culvert",N59&lt;&gt;"Culvert"),"Not possible ▲",IF(VLOOKUP(AK59,'G-7 WaterC'' Data'!$AD$4:$AE$14,2,FALSE)=0,"Spatial Data Missing ⚠",VLOOKUP(AK59,'G-7 WaterC'' Data'!$AD$4:$AE$14,2,FALSE))))</f>
        <v/>
      </c>
      <c r="AM59" s="332" t="str">
        <f t="shared" si="7"/>
        <v/>
      </c>
      <c r="AN59" s="98"/>
      <c r="AO59" s="99"/>
      <c r="AP59" s="101"/>
      <c r="AS59" s="15" t="str">
        <f>IF(B59="","",IF(ISNA(VLOOKUP($B59,'C-1 On-Site WaterC'' Baseline'!$C$8:$AD$257,17,FALSE)),"",(VLOOKUP($B59,'C-1 On-Site WaterC'' Baseline'!$C$8:$AD$257,17,FALSE))))</f>
        <v/>
      </c>
      <c r="AT59" s="15" t="str">
        <f>IF(B59="","",VLOOKUP($B59,'C-1 On-Site WaterC'' Baseline'!$C$9:$Z$257,12,FALSE))</f>
        <v/>
      </c>
      <c r="AU59" s="15" t="str">
        <f>IF(B59="","",VLOOKUP($B59,'C-1 On-Site WaterC'' Baseline'!$C$9:$Z$257,14,FALSE))</f>
        <v/>
      </c>
      <c r="AV59" s="15" t="str">
        <f>IFERROR(INDEX('G-7 WaterC'' Data'!$AZ$3:$AZ$7,MATCH(N59,'G-7 WaterC'' Data'!$AY$3:$AY$7,0)),"")</f>
        <v/>
      </c>
      <c r="AX59" s="15" t="str">
        <f>IF(B59="","",VLOOKUP($B59,'C-1 On-Site WaterC'' Baseline'!$C$9:$Y$257,22,FALSE))</f>
        <v/>
      </c>
      <c r="AY59" s="15" t="str">
        <f t="shared" si="8"/>
        <v/>
      </c>
      <c r="AZ59" s="15" t="str">
        <f>IF(B59="","",VLOOKUP($B59,'C-1 On-Site WaterC'' Baseline'!$C$9:$Y$257,21,FALSE))</f>
        <v/>
      </c>
      <c r="BA59" s="15" t="str">
        <f>IF(B59="","",VLOOKUP($B59,'C-1 On-Site WaterC'' Baseline'!$C$9:$Y$257,19,FALSE))</f>
        <v/>
      </c>
    </row>
    <row r="60" spans="2:53" ht="14" x14ac:dyDescent="0.3">
      <c r="B60" s="319" t="str">
        <f>'C-1 On-Site WaterC'' Baseline'!AP58</f>
        <v/>
      </c>
      <c r="C60" s="310" t="str">
        <f>IF(B60="","",VLOOKUP($B60,'C-1 On-Site WaterC'' Baseline'!$C$9:$R$257,2,FALSE))</f>
        <v/>
      </c>
      <c r="D60" s="310" t="str">
        <f>IF(C60="","",VLOOKUP($B60,'C-1 On-Site WaterC'' Baseline'!$C$9:$R$257,3,FALSE))</f>
        <v/>
      </c>
      <c r="E60" s="310" t="str">
        <f>IF(D60="","",VLOOKUP($B60,'C-1 On-Site WaterC'' Baseline'!$C$9:$R$257,4,FALSE))</f>
        <v/>
      </c>
      <c r="F60" s="310" t="str">
        <f>IF(E60="","",VLOOKUP($B60,'C-1 On-Site WaterC'' Baseline'!$C$9:$R$257,5,FALSE))</f>
        <v/>
      </c>
      <c r="G60" s="310" t="str">
        <f>IF(F60="","",VLOOKUP($B60,'C-1 On-Site WaterC'' Baseline'!$C$9:$R$257,6,FALSE))</f>
        <v/>
      </c>
      <c r="H60" s="310" t="str">
        <f>IF(G60="","",VLOOKUP($B60,'C-1 On-Site WaterC'' Baseline'!$C$9:$R$257,7,FALSE))</f>
        <v/>
      </c>
      <c r="I60" s="310" t="str">
        <f>IF(H60="","",VLOOKUP($B60,'C-1 On-Site WaterC'' Baseline'!$C$9:$R$257,8,FALSE))</f>
        <v/>
      </c>
      <c r="J60" s="310" t="str">
        <f>IF(I60="","",VLOOKUP($B60,'C-1 On-Site WaterC'' Baseline'!$C$9:$R$257,9,FALSE))</f>
        <v/>
      </c>
      <c r="K60" s="310" t="str">
        <f>IF(J60="","",VLOOKUP($B60,'C-1 On-Site WaterC'' Baseline'!$C$9:$R$257,10,FALSE))</f>
        <v/>
      </c>
      <c r="L60" s="310" t="str">
        <f>IF(B60="","",VLOOKUP($B60,'C-1 On-Site WaterC'' Baseline'!$C$9:$R$257,15,FALSE))</f>
        <v/>
      </c>
      <c r="M60" s="314" t="str">
        <f>IF(L60="","",VLOOKUP($B60,'C-1 On-Site WaterC'' Baseline'!$C$9:$R$257,16,FALSE))</f>
        <v/>
      </c>
      <c r="N60" s="259"/>
      <c r="O60" s="290" t="str">
        <f t="shared" si="1"/>
        <v/>
      </c>
      <c r="P60" s="291" t="str">
        <f t="shared" si="2"/>
        <v/>
      </c>
      <c r="Q60" s="346" t="str">
        <f>IF(N60="","",VLOOKUP(B60,'C-1 On-Site WaterC'' Baseline'!$C$10:$AC$257,20,FALSE))</f>
        <v/>
      </c>
      <c r="R60" s="290" t="str">
        <f>IF(N60="","",VLOOKUP(N60,'G-7 WaterC'' Data'!$B$2:$G$8,2,FALSE))</f>
        <v/>
      </c>
      <c r="S60" s="291" t="str">
        <f>IFERROR(VLOOKUP(R60,'G-7 WaterC'' Data'!$C$4:$D$8,2,FALSE),"")</f>
        <v/>
      </c>
      <c r="T60" s="95"/>
      <c r="U60" s="291" t="str">
        <f>IFERROR(INDEX('G-7 WaterC'' Data'!$H$4:$L$8,MATCH(N60,'G-7 WaterC'' Data'!$B$4:$B$8,0),MATCH(T60,'G-7 WaterC'' Data'!$H$3:$L$3,0)),"")</f>
        <v/>
      </c>
      <c r="V60" s="95"/>
      <c r="W60" s="298" t="str">
        <f>IF(V60="","",IF(VLOOKUP(V60,'G-7 WaterC'' Data'!$AK$4:$AM$6,2,FALSE)=0,"Spatial Data Missing ⚠",VLOOKUP(V60,'G-7 WaterC'' Data'!$AK$4:$AM$6,2,FALSE)))</f>
        <v/>
      </c>
      <c r="X60" s="291" t="str">
        <f>IF(V60="","",IF(VLOOKUP(V60,'G-7 WaterC'' Data'!$AK$4:$AM$6,3,FALSE)=0,"Spatial Data Missing ⚠",VLOOKUP(V60,'G-7 WaterC'' Data'!$AK$4:$AM$6,3,FALSE)))</f>
        <v/>
      </c>
      <c r="Y60" s="290" t="str">
        <f>IFERROR(IF(OR(LEFT(P60,5)="Error",LEFT(O60,5)="Error ▲"),"Check Data ⚠",IF(F60&lt;S60,'G-7 WaterC'' Data'!$R$3,INDEX('G-7 WaterC'' Data'!$U$5:$Y$9,MATCH(G60,'G-7 WaterC'' Data'!$T$5:$T$9,0),MATCH(T60,'G-7 WaterC'' Data'!$U$4:$Y$4,0)))),"")</f>
        <v/>
      </c>
      <c r="Z60" s="138"/>
      <c r="AA60" s="138"/>
      <c r="AB60" s="298" t="str">
        <f t="shared" si="3"/>
        <v/>
      </c>
      <c r="AC60" s="311" t="str">
        <f t="shared" si="4"/>
        <v/>
      </c>
      <c r="AD60" s="344" t="str">
        <f>IFERROR(IF(AC60="Check Data ⚠","Check Data ⚠",VLOOKUP(AC60,'G-4 Temporal multipliers'!$A$4:$C$37,3,FALSE)),"")</f>
        <v/>
      </c>
      <c r="AE60" s="290" t="str">
        <f>IF(N60="","",VLOOKUP(N60,'G-7 WaterC'' Data'!$B$4:$G$8,5,FALSE))</f>
        <v/>
      </c>
      <c r="AF60" s="298" t="str">
        <f t="shared" si="5"/>
        <v/>
      </c>
      <c r="AG60" s="328" t="str">
        <f t="shared" si="6"/>
        <v/>
      </c>
      <c r="AH60" s="291" t="str">
        <f t="shared" si="0"/>
        <v/>
      </c>
      <c r="AI60" s="103"/>
      <c r="AJ60" s="291" t="str">
        <f>IF(AI60="","",IF(AND(AI60="N/A - Culvert",N60&lt;&gt;"Culvert"),"Not possible ▲",IF(VLOOKUP(AI60,'G-7 WaterC'' Data'!$AA$4:$AB$7,2,FALSE)=0,"Spatial Data Missing ⚠",VLOOKUP(AI60,'G-7 WaterC'' Data'!$AA$4:$AB$7,2,FALSE))))</f>
        <v/>
      </c>
      <c r="AK60" s="104"/>
      <c r="AL60" s="291" t="str">
        <f>IF(AK60="","",IF(AND(AK60="N/A - Culvert",N60&lt;&gt;"Culvert"),"Not possible ▲",IF(VLOOKUP(AK60,'G-7 WaterC'' Data'!$AD$4:$AE$14,2,FALSE)=0,"Spatial Data Missing ⚠",VLOOKUP(AK60,'G-7 WaterC'' Data'!$AD$4:$AE$14,2,FALSE))))</f>
        <v/>
      </c>
      <c r="AM60" s="332" t="str">
        <f t="shared" si="7"/>
        <v/>
      </c>
      <c r="AN60" s="98"/>
      <c r="AO60" s="99"/>
      <c r="AP60" s="101"/>
      <c r="AS60" s="15" t="str">
        <f>IF(B60="","",IF(ISNA(VLOOKUP($B60,'C-1 On-Site WaterC'' Baseline'!$C$8:$AD$257,17,FALSE)),"",(VLOOKUP($B60,'C-1 On-Site WaterC'' Baseline'!$C$8:$AD$257,17,FALSE))))</f>
        <v/>
      </c>
      <c r="AT60" s="15" t="str">
        <f>IF(B60="","",VLOOKUP($B60,'C-1 On-Site WaterC'' Baseline'!$C$9:$Z$257,12,FALSE))</f>
        <v/>
      </c>
      <c r="AU60" s="15" t="str">
        <f>IF(B60="","",VLOOKUP($B60,'C-1 On-Site WaterC'' Baseline'!$C$9:$Z$257,14,FALSE))</f>
        <v/>
      </c>
      <c r="AV60" s="15" t="str">
        <f>IFERROR(INDEX('G-7 WaterC'' Data'!$AZ$3:$AZ$7,MATCH(N60,'G-7 WaterC'' Data'!$AY$3:$AY$7,0)),"")</f>
        <v/>
      </c>
      <c r="AX60" s="15" t="str">
        <f>IF(B60="","",VLOOKUP($B60,'C-1 On-Site WaterC'' Baseline'!$C$9:$Y$257,22,FALSE))</f>
        <v/>
      </c>
      <c r="AY60" s="15" t="str">
        <f t="shared" si="8"/>
        <v/>
      </c>
      <c r="AZ60" s="15" t="str">
        <f>IF(B60="","",VLOOKUP($B60,'C-1 On-Site WaterC'' Baseline'!$C$9:$Y$257,21,FALSE))</f>
        <v/>
      </c>
      <c r="BA60" s="15" t="str">
        <f>IF(B60="","",VLOOKUP($B60,'C-1 On-Site WaterC'' Baseline'!$C$9:$Y$257,19,FALSE))</f>
        <v/>
      </c>
    </row>
    <row r="61" spans="2:53" ht="14" x14ac:dyDescent="0.3">
      <c r="B61" s="319" t="str">
        <f>'C-1 On-Site WaterC'' Baseline'!AP59</f>
        <v/>
      </c>
      <c r="C61" s="310" t="str">
        <f>IF(B61="","",VLOOKUP($B61,'C-1 On-Site WaterC'' Baseline'!$C$9:$R$257,2,FALSE))</f>
        <v/>
      </c>
      <c r="D61" s="310" t="str">
        <f>IF(C61="","",VLOOKUP($B61,'C-1 On-Site WaterC'' Baseline'!$C$9:$R$257,3,FALSE))</f>
        <v/>
      </c>
      <c r="E61" s="310" t="str">
        <f>IF(D61="","",VLOOKUP($B61,'C-1 On-Site WaterC'' Baseline'!$C$9:$R$257,4,FALSE))</f>
        <v/>
      </c>
      <c r="F61" s="310" t="str">
        <f>IF(E61="","",VLOOKUP($B61,'C-1 On-Site WaterC'' Baseline'!$C$9:$R$257,5,FALSE))</f>
        <v/>
      </c>
      <c r="G61" s="310" t="str">
        <f>IF(F61="","",VLOOKUP($B61,'C-1 On-Site WaterC'' Baseline'!$C$9:$R$257,6,FALSE))</f>
        <v/>
      </c>
      <c r="H61" s="310" t="str">
        <f>IF(G61="","",VLOOKUP($B61,'C-1 On-Site WaterC'' Baseline'!$C$9:$R$257,7,FALSE))</f>
        <v/>
      </c>
      <c r="I61" s="310" t="str">
        <f>IF(H61="","",VLOOKUP($B61,'C-1 On-Site WaterC'' Baseline'!$C$9:$R$257,8,FALSE))</f>
        <v/>
      </c>
      <c r="J61" s="310" t="str">
        <f>IF(I61="","",VLOOKUP($B61,'C-1 On-Site WaterC'' Baseline'!$C$9:$R$257,9,FALSE))</f>
        <v/>
      </c>
      <c r="K61" s="310" t="str">
        <f>IF(J61="","",VLOOKUP($B61,'C-1 On-Site WaterC'' Baseline'!$C$9:$R$257,10,FALSE))</f>
        <v/>
      </c>
      <c r="L61" s="310" t="str">
        <f>IF(B61="","",VLOOKUP($B61,'C-1 On-Site WaterC'' Baseline'!$C$9:$R$257,15,FALSE))</f>
        <v/>
      </c>
      <c r="M61" s="314" t="str">
        <f>IF(L61="","",VLOOKUP($B61,'C-1 On-Site WaterC'' Baseline'!$C$9:$R$257,16,FALSE))</f>
        <v/>
      </c>
      <c r="N61" s="259"/>
      <c r="O61" s="290" t="str">
        <f t="shared" si="1"/>
        <v/>
      </c>
      <c r="P61" s="291" t="str">
        <f t="shared" si="2"/>
        <v/>
      </c>
      <c r="Q61" s="346" t="str">
        <f>IF(N61="","",VLOOKUP(B61,'C-1 On-Site WaterC'' Baseline'!$C$10:$AC$257,20,FALSE))</f>
        <v/>
      </c>
      <c r="R61" s="290" t="str">
        <f>IF(N61="","",VLOOKUP(N61,'G-7 WaterC'' Data'!$B$2:$G$8,2,FALSE))</f>
        <v/>
      </c>
      <c r="S61" s="291" t="str">
        <f>IFERROR(VLOOKUP(R61,'G-7 WaterC'' Data'!$C$4:$D$8,2,FALSE),"")</f>
        <v/>
      </c>
      <c r="T61" s="95"/>
      <c r="U61" s="291" t="str">
        <f>IFERROR(INDEX('G-7 WaterC'' Data'!$H$4:$L$8,MATCH(N61,'G-7 WaterC'' Data'!$B$4:$B$8,0),MATCH(T61,'G-7 WaterC'' Data'!$H$3:$L$3,0)),"")</f>
        <v/>
      </c>
      <c r="V61" s="95"/>
      <c r="W61" s="298" t="str">
        <f>IF(V61="","",IF(VLOOKUP(V61,'G-7 WaterC'' Data'!$AK$4:$AM$6,2,FALSE)=0,"Spatial Data Missing ⚠",VLOOKUP(V61,'G-7 WaterC'' Data'!$AK$4:$AM$6,2,FALSE)))</f>
        <v/>
      </c>
      <c r="X61" s="291" t="str">
        <f>IF(V61="","",IF(VLOOKUP(V61,'G-7 WaterC'' Data'!$AK$4:$AM$6,3,FALSE)=0,"Spatial Data Missing ⚠",VLOOKUP(V61,'G-7 WaterC'' Data'!$AK$4:$AM$6,3,FALSE)))</f>
        <v/>
      </c>
      <c r="Y61" s="290" t="str">
        <f>IFERROR(IF(OR(LEFT(P61,5)="Error",LEFT(O61,5)="Error ▲"),"Check Data ⚠",IF(F61&lt;S61,'G-7 WaterC'' Data'!$R$3,INDEX('G-7 WaterC'' Data'!$U$5:$Y$9,MATCH(G61,'G-7 WaterC'' Data'!$T$5:$T$9,0),MATCH(T61,'G-7 WaterC'' Data'!$U$4:$Y$4,0)))),"")</f>
        <v/>
      </c>
      <c r="Z61" s="138"/>
      <c r="AA61" s="138"/>
      <c r="AB61" s="298" t="str">
        <f t="shared" si="3"/>
        <v/>
      </c>
      <c r="AC61" s="311" t="str">
        <f t="shared" si="4"/>
        <v/>
      </c>
      <c r="AD61" s="344" t="str">
        <f>IFERROR(IF(AC61="Check Data ⚠","Check Data ⚠",VLOOKUP(AC61,'G-4 Temporal multipliers'!$A$4:$C$37,3,FALSE)),"")</f>
        <v/>
      </c>
      <c r="AE61" s="290" t="str">
        <f>IF(N61="","",VLOOKUP(N61,'G-7 WaterC'' Data'!$B$4:$G$8,5,FALSE))</f>
        <v/>
      </c>
      <c r="AF61" s="298" t="str">
        <f t="shared" si="5"/>
        <v/>
      </c>
      <c r="AG61" s="328" t="str">
        <f t="shared" si="6"/>
        <v/>
      </c>
      <c r="AH61" s="291" t="str">
        <f t="shared" si="0"/>
        <v/>
      </c>
      <c r="AI61" s="103"/>
      <c r="AJ61" s="291" t="str">
        <f>IF(AI61="","",IF(AND(AI61="N/A - Culvert",N61&lt;&gt;"Culvert"),"Not possible ▲",IF(VLOOKUP(AI61,'G-7 WaterC'' Data'!$AA$4:$AB$7,2,FALSE)=0,"Spatial Data Missing ⚠",VLOOKUP(AI61,'G-7 WaterC'' Data'!$AA$4:$AB$7,2,FALSE))))</f>
        <v/>
      </c>
      <c r="AK61" s="104"/>
      <c r="AL61" s="291" t="str">
        <f>IF(AK61="","",IF(AND(AK61="N/A - Culvert",N61&lt;&gt;"Culvert"),"Not possible ▲",IF(VLOOKUP(AK61,'G-7 WaterC'' Data'!$AD$4:$AE$14,2,FALSE)=0,"Spatial Data Missing ⚠",VLOOKUP(AK61,'G-7 WaterC'' Data'!$AD$4:$AE$14,2,FALSE))))</f>
        <v/>
      </c>
      <c r="AM61" s="332" t="str">
        <f t="shared" si="7"/>
        <v/>
      </c>
      <c r="AN61" s="98"/>
      <c r="AO61" s="99"/>
      <c r="AP61" s="101"/>
      <c r="AS61" s="15" t="str">
        <f>IF(B61="","",IF(ISNA(VLOOKUP($B61,'C-1 On-Site WaterC'' Baseline'!$C$8:$AD$257,17,FALSE)),"",(VLOOKUP($B61,'C-1 On-Site WaterC'' Baseline'!$C$8:$AD$257,17,FALSE))))</f>
        <v/>
      </c>
      <c r="AT61" s="15" t="str">
        <f>IF(B61="","",VLOOKUP($B61,'C-1 On-Site WaterC'' Baseline'!$C$9:$Z$257,12,FALSE))</f>
        <v/>
      </c>
      <c r="AU61" s="15" t="str">
        <f>IF(B61="","",VLOOKUP($B61,'C-1 On-Site WaterC'' Baseline'!$C$9:$Z$257,14,FALSE))</f>
        <v/>
      </c>
      <c r="AV61" s="15" t="str">
        <f>IFERROR(INDEX('G-7 WaterC'' Data'!$AZ$3:$AZ$7,MATCH(N61,'G-7 WaterC'' Data'!$AY$3:$AY$7,0)),"")</f>
        <v/>
      </c>
      <c r="AX61" s="15" t="str">
        <f>IF(B61="","",VLOOKUP($B61,'C-1 On-Site WaterC'' Baseline'!$C$9:$Y$257,22,FALSE))</f>
        <v/>
      </c>
      <c r="AY61" s="15" t="str">
        <f t="shared" si="8"/>
        <v/>
      </c>
      <c r="AZ61" s="15" t="str">
        <f>IF(B61="","",VLOOKUP($B61,'C-1 On-Site WaterC'' Baseline'!$C$9:$Y$257,21,FALSE))</f>
        <v/>
      </c>
      <c r="BA61" s="15" t="str">
        <f>IF(B61="","",VLOOKUP($B61,'C-1 On-Site WaterC'' Baseline'!$C$9:$Y$257,19,FALSE))</f>
        <v/>
      </c>
    </row>
    <row r="62" spans="2:53" ht="14" x14ac:dyDescent="0.3">
      <c r="B62" s="319" t="str">
        <f>'C-1 On-Site WaterC'' Baseline'!AP60</f>
        <v/>
      </c>
      <c r="C62" s="310" t="str">
        <f>IF(B62="","",VLOOKUP($B62,'C-1 On-Site WaterC'' Baseline'!$C$9:$R$257,2,FALSE))</f>
        <v/>
      </c>
      <c r="D62" s="310" t="str">
        <f>IF(C62="","",VLOOKUP($B62,'C-1 On-Site WaterC'' Baseline'!$C$9:$R$257,3,FALSE))</f>
        <v/>
      </c>
      <c r="E62" s="310" t="str">
        <f>IF(D62="","",VLOOKUP($B62,'C-1 On-Site WaterC'' Baseline'!$C$9:$R$257,4,FALSE))</f>
        <v/>
      </c>
      <c r="F62" s="310" t="str">
        <f>IF(E62="","",VLOOKUP($B62,'C-1 On-Site WaterC'' Baseline'!$C$9:$R$257,5,FALSE))</f>
        <v/>
      </c>
      <c r="G62" s="310" t="str">
        <f>IF(F62="","",VLOOKUP($B62,'C-1 On-Site WaterC'' Baseline'!$C$9:$R$257,6,FALSE))</f>
        <v/>
      </c>
      <c r="H62" s="310" t="str">
        <f>IF(G62="","",VLOOKUP($B62,'C-1 On-Site WaterC'' Baseline'!$C$9:$R$257,7,FALSE))</f>
        <v/>
      </c>
      <c r="I62" s="310" t="str">
        <f>IF(H62="","",VLOOKUP($B62,'C-1 On-Site WaterC'' Baseline'!$C$9:$R$257,8,FALSE))</f>
        <v/>
      </c>
      <c r="J62" s="310" t="str">
        <f>IF(I62="","",VLOOKUP($B62,'C-1 On-Site WaterC'' Baseline'!$C$9:$R$257,9,FALSE))</f>
        <v/>
      </c>
      <c r="K62" s="310" t="str">
        <f>IF(J62="","",VLOOKUP($B62,'C-1 On-Site WaterC'' Baseline'!$C$9:$R$257,10,FALSE))</f>
        <v/>
      </c>
      <c r="L62" s="310" t="str">
        <f>IF(B62="","",VLOOKUP($B62,'C-1 On-Site WaterC'' Baseline'!$C$9:$R$257,15,FALSE))</f>
        <v/>
      </c>
      <c r="M62" s="314" t="str">
        <f>IF(L62="","",VLOOKUP($B62,'C-1 On-Site WaterC'' Baseline'!$C$9:$R$257,16,FALSE))</f>
        <v/>
      </c>
      <c r="N62" s="259"/>
      <c r="O62" s="290" t="str">
        <f t="shared" si="1"/>
        <v/>
      </c>
      <c r="P62" s="291" t="str">
        <f t="shared" si="2"/>
        <v/>
      </c>
      <c r="Q62" s="346" t="str">
        <f>IF(N62="","",VLOOKUP(B62,'C-1 On-Site WaterC'' Baseline'!$C$10:$AC$257,20,FALSE))</f>
        <v/>
      </c>
      <c r="R62" s="290" t="str">
        <f>IF(N62="","",VLOOKUP(N62,'G-7 WaterC'' Data'!$B$2:$G$8,2,FALSE))</f>
        <v/>
      </c>
      <c r="S62" s="291" t="str">
        <f>IFERROR(VLOOKUP(R62,'G-7 WaterC'' Data'!$C$4:$D$8,2,FALSE),"")</f>
        <v/>
      </c>
      <c r="T62" s="95"/>
      <c r="U62" s="291" t="str">
        <f>IFERROR(INDEX('G-7 WaterC'' Data'!$H$4:$L$8,MATCH(N62,'G-7 WaterC'' Data'!$B$4:$B$8,0),MATCH(T62,'G-7 WaterC'' Data'!$H$3:$L$3,0)),"")</f>
        <v/>
      </c>
      <c r="V62" s="95"/>
      <c r="W62" s="298" t="str">
        <f>IF(V62="","",IF(VLOOKUP(V62,'G-7 WaterC'' Data'!$AK$4:$AM$6,2,FALSE)=0,"Spatial Data Missing ⚠",VLOOKUP(V62,'G-7 WaterC'' Data'!$AK$4:$AM$6,2,FALSE)))</f>
        <v/>
      </c>
      <c r="X62" s="291" t="str">
        <f>IF(V62="","",IF(VLOOKUP(V62,'G-7 WaterC'' Data'!$AK$4:$AM$6,3,FALSE)=0,"Spatial Data Missing ⚠",VLOOKUP(V62,'G-7 WaterC'' Data'!$AK$4:$AM$6,3,FALSE)))</f>
        <v/>
      </c>
      <c r="Y62" s="290" t="str">
        <f>IFERROR(IF(OR(LEFT(P62,5)="Error",LEFT(O62,5)="Error ▲"),"Check Data ⚠",IF(F62&lt;S62,'G-7 WaterC'' Data'!$R$3,INDEX('G-7 WaterC'' Data'!$U$5:$Y$9,MATCH(G62,'G-7 WaterC'' Data'!$T$5:$T$9,0),MATCH(T62,'G-7 WaterC'' Data'!$U$4:$Y$4,0)))),"")</f>
        <v/>
      </c>
      <c r="Z62" s="138"/>
      <c r="AA62" s="138"/>
      <c r="AB62" s="298" t="str">
        <f t="shared" si="3"/>
        <v/>
      </c>
      <c r="AC62" s="311" t="str">
        <f t="shared" si="4"/>
        <v/>
      </c>
      <c r="AD62" s="344" t="str">
        <f>IFERROR(IF(AC62="Check Data ⚠","Check Data ⚠",VLOOKUP(AC62,'G-4 Temporal multipliers'!$A$4:$C$37,3,FALSE)),"")</f>
        <v/>
      </c>
      <c r="AE62" s="290" t="str">
        <f>IF(N62="","",VLOOKUP(N62,'G-7 WaterC'' Data'!$B$4:$G$8,5,FALSE))</f>
        <v/>
      </c>
      <c r="AF62" s="298" t="str">
        <f t="shared" si="5"/>
        <v/>
      </c>
      <c r="AG62" s="328" t="str">
        <f t="shared" si="6"/>
        <v/>
      </c>
      <c r="AH62" s="291" t="str">
        <f t="shared" si="0"/>
        <v/>
      </c>
      <c r="AI62" s="103"/>
      <c r="AJ62" s="291" t="str">
        <f>IF(AI62="","",IF(AND(AI62="N/A - Culvert",N62&lt;&gt;"Culvert"),"Not possible ▲",IF(VLOOKUP(AI62,'G-7 WaterC'' Data'!$AA$4:$AB$7,2,FALSE)=0,"Spatial Data Missing ⚠",VLOOKUP(AI62,'G-7 WaterC'' Data'!$AA$4:$AB$7,2,FALSE))))</f>
        <v/>
      </c>
      <c r="AK62" s="104"/>
      <c r="AL62" s="291" t="str">
        <f>IF(AK62="","",IF(AND(AK62="N/A - Culvert",N62&lt;&gt;"Culvert"),"Not possible ▲",IF(VLOOKUP(AK62,'G-7 WaterC'' Data'!$AD$4:$AE$14,2,FALSE)=0,"Spatial Data Missing ⚠",VLOOKUP(AK62,'G-7 WaterC'' Data'!$AD$4:$AE$14,2,FALSE))))</f>
        <v/>
      </c>
      <c r="AM62" s="332" t="str">
        <f t="shared" si="7"/>
        <v/>
      </c>
      <c r="AN62" s="98"/>
      <c r="AO62" s="99"/>
      <c r="AP62" s="101"/>
      <c r="AS62" s="15" t="str">
        <f>IF(B62="","",IF(ISNA(VLOOKUP($B62,'C-1 On-Site WaterC'' Baseline'!$C$8:$AD$257,17,FALSE)),"",(VLOOKUP($B62,'C-1 On-Site WaterC'' Baseline'!$C$8:$AD$257,17,FALSE))))</f>
        <v/>
      </c>
      <c r="AT62" s="15" t="str">
        <f>IF(B62="","",VLOOKUP($B62,'C-1 On-Site WaterC'' Baseline'!$C$9:$Z$257,12,FALSE))</f>
        <v/>
      </c>
      <c r="AU62" s="15" t="str">
        <f>IF(B62="","",VLOOKUP($B62,'C-1 On-Site WaterC'' Baseline'!$C$9:$Z$257,14,FALSE))</f>
        <v/>
      </c>
      <c r="AV62" s="15" t="str">
        <f>IFERROR(INDEX('G-7 WaterC'' Data'!$AZ$3:$AZ$7,MATCH(N62,'G-7 WaterC'' Data'!$AY$3:$AY$7,0)),"")</f>
        <v/>
      </c>
      <c r="AX62" s="15" t="str">
        <f>IF(B62="","",VLOOKUP($B62,'C-1 On-Site WaterC'' Baseline'!$C$9:$Y$257,22,FALSE))</f>
        <v/>
      </c>
      <c r="AY62" s="15" t="str">
        <f t="shared" si="8"/>
        <v/>
      </c>
      <c r="AZ62" s="15" t="str">
        <f>IF(B62="","",VLOOKUP($B62,'C-1 On-Site WaterC'' Baseline'!$C$9:$Y$257,21,FALSE))</f>
        <v/>
      </c>
      <c r="BA62" s="15" t="str">
        <f>IF(B62="","",VLOOKUP($B62,'C-1 On-Site WaterC'' Baseline'!$C$9:$Y$257,19,FALSE))</f>
        <v/>
      </c>
    </row>
    <row r="63" spans="2:53" ht="14" x14ac:dyDescent="0.3">
      <c r="B63" s="319" t="str">
        <f>'C-1 On-Site WaterC'' Baseline'!AP61</f>
        <v/>
      </c>
      <c r="C63" s="310" t="str">
        <f>IF(B63="","",VLOOKUP($B63,'C-1 On-Site WaterC'' Baseline'!$C$9:$R$257,2,FALSE))</f>
        <v/>
      </c>
      <c r="D63" s="310" t="str">
        <f>IF(C63="","",VLOOKUP($B63,'C-1 On-Site WaterC'' Baseline'!$C$9:$R$257,3,FALSE))</f>
        <v/>
      </c>
      <c r="E63" s="310" t="str">
        <f>IF(D63="","",VLOOKUP($B63,'C-1 On-Site WaterC'' Baseline'!$C$9:$R$257,4,FALSE))</f>
        <v/>
      </c>
      <c r="F63" s="310" t="str">
        <f>IF(E63="","",VLOOKUP($B63,'C-1 On-Site WaterC'' Baseline'!$C$9:$R$257,5,FALSE))</f>
        <v/>
      </c>
      <c r="G63" s="310" t="str">
        <f>IF(F63="","",VLOOKUP($B63,'C-1 On-Site WaterC'' Baseline'!$C$9:$R$257,6,FALSE))</f>
        <v/>
      </c>
      <c r="H63" s="310" t="str">
        <f>IF(G63="","",VLOOKUP($B63,'C-1 On-Site WaterC'' Baseline'!$C$9:$R$257,7,FALSE))</f>
        <v/>
      </c>
      <c r="I63" s="310" t="str">
        <f>IF(H63="","",VLOOKUP($B63,'C-1 On-Site WaterC'' Baseline'!$C$9:$R$257,8,FALSE))</f>
        <v/>
      </c>
      <c r="J63" s="310" t="str">
        <f>IF(I63="","",VLOOKUP($B63,'C-1 On-Site WaterC'' Baseline'!$C$9:$R$257,9,FALSE))</f>
        <v/>
      </c>
      <c r="K63" s="310" t="str">
        <f>IF(J63="","",VLOOKUP($B63,'C-1 On-Site WaterC'' Baseline'!$C$9:$R$257,10,FALSE))</f>
        <v/>
      </c>
      <c r="L63" s="310" t="str">
        <f>IF(B63="","",VLOOKUP($B63,'C-1 On-Site WaterC'' Baseline'!$C$9:$R$257,15,FALSE))</f>
        <v/>
      </c>
      <c r="M63" s="314" t="str">
        <f>IF(L63="","",VLOOKUP($B63,'C-1 On-Site WaterC'' Baseline'!$C$9:$R$257,16,FALSE))</f>
        <v/>
      </c>
      <c r="N63" s="259"/>
      <c r="O63" s="290" t="str">
        <f t="shared" si="1"/>
        <v/>
      </c>
      <c r="P63" s="291" t="str">
        <f t="shared" si="2"/>
        <v/>
      </c>
      <c r="Q63" s="346" t="str">
        <f>IF(N63="","",VLOOKUP(B63,'C-1 On-Site WaterC'' Baseline'!$C$10:$AC$257,20,FALSE))</f>
        <v/>
      </c>
      <c r="R63" s="290" t="str">
        <f>IF(N63="","",VLOOKUP(N63,'G-7 WaterC'' Data'!$B$2:$G$8,2,FALSE))</f>
        <v/>
      </c>
      <c r="S63" s="291" t="str">
        <f>IFERROR(VLOOKUP(R63,'G-7 WaterC'' Data'!$C$4:$D$8,2,FALSE),"")</f>
        <v/>
      </c>
      <c r="T63" s="95"/>
      <c r="U63" s="291" t="str">
        <f>IFERROR(INDEX('G-7 WaterC'' Data'!$H$4:$L$8,MATCH(N63,'G-7 WaterC'' Data'!$B$4:$B$8,0),MATCH(T63,'G-7 WaterC'' Data'!$H$3:$L$3,0)),"")</f>
        <v/>
      </c>
      <c r="V63" s="95"/>
      <c r="W63" s="298" t="str">
        <f>IF(V63="","",IF(VLOOKUP(V63,'G-7 WaterC'' Data'!$AK$4:$AM$6,2,FALSE)=0,"Spatial Data Missing ⚠",VLOOKUP(V63,'G-7 WaterC'' Data'!$AK$4:$AM$6,2,FALSE)))</f>
        <v/>
      </c>
      <c r="X63" s="291" t="str">
        <f>IF(V63="","",IF(VLOOKUP(V63,'G-7 WaterC'' Data'!$AK$4:$AM$6,3,FALSE)=0,"Spatial Data Missing ⚠",VLOOKUP(V63,'G-7 WaterC'' Data'!$AK$4:$AM$6,3,FALSE)))</f>
        <v/>
      </c>
      <c r="Y63" s="290" t="str">
        <f>IFERROR(IF(OR(LEFT(P63,5)="Error",LEFT(O63,5)="Error ▲"),"Check Data ⚠",IF(F63&lt;S63,'G-7 WaterC'' Data'!$R$3,INDEX('G-7 WaterC'' Data'!$U$5:$Y$9,MATCH(G63,'G-7 WaterC'' Data'!$T$5:$T$9,0),MATCH(T63,'G-7 WaterC'' Data'!$U$4:$Y$4,0)))),"")</f>
        <v/>
      </c>
      <c r="Z63" s="138"/>
      <c r="AA63" s="138"/>
      <c r="AB63" s="298" t="str">
        <f t="shared" si="3"/>
        <v/>
      </c>
      <c r="AC63" s="311" t="str">
        <f t="shared" si="4"/>
        <v/>
      </c>
      <c r="AD63" s="344" t="str">
        <f>IFERROR(IF(AC63="Check Data ⚠","Check Data ⚠",VLOOKUP(AC63,'G-4 Temporal multipliers'!$A$4:$C$37,3,FALSE)),"")</f>
        <v/>
      </c>
      <c r="AE63" s="290" t="str">
        <f>IF(N63="","",VLOOKUP(N63,'G-7 WaterC'' Data'!$B$4:$G$8,5,FALSE))</f>
        <v/>
      </c>
      <c r="AF63" s="298" t="str">
        <f t="shared" si="5"/>
        <v/>
      </c>
      <c r="AG63" s="328" t="str">
        <f t="shared" si="6"/>
        <v/>
      </c>
      <c r="AH63" s="291" t="str">
        <f t="shared" si="0"/>
        <v/>
      </c>
      <c r="AI63" s="103"/>
      <c r="AJ63" s="291" t="str">
        <f>IF(AI63="","",IF(AND(AI63="N/A - Culvert",N63&lt;&gt;"Culvert"),"Not possible ▲",IF(VLOOKUP(AI63,'G-7 WaterC'' Data'!$AA$4:$AB$7,2,FALSE)=0,"Spatial Data Missing ⚠",VLOOKUP(AI63,'G-7 WaterC'' Data'!$AA$4:$AB$7,2,FALSE))))</f>
        <v/>
      </c>
      <c r="AK63" s="104"/>
      <c r="AL63" s="291" t="str">
        <f>IF(AK63="","",IF(AND(AK63="N/A - Culvert",N63&lt;&gt;"Culvert"),"Not possible ▲",IF(VLOOKUP(AK63,'G-7 WaterC'' Data'!$AD$4:$AE$14,2,FALSE)=0,"Spatial Data Missing ⚠",VLOOKUP(AK63,'G-7 WaterC'' Data'!$AD$4:$AE$14,2,FALSE))))</f>
        <v/>
      </c>
      <c r="AM63" s="332" t="str">
        <f t="shared" si="7"/>
        <v/>
      </c>
      <c r="AN63" s="98"/>
      <c r="AO63" s="99"/>
      <c r="AP63" s="101"/>
      <c r="AS63" s="15" t="str">
        <f>IF(B63="","",IF(ISNA(VLOOKUP($B63,'C-1 On-Site WaterC'' Baseline'!$C$8:$AD$257,17,FALSE)),"",(VLOOKUP($B63,'C-1 On-Site WaterC'' Baseline'!$C$8:$AD$257,17,FALSE))))</f>
        <v/>
      </c>
      <c r="AT63" s="15" t="str">
        <f>IF(B63="","",VLOOKUP($B63,'C-1 On-Site WaterC'' Baseline'!$C$9:$Z$257,12,FALSE))</f>
        <v/>
      </c>
      <c r="AU63" s="15" t="str">
        <f>IF(B63="","",VLOOKUP($B63,'C-1 On-Site WaterC'' Baseline'!$C$9:$Z$257,14,FALSE))</f>
        <v/>
      </c>
      <c r="AV63" s="15" t="str">
        <f>IFERROR(INDEX('G-7 WaterC'' Data'!$AZ$3:$AZ$7,MATCH(N63,'G-7 WaterC'' Data'!$AY$3:$AY$7,0)),"")</f>
        <v/>
      </c>
      <c r="AX63" s="15" t="str">
        <f>IF(B63="","",VLOOKUP($B63,'C-1 On-Site WaterC'' Baseline'!$C$9:$Y$257,22,FALSE))</f>
        <v/>
      </c>
      <c r="AY63" s="15" t="str">
        <f t="shared" si="8"/>
        <v/>
      </c>
      <c r="AZ63" s="15" t="str">
        <f>IF(B63="","",VLOOKUP($B63,'C-1 On-Site WaterC'' Baseline'!$C$9:$Y$257,21,FALSE))</f>
        <v/>
      </c>
      <c r="BA63" s="15" t="str">
        <f>IF(B63="","",VLOOKUP($B63,'C-1 On-Site WaterC'' Baseline'!$C$9:$Y$257,19,FALSE))</f>
        <v/>
      </c>
    </row>
    <row r="64" spans="2:53" ht="14" x14ac:dyDescent="0.3">
      <c r="B64" s="319" t="str">
        <f>'C-1 On-Site WaterC'' Baseline'!AP62</f>
        <v/>
      </c>
      <c r="C64" s="310" t="str">
        <f>IF(B64="","",VLOOKUP($B64,'C-1 On-Site WaterC'' Baseline'!$C$9:$R$257,2,FALSE))</f>
        <v/>
      </c>
      <c r="D64" s="310" t="str">
        <f>IF(C64="","",VLOOKUP($B64,'C-1 On-Site WaterC'' Baseline'!$C$9:$R$257,3,FALSE))</f>
        <v/>
      </c>
      <c r="E64" s="310" t="str">
        <f>IF(D64="","",VLOOKUP($B64,'C-1 On-Site WaterC'' Baseline'!$C$9:$R$257,4,FALSE))</f>
        <v/>
      </c>
      <c r="F64" s="310" t="str">
        <f>IF(E64="","",VLOOKUP($B64,'C-1 On-Site WaterC'' Baseline'!$C$9:$R$257,5,FALSE))</f>
        <v/>
      </c>
      <c r="G64" s="310" t="str">
        <f>IF(F64="","",VLOOKUP($B64,'C-1 On-Site WaterC'' Baseline'!$C$9:$R$257,6,FALSE))</f>
        <v/>
      </c>
      <c r="H64" s="310" t="str">
        <f>IF(G64="","",VLOOKUP($B64,'C-1 On-Site WaterC'' Baseline'!$C$9:$R$257,7,FALSE))</f>
        <v/>
      </c>
      <c r="I64" s="310" t="str">
        <f>IF(H64="","",VLOOKUP($B64,'C-1 On-Site WaterC'' Baseline'!$C$9:$R$257,8,FALSE))</f>
        <v/>
      </c>
      <c r="J64" s="310" t="str">
        <f>IF(I64="","",VLOOKUP($B64,'C-1 On-Site WaterC'' Baseline'!$C$9:$R$257,9,FALSE))</f>
        <v/>
      </c>
      <c r="K64" s="310" t="str">
        <f>IF(J64="","",VLOOKUP($B64,'C-1 On-Site WaterC'' Baseline'!$C$9:$R$257,10,FALSE))</f>
        <v/>
      </c>
      <c r="L64" s="310" t="str">
        <f>IF(B64="","",VLOOKUP($B64,'C-1 On-Site WaterC'' Baseline'!$C$9:$R$257,15,FALSE))</f>
        <v/>
      </c>
      <c r="M64" s="314" t="str">
        <f>IF(L64="","",VLOOKUP($B64,'C-1 On-Site WaterC'' Baseline'!$C$9:$R$257,16,FALSE))</f>
        <v/>
      </c>
      <c r="N64" s="259"/>
      <c r="O64" s="290" t="str">
        <f t="shared" si="1"/>
        <v/>
      </c>
      <c r="P64" s="291" t="str">
        <f t="shared" si="2"/>
        <v/>
      </c>
      <c r="Q64" s="346" t="str">
        <f>IF(N64="","",VLOOKUP(B64,'C-1 On-Site WaterC'' Baseline'!$C$10:$AC$257,20,FALSE))</f>
        <v/>
      </c>
      <c r="R64" s="290" t="str">
        <f>IF(N64="","",VLOOKUP(N64,'G-7 WaterC'' Data'!$B$2:$G$8,2,FALSE))</f>
        <v/>
      </c>
      <c r="S64" s="291" t="str">
        <f>IFERROR(VLOOKUP(R64,'G-7 WaterC'' Data'!$C$4:$D$8,2,FALSE),"")</f>
        <v/>
      </c>
      <c r="T64" s="95"/>
      <c r="U64" s="291" t="str">
        <f>IFERROR(INDEX('G-7 WaterC'' Data'!$H$4:$L$8,MATCH(N64,'G-7 WaterC'' Data'!$B$4:$B$8,0),MATCH(T64,'G-7 WaterC'' Data'!$H$3:$L$3,0)),"")</f>
        <v/>
      </c>
      <c r="V64" s="95"/>
      <c r="W64" s="298" t="str">
        <f>IF(V64="","",IF(VLOOKUP(V64,'G-7 WaterC'' Data'!$AK$4:$AM$6,2,FALSE)=0,"Spatial Data Missing ⚠",VLOOKUP(V64,'G-7 WaterC'' Data'!$AK$4:$AM$6,2,FALSE)))</f>
        <v/>
      </c>
      <c r="X64" s="291" t="str">
        <f>IF(V64="","",IF(VLOOKUP(V64,'G-7 WaterC'' Data'!$AK$4:$AM$6,3,FALSE)=0,"Spatial Data Missing ⚠",VLOOKUP(V64,'G-7 WaterC'' Data'!$AK$4:$AM$6,3,FALSE)))</f>
        <v/>
      </c>
      <c r="Y64" s="290" t="str">
        <f>IFERROR(IF(OR(LEFT(P64,5)="Error",LEFT(O64,5)="Error ▲"),"Check Data ⚠",IF(F64&lt;S64,'G-7 WaterC'' Data'!$R$3,INDEX('G-7 WaterC'' Data'!$U$5:$Y$9,MATCH(G64,'G-7 WaterC'' Data'!$T$5:$T$9,0),MATCH(T64,'G-7 WaterC'' Data'!$U$4:$Y$4,0)))),"")</f>
        <v/>
      </c>
      <c r="Z64" s="138"/>
      <c r="AA64" s="138"/>
      <c r="AB64" s="298" t="str">
        <f t="shared" si="3"/>
        <v/>
      </c>
      <c r="AC64" s="311" t="str">
        <f t="shared" si="4"/>
        <v/>
      </c>
      <c r="AD64" s="344" t="str">
        <f>IFERROR(IF(AC64="Check Data ⚠","Check Data ⚠",VLOOKUP(AC64,'G-4 Temporal multipliers'!$A$4:$C$37,3,FALSE)),"")</f>
        <v/>
      </c>
      <c r="AE64" s="290" t="str">
        <f>IF(N64="","",VLOOKUP(N64,'G-7 WaterC'' Data'!$B$4:$G$8,5,FALSE))</f>
        <v/>
      </c>
      <c r="AF64" s="298" t="str">
        <f t="shared" si="5"/>
        <v/>
      </c>
      <c r="AG64" s="328" t="str">
        <f t="shared" si="6"/>
        <v/>
      </c>
      <c r="AH64" s="291" t="str">
        <f t="shared" si="0"/>
        <v/>
      </c>
      <c r="AI64" s="103"/>
      <c r="AJ64" s="291" t="str">
        <f>IF(AI64="","",IF(AND(AI64="N/A - Culvert",N64&lt;&gt;"Culvert"),"Not possible ▲",IF(VLOOKUP(AI64,'G-7 WaterC'' Data'!$AA$4:$AB$7,2,FALSE)=0,"Spatial Data Missing ⚠",VLOOKUP(AI64,'G-7 WaterC'' Data'!$AA$4:$AB$7,2,FALSE))))</f>
        <v/>
      </c>
      <c r="AK64" s="104"/>
      <c r="AL64" s="291" t="str">
        <f>IF(AK64="","",IF(AND(AK64="N/A - Culvert",N64&lt;&gt;"Culvert"),"Not possible ▲",IF(VLOOKUP(AK64,'G-7 WaterC'' Data'!$AD$4:$AE$14,2,FALSE)=0,"Spatial Data Missing ⚠",VLOOKUP(AK64,'G-7 WaterC'' Data'!$AD$4:$AE$14,2,FALSE))))</f>
        <v/>
      </c>
      <c r="AM64" s="332" t="str">
        <f t="shared" si="7"/>
        <v/>
      </c>
      <c r="AN64" s="98"/>
      <c r="AO64" s="99"/>
      <c r="AP64" s="101"/>
      <c r="AS64" s="15" t="str">
        <f>IF(B64="","",IF(ISNA(VLOOKUP($B64,'C-1 On-Site WaterC'' Baseline'!$C$8:$AD$257,17,FALSE)),"",(VLOOKUP($B64,'C-1 On-Site WaterC'' Baseline'!$C$8:$AD$257,17,FALSE))))</f>
        <v/>
      </c>
      <c r="AT64" s="15" t="str">
        <f>IF(B64="","",VLOOKUP($B64,'C-1 On-Site WaterC'' Baseline'!$C$9:$Z$257,12,FALSE))</f>
        <v/>
      </c>
      <c r="AU64" s="15" t="str">
        <f>IF(B64="","",VLOOKUP($B64,'C-1 On-Site WaterC'' Baseline'!$C$9:$Z$257,14,FALSE))</f>
        <v/>
      </c>
      <c r="AV64" s="15" t="str">
        <f>IFERROR(INDEX('G-7 WaterC'' Data'!$AZ$3:$AZ$7,MATCH(N64,'G-7 WaterC'' Data'!$AY$3:$AY$7,0)),"")</f>
        <v/>
      </c>
      <c r="AX64" s="15" t="str">
        <f>IF(B64="","",VLOOKUP($B64,'C-1 On-Site WaterC'' Baseline'!$C$9:$Y$257,22,FALSE))</f>
        <v/>
      </c>
      <c r="AY64" s="15" t="str">
        <f t="shared" si="8"/>
        <v/>
      </c>
      <c r="AZ64" s="15" t="str">
        <f>IF(B64="","",VLOOKUP($B64,'C-1 On-Site WaterC'' Baseline'!$C$9:$Y$257,21,FALSE))</f>
        <v/>
      </c>
      <c r="BA64" s="15" t="str">
        <f>IF(B64="","",VLOOKUP($B64,'C-1 On-Site WaterC'' Baseline'!$C$9:$Y$257,19,FALSE))</f>
        <v/>
      </c>
    </row>
    <row r="65" spans="2:53" ht="14" x14ac:dyDescent="0.3">
      <c r="B65" s="319" t="str">
        <f>'C-1 On-Site WaterC'' Baseline'!AP63</f>
        <v/>
      </c>
      <c r="C65" s="310" t="str">
        <f>IF(B65="","",VLOOKUP($B65,'C-1 On-Site WaterC'' Baseline'!$C$9:$R$257,2,FALSE))</f>
        <v/>
      </c>
      <c r="D65" s="310" t="str">
        <f>IF(C65="","",VLOOKUP($B65,'C-1 On-Site WaterC'' Baseline'!$C$9:$R$257,3,FALSE))</f>
        <v/>
      </c>
      <c r="E65" s="310" t="str">
        <f>IF(D65="","",VLOOKUP($B65,'C-1 On-Site WaterC'' Baseline'!$C$9:$R$257,4,FALSE))</f>
        <v/>
      </c>
      <c r="F65" s="310" t="str">
        <f>IF(E65="","",VLOOKUP($B65,'C-1 On-Site WaterC'' Baseline'!$C$9:$R$257,5,FALSE))</f>
        <v/>
      </c>
      <c r="G65" s="310" t="str">
        <f>IF(F65="","",VLOOKUP($B65,'C-1 On-Site WaterC'' Baseline'!$C$9:$R$257,6,FALSE))</f>
        <v/>
      </c>
      <c r="H65" s="310" t="str">
        <f>IF(G65="","",VLOOKUP($B65,'C-1 On-Site WaterC'' Baseline'!$C$9:$R$257,7,FALSE))</f>
        <v/>
      </c>
      <c r="I65" s="310" t="str">
        <f>IF(H65="","",VLOOKUP($B65,'C-1 On-Site WaterC'' Baseline'!$C$9:$R$257,8,FALSE))</f>
        <v/>
      </c>
      <c r="J65" s="310" t="str">
        <f>IF(I65="","",VLOOKUP($B65,'C-1 On-Site WaterC'' Baseline'!$C$9:$R$257,9,FALSE))</f>
        <v/>
      </c>
      <c r="K65" s="310" t="str">
        <f>IF(J65="","",VLOOKUP($B65,'C-1 On-Site WaterC'' Baseline'!$C$9:$R$257,10,FALSE))</f>
        <v/>
      </c>
      <c r="L65" s="310" t="str">
        <f>IF(B65="","",VLOOKUP($B65,'C-1 On-Site WaterC'' Baseline'!$C$9:$R$257,15,FALSE))</f>
        <v/>
      </c>
      <c r="M65" s="314" t="str">
        <f>IF(L65="","",VLOOKUP($B65,'C-1 On-Site WaterC'' Baseline'!$C$9:$R$257,16,FALSE))</f>
        <v/>
      </c>
      <c r="N65" s="259"/>
      <c r="O65" s="290" t="str">
        <f t="shared" si="1"/>
        <v/>
      </c>
      <c r="P65" s="291" t="str">
        <f t="shared" si="2"/>
        <v/>
      </c>
      <c r="Q65" s="346" t="str">
        <f>IF(N65="","",VLOOKUP(B65,'C-1 On-Site WaterC'' Baseline'!$C$10:$AC$257,20,FALSE))</f>
        <v/>
      </c>
      <c r="R65" s="290" t="str">
        <f>IF(N65="","",VLOOKUP(N65,'G-7 WaterC'' Data'!$B$2:$G$8,2,FALSE))</f>
        <v/>
      </c>
      <c r="S65" s="291" t="str">
        <f>IFERROR(VLOOKUP(R65,'G-7 WaterC'' Data'!$C$4:$D$8,2,FALSE),"")</f>
        <v/>
      </c>
      <c r="T65" s="95"/>
      <c r="U65" s="291" t="str">
        <f>IFERROR(INDEX('G-7 WaterC'' Data'!$H$4:$L$8,MATCH(N65,'G-7 WaterC'' Data'!$B$4:$B$8,0),MATCH(T65,'G-7 WaterC'' Data'!$H$3:$L$3,0)),"")</f>
        <v/>
      </c>
      <c r="V65" s="95"/>
      <c r="W65" s="298" t="str">
        <f>IF(V65="","",IF(VLOOKUP(V65,'G-7 WaterC'' Data'!$AK$4:$AM$6,2,FALSE)=0,"Spatial Data Missing ⚠",VLOOKUP(V65,'G-7 WaterC'' Data'!$AK$4:$AM$6,2,FALSE)))</f>
        <v/>
      </c>
      <c r="X65" s="291" t="str">
        <f>IF(V65="","",IF(VLOOKUP(V65,'G-7 WaterC'' Data'!$AK$4:$AM$6,3,FALSE)=0,"Spatial Data Missing ⚠",VLOOKUP(V65,'G-7 WaterC'' Data'!$AK$4:$AM$6,3,FALSE)))</f>
        <v/>
      </c>
      <c r="Y65" s="290" t="str">
        <f>IFERROR(IF(OR(LEFT(P65,5)="Error",LEFT(O65,5)="Error ▲"),"Check Data ⚠",IF(F65&lt;S65,'G-7 WaterC'' Data'!$R$3,INDEX('G-7 WaterC'' Data'!$U$5:$Y$9,MATCH(G65,'G-7 WaterC'' Data'!$T$5:$T$9,0),MATCH(T65,'G-7 WaterC'' Data'!$U$4:$Y$4,0)))),"")</f>
        <v/>
      </c>
      <c r="Z65" s="138"/>
      <c r="AA65" s="138"/>
      <c r="AB65" s="298" t="str">
        <f t="shared" si="3"/>
        <v/>
      </c>
      <c r="AC65" s="311" t="str">
        <f t="shared" si="4"/>
        <v/>
      </c>
      <c r="AD65" s="344" t="str">
        <f>IFERROR(IF(AC65="Check Data ⚠","Check Data ⚠",VLOOKUP(AC65,'G-4 Temporal multipliers'!$A$4:$C$37,3,FALSE)),"")</f>
        <v/>
      </c>
      <c r="AE65" s="290" t="str">
        <f>IF(N65="","",VLOOKUP(N65,'G-7 WaterC'' Data'!$B$4:$G$8,5,FALSE))</f>
        <v/>
      </c>
      <c r="AF65" s="298" t="str">
        <f t="shared" si="5"/>
        <v/>
      </c>
      <c r="AG65" s="328" t="str">
        <f t="shared" si="6"/>
        <v/>
      </c>
      <c r="AH65" s="291" t="str">
        <f t="shared" si="0"/>
        <v/>
      </c>
      <c r="AI65" s="103"/>
      <c r="AJ65" s="291" t="str">
        <f>IF(AI65="","",IF(AND(AI65="N/A - Culvert",N65&lt;&gt;"Culvert"),"Not possible ▲",IF(VLOOKUP(AI65,'G-7 WaterC'' Data'!$AA$4:$AB$7,2,FALSE)=0,"Spatial Data Missing ⚠",VLOOKUP(AI65,'G-7 WaterC'' Data'!$AA$4:$AB$7,2,FALSE))))</f>
        <v/>
      </c>
      <c r="AK65" s="104"/>
      <c r="AL65" s="291" t="str">
        <f>IF(AK65="","",IF(AND(AK65="N/A - Culvert",N65&lt;&gt;"Culvert"),"Not possible ▲",IF(VLOOKUP(AK65,'G-7 WaterC'' Data'!$AD$4:$AE$14,2,FALSE)=0,"Spatial Data Missing ⚠",VLOOKUP(AK65,'G-7 WaterC'' Data'!$AD$4:$AE$14,2,FALSE))))</f>
        <v/>
      </c>
      <c r="AM65" s="332" t="str">
        <f t="shared" si="7"/>
        <v/>
      </c>
      <c r="AN65" s="98"/>
      <c r="AO65" s="99"/>
      <c r="AP65" s="101"/>
      <c r="AS65" s="15" t="str">
        <f>IF(B65="","",IF(ISNA(VLOOKUP($B65,'C-1 On-Site WaterC'' Baseline'!$C$8:$AD$257,17,FALSE)),"",(VLOOKUP($B65,'C-1 On-Site WaterC'' Baseline'!$C$8:$AD$257,17,FALSE))))</f>
        <v/>
      </c>
      <c r="AT65" s="15" t="str">
        <f>IF(B65="","",VLOOKUP($B65,'C-1 On-Site WaterC'' Baseline'!$C$9:$Z$257,12,FALSE))</f>
        <v/>
      </c>
      <c r="AU65" s="15" t="str">
        <f>IF(B65="","",VLOOKUP($B65,'C-1 On-Site WaterC'' Baseline'!$C$9:$Z$257,14,FALSE))</f>
        <v/>
      </c>
      <c r="AV65" s="15" t="str">
        <f>IFERROR(INDEX('G-7 WaterC'' Data'!$AZ$3:$AZ$7,MATCH(N65,'G-7 WaterC'' Data'!$AY$3:$AY$7,0)),"")</f>
        <v/>
      </c>
      <c r="AX65" s="15" t="str">
        <f>IF(B65="","",VLOOKUP($B65,'C-1 On-Site WaterC'' Baseline'!$C$9:$Y$257,22,FALSE))</f>
        <v/>
      </c>
      <c r="AY65" s="15" t="str">
        <f t="shared" si="8"/>
        <v/>
      </c>
      <c r="AZ65" s="15" t="str">
        <f>IF(B65="","",VLOOKUP($B65,'C-1 On-Site WaterC'' Baseline'!$C$9:$Y$257,21,FALSE))</f>
        <v/>
      </c>
      <c r="BA65" s="15" t="str">
        <f>IF(B65="","",VLOOKUP($B65,'C-1 On-Site WaterC'' Baseline'!$C$9:$Y$257,19,FALSE))</f>
        <v/>
      </c>
    </row>
    <row r="66" spans="2:53" ht="14" x14ac:dyDescent="0.3">
      <c r="B66" s="319" t="str">
        <f>'C-1 On-Site WaterC'' Baseline'!AP64</f>
        <v/>
      </c>
      <c r="C66" s="310" t="str">
        <f>IF(B66="","",VLOOKUP($B66,'C-1 On-Site WaterC'' Baseline'!$C$9:$R$257,2,FALSE))</f>
        <v/>
      </c>
      <c r="D66" s="310" t="str">
        <f>IF(C66="","",VLOOKUP($B66,'C-1 On-Site WaterC'' Baseline'!$C$9:$R$257,3,FALSE))</f>
        <v/>
      </c>
      <c r="E66" s="310" t="str">
        <f>IF(D66="","",VLOOKUP($B66,'C-1 On-Site WaterC'' Baseline'!$C$9:$R$257,4,FALSE))</f>
        <v/>
      </c>
      <c r="F66" s="310" t="str">
        <f>IF(E66="","",VLOOKUP($B66,'C-1 On-Site WaterC'' Baseline'!$C$9:$R$257,5,FALSE))</f>
        <v/>
      </c>
      <c r="G66" s="310" t="str">
        <f>IF(F66="","",VLOOKUP($B66,'C-1 On-Site WaterC'' Baseline'!$C$9:$R$257,6,FALSE))</f>
        <v/>
      </c>
      <c r="H66" s="310" t="str">
        <f>IF(G66="","",VLOOKUP($B66,'C-1 On-Site WaterC'' Baseline'!$C$9:$R$257,7,FALSE))</f>
        <v/>
      </c>
      <c r="I66" s="310" t="str">
        <f>IF(H66="","",VLOOKUP($B66,'C-1 On-Site WaterC'' Baseline'!$C$9:$R$257,8,FALSE))</f>
        <v/>
      </c>
      <c r="J66" s="310" t="str">
        <f>IF(I66="","",VLOOKUP($B66,'C-1 On-Site WaterC'' Baseline'!$C$9:$R$257,9,FALSE))</f>
        <v/>
      </c>
      <c r="K66" s="310" t="str">
        <f>IF(J66="","",VLOOKUP($B66,'C-1 On-Site WaterC'' Baseline'!$C$9:$R$257,10,FALSE))</f>
        <v/>
      </c>
      <c r="L66" s="310" t="str">
        <f>IF(B66="","",VLOOKUP($B66,'C-1 On-Site WaterC'' Baseline'!$C$9:$R$257,15,FALSE))</f>
        <v/>
      </c>
      <c r="M66" s="314" t="str">
        <f>IF(L66="","",VLOOKUP($B66,'C-1 On-Site WaterC'' Baseline'!$C$9:$R$257,16,FALSE))</f>
        <v/>
      </c>
      <c r="N66" s="259"/>
      <c r="O66" s="290" t="str">
        <f t="shared" si="1"/>
        <v/>
      </c>
      <c r="P66" s="291" t="str">
        <f t="shared" si="2"/>
        <v/>
      </c>
      <c r="Q66" s="346" t="str">
        <f>IF(N66="","",VLOOKUP(B66,'C-1 On-Site WaterC'' Baseline'!$C$10:$AC$257,20,FALSE))</f>
        <v/>
      </c>
      <c r="R66" s="290" t="str">
        <f>IF(N66="","",VLOOKUP(N66,'G-7 WaterC'' Data'!$B$2:$G$8,2,FALSE))</f>
        <v/>
      </c>
      <c r="S66" s="291" t="str">
        <f>IFERROR(VLOOKUP(R66,'G-7 WaterC'' Data'!$C$4:$D$8,2,FALSE),"")</f>
        <v/>
      </c>
      <c r="T66" s="95"/>
      <c r="U66" s="291" t="str">
        <f>IFERROR(INDEX('G-7 WaterC'' Data'!$H$4:$L$8,MATCH(N66,'G-7 WaterC'' Data'!$B$4:$B$8,0),MATCH(T66,'G-7 WaterC'' Data'!$H$3:$L$3,0)),"")</f>
        <v/>
      </c>
      <c r="V66" s="95"/>
      <c r="W66" s="298" t="str">
        <f>IF(V66="","",IF(VLOOKUP(V66,'G-7 WaterC'' Data'!$AK$4:$AM$6,2,FALSE)=0,"Spatial Data Missing ⚠",VLOOKUP(V66,'G-7 WaterC'' Data'!$AK$4:$AM$6,2,FALSE)))</f>
        <v/>
      </c>
      <c r="X66" s="291" t="str">
        <f>IF(V66="","",IF(VLOOKUP(V66,'G-7 WaterC'' Data'!$AK$4:$AM$6,3,FALSE)=0,"Spatial Data Missing ⚠",VLOOKUP(V66,'G-7 WaterC'' Data'!$AK$4:$AM$6,3,FALSE)))</f>
        <v/>
      </c>
      <c r="Y66" s="290" t="str">
        <f>IFERROR(IF(OR(LEFT(P66,5)="Error",LEFT(O66,5)="Error ▲"),"Check Data ⚠",IF(F66&lt;S66,'G-7 WaterC'' Data'!$R$3,INDEX('G-7 WaterC'' Data'!$U$5:$Y$9,MATCH(G66,'G-7 WaterC'' Data'!$T$5:$T$9,0),MATCH(T66,'G-7 WaterC'' Data'!$U$4:$Y$4,0)))),"")</f>
        <v/>
      </c>
      <c r="Z66" s="138"/>
      <c r="AA66" s="138"/>
      <c r="AB66" s="298" t="str">
        <f t="shared" si="3"/>
        <v/>
      </c>
      <c r="AC66" s="311" t="str">
        <f t="shared" si="4"/>
        <v/>
      </c>
      <c r="AD66" s="344" t="str">
        <f>IFERROR(IF(AC66="Check Data ⚠","Check Data ⚠",VLOOKUP(AC66,'G-4 Temporal multipliers'!$A$4:$C$37,3,FALSE)),"")</f>
        <v/>
      </c>
      <c r="AE66" s="290" t="str">
        <f>IF(N66="","",VLOOKUP(N66,'G-7 WaterC'' Data'!$B$4:$G$8,5,FALSE))</f>
        <v/>
      </c>
      <c r="AF66" s="298" t="str">
        <f t="shared" si="5"/>
        <v/>
      </c>
      <c r="AG66" s="328" t="str">
        <f t="shared" si="6"/>
        <v/>
      </c>
      <c r="AH66" s="291" t="str">
        <f t="shared" si="0"/>
        <v/>
      </c>
      <c r="AI66" s="103"/>
      <c r="AJ66" s="291" t="str">
        <f>IF(AI66="","",IF(AND(AI66="N/A - Culvert",N66&lt;&gt;"Culvert"),"Not possible ▲",IF(VLOOKUP(AI66,'G-7 WaterC'' Data'!$AA$4:$AB$7,2,FALSE)=0,"Spatial Data Missing ⚠",VLOOKUP(AI66,'G-7 WaterC'' Data'!$AA$4:$AB$7,2,FALSE))))</f>
        <v/>
      </c>
      <c r="AK66" s="104"/>
      <c r="AL66" s="291" t="str">
        <f>IF(AK66="","",IF(AND(AK66="N/A - Culvert",N66&lt;&gt;"Culvert"),"Not possible ▲",IF(VLOOKUP(AK66,'G-7 WaterC'' Data'!$AD$4:$AE$14,2,FALSE)=0,"Spatial Data Missing ⚠",VLOOKUP(AK66,'G-7 WaterC'' Data'!$AD$4:$AE$14,2,FALSE))))</f>
        <v/>
      </c>
      <c r="AM66" s="332" t="str">
        <f t="shared" si="7"/>
        <v/>
      </c>
      <c r="AN66" s="98"/>
      <c r="AO66" s="99"/>
      <c r="AP66" s="101"/>
      <c r="AS66" s="15" t="str">
        <f>IF(B66="","",IF(ISNA(VLOOKUP($B66,'C-1 On-Site WaterC'' Baseline'!$C$8:$AD$257,17,FALSE)),"",(VLOOKUP($B66,'C-1 On-Site WaterC'' Baseline'!$C$8:$AD$257,17,FALSE))))</f>
        <v/>
      </c>
      <c r="AT66" s="15" t="str">
        <f>IF(B66="","",VLOOKUP($B66,'C-1 On-Site WaterC'' Baseline'!$C$9:$Z$257,12,FALSE))</f>
        <v/>
      </c>
      <c r="AU66" s="15" t="str">
        <f>IF(B66="","",VLOOKUP($B66,'C-1 On-Site WaterC'' Baseline'!$C$9:$Z$257,14,FALSE))</f>
        <v/>
      </c>
      <c r="AV66" s="15" t="str">
        <f>IFERROR(INDEX('G-7 WaterC'' Data'!$AZ$3:$AZ$7,MATCH(N66,'G-7 WaterC'' Data'!$AY$3:$AY$7,0)),"")</f>
        <v/>
      </c>
      <c r="AX66" s="15" t="str">
        <f>IF(B66="","",VLOOKUP($B66,'C-1 On-Site WaterC'' Baseline'!$C$9:$Y$257,22,FALSE))</f>
        <v/>
      </c>
      <c r="AY66" s="15" t="str">
        <f t="shared" si="8"/>
        <v/>
      </c>
      <c r="AZ66" s="15" t="str">
        <f>IF(B66="","",VLOOKUP($B66,'C-1 On-Site WaterC'' Baseline'!$C$9:$Y$257,21,FALSE))</f>
        <v/>
      </c>
      <c r="BA66" s="15" t="str">
        <f>IF(B66="","",VLOOKUP($B66,'C-1 On-Site WaterC'' Baseline'!$C$9:$Y$257,19,FALSE))</f>
        <v/>
      </c>
    </row>
    <row r="67" spans="2:53" ht="14" x14ac:dyDescent="0.3">
      <c r="B67" s="319" t="str">
        <f>'C-1 On-Site WaterC'' Baseline'!AP65</f>
        <v/>
      </c>
      <c r="C67" s="310" t="str">
        <f>IF(B67="","",VLOOKUP($B67,'C-1 On-Site WaterC'' Baseline'!$C$9:$R$257,2,FALSE))</f>
        <v/>
      </c>
      <c r="D67" s="310" t="str">
        <f>IF(C67="","",VLOOKUP($B67,'C-1 On-Site WaterC'' Baseline'!$C$9:$R$257,3,FALSE))</f>
        <v/>
      </c>
      <c r="E67" s="310" t="str">
        <f>IF(D67="","",VLOOKUP($B67,'C-1 On-Site WaterC'' Baseline'!$C$9:$R$257,4,FALSE))</f>
        <v/>
      </c>
      <c r="F67" s="310" t="str">
        <f>IF(E67="","",VLOOKUP($B67,'C-1 On-Site WaterC'' Baseline'!$C$9:$R$257,5,FALSE))</f>
        <v/>
      </c>
      <c r="G67" s="310" t="str">
        <f>IF(F67="","",VLOOKUP($B67,'C-1 On-Site WaterC'' Baseline'!$C$9:$R$257,6,FALSE))</f>
        <v/>
      </c>
      <c r="H67" s="310" t="str">
        <f>IF(G67="","",VLOOKUP($B67,'C-1 On-Site WaterC'' Baseline'!$C$9:$R$257,7,FALSE))</f>
        <v/>
      </c>
      <c r="I67" s="310" t="str">
        <f>IF(H67="","",VLOOKUP($B67,'C-1 On-Site WaterC'' Baseline'!$C$9:$R$257,8,FALSE))</f>
        <v/>
      </c>
      <c r="J67" s="310" t="str">
        <f>IF(I67="","",VLOOKUP($B67,'C-1 On-Site WaterC'' Baseline'!$C$9:$R$257,9,FALSE))</f>
        <v/>
      </c>
      <c r="K67" s="310" t="str">
        <f>IF(J67="","",VLOOKUP($B67,'C-1 On-Site WaterC'' Baseline'!$C$9:$R$257,10,FALSE))</f>
        <v/>
      </c>
      <c r="L67" s="310" t="str">
        <f>IF(B67="","",VLOOKUP($B67,'C-1 On-Site WaterC'' Baseline'!$C$9:$R$257,15,FALSE))</f>
        <v/>
      </c>
      <c r="M67" s="314" t="str">
        <f>IF(L67="","",VLOOKUP($B67,'C-1 On-Site WaterC'' Baseline'!$C$9:$R$257,16,FALSE))</f>
        <v/>
      </c>
      <c r="N67" s="259"/>
      <c r="O67" s="290" t="str">
        <f t="shared" si="1"/>
        <v/>
      </c>
      <c r="P67" s="291" t="str">
        <f t="shared" si="2"/>
        <v/>
      </c>
      <c r="Q67" s="346" t="str">
        <f>IF(N67="","",VLOOKUP(B67,'C-1 On-Site WaterC'' Baseline'!$C$10:$AC$257,20,FALSE))</f>
        <v/>
      </c>
      <c r="R67" s="290" t="str">
        <f>IF(N67="","",VLOOKUP(N67,'G-7 WaterC'' Data'!$B$2:$G$8,2,FALSE))</f>
        <v/>
      </c>
      <c r="S67" s="291" t="str">
        <f>IFERROR(VLOOKUP(R67,'G-7 WaterC'' Data'!$C$4:$D$8,2,FALSE),"")</f>
        <v/>
      </c>
      <c r="T67" s="95"/>
      <c r="U67" s="291" t="str">
        <f>IFERROR(INDEX('G-7 WaterC'' Data'!$H$4:$L$8,MATCH(N67,'G-7 WaterC'' Data'!$B$4:$B$8,0),MATCH(T67,'G-7 WaterC'' Data'!$H$3:$L$3,0)),"")</f>
        <v/>
      </c>
      <c r="V67" s="95"/>
      <c r="W67" s="298" t="str">
        <f>IF(V67="","",IF(VLOOKUP(V67,'G-7 WaterC'' Data'!$AK$4:$AM$6,2,FALSE)=0,"Spatial Data Missing ⚠",VLOOKUP(V67,'G-7 WaterC'' Data'!$AK$4:$AM$6,2,FALSE)))</f>
        <v/>
      </c>
      <c r="X67" s="291" t="str">
        <f>IF(V67="","",IF(VLOOKUP(V67,'G-7 WaterC'' Data'!$AK$4:$AM$6,3,FALSE)=0,"Spatial Data Missing ⚠",VLOOKUP(V67,'G-7 WaterC'' Data'!$AK$4:$AM$6,3,FALSE)))</f>
        <v/>
      </c>
      <c r="Y67" s="290" t="str">
        <f>IFERROR(IF(OR(LEFT(P67,5)="Error",LEFT(O67,5)="Error ▲"),"Check Data ⚠",IF(F67&lt;S67,'G-7 WaterC'' Data'!$R$3,INDEX('G-7 WaterC'' Data'!$U$5:$Y$9,MATCH(G67,'G-7 WaterC'' Data'!$T$5:$T$9,0),MATCH(T67,'G-7 WaterC'' Data'!$U$4:$Y$4,0)))),"")</f>
        <v/>
      </c>
      <c r="Z67" s="138"/>
      <c r="AA67" s="138"/>
      <c r="AB67" s="298" t="str">
        <f t="shared" si="3"/>
        <v/>
      </c>
      <c r="AC67" s="311" t="str">
        <f t="shared" si="4"/>
        <v/>
      </c>
      <c r="AD67" s="344" t="str">
        <f>IFERROR(IF(AC67="Check Data ⚠","Check Data ⚠",VLOOKUP(AC67,'G-4 Temporal multipliers'!$A$4:$C$37,3,FALSE)),"")</f>
        <v/>
      </c>
      <c r="AE67" s="290" t="str">
        <f>IF(N67="","",VLOOKUP(N67,'G-7 WaterC'' Data'!$B$4:$G$8,5,FALSE))</f>
        <v/>
      </c>
      <c r="AF67" s="298" t="str">
        <f t="shared" si="5"/>
        <v/>
      </c>
      <c r="AG67" s="328" t="str">
        <f t="shared" si="6"/>
        <v/>
      </c>
      <c r="AH67" s="291" t="str">
        <f t="shared" si="0"/>
        <v/>
      </c>
      <c r="AI67" s="103"/>
      <c r="AJ67" s="291" t="str">
        <f>IF(AI67="","",IF(AND(AI67="N/A - Culvert",N67&lt;&gt;"Culvert"),"Not possible ▲",IF(VLOOKUP(AI67,'G-7 WaterC'' Data'!$AA$4:$AB$7,2,FALSE)=0,"Spatial Data Missing ⚠",VLOOKUP(AI67,'G-7 WaterC'' Data'!$AA$4:$AB$7,2,FALSE))))</f>
        <v/>
      </c>
      <c r="AK67" s="104"/>
      <c r="AL67" s="291" t="str">
        <f>IF(AK67="","",IF(AND(AK67="N/A - Culvert",N67&lt;&gt;"Culvert"),"Not possible ▲",IF(VLOOKUP(AK67,'G-7 WaterC'' Data'!$AD$4:$AE$14,2,FALSE)=0,"Spatial Data Missing ⚠",VLOOKUP(AK67,'G-7 WaterC'' Data'!$AD$4:$AE$14,2,FALSE))))</f>
        <v/>
      </c>
      <c r="AM67" s="332" t="str">
        <f t="shared" si="7"/>
        <v/>
      </c>
      <c r="AN67" s="98"/>
      <c r="AO67" s="99"/>
      <c r="AP67" s="101"/>
      <c r="AS67" s="15" t="str">
        <f>IF(B67="","",IF(ISNA(VLOOKUP($B67,'C-1 On-Site WaterC'' Baseline'!$C$8:$AD$257,17,FALSE)),"",(VLOOKUP($B67,'C-1 On-Site WaterC'' Baseline'!$C$8:$AD$257,17,FALSE))))</f>
        <v/>
      </c>
      <c r="AT67" s="15" t="str">
        <f>IF(B67="","",VLOOKUP($B67,'C-1 On-Site WaterC'' Baseline'!$C$9:$Z$257,12,FALSE))</f>
        <v/>
      </c>
      <c r="AU67" s="15" t="str">
        <f>IF(B67="","",VLOOKUP($B67,'C-1 On-Site WaterC'' Baseline'!$C$9:$Z$257,14,FALSE))</f>
        <v/>
      </c>
      <c r="AV67" s="15" t="str">
        <f>IFERROR(INDEX('G-7 WaterC'' Data'!$AZ$3:$AZ$7,MATCH(N67,'G-7 WaterC'' Data'!$AY$3:$AY$7,0)),"")</f>
        <v/>
      </c>
      <c r="AX67" s="15" t="str">
        <f>IF(B67="","",VLOOKUP($B67,'C-1 On-Site WaterC'' Baseline'!$C$9:$Y$257,22,FALSE))</f>
        <v/>
      </c>
      <c r="AY67" s="15" t="str">
        <f t="shared" si="8"/>
        <v/>
      </c>
      <c r="AZ67" s="15" t="str">
        <f>IF(B67="","",VLOOKUP($B67,'C-1 On-Site WaterC'' Baseline'!$C$9:$Y$257,21,FALSE))</f>
        <v/>
      </c>
      <c r="BA67" s="15" t="str">
        <f>IF(B67="","",VLOOKUP($B67,'C-1 On-Site WaterC'' Baseline'!$C$9:$Y$257,19,FALSE))</f>
        <v/>
      </c>
    </row>
    <row r="68" spans="2:53" ht="14" x14ac:dyDescent="0.3">
      <c r="B68" s="319" t="str">
        <f>'C-1 On-Site WaterC'' Baseline'!AP66</f>
        <v/>
      </c>
      <c r="C68" s="310" t="str">
        <f>IF(B68="","",VLOOKUP($B68,'C-1 On-Site WaterC'' Baseline'!$C$9:$R$257,2,FALSE))</f>
        <v/>
      </c>
      <c r="D68" s="310" t="str">
        <f>IF(C68="","",VLOOKUP($B68,'C-1 On-Site WaterC'' Baseline'!$C$9:$R$257,3,FALSE))</f>
        <v/>
      </c>
      <c r="E68" s="310" t="str">
        <f>IF(D68="","",VLOOKUP($B68,'C-1 On-Site WaterC'' Baseline'!$C$9:$R$257,4,FALSE))</f>
        <v/>
      </c>
      <c r="F68" s="310" t="str">
        <f>IF(E68="","",VLOOKUP($B68,'C-1 On-Site WaterC'' Baseline'!$C$9:$R$257,5,FALSE))</f>
        <v/>
      </c>
      <c r="G68" s="310" t="str">
        <f>IF(F68="","",VLOOKUP($B68,'C-1 On-Site WaterC'' Baseline'!$C$9:$R$257,6,FALSE))</f>
        <v/>
      </c>
      <c r="H68" s="310" t="str">
        <f>IF(G68="","",VLOOKUP($B68,'C-1 On-Site WaterC'' Baseline'!$C$9:$R$257,7,FALSE))</f>
        <v/>
      </c>
      <c r="I68" s="310" t="str">
        <f>IF(H68="","",VLOOKUP($B68,'C-1 On-Site WaterC'' Baseline'!$C$9:$R$257,8,FALSE))</f>
        <v/>
      </c>
      <c r="J68" s="310" t="str">
        <f>IF(I68="","",VLOOKUP($B68,'C-1 On-Site WaterC'' Baseline'!$C$9:$R$257,9,FALSE))</f>
        <v/>
      </c>
      <c r="K68" s="310" t="str">
        <f>IF(J68="","",VLOOKUP($B68,'C-1 On-Site WaterC'' Baseline'!$C$9:$R$257,10,FALSE))</f>
        <v/>
      </c>
      <c r="L68" s="310" t="str">
        <f>IF(B68="","",VLOOKUP($B68,'C-1 On-Site WaterC'' Baseline'!$C$9:$R$257,15,FALSE))</f>
        <v/>
      </c>
      <c r="M68" s="314" t="str">
        <f>IF(L68="","",VLOOKUP($B68,'C-1 On-Site WaterC'' Baseline'!$C$9:$R$257,16,FALSE))</f>
        <v/>
      </c>
      <c r="N68" s="259"/>
      <c r="O68" s="290" t="str">
        <f t="shared" si="1"/>
        <v/>
      </c>
      <c r="P68" s="291" t="str">
        <f t="shared" si="2"/>
        <v/>
      </c>
      <c r="Q68" s="346" t="str">
        <f>IF(N68="","",VLOOKUP(B68,'C-1 On-Site WaterC'' Baseline'!$C$10:$AC$257,20,FALSE))</f>
        <v/>
      </c>
      <c r="R68" s="290" t="str">
        <f>IF(N68="","",VLOOKUP(N68,'G-7 WaterC'' Data'!$B$2:$G$8,2,FALSE))</f>
        <v/>
      </c>
      <c r="S68" s="291" t="str">
        <f>IFERROR(VLOOKUP(R68,'G-7 WaterC'' Data'!$C$4:$D$8,2,FALSE),"")</f>
        <v/>
      </c>
      <c r="T68" s="95"/>
      <c r="U68" s="291" t="str">
        <f>IFERROR(INDEX('G-7 WaterC'' Data'!$H$4:$L$8,MATCH(N68,'G-7 WaterC'' Data'!$B$4:$B$8,0),MATCH(T68,'G-7 WaterC'' Data'!$H$3:$L$3,0)),"")</f>
        <v/>
      </c>
      <c r="V68" s="95"/>
      <c r="W68" s="298" t="str">
        <f>IF(V68="","",IF(VLOOKUP(V68,'G-7 WaterC'' Data'!$AK$4:$AM$6,2,FALSE)=0,"Spatial Data Missing ⚠",VLOOKUP(V68,'G-7 WaterC'' Data'!$AK$4:$AM$6,2,FALSE)))</f>
        <v/>
      </c>
      <c r="X68" s="291" t="str">
        <f>IF(V68="","",IF(VLOOKUP(V68,'G-7 WaterC'' Data'!$AK$4:$AM$6,3,FALSE)=0,"Spatial Data Missing ⚠",VLOOKUP(V68,'G-7 WaterC'' Data'!$AK$4:$AM$6,3,FALSE)))</f>
        <v/>
      </c>
      <c r="Y68" s="290" t="str">
        <f>IFERROR(IF(OR(LEFT(P68,5)="Error",LEFT(O68,5)="Error ▲"),"Check Data ⚠",IF(F68&lt;S68,'G-7 WaterC'' Data'!$R$3,INDEX('G-7 WaterC'' Data'!$U$5:$Y$9,MATCH(G68,'G-7 WaterC'' Data'!$T$5:$T$9,0),MATCH(T68,'G-7 WaterC'' Data'!$U$4:$Y$4,0)))),"")</f>
        <v/>
      </c>
      <c r="Z68" s="138"/>
      <c r="AA68" s="138"/>
      <c r="AB68" s="298" t="str">
        <f t="shared" si="3"/>
        <v/>
      </c>
      <c r="AC68" s="311" t="str">
        <f t="shared" si="4"/>
        <v/>
      </c>
      <c r="AD68" s="344" t="str">
        <f>IFERROR(IF(AC68="Check Data ⚠","Check Data ⚠",VLOOKUP(AC68,'G-4 Temporal multipliers'!$A$4:$C$37,3,FALSE)),"")</f>
        <v/>
      </c>
      <c r="AE68" s="290" t="str">
        <f>IF(N68="","",VLOOKUP(N68,'G-7 WaterC'' Data'!$B$4:$G$8,5,FALSE))</f>
        <v/>
      </c>
      <c r="AF68" s="298" t="str">
        <f t="shared" si="5"/>
        <v/>
      </c>
      <c r="AG68" s="328" t="str">
        <f t="shared" si="6"/>
        <v/>
      </c>
      <c r="AH68" s="291" t="str">
        <f t="shared" si="0"/>
        <v/>
      </c>
      <c r="AI68" s="103"/>
      <c r="AJ68" s="291" t="str">
        <f>IF(AI68="","",IF(AND(AI68="N/A - Culvert",N68&lt;&gt;"Culvert"),"Not possible ▲",IF(VLOOKUP(AI68,'G-7 WaterC'' Data'!$AA$4:$AB$7,2,FALSE)=0,"Spatial Data Missing ⚠",VLOOKUP(AI68,'G-7 WaterC'' Data'!$AA$4:$AB$7,2,FALSE))))</f>
        <v/>
      </c>
      <c r="AK68" s="104"/>
      <c r="AL68" s="291" t="str">
        <f>IF(AK68="","",IF(AND(AK68="N/A - Culvert",N68&lt;&gt;"Culvert"),"Not possible ▲",IF(VLOOKUP(AK68,'G-7 WaterC'' Data'!$AD$4:$AE$14,2,FALSE)=0,"Spatial Data Missing ⚠",VLOOKUP(AK68,'G-7 WaterC'' Data'!$AD$4:$AE$14,2,FALSE))))</f>
        <v/>
      </c>
      <c r="AM68" s="332" t="str">
        <f t="shared" si="7"/>
        <v/>
      </c>
      <c r="AN68" s="98"/>
      <c r="AO68" s="99"/>
      <c r="AP68" s="101"/>
      <c r="AS68" s="15" t="str">
        <f>IF(B68="","",IF(ISNA(VLOOKUP($B68,'C-1 On-Site WaterC'' Baseline'!$C$8:$AD$257,17,FALSE)),"",(VLOOKUP($B68,'C-1 On-Site WaterC'' Baseline'!$C$8:$AD$257,17,FALSE))))</f>
        <v/>
      </c>
      <c r="AT68" s="15" t="str">
        <f>IF(B68="","",VLOOKUP($B68,'C-1 On-Site WaterC'' Baseline'!$C$9:$Z$257,12,FALSE))</f>
        <v/>
      </c>
      <c r="AU68" s="15" t="str">
        <f>IF(B68="","",VLOOKUP($B68,'C-1 On-Site WaterC'' Baseline'!$C$9:$Z$257,14,FALSE))</f>
        <v/>
      </c>
      <c r="AV68" s="15" t="str">
        <f>IFERROR(INDEX('G-7 WaterC'' Data'!$AZ$3:$AZ$7,MATCH(N68,'G-7 WaterC'' Data'!$AY$3:$AY$7,0)),"")</f>
        <v/>
      </c>
      <c r="AX68" s="15" t="str">
        <f>IF(B68="","",VLOOKUP($B68,'C-1 On-Site WaterC'' Baseline'!$C$9:$Y$257,22,FALSE))</f>
        <v/>
      </c>
      <c r="AY68" s="15" t="str">
        <f t="shared" si="8"/>
        <v/>
      </c>
      <c r="AZ68" s="15" t="str">
        <f>IF(B68="","",VLOOKUP($B68,'C-1 On-Site WaterC'' Baseline'!$C$9:$Y$257,21,FALSE))</f>
        <v/>
      </c>
      <c r="BA68" s="15" t="str">
        <f>IF(B68="","",VLOOKUP($B68,'C-1 On-Site WaterC'' Baseline'!$C$9:$Y$257,19,FALSE))</f>
        <v/>
      </c>
    </row>
    <row r="69" spans="2:53" ht="14" x14ac:dyDescent="0.3">
      <c r="B69" s="319" t="str">
        <f>'C-1 On-Site WaterC'' Baseline'!AP67</f>
        <v/>
      </c>
      <c r="C69" s="310" t="str">
        <f>IF(B69="","",VLOOKUP($B69,'C-1 On-Site WaterC'' Baseline'!$C$9:$R$257,2,FALSE))</f>
        <v/>
      </c>
      <c r="D69" s="310" t="str">
        <f>IF(C69="","",VLOOKUP($B69,'C-1 On-Site WaterC'' Baseline'!$C$9:$R$257,3,FALSE))</f>
        <v/>
      </c>
      <c r="E69" s="310" t="str">
        <f>IF(D69="","",VLOOKUP($B69,'C-1 On-Site WaterC'' Baseline'!$C$9:$R$257,4,FALSE))</f>
        <v/>
      </c>
      <c r="F69" s="310" t="str">
        <f>IF(E69="","",VLOOKUP($B69,'C-1 On-Site WaterC'' Baseline'!$C$9:$R$257,5,FALSE))</f>
        <v/>
      </c>
      <c r="G69" s="310" t="str">
        <f>IF(F69="","",VLOOKUP($B69,'C-1 On-Site WaterC'' Baseline'!$C$9:$R$257,6,FALSE))</f>
        <v/>
      </c>
      <c r="H69" s="310" t="str">
        <f>IF(G69="","",VLOOKUP($B69,'C-1 On-Site WaterC'' Baseline'!$C$9:$R$257,7,FALSE))</f>
        <v/>
      </c>
      <c r="I69" s="310" t="str">
        <f>IF(H69="","",VLOOKUP($B69,'C-1 On-Site WaterC'' Baseline'!$C$9:$R$257,8,FALSE))</f>
        <v/>
      </c>
      <c r="J69" s="310" t="str">
        <f>IF(I69="","",VLOOKUP($B69,'C-1 On-Site WaterC'' Baseline'!$C$9:$R$257,9,FALSE))</f>
        <v/>
      </c>
      <c r="K69" s="310" t="str">
        <f>IF(J69="","",VLOOKUP($B69,'C-1 On-Site WaterC'' Baseline'!$C$9:$R$257,10,FALSE))</f>
        <v/>
      </c>
      <c r="L69" s="310" t="str">
        <f>IF(B69="","",VLOOKUP($B69,'C-1 On-Site WaterC'' Baseline'!$C$9:$R$257,15,FALSE))</f>
        <v/>
      </c>
      <c r="M69" s="314" t="str">
        <f>IF(L69="","",VLOOKUP($B69,'C-1 On-Site WaterC'' Baseline'!$C$9:$R$257,16,FALSE))</f>
        <v/>
      </c>
      <c r="N69" s="259"/>
      <c r="O69" s="290" t="str">
        <f t="shared" si="1"/>
        <v/>
      </c>
      <c r="P69" s="291" t="str">
        <f t="shared" si="2"/>
        <v/>
      </c>
      <c r="Q69" s="346" t="str">
        <f>IF(N69="","",VLOOKUP(B69,'C-1 On-Site WaterC'' Baseline'!$C$10:$AC$257,20,FALSE))</f>
        <v/>
      </c>
      <c r="R69" s="290" t="str">
        <f>IF(N69="","",VLOOKUP(N69,'G-7 WaterC'' Data'!$B$2:$G$8,2,FALSE))</f>
        <v/>
      </c>
      <c r="S69" s="291" t="str">
        <f>IFERROR(VLOOKUP(R69,'G-7 WaterC'' Data'!$C$4:$D$8,2,FALSE),"")</f>
        <v/>
      </c>
      <c r="T69" s="95"/>
      <c r="U69" s="291" t="str">
        <f>IFERROR(INDEX('G-7 WaterC'' Data'!$H$4:$L$8,MATCH(N69,'G-7 WaterC'' Data'!$B$4:$B$8,0),MATCH(T69,'G-7 WaterC'' Data'!$H$3:$L$3,0)),"")</f>
        <v/>
      </c>
      <c r="V69" s="95"/>
      <c r="W69" s="298" t="str">
        <f>IF(V69="","",IF(VLOOKUP(V69,'G-7 WaterC'' Data'!$AK$4:$AM$6,2,FALSE)=0,"Spatial Data Missing ⚠",VLOOKUP(V69,'G-7 WaterC'' Data'!$AK$4:$AM$6,2,FALSE)))</f>
        <v/>
      </c>
      <c r="X69" s="291" t="str">
        <f>IF(V69="","",IF(VLOOKUP(V69,'G-7 WaterC'' Data'!$AK$4:$AM$6,3,FALSE)=0,"Spatial Data Missing ⚠",VLOOKUP(V69,'G-7 WaterC'' Data'!$AK$4:$AM$6,3,FALSE)))</f>
        <v/>
      </c>
      <c r="Y69" s="290" t="str">
        <f>IFERROR(IF(OR(LEFT(P69,5)="Error",LEFT(O69,5)="Error ▲"),"Check Data ⚠",IF(F69&lt;S69,'G-7 WaterC'' Data'!$R$3,INDEX('G-7 WaterC'' Data'!$U$5:$Y$9,MATCH(G69,'G-7 WaterC'' Data'!$T$5:$T$9,0),MATCH(T69,'G-7 WaterC'' Data'!$U$4:$Y$4,0)))),"")</f>
        <v/>
      </c>
      <c r="Z69" s="138"/>
      <c r="AA69" s="138"/>
      <c r="AB69" s="298" t="str">
        <f t="shared" si="3"/>
        <v/>
      </c>
      <c r="AC69" s="311" t="str">
        <f t="shared" si="4"/>
        <v/>
      </c>
      <c r="AD69" s="344" t="str">
        <f>IFERROR(IF(AC69="Check Data ⚠","Check Data ⚠",VLOOKUP(AC69,'G-4 Temporal multipliers'!$A$4:$C$37,3,FALSE)),"")</f>
        <v/>
      </c>
      <c r="AE69" s="290" t="str">
        <f>IF(N69="","",VLOOKUP(N69,'G-7 WaterC'' Data'!$B$4:$G$8,5,FALSE))</f>
        <v/>
      </c>
      <c r="AF69" s="298" t="str">
        <f t="shared" si="5"/>
        <v/>
      </c>
      <c r="AG69" s="328" t="str">
        <f t="shared" si="6"/>
        <v/>
      </c>
      <c r="AH69" s="291" t="str">
        <f t="shared" si="0"/>
        <v/>
      </c>
      <c r="AI69" s="103"/>
      <c r="AJ69" s="291" t="str">
        <f>IF(AI69="","",IF(AND(AI69="N/A - Culvert",N69&lt;&gt;"Culvert"),"Not possible ▲",IF(VLOOKUP(AI69,'G-7 WaterC'' Data'!$AA$4:$AB$7,2,FALSE)=0,"Spatial Data Missing ⚠",VLOOKUP(AI69,'G-7 WaterC'' Data'!$AA$4:$AB$7,2,FALSE))))</f>
        <v/>
      </c>
      <c r="AK69" s="104"/>
      <c r="AL69" s="291" t="str">
        <f>IF(AK69="","",IF(AND(AK69="N/A - Culvert",N69&lt;&gt;"Culvert"),"Not possible ▲",IF(VLOOKUP(AK69,'G-7 WaterC'' Data'!$AD$4:$AE$14,2,FALSE)=0,"Spatial Data Missing ⚠",VLOOKUP(AK69,'G-7 WaterC'' Data'!$AD$4:$AE$14,2,FALSE))))</f>
        <v/>
      </c>
      <c r="AM69" s="332" t="str">
        <f t="shared" si="7"/>
        <v/>
      </c>
      <c r="AN69" s="98"/>
      <c r="AO69" s="99"/>
      <c r="AP69" s="101"/>
      <c r="AS69" s="15" t="str">
        <f>IF(B69="","",IF(ISNA(VLOOKUP($B69,'C-1 On-Site WaterC'' Baseline'!$C$8:$AD$257,17,FALSE)),"",(VLOOKUP($B69,'C-1 On-Site WaterC'' Baseline'!$C$8:$AD$257,17,FALSE))))</f>
        <v/>
      </c>
      <c r="AT69" s="15" t="str">
        <f>IF(B69="","",VLOOKUP($B69,'C-1 On-Site WaterC'' Baseline'!$C$9:$Z$257,12,FALSE))</f>
        <v/>
      </c>
      <c r="AU69" s="15" t="str">
        <f>IF(B69="","",VLOOKUP($B69,'C-1 On-Site WaterC'' Baseline'!$C$9:$Z$257,14,FALSE))</f>
        <v/>
      </c>
      <c r="AV69" s="15" t="str">
        <f>IFERROR(INDEX('G-7 WaterC'' Data'!$AZ$3:$AZ$7,MATCH(N69,'G-7 WaterC'' Data'!$AY$3:$AY$7,0)),"")</f>
        <v/>
      </c>
      <c r="AX69" s="15" t="str">
        <f>IF(B69="","",VLOOKUP($B69,'C-1 On-Site WaterC'' Baseline'!$C$9:$Y$257,22,FALSE))</f>
        <v/>
      </c>
      <c r="AY69" s="15" t="str">
        <f t="shared" si="8"/>
        <v/>
      </c>
      <c r="AZ69" s="15" t="str">
        <f>IF(B69="","",VLOOKUP($B69,'C-1 On-Site WaterC'' Baseline'!$C$9:$Y$257,21,FALSE))</f>
        <v/>
      </c>
      <c r="BA69" s="15" t="str">
        <f>IF(B69="","",VLOOKUP($B69,'C-1 On-Site WaterC'' Baseline'!$C$9:$Y$257,19,FALSE))</f>
        <v/>
      </c>
    </row>
    <row r="70" spans="2:53" ht="14" x14ac:dyDescent="0.3">
      <c r="B70" s="319" t="str">
        <f>'C-1 On-Site WaterC'' Baseline'!AP68</f>
        <v/>
      </c>
      <c r="C70" s="310" t="str">
        <f>IF(B70="","",VLOOKUP($B70,'C-1 On-Site WaterC'' Baseline'!$C$9:$R$257,2,FALSE))</f>
        <v/>
      </c>
      <c r="D70" s="310" t="str">
        <f>IF(C70="","",VLOOKUP($B70,'C-1 On-Site WaterC'' Baseline'!$C$9:$R$257,3,FALSE))</f>
        <v/>
      </c>
      <c r="E70" s="310" t="str">
        <f>IF(D70="","",VLOOKUP($B70,'C-1 On-Site WaterC'' Baseline'!$C$9:$R$257,4,FALSE))</f>
        <v/>
      </c>
      <c r="F70" s="310" t="str">
        <f>IF(E70="","",VLOOKUP($B70,'C-1 On-Site WaterC'' Baseline'!$C$9:$R$257,5,FALSE))</f>
        <v/>
      </c>
      <c r="G70" s="310" t="str">
        <f>IF(F70="","",VLOOKUP($B70,'C-1 On-Site WaterC'' Baseline'!$C$9:$R$257,6,FALSE))</f>
        <v/>
      </c>
      <c r="H70" s="310" t="str">
        <f>IF(G70="","",VLOOKUP($B70,'C-1 On-Site WaterC'' Baseline'!$C$9:$R$257,7,FALSE))</f>
        <v/>
      </c>
      <c r="I70" s="310" t="str">
        <f>IF(H70="","",VLOOKUP($B70,'C-1 On-Site WaterC'' Baseline'!$C$9:$R$257,8,FALSE))</f>
        <v/>
      </c>
      <c r="J70" s="310" t="str">
        <f>IF(I70="","",VLOOKUP($B70,'C-1 On-Site WaterC'' Baseline'!$C$9:$R$257,9,FALSE))</f>
        <v/>
      </c>
      <c r="K70" s="310" t="str">
        <f>IF(J70="","",VLOOKUP($B70,'C-1 On-Site WaterC'' Baseline'!$C$9:$R$257,10,FALSE))</f>
        <v/>
      </c>
      <c r="L70" s="310" t="str">
        <f>IF(B70="","",VLOOKUP($B70,'C-1 On-Site WaterC'' Baseline'!$C$9:$R$257,15,FALSE))</f>
        <v/>
      </c>
      <c r="M70" s="314" t="str">
        <f>IF(L70="","",VLOOKUP($B70,'C-1 On-Site WaterC'' Baseline'!$C$9:$R$257,16,FALSE))</f>
        <v/>
      </c>
      <c r="N70" s="259"/>
      <c r="O70" s="290" t="str">
        <f t="shared" si="1"/>
        <v/>
      </c>
      <c r="P70" s="291" t="str">
        <f t="shared" si="2"/>
        <v/>
      </c>
      <c r="Q70" s="346" t="str">
        <f>IF(N70="","",VLOOKUP(B70,'C-1 On-Site WaterC'' Baseline'!$C$10:$AC$257,20,FALSE))</f>
        <v/>
      </c>
      <c r="R70" s="290" t="str">
        <f>IF(N70="","",VLOOKUP(N70,'G-7 WaterC'' Data'!$B$2:$G$8,2,FALSE))</f>
        <v/>
      </c>
      <c r="S70" s="291" t="str">
        <f>IFERROR(VLOOKUP(R70,'G-7 WaterC'' Data'!$C$4:$D$8,2,FALSE),"")</f>
        <v/>
      </c>
      <c r="T70" s="95"/>
      <c r="U70" s="291" t="str">
        <f>IFERROR(INDEX('G-7 WaterC'' Data'!$H$4:$L$8,MATCH(N70,'G-7 WaterC'' Data'!$B$4:$B$8,0),MATCH(T70,'G-7 WaterC'' Data'!$H$3:$L$3,0)),"")</f>
        <v/>
      </c>
      <c r="V70" s="95"/>
      <c r="W70" s="298" t="str">
        <f>IF(V70="","",IF(VLOOKUP(V70,'G-7 WaterC'' Data'!$AK$4:$AM$6,2,FALSE)=0,"Spatial Data Missing ⚠",VLOOKUP(V70,'G-7 WaterC'' Data'!$AK$4:$AM$6,2,FALSE)))</f>
        <v/>
      </c>
      <c r="X70" s="291" t="str">
        <f>IF(V70="","",IF(VLOOKUP(V70,'G-7 WaterC'' Data'!$AK$4:$AM$6,3,FALSE)=0,"Spatial Data Missing ⚠",VLOOKUP(V70,'G-7 WaterC'' Data'!$AK$4:$AM$6,3,FALSE)))</f>
        <v/>
      </c>
      <c r="Y70" s="290" t="str">
        <f>IFERROR(IF(OR(LEFT(P70,5)="Error",LEFT(O70,5)="Error ▲"),"Check Data ⚠",IF(F70&lt;S70,'G-7 WaterC'' Data'!$R$3,INDEX('G-7 WaterC'' Data'!$U$5:$Y$9,MATCH(G70,'G-7 WaterC'' Data'!$T$5:$T$9,0),MATCH(T70,'G-7 WaterC'' Data'!$U$4:$Y$4,0)))),"")</f>
        <v/>
      </c>
      <c r="Z70" s="138"/>
      <c r="AA70" s="138"/>
      <c r="AB70" s="298" t="str">
        <f t="shared" si="3"/>
        <v/>
      </c>
      <c r="AC70" s="311" t="str">
        <f t="shared" si="4"/>
        <v/>
      </c>
      <c r="AD70" s="344" t="str">
        <f>IFERROR(IF(AC70="Check Data ⚠","Check Data ⚠",VLOOKUP(AC70,'G-4 Temporal multipliers'!$A$4:$C$37,3,FALSE)),"")</f>
        <v/>
      </c>
      <c r="AE70" s="290" t="str">
        <f>IF(N70="","",VLOOKUP(N70,'G-7 WaterC'' Data'!$B$4:$G$8,5,FALSE))</f>
        <v/>
      </c>
      <c r="AF70" s="298" t="str">
        <f t="shared" si="5"/>
        <v/>
      </c>
      <c r="AG70" s="328" t="str">
        <f t="shared" si="6"/>
        <v/>
      </c>
      <c r="AH70" s="291" t="str">
        <f t="shared" si="0"/>
        <v/>
      </c>
      <c r="AI70" s="103"/>
      <c r="AJ70" s="291" t="str">
        <f>IF(AI70="","",IF(AND(AI70="N/A - Culvert",N70&lt;&gt;"Culvert"),"Not possible ▲",IF(VLOOKUP(AI70,'G-7 WaterC'' Data'!$AA$4:$AB$7,2,FALSE)=0,"Spatial Data Missing ⚠",VLOOKUP(AI70,'G-7 WaterC'' Data'!$AA$4:$AB$7,2,FALSE))))</f>
        <v/>
      </c>
      <c r="AK70" s="104"/>
      <c r="AL70" s="291" t="str">
        <f>IF(AK70="","",IF(AND(AK70="N/A - Culvert",N70&lt;&gt;"Culvert"),"Not possible ▲",IF(VLOOKUP(AK70,'G-7 WaterC'' Data'!$AD$4:$AE$14,2,FALSE)=0,"Spatial Data Missing ⚠",VLOOKUP(AK70,'G-7 WaterC'' Data'!$AD$4:$AE$14,2,FALSE))))</f>
        <v/>
      </c>
      <c r="AM70" s="332" t="str">
        <f t="shared" si="7"/>
        <v/>
      </c>
      <c r="AN70" s="98"/>
      <c r="AO70" s="99"/>
      <c r="AP70" s="101"/>
      <c r="AS70" s="15" t="str">
        <f>IF(B70="","",IF(ISNA(VLOOKUP($B70,'C-1 On-Site WaterC'' Baseline'!$C$8:$AD$257,17,FALSE)),"",(VLOOKUP($B70,'C-1 On-Site WaterC'' Baseline'!$C$8:$AD$257,17,FALSE))))</f>
        <v/>
      </c>
      <c r="AT70" s="15" t="str">
        <f>IF(B70="","",VLOOKUP($B70,'C-1 On-Site WaterC'' Baseline'!$C$9:$Z$257,12,FALSE))</f>
        <v/>
      </c>
      <c r="AU70" s="15" t="str">
        <f>IF(B70="","",VLOOKUP($B70,'C-1 On-Site WaterC'' Baseline'!$C$9:$Z$257,14,FALSE))</f>
        <v/>
      </c>
      <c r="AV70" s="15" t="str">
        <f>IFERROR(INDEX('G-7 WaterC'' Data'!$AZ$3:$AZ$7,MATCH(N70,'G-7 WaterC'' Data'!$AY$3:$AY$7,0)),"")</f>
        <v/>
      </c>
      <c r="AX70" s="15" t="str">
        <f>IF(B70="","",VLOOKUP($B70,'C-1 On-Site WaterC'' Baseline'!$C$9:$Y$257,22,FALSE))</f>
        <v/>
      </c>
      <c r="AY70" s="15" t="str">
        <f t="shared" si="8"/>
        <v/>
      </c>
      <c r="AZ70" s="15" t="str">
        <f>IF(B70="","",VLOOKUP($B70,'C-1 On-Site WaterC'' Baseline'!$C$9:$Y$257,21,FALSE))</f>
        <v/>
      </c>
      <c r="BA70" s="15" t="str">
        <f>IF(B70="","",VLOOKUP($B70,'C-1 On-Site WaterC'' Baseline'!$C$9:$Y$257,19,FALSE))</f>
        <v/>
      </c>
    </row>
    <row r="71" spans="2:53" ht="14" x14ac:dyDescent="0.3">
      <c r="B71" s="319" t="str">
        <f>'C-1 On-Site WaterC'' Baseline'!AP69</f>
        <v/>
      </c>
      <c r="C71" s="310" t="str">
        <f>IF(B71="","",VLOOKUP($B71,'C-1 On-Site WaterC'' Baseline'!$C$9:$R$257,2,FALSE))</f>
        <v/>
      </c>
      <c r="D71" s="310" t="str">
        <f>IF(C71="","",VLOOKUP($B71,'C-1 On-Site WaterC'' Baseline'!$C$9:$R$257,3,FALSE))</f>
        <v/>
      </c>
      <c r="E71" s="310" t="str">
        <f>IF(D71="","",VLOOKUP($B71,'C-1 On-Site WaterC'' Baseline'!$C$9:$R$257,4,FALSE))</f>
        <v/>
      </c>
      <c r="F71" s="310" t="str">
        <f>IF(E71="","",VLOOKUP($B71,'C-1 On-Site WaterC'' Baseline'!$C$9:$R$257,5,FALSE))</f>
        <v/>
      </c>
      <c r="G71" s="310" t="str">
        <f>IF(F71="","",VLOOKUP($B71,'C-1 On-Site WaterC'' Baseline'!$C$9:$R$257,6,FALSE))</f>
        <v/>
      </c>
      <c r="H71" s="310" t="str">
        <f>IF(G71="","",VLOOKUP($B71,'C-1 On-Site WaterC'' Baseline'!$C$9:$R$257,7,FALSE))</f>
        <v/>
      </c>
      <c r="I71" s="310" t="str">
        <f>IF(H71="","",VLOOKUP($B71,'C-1 On-Site WaterC'' Baseline'!$C$9:$R$257,8,FALSE))</f>
        <v/>
      </c>
      <c r="J71" s="310" t="str">
        <f>IF(I71="","",VLOOKUP($B71,'C-1 On-Site WaterC'' Baseline'!$C$9:$R$257,9,FALSE))</f>
        <v/>
      </c>
      <c r="K71" s="310" t="str">
        <f>IF(J71="","",VLOOKUP($B71,'C-1 On-Site WaterC'' Baseline'!$C$9:$R$257,10,FALSE))</f>
        <v/>
      </c>
      <c r="L71" s="310" t="str">
        <f>IF(B71="","",VLOOKUP($B71,'C-1 On-Site WaterC'' Baseline'!$C$9:$R$257,15,FALSE))</f>
        <v/>
      </c>
      <c r="M71" s="314" t="str">
        <f>IF(L71="","",VLOOKUP($B71,'C-1 On-Site WaterC'' Baseline'!$C$9:$R$257,16,FALSE))</f>
        <v/>
      </c>
      <c r="N71" s="259"/>
      <c r="O71" s="290" t="str">
        <f t="shared" si="1"/>
        <v/>
      </c>
      <c r="P71" s="291" t="str">
        <f t="shared" si="2"/>
        <v/>
      </c>
      <c r="Q71" s="346" t="str">
        <f>IF(N71="","",VLOOKUP(B71,'C-1 On-Site WaterC'' Baseline'!$C$10:$AC$257,20,FALSE))</f>
        <v/>
      </c>
      <c r="R71" s="290" t="str">
        <f>IF(N71="","",VLOOKUP(N71,'G-7 WaterC'' Data'!$B$2:$G$8,2,FALSE))</f>
        <v/>
      </c>
      <c r="S71" s="291" t="str">
        <f>IFERROR(VLOOKUP(R71,'G-7 WaterC'' Data'!$C$4:$D$8,2,FALSE),"")</f>
        <v/>
      </c>
      <c r="T71" s="95"/>
      <c r="U71" s="291" t="str">
        <f>IFERROR(INDEX('G-7 WaterC'' Data'!$H$4:$L$8,MATCH(N71,'G-7 WaterC'' Data'!$B$4:$B$8,0),MATCH(T71,'G-7 WaterC'' Data'!$H$3:$L$3,0)),"")</f>
        <v/>
      </c>
      <c r="V71" s="95"/>
      <c r="W71" s="298" t="str">
        <f>IF(V71="","",IF(VLOOKUP(V71,'G-7 WaterC'' Data'!$AK$4:$AM$6,2,FALSE)=0,"Spatial Data Missing ⚠",VLOOKUP(V71,'G-7 WaterC'' Data'!$AK$4:$AM$6,2,FALSE)))</f>
        <v/>
      </c>
      <c r="X71" s="291" t="str">
        <f>IF(V71="","",IF(VLOOKUP(V71,'G-7 WaterC'' Data'!$AK$4:$AM$6,3,FALSE)=0,"Spatial Data Missing ⚠",VLOOKUP(V71,'G-7 WaterC'' Data'!$AK$4:$AM$6,3,FALSE)))</f>
        <v/>
      </c>
      <c r="Y71" s="290" t="str">
        <f>IFERROR(IF(OR(LEFT(P71,5)="Error",LEFT(O71,5)="Error ▲"),"Check Data ⚠",IF(F71&lt;S71,'G-7 WaterC'' Data'!$R$3,INDEX('G-7 WaterC'' Data'!$U$5:$Y$9,MATCH(G71,'G-7 WaterC'' Data'!$T$5:$T$9,0),MATCH(T71,'G-7 WaterC'' Data'!$U$4:$Y$4,0)))),"")</f>
        <v/>
      </c>
      <c r="Z71" s="138"/>
      <c r="AA71" s="138"/>
      <c r="AB71" s="298" t="str">
        <f t="shared" si="3"/>
        <v/>
      </c>
      <c r="AC71" s="311" t="str">
        <f t="shared" si="4"/>
        <v/>
      </c>
      <c r="AD71" s="344" t="str">
        <f>IFERROR(IF(AC71="Check Data ⚠","Check Data ⚠",VLOOKUP(AC71,'G-4 Temporal multipliers'!$A$4:$C$37,3,FALSE)),"")</f>
        <v/>
      </c>
      <c r="AE71" s="290" t="str">
        <f>IF(N71="","",VLOOKUP(N71,'G-7 WaterC'' Data'!$B$4:$G$8,5,FALSE))</f>
        <v/>
      </c>
      <c r="AF71" s="298" t="str">
        <f t="shared" si="5"/>
        <v/>
      </c>
      <c r="AG71" s="328" t="str">
        <f t="shared" si="6"/>
        <v/>
      </c>
      <c r="AH71" s="291" t="str">
        <f t="shared" si="0"/>
        <v/>
      </c>
      <c r="AI71" s="103"/>
      <c r="AJ71" s="291" t="str">
        <f>IF(AI71="","",IF(AND(AI71="N/A - Culvert",N71&lt;&gt;"Culvert"),"Not possible ▲",IF(VLOOKUP(AI71,'G-7 WaterC'' Data'!$AA$4:$AB$7,2,FALSE)=0,"Spatial Data Missing ⚠",VLOOKUP(AI71,'G-7 WaterC'' Data'!$AA$4:$AB$7,2,FALSE))))</f>
        <v/>
      </c>
      <c r="AK71" s="104"/>
      <c r="AL71" s="291" t="str">
        <f>IF(AK71="","",IF(AND(AK71="N/A - Culvert",N71&lt;&gt;"Culvert"),"Not possible ▲",IF(VLOOKUP(AK71,'G-7 WaterC'' Data'!$AD$4:$AE$14,2,FALSE)=0,"Spatial Data Missing ⚠",VLOOKUP(AK71,'G-7 WaterC'' Data'!$AD$4:$AE$14,2,FALSE))))</f>
        <v/>
      </c>
      <c r="AM71" s="332" t="str">
        <f t="shared" si="7"/>
        <v/>
      </c>
      <c r="AN71" s="98"/>
      <c r="AO71" s="99"/>
      <c r="AP71" s="101"/>
      <c r="AS71" s="15" t="str">
        <f>IF(B71="","",IF(ISNA(VLOOKUP($B71,'C-1 On-Site WaterC'' Baseline'!$C$8:$AD$257,17,FALSE)),"",(VLOOKUP($B71,'C-1 On-Site WaterC'' Baseline'!$C$8:$AD$257,17,FALSE))))</f>
        <v/>
      </c>
      <c r="AT71" s="15" t="str">
        <f>IF(B71="","",VLOOKUP($B71,'C-1 On-Site WaterC'' Baseline'!$C$9:$Z$257,12,FALSE))</f>
        <v/>
      </c>
      <c r="AU71" s="15" t="str">
        <f>IF(B71="","",VLOOKUP($B71,'C-1 On-Site WaterC'' Baseline'!$C$9:$Z$257,14,FALSE))</f>
        <v/>
      </c>
      <c r="AV71" s="15" t="str">
        <f>IFERROR(INDEX('G-7 WaterC'' Data'!$AZ$3:$AZ$7,MATCH(N71,'G-7 WaterC'' Data'!$AY$3:$AY$7,0)),"")</f>
        <v/>
      </c>
      <c r="AX71" s="15" t="str">
        <f>IF(B71="","",VLOOKUP($B71,'C-1 On-Site WaterC'' Baseline'!$C$9:$Y$257,22,FALSE))</f>
        <v/>
      </c>
      <c r="AY71" s="15" t="str">
        <f t="shared" si="8"/>
        <v/>
      </c>
      <c r="AZ71" s="15" t="str">
        <f>IF(B71="","",VLOOKUP($B71,'C-1 On-Site WaterC'' Baseline'!$C$9:$Y$257,21,FALSE))</f>
        <v/>
      </c>
      <c r="BA71" s="15" t="str">
        <f>IF(B71="","",VLOOKUP($B71,'C-1 On-Site WaterC'' Baseline'!$C$9:$Y$257,19,FALSE))</f>
        <v/>
      </c>
    </row>
    <row r="72" spans="2:53" ht="14" x14ac:dyDescent="0.3">
      <c r="B72" s="319" t="str">
        <f>'C-1 On-Site WaterC'' Baseline'!AP70</f>
        <v/>
      </c>
      <c r="C72" s="310" t="str">
        <f>IF(B72="","",VLOOKUP($B72,'C-1 On-Site WaterC'' Baseline'!$C$9:$R$257,2,FALSE))</f>
        <v/>
      </c>
      <c r="D72" s="310" t="str">
        <f>IF(C72="","",VLOOKUP($B72,'C-1 On-Site WaterC'' Baseline'!$C$9:$R$257,3,FALSE))</f>
        <v/>
      </c>
      <c r="E72" s="310" t="str">
        <f>IF(D72="","",VLOOKUP($B72,'C-1 On-Site WaterC'' Baseline'!$C$9:$R$257,4,FALSE))</f>
        <v/>
      </c>
      <c r="F72" s="310" t="str">
        <f>IF(E72="","",VLOOKUP($B72,'C-1 On-Site WaterC'' Baseline'!$C$9:$R$257,5,FALSE))</f>
        <v/>
      </c>
      <c r="G72" s="310" t="str">
        <f>IF(F72="","",VLOOKUP($B72,'C-1 On-Site WaterC'' Baseline'!$C$9:$R$257,6,FALSE))</f>
        <v/>
      </c>
      <c r="H72" s="310" t="str">
        <f>IF(G72="","",VLOOKUP($B72,'C-1 On-Site WaterC'' Baseline'!$C$9:$R$257,7,FALSE))</f>
        <v/>
      </c>
      <c r="I72" s="310" t="str">
        <f>IF(H72="","",VLOOKUP($B72,'C-1 On-Site WaterC'' Baseline'!$C$9:$R$257,8,FALSE))</f>
        <v/>
      </c>
      <c r="J72" s="310" t="str">
        <f>IF(I72="","",VLOOKUP($B72,'C-1 On-Site WaterC'' Baseline'!$C$9:$R$257,9,FALSE))</f>
        <v/>
      </c>
      <c r="K72" s="310" t="str">
        <f>IF(J72="","",VLOOKUP($B72,'C-1 On-Site WaterC'' Baseline'!$C$9:$R$257,10,FALSE))</f>
        <v/>
      </c>
      <c r="L72" s="310" t="str">
        <f>IF(B72="","",VLOOKUP($B72,'C-1 On-Site WaterC'' Baseline'!$C$9:$R$257,15,FALSE))</f>
        <v/>
      </c>
      <c r="M72" s="314" t="str">
        <f>IF(L72="","",VLOOKUP($B72,'C-1 On-Site WaterC'' Baseline'!$C$9:$R$257,16,FALSE))</f>
        <v/>
      </c>
      <c r="N72" s="259"/>
      <c r="O72" s="290" t="str">
        <f t="shared" si="1"/>
        <v/>
      </c>
      <c r="P72" s="291" t="str">
        <f t="shared" si="2"/>
        <v/>
      </c>
      <c r="Q72" s="346" t="str">
        <f>IF(N72="","",VLOOKUP(B72,'C-1 On-Site WaterC'' Baseline'!$C$10:$AC$257,20,FALSE))</f>
        <v/>
      </c>
      <c r="R72" s="290" t="str">
        <f>IF(N72="","",VLOOKUP(N72,'G-7 WaterC'' Data'!$B$2:$G$8,2,FALSE))</f>
        <v/>
      </c>
      <c r="S72" s="291" t="str">
        <f>IFERROR(VLOOKUP(R72,'G-7 WaterC'' Data'!$C$4:$D$8,2,FALSE),"")</f>
        <v/>
      </c>
      <c r="T72" s="95"/>
      <c r="U72" s="291" t="str">
        <f>IFERROR(INDEX('G-7 WaterC'' Data'!$H$4:$L$8,MATCH(N72,'G-7 WaterC'' Data'!$B$4:$B$8,0),MATCH(T72,'G-7 WaterC'' Data'!$H$3:$L$3,0)),"")</f>
        <v/>
      </c>
      <c r="V72" s="95"/>
      <c r="W72" s="298" t="str">
        <f>IF(V72="","",IF(VLOOKUP(V72,'G-7 WaterC'' Data'!$AK$4:$AM$6,2,FALSE)=0,"Spatial Data Missing ⚠",VLOOKUP(V72,'G-7 WaterC'' Data'!$AK$4:$AM$6,2,FALSE)))</f>
        <v/>
      </c>
      <c r="X72" s="291" t="str">
        <f>IF(V72="","",IF(VLOOKUP(V72,'G-7 WaterC'' Data'!$AK$4:$AM$6,3,FALSE)=0,"Spatial Data Missing ⚠",VLOOKUP(V72,'G-7 WaterC'' Data'!$AK$4:$AM$6,3,FALSE)))</f>
        <v/>
      </c>
      <c r="Y72" s="290" t="str">
        <f>IFERROR(IF(OR(LEFT(P72,5)="Error",LEFT(O72,5)="Error ▲"),"Check Data ⚠",IF(F72&lt;S72,'G-7 WaterC'' Data'!$R$3,INDEX('G-7 WaterC'' Data'!$U$5:$Y$9,MATCH(G72,'G-7 WaterC'' Data'!$T$5:$T$9,0),MATCH(T72,'G-7 WaterC'' Data'!$U$4:$Y$4,0)))),"")</f>
        <v/>
      </c>
      <c r="Z72" s="138"/>
      <c r="AA72" s="138"/>
      <c r="AB72" s="298" t="str">
        <f t="shared" si="3"/>
        <v/>
      </c>
      <c r="AC72" s="311" t="str">
        <f t="shared" si="4"/>
        <v/>
      </c>
      <c r="AD72" s="344" t="str">
        <f>IFERROR(IF(AC72="Check Data ⚠","Check Data ⚠",VLOOKUP(AC72,'G-4 Temporal multipliers'!$A$4:$C$37,3,FALSE)),"")</f>
        <v/>
      </c>
      <c r="AE72" s="290" t="str">
        <f>IF(N72="","",VLOOKUP(N72,'G-7 WaterC'' Data'!$B$4:$G$8,5,FALSE))</f>
        <v/>
      </c>
      <c r="AF72" s="298" t="str">
        <f t="shared" si="5"/>
        <v/>
      </c>
      <c r="AG72" s="328" t="str">
        <f t="shared" si="6"/>
        <v/>
      </c>
      <c r="AH72" s="291" t="str">
        <f t="shared" si="0"/>
        <v/>
      </c>
      <c r="AI72" s="103"/>
      <c r="AJ72" s="291" t="str">
        <f>IF(AI72="","",IF(AND(AI72="N/A - Culvert",N72&lt;&gt;"Culvert"),"Not possible ▲",IF(VLOOKUP(AI72,'G-7 WaterC'' Data'!$AA$4:$AB$7,2,FALSE)=0,"Spatial Data Missing ⚠",VLOOKUP(AI72,'G-7 WaterC'' Data'!$AA$4:$AB$7,2,FALSE))))</f>
        <v/>
      </c>
      <c r="AK72" s="104"/>
      <c r="AL72" s="291" t="str">
        <f>IF(AK72="","",IF(AND(AK72="N/A - Culvert",N72&lt;&gt;"Culvert"),"Not possible ▲",IF(VLOOKUP(AK72,'G-7 WaterC'' Data'!$AD$4:$AE$14,2,FALSE)=0,"Spatial Data Missing ⚠",VLOOKUP(AK72,'G-7 WaterC'' Data'!$AD$4:$AE$14,2,FALSE))))</f>
        <v/>
      </c>
      <c r="AM72" s="332" t="str">
        <f t="shared" si="7"/>
        <v/>
      </c>
      <c r="AN72" s="98"/>
      <c r="AO72" s="99"/>
      <c r="AP72" s="101"/>
      <c r="AS72" s="15" t="str">
        <f>IF(B72="","",IF(ISNA(VLOOKUP($B72,'C-1 On-Site WaterC'' Baseline'!$C$8:$AD$257,17,FALSE)),"",(VLOOKUP($B72,'C-1 On-Site WaterC'' Baseline'!$C$8:$AD$257,17,FALSE))))</f>
        <v/>
      </c>
      <c r="AT72" s="15" t="str">
        <f>IF(B72="","",VLOOKUP($B72,'C-1 On-Site WaterC'' Baseline'!$C$9:$Z$257,12,FALSE))</f>
        <v/>
      </c>
      <c r="AU72" s="15" t="str">
        <f>IF(B72="","",VLOOKUP($B72,'C-1 On-Site WaterC'' Baseline'!$C$9:$Z$257,14,FALSE))</f>
        <v/>
      </c>
      <c r="AV72" s="15" t="str">
        <f>IFERROR(INDEX('G-7 WaterC'' Data'!$AZ$3:$AZ$7,MATCH(N72,'G-7 WaterC'' Data'!$AY$3:$AY$7,0)),"")</f>
        <v/>
      </c>
      <c r="AX72" s="15" t="str">
        <f>IF(B72="","",VLOOKUP($B72,'C-1 On-Site WaterC'' Baseline'!$C$9:$Y$257,22,FALSE))</f>
        <v/>
      </c>
      <c r="AY72" s="15" t="str">
        <f t="shared" si="8"/>
        <v/>
      </c>
      <c r="AZ72" s="15" t="str">
        <f>IF(B72="","",VLOOKUP($B72,'C-1 On-Site WaterC'' Baseline'!$C$9:$Y$257,21,FALSE))</f>
        <v/>
      </c>
      <c r="BA72" s="15" t="str">
        <f>IF(B72="","",VLOOKUP($B72,'C-1 On-Site WaterC'' Baseline'!$C$9:$Y$257,19,FALSE))</f>
        <v/>
      </c>
    </row>
    <row r="73" spans="2:53" ht="14" x14ac:dyDescent="0.3">
      <c r="B73" s="319" t="str">
        <f>'C-1 On-Site WaterC'' Baseline'!AP71</f>
        <v/>
      </c>
      <c r="C73" s="310" t="str">
        <f>IF(B73="","",VLOOKUP($B73,'C-1 On-Site WaterC'' Baseline'!$C$9:$R$257,2,FALSE))</f>
        <v/>
      </c>
      <c r="D73" s="310" t="str">
        <f>IF(C73="","",VLOOKUP($B73,'C-1 On-Site WaterC'' Baseline'!$C$9:$R$257,3,FALSE))</f>
        <v/>
      </c>
      <c r="E73" s="310" t="str">
        <f>IF(D73="","",VLOOKUP($B73,'C-1 On-Site WaterC'' Baseline'!$C$9:$R$257,4,FALSE))</f>
        <v/>
      </c>
      <c r="F73" s="310" t="str">
        <f>IF(E73="","",VLOOKUP($B73,'C-1 On-Site WaterC'' Baseline'!$C$9:$R$257,5,FALSE))</f>
        <v/>
      </c>
      <c r="G73" s="310" t="str">
        <f>IF(F73="","",VLOOKUP($B73,'C-1 On-Site WaterC'' Baseline'!$C$9:$R$257,6,FALSE))</f>
        <v/>
      </c>
      <c r="H73" s="310" t="str">
        <f>IF(G73="","",VLOOKUP($B73,'C-1 On-Site WaterC'' Baseline'!$C$9:$R$257,7,FALSE))</f>
        <v/>
      </c>
      <c r="I73" s="310" t="str">
        <f>IF(H73="","",VLOOKUP($B73,'C-1 On-Site WaterC'' Baseline'!$C$9:$R$257,8,FALSE))</f>
        <v/>
      </c>
      <c r="J73" s="310" t="str">
        <f>IF(I73="","",VLOOKUP($B73,'C-1 On-Site WaterC'' Baseline'!$C$9:$R$257,9,FALSE))</f>
        <v/>
      </c>
      <c r="K73" s="310" t="str">
        <f>IF(J73="","",VLOOKUP($B73,'C-1 On-Site WaterC'' Baseline'!$C$9:$R$257,10,FALSE))</f>
        <v/>
      </c>
      <c r="L73" s="310" t="str">
        <f>IF(B73="","",VLOOKUP($B73,'C-1 On-Site WaterC'' Baseline'!$C$9:$R$257,15,FALSE))</f>
        <v/>
      </c>
      <c r="M73" s="314" t="str">
        <f>IF(L73="","",VLOOKUP($B73,'C-1 On-Site WaterC'' Baseline'!$C$9:$R$257,16,FALSE))</f>
        <v/>
      </c>
      <c r="N73" s="259"/>
      <c r="O73" s="290" t="str">
        <f t="shared" si="1"/>
        <v/>
      </c>
      <c r="P73" s="291" t="str">
        <f t="shared" si="2"/>
        <v/>
      </c>
      <c r="Q73" s="346" t="str">
        <f>IF(N73="","",VLOOKUP(B73,'C-1 On-Site WaterC'' Baseline'!$C$10:$AC$257,20,FALSE))</f>
        <v/>
      </c>
      <c r="R73" s="290" t="str">
        <f>IF(N73="","",VLOOKUP(N73,'G-7 WaterC'' Data'!$B$2:$G$8,2,FALSE))</f>
        <v/>
      </c>
      <c r="S73" s="291" t="str">
        <f>IFERROR(VLOOKUP(R73,'G-7 WaterC'' Data'!$C$4:$D$8,2,FALSE),"")</f>
        <v/>
      </c>
      <c r="T73" s="95"/>
      <c r="U73" s="291" t="str">
        <f>IFERROR(INDEX('G-7 WaterC'' Data'!$H$4:$L$8,MATCH(N73,'G-7 WaterC'' Data'!$B$4:$B$8,0),MATCH(T73,'G-7 WaterC'' Data'!$H$3:$L$3,0)),"")</f>
        <v/>
      </c>
      <c r="V73" s="95"/>
      <c r="W73" s="298" t="str">
        <f>IF(V73="","",IF(VLOOKUP(V73,'G-7 WaterC'' Data'!$AK$4:$AM$6,2,FALSE)=0,"Spatial Data Missing ⚠",VLOOKUP(V73,'G-7 WaterC'' Data'!$AK$4:$AM$6,2,FALSE)))</f>
        <v/>
      </c>
      <c r="X73" s="291" t="str">
        <f>IF(V73="","",IF(VLOOKUP(V73,'G-7 WaterC'' Data'!$AK$4:$AM$6,3,FALSE)=0,"Spatial Data Missing ⚠",VLOOKUP(V73,'G-7 WaterC'' Data'!$AK$4:$AM$6,3,FALSE)))</f>
        <v/>
      </c>
      <c r="Y73" s="290" t="str">
        <f>IFERROR(IF(OR(LEFT(P73,5)="Error",LEFT(O73,5)="Error ▲"),"Check Data ⚠",IF(F73&lt;S73,'G-7 WaterC'' Data'!$R$3,INDEX('G-7 WaterC'' Data'!$U$5:$Y$9,MATCH(G73,'G-7 WaterC'' Data'!$T$5:$T$9,0),MATCH(T73,'G-7 WaterC'' Data'!$U$4:$Y$4,0)))),"")</f>
        <v/>
      </c>
      <c r="Z73" s="138"/>
      <c r="AA73" s="138"/>
      <c r="AB73" s="298" t="str">
        <f t="shared" si="3"/>
        <v/>
      </c>
      <c r="AC73" s="311" t="str">
        <f t="shared" si="4"/>
        <v/>
      </c>
      <c r="AD73" s="344" t="str">
        <f>IFERROR(IF(AC73="Check Data ⚠","Check Data ⚠",VLOOKUP(AC73,'G-4 Temporal multipliers'!$A$4:$C$37,3,FALSE)),"")</f>
        <v/>
      </c>
      <c r="AE73" s="290" t="str">
        <f>IF(N73="","",VLOOKUP(N73,'G-7 WaterC'' Data'!$B$4:$G$8,5,FALSE))</f>
        <v/>
      </c>
      <c r="AF73" s="298" t="str">
        <f t="shared" si="5"/>
        <v/>
      </c>
      <c r="AG73" s="328" t="str">
        <f t="shared" si="6"/>
        <v/>
      </c>
      <c r="AH73" s="291" t="str">
        <f t="shared" si="0"/>
        <v/>
      </c>
      <c r="AI73" s="103"/>
      <c r="AJ73" s="291" t="str">
        <f>IF(AI73="","",IF(AND(AI73="N/A - Culvert",N73&lt;&gt;"Culvert"),"Not possible ▲",IF(VLOOKUP(AI73,'G-7 WaterC'' Data'!$AA$4:$AB$7,2,FALSE)=0,"Spatial Data Missing ⚠",VLOOKUP(AI73,'G-7 WaterC'' Data'!$AA$4:$AB$7,2,FALSE))))</f>
        <v/>
      </c>
      <c r="AK73" s="104"/>
      <c r="AL73" s="291" t="str">
        <f>IF(AK73="","",IF(AND(AK73="N/A - Culvert",N73&lt;&gt;"Culvert"),"Not possible ▲",IF(VLOOKUP(AK73,'G-7 WaterC'' Data'!$AD$4:$AE$14,2,FALSE)=0,"Spatial Data Missing ⚠",VLOOKUP(AK73,'G-7 WaterC'' Data'!$AD$4:$AE$14,2,FALSE))))</f>
        <v/>
      </c>
      <c r="AM73" s="332" t="str">
        <f t="shared" si="7"/>
        <v/>
      </c>
      <c r="AN73" s="98"/>
      <c r="AO73" s="99"/>
      <c r="AP73" s="101"/>
      <c r="AS73" s="15" t="str">
        <f>IF(B73="","",IF(ISNA(VLOOKUP($B73,'C-1 On-Site WaterC'' Baseline'!$C$8:$AD$257,17,FALSE)),"",(VLOOKUP($B73,'C-1 On-Site WaterC'' Baseline'!$C$8:$AD$257,17,FALSE))))</f>
        <v/>
      </c>
      <c r="AT73" s="15" t="str">
        <f>IF(B73="","",VLOOKUP($B73,'C-1 On-Site WaterC'' Baseline'!$C$9:$Z$257,12,FALSE))</f>
        <v/>
      </c>
      <c r="AU73" s="15" t="str">
        <f>IF(B73="","",VLOOKUP($B73,'C-1 On-Site WaterC'' Baseline'!$C$9:$Z$257,14,FALSE))</f>
        <v/>
      </c>
      <c r="AV73" s="15" t="str">
        <f>IFERROR(INDEX('G-7 WaterC'' Data'!$AZ$3:$AZ$7,MATCH(N73,'G-7 WaterC'' Data'!$AY$3:$AY$7,0)),"")</f>
        <v/>
      </c>
      <c r="AX73" s="15" t="str">
        <f>IF(B73="","",VLOOKUP($B73,'C-1 On-Site WaterC'' Baseline'!$C$9:$Y$257,22,FALSE))</f>
        <v/>
      </c>
      <c r="AY73" s="15" t="str">
        <f t="shared" si="8"/>
        <v/>
      </c>
      <c r="AZ73" s="15" t="str">
        <f>IF(B73="","",VLOOKUP($B73,'C-1 On-Site WaterC'' Baseline'!$C$9:$Y$257,21,FALSE))</f>
        <v/>
      </c>
      <c r="BA73" s="15" t="str">
        <f>IF(B73="","",VLOOKUP($B73,'C-1 On-Site WaterC'' Baseline'!$C$9:$Y$257,19,FALSE))</f>
        <v/>
      </c>
    </row>
    <row r="74" spans="2:53" ht="14" x14ac:dyDescent="0.3">
      <c r="B74" s="319" t="str">
        <f>'C-1 On-Site WaterC'' Baseline'!AP72</f>
        <v/>
      </c>
      <c r="C74" s="310" t="str">
        <f>IF(B74="","",VLOOKUP($B74,'C-1 On-Site WaterC'' Baseline'!$C$9:$R$257,2,FALSE))</f>
        <v/>
      </c>
      <c r="D74" s="310" t="str">
        <f>IF(C74="","",VLOOKUP($B74,'C-1 On-Site WaterC'' Baseline'!$C$9:$R$257,3,FALSE))</f>
        <v/>
      </c>
      <c r="E74" s="310" t="str">
        <f>IF(D74="","",VLOOKUP($B74,'C-1 On-Site WaterC'' Baseline'!$C$9:$R$257,4,FALSE))</f>
        <v/>
      </c>
      <c r="F74" s="310" t="str">
        <f>IF(E74="","",VLOOKUP($B74,'C-1 On-Site WaterC'' Baseline'!$C$9:$R$257,5,FALSE))</f>
        <v/>
      </c>
      <c r="G74" s="310" t="str">
        <f>IF(F74="","",VLOOKUP($B74,'C-1 On-Site WaterC'' Baseline'!$C$9:$R$257,6,FALSE))</f>
        <v/>
      </c>
      <c r="H74" s="310" t="str">
        <f>IF(G74="","",VLOOKUP($B74,'C-1 On-Site WaterC'' Baseline'!$C$9:$R$257,7,FALSE))</f>
        <v/>
      </c>
      <c r="I74" s="310" t="str">
        <f>IF(H74="","",VLOOKUP($B74,'C-1 On-Site WaterC'' Baseline'!$C$9:$R$257,8,FALSE))</f>
        <v/>
      </c>
      <c r="J74" s="310" t="str">
        <f>IF(I74="","",VLOOKUP($B74,'C-1 On-Site WaterC'' Baseline'!$C$9:$R$257,9,FALSE))</f>
        <v/>
      </c>
      <c r="K74" s="310" t="str">
        <f>IF(J74="","",VLOOKUP($B74,'C-1 On-Site WaterC'' Baseline'!$C$9:$R$257,10,FALSE))</f>
        <v/>
      </c>
      <c r="L74" s="310" t="str">
        <f>IF(B74="","",VLOOKUP($B74,'C-1 On-Site WaterC'' Baseline'!$C$9:$R$257,15,FALSE))</f>
        <v/>
      </c>
      <c r="M74" s="314" t="str">
        <f>IF(L74="","",VLOOKUP($B74,'C-1 On-Site WaterC'' Baseline'!$C$9:$R$257,16,FALSE))</f>
        <v/>
      </c>
      <c r="N74" s="259"/>
      <c r="O74" s="290" t="str">
        <f t="shared" si="1"/>
        <v/>
      </c>
      <c r="P74" s="291" t="str">
        <f t="shared" si="2"/>
        <v/>
      </c>
      <c r="Q74" s="346" t="str">
        <f>IF(N74="","",VLOOKUP(B74,'C-1 On-Site WaterC'' Baseline'!$C$10:$AC$257,20,FALSE))</f>
        <v/>
      </c>
      <c r="R74" s="290" t="str">
        <f>IF(N74="","",VLOOKUP(N74,'G-7 WaterC'' Data'!$B$2:$G$8,2,FALSE))</f>
        <v/>
      </c>
      <c r="S74" s="291" t="str">
        <f>IFERROR(VLOOKUP(R74,'G-7 WaterC'' Data'!$C$4:$D$8,2,FALSE),"")</f>
        <v/>
      </c>
      <c r="T74" s="95"/>
      <c r="U74" s="291" t="str">
        <f>IFERROR(INDEX('G-7 WaterC'' Data'!$H$4:$L$8,MATCH(N74,'G-7 WaterC'' Data'!$B$4:$B$8,0),MATCH(T74,'G-7 WaterC'' Data'!$H$3:$L$3,0)),"")</f>
        <v/>
      </c>
      <c r="V74" s="95"/>
      <c r="W74" s="298" t="str">
        <f>IF(V74="","",IF(VLOOKUP(V74,'G-7 WaterC'' Data'!$AK$4:$AM$6,2,FALSE)=0,"Spatial Data Missing ⚠",VLOOKUP(V74,'G-7 WaterC'' Data'!$AK$4:$AM$6,2,FALSE)))</f>
        <v/>
      </c>
      <c r="X74" s="291" t="str">
        <f>IF(V74="","",IF(VLOOKUP(V74,'G-7 WaterC'' Data'!$AK$4:$AM$6,3,FALSE)=0,"Spatial Data Missing ⚠",VLOOKUP(V74,'G-7 WaterC'' Data'!$AK$4:$AM$6,3,FALSE)))</f>
        <v/>
      </c>
      <c r="Y74" s="290" t="str">
        <f>IFERROR(IF(OR(LEFT(P74,5)="Error",LEFT(O74,5)="Error ▲"),"Check Data ⚠",IF(F74&lt;S74,'G-7 WaterC'' Data'!$R$3,INDEX('G-7 WaterC'' Data'!$U$5:$Y$9,MATCH(G74,'G-7 WaterC'' Data'!$T$5:$T$9,0),MATCH(T74,'G-7 WaterC'' Data'!$U$4:$Y$4,0)))),"")</f>
        <v/>
      </c>
      <c r="Z74" s="138"/>
      <c r="AA74" s="138"/>
      <c r="AB74" s="298" t="str">
        <f t="shared" si="3"/>
        <v/>
      </c>
      <c r="AC74" s="311" t="str">
        <f t="shared" si="4"/>
        <v/>
      </c>
      <c r="AD74" s="344" t="str">
        <f>IFERROR(IF(AC74="Check Data ⚠","Check Data ⚠",VLOOKUP(AC74,'G-4 Temporal multipliers'!$A$4:$C$37,3,FALSE)),"")</f>
        <v/>
      </c>
      <c r="AE74" s="290" t="str">
        <f>IF(N74="","",VLOOKUP(N74,'G-7 WaterC'' Data'!$B$4:$G$8,5,FALSE))</f>
        <v/>
      </c>
      <c r="AF74" s="298" t="str">
        <f t="shared" si="5"/>
        <v/>
      </c>
      <c r="AG74" s="328" t="str">
        <f t="shared" si="6"/>
        <v/>
      </c>
      <c r="AH74" s="291" t="str">
        <f t="shared" si="0"/>
        <v/>
      </c>
      <c r="AI74" s="103"/>
      <c r="AJ74" s="291" t="str">
        <f>IF(AI74="","",IF(AND(AI74="N/A - Culvert",N74&lt;&gt;"Culvert"),"Not possible ▲",IF(VLOOKUP(AI74,'G-7 WaterC'' Data'!$AA$4:$AB$7,2,FALSE)=0,"Spatial Data Missing ⚠",VLOOKUP(AI74,'G-7 WaterC'' Data'!$AA$4:$AB$7,2,FALSE))))</f>
        <v/>
      </c>
      <c r="AK74" s="104"/>
      <c r="AL74" s="291" t="str">
        <f>IF(AK74="","",IF(AND(AK74="N/A - Culvert",N74&lt;&gt;"Culvert"),"Not possible ▲",IF(VLOOKUP(AK74,'G-7 WaterC'' Data'!$AD$4:$AE$14,2,FALSE)=0,"Spatial Data Missing ⚠",VLOOKUP(AK74,'G-7 WaterC'' Data'!$AD$4:$AE$14,2,FALSE))))</f>
        <v/>
      </c>
      <c r="AM74" s="332" t="str">
        <f t="shared" si="7"/>
        <v/>
      </c>
      <c r="AN74" s="98"/>
      <c r="AO74" s="99"/>
      <c r="AP74" s="101"/>
      <c r="AS74" s="15" t="str">
        <f>IF(B74="","",IF(ISNA(VLOOKUP($B74,'C-1 On-Site WaterC'' Baseline'!$C$8:$AD$257,17,FALSE)),"",(VLOOKUP($B74,'C-1 On-Site WaterC'' Baseline'!$C$8:$AD$257,17,FALSE))))</f>
        <v/>
      </c>
      <c r="AT74" s="15" t="str">
        <f>IF(B74="","",VLOOKUP($B74,'C-1 On-Site WaterC'' Baseline'!$C$9:$Z$257,12,FALSE))</f>
        <v/>
      </c>
      <c r="AU74" s="15" t="str">
        <f>IF(B74="","",VLOOKUP($B74,'C-1 On-Site WaterC'' Baseline'!$C$9:$Z$257,14,FALSE))</f>
        <v/>
      </c>
      <c r="AV74" s="15" t="str">
        <f>IFERROR(INDEX('G-7 WaterC'' Data'!$AZ$3:$AZ$7,MATCH(N74,'G-7 WaterC'' Data'!$AY$3:$AY$7,0)),"")</f>
        <v/>
      </c>
      <c r="AX74" s="15" t="str">
        <f>IF(B74="","",VLOOKUP($B74,'C-1 On-Site WaterC'' Baseline'!$C$9:$Y$257,22,FALSE))</f>
        <v/>
      </c>
      <c r="AY74" s="15" t="str">
        <f t="shared" si="8"/>
        <v/>
      </c>
      <c r="AZ74" s="15" t="str">
        <f>IF(B74="","",VLOOKUP($B74,'C-1 On-Site WaterC'' Baseline'!$C$9:$Y$257,21,FALSE))</f>
        <v/>
      </c>
      <c r="BA74" s="15" t="str">
        <f>IF(B74="","",VLOOKUP($B74,'C-1 On-Site WaterC'' Baseline'!$C$9:$Y$257,19,FALSE))</f>
        <v/>
      </c>
    </row>
    <row r="75" spans="2:53" ht="14" x14ac:dyDescent="0.3">
      <c r="B75" s="319" t="str">
        <f>'C-1 On-Site WaterC'' Baseline'!AP73</f>
        <v/>
      </c>
      <c r="C75" s="310" t="str">
        <f>IF(B75="","",VLOOKUP($B75,'C-1 On-Site WaterC'' Baseline'!$C$9:$R$257,2,FALSE))</f>
        <v/>
      </c>
      <c r="D75" s="310" t="str">
        <f>IF(C75="","",VLOOKUP($B75,'C-1 On-Site WaterC'' Baseline'!$C$9:$R$257,3,FALSE))</f>
        <v/>
      </c>
      <c r="E75" s="310" t="str">
        <f>IF(D75="","",VLOOKUP($B75,'C-1 On-Site WaterC'' Baseline'!$C$9:$R$257,4,FALSE))</f>
        <v/>
      </c>
      <c r="F75" s="310" t="str">
        <f>IF(E75="","",VLOOKUP($B75,'C-1 On-Site WaterC'' Baseline'!$C$9:$R$257,5,FALSE))</f>
        <v/>
      </c>
      <c r="G75" s="310" t="str">
        <f>IF(F75="","",VLOOKUP($B75,'C-1 On-Site WaterC'' Baseline'!$C$9:$R$257,6,FALSE))</f>
        <v/>
      </c>
      <c r="H75" s="310" t="str">
        <f>IF(G75="","",VLOOKUP($B75,'C-1 On-Site WaterC'' Baseline'!$C$9:$R$257,7,FALSE))</f>
        <v/>
      </c>
      <c r="I75" s="310" t="str">
        <f>IF(H75="","",VLOOKUP($B75,'C-1 On-Site WaterC'' Baseline'!$C$9:$R$257,8,FALSE))</f>
        <v/>
      </c>
      <c r="J75" s="310" t="str">
        <f>IF(I75="","",VLOOKUP($B75,'C-1 On-Site WaterC'' Baseline'!$C$9:$R$257,9,FALSE))</f>
        <v/>
      </c>
      <c r="K75" s="310" t="str">
        <f>IF(J75="","",VLOOKUP($B75,'C-1 On-Site WaterC'' Baseline'!$C$9:$R$257,10,FALSE))</f>
        <v/>
      </c>
      <c r="L75" s="310" t="str">
        <f>IF(B75="","",VLOOKUP($B75,'C-1 On-Site WaterC'' Baseline'!$C$9:$R$257,15,FALSE))</f>
        <v/>
      </c>
      <c r="M75" s="314" t="str">
        <f>IF(L75="","",VLOOKUP($B75,'C-1 On-Site WaterC'' Baseline'!$C$9:$R$257,16,FALSE))</f>
        <v/>
      </c>
      <c r="N75" s="259"/>
      <c r="O75" s="290" t="str">
        <f t="shared" si="1"/>
        <v/>
      </c>
      <c r="P75" s="291" t="str">
        <f t="shared" si="2"/>
        <v/>
      </c>
      <c r="Q75" s="346" t="str">
        <f>IF(N75="","",VLOOKUP(B75,'C-1 On-Site WaterC'' Baseline'!$C$10:$AC$257,20,FALSE))</f>
        <v/>
      </c>
      <c r="R75" s="290" t="str">
        <f>IF(N75="","",VLOOKUP(N75,'G-7 WaterC'' Data'!$B$2:$G$8,2,FALSE))</f>
        <v/>
      </c>
      <c r="S75" s="291" t="str">
        <f>IFERROR(VLOOKUP(R75,'G-7 WaterC'' Data'!$C$4:$D$8,2,FALSE),"")</f>
        <v/>
      </c>
      <c r="T75" s="95"/>
      <c r="U75" s="291" t="str">
        <f>IFERROR(INDEX('G-7 WaterC'' Data'!$H$4:$L$8,MATCH(N75,'G-7 WaterC'' Data'!$B$4:$B$8,0),MATCH(T75,'G-7 WaterC'' Data'!$H$3:$L$3,0)),"")</f>
        <v/>
      </c>
      <c r="V75" s="95"/>
      <c r="W75" s="298" t="str">
        <f>IF(V75="","",IF(VLOOKUP(V75,'G-7 WaterC'' Data'!$AK$4:$AM$6,2,FALSE)=0,"Spatial Data Missing ⚠",VLOOKUP(V75,'G-7 WaterC'' Data'!$AK$4:$AM$6,2,FALSE)))</f>
        <v/>
      </c>
      <c r="X75" s="291" t="str">
        <f>IF(V75="","",IF(VLOOKUP(V75,'G-7 WaterC'' Data'!$AK$4:$AM$6,3,FALSE)=0,"Spatial Data Missing ⚠",VLOOKUP(V75,'G-7 WaterC'' Data'!$AK$4:$AM$6,3,FALSE)))</f>
        <v/>
      </c>
      <c r="Y75" s="290" t="str">
        <f>IFERROR(IF(OR(LEFT(P75,5)="Error",LEFT(O75,5)="Error ▲"),"Check Data ⚠",IF(F75&lt;S75,'G-7 WaterC'' Data'!$R$3,INDEX('G-7 WaterC'' Data'!$U$5:$Y$9,MATCH(G75,'G-7 WaterC'' Data'!$T$5:$T$9,0),MATCH(T75,'G-7 WaterC'' Data'!$U$4:$Y$4,0)))),"")</f>
        <v/>
      </c>
      <c r="Z75" s="138"/>
      <c r="AA75" s="138"/>
      <c r="AB75" s="298" t="str">
        <f t="shared" si="3"/>
        <v/>
      </c>
      <c r="AC75" s="311" t="str">
        <f t="shared" si="4"/>
        <v/>
      </c>
      <c r="AD75" s="344" t="str">
        <f>IFERROR(IF(AC75="Check Data ⚠","Check Data ⚠",VLOOKUP(AC75,'G-4 Temporal multipliers'!$A$4:$C$37,3,FALSE)),"")</f>
        <v/>
      </c>
      <c r="AE75" s="290" t="str">
        <f>IF(N75="","",VLOOKUP(N75,'G-7 WaterC'' Data'!$B$4:$G$8,5,FALSE))</f>
        <v/>
      </c>
      <c r="AF75" s="298" t="str">
        <f t="shared" si="5"/>
        <v/>
      </c>
      <c r="AG75" s="328" t="str">
        <f t="shared" si="6"/>
        <v/>
      </c>
      <c r="AH75" s="291" t="str">
        <f t="shared" si="0"/>
        <v/>
      </c>
      <c r="AI75" s="103"/>
      <c r="AJ75" s="291" t="str">
        <f>IF(AI75="","",IF(AND(AI75="N/A - Culvert",N75&lt;&gt;"Culvert"),"Not possible ▲",IF(VLOOKUP(AI75,'G-7 WaterC'' Data'!$AA$4:$AB$7,2,FALSE)=0,"Spatial Data Missing ⚠",VLOOKUP(AI75,'G-7 WaterC'' Data'!$AA$4:$AB$7,2,FALSE))))</f>
        <v/>
      </c>
      <c r="AK75" s="104"/>
      <c r="AL75" s="291" t="str">
        <f>IF(AK75="","",IF(AND(AK75="N/A - Culvert",N75&lt;&gt;"Culvert"),"Not possible ▲",IF(VLOOKUP(AK75,'G-7 WaterC'' Data'!$AD$4:$AE$14,2,FALSE)=0,"Spatial Data Missing ⚠",VLOOKUP(AK75,'G-7 WaterC'' Data'!$AD$4:$AE$14,2,FALSE))))</f>
        <v/>
      </c>
      <c r="AM75" s="332" t="str">
        <f t="shared" si="7"/>
        <v/>
      </c>
      <c r="AN75" s="98"/>
      <c r="AO75" s="99"/>
      <c r="AP75" s="101"/>
      <c r="AS75" s="15" t="str">
        <f>IF(B75="","",IF(ISNA(VLOOKUP($B75,'C-1 On-Site WaterC'' Baseline'!$C$8:$AD$257,17,FALSE)),"",(VLOOKUP($B75,'C-1 On-Site WaterC'' Baseline'!$C$8:$AD$257,17,FALSE))))</f>
        <v/>
      </c>
      <c r="AT75" s="15" t="str">
        <f>IF(B75="","",VLOOKUP($B75,'C-1 On-Site WaterC'' Baseline'!$C$9:$Z$257,12,FALSE))</f>
        <v/>
      </c>
      <c r="AU75" s="15" t="str">
        <f>IF(B75="","",VLOOKUP($B75,'C-1 On-Site WaterC'' Baseline'!$C$9:$Z$257,14,FALSE))</f>
        <v/>
      </c>
      <c r="AV75" s="15" t="str">
        <f>IFERROR(INDEX('G-7 WaterC'' Data'!$AZ$3:$AZ$7,MATCH(N75,'G-7 WaterC'' Data'!$AY$3:$AY$7,0)),"")</f>
        <v/>
      </c>
      <c r="AX75" s="15" t="str">
        <f>IF(B75="","",VLOOKUP($B75,'C-1 On-Site WaterC'' Baseline'!$C$9:$Y$257,22,FALSE))</f>
        <v/>
      </c>
      <c r="AY75" s="15" t="str">
        <f t="shared" si="8"/>
        <v/>
      </c>
      <c r="AZ75" s="15" t="str">
        <f>IF(B75="","",VLOOKUP($B75,'C-1 On-Site WaterC'' Baseline'!$C$9:$Y$257,21,FALSE))</f>
        <v/>
      </c>
      <c r="BA75" s="15" t="str">
        <f>IF(B75="","",VLOOKUP($B75,'C-1 On-Site WaterC'' Baseline'!$C$9:$Y$257,19,FALSE))</f>
        <v/>
      </c>
    </row>
    <row r="76" spans="2:53" ht="14" x14ac:dyDescent="0.3">
      <c r="B76" s="319" t="str">
        <f>'C-1 On-Site WaterC'' Baseline'!AP74</f>
        <v/>
      </c>
      <c r="C76" s="310" t="str">
        <f>IF(B76="","",VLOOKUP($B76,'C-1 On-Site WaterC'' Baseline'!$C$9:$R$257,2,FALSE))</f>
        <v/>
      </c>
      <c r="D76" s="310" t="str">
        <f>IF(C76="","",VLOOKUP($B76,'C-1 On-Site WaterC'' Baseline'!$C$9:$R$257,3,FALSE))</f>
        <v/>
      </c>
      <c r="E76" s="310" t="str">
        <f>IF(D76="","",VLOOKUP($B76,'C-1 On-Site WaterC'' Baseline'!$C$9:$R$257,4,FALSE))</f>
        <v/>
      </c>
      <c r="F76" s="310" t="str">
        <f>IF(E76="","",VLOOKUP($B76,'C-1 On-Site WaterC'' Baseline'!$C$9:$R$257,5,FALSE))</f>
        <v/>
      </c>
      <c r="G76" s="310" t="str">
        <f>IF(F76="","",VLOOKUP($B76,'C-1 On-Site WaterC'' Baseline'!$C$9:$R$257,6,FALSE))</f>
        <v/>
      </c>
      <c r="H76" s="310" t="str">
        <f>IF(G76="","",VLOOKUP($B76,'C-1 On-Site WaterC'' Baseline'!$C$9:$R$257,7,FALSE))</f>
        <v/>
      </c>
      <c r="I76" s="310" t="str">
        <f>IF(H76="","",VLOOKUP($B76,'C-1 On-Site WaterC'' Baseline'!$C$9:$R$257,8,FALSE))</f>
        <v/>
      </c>
      <c r="J76" s="310" t="str">
        <f>IF(I76="","",VLOOKUP($B76,'C-1 On-Site WaterC'' Baseline'!$C$9:$R$257,9,FALSE))</f>
        <v/>
      </c>
      <c r="K76" s="310" t="str">
        <f>IF(J76="","",VLOOKUP($B76,'C-1 On-Site WaterC'' Baseline'!$C$9:$R$257,10,FALSE))</f>
        <v/>
      </c>
      <c r="L76" s="310" t="str">
        <f>IF(B76="","",VLOOKUP($B76,'C-1 On-Site WaterC'' Baseline'!$C$9:$R$257,15,FALSE))</f>
        <v/>
      </c>
      <c r="M76" s="314" t="str">
        <f>IF(L76="","",VLOOKUP($B76,'C-1 On-Site WaterC'' Baseline'!$C$9:$R$257,16,FALSE))</f>
        <v/>
      </c>
      <c r="N76" s="259"/>
      <c r="O76" s="290" t="str">
        <f t="shared" si="1"/>
        <v/>
      </c>
      <c r="P76" s="291" t="str">
        <f t="shared" si="2"/>
        <v/>
      </c>
      <c r="Q76" s="346" t="str">
        <f>IF(N76="","",VLOOKUP(B76,'C-1 On-Site WaterC'' Baseline'!$C$10:$AC$257,20,FALSE))</f>
        <v/>
      </c>
      <c r="R76" s="290" t="str">
        <f>IF(N76="","",VLOOKUP(N76,'G-7 WaterC'' Data'!$B$2:$G$8,2,FALSE))</f>
        <v/>
      </c>
      <c r="S76" s="291" t="str">
        <f>IFERROR(VLOOKUP(R76,'G-7 WaterC'' Data'!$C$4:$D$8,2,FALSE),"")</f>
        <v/>
      </c>
      <c r="T76" s="95"/>
      <c r="U76" s="291" t="str">
        <f>IFERROR(INDEX('G-7 WaterC'' Data'!$H$4:$L$8,MATCH(N76,'G-7 WaterC'' Data'!$B$4:$B$8,0),MATCH(T76,'G-7 WaterC'' Data'!$H$3:$L$3,0)),"")</f>
        <v/>
      </c>
      <c r="V76" s="95"/>
      <c r="W76" s="298" t="str">
        <f>IF(V76="","",IF(VLOOKUP(V76,'G-7 WaterC'' Data'!$AK$4:$AM$6,2,FALSE)=0,"Spatial Data Missing ⚠",VLOOKUP(V76,'G-7 WaterC'' Data'!$AK$4:$AM$6,2,FALSE)))</f>
        <v/>
      </c>
      <c r="X76" s="291" t="str">
        <f>IF(V76="","",IF(VLOOKUP(V76,'G-7 WaterC'' Data'!$AK$4:$AM$6,3,FALSE)=0,"Spatial Data Missing ⚠",VLOOKUP(V76,'G-7 WaterC'' Data'!$AK$4:$AM$6,3,FALSE)))</f>
        <v/>
      </c>
      <c r="Y76" s="290" t="str">
        <f>IFERROR(IF(OR(LEFT(P76,5)="Error",LEFT(O76,5)="Error ▲"),"Check Data ⚠",IF(F76&lt;S76,'G-7 WaterC'' Data'!$R$3,INDEX('G-7 WaterC'' Data'!$U$5:$Y$9,MATCH(G76,'G-7 WaterC'' Data'!$T$5:$T$9,0),MATCH(T76,'G-7 WaterC'' Data'!$U$4:$Y$4,0)))),"")</f>
        <v/>
      </c>
      <c r="Z76" s="138"/>
      <c r="AA76" s="138"/>
      <c r="AB76" s="298" t="str">
        <f t="shared" si="3"/>
        <v/>
      </c>
      <c r="AC76" s="311" t="str">
        <f t="shared" si="4"/>
        <v/>
      </c>
      <c r="AD76" s="344" t="str">
        <f>IFERROR(IF(AC76="Check Data ⚠","Check Data ⚠",VLOOKUP(AC76,'G-4 Temporal multipliers'!$A$4:$C$37,3,FALSE)),"")</f>
        <v/>
      </c>
      <c r="AE76" s="290" t="str">
        <f>IF(N76="","",VLOOKUP(N76,'G-7 WaterC'' Data'!$B$4:$G$8,5,FALSE))</f>
        <v/>
      </c>
      <c r="AF76" s="298" t="str">
        <f t="shared" si="5"/>
        <v/>
      </c>
      <c r="AG76" s="328" t="str">
        <f t="shared" si="6"/>
        <v/>
      </c>
      <c r="AH76" s="291" t="str">
        <f t="shared" ref="AH76:AH139" si="9">IF(N76="","",VLOOKUP(AG76,Difficulty,2,FALSE))</f>
        <v/>
      </c>
      <c r="AI76" s="103"/>
      <c r="AJ76" s="291" t="str">
        <f>IF(AI76="","",IF(AND(AI76="N/A - Culvert",N76&lt;&gt;"Culvert"),"Not possible ▲",IF(VLOOKUP(AI76,'G-7 WaterC'' Data'!$AA$4:$AB$7,2,FALSE)=0,"Spatial Data Missing ⚠",VLOOKUP(AI76,'G-7 WaterC'' Data'!$AA$4:$AB$7,2,FALSE))))</f>
        <v/>
      </c>
      <c r="AK76" s="104"/>
      <c r="AL76" s="291" t="str">
        <f>IF(AK76="","",IF(AND(AK76="N/A - Culvert",N76&lt;&gt;"Culvert"),"Not possible ▲",IF(VLOOKUP(AK76,'G-7 WaterC'' Data'!$AD$4:$AE$14,2,FALSE)=0,"Spatial Data Missing ⚠",VLOOKUP(AK76,'G-7 WaterC'' Data'!$AD$4:$AE$14,2,FALSE))))</f>
        <v/>
      </c>
      <c r="AM76" s="332" t="str">
        <f t="shared" si="7"/>
        <v/>
      </c>
      <c r="AN76" s="98"/>
      <c r="AO76" s="99"/>
      <c r="AP76" s="101"/>
      <c r="AS76" s="15" t="str">
        <f>IF(B76="","",IF(ISNA(VLOOKUP($B76,'C-1 On-Site WaterC'' Baseline'!$C$8:$AD$257,17,FALSE)),"",(VLOOKUP($B76,'C-1 On-Site WaterC'' Baseline'!$C$8:$AD$257,17,FALSE))))</f>
        <v/>
      </c>
      <c r="AT76" s="15" t="str">
        <f>IF(B76="","",VLOOKUP($B76,'C-1 On-Site WaterC'' Baseline'!$C$9:$Z$257,12,FALSE))</f>
        <v/>
      </c>
      <c r="AU76" s="15" t="str">
        <f>IF(B76="","",VLOOKUP($B76,'C-1 On-Site WaterC'' Baseline'!$C$9:$Z$257,14,FALSE))</f>
        <v/>
      </c>
      <c r="AV76" s="15" t="str">
        <f>IFERROR(INDEX('G-7 WaterC'' Data'!$AZ$3:$AZ$7,MATCH(N76,'G-7 WaterC'' Data'!$AY$3:$AY$7,0)),"")</f>
        <v/>
      </c>
      <c r="AX76" s="15" t="str">
        <f>IF(B76="","",VLOOKUP($B76,'C-1 On-Site WaterC'' Baseline'!$C$9:$Y$257,22,FALSE))</f>
        <v/>
      </c>
      <c r="AY76" s="15" t="str">
        <f t="shared" si="8"/>
        <v/>
      </c>
      <c r="AZ76" s="15" t="str">
        <f>IF(B76="","",VLOOKUP($B76,'C-1 On-Site WaterC'' Baseline'!$C$9:$Y$257,21,FALSE))</f>
        <v/>
      </c>
      <c r="BA76" s="15" t="str">
        <f>IF(B76="","",VLOOKUP($B76,'C-1 On-Site WaterC'' Baseline'!$C$9:$Y$257,19,FALSE))</f>
        <v/>
      </c>
    </row>
    <row r="77" spans="2:53" ht="14" x14ac:dyDescent="0.3">
      <c r="B77" s="319" t="str">
        <f>'C-1 On-Site WaterC'' Baseline'!AP75</f>
        <v/>
      </c>
      <c r="C77" s="310" t="str">
        <f>IF(B77="","",VLOOKUP($B77,'C-1 On-Site WaterC'' Baseline'!$C$9:$R$257,2,FALSE))</f>
        <v/>
      </c>
      <c r="D77" s="310" t="str">
        <f>IF(C77="","",VLOOKUP($B77,'C-1 On-Site WaterC'' Baseline'!$C$9:$R$257,3,FALSE))</f>
        <v/>
      </c>
      <c r="E77" s="310" t="str">
        <f>IF(D77="","",VLOOKUP($B77,'C-1 On-Site WaterC'' Baseline'!$C$9:$R$257,4,FALSE))</f>
        <v/>
      </c>
      <c r="F77" s="310" t="str">
        <f>IF(E77="","",VLOOKUP($B77,'C-1 On-Site WaterC'' Baseline'!$C$9:$R$257,5,FALSE))</f>
        <v/>
      </c>
      <c r="G77" s="310" t="str">
        <f>IF(F77="","",VLOOKUP($B77,'C-1 On-Site WaterC'' Baseline'!$C$9:$R$257,6,FALSE))</f>
        <v/>
      </c>
      <c r="H77" s="310" t="str">
        <f>IF(G77="","",VLOOKUP($B77,'C-1 On-Site WaterC'' Baseline'!$C$9:$R$257,7,FALSE))</f>
        <v/>
      </c>
      <c r="I77" s="310" t="str">
        <f>IF(H77="","",VLOOKUP($B77,'C-1 On-Site WaterC'' Baseline'!$C$9:$R$257,8,FALSE))</f>
        <v/>
      </c>
      <c r="J77" s="310" t="str">
        <f>IF(I77="","",VLOOKUP($B77,'C-1 On-Site WaterC'' Baseline'!$C$9:$R$257,9,FALSE))</f>
        <v/>
      </c>
      <c r="K77" s="310" t="str">
        <f>IF(J77="","",VLOOKUP($B77,'C-1 On-Site WaterC'' Baseline'!$C$9:$R$257,10,FALSE))</f>
        <v/>
      </c>
      <c r="L77" s="310" t="str">
        <f>IF(B77="","",VLOOKUP($B77,'C-1 On-Site WaterC'' Baseline'!$C$9:$R$257,15,FALSE))</f>
        <v/>
      </c>
      <c r="M77" s="314" t="str">
        <f>IF(L77="","",VLOOKUP($B77,'C-1 On-Site WaterC'' Baseline'!$C$9:$R$257,16,FALSE))</f>
        <v/>
      </c>
      <c r="N77" s="259"/>
      <c r="O77" s="290" t="str">
        <f t="shared" ref="O77:O140" si="10">IF(B77="","",IF(S77&lt;F77,"Error Trading Down ▲",E77&amp;" - "&amp;R77))</f>
        <v/>
      </c>
      <c r="P77" s="291" t="str">
        <f t="shared" ref="P77:P140" si="11">IF(C77="","",IF(AND(N77&lt;&gt;C77,AS77="Yes"),"Error you cannot replace and irreplaceable habitat ▲",IF(AND(LEFT(C77,55)&lt;&gt;LEFT(N77,55),O77="High - High"),"Error - Not like for like ▲",IF(H77&gt;U77,"Error - Can not reduce condition ▲",IF(AND(C77&lt;&gt;N77,F77&lt;S77),"Lower Distinctiveness Habitat"&amp;" - "&amp;T77,G77&amp;" - "&amp;T77)))))</f>
        <v/>
      </c>
      <c r="Q77" s="346" t="str">
        <f>IF(N77="","",VLOOKUP(B77,'C-1 On-Site WaterC'' Baseline'!$C$10:$AC$257,20,FALSE))</f>
        <v/>
      </c>
      <c r="R77" s="290" t="str">
        <f>IF(N77="","",VLOOKUP(N77,'G-7 WaterC'' Data'!$B$2:$G$8,2,FALSE))</f>
        <v/>
      </c>
      <c r="S77" s="291" t="str">
        <f>IFERROR(VLOOKUP(R77,'G-7 WaterC'' Data'!$C$4:$D$8,2,FALSE),"")</f>
        <v/>
      </c>
      <c r="T77" s="95"/>
      <c r="U77" s="291" t="str">
        <f>IFERROR(INDEX('G-7 WaterC'' Data'!$H$4:$L$8,MATCH(N77,'G-7 WaterC'' Data'!$B$4:$B$8,0),MATCH(T77,'G-7 WaterC'' Data'!$H$3:$L$3,0)),"")</f>
        <v/>
      </c>
      <c r="V77" s="95"/>
      <c r="W77" s="298" t="str">
        <f>IF(V77="","",IF(VLOOKUP(V77,'G-7 WaterC'' Data'!$AK$4:$AM$6,2,FALSE)=0,"Spatial Data Missing ⚠",VLOOKUP(V77,'G-7 WaterC'' Data'!$AK$4:$AM$6,2,FALSE)))</f>
        <v/>
      </c>
      <c r="X77" s="291" t="str">
        <f>IF(V77="","",IF(VLOOKUP(V77,'G-7 WaterC'' Data'!$AK$4:$AM$6,3,FALSE)=0,"Spatial Data Missing ⚠",VLOOKUP(V77,'G-7 WaterC'' Data'!$AK$4:$AM$6,3,FALSE)))</f>
        <v/>
      </c>
      <c r="Y77" s="290" t="str">
        <f>IFERROR(IF(OR(LEFT(P77,5)="Error",LEFT(O77,5)="Error ▲"),"Check Data ⚠",IF(F77&lt;S77,'G-7 WaterC'' Data'!$R$3,INDEX('G-7 WaterC'' Data'!$U$5:$Y$9,MATCH(G77,'G-7 WaterC'' Data'!$T$5:$T$9,0),MATCH(T77,'G-7 WaterC'' Data'!$U$4:$Y$4,0)))),"")</f>
        <v/>
      </c>
      <c r="Z77" s="138"/>
      <c r="AA77" s="138"/>
      <c r="AB77" s="298" t="str">
        <f t="shared" ref="AB77:AB140" si="12">IF(Y77="","",IF(Y77="Check Data ⚠","Check Data ⚠",IF(AND(Z77&gt;0,AA77&gt;0),"Error -both advance and delayed habitat creation ▲",IF(AND(OR(Z77="Habitat already in target condition",Y77&lt;=Z77),AA77=0),"Check details - Is there evidence that habitat has reached target condition? ⚠",IF(Z77&gt;0,"Check details - Is there evidence habitat creation started/in place? ⚠",IF(AA77&gt;0,"Check details- Delay in starting habitat in required condition? ⚠","Standard time to target condition applied"))))))</f>
        <v/>
      </c>
      <c r="AC77" s="311" t="str">
        <f t="shared" ref="AC77:AC140" si="13">IF(AB77="Error -both advance and delayed habitat creation ▲","Check Data ⚠",IF(AB77="Check Data ⚠","Check Data ⚠",IF(Y77="","",IF(Z77="30+",0,IF(AA77="30+","30+",IF(Y77+AA77&gt;30,"30+",IF(Y77+AA77-Z77&gt;0,Y77+AA77-Z77,IF(Y77-Z77&lt;0,0,Y77+AA77-Z77))))))))</f>
        <v/>
      </c>
      <c r="AD77" s="344" t="str">
        <f>IFERROR(IF(AC77="Check Data ⚠","Check Data ⚠",VLOOKUP(AC77,'G-4 Temporal multipliers'!$A$4:$C$37,3,FALSE)),"")</f>
        <v/>
      </c>
      <c r="AE77" s="290" t="str">
        <f>IF(N77="","",VLOOKUP(N77,'G-7 WaterC'' Data'!$B$4:$G$8,5,FALSE))</f>
        <v/>
      </c>
      <c r="AF77" s="298" t="str">
        <f t="shared" ref="AF77:AF140" si="14">IF(N77="","",IF(AC77="Check Data ⚠","Check Data ⚠",IF(T77="","",IF($AB77="Check details - Is there evidence that habitat has reached target condition? ⚠","Low Difficulty - only applicable if all habitat created before losses ⚠","Standard difficulty applied"))))</f>
        <v/>
      </c>
      <c r="AG77" s="328" t="str">
        <f t="shared" ref="AG77:AG140" si="15">(IF(AND(AF77="Standard difficulty applied",Y77&gt;Z77),AE77,IF(AND(AF77="Low Difficulty - only applicable if all habitat created before losses ⚠",Z77&gt;=Y77),"Low",AE77)))</f>
        <v/>
      </c>
      <c r="AH77" s="291" t="str">
        <f t="shared" si="9"/>
        <v/>
      </c>
      <c r="AI77" s="103"/>
      <c r="AJ77" s="291" t="str">
        <f>IF(AI77="","",IF(AND(AI77="N/A - Culvert",N77&lt;&gt;"Culvert"),"Not possible ▲",IF(VLOOKUP(AI77,'G-7 WaterC'' Data'!$AA$4:$AB$7,2,FALSE)=0,"Spatial Data Missing ⚠",VLOOKUP(AI77,'G-7 WaterC'' Data'!$AA$4:$AB$7,2,FALSE))))</f>
        <v/>
      </c>
      <c r="AK77" s="104"/>
      <c r="AL77" s="291" t="str">
        <f>IF(AK77="","",IF(AND(AK77="N/A - Culvert",N77&lt;&gt;"Culvert"),"Not possible ▲",IF(VLOOKUP(AK77,'G-7 WaterC'' Data'!$AD$4:$AE$14,2,FALSE)=0,"Spatial Data Missing ⚠",VLOOKUP(AK77,'G-7 WaterC'' Data'!$AD$4:$AE$14,2,FALSE))))</f>
        <v/>
      </c>
      <c r="AM77" s="332" t="str">
        <f t="shared" ref="AM77:AM140" si="16">IFERROR(IF(C77="","",IF(AND(N77&lt;&gt;"",M77=""),"Check Data ⚠",IF(Q77&gt;D77,((((Q77*S77*U77)-(D77*F77*H77))*(AH77*AD77))+(D77*F77*H77))*(AL77*X77*AJ77),((((Q77*S77*U77)-(Q77*F77*H77))*(AH77*AD77))+(Q77*F77*H77))*(AL77*X77*AJ77)))),"")</f>
        <v/>
      </c>
      <c r="AN77" s="98"/>
      <c r="AO77" s="99"/>
      <c r="AP77" s="101"/>
      <c r="AS77" s="15" t="str">
        <f>IF(B77="","",IF(ISNA(VLOOKUP($B77,'C-1 On-Site WaterC'' Baseline'!$C$8:$AD$257,17,FALSE)),"",(VLOOKUP($B77,'C-1 On-Site WaterC'' Baseline'!$C$8:$AD$257,17,FALSE))))</f>
        <v/>
      </c>
      <c r="AT77" s="15" t="str">
        <f>IF(B77="","",VLOOKUP($B77,'C-1 On-Site WaterC'' Baseline'!$C$9:$Z$257,12,FALSE))</f>
        <v/>
      </c>
      <c r="AU77" s="15" t="str">
        <f>IF(B77="","",VLOOKUP($B77,'C-1 On-Site WaterC'' Baseline'!$C$9:$Z$257,14,FALSE))</f>
        <v/>
      </c>
      <c r="AV77" s="15" t="str">
        <f>IFERROR(INDEX('G-7 WaterC'' Data'!$AZ$3:$AZ$7,MATCH(N77,'G-7 WaterC'' Data'!$AY$3:$AY$7,0)),"")</f>
        <v/>
      </c>
      <c r="AX77" s="15" t="str">
        <f>IF(B77="","",VLOOKUP($B77,'C-1 On-Site WaterC'' Baseline'!$C$9:$Y$257,22,FALSE))</f>
        <v/>
      </c>
      <c r="AY77" s="15" t="str">
        <f t="shared" ref="AY77:AY140" si="17">IF(B77="","", IF(AX77&gt;M77, M77, IF((BA77+Q77)&gt;D77, M77 - AZ77, AX77)))</f>
        <v/>
      </c>
      <c r="AZ77" s="15" t="str">
        <f>IF(B77="","",VLOOKUP($B77,'C-1 On-Site WaterC'' Baseline'!$C$9:$Y$257,21,FALSE))</f>
        <v/>
      </c>
      <c r="BA77" s="15" t="str">
        <f>IF(B77="","",VLOOKUP($B77,'C-1 On-Site WaterC'' Baseline'!$C$9:$Y$257,19,FALSE))</f>
        <v/>
      </c>
    </row>
    <row r="78" spans="2:53" ht="14" x14ac:dyDescent="0.3">
      <c r="B78" s="319" t="str">
        <f>'C-1 On-Site WaterC'' Baseline'!AP76</f>
        <v/>
      </c>
      <c r="C78" s="310" t="str">
        <f>IF(B78="","",VLOOKUP($B78,'C-1 On-Site WaterC'' Baseline'!$C$9:$R$257,2,FALSE))</f>
        <v/>
      </c>
      <c r="D78" s="310" t="str">
        <f>IF(C78="","",VLOOKUP($B78,'C-1 On-Site WaterC'' Baseline'!$C$9:$R$257,3,FALSE))</f>
        <v/>
      </c>
      <c r="E78" s="310" t="str">
        <f>IF(D78="","",VLOOKUP($B78,'C-1 On-Site WaterC'' Baseline'!$C$9:$R$257,4,FALSE))</f>
        <v/>
      </c>
      <c r="F78" s="310" t="str">
        <f>IF(E78="","",VLOOKUP($B78,'C-1 On-Site WaterC'' Baseline'!$C$9:$R$257,5,FALSE))</f>
        <v/>
      </c>
      <c r="G78" s="310" t="str">
        <f>IF(F78="","",VLOOKUP($B78,'C-1 On-Site WaterC'' Baseline'!$C$9:$R$257,6,FALSE))</f>
        <v/>
      </c>
      <c r="H78" s="310" t="str">
        <f>IF(G78="","",VLOOKUP($B78,'C-1 On-Site WaterC'' Baseline'!$C$9:$R$257,7,FALSE))</f>
        <v/>
      </c>
      <c r="I78" s="310" t="str">
        <f>IF(H78="","",VLOOKUP($B78,'C-1 On-Site WaterC'' Baseline'!$C$9:$R$257,8,FALSE))</f>
        <v/>
      </c>
      <c r="J78" s="310" t="str">
        <f>IF(I78="","",VLOOKUP($B78,'C-1 On-Site WaterC'' Baseline'!$C$9:$R$257,9,FALSE))</f>
        <v/>
      </c>
      <c r="K78" s="310" t="str">
        <f>IF(J78="","",VLOOKUP($B78,'C-1 On-Site WaterC'' Baseline'!$C$9:$R$257,10,FALSE))</f>
        <v/>
      </c>
      <c r="L78" s="310" t="str">
        <f>IF(B78="","",VLOOKUP($B78,'C-1 On-Site WaterC'' Baseline'!$C$9:$R$257,15,FALSE))</f>
        <v/>
      </c>
      <c r="M78" s="314" t="str">
        <f>IF(L78="","",VLOOKUP($B78,'C-1 On-Site WaterC'' Baseline'!$C$9:$R$257,16,FALSE))</f>
        <v/>
      </c>
      <c r="N78" s="259"/>
      <c r="O78" s="290" t="str">
        <f t="shared" si="10"/>
        <v/>
      </c>
      <c r="P78" s="291" t="str">
        <f t="shared" si="11"/>
        <v/>
      </c>
      <c r="Q78" s="346" t="str">
        <f>IF(N78="","",VLOOKUP(B78,'C-1 On-Site WaterC'' Baseline'!$C$10:$AC$257,20,FALSE))</f>
        <v/>
      </c>
      <c r="R78" s="290" t="str">
        <f>IF(N78="","",VLOOKUP(N78,'G-7 WaterC'' Data'!$B$2:$G$8,2,FALSE))</f>
        <v/>
      </c>
      <c r="S78" s="291" t="str">
        <f>IFERROR(VLOOKUP(R78,'G-7 WaterC'' Data'!$C$4:$D$8,2,FALSE),"")</f>
        <v/>
      </c>
      <c r="T78" s="95"/>
      <c r="U78" s="291" t="str">
        <f>IFERROR(INDEX('G-7 WaterC'' Data'!$H$4:$L$8,MATCH(N78,'G-7 WaterC'' Data'!$B$4:$B$8,0),MATCH(T78,'G-7 WaterC'' Data'!$H$3:$L$3,0)),"")</f>
        <v/>
      </c>
      <c r="V78" s="95"/>
      <c r="W78" s="298" t="str">
        <f>IF(V78="","",IF(VLOOKUP(V78,'G-7 WaterC'' Data'!$AK$4:$AM$6,2,FALSE)=0,"Spatial Data Missing ⚠",VLOOKUP(V78,'G-7 WaterC'' Data'!$AK$4:$AM$6,2,FALSE)))</f>
        <v/>
      </c>
      <c r="X78" s="291" t="str">
        <f>IF(V78="","",IF(VLOOKUP(V78,'G-7 WaterC'' Data'!$AK$4:$AM$6,3,FALSE)=0,"Spatial Data Missing ⚠",VLOOKUP(V78,'G-7 WaterC'' Data'!$AK$4:$AM$6,3,FALSE)))</f>
        <v/>
      </c>
      <c r="Y78" s="290" t="str">
        <f>IFERROR(IF(OR(LEFT(P78,5)="Error",LEFT(O78,5)="Error ▲"),"Check Data ⚠",IF(F78&lt;S78,'G-7 WaterC'' Data'!$R$3,INDEX('G-7 WaterC'' Data'!$U$5:$Y$9,MATCH(G78,'G-7 WaterC'' Data'!$T$5:$T$9,0),MATCH(T78,'G-7 WaterC'' Data'!$U$4:$Y$4,0)))),"")</f>
        <v/>
      </c>
      <c r="Z78" s="138"/>
      <c r="AA78" s="138"/>
      <c r="AB78" s="298" t="str">
        <f t="shared" si="12"/>
        <v/>
      </c>
      <c r="AC78" s="311" t="str">
        <f t="shared" si="13"/>
        <v/>
      </c>
      <c r="AD78" s="344" t="str">
        <f>IFERROR(IF(AC78="Check Data ⚠","Check Data ⚠",VLOOKUP(AC78,'G-4 Temporal multipliers'!$A$4:$C$37,3,FALSE)),"")</f>
        <v/>
      </c>
      <c r="AE78" s="290" t="str">
        <f>IF(N78="","",VLOOKUP(N78,'G-7 WaterC'' Data'!$B$4:$G$8,5,FALSE))</f>
        <v/>
      </c>
      <c r="AF78" s="298" t="str">
        <f t="shared" si="14"/>
        <v/>
      </c>
      <c r="AG78" s="328" t="str">
        <f t="shared" si="15"/>
        <v/>
      </c>
      <c r="AH78" s="291" t="str">
        <f t="shared" si="9"/>
        <v/>
      </c>
      <c r="AI78" s="103"/>
      <c r="AJ78" s="291" t="str">
        <f>IF(AI78="","",IF(AND(AI78="N/A - Culvert",N78&lt;&gt;"Culvert"),"Not possible ▲",IF(VLOOKUP(AI78,'G-7 WaterC'' Data'!$AA$4:$AB$7,2,FALSE)=0,"Spatial Data Missing ⚠",VLOOKUP(AI78,'G-7 WaterC'' Data'!$AA$4:$AB$7,2,FALSE))))</f>
        <v/>
      </c>
      <c r="AK78" s="104"/>
      <c r="AL78" s="291" t="str">
        <f>IF(AK78="","",IF(AND(AK78="N/A - Culvert",N78&lt;&gt;"Culvert"),"Not possible ▲",IF(VLOOKUP(AK78,'G-7 WaterC'' Data'!$AD$4:$AE$14,2,FALSE)=0,"Spatial Data Missing ⚠",VLOOKUP(AK78,'G-7 WaterC'' Data'!$AD$4:$AE$14,2,FALSE))))</f>
        <v/>
      </c>
      <c r="AM78" s="332" t="str">
        <f t="shared" si="16"/>
        <v/>
      </c>
      <c r="AN78" s="98"/>
      <c r="AO78" s="99"/>
      <c r="AP78" s="101"/>
      <c r="AS78" s="15" t="str">
        <f>IF(B78="","",IF(ISNA(VLOOKUP($B78,'C-1 On-Site WaterC'' Baseline'!$C$8:$AD$257,17,FALSE)),"",(VLOOKUP($B78,'C-1 On-Site WaterC'' Baseline'!$C$8:$AD$257,17,FALSE))))</f>
        <v/>
      </c>
      <c r="AT78" s="15" t="str">
        <f>IF(B78="","",VLOOKUP($B78,'C-1 On-Site WaterC'' Baseline'!$C$9:$Z$257,12,FALSE))</f>
        <v/>
      </c>
      <c r="AU78" s="15" t="str">
        <f>IF(B78="","",VLOOKUP($B78,'C-1 On-Site WaterC'' Baseline'!$C$9:$Z$257,14,FALSE))</f>
        <v/>
      </c>
      <c r="AV78" s="15" t="str">
        <f>IFERROR(INDEX('G-7 WaterC'' Data'!$AZ$3:$AZ$7,MATCH(N78,'G-7 WaterC'' Data'!$AY$3:$AY$7,0)),"")</f>
        <v/>
      </c>
      <c r="AX78" s="15" t="str">
        <f>IF(B78="","",VLOOKUP($B78,'C-1 On-Site WaterC'' Baseline'!$C$9:$Y$257,22,FALSE))</f>
        <v/>
      </c>
      <c r="AY78" s="15" t="str">
        <f t="shared" si="17"/>
        <v/>
      </c>
      <c r="AZ78" s="15" t="str">
        <f>IF(B78="","",VLOOKUP($B78,'C-1 On-Site WaterC'' Baseline'!$C$9:$Y$257,21,FALSE))</f>
        <v/>
      </c>
      <c r="BA78" s="15" t="str">
        <f>IF(B78="","",VLOOKUP($B78,'C-1 On-Site WaterC'' Baseline'!$C$9:$Y$257,19,FALSE))</f>
        <v/>
      </c>
    </row>
    <row r="79" spans="2:53" ht="14" x14ac:dyDescent="0.3">
      <c r="B79" s="319" t="str">
        <f>'C-1 On-Site WaterC'' Baseline'!AP77</f>
        <v/>
      </c>
      <c r="C79" s="310" t="str">
        <f>IF(B79="","",VLOOKUP($B79,'C-1 On-Site WaterC'' Baseline'!$C$9:$R$257,2,FALSE))</f>
        <v/>
      </c>
      <c r="D79" s="310" t="str">
        <f>IF(C79="","",VLOOKUP($B79,'C-1 On-Site WaterC'' Baseline'!$C$9:$R$257,3,FALSE))</f>
        <v/>
      </c>
      <c r="E79" s="310" t="str">
        <f>IF(D79="","",VLOOKUP($B79,'C-1 On-Site WaterC'' Baseline'!$C$9:$R$257,4,FALSE))</f>
        <v/>
      </c>
      <c r="F79" s="310" t="str">
        <f>IF(E79="","",VLOOKUP($B79,'C-1 On-Site WaterC'' Baseline'!$C$9:$R$257,5,FALSE))</f>
        <v/>
      </c>
      <c r="G79" s="310" t="str">
        <f>IF(F79="","",VLOOKUP($B79,'C-1 On-Site WaterC'' Baseline'!$C$9:$R$257,6,FALSE))</f>
        <v/>
      </c>
      <c r="H79" s="310" t="str">
        <f>IF(G79="","",VLOOKUP($B79,'C-1 On-Site WaterC'' Baseline'!$C$9:$R$257,7,FALSE))</f>
        <v/>
      </c>
      <c r="I79" s="310" t="str">
        <f>IF(H79="","",VLOOKUP($B79,'C-1 On-Site WaterC'' Baseline'!$C$9:$R$257,8,FALSE))</f>
        <v/>
      </c>
      <c r="J79" s="310" t="str">
        <f>IF(I79="","",VLOOKUP($B79,'C-1 On-Site WaterC'' Baseline'!$C$9:$R$257,9,FALSE))</f>
        <v/>
      </c>
      <c r="K79" s="310" t="str">
        <f>IF(J79="","",VLOOKUP($B79,'C-1 On-Site WaterC'' Baseline'!$C$9:$R$257,10,FALSE))</f>
        <v/>
      </c>
      <c r="L79" s="310" t="str">
        <f>IF(B79="","",VLOOKUP($B79,'C-1 On-Site WaterC'' Baseline'!$C$9:$R$257,15,FALSE))</f>
        <v/>
      </c>
      <c r="M79" s="314" t="str">
        <f>IF(L79="","",VLOOKUP($B79,'C-1 On-Site WaterC'' Baseline'!$C$9:$R$257,16,FALSE))</f>
        <v/>
      </c>
      <c r="N79" s="259"/>
      <c r="O79" s="290" t="str">
        <f t="shared" si="10"/>
        <v/>
      </c>
      <c r="P79" s="291" t="str">
        <f t="shared" si="11"/>
        <v/>
      </c>
      <c r="Q79" s="346" t="str">
        <f>IF(N79="","",VLOOKUP(B79,'C-1 On-Site WaterC'' Baseline'!$C$10:$AC$257,20,FALSE))</f>
        <v/>
      </c>
      <c r="R79" s="290" t="str">
        <f>IF(N79="","",VLOOKUP(N79,'G-7 WaterC'' Data'!$B$2:$G$8,2,FALSE))</f>
        <v/>
      </c>
      <c r="S79" s="291" t="str">
        <f>IFERROR(VLOOKUP(R79,'G-7 WaterC'' Data'!$C$4:$D$8,2,FALSE),"")</f>
        <v/>
      </c>
      <c r="T79" s="95"/>
      <c r="U79" s="291" t="str">
        <f>IFERROR(INDEX('G-7 WaterC'' Data'!$H$4:$L$8,MATCH(N79,'G-7 WaterC'' Data'!$B$4:$B$8,0),MATCH(T79,'G-7 WaterC'' Data'!$H$3:$L$3,0)),"")</f>
        <v/>
      </c>
      <c r="V79" s="95"/>
      <c r="W79" s="298" t="str">
        <f>IF(V79="","",IF(VLOOKUP(V79,'G-7 WaterC'' Data'!$AK$4:$AM$6,2,FALSE)=0,"Spatial Data Missing ⚠",VLOOKUP(V79,'G-7 WaterC'' Data'!$AK$4:$AM$6,2,FALSE)))</f>
        <v/>
      </c>
      <c r="X79" s="291" t="str">
        <f>IF(V79="","",IF(VLOOKUP(V79,'G-7 WaterC'' Data'!$AK$4:$AM$6,3,FALSE)=0,"Spatial Data Missing ⚠",VLOOKUP(V79,'G-7 WaterC'' Data'!$AK$4:$AM$6,3,FALSE)))</f>
        <v/>
      </c>
      <c r="Y79" s="290" t="str">
        <f>IFERROR(IF(OR(LEFT(P79,5)="Error",LEFT(O79,5)="Error ▲"),"Check Data ⚠",IF(F79&lt;S79,'G-7 WaterC'' Data'!$R$3,INDEX('G-7 WaterC'' Data'!$U$5:$Y$9,MATCH(G79,'G-7 WaterC'' Data'!$T$5:$T$9,0),MATCH(T79,'G-7 WaterC'' Data'!$U$4:$Y$4,0)))),"")</f>
        <v/>
      </c>
      <c r="Z79" s="138"/>
      <c r="AA79" s="138"/>
      <c r="AB79" s="298" t="str">
        <f t="shared" si="12"/>
        <v/>
      </c>
      <c r="AC79" s="311" t="str">
        <f t="shared" si="13"/>
        <v/>
      </c>
      <c r="AD79" s="344" t="str">
        <f>IFERROR(IF(AC79="Check Data ⚠","Check Data ⚠",VLOOKUP(AC79,'G-4 Temporal multipliers'!$A$4:$C$37,3,FALSE)),"")</f>
        <v/>
      </c>
      <c r="AE79" s="290" t="str">
        <f>IF(N79="","",VLOOKUP(N79,'G-7 WaterC'' Data'!$B$4:$G$8,5,FALSE))</f>
        <v/>
      </c>
      <c r="AF79" s="298" t="str">
        <f t="shared" si="14"/>
        <v/>
      </c>
      <c r="AG79" s="328" t="str">
        <f t="shared" si="15"/>
        <v/>
      </c>
      <c r="AH79" s="291" t="str">
        <f t="shared" si="9"/>
        <v/>
      </c>
      <c r="AI79" s="103"/>
      <c r="AJ79" s="291" t="str">
        <f>IF(AI79="","",IF(AND(AI79="N/A - Culvert",N79&lt;&gt;"Culvert"),"Not possible ▲",IF(VLOOKUP(AI79,'G-7 WaterC'' Data'!$AA$4:$AB$7,2,FALSE)=0,"Spatial Data Missing ⚠",VLOOKUP(AI79,'G-7 WaterC'' Data'!$AA$4:$AB$7,2,FALSE))))</f>
        <v/>
      </c>
      <c r="AK79" s="104"/>
      <c r="AL79" s="291" t="str">
        <f>IF(AK79="","",IF(AND(AK79="N/A - Culvert",N79&lt;&gt;"Culvert"),"Not possible ▲",IF(VLOOKUP(AK79,'G-7 WaterC'' Data'!$AD$4:$AE$14,2,FALSE)=0,"Spatial Data Missing ⚠",VLOOKUP(AK79,'G-7 WaterC'' Data'!$AD$4:$AE$14,2,FALSE))))</f>
        <v/>
      </c>
      <c r="AM79" s="332" t="str">
        <f t="shared" si="16"/>
        <v/>
      </c>
      <c r="AN79" s="98"/>
      <c r="AO79" s="99"/>
      <c r="AP79" s="101"/>
      <c r="AS79" s="15" t="str">
        <f>IF(B79="","",IF(ISNA(VLOOKUP($B79,'C-1 On-Site WaterC'' Baseline'!$C$8:$AD$257,17,FALSE)),"",(VLOOKUP($B79,'C-1 On-Site WaterC'' Baseline'!$C$8:$AD$257,17,FALSE))))</f>
        <v/>
      </c>
      <c r="AT79" s="15" t="str">
        <f>IF(B79="","",VLOOKUP($B79,'C-1 On-Site WaterC'' Baseline'!$C$9:$Z$257,12,FALSE))</f>
        <v/>
      </c>
      <c r="AU79" s="15" t="str">
        <f>IF(B79="","",VLOOKUP($B79,'C-1 On-Site WaterC'' Baseline'!$C$9:$Z$257,14,FALSE))</f>
        <v/>
      </c>
      <c r="AV79" s="15" t="str">
        <f>IFERROR(INDEX('G-7 WaterC'' Data'!$AZ$3:$AZ$7,MATCH(N79,'G-7 WaterC'' Data'!$AY$3:$AY$7,0)),"")</f>
        <v/>
      </c>
      <c r="AX79" s="15" t="str">
        <f>IF(B79="","",VLOOKUP($B79,'C-1 On-Site WaterC'' Baseline'!$C$9:$Y$257,22,FALSE))</f>
        <v/>
      </c>
      <c r="AY79" s="15" t="str">
        <f t="shared" si="17"/>
        <v/>
      </c>
      <c r="AZ79" s="15" t="str">
        <f>IF(B79="","",VLOOKUP($B79,'C-1 On-Site WaterC'' Baseline'!$C$9:$Y$257,21,FALSE))</f>
        <v/>
      </c>
      <c r="BA79" s="15" t="str">
        <f>IF(B79="","",VLOOKUP($B79,'C-1 On-Site WaterC'' Baseline'!$C$9:$Y$257,19,FALSE))</f>
        <v/>
      </c>
    </row>
    <row r="80" spans="2:53" ht="14" x14ac:dyDescent="0.3">
      <c r="B80" s="319" t="str">
        <f>'C-1 On-Site WaterC'' Baseline'!AP78</f>
        <v/>
      </c>
      <c r="C80" s="310" t="str">
        <f>IF(B80="","",VLOOKUP($B80,'C-1 On-Site WaterC'' Baseline'!$C$9:$R$257,2,FALSE))</f>
        <v/>
      </c>
      <c r="D80" s="310" t="str">
        <f>IF(C80="","",VLOOKUP($B80,'C-1 On-Site WaterC'' Baseline'!$C$9:$R$257,3,FALSE))</f>
        <v/>
      </c>
      <c r="E80" s="310" t="str">
        <f>IF(D80="","",VLOOKUP($B80,'C-1 On-Site WaterC'' Baseline'!$C$9:$R$257,4,FALSE))</f>
        <v/>
      </c>
      <c r="F80" s="310" t="str">
        <f>IF(E80="","",VLOOKUP($B80,'C-1 On-Site WaterC'' Baseline'!$C$9:$R$257,5,FALSE))</f>
        <v/>
      </c>
      <c r="G80" s="310" t="str">
        <f>IF(F80="","",VLOOKUP($B80,'C-1 On-Site WaterC'' Baseline'!$C$9:$R$257,6,FALSE))</f>
        <v/>
      </c>
      <c r="H80" s="310" t="str">
        <f>IF(G80="","",VLOOKUP($B80,'C-1 On-Site WaterC'' Baseline'!$C$9:$R$257,7,FALSE))</f>
        <v/>
      </c>
      <c r="I80" s="310" t="str">
        <f>IF(H80="","",VLOOKUP($B80,'C-1 On-Site WaterC'' Baseline'!$C$9:$R$257,8,FALSE))</f>
        <v/>
      </c>
      <c r="J80" s="310" t="str">
        <f>IF(I80="","",VLOOKUP($B80,'C-1 On-Site WaterC'' Baseline'!$C$9:$R$257,9,FALSE))</f>
        <v/>
      </c>
      <c r="K80" s="310" t="str">
        <f>IF(J80="","",VLOOKUP($B80,'C-1 On-Site WaterC'' Baseline'!$C$9:$R$257,10,FALSE))</f>
        <v/>
      </c>
      <c r="L80" s="310" t="str">
        <f>IF(B80="","",VLOOKUP($B80,'C-1 On-Site WaterC'' Baseline'!$C$9:$R$257,15,FALSE))</f>
        <v/>
      </c>
      <c r="M80" s="314" t="str">
        <f>IF(L80="","",VLOOKUP($B80,'C-1 On-Site WaterC'' Baseline'!$C$9:$R$257,16,FALSE))</f>
        <v/>
      </c>
      <c r="N80" s="259"/>
      <c r="O80" s="290" t="str">
        <f t="shared" si="10"/>
        <v/>
      </c>
      <c r="P80" s="291" t="str">
        <f t="shared" si="11"/>
        <v/>
      </c>
      <c r="Q80" s="346" t="str">
        <f>IF(N80="","",VLOOKUP(B80,'C-1 On-Site WaterC'' Baseline'!$C$10:$AC$257,20,FALSE))</f>
        <v/>
      </c>
      <c r="R80" s="290" t="str">
        <f>IF(N80="","",VLOOKUP(N80,'G-7 WaterC'' Data'!$B$2:$G$8,2,FALSE))</f>
        <v/>
      </c>
      <c r="S80" s="291" t="str">
        <f>IFERROR(VLOOKUP(R80,'G-7 WaterC'' Data'!$C$4:$D$8,2,FALSE),"")</f>
        <v/>
      </c>
      <c r="T80" s="95"/>
      <c r="U80" s="291" t="str">
        <f>IFERROR(INDEX('G-7 WaterC'' Data'!$H$4:$L$8,MATCH(N80,'G-7 WaterC'' Data'!$B$4:$B$8,0),MATCH(T80,'G-7 WaterC'' Data'!$H$3:$L$3,0)),"")</f>
        <v/>
      </c>
      <c r="V80" s="95"/>
      <c r="W80" s="298" t="str">
        <f>IF(V80="","",IF(VLOOKUP(V80,'G-7 WaterC'' Data'!$AK$4:$AM$6,2,FALSE)=0,"Spatial Data Missing ⚠",VLOOKUP(V80,'G-7 WaterC'' Data'!$AK$4:$AM$6,2,FALSE)))</f>
        <v/>
      </c>
      <c r="X80" s="291" t="str">
        <f>IF(V80="","",IF(VLOOKUP(V80,'G-7 WaterC'' Data'!$AK$4:$AM$6,3,FALSE)=0,"Spatial Data Missing ⚠",VLOOKUP(V80,'G-7 WaterC'' Data'!$AK$4:$AM$6,3,FALSE)))</f>
        <v/>
      </c>
      <c r="Y80" s="290" t="str">
        <f>IFERROR(IF(OR(LEFT(P80,5)="Error",LEFT(O80,5)="Error ▲"),"Check Data ⚠",IF(F80&lt;S80,'G-7 WaterC'' Data'!$R$3,INDEX('G-7 WaterC'' Data'!$U$5:$Y$9,MATCH(G80,'G-7 WaterC'' Data'!$T$5:$T$9,0),MATCH(T80,'G-7 WaterC'' Data'!$U$4:$Y$4,0)))),"")</f>
        <v/>
      </c>
      <c r="Z80" s="138"/>
      <c r="AA80" s="138"/>
      <c r="AB80" s="298" t="str">
        <f t="shared" si="12"/>
        <v/>
      </c>
      <c r="AC80" s="311" t="str">
        <f t="shared" si="13"/>
        <v/>
      </c>
      <c r="AD80" s="344" t="str">
        <f>IFERROR(IF(AC80="Check Data ⚠","Check Data ⚠",VLOOKUP(AC80,'G-4 Temporal multipliers'!$A$4:$C$37,3,FALSE)),"")</f>
        <v/>
      </c>
      <c r="AE80" s="290" t="str">
        <f>IF(N80="","",VLOOKUP(N80,'G-7 WaterC'' Data'!$B$4:$G$8,5,FALSE))</f>
        <v/>
      </c>
      <c r="AF80" s="298" t="str">
        <f t="shared" si="14"/>
        <v/>
      </c>
      <c r="AG80" s="328" t="str">
        <f t="shared" si="15"/>
        <v/>
      </c>
      <c r="AH80" s="291" t="str">
        <f t="shared" si="9"/>
        <v/>
      </c>
      <c r="AI80" s="103"/>
      <c r="AJ80" s="291" t="str">
        <f>IF(AI80="","",IF(AND(AI80="N/A - Culvert",N80&lt;&gt;"Culvert"),"Not possible ▲",IF(VLOOKUP(AI80,'G-7 WaterC'' Data'!$AA$4:$AB$7,2,FALSE)=0,"Spatial Data Missing ⚠",VLOOKUP(AI80,'G-7 WaterC'' Data'!$AA$4:$AB$7,2,FALSE))))</f>
        <v/>
      </c>
      <c r="AK80" s="104"/>
      <c r="AL80" s="291" t="str">
        <f>IF(AK80="","",IF(AND(AK80="N/A - Culvert",N80&lt;&gt;"Culvert"),"Not possible ▲",IF(VLOOKUP(AK80,'G-7 WaterC'' Data'!$AD$4:$AE$14,2,FALSE)=0,"Spatial Data Missing ⚠",VLOOKUP(AK80,'G-7 WaterC'' Data'!$AD$4:$AE$14,2,FALSE))))</f>
        <v/>
      </c>
      <c r="AM80" s="332" t="str">
        <f t="shared" si="16"/>
        <v/>
      </c>
      <c r="AN80" s="98"/>
      <c r="AO80" s="99"/>
      <c r="AP80" s="101"/>
      <c r="AS80" s="15" t="str">
        <f>IF(B80="","",IF(ISNA(VLOOKUP($B80,'C-1 On-Site WaterC'' Baseline'!$C$8:$AD$257,17,FALSE)),"",(VLOOKUP($B80,'C-1 On-Site WaterC'' Baseline'!$C$8:$AD$257,17,FALSE))))</f>
        <v/>
      </c>
      <c r="AT80" s="15" t="str">
        <f>IF(B80="","",VLOOKUP($B80,'C-1 On-Site WaterC'' Baseline'!$C$9:$Z$257,12,FALSE))</f>
        <v/>
      </c>
      <c r="AU80" s="15" t="str">
        <f>IF(B80="","",VLOOKUP($B80,'C-1 On-Site WaterC'' Baseline'!$C$9:$Z$257,14,FALSE))</f>
        <v/>
      </c>
      <c r="AV80" s="15" t="str">
        <f>IFERROR(INDEX('G-7 WaterC'' Data'!$AZ$3:$AZ$7,MATCH(N80,'G-7 WaterC'' Data'!$AY$3:$AY$7,0)),"")</f>
        <v/>
      </c>
      <c r="AX80" s="15" t="str">
        <f>IF(B80="","",VLOOKUP($B80,'C-1 On-Site WaterC'' Baseline'!$C$9:$Y$257,22,FALSE))</f>
        <v/>
      </c>
      <c r="AY80" s="15" t="str">
        <f t="shared" si="17"/>
        <v/>
      </c>
      <c r="AZ80" s="15" t="str">
        <f>IF(B80="","",VLOOKUP($B80,'C-1 On-Site WaterC'' Baseline'!$C$9:$Y$257,21,FALSE))</f>
        <v/>
      </c>
      <c r="BA80" s="15" t="str">
        <f>IF(B80="","",VLOOKUP($B80,'C-1 On-Site WaterC'' Baseline'!$C$9:$Y$257,19,FALSE))</f>
        <v/>
      </c>
    </row>
    <row r="81" spans="2:53" ht="14" x14ac:dyDescent="0.3">
      <c r="B81" s="319" t="str">
        <f>'C-1 On-Site WaterC'' Baseline'!AP79</f>
        <v/>
      </c>
      <c r="C81" s="310" t="str">
        <f>IF(B81="","",VLOOKUP($B81,'C-1 On-Site WaterC'' Baseline'!$C$9:$R$257,2,FALSE))</f>
        <v/>
      </c>
      <c r="D81" s="310" t="str">
        <f>IF(C81="","",VLOOKUP($B81,'C-1 On-Site WaterC'' Baseline'!$C$9:$R$257,3,FALSE))</f>
        <v/>
      </c>
      <c r="E81" s="310" t="str">
        <f>IF(D81="","",VLOOKUP($B81,'C-1 On-Site WaterC'' Baseline'!$C$9:$R$257,4,FALSE))</f>
        <v/>
      </c>
      <c r="F81" s="310" t="str">
        <f>IF(E81="","",VLOOKUP($B81,'C-1 On-Site WaterC'' Baseline'!$C$9:$R$257,5,FALSE))</f>
        <v/>
      </c>
      <c r="G81" s="310" t="str">
        <f>IF(F81="","",VLOOKUP($B81,'C-1 On-Site WaterC'' Baseline'!$C$9:$R$257,6,FALSE))</f>
        <v/>
      </c>
      <c r="H81" s="310" t="str">
        <f>IF(G81="","",VLOOKUP($B81,'C-1 On-Site WaterC'' Baseline'!$C$9:$R$257,7,FALSE))</f>
        <v/>
      </c>
      <c r="I81" s="310" t="str">
        <f>IF(H81="","",VLOOKUP($B81,'C-1 On-Site WaterC'' Baseline'!$C$9:$R$257,8,FALSE))</f>
        <v/>
      </c>
      <c r="J81" s="310" t="str">
        <f>IF(I81="","",VLOOKUP($B81,'C-1 On-Site WaterC'' Baseline'!$C$9:$R$257,9,FALSE))</f>
        <v/>
      </c>
      <c r="K81" s="310" t="str">
        <f>IF(J81="","",VLOOKUP($B81,'C-1 On-Site WaterC'' Baseline'!$C$9:$R$257,10,FALSE))</f>
        <v/>
      </c>
      <c r="L81" s="310" t="str">
        <f>IF(B81="","",VLOOKUP($B81,'C-1 On-Site WaterC'' Baseline'!$C$9:$R$257,15,FALSE))</f>
        <v/>
      </c>
      <c r="M81" s="314" t="str">
        <f>IF(L81="","",VLOOKUP($B81,'C-1 On-Site WaterC'' Baseline'!$C$9:$R$257,16,FALSE))</f>
        <v/>
      </c>
      <c r="N81" s="259"/>
      <c r="O81" s="290" t="str">
        <f t="shared" si="10"/>
        <v/>
      </c>
      <c r="P81" s="291" t="str">
        <f t="shared" si="11"/>
        <v/>
      </c>
      <c r="Q81" s="346" t="str">
        <f>IF(N81="","",VLOOKUP(B81,'C-1 On-Site WaterC'' Baseline'!$C$10:$AC$257,20,FALSE))</f>
        <v/>
      </c>
      <c r="R81" s="290" t="str">
        <f>IF(N81="","",VLOOKUP(N81,'G-7 WaterC'' Data'!$B$2:$G$8,2,FALSE))</f>
        <v/>
      </c>
      <c r="S81" s="291" t="str">
        <f>IFERROR(VLOOKUP(R81,'G-7 WaterC'' Data'!$C$4:$D$8,2,FALSE),"")</f>
        <v/>
      </c>
      <c r="T81" s="95"/>
      <c r="U81" s="291" t="str">
        <f>IFERROR(INDEX('G-7 WaterC'' Data'!$H$4:$L$8,MATCH(N81,'G-7 WaterC'' Data'!$B$4:$B$8,0),MATCH(T81,'G-7 WaterC'' Data'!$H$3:$L$3,0)),"")</f>
        <v/>
      </c>
      <c r="V81" s="95"/>
      <c r="W81" s="298" t="str">
        <f>IF(V81="","",IF(VLOOKUP(V81,'G-7 WaterC'' Data'!$AK$4:$AM$6,2,FALSE)=0,"Spatial Data Missing ⚠",VLOOKUP(V81,'G-7 WaterC'' Data'!$AK$4:$AM$6,2,FALSE)))</f>
        <v/>
      </c>
      <c r="X81" s="291" t="str">
        <f>IF(V81="","",IF(VLOOKUP(V81,'G-7 WaterC'' Data'!$AK$4:$AM$6,3,FALSE)=0,"Spatial Data Missing ⚠",VLOOKUP(V81,'G-7 WaterC'' Data'!$AK$4:$AM$6,3,FALSE)))</f>
        <v/>
      </c>
      <c r="Y81" s="290" t="str">
        <f>IFERROR(IF(OR(LEFT(P81,5)="Error",LEFT(O81,5)="Error ▲"),"Check Data ⚠",IF(F81&lt;S81,'G-7 WaterC'' Data'!$R$3,INDEX('G-7 WaterC'' Data'!$U$5:$Y$9,MATCH(G81,'G-7 WaterC'' Data'!$T$5:$T$9,0),MATCH(T81,'G-7 WaterC'' Data'!$U$4:$Y$4,0)))),"")</f>
        <v/>
      </c>
      <c r="Z81" s="138"/>
      <c r="AA81" s="138"/>
      <c r="AB81" s="298" t="str">
        <f t="shared" si="12"/>
        <v/>
      </c>
      <c r="AC81" s="311" t="str">
        <f t="shared" si="13"/>
        <v/>
      </c>
      <c r="AD81" s="344" t="str">
        <f>IFERROR(IF(AC81="Check Data ⚠","Check Data ⚠",VLOOKUP(AC81,'G-4 Temporal multipliers'!$A$4:$C$37,3,FALSE)),"")</f>
        <v/>
      </c>
      <c r="AE81" s="290" t="str">
        <f>IF(N81="","",VLOOKUP(N81,'G-7 WaterC'' Data'!$B$4:$G$8,5,FALSE))</f>
        <v/>
      </c>
      <c r="AF81" s="298" t="str">
        <f t="shared" si="14"/>
        <v/>
      </c>
      <c r="AG81" s="328" t="str">
        <f t="shared" si="15"/>
        <v/>
      </c>
      <c r="AH81" s="291" t="str">
        <f t="shared" si="9"/>
        <v/>
      </c>
      <c r="AI81" s="103"/>
      <c r="AJ81" s="291" t="str">
        <f>IF(AI81="","",IF(AND(AI81="N/A - Culvert",N81&lt;&gt;"Culvert"),"Not possible ▲",IF(VLOOKUP(AI81,'G-7 WaterC'' Data'!$AA$4:$AB$7,2,FALSE)=0,"Spatial Data Missing ⚠",VLOOKUP(AI81,'G-7 WaterC'' Data'!$AA$4:$AB$7,2,FALSE))))</f>
        <v/>
      </c>
      <c r="AK81" s="104"/>
      <c r="AL81" s="291" t="str">
        <f>IF(AK81="","",IF(AND(AK81="N/A - Culvert",N81&lt;&gt;"Culvert"),"Not possible ▲",IF(VLOOKUP(AK81,'G-7 WaterC'' Data'!$AD$4:$AE$14,2,FALSE)=0,"Spatial Data Missing ⚠",VLOOKUP(AK81,'G-7 WaterC'' Data'!$AD$4:$AE$14,2,FALSE))))</f>
        <v/>
      </c>
      <c r="AM81" s="332" t="str">
        <f t="shared" si="16"/>
        <v/>
      </c>
      <c r="AN81" s="98"/>
      <c r="AO81" s="99"/>
      <c r="AP81" s="101"/>
      <c r="AS81" s="15" t="str">
        <f>IF(B81="","",IF(ISNA(VLOOKUP($B81,'C-1 On-Site WaterC'' Baseline'!$C$8:$AD$257,17,FALSE)),"",(VLOOKUP($B81,'C-1 On-Site WaterC'' Baseline'!$C$8:$AD$257,17,FALSE))))</f>
        <v/>
      </c>
      <c r="AT81" s="15" t="str">
        <f>IF(B81="","",VLOOKUP($B81,'C-1 On-Site WaterC'' Baseline'!$C$9:$Z$257,12,FALSE))</f>
        <v/>
      </c>
      <c r="AU81" s="15" t="str">
        <f>IF(B81="","",VLOOKUP($B81,'C-1 On-Site WaterC'' Baseline'!$C$9:$Z$257,14,FALSE))</f>
        <v/>
      </c>
      <c r="AV81" s="15" t="str">
        <f>IFERROR(INDEX('G-7 WaterC'' Data'!$AZ$3:$AZ$7,MATCH(N81,'G-7 WaterC'' Data'!$AY$3:$AY$7,0)),"")</f>
        <v/>
      </c>
      <c r="AX81" s="15" t="str">
        <f>IF(B81="","",VLOOKUP($B81,'C-1 On-Site WaterC'' Baseline'!$C$9:$Y$257,22,FALSE))</f>
        <v/>
      </c>
      <c r="AY81" s="15" t="str">
        <f t="shared" si="17"/>
        <v/>
      </c>
      <c r="AZ81" s="15" t="str">
        <f>IF(B81="","",VLOOKUP($B81,'C-1 On-Site WaterC'' Baseline'!$C$9:$Y$257,21,FALSE))</f>
        <v/>
      </c>
      <c r="BA81" s="15" t="str">
        <f>IF(B81="","",VLOOKUP($B81,'C-1 On-Site WaterC'' Baseline'!$C$9:$Y$257,19,FALSE))</f>
        <v/>
      </c>
    </row>
    <row r="82" spans="2:53" ht="14" x14ac:dyDescent="0.3">
      <c r="B82" s="319" t="str">
        <f>'C-1 On-Site WaterC'' Baseline'!AP80</f>
        <v/>
      </c>
      <c r="C82" s="310" t="str">
        <f>IF(B82="","",VLOOKUP($B82,'C-1 On-Site WaterC'' Baseline'!$C$9:$R$257,2,FALSE))</f>
        <v/>
      </c>
      <c r="D82" s="310" t="str">
        <f>IF(C82="","",VLOOKUP($B82,'C-1 On-Site WaterC'' Baseline'!$C$9:$R$257,3,FALSE))</f>
        <v/>
      </c>
      <c r="E82" s="310" t="str">
        <f>IF(D82="","",VLOOKUP($B82,'C-1 On-Site WaterC'' Baseline'!$C$9:$R$257,4,FALSE))</f>
        <v/>
      </c>
      <c r="F82" s="310" t="str">
        <f>IF(E82="","",VLOOKUP($B82,'C-1 On-Site WaterC'' Baseline'!$C$9:$R$257,5,FALSE))</f>
        <v/>
      </c>
      <c r="G82" s="310" t="str">
        <f>IF(F82="","",VLOOKUP($B82,'C-1 On-Site WaterC'' Baseline'!$C$9:$R$257,6,FALSE))</f>
        <v/>
      </c>
      <c r="H82" s="310" t="str">
        <f>IF(G82="","",VLOOKUP($B82,'C-1 On-Site WaterC'' Baseline'!$C$9:$R$257,7,FALSE))</f>
        <v/>
      </c>
      <c r="I82" s="310" t="str">
        <f>IF(H82="","",VLOOKUP($B82,'C-1 On-Site WaterC'' Baseline'!$C$9:$R$257,8,FALSE))</f>
        <v/>
      </c>
      <c r="J82" s="310" t="str">
        <f>IF(I82="","",VLOOKUP($B82,'C-1 On-Site WaterC'' Baseline'!$C$9:$R$257,9,FALSE))</f>
        <v/>
      </c>
      <c r="K82" s="310" t="str">
        <f>IF(J82="","",VLOOKUP($B82,'C-1 On-Site WaterC'' Baseline'!$C$9:$R$257,10,FALSE))</f>
        <v/>
      </c>
      <c r="L82" s="310" t="str">
        <f>IF(B82="","",VLOOKUP($B82,'C-1 On-Site WaterC'' Baseline'!$C$9:$R$257,15,FALSE))</f>
        <v/>
      </c>
      <c r="M82" s="314" t="str">
        <f>IF(L82="","",VLOOKUP($B82,'C-1 On-Site WaterC'' Baseline'!$C$9:$R$257,16,FALSE))</f>
        <v/>
      </c>
      <c r="N82" s="259"/>
      <c r="O82" s="290" t="str">
        <f t="shared" si="10"/>
        <v/>
      </c>
      <c r="P82" s="291" t="str">
        <f t="shared" si="11"/>
        <v/>
      </c>
      <c r="Q82" s="346" t="str">
        <f>IF(N82="","",VLOOKUP(B82,'C-1 On-Site WaterC'' Baseline'!$C$10:$AC$257,20,FALSE))</f>
        <v/>
      </c>
      <c r="R82" s="290" t="str">
        <f>IF(N82="","",VLOOKUP(N82,'G-7 WaterC'' Data'!$B$2:$G$8,2,FALSE))</f>
        <v/>
      </c>
      <c r="S82" s="291" t="str">
        <f>IFERROR(VLOOKUP(R82,'G-7 WaterC'' Data'!$C$4:$D$8,2,FALSE),"")</f>
        <v/>
      </c>
      <c r="T82" s="95"/>
      <c r="U82" s="291" t="str">
        <f>IFERROR(INDEX('G-7 WaterC'' Data'!$H$4:$L$8,MATCH(N82,'G-7 WaterC'' Data'!$B$4:$B$8,0),MATCH(T82,'G-7 WaterC'' Data'!$H$3:$L$3,0)),"")</f>
        <v/>
      </c>
      <c r="V82" s="95"/>
      <c r="W82" s="298" t="str">
        <f>IF(V82="","",IF(VLOOKUP(V82,'G-7 WaterC'' Data'!$AK$4:$AM$6,2,FALSE)=0,"Spatial Data Missing ⚠",VLOOKUP(V82,'G-7 WaterC'' Data'!$AK$4:$AM$6,2,FALSE)))</f>
        <v/>
      </c>
      <c r="X82" s="291" t="str">
        <f>IF(V82="","",IF(VLOOKUP(V82,'G-7 WaterC'' Data'!$AK$4:$AM$6,3,FALSE)=0,"Spatial Data Missing ⚠",VLOOKUP(V82,'G-7 WaterC'' Data'!$AK$4:$AM$6,3,FALSE)))</f>
        <v/>
      </c>
      <c r="Y82" s="290" t="str">
        <f>IFERROR(IF(OR(LEFT(P82,5)="Error",LEFT(O82,5)="Error ▲"),"Check Data ⚠",IF(F82&lt;S82,'G-7 WaterC'' Data'!$R$3,INDEX('G-7 WaterC'' Data'!$U$5:$Y$9,MATCH(G82,'G-7 WaterC'' Data'!$T$5:$T$9,0),MATCH(T82,'G-7 WaterC'' Data'!$U$4:$Y$4,0)))),"")</f>
        <v/>
      </c>
      <c r="Z82" s="138"/>
      <c r="AA82" s="138"/>
      <c r="AB82" s="298" t="str">
        <f t="shared" si="12"/>
        <v/>
      </c>
      <c r="AC82" s="311" t="str">
        <f t="shared" si="13"/>
        <v/>
      </c>
      <c r="AD82" s="344" t="str">
        <f>IFERROR(IF(AC82="Check Data ⚠","Check Data ⚠",VLOOKUP(AC82,'G-4 Temporal multipliers'!$A$4:$C$37,3,FALSE)),"")</f>
        <v/>
      </c>
      <c r="AE82" s="290" t="str">
        <f>IF(N82="","",VLOOKUP(N82,'G-7 WaterC'' Data'!$B$4:$G$8,5,FALSE))</f>
        <v/>
      </c>
      <c r="AF82" s="298" t="str">
        <f t="shared" si="14"/>
        <v/>
      </c>
      <c r="AG82" s="328" t="str">
        <f t="shared" si="15"/>
        <v/>
      </c>
      <c r="AH82" s="291" t="str">
        <f t="shared" si="9"/>
        <v/>
      </c>
      <c r="AI82" s="103"/>
      <c r="AJ82" s="291" t="str">
        <f>IF(AI82="","",IF(AND(AI82="N/A - Culvert",N82&lt;&gt;"Culvert"),"Not possible ▲",IF(VLOOKUP(AI82,'G-7 WaterC'' Data'!$AA$4:$AB$7,2,FALSE)=0,"Spatial Data Missing ⚠",VLOOKUP(AI82,'G-7 WaterC'' Data'!$AA$4:$AB$7,2,FALSE))))</f>
        <v/>
      </c>
      <c r="AK82" s="104"/>
      <c r="AL82" s="291" t="str">
        <f>IF(AK82="","",IF(AND(AK82="N/A - Culvert",N82&lt;&gt;"Culvert"),"Not possible ▲",IF(VLOOKUP(AK82,'G-7 WaterC'' Data'!$AD$4:$AE$14,2,FALSE)=0,"Spatial Data Missing ⚠",VLOOKUP(AK82,'G-7 WaterC'' Data'!$AD$4:$AE$14,2,FALSE))))</f>
        <v/>
      </c>
      <c r="AM82" s="332" t="str">
        <f t="shared" si="16"/>
        <v/>
      </c>
      <c r="AN82" s="98"/>
      <c r="AO82" s="99"/>
      <c r="AP82" s="101"/>
      <c r="AS82" s="15" t="str">
        <f>IF(B82="","",IF(ISNA(VLOOKUP($B82,'C-1 On-Site WaterC'' Baseline'!$C$8:$AD$257,17,FALSE)),"",(VLOOKUP($B82,'C-1 On-Site WaterC'' Baseline'!$C$8:$AD$257,17,FALSE))))</f>
        <v/>
      </c>
      <c r="AT82" s="15" t="str">
        <f>IF(B82="","",VLOOKUP($B82,'C-1 On-Site WaterC'' Baseline'!$C$9:$Z$257,12,FALSE))</f>
        <v/>
      </c>
      <c r="AU82" s="15" t="str">
        <f>IF(B82="","",VLOOKUP($B82,'C-1 On-Site WaterC'' Baseline'!$C$9:$Z$257,14,FALSE))</f>
        <v/>
      </c>
      <c r="AV82" s="15" t="str">
        <f>IFERROR(INDEX('G-7 WaterC'' Data'!$AZ$3:$AZ$7,MATCH(N82,'G-7 WaterC'' Data'!$AY$3:$AY$7,0)),"")</f>
        <v/>
      </c>
      <c r="AX82" s="15" t="str">
        <f>IF(B82="","",VLOOKUP($B82,'C-1 On-Site WaterC'' Baseline'!$C$9:$Y$257,22,FALSE))</f>
        <v/>
      </c>
      <c r="AY82" s="15" t="str">
        <f t="shared" si="17"/>
        <v/>
      </c>
      <c r="AZ82" s="15" t="str">
        <f>IF(B82="","",VLOOKUP($B82,'C-1 On-Site WaterC'' Baseline'!$C$9:$Y$257,21,FALSE))</f>
        <v/>
      </c>
      <c r="BA82" s="15" t="str">
        <f>IF(B82="","",VLOOKUP($B82,'C-1 On-Site WaterC'' Baseline'!$C$9:$Y$257,19,FALSE))</f>
        <v/>
      </c>
    </row>
    <row r="83" spans="2:53" ht="14" x14ac:dyDescent="0.3">
      <c r="B83" s="319" t="str">
        <f>'C-1 On-Site WaterC'' Baseline'!AP81</f>
        <v/>
      </c>
      <c r="C83" s="310" t="str">
        <f>IF(B83="","",VLOOKUP($B83,'C-1 On-Site WaterC'' Baseline'!$C$9:$R$257,2,FALSE))</f>
        <v/>
      </c>
      <c r="D83" s="310" t="str">
        <f>IF(C83="","",VLOOKUP($B83,'C-1 On-Site WaterC'' Baseline'!$C$9:$R$257,3,FALSE))</f>
        <v/>
      </c>
      <c r="E83" s="310" t="str">
        <f>IF(D83="","",VLOOKUP($B83,'C-1 On-Site WaterC'' Baseline'!$C$9:$R$257,4,FALSE))</f>
        <v/>
      </c>
      <c r="F83" s="310" t="str">
        <f>IF(E83="","",VLOOKUP($B83,'C-1 On-Site WaterC'' Baseline'!$C$9:$R$257,5,FALSE))</f>
        <v/>
      </c>
      <c r="G83" s="310" t="str">
        <f>IF(F83="","",VLOOKUP($B83,'C-1 On-Site WaterC'' Baseline'!$C$9:$R$257,6,FALSE))</f>
        <v/>
      </c>
      <c r="H83" s="310" t="str">
        <f>IF(G83="","",VLOOKUP($B83,'C-1 On-Site WaterC'' Baseline'!$C$9:$R$257,7,FALSE))</f>
        <v/>
      </c>
      <c r="I83" s="310" t="str">
        <f>IF(H83="","",VLOOKUP($B83,'C-1 On-Site WaterC'' Baseline'!$C$9:$R$257,8,FALSE))</f>
        <v/>
      </c>
      <c r="J83" s="310" t="str">
        <f>IF(I83="","",VLOOKUP($B83,'C-1 On-Site WaterC'' Baseline'!$C$9:$R$257,9,FALSE))</f>
        <v/>
      </c>
      <c r="K83" s="310" t="str">
        <f>IF(J83="","",VLOOKUP($B83,'C-1 On-Site WaterC'' Baseline'!$C$9:$R$257,10,FALSE))</f>
        <v/>
      </c>
      <c r="L83" s="310" t="str">
        <f>IF(B83="","",VLOOKUP($B83,'C-1 On-Site WaterC'' Baseline'!$C$9:$R$257,15,FALSE))</f>
        <v/>
      </c>
      <c r="M83" s="314" t="str">
        <f>IF(L83="","",VLOOKUP($B83,'C-1 On-Site WaterC'' Baseline'!$C$9:$R$257,16,FALSE))</f>
        <v/>
      </c>
      <c r="N83" s="259"/>
      <c r="O83" s="290" t="str">
        <f t="shared" si="10"/>
        <v/>
      </c>
      <c r="P83" s="291" t="str">
        <f t="shared" si="11"/>
        <v/>
      </c>
      <c r="Q83" s="346" t="str">
        <f>IF(N83="","",VLOOKUP(B83,'C-1 On-Site WaterC'' Baseline'!$C$10:$AC$257,20,FALSE))</f>
        <v/>
      </c>
      <c r="R83" s="290" t="str">
        <f>IF(N83="","",VLOOKUP(N83,'G-7 WaterC'' Data'!$B$2:$G$8,2,FALSE))</f>
        <v/>
      </c>
      <c r="S83" s="291" t="str">
        <f>IFERROR(VLOOKUP(R83,'G-7 WaterC'' Data'!$C$4:$D$8,2,FALSE),"")</f>
        <v/>
      </c>
      <c r="T83" s="95"/>
      <c r="U83" s="291" t="str">
        <f>IFERROR(INDEX('G-7 WaterC'' Data'!$H$4:$L$8,MATCH(N83,'G-7 WaterC'' Data'!$B$4:$B$8,0),MATCH(T83,'G-7 WaterC'' Data'!$H$3:$L$3,0)),"")</f>
        <v/>
      </c>
      <c r="V83" s="95"/>
      <c r="W83" s="298" t="str">
        <f>IF(V83="","",IF(VLOOKUP(V83,'G-7 WaterC'' Data'!$AK$4:$AM$6,2,FALSE)=0,"Spatial Data Missing ⚠",VLOOKUP(V83,'G-7 WaterC'' Data'!$AK$4:$AM$6,2,FALSE)))</f>
        <v/>
      </c>
      <c r="X83" s="291" t="str">
        <f>IF(V83="","",IF(VLOOKUP(V83,'G-7 WaterC'' Data'!$AK$4:$AM$6,3,FALSE)=0,"Spatial Data Missing ⚠",VLOOKUP(V83,'G-7 WaterC'' Data'!$AK$4:$AM$6,3,FALSE)))</f>
        <v/>
      </c>
      <c r="Y83" s="290" t="str">
        <f>IFERROR(IF(OR(LEFT(P83,5)="Error",LEFT(O83,5)="Error ▲"),"Check Data ⚠",IF(F83&lt;S83,'G-7 WaterC'' Data'!$R$3,INDEX('G-7 WaterC'' Data'!$U$5:$Y$9,MATCH(G83,'G-7 WaterC'' Data'!$T$5:$T$9,0),MATCH(T83,'G-7 WaterC'' Data'!$U$4:$Y$4,0)))),"")</f>
        <v/>
      </c>
      <c r="Z83" s="138"/>
      <c r="AA83" s="138"/>
      <c r="AB83" s="298" t="str">
        <f t="shared" si="12"/>
        <v/>
      </c>
      <c r="AC83" s="311" t="str">
        <f t="shared" si="13"/>
        <v/>
      </c>
      <c r="AD83" s="344" t="str">
        <f>IFERROR(IF(AC83="Check Data ⚠","Check Data ⚠",VLOOKUP(AC83,'G-4 Temporal multipliers'!$A$4:$C$37,3,FALSE)),"")</f>
        <v/>
      </c>
      <c r="AE83" s="290" t="str">
        <f>IF(N83="","",VLOOKUP(N83,'G-7 WaterC'' Data'!$B$4:$G$8,5,FALSE))</f>
        <v/>
      </c>
      <c r="AF83" s="298" t="str">
        <f t="shared" si="14"/>
        <v/>
      </c>
      <c r="AG83" s="328" t="str">
        <f t="shared" si="15"/>
        <v/>
      </c>
      <c r="AH83" s="291" t="str">
        <f t="shared" si="9"/>
        <v/>
      </c>
      <c r="AI83" s="103"/>
      <c r="AJ83" s="291" t="str">
        <f>IF(AI83="","",IF(AND(AI83="N/A - Culvert",N83&lt;&gt;"Culvert"),"Not possible ▲",IF(VLOOKUP(AI83,'G-7 WaterC'' Data'!$AA$4:$AB$7,2,FALSE)=0,"Spatial Data Missing ⚠",VLOOKUP(AI83,'G-7 WaterC'' Data'!$AA$4:$AB$7,2,FALSE))))</f>
        <v/>
      </c>
      <c r="AK83" s="104"/>
      <c r="AL83" s="291" t="str">
        <f>IF(AK83="","",IF(AND(AK83="N/A - Culvert",N83&lt;&gt;"Culvert"),"Not possible ▲",IF(VLOOKUP(AK83,'G-7 WaterC'' Data'!$AD$4:$AE$14,2,FALSE)=0,"Spatial Data Missing ⚠",VLOOKUP(AK83,'G-7 WaterC'' Data'!$AD$4:$AE$14,2,FALSE))))</f>
        <v/>
      </c>
      <c r="AM83" s="332" t="str">
        <f t="shared" si="16"/>
        <v/>
      </c>
      <c r="AN83" s="98"/>
      <c r="AO83" s="99"/>
      <c r="AP83" s="101"/>
      <c r="AS83" s="15" t="str">
        <f>IF(B83="","",IF(ISNA(VLOOKUP($B83,'C-1 On-Site WaterC'' Baseline'!$C$8:$AD$257,17,FALSE)),"",(VLOOKUP($B83,'C-1 On-Site WaterC'' Baseline'!$C$8:$AD$257,17,FALSE))))</f>
        <v/>
      </c>
      <c r="AT83" s="15" t="str">
        <f>IF(B83="","",VLOOKUP($B83,'C-1 On-Site WaterC'' Baseline'!$C$9:$Z$257,12,FALSE))</f>
        <v/>
      </c>
      <c r="AU83" s="15" t="str">
        <f>IF(B83="","",VLOOKUP($B83,'C-1 On-Site WaterC'' Baseline'!$C$9:$Z$257,14,FALSE))</f>
        <v/>
      </c>
      <c r="AV83" s="15" t="str">
        <f>IFERROR(INDEX('G-7 WaterC'' Data'!$AZ$3:$AZ$7,MATCH(N83,'G-7 WaterC'' Data'!$AY$3:$AY$7,0)),"")</f>
        <v/>
      </c>
      <c r="AX83" s="15" t="str">
        <f>IF(B83="","",VLOOKUP($B83,'C-1 On-Site WaterC'' Baseline'!$C$9:$Y$257,22,FALSE))</f>
        <v/>
      </c>
      <c r="AY83" s="15" t="str">
        <f t="shared" si="17"/>
        <v/>
      </c>
      <c r="AZ83" s="15" t="str">
        <f>IF(B83="","",VLOOKUP($B83,'C-1 On-Site WaterC'' Baseline'!$C$9:$Y$257,21,FALSE))</f>
        <v/>
      </c>
      <c r="BA83" s="15" t="str">
        <f>IF(B83="","",VLOOKUP($B83,'C-1 On-Site WaterC'' Baseline'!$C$9:$Y$257,19,FALSE))</f>
        <v/>
      </c>
    </row>
    <row r="84" spans="2:53" ht="14" x14ac:dyDescent="0.3">
      <c r="B84" s="319" t="str">
        <f>'C-1 On-Site WaterC'' Baseline'!AP82</f>
        <v/>
      </c>
      <c r="C84" s="310" t="str">
        <f>IF(B84="","",VLOOKUP($B84,'C-1 On-Site WaterC'' Baseline'!$C$9:$R$257,2,FALSE))</f>
        <v/>
      </c>
      <c r="D84" s="310" t="str">
        <f>IF(C84="","",VLOOKUP($B84,'C-1 On-Site WaterC'' Baseline'!$C$9:$R$257,3,FALSE))</f>
        <v/>
      </c>
      <c r="E84" s="310" t="str">
        <f>IF(D84="","",VLOOKUP($B84,'C-1 On-Site WaterC'' Baseline'!$C$9:$R$257,4,FALSE))</f>
        <v/>
      </c>
      <c r="F84" s="310" t="str">
        <f>IF(E84="","",VLOOKUP($B84,'C-1 On-Site WaterC'' Baseline'!$C$9:$R$257,5,FALSE))</f>
        <v/>
      </c>
      <c r="G84" s="310" t="str">
        <f>IF(F84="","",VLOOKUP($B84,'C-1 On-Site WaterC'' Baseline'!$C$9:$R$257,6,FALSE))</f>
        <v/>
      </c>
      <c r="H84" s="310" t="str">
        <f>IF(G84="","",VLOOKUP($B84,'C-1 On-Site WaterC'' Baseline'!$C$9:$R$257,7,FALSE))</f>
        <v/>
      </c>
      <c r="I84" s="310" t="str">
        <f>IF(H84="","",VLOOKUP($B84,'C-1 On-Site WaterC'' Baseline'!$C$9:$R$257,8,FALSE))</f>
        <v/>
      </c>
      <c r="J84" s="310" t="str">
        <f>IF(I84="","",VLOOKUP($B84,'C-1 On-Site WaterC'' Baseline'!$C$9:$R$257,9,FALSE))</f>
        <v/>
      </c>
      <c r="K84" s="310" t="str">
        <f>IF(J84="","",VLOOKUP($B84,'C-1 On-Site WaterC'' Baseline'!$C$9:$R$257,10,FALSE))</f>
        <v/>
      </c>
      <c r="L84" s="310" t="str">
        <f>IF(B84="","",VLOOKUP($B84,'C-1 On-Site WaterC'' Baseline'!$C$9:$R$257,15,FALSE))</f>
        <v/>
      </c>
      <c r="M84" s="314" t="str">
        <f>IF(L84="","",VLOOKUP($B84,'C-1 On-Site WaterC'' Baseline'!$C$9:$R$257,16,FALSE))</f>
        <v/>
      </c>
      <c r="N84" s="259"/>
      <c r="O84" s="290" t="str">
        <f t="shared" si="10"/>
        <v/>
      </c>
      <c r="P84" s="291" t="str">
        <f t="shared" si="11"/>
        <v/>
      </c>
      <c r="Q84" s="346" t="str">
        <f>IF(N84="","",VLOOKUP(B84,'C-1 On-Site WaterC'' Baseline'!$C$10:$AC$257,20,FALSE))</f>
        <v/>
      </c>
      <c r="R84" s="290" t="str">
        <f>IF(N84="","",VLOOKUP(N84,'G-7 WaterC'' Data'!$B$2:$G$8,2,FALSE))</f>
        <v/>
      </c>
      <c r="S84" s="291" t="str">
        <f>IFERROR(VLOOKUP(R84,'G-7 WaterC'' Data'!$C$4:$D$8,2,FALSE),"")</f>
        <v/>
      </c>
      <c r="T84" s="95"/>
      <c r="U84" s="291" t="str">
        <f>IFERROR(INDEX('G-7 WaterC'' Data'!$H$4:$L$8,MATCH(N84,'G-7 WaterC'' Data'!$B$4:$B$8,0),MATCH(T84,'G-7 WaterC'' Data'!$H$3:$L$3,0)),"")</f>
        <v/>
      </c>
      <c r="V84" s="95"/>
      <c r="W84" s="298" t="str">
        <f>IF(V84="","",IF(VLOOKUP(V84,'G-7 WaterC'' Data'!$AK$4:$AM$6,2,FALSE)=0,"Spatial Data Missing ⚠",VLOOKUP(V84,'G-7 WaterC'' Data'!$AK$4:$AM$6,2,FALSE)))</f>
        <v/>
      </c>
      <c r="X84" s="291" t="str">
        <f>IF(V84="","",IF(VLOOKUP(V84,'G-7 WaterC'' Data'!$AK$4:$AM$6,3,FALSE)=0,"Spatial Data Missing ⚠",VLOOKUP(V84,'G-7 WaterC'' Data'!$AK$4:$AM$6,3,FALSE)))</f>
        <v/>
      </c>
      <c r="Y84" s="290" t="str">
        <f>IFERROR(IF(OR(LEFT(P84,5)="Error",LEFT(O84,5)="Error ▲"),"Check Data ⚠",IF(F84&lt;S84,'G-7 WaterC'' Data'!$R$3,INDEX('G-7 WaterC'' Data'!$U$5:$Y$9,MATCH(G84,'G-7 WaterC'' Data'!$T$5:$T$9,0),MATCH(T84,'G-7 WaterC'' Data'!$U$4:$Y$4,0)))),"")</f>
        <v/>
      </c>
      <c r="Z84" s="138"/>
      <c r="AA84" s="138"/>
      <c r="AB84" s="298" t="str">
        <f t="shared" si="12"/>
        <v/>
      </c>
      <c r="AC84" s="311" t="str">
        <f t="shared" si="13"/>
        <v/>
      </c>
      <c r="AD84" s="344" t="str">
        <f>IFERROR(IF(AC84="Check Data ⚠","Check Data ⚠",VLOOKUP(AC84,'G-4 Temporal multipliers'!$A$4:$C$37,3,FALSE)),"")</f>
        <v/>
      </c>
      <c r="AE84" s="290" t="str">
        <f>IF(N84="","",VLOOKUP(N84,'G-7 WaterC'' Data'!$B$4:$G$8,5,FALSE))</f>
        <v/>
      </c>
      <c r="AF84" s="298" t="str">
        <f t="shared" si="14"/>
        <v/>
      </c>
      <c r="AG84" s="328" t="str">
        <f t="shared" si="15"/>
        <v/>
      </c>
      <c r="AH84" s="291" t="str">
        <f t="shared" si="9"/>
        <v/>
      </c>
      <c r="AI84" s="103"/>
      <c r="AJ84" s="291" t="str">
        <f>IF(AI84="","",IF(AND(AI84="N/A - Culvert",N84&lt;&gt;"Culvert"),"Not possible ▲",IF(VLOOKUP(AI84,'G-7 WaterC'' Data'!$AA$4:$AB$7,2,FALSE)=0,"Spatial Data Missing ⚠",VLOOKUP(AI84,'G-7 WaterC'' Data'!$AA$4:$AB$7,2,FALSE))))</f>
        <v/>
      </c>
      <c r="AK84" s="104"/>
      <c r="AL84" s="291" t="str">
        <f>IF(AK84="","",IF(AND(AK84="N/A - Culvert",N84&lt;&gt;"Culvert"),"Not possible ▲",IF(VLOOKUP(AK84,'G-7 WaterC'' Data'!$AD$4:$AE$14,2,FALSE)=0,"Spatial Data Missing ⚠",VLOOKUP(AK84,'G-7 WaterC'' Data'!$AD$4:$AE$14,2,FALSE))))</f>
        <v/>
      </c>
      <c r="AM84" s="332" t="str">
        <f t="shared" si="16"/>
        <v/>
      </c>
      <c r="AN84" s="98"/>
      <c r="AO84" s="99"/>
      <c r="AP84" s="101"/>
      <c r="AS84" s="15" t="str">
        <f>IF(B84="","",IF(ISNA(VLOOKUP($B84,'C-1 On-Site WaterC'' Baseline'!$C$8:$AD$257,17,FALSE)),"",(VLOOKUP($B84,'C-1 On-Site WaterC'' Baseline'!$C$8:$AD$257,17,FALSE))))</f>
        <v/>
      </c>
      <c r="AT84" s="15" t="str">
        <f>IF(B84="","",VLOOKUP($B84,'C-1 On-Site WaterC'' Baseline'!$C$9:$Z$257,12,FALSE))</f>
        <v/>
      </c>
      <c r="AU84" s="15" t="str">
        <f>IF(B84="","",VLOOKUP($B84,'C-1 On-Site WaterC'' Baseline'!$C$9:$Z$257,14,FALSE))</f>
        <v/>
      </c>
      <c r="AV84" s="15" t="str">
        <f>IFERROR(INDEX('G-7 WaterC'' Data'!$AZ$3:$AZ$7,MATCH(N84,'G-7 WaterC'' Data'!$AY$3:$AY$7,0)),"")</f>
        <v/>
      </c>
      <c r="AX84" s="15" t="str">
        <f>IF(B84="","",VLOOKUP($B84,'C-1 On-Site WaterC'' Baseline'!$C$9:$Y$257,22,FALSE))</f>
        <v/>
      </c>
      <c r="AY84" s="15" t="str">
        <f t="shared" si="17"/>
        <v/>
      </c>
      <c r="AZ84" s="15" t="str">
        <f>IF(B84="","",VLOOKUP($B84,'C-1 On-Site WaterC'' Baseline'!$C$9:$Y$257,21,FALSE))</f>
        <v/>
      </c>
      <c r="BA84" s="15" t="str">
        <f>IF(B84="","",VLOOKUP($B84,'C-1 On-Site WaterC'' Baseline'!$C$9:$Y$257,19,FALSE))</f>
        <v/>
      </c>
    </row>
    <row r="85" spans="2:53" ht="14" x14ac:dyDescent="0.3">
      <c r="B85" s="319" t="str">
        <f>'C-1 On-Site WaterC'' Baseline'!AP83</f>
        <v/>
      </c>
      <c r="C85" s="310" t="str">
        <f>IF(B85="","",VLOOKUP($B85,'C-1 On-Site WaterC'' Baseline'!$C$9:$R$257,2,FALSE))</f>
        <v/>
      </c>
      <c r="D85" s="310" t="str">
        <f>IF(C85="","",VLOOKUP($B85,'C-1 On-Site WaterC'' Baseline'!$C$9:$R$257,3,FALSE))</f>
        <v/>
      </c>
      <c r="E85" s="310" t="str">
        <f>IF(D85="","",VLOOKUP($B85,'C-1 On-Site WaterC'' Baseline'!$C$9:$R$257,4,FALSE))</f>
        <v/>
      </c>
      <c r="F85" s="310" t="str">
        <f>IF(E85="","",VLOOKUP($B85,'C-1 On-Site WaterC'' Baseline'!$C$9:$R$257,5,FALSE))</f>
        <v/>
      </c>
      <c r="G85" s="310" t="str">
        <f>IF(F85="","",VLOOKUP($B85,'C-1 On-Site WaterC'' Baseline'!$C$9:$R$257,6,FALSE))</f>
        <v/>
      </c>
      <c r="H85" s="310" t="str">
        <f>IF(G85="","",VLOOKUP($B85,'C-1 On-Site WaterC'' Baseline'!$C$9:$R$257,7,FALSE))</f>
        <v/>
      </c>
      <c r="I85" s="310" t="str">
        <f>IF(H85="","",VLOOKUP($B85,'C-1 On-Site WaterC'' Baseline'!$C$9:$R$257,8,FALSE))</f>
        <v/>
      </c>
      <c r="J85" s="310" t="str">
        <f>IF(I85="","",VLOOKUP($B85,'C-1 On-Site WaterC'' Baseline'!$C$9:$R$257,9,FALSE))</f>
        <v/>
      </c>
      <c r="K85" s="310" t="str">
        <f>IF(J85="","",VLOOKUP($B85,'C-1 On-Site WaterC'' Baseline'!$C$9:$R$257,10,FALSE))</f>
        <v/>
      </c>
      <c r="L85" s="310" t="str">
        <f>IF(B85="","",VLOOKUP($B85,'C-1 On-Site WaterC'' Baseline'!$C$9:$R$257,15,FALSE))</f>
        <v/>
      </c>
      <c r="M85" s="314" t="str">
        <f>IF(L85="","",VLOOKUP($B85,'C-1 On-Site WaterC'' Baseline'!$C$9:$R$257,16,FALSE))</f>
        <v/>
      </c>
      <c r="N85" s="259"/>
      <c r="O85" s="290" t="str">
        <f t="shared" si="10"/>
        <v/>
      </c>
      <c r="P85" s="291" t="str">
        <f t="shared" si="11"/>
        <v/>
      </c>
      <c r="Q85" s="346" t="str">
        <f>IF(N85="","",VLOOKUP(B85,'C-1 On-Site WaterC'' Baseline'!$C$10:$AC$257,20,FALSE))</f>
        <v/>
      </c>
      <c r="R85" s="290" t="str">
        <f>IF(N85="","",VLOOKUP(N85,'G-7 WaterC'' Data'!$B$2:$G$8,2,FALSE))</f>
        <v/>
      </c>
      <c r="S85" s="291" t="str">
        <f>IFERROR(VLOOKUP(R85,'G-7 WaterC'' Data'!$C$4:$D$8,2,FALSE),"")</f>
        <v/>
      </c>
      <c r="T85" s="95"/>
      <c r="U85" s="291" t="str">
        <f>IFERROR(INDEX('G-7 WaterC'' Data'!$H$4:$L$8,MATCH(N85,'G-7 WaterC'' Data'!$B$4:$B$8,0),MATCH(T85,'G-7 WaterC'' Data'!$H$3:$L$3,0)),"")</f>
        <v/>
      </c>
      <c r="V85" s="95"/>
      <c r="W85" s="298" t="str">
        <f>IF(V85="","",IF(VLOOKUP(V85,'G-7 WaterC'' Data'!$AK$4:$AM$6,2,FALSE)=0,"Spatial Data Missing ⚠",VLOOKUP(V85,'G-7 WaterC'' Data'!$AK$4:$AM$6,2,FALSE)))</f>
        <v/>
      </c>
      <c r="X85" s="291" t="str">
        <f>IF(V85="","",IF(VLOOKUP(V85,'G-7 WaterC'' Data'!$AK$4:$AM$6,3,FALSE)=0,"Spatial Data Missing ⚠",VLOOKUP(V85,'G-7 WaterC'' Data'!$AK$4:$AM$6,3,FALSE)))</f>
        <v/>
      </c>
      <c r="Y85" s="290" t="str">
        <f>IFERROR(IF(OR(LEFT(P85,5)="Error",LEFT(O85,5)="Error ▲"),"Check Data ⚠",IF(F85&lt;S85,'G-7 WaterC'' Data'!$R$3,INDEX('G-7 WaterC'' Data'!$U$5:$Y$9,MATCH(G85,'G-7 WaterC'' Data'!$T$5:$T$9,0),MATCH(T85,'G-7 WaterC'' Data'!$U$4:$Y$4,0)))),"")</f>
        <v/>
      </c>
      <c r="Z85" s="138"/>
      <c r="AA85" s="138"/>
      <c r="AB85" s="298" t="str">
        <f t="shared" si="12"/>
        <v/>
      </c>
      <c r="AC85" s="311" t="str">
        <f t="shared" si="13"/>
        <v/>
      </c>
      <c r="AD85" s="344" t="str">
        <f>IFERROR(IF(AC85="Check Data ⚠","Check Data ⚠",VLOOKUP(AC85,'G-4 Temporal multipliers'!$A$4:$C$37,3,FALSE)),"")</f>
        <v/>
      </c>
      <c r="AE85" s="290" t="str">
        <f>IF(N85="","",VLOOKUP(N85,'G-7 WaterC'' Data'!$B$4:$G$8,5,FALSE))</f>
        <v/>
      </c>
      <c r="AF85" s="298" t="str">
        <f t="shared" si="14"/>
        <v/>
      </c>
      <c r="AG85" s="328" t="str">
        <f t="shared" si="15"/>
        <v/>
      </c>
      <c r="AH85" s="291" t="str">
        <f t="shared" si="9"/>
        <v/>
      </c>
      <c r="AI85" s="103"/>
      <c r="AJ85" s="291" t="str">
        <f>IF(AI85="","",IF(AND(AI85="N/A - Culvert",N85&lt;&gt;"Culvert"),"Not possible ▲",IF(VLOOKUP(AI85,'G-7 WaterC'' Data'!$AA$4:$AB$7,2,FALSE)=0,"Spatial Data Missing ⚠",VLOOKUP(AI85,'G-7 WaterC'' Data'!$AA$4:$AB$7,2,FALSE))))</f>
        <v/>
      </c>
      <c r="AK85" s="104"/>
      <c r="AL85" s="291" t="str">
        <f>IF(AK85="","",IF(AND(AK85="N/A - Culvert",N85&lt;&gt;"Culvert"),"Not possible ▲",IF(VLOOKUP(AK85,'G-7 WaterC'' Data'!$AD$4:$AE$14,2,FALSE)=0,"Spatial Data Missing ⚠",VLOOKUP(AK85,'G-7 WaterC'' Data'!$AD$4:$AE$14,2,FALSE))))</f>
        <v/>
      </c>
      <c r="AM85" s="332" t="str">
        <f t="shared" si="16"/>
        <v/>
      </c>
      <c r="AN85" s="98"/>
      <c r="AO85" s="99"/>
      <c r="AP85" s="101"/>
      <c r="AS85" s="15" t="str">
        <f>IF(B85="","",IF(ISNA(VLOOKUP($B85,'C-1 On-Site WaterC'' Baseline'!$C$8:$AD$257,17,FALSE)),"",(VLOOKUP($B85,'C-1 On-Site WaterC'' Baseline'!$C$8:$AD$257,17,FALSE))))</f>
        <v/>
      </c>
      <c r="AT85" s="15" t="str">
        <f>IF(B85="","",VLOOKUP($B85,'C-1 On-Site WaterC'' Baseline'!$C$9:$Z$257,12,FALSE))</f>
        <v/>
      </c>
      <c r="AU85" s="15" t="str">
        <f>IF(B85="","",VLOOKUP($B85,'C-1 On-Site WaterC'' Baseline'!$C$9:$Z$257,14,FALSE))</f>
        <v/>
      </c>
      <c r="AV85" s="15" t="str">
        <f>IFERROR(INDEX('G-7 WaterC'' Data'!$AZ$3:$AZ$7,MATCH(N85,'G-7 WaterC'' Data'!$AY$3:$AY$7,0)),"")</f>
        <v/>
      </c>
      <c r="AX85" s="15" t="str">
        <f>IF(B85="","",VLOOKUP($B85,'C-1 On-Site WaterC'' Baseline'!$C$9:$Y$257,22,FALSE))</f>
        <v/>
      </c>
      <c r="AY85" s="15" t="str">
        <f t="shared" si="17"/>
        <v/>
      </c>
      <c r="AZ85" s="15" t="str">
        <f>IF(B85="","",VLOOKUP($B85,'C-1 On-Site WaterC'' Baseline'!$C$9:$Y$257,21,FALSE))</f>
        <v/>
      </c>
      <c r="BA85" s="15" t="str">
        <f>IF(B85="","",VLOOKUP($B85,'C-1 On-Site WaterC'' Baseline'!$C$9:$Y$257,19,FALSE))</f>
        <v/>
      </c>
    </row>
    <row r="86" spans="2:53" ht="14" x14ac:dyDescent="0.3">
      <c r="B86" s="319" t="str">
        <f>'C-1 On-Site WaterC'' Baseline'!AP84</f>
        <v/>
      </c>
      <c r="C86" s="310" t="str">
        <f>IF(B86="","",VLOOKUP($B86,'C-1 On-Site WaterC'' Baseline'!$C$9:$R$257,2,FALSE))</f>
        <v/>
      </c>
      <c r="D86" s="310" t="str">
        <f>IF(C86="","",VLOOKUP($B86,'C-1 On-Site WaterC'' Baseline'!$C$9:$R$257,3,FALSE))</f>
        <v/>
      </c>
      <c r="E86" s="310" t="str">
        <f>IF(D86="","",VLOOKUP($B86,'C-1 On-Site WaterC'' Baseline'!$C$9:$R$257,4,FALSE))</f>
        <v/>
      </c>
      <c r="F86" s="310" t="str">
        <f>IF(E86="","",VLOOKUP($B86,'C-1 On-Site WaterC'' Baseline'!$C$9:$R$257,5,FALSE))</f>
        <v/>
      </c>
      <c r="G86" s="310" t="str">
        <f>IF(F86="","",VLOOKUP($B86,'C-1 On-Site WaterC'' Baseline'!$C$9:$R$257,6,FALSE))</f>
        <v/>
      </c>
      <c r="H86" s="310" t="str">
        <f>IF(G86="","",VLOOKUP($B86,'C-1 On-Site WaterC'' Baseline'!$C$9:$R$257,7,FALSE))</f>
        <v/>
      </c>
      <c r="I86" s="310" t="str">
        <f>IF(H86="","",VLOOKUP($B86,'C-1 On-Site WaterC'' Baseline'!$C$9:$R$257,8,FALSE))</f>
        <v/>
      </c>
      <c r="J86" s="310" t="str">
        <f>IF(I86="","",VLOOKUP($B86,'C-1 On-Site WaterC'' Baseline'!$C$9:$R$257,9,FALSE))</f>
        <v/>
      </c>
      <c r="K86" s="310" t="str">
        <f>IF(J86="","",VLOOKUP($B86,'C-1 On-Site WaterC'' Baseline'!$C$9:$R$257,10,FALSE))</f>
        <v/>
      </c>
      <c r="L86" s="310" t="str">
        <f>IF(B86="","",VLOOKUP($B86,'C-1 On-Site WaterC'' Baseline'!$C$9:$R$257,15,FALSE))</f>
        <v/>
      </c>
      <c r="M86" s="314" t="str">
        <f>IF(L86="","",VLOOKUP($B86,'C-1 On-Site WaterC'' Baseline'!$C$9:$R$257,16,FALSE))</f>
        <v/>
      </c>
      <c r="N86" s="259"/>
      <c r="O86" s="290" t="str">
        <f t="shared" si="10"/>
        <v/>
      </c>
      <c r="P86" s="291" t="str">
        <f t="shared" si="11"/>
        <v/>
      </c>
      <c r="Q86" s="346" t="str">
        <f>IF(N86="","",VLOOKUP(B86,'C-1 On-Site WaterC'' Baseline'!$C$10:$AC$257,20,FALSE))</f>
        <v/>
      </c>
      <c r="R86" s="290" t="str">
        <f>IF(N86="","",VLOOKUP(N86,'G-7 WaterC'' Data'!$B$2:$G$8,2,FALSE))</f>
        <v/>
      </c>
      <c r="S86" s="291" t="str">
        <f>IFERROR(VLOOKUP(R86,'G-7 WaterC'' Data'!$C$4:$D$8,2,FALSE),"")</f>
        <v/>
      </c>
      <c r="T86" s="95"/>
      <c r="U86" s="291" t="str">
        <f>IFERROR(INDEX('G-7 WaterC'' Data'!$H$4:$L$8,MATCH(N86,'G-7 WaterC'' Data'!$B$4:$B$8,0),MATCH(T86,'G-7 WaterC'' Data'!$H$3:$L$3,0)),"")</f>
        <v/>
      </c>
      <c r="V86" s="95"/>
      <c r="W86" s="298" t="str">
        <f>IF(V86="","",IF(VLOOKUP(V86,'G-7 WaterC'' Data'!$AK$4:$AM$6,2,FALSE)=0,"Spatial Data Missing ⚠",VLOOKUP(V86,'G-7 WaterC'' Data'!$AK$4:$AM$6,2,FALSE)))</f>
        <v/>
      </c>
      <c r="X86" s="291" t="str">
        <f>IF(V86="","",IF(VLOOKUP(V86,'G-7 WaterC'' Data'!$AK$4:$AM$6,3,FALSE)=0,"Spatial Data Missing ⚠",VLOOKUP(V86,'G-7 WaterC'' Data'!$AK$4:$AM$6,3,FALSE)))</f>
        <v/>
      </c>
      <c r="Y86" s="290" t="str">
        <f>IFERROR(IF(OR(LEFT(P86,5)="Error",LEFT(O86,5)="Error ▲"),"Check Data ⚠",IF(F86&lt;S86,'G-7 WaterC'' Data'!$R$3,INDEX('G-7 WaterC'' Data'!$U$5:$Y$9,MATCH(G86,'G-7 WaterC'' Data'!$T$5:$T$9,0),MATCH(T86,'G-7 WaterC'' Data'!$U$4:$Y$4,0)))),"")</f>
        <v/>
      </c>
      <c r="Z86" s="138"/>
      <c r="AA86" s="138"/>
      <c r="AB86" s="298" t="str">
        <f t="shared" si="12"/>
        <v/>
      </c>
      <c r="AC86" s="311" t="str">
        <f t="shared" si="13"/>
        <v/>
      </c>
      <c r="AD86" s="344" t="str">
        <f>IFERROR(IF(AC86="Check Data ⚠","Check Data ⚠",VLOOKUP(AC86,'G-4 Temporal multipliers'!$A$4:$C$37,3,FALSE)),"")</f>
        <v/>
      </c>
      <c r="AE86" s="290" t="str">
        <f>IF(N86="","",VLOOKUP(N86,'G-7 WaterC'' Data'!$B$4:$G$8,5,FALSE))</f>
        <v/>
      </c>
      <c r="AF86" s="298" t="str">
        <f t="shared" si="14"/>
        <v/>
      </c>
      <c r="AG86" s="328" t="str">
        <f t="shared" si="15"/>
        <v/>
      </c>
      <c r="AH86" s="291" t="str">
        <f t="shared" si="9"/>
        <v/>
      </c>
      <c r="AI86" s="103"/>
      <c r="AJ86" s="291" t="str">
        <f>IF(AI86="","",IF(AND(AI86="N/A - Culvert",N86&lt;&gt;"Culvert"),"Not possible ▲",IF(VLOOKUP(AI86,'G-7 WaterC'' Data'!$AA$4:$AB$7,2,FALSE)=0,"Spatial Data Missing ⚠",VLOOKUP(AI86,'G-7 WaterC'' Data'!$AA$4:$AB$7,2,FALSE))))</f>
        <v/>
      </c>
      <c r="AK86" s="104"/>
      <c r="AL86" s="291" t="str">
        <f>IF(AK86="","",IF(AND(AK86="N/A - Culvert",N86&lt;&gt;"Culvert"),"Not possible ▲",IF(VLOOKUP(AK86,'G-7 WaterC'' Data'!$AD$4:$AE$14,2,FALSE)=0,"Spatial Data Missing ⚠",VLOOKUP(AK86,'G-7 WaterC'' Data'!$AD$4:$AE$14,2,FALSE))))</f>
        <v/>
      </c>
      <c r="AM86" s="332" t="str">
        <f t="shared" si="16"/>
        <v/>
      </c>
      <c r="AN86" s="98"/>
      <c r="AO86" s="99"/>
      <c r="AP86" s="101"/>
      <c r="AS86" s="15" t="str">
        <f>IF(B86="","",IF(ISNA(VLOOKUP($B86,'C-1 On-Site WaterC'' Baseline'!$C$8:$AD$257,17,FALSE)),"",(VLOOKUP($B86,'C-1 On-Site WaterC'' Baseline'!$C$8:$AD$257,17,FALSE))))</f>
        <v/>
      </c>
      <c r="AT86" s="15" t="str">
        <f>IF(B86="","",VLOOKUP($B86,'C-1 On-Site WaterC'' Baseline'!$C$9:$Z$257,12,FALSE))</f>
        <v/>
      </c>
      <c r="AU86" s="15" t="str">
        <f>IF(B86="","",VLOOKUP($B86,'C-1 On-Site WaterC'' Baseline'!$C$9:$Z$257,14,FALSE))</f>
        <v/>
      </c>
      <c r="AV86" s="15" t="str">
        <f>IFERROR(INDEX('G-7 WaterC'' Data'!$AZ$3:$AZ$7,MATCH(N86,'G-7 WaterC'' Data'!$AY$3:$AY$7,0)),"")</f>
        <v/>
      </c>
      <c r="AX86" s="15" t="str">
        <f>IF(B86="","",VLOOKUP($B86,'C-1 On-Site WaterC'' Baseline'!$C$9:$Y$257,22,FALSE))</f>
        <v/>
      </c>
      <c r="AY86" s="15" t="str">
        <f t="shared" si="17"/>
        <v/>
      </c>
      <c r="AZ86" s="15" t="str">
        <f>IF(B86="","",VLOOKUP($B86,'C-1 On-Site WaterC'' Baseline'!$C$9:$Y$257,21,FALSE))</f>
        <v/>
      </c>
      <c r="BA86" s="15" t="str">
        <f>IF(B86="","",VLOOKUP($B86,'C-1 On-Site WaterC'' Baseline'!$C$9:$Y$257,19,FALSE))</f>
        <v/>
      </c>
    </row>
    <row r="87" spans="2:53" ht="14" x14ac:dyDescent="0.3">
      <c r="B87" s="319" t="str">
        <f>'C-1 On-Site WaterC'' Baseline'!AP85</f>
        <v/>
      </c>
      <c r="C87" s="310" t="str">
        <f>IF(B87="","",VLOOKUP($B87,'C-1 On-Site WaterC'' Baseline'!$C$9:$R$257,2,FALSE))</f>
        <v/>
      </c>
      <c r="D87" s="310" t="str">
        <f>IF(C87="","",VLOOKUP($B87,'C-1 On-Site WaterC'' Baseline'!$C$9:$R$257,3,FALSE))</f>
        <v/>
      </c>
      <c r="E87" s="310" t="str">
        <f>IF(D87="","",VLOOKUP($B87,'C-1 On-Site WaterC'' Baseline'!$C$9:$R$257,4,FALSE))</f>
        <v/>
      </c>
      <c r="F87" s="310" t="str">
        <f>IF(E87="","",VLOOKUP($B87,'C-1 On-Site WaterC'' Baseline'!$C$9:$R$257,5,FALSE))</f>
        <v/>
      </c>
      <c r="G87" s="310" t="str">
        <f>IF(F87="","",VLOOKUP($B87,'C-1 On-Site WaterC'' Baseline'!$C$9:$R$257,6,FALSE))</f>
        <v/>
      </c>
      <c r="H87" s="310" t="str">
        <f>IF(G87="","",VLOOKUP($B87,'C-1 On-Site WaterC'' Baseline'!$C$9:$R$257,7,FALSE))</f>
        <v/>
      </c>
      <c r="I87" s="310" t="str">
        <f>IF(H87="","",VLOOKUP($B87,'C-1 On-Site WaterC'' Baseline'!$C$9:$R$257,8,FALSE))</f>
        <v/>
      </c>
      <c r="J87" s="310" t="str">
        <f>IF(I87="","",VLOOKUP($B87,'C-1 On-Site WaterC'' Baseline'!$C$9:$R$257,9,FALSE))</f>
        <v/>
      </c>
      <c r="K87" s="310" t="str">
        <f>IF(J87="","",VLOOKUP($B87,'C-1 On-Site WaterC'' Baseline'!$C$9:$R$257,10,FALSE))</f>
        <v/>
      </c>
      <c r="L87" s="310" t="str">
        <f>IF(B87="","",VLOOKUP($B87,'C-1 On-Site WaterC'' Baseline'!$C$9:$R$257,15,FALSE))</f>
        <v/>
      </c>
      <c r="M87" s="314" t="str">
        <f>IF(L87="","",VLOOKUP($B87,'C-1 On-Site WaterC'' Baseline'!$C$9:$R$257,16,FALSE))</f>
        <v/>
      </c>
      <c r="N87" s="259"/>
      <c r="O87" s="290" t="str">
        <f t="shared" si="10"/>
        <v/>
      </c>
      <c r="P87" s="291" t="str">
        <f t="shared" si="11"/>
        <v/>
      </c>
      <c r="Q87" s="346" t="str">
        <f>IF(N87="","",VLOOKUP(B87,'C-1 On-Site WaterC'' Baseline'!$C$10:$AC$257,20,FALSE))</f>
        <v/>
      </c>
      <c r="R87" s="290" t="str">
        <f>IF(N87="","",VLOOKUP(N87,'G-7 WaterC'' Data'!$B$2:$G$8,2,FALSE))</f>
        <v/>
      </c>
      <c r="S87" s="291" t="str">
        <f>IFERROR(VLOOKUP(R87,'G-7 WaterC'' Data'!$C$4:$D$8,2,FALSE),"")</f>
        <v/>
      </c>
      <c r="T87" s="95"/>
      <c r="U87" s="291" t="str">
        <f>IFERROR(INDEX('G-7 WaterC'' Data'!$H$4:$L$8,MATCH(N87,'G-7 WaterC'' Data'!$B$4:$B$8,0),MATCH(T87,'G-7 WaterC'' Data'!$H$3:$L$3,0)),"")</f>
        <v/>
      </c>
      <c r="V87" s="95"/>
      <c r="W87" s="298" t="str">
        <f>IF(V87="","",IF(VLOOKUP(V87,'G-7 WaterC'' Data'!$AK$4:$AM$6,2,FALSE)=0,"Spatial Data Missing ⚠",VLOOKUP(V87,'G-7 WaterC'' Data'!$AK$4:$AM$6,2,FALSE)))</f>
        <v/>
      </c>
      <c r="X87" s="291" t="str">
        <f>IF(V87="","",IF(VLOOKUP(V87,'G-7 WaterC'' Data'!$AK$4:$AM$6,3,FALSE)=0,"Spatial Data Missing ⚠",VLOOKUP(V87,'G-7 WaterC'' Data'!$AK$4:$AM$6,3,FALSE)))</f>
        <v/>
      </c>
      <c r="Y87" s="290" t="str">
        <f>IFERROR(IF(OR(LEFT(P87,5)="Error",LEFT(O87,5)="Error ▲"),"Check Data ⚠",IF(F87&lt;S87,'G-7 WaterC'' Data'!$R$3,INDEX('G-7 WaterC'' Data'!$U$5:$Y$9,MATCH(G87,'G-7 WaterC'' Data'!$T$5:$T$9,0),MATCH(T87,'G-7 WaterC'' Data'!$U$4:$Y$4,0)))),"")</f>
        <v/>
      </c>
      <c r="Z87" s="138"/>
      <c r="AA87" s="138"/>
      <c r="AB87" s="298" t="str">
        <f t="shared" si="12"/>
        <v/>
      </c>
      <c r="AC87" s="311" t="str">
        <f t="shared" si="13"/>
        <v/>
      </c>
      <c r="AD87" s="344" t="str">
        <f>IFERROR(IF(AC87="Check Data ⚠","Check Data ⚠",VLOOKUP(AC87,'G-4 Temporal multipliers'!$A$4:$C$37,3,FALSE)),"")</f>
        <v/>
      </c>
      <c r="AE87" s="290" t="str">
        <f>IF(N87="","",VLOOKUP(N87,'G-7 WaterC'' Data'!$B$4:$G$8,5,FALSE))</f>
        <v/>
      </c>
      <c r="AF87" s="298" t="str">
        <f t="shared" si="14"/>
        <v/>
      </c>
      <c r="AG87" s="328" t="str">
        <f t="shared" si="15"/>
        <v/>
      </c>
      <c r="AH87" s="291" t="str">
        <f t="shared" si="9"/>
        <v/>
      </c>
      <c r="AI87" s="103"/>
      <c r="AJ87" s="291" t="str">
        <f>IF(AI87="","",IF(AND(AI87="N/A - Culvert",N87&lt;&gt;"Culvert"),"Not possible ▲",IF(VLOOKUP(AI87,'G-7 WaterC'' Data'!$AA$4:$AB$7,2,FALSE)=0,"Spatial Data Missing ⚠",VLOOKUP(AI87,'G-7 WaterC'' Data'!$AA$4:$AB$7,2,FALSE))))</f>
        <v/>
      </c>
      <c r="AK87" s="104"/>
      <c r="AL87" s="291" t="str">
        <f>IF(AK87="","",IF(AND(AK87="N/A - Culvert",N87&lt;&gt;"Culvert"),"Not possible ▲",IF(VLOOKUP(AK87,'G-7 WaterC'' Data'!$AD$4:$AE$14,2,FALSE)=0,"Spatial Data Missing ⚠",VLOOKUP(AK87,'G-7 WaterC'' Data'!$AD$4:$AE$14,2,FALSE))))</f>
        <v/>
      </c>
      <c r="AM87" s="332" t="str">
        <f t="shared" si="16"/>
        <v/>
      </c>
      <c r="AN87" s="98"/>
      <c r="AO87" s="99"/>
      <c r="AP87" s="101"/>
      <c r="AS87" s="15" t="str">
        <f>IF(B87="","",IF(ISNA(VLOOKUP($B87,'C-1 On-Site WaterC'' Baseline'!$C$8:$AD$257,17,FALSE)),"",(VLOOKUP($B87,'C-1 On-Site WaterC'' Baseline'!$C$8:$AD$257,17,FALSE))))</f>
        <v/>
      </c>
      <c r="AT87" s="15" t="str">
        <f>IF(B87="","",VLOOKUP($B87,'C-1 On-Site WaterC'' Baseline'!$C$9:$Z$257,12,FALSE))</f>
        <v/>
      </c>
      <c r="AU87" s="15" t="str">
        <f>IF(B87="","",VLOOKUP($B87,'C-1 On-Site WaterC'' Baseline'!$C$9:$Z$257,14,FALSE))</f>
        <v/>
      </c>
      <c r="AV87" s="15" t="str">
        <f>IFERROR(INDEX('G-7 WaterC'' Data'!$AZ$3:$AZ$7,MATCH(N87,'G-7 WaterC'' Data'!$AY$3:$AY$7,0)),"")</f>
        <v/>
      </c>
      <c r="AX87" s="15" t="str">
        <f>IF(B87="","",VLOOKUP($B87,'C-1 On-Site WaterC'' Baseline'!$C$9:$Y$257,22,FALSE))</f>
        <v/>
      </c>
      <c r="AY87" s="15" t="str">
        <f t="shared" si="17"/>
        <v/>
      </c>
      <c r="AZ87" s="15" t="str">
        <f>IF(B87="","",VLOOKUP($B87,'C-1 On-Site WaterC'' Baseline'!$C$9:$Y$257,21,FALSE))</f>
        <v/>
      </c>
      <c r="BA87" s="15" t="str">
        <f>IF(B87="","",VLOOKUP($B87,'C-1 On-Site WaterC'' Baseline'!$C$9:$Y$257,19,FALSE))</f>
        <v/>
      </c>
    </row>
    <row r="88" spans="2:53" ht="14" x14ac:dyDescent="0.3">
      <c r="B88" s="319" t="str">
        <f>'C-1 On-Site WaterC'' Baseline'!AP86</f>
        <v/>
      </c>
      <c r="C88" s="310" t="str">
        <f>IF(B88="","",VLOOKUP($B88,'C-1 On-Site WaterC'' Baseline'!$C$9:$R$257,2,FALSE))</f>
        <v/>
      </c>
      <c r="D88" s="310" t="str">
        <f>IF(C88="","",VLOOKUP($B88,'C-1 On-Site WaterC'' Baseline'!$C$9:$R$257,3,FALSE))</f>
        <v/>
      </c>
      <c r="E88" s="310" t="str">
        <f>IF(D88="","",VLOOKUP($B88,'C-1 On-Site WaterC'' Baseline'!$C$9:$R$257,4,FALSE))</f>
        <v/>
      </c>
      <c r="F88" s="310" t="str">
        <f>IF(E88="","",VLOOKUP($B88,'C-1 On-Site WaterC'' Baseline'!$C$9:$R$257,5,FALSE))</f>
        <v/>
      </c>
      <c r="G88" s="310" t="str">
        <f>IF(F88="","",VLOOKUP($B88,'C-1 On-Site WaterC'' Baseline'!$C$9:$R$257,6,FALSE))</f>
        <v/>
      </c>
      <c r="H88" s="310" t="str">
        <f>IF(G88="","",VLOOKUP($B88,'C-1 On-Site WaterC'' Baseline'!$C$9:$R$257,7,FALSE))</f>
        <v/>
      </c>
      <c r="I88" s="310" t="str">
        <f>IF(H88="","",VLOOKUP($B88,'C-1 On-Site WaterC'' Baseline'!$C$9:$R$257,8,FALSE))</f>
        <v/>
      </c>
      <c r="J88" s="310" t="str">
        <f>IF(I88="","",VLOOKUP($B88,'C-1 On-Site WaterC'' Baseline'!$C$9:$R$257,9,FALSE))</f>
        <v/>
      </c>
      <c r="K88" s="310" t="str">
        <f>IF(J88="","",VLOOKUP($B88,'C-1 On-Site WaterC'' Baseline'!$C$9:$R$257,10,FALSE))</f>
        <v/>
      </c>
      <c r="L88" s="310" t="str">
        <f>IF(B88="","",VLOOKUP($B88,'C-1 On-Site WaterC'' Baseline'!$C$9:$R$257,15,FALSE))</f>
        <v/>
      </c>
      <c r="M88" s="314" t="str">
        <f>IF(L88="","",VLOOKUP($B88,'C-1 On-Site WaterC'' Baseline'!$C$9:$R$257,16,FALSE))</f>
        <v/>
      </c>
      <c r="N88" s="259"/>
      <c r="O88" s="290" t="str">
        <f t="shared" si="10"/>
        <v/>
      </c>
      <c r="P88" s="291" t="str">
        <f t="shared" si="11"/>
        <v/>
      </c>
      <c r="Q88" s="346" t="str">
        <f>IF(N88="","",VLOOKUP(B88,'C-1 On-Site WaterC'' Baseline'!$C$10:$AC$257,20,FALSE))</f>
        <v/>
      </c>
      <c r="R88" s="290" t="str">
        <f>IF(N88="","",VLOOKUP(N88,'G-7 WaterC'' Data'!$B$2:$G$8,2,FALSE))</f>
        <v/>
      </c>
      <c r="S88" s="291" t="str">
        <f>IFERROR(VLOOKUP(R88,'G-7 WaterC'' Data'!$C$4:$D$8,2,FALSE),"")</f>
        <v/>
      </c>
      <c r="T88" s="95"/>
      <c r="U88" s="291" t="str">
        <f>IFERROR(INDEX('G-7 WaterC'' Data'!$H$4:$L$8,MATCH(N88,'G-7 WaterC'' Data'!$B$4:$B$8,0),MATCH(T88,'G-7 WaterC'' Data'!$H$3:$L$3,0)),"")</f>
        <v/>
      </c>
      <c r="V88" s="95"/>
      <c r="W88" s="298" t="str">
        <f>IF(V88="","",IF(VLOOKUP(V88,'G-7 WaterC'' Data'!$AK$4:$AM$6,2,FALSE)=0,"Spatial Data Missing ⚠",VLOOKUP(V88,'G-7 WaterC'' Data'!$AK$4:$AM$6,2,FALSE)))</f>
        <v/>
      </c>
      <c r="X88" s="291" t="str">
        <f>IF(V88="","",IF(VLOOKUP(V88,'G-7 WaterC'' Data'!$AK$4:$AM$6,3,FALSE)=0,"Spatial Data Missing ⚠",VLOOKUP(V88,'G-7 WaterC'' Data'!$AK$4:$AM$6,3,FALSE)))</f>
        <v/>
      </c>
      <c r="Y88" s="290" t="str">
        <f>IFERROR(IF(OR(LEFT(P88,5)="Error",LEFT(O88,5)="Error ▲"),"Check Data ⚠",IF(F88&lt;S88,'G-7 WaterC'' Data'!$R$3,INDEX('G-7 WaterC'' Data'!$U$5:$Y$9,MATCH(G88,'G-7 WaterC'' Data'!$T$5:$T$9,0),MATCH(T88,'G-7 WaterC'' Data'!$U$4:$Y$4,0)))),"")</f>
        <v/>
      </c>
      <c r="Z88" s="138"/>
      <c r="AA88" s="138"/>
      <c r="AB88" s="298" t="str">
        <f t="shared" si="12"/>
        <v/>
      </c>
      <c r="AC88" s="311" t="str">
        <f t="shared" si="13"/>
        <v/>
      </c>
      <c r="AD88" s="344" t="str">
        <f>IFERROR(IF(AC88="Check Data ⚠","Check Data ⚠",VLOOKUP(AC88,'G-4 Temporal multipliers'!$A$4:$C$37,3,FALSE)),"")</f>
        <v/>
      </c>
      <c r="AE88" s="290" t="str">
        <f>IF(N88="","",VLOOKUP(N88,'G-7 WaterC'' Data'!$B$4:$G$8,5,FALSE))</f>
        <v/>
      </c>
      <c r="AF88" s="298" t="str">
        <f t="shared" si="14"/>
        <v/>
      </c>
      <c r="AG88" s="328" t="str">
        <f t="shared" si="15"/>
        <v/>
      </c>
      <c r="AH88" s="291" t="str">
        <f t="shared" si="9"/>
        <v/>
      </c>
      <c r="AI88" s="103"/>
      <c r="AJ88" s="291" t="str">
        <f>IF(AI88="","",IF(AND(AI88="N/A - Culvert",N88&lt;&gt;"Culvert"),"Not possible ▲",IF(VLOOKUP(AI88,'G-7 WaterC'' Data'!$AA$4:$AB$7,2,FALSE)=0,"Spatial Data Missing ⚠",VLOOKUP(AI88,'G-7 WaterC'' Data'!$AA$4:$AB$7,2,FALSE))))</f>
        <v/>
      </c>
      <c r="AK88" s="104"/>
      <c r="AL88" s="291" t="str">
        <f>IF(AK88="","",IF(AND(AK88="N/A - Culvert",N88&lt;&gt;"Culvert"),"Not possible ▲",IF(VLOOKUP(AK88,'G-7 WaterC'' Data'!$AD$4:$AE$14,2,FALSE)=0,"Spatial Data Missing ⚠",VLOOKUP(AK88,'G-7 WaterC'' Data'!$AD$4:$AE$14,2,FALSE))))</f>
        <v/>
      </c>
      <c r="AM88" s="332" t="str">
        <f t="shared" si="16"/>
        <v/>
      </c>
      <c r="AN88" s="98"/>
      <c r="AO88" s="99"/>
      <c r="AP88" s="101"/>
      <c r="AS88" s="15" t="str">
        <f>IF(B88="","",IF(ISNA(VLOOKUP($B88,'C-1 On-Site WaterC'' Baseline'!$C$8:$AD$257,17,FALSE)),"",(VLOOKUP($B88,'C-1 On-Site WaterC'' Baseline'!$C$8:$AD$257,17,FALSE))))</f>
        <v/>
      </c>
      <c r="AT88" s="15" t="str">
        <f>IF(B88="","",VLOOKUP($B88,'C-1 On-Site WaterC'' Baseline'!$C$9:$Z$257,12,FALSE))</f>
        <v/>
      </c>
      <c r="AU88" s="15" t="str">
        <f>IF(B88="","",VLOOKUP($B88,'C-1 On-Site WaterC'' Baseline'!$C$9:$Z$257,14,FALSE))</f>
        <v/>
      </c>
      <c r="AV88" s="15" t="str">
        <f>IFERROR(INDEX('G-7 WaterC'' Data'!$AZ$3:$AZ$7,MATCH(N88,'G-7 WaterC'' Data'!$AY$3:$AY$7,0)),"")</f>
        <v/>
      </c>
      <c r="AX88" s="15" t="str">
        <f>IF(B88="","",VLOOKUP($B88,'C-1 On-Site WaterC'' Baseline'!$C$9:$Y$257,22,FALSE))</f>
        <v/>
      </c>
      <c r="AY88" s="15" t="str">
        <f t="shared" si="17"/>
        <v/>
      </c>
      <c r="AZ88" s="15" t="str">
        <f>IF(B88="","",VLOOKUP($B88,'C-1 On-Site WaterC'' Baseline'!$C$9:$Y$257,21,FALSE))</f>
        <v/>
      </c>
      <c r="BA88" s="15" t="str">
        <f>IF(B88="","",VLOOKUP($B88,'C-1 On-Site WaterC'' Baseline'!$C$9:$Y$257,19,FALSE))</f>
        <v/>
      </c>
    </row>
    <row r="89" spans="2:53" ht="14" x14ac:dyDescent="0.3">
      <c r="B89" s="319" t="str">
        <f>'C-1 On-Site WaterC'' Baseline'!AP87</f>
        <v/>
      </c>
      <c r="C89" s="310" t="str">
        <f>IF(B89="","",VLOOKUP($B89,'C-1 On-Site WaterC'' Baseline'!$C$9:$R$257,2,FALSE))</f>
        <v/>
      </c>
      <c r="D89" s="310" t="str">
        <f>IF(C89="","",VLOOKUP($B89,'C-1 On-Site WaterC'' Baseline'!$C$9:$R$257,3,FALSE))</f>
        <v/>
      </c>
      <c r="E89" s="310" t="str">
        <f>IF(D89="","",VLOOKUP($B89,'C-1 On-Site WaterC'' Baseline'!$C$9:$R$257,4,FALSE))</f>
        <v/>
      </c>
      <c r="F89" s="310" t="str">
        <f>IF(E89="","",VLOOKUP($B89,'C-1 On-Site WaterC'' Baseline'!$C$9:$R$257,5,FALSE))</f>
        <v/>
      </c>
      <c r="G89" s="310" t="str">
        <f>IF(F89="","",VLOOKUP($B89,'C-1 On-Site WaterC'' Baseline'!$C$9:$R$257,6,FALSE))</f>
        <v/>
      </c>
      <c r="H89" s="310" t="str">
        <f>IF(G89="","",VLOOKUP($B89,'C-1 On-Site WaterC'' Baseline'!$C$9:$R$257,7,FALSE))</f>
        <v/>
      </c>
      <c r="I89" s="310" t="str">
        <f>IF(H89="","",VLOOKUP($B89,'C-1 On-Site WaterC'' Baseline'!$C$9:$R$257,8,FALSE))</f>
        <v/>
      </c>
      <c r="J89" s="310" t="str">
        <f>IF(I89="","",VLOOKUP($B89,'C-1 On-Site WaterC'' Baseline'!$C$9:$R$257,9,FALSE))</f>
        <v/>
      </c>
      <c r="K89" s="310" t="str">
        <f>IF(J89="","",VLOOKUP($B89,'C-1 On-Site WaterC'' Baseline'!$C$9:$R$257,10,FALSE))</f>
        <v/>
      </c>
      <c r="L89" s="310" t="str">
        <f>IF(B89="","",VLOOKUP($B89,'C-1 On-Site WaterC'' Baseline'!$C$9:$R$257,15,FALSE))</f>
        <v/>
      </c>
      <c r="M89" s="314" t="str">
        <f>IF(L89="","",VLOOKUP($B89,'C-1 On-Site WaterC'' Baseline'!$C$9:$R$257,16,FALSE))</f>
        <v/>
      </c>
      <c r="N89" s="259"/>
      <c r="O89" s="290" t="str">
        <f t="shared" si="10"/>
        <v/>
      </c>
      <c r="P89" s="291" t="str">
        <f t="shared" si="11"/>
        <v/>
      </c>
      <c r="Q89" s="346" t="str">
        <f>IF(N89="","",VLOOKUP(B89,'C-1 On-Site WaterC'' Baseline'!$C$10:$AC$257,20,FALSE))</f>
        <v/>
      </c>
      <c r="R89" s="290" t="str">
        <f>IF(N89="","",VLOOKUP(N89,'G-7 WaterC'' Data'!$B$2:$G$8,2,FALSE))</f>
        <v/>
      </c>
      <c r="S89" s="291" t="str">
        <f>IFERROR(VLOOKUP(R89,'G-7 WaterC'' Data'!$C$4:$D$8,2,FALSE),"")</f>
        <v/>
      </c>
      <c r="T89" s="95"/>
      <c r="U89" s="291" t="str">
        <f>IFERROR(INDEX('G-7 WaterC'' Data'!$H$4:$L$8,MATCH(N89,'G-7 WaterC'' Data'!$B$4:$B$8,0),MATCH(T89,'G-7 WaterC'' Data'!$H$3:$L$3,0)),"")</f>
        <v/>
      </c>
      <c r="V89" s="95"/>
      <c r="W89" s="298" t="str">
        <f>IF(V89="","",IF(VLOOKUP(V89,'G-7 WaterC'' Data'!$AK$4:$AM$6,2,FALSE)=0,"Spatial Data Missing ⚠",VLOOKUP(V89,'G-7 WaterC'' Data'!$AK$4:$AM$6,2,FALSE)))</f>
        <v/>
      </c>
      <c r="X89" s="291" t="str">
        <f>IF(V89="","",IF(VLOOKUP(V89,'G-7 WaterC'' Data'!$AK$4:$AM$6,3,FALSE)=0,"Spatial Data Missing ⚠",VLOOKUP(V89,'G-7 WaterC'' Data'!$AK$4:$AM$6,3,FALSE)))</f>
        <v/>
      </c>
      <c r="Y89" s="290" t="str">
        <f>IFERROR(IF(OR(LEFT(P89,5)="Error",LEFT(O89,5)="Error ▲"),"Check Data ⚠",IF(F89&lt;S89,'G-7 WaterC'' Data'!$R$3,INDEX('G-7 WaterC'' Data'!$U$5:$Y$9,MATCH(G89,'G-7 WaterC'' Data'!$T$5:$T$9,0),MATCH(T89,'G-7 WaterC'' Data'!$U$4:$Y$4,0)))),"")</f>
        <v/>
      </c>
      <c r="Z89" s="138"/>
      <c r="AA89" s="138"/>
      <c r="AB89" s="298" t="str">
        <f t="shared" si="12"/>
        <v/>
      </c>
      <c r="AC89" s="311" t="str">
        <f t="shared" si="13"/>
        <v/>
      </c>
      <c r="AD89" s="344" t="str">
        <f>IFERROR(IF(AC89="Check Data ⚠","Check Data ⚠",VLOOKUP(AC89,'G-4 Temporal multipliers'!$A$4:$C$37,3,FALSE)),"")</f>
        <v/>
      </c>
      <c r="AE89" s="290" t="str">
        <f>IF(N89="","",VLOOKUP(N89,'G-7 WaterC'' Data'!$B$4:$G$8,5,FALSE))</f>
        <v/>
      </c>
      <c r="AF89" s="298" t="str">
        <f t="shared" si="14"/>
        <v/>
      </c>
      <c r="AG89" s="328" t="str">
        <f t="shared" si="15"/>
        <v/>
      </c>
      <c r="AH89" s="291" t="str">
        <f t="shared" si="9"/>
        <v/>
      </c>
      <c r="AI89" s="103"/>
      <c r="AJ89" s="291" t="str">
        <f>IF(AI89="","",IF(AND(AI89="N/A - Culvert",N89&lt;&gt;"Culvert"),"Not possible ▲",IF(VLOOKUP(AI89,'G-7 WaterC'' Data'!$AA$4:$AB$7,2,FALSE)=0,"Spatial Data Missing ⚠",VLOOKUP(AI89,'G-7 WaterC'' Data'!$AA$4:$AB$7,2,FALSE))))</f>
        <v/>
      </c>
      <c r="AK89" s="104"/>
      <c r="AL89" s="291" t="str">
        <f>IF(AK89="","",IF(AND(AK89="N/A - Culvert",N89&lt;&gt;"Culvert"),"Not possible ▲",IF(VLOOKUP(AK89,'G-7 WaterC'' Data'!$AD$4:$AE$14,2,FALSE)=0,"Spatial Data Missing ⚠",VLOOKUP(AK89,'G-7 WaterC'' Data'!$AD$4:$AE$14,2,FALSE))))</f>
        <v/>
      </c>
      <c r="AM89" s="332" t="str">
        <f t="shared" si="16"/>
        <v/>
      </c>
      <c r="AN89" s="98"/>
      <c r="AO89" s="99"/>
      <c r="AP89" s="101"/>
      <c r="AS89" s="15" t="str">
        <f>IF(B89="","",IF(ISNA(VLOOKUP($B89,'C-1 On-Site WaterC'' Baseline'!$C$8:$AD$257,17,FALSE)),"",(VLOOKUP($B89,'C-1 On-Site WaterC'' Baseline'!$C$8:$AD$257,17,FALSE))))</f>
        <v/>
      </c>
      <c r="AT89" s="15" t="str">
        <f>IF(B89="","",VLOOKUP($B89,'C-1 On-Site WaterC'' Baseline'!$C$9:$Z$257,12,FALSE))</f>
        <v/>
      </c>
      <c r="AU89" s="15" t="str">
        <f>IF(B89="","",VLOOKUP($B89,'C-1 On-Site WaterC'' Baseline'!$C$9:$Z$257,14,FALSE))</f>
        <v/>
      </c>
      <c r="AV89" s="15" t="str">
        <f>IFERROR(INDEX('G-7 WaterC'' Data'!$AZ$3:$AZ$7,MATCH(N89,'G-7 WaterC'' Data'!$AY$3:$AY$7,0)),"")</f>
        <v/>
      </c>
      <c r="AX89" s="15" t="str">
        <f>IF(B89="","",VLOOKUP($B89,'C-1 On-Site WaterC'' Baseline'!$C$9:$Y$257,22,FALSE))</f>
        <v/>
      </c>
      <c r="AY89" s="15" t="str">
        <f t="shared" si="17"/>
        <v/>
      </c>
      <c r="AZ89" s="15" t="str">
        <f>IF(B89="","",VLOOKUP($B89,'C-1 On-Site WaterC'' Baseline'!$C$9:$Y$257,21,FALSE))</f>
        <v/>
      </c>
      <c r="BA89" s="15" t="str">
        <f>IF(B89="","",VLOOKUP($B89,'C-1 On-Site WaterC'' Baseline'!$C$9:$Y$257,19,FALSE))</f>
        <v/>
      </c>
    </row>
    <row r="90" spans="2:53" ht="14" x14ac:dyDescent="0.3">
      <c r="B90" s="319" t="str">
        <f>'C-1 On-Site WaterC'' Baseline'!AP88</f>
        <v/>
      </c>
      <c r="C90" s="310" t="str">
        <f>IF(B90="","",VLOOKUP($B90,'C-1 On-Site WaterC'' Baseline'!$C$9:$R$257,2,FALSE))</f>
        <v/>
      </c>
      <c r="D90" s="310" t="str">
        <f>IF(C90="","",VLOOKUP($B90,'C-1 On-Site WaterC'' Baseline'!$C$9:$R$257,3,FALSE))</f>
        <v/>
      </c>
      <c r="E90" s="310" t="str">
        <f>IF(D90="","",VLOOKUP($B90,'C-1 On-Site WaterC'' Baseline'!$C$9:$R$257,4,FALSE))</f>
        <v/>
      </c>
      <c r="F90" s="310" t="str">
        <f>IF(E90="","",VLOOKUP($B90,'C-1 On-Site WaterC'' Baseline'!$C$9:$R$257,5,FALSE))</f>
        <v/>
      </c>
      <c r="G90" s="310" t="str">
        <f>IF(F90="","",VLOOKUP($B90,'C-1 On-Site WaterC'' Baseline'!$C$9:$R$257,6,FALSE))</f>
        <v/>
      </c>
      <c r="H90" s="310" t="str">
        <f>IF(G90="","",VLOOKUP($B90,'C-1 On-Site WaterC'' Baseline'!$C$9:$R$257,7,FALSE))</f>
        <v/>
      </c>
      <c r="I90" s="310" t="str">
        <f>IF(H90="","",VLOOKUP($B90,'C-1 On-Site WaterC'' Baseline'!$C$9:$R$257,8,FALSE))</f>
        <v/>
      </c>
      <c r="J90" s="310" t="str">
        <f>IF(I90="","",VLOOKUP($B90,'C-1 On-Site WaterC'' Baseline'!$C$9:$R$257,9,FALSE))</f>
        <v/>
      </c>
      <c r="K90" s="310" t="str">
        <f>IF(J90="","",VLOOKUP($B90,'C-1 On-Site WaterC'' Baseline'!$C$9:$R$257,10,FALSE))</f>
        <v/>
      </c>
      <c r="L90" s="310" t="str">
        <f>IF(B90="","",VLOOKUP($B90,'C-1 On-Site WaterC'' Baseline'!$C$9:$R$257,15,FALSE))</f>
        <v/>
      </c>
      <c r="M90" s="314" t="str">
        <f>IF(L90="","",VLOOKUP($B90,'C-1 On-Site WaterC'' Baseline'!$C$9:$R$257,16,FALSE))</f>
        <v/>
      </c>
      <c r="N90" s="259"/>
      <c r="O90" s="290" t="str">
        <f t="shared" si="10"/>
        <v/>
      </c>
      <c r="P90" s="291" t="str">
        <f t="shared" si="11"/>
        <v/>
      </c>
      <c r="Q90" s="346" t="str">
        <f>IF(N90="","",VLOOKUP(B90,'C-1 On-Site WaterC'' Baseline'!$C$10:$AC$257,20,FALSE))</f>
        <v/>
      </c>
      <c r="R90" s="290" t="str">
        <f>IF(N90="","",VLOOKUP(N90,'G-7 WaterC'' Data'!$B$2:$G$8,2,FALSE))</f>
        <v/>
      </c>
      <c r="S90" s="291" t="str">
        <f>IFERROR(VLOOKUP(R90,'G-7 WaterC'' Data'!$C$4:$D$8,2,FALSE),"")</f>
        <v/>
      </c>
      <c r="T90" s="95"/>
      <c r="U90" s="291" t="str">
        <f>IFERROR(INDEX('G-7 WaterC'' Data'!$H$4:$L$8,MATCH(N90,'G-7 WaterC'' Data'!$B$4:$B$8,0),MATCH(T90,'G-7 WaterC'' Data'!$H$3:$L$3,0)),"")</f>
        <v/>
      </c>
      <c r="V90" s="95"/>
      <c r="W90" s="298" t="str">
        <f>IF(V90="","",IF(VLOOKUP(V90,'G-7 WaterC'' Data'!$AK$4:$AM$6,2,FALSE)=0,"Spatial Data Missing ⚠",VLOOKUP(V90,'G-7 WaterC'' Data'!$AK$4:$AM$6,2,FALSE)))</f>
        <v/>
      </c>
      <c r="X90" s="291" t="str">
        <f>IF(V90="","",IF(VLOOKUP(V90,'G-7 WaterC'' Data'!$AK$4:$AM$6,3,FALSE)=0,"Spatial Data Missing ⚠",VLOOKUP(V90,'G-7 WaterC'' Data'!$AK$4:$AM$6,3,FALSE)))</f>
        <v/>
      </c>
      <c r="Y90" s="290" t="str">
        <f>IFERROR(IF(OR(LEFT(P90,5)="Error",LEFT(O90,5)="Error ▲"),"Check Data ⚠",IF(F90&lt;S90,'G-7 WaterC'' Data'!$R$3,INDEX('G-7 WaterC'' Data'!$U$5:$Y$9,MATCH(G90,'G-7 WaterC'' Data'!$T$5:$T$9,0),MATCH(T90,'G-7 WaterC'' Data'!$U$4:$Y$4,0)))),"")</f>
        <v/>
      </c>
      <c r="Z90" s="138"/>
      <c r="AA90" s="138"/>
      <c r="AB90" s="298" t="str">
        <f t="shared" si="12"/>
        <v/>
      </c>
      <c r="AC90" s="311" t="str">
        <f t="shared" si="13"/>
        <v/>
      </c>
      <c r="AD90" s="344" t="str">
        <f>IFERROR(IF(AC90="Check Data ⚠","Check Data ⚠",VLOOKUP(AC90,'G-4 Temporal multipliers'!$A$4:$C$37,3,FALSE)),"")</f>
        <v/>
      </c>
      <c r="AE90" s="290" t="str">
        <f>IF(N90="","",VLOOKUP(N90,'G-7 WaterC'' Data'!$B$4:$G$8,5,FALSE))</f>
        <v/>
      </c>
      <c r="AF90" s="298" t="str">
        <f t="shared" si="14"/>
        <v/>
      </c>
      <c r="AG90" s="328" t="str">
        <f t="shared" si="15"/>
        <v/>
      </c>
      <c r="AH90" s="291" t="str">
        <f t="shared" si="9"/>
        <v/>
      </c>
      <c r="AI90" s="103"/>
      <c r="AJ90" s="291" t="str">
        <f>IF(AI90="","",IF(AND(AI90="N/A - Culvert",N90&lt;&gt;"Culvert"),"Not possible ▲",IF(VLOOKUP(AI90,'G-7 WaterC'' Data'!$AA$4:$AB$7,2,FALSE)=0,"Spatial Data Missing ⚠",VLOOKUP(AI90,'G-7 WaterC'' Data'!$AA$4:$AB$7,2,FALSE))))</f>
        <v/>
      </c>
      <c r="AK90" s="104"/>
      <c r="AL90" s="291" t="str">
        <f>IF(AK90="","",IF(AND(AK90="N/A - Culvert",N90&lt;&gt;"Culvert"),"Not possible ▲",IF(VLOOKUP(AK90,'G-7 WaterC'' Data'!$AD$4:$AE$14,2,FALSE)=0,"Spatial Data Missing ⚠",VLOOKUP(AK90,'G-7 WaterC'' Data'!$AD$4:$AE$14,2,FALSE))))</f>
        <v/>
      </c>
      <c r="AM90" s="332" t="str">
        <f t="shared" si="16"/>
        <v/>
      </c>
      <c r="AN90" s="98"/>
      <c r="AO90" s="99"/>
      <c r="AP90" s="101"/>
      <c r="AS90" s="15" t="str">
        <f>IF(B90="","",IF(ISNA(VLOOKUP($B90,'C-1 On-Site WaterC'' Baseline'!$C$8:$AD$257,17,FALSE)),"",(VLOOKUP($B90,'C-1 On-Site WaterC'' Baseline'!$C$8:$AD$257,17,FALSE))))</f>
        <v/>
      </c>
      <c r="AT90" s="15" t="str">
        <f>IF(B90="","",VLOOKUP($B90,'C-1 On-Site WaterC'' Baseline'!$C$9:$Z$257,12,FALSE))</f>
        <v/>
      </c>
      <c r="AU90" s="15" t="str">
        <f>IF(B90="","",VLOOKUP($B90,'C-1 On-Site WaterC'' Baseline'!$C$9:$Z$257,14,FALSE))</f>
        <v/>
      </c>
      <c r="AV90" s="15" t="str">
        <f>IFERROR(INDEX('G-7 WaterC'' Data'!$AZ$3:$AZ$7,MATCH(N90,'G-7 WaterC'' Data'!$AY$3:$AY$7,0)),"")</f>
        <v/>
      </c>
      <c r="AX90" s="15" t="str">
        <f>IF(B90="","",VLOOKUP($B90,'C-1 On-Site WaterC'' Baseline'!$C$9:$Y$257,22,FALSE))</f>
        <v/>
      </c>
      <c r="AY90" s="15" t="str">
        <f t="shared" si="17"/>
        <v/>
      </c>
      <c r="AZ90" s="15" t="str">
        <f>IF(B90="","",VLOOKUP($B90,'C-1 On-Site WaterC'' Baseline'!$C$9:$Y$257,21,FALSE))</f>
        <v/>
      </c>
      <c r="BA90" s="15" t="str">
        <f>IF(B90="","",VLOOKUP($B90,'C-1 On-Site WaterC'' Baseline'!$C$9:$Y$257,19,FALSE))</f>
        <v/>
      </c>
    </row>
    <row r="91" spans="2:53" ht="14" x14ac:dyDescent="0.3">
      <c r="B91" s="319" t="str">
        <f>'C-1 On-Site WaterC'' Baseline'!AP89</f>
        <v/>
      </c>
      <c r="C91" s="310" t="str">
        <f>IF(B91="","",VLOOKUP($B91,'C-1 On-Site WaterC'' Baseline'!$C$9:$R$257,2,FALSE))</f>
        <v/>
      </c>
      <c r="D91" s="310" t="str">
        <f>IF(C91="","",VLOOKUP($B91,'C-1 On-Site WaterC'' Baseline'!$C$9:$R$257,3,FALSE))</f>
        <v/>
      </c>
      <c r="E91" s="310" t="str">
        <f>IF(D91="","",VLOOKUP($B91,'C-1 On-Site WaterC'' Baseline'!$C$9:$R$257,4,FALSE))</f>
        <v/>
      </c>
      <c r="F91" s="310" t="str">
        <f>IF(E91="","",VLOOKUP($B91,'C-1 On-Site WaterC'' Baseline'!$C$9:$R$257,5,FALSE))</f>
        <v/>
      </c>
      <c r="G91" s="310" t="str">
        <f>IF(F91="","",VLOOKUP($B91,'C-1 On-Site WaterC'' Baseline'!$C$9:$R$257,6,FALSE))</f>
        <v/>
      </c>
      <c r="H91" s="310" t="str">
        <f>IF(G91="","",VLOOKUP($B91,'C-1 On-Site WaterC'' Baseline'!$C$9:$R$257,7,FALSE))</f>
        <v/>
      </c>
      <c r="I91" s="310" t="str">
        <f>IF(H91="","",VLOOKUP($B91,'C-1 On-Site WaterC'' Baseline'!$C$9:$R$257,8,FALSE))</f>
        <v/>
      </c>
      <c r="J91" s="310" t="str">
        <f>IF(I91="","",VLOOKUP($B91,'C-1 On-Site WaterC'' Baseline'!$C$9:$R$257,9,FALSE))</f>
        <v/>
      </c>
      <c r="K91" s="310" t="str">
        <f>IF(J91="","",VLOOKUP($B91,'C-1 On-Site WaterC'' Baseline'!$C$9:$R$257,10,FALSE))</f>
        <v/>
      </c>
      <c r="L91" s="310" t="str">
        <f>IF(B91="","",VLOOKUP($B91,'C-1 On-Site WaterC'' Baseline'!$C$9:$R$257,15,FALSE))</f>
        <v/>
      </c>
      <c r="M91" s="314" t="str">
        <f>IF(L91="","",VLOOKUP($B91,'C-1 On-Site WaterC'' Baseline'!$C$9:$R$257,16,FALSE))</f>
        <v/>
      </c>
      <c r="N91" s="259"/>
      <c r="O91" s="290" t="str">
        <f t="shared" si="10"/>
        <v/>
      </c>
      <c r="P91" s="291" t="str">
        <f t="shared" si="11"/>
        <v/>
      </c>
      <c r="Q91" s="346" t="str">
        <f>IF(N91="","",VLOOKUP(B91,'C-1 On-Site WaterC'' Baseline'!$C$10:$AC$257,20,FALSE))</f>
        <v/>
      </c>
      <c r="R91" s="290" t="str">
        <f>IF(N91="","",VLOOKUP(N91,'G-7 WaterC'' Data'!$B$2:$G$8,2,FALSE))</f>
        <v/>
      </c>
      <c r="S91" s="291" t="str">
        <f>IFERROR(VLOOKUP(R91,'G-7 WaterC'' Data'!$C$4:$D$8,2,FALSE),"")</f>
        <v/>
      </c>
      <c r="T91" s="95"/>
      <c r="U91" s="291" t="str">
        <f>IFERROR(INDEX('G-7 WaterC'' Data'!$H$4:$L$8,MATCH(N91,'G-7 WaterC'' Data'!$B$4:$B$8,0),MATCH(T91,'G-7 WaterC'' Data'!$H$3:$L$3,0)),"")</f>
        <v/>
      </c>
      <c r="V91" s="95"/>
      <c r="W91" s="298" t="str">
        <f>IF(V91="","",IF(VLOOKUP(V91,'G-7 WaterC'' Data'!$AK$4:$AM$6,2,FALSE)=0,"Spatial Data Missing ⚠",VLOOKUP(V91,'G-7 WaterC'' Data'!$AK$4:$AM$6,2,FALSE)))</f>
        <v/>
      </c>
      <c r="X91" s="291" t="str">
        <f>IF(V91="","",IF(VLOOKUP(V91,'G-7 WaterC'' Data'!$AK$4:$AM$6,3,FALSE)=0,"Spatial Data Missing ⚠",VLOOKUP(V91,'G-7 WaterC'' Data'!$AK$4:$AM$6,3,FALSE)))</f>
        <v/>
      </c>
      <c r="Y91" s="290" t="str">
        <f>IFERROR(IF(OR(LEFT(P91,5)="Error",LEFT(O91,5)="Error ▲"),"Check Data ⚠",IF(F91&lt;S91,'G-7 WaterC'' Data'!$R$3,INDEX('G-7 WaterC'' Data'!$U$5:$Y$9,MATCH(G91,'G-7 WaterC'' Data'!$T$5:$T$9,0),MATCH(T91,'G-7 WaterC'' Data'!$U$4:$Y$4,0)))),"")</f>
        <v/>
      </c>
      <c r="Z91" s="138"/>
      <c r="AA91" s="138"/>
      <c r="AB91" s="298" t="str">
        <f t="shared" si="12"/>
        <v/>
      </c>
      <c r="AC91" s="311" t="str">
        <f t="shared" si="13"/>
        <v/>
      </c>
      <c r="AD91" s="344" t="str">
        <f>IFERROR(IF(AC91="Check Data ⚠","Check Data ⚠",VLOOKUP(AC91,'G-4 Temporal multipliers'!$A$4:$C$37,3,FALSE)),"")</f>
        <v/>
      </c>
      <c r="AE91" s="290" t="str">
        <f>IF(N91="","",VLOOKUP(N91,'G-7 WaterC'' Data'!$B$4:$G$8,5,FALSE))</f>
        <v/>
      </c>
      <c r="AF91" s="298" t="str">
        <f t="shared" si="14"/>
        <v/>
      </c>
      <c r="AG91" s="328" t="str">
        <f t="shared" si="15"/>
        <v/>
      </c>
      <c r="AH91" s="291" t="str">
        <f t="shared" si="9"/>
        <v/>
      </c>
      <c r="AI91" s="103"/>
      <c r="AJ91" s="291" t="str">
        <f>IF(AI91="","",IF(AND(AI91="N/A - Culvert",N91&lt;&gt;"Culvert"),"Not possible ▲",IF(VLOOKUP(AI91,'G-7 WaterC'' Data'!$AA$4:$AB$7,2,FALSE)=0,"Spatial Data Missing ⚠",VLOOKUP(AI91,'G-7 WaterC'' Data'!$AA$4:$AB$7,2,FALSE))))</f>
        <v/>
      </c>
      <c r="AK91" s="104"/>
      <c r="AL91" s="291" t="str">
        <f>IF(AK91="","",IF(AND(AK91="N/A - Culvert",N91&lt;&gt;"Culvert"),"Not possible ▲",IF(VLOOKUP(AK91,'G-7 WaterC'' Data'!$AD$4:$AE$14,2,FALSE)=0,"Spatial Data Missing ⚠",VLOOKUP(AK91,'G-7 WaterC'' Data'!$AD$4:$AE$14,2,FALSE))))</f>
        <v/>
      </c>
      <c r="AM91" s="332" t="str">
        <f t="shared" si="16"/>
        <v/>
      </c>
      <c r="AN91" s="98"/>
      <c r="AO91" s="99"/>
      <c r="AP91" s="101"/>
      <c r="AS91" s="15" t="str">
        <f>IF(B91="","",IF(ISNA(VLOOKUP($B91,'C-1 On-Site WaterC'' Baseline'!$C$8:$AD$257,17,FALSE)),"",(VLOOKUP($B91,'C-1 On-Site WaterC'' Baseline'!$C$8:$AD$257,17,FALSE))))</f>
        <v/>
      </c>
      <c r="AT91" s="15" t="str">
        <f>IF(B91="","",VLOOKUP($B91,'C-1 On-Site WaterC'' Baseline'!$C$9:$Z$257,12,FALSE))</f>
        <v/>
      </c>
      <c r="AU91" s="15" t="str">
        <f>IF(B91="","",VLOOKUP($B91,'C-1 On-Site WaterC'' Baseline'!$C$9:$Z$257,14,FALSE))</f>
        <v/>
      </c>
      <c r="AV91" s="15" t="str">
        <f>IFERROR(INDEX('G-7 WaterC'' Data'!$AZ$3:$AZ$7,MATCH(N91,'G-7 WaterC'' Data'!$AY$3:$AY$7,0)),"")</f>
        <v/>
      </c>
      <c r="AX91" s="15" t="str">
        <f>IF(B91="","",VLOOKUP($B91,'C-1 On-Site WaterC'' Baseline'!$C$9:$Y$257,22,FALSE))</f>
        <v/>
      </c>
      <c r="AY91" s="15" t="str">
        <f t="shared" si="17"/>
        <v/>
      </c>
      <c r="AZ91" s="15" t="str">
        <f>IF(B91="","",VLOOKUP($B91,'C-1 On-Site WaterC'' Baseline'!$C$9:$Y$257,21,FALSE))</f>
        <v/>
      </c>
      <c r="BA91" s="15" t="str">
        <f>IF(B91="","",VLOOKUP($B91,'C-1 On-Site WaterC'' Baseline'!$C$9:$Y$257,19,FALSE))</f>
        <v/>
      </c>
    </row>
    <row r="92" spans="2:53" ht="14" x14ac:dyDescent="0.3">
      <c r="B92" s="319" t="str">
        <f>'C-1 On-Site WaterC'' Baseline'!AP90</f>
        <v/>
      </c>
      <c r="C92" s="310" t="str">
        <f>IF(B92="","",VLOOKUP($B92,'C-1 On-Site WaterC'' Baseline'!$C$9:$R$257,2,FALSE))</f>
        <v/>
      </c>
      <c r="D92" s="310" t="str">
        <f>IF(C92="","",VLOOKUP($B92,'C-1 On-Site WaterC'' Baseline'!$C$9:$R$257,3,FALSE))</f>
        <v/>
      </c>
      <c r="E92" s="310" t="str">
        <f>IF(D92="","",VLOOKUP($B92,'C-1 On-Site WaterC'' Baseline'!$C$9:$R$257,4,FALSE))</f>
        <v/>
      </c>
      <c r="F92" s="310" t="str">
        <f>IF(E92="","",VLOOKUP($B92,'C-1 On-Site WaterC'' Baseline'!$C$9:$R$257,5,FALSE))</f>
        <v/>
      </c>
      <c r="G92" s="310" t="str">
        <f>IF(F92="","",VLOOKUP($B92,'C-1 On-Site WaterC'' Baseline'!$C$9:$R$257,6,FALSE))</f>
        <v/>
      </c>
      <c r="H92" s="310" t="str">
        <f>IF(G92="","",VLOOKUP($B92,'C-1 On-Site WaterC'' Baseline'!$C$9:$R$257,7,FALSE))</f>
        <v/>
      </c>
      <c r="I92" s="310" t="str">
        <f>IF(H92="","",VLOOKUP($B92,'C-1 On-Site WaterC'' Baseline'!$C$9:$R$257,8,FALSE))</f>
        <v/>
      </c>
      <c r="J92" s="310" t="str">
        <f>IF(I92="","",VLOOKUP($B92,'C-1 On-Site WaterC'' Baseline'!$C$9:$R$257,9,FALSE))</f>
        <v/>
      </c>
      <c r="K92" s="310" t="str">
        <f>IF(J92="","",VLOOKUP($B92,'C-1 On-Site WaterC'' Baseline'!$C$9:$R$257,10,FALSE))</f>
        <v/>
      </c>
      <c r="L92" s="310" t="str">
        <f>IF(B92="","",VLOOKUP($B92,'C-1 On-Site WaterC'' Baseline'!$C$9:$R$257,15,FALSE))</f>
        <v/>
      </c>
      <c r="M92" s="314" t="str">
        <f>IF(L92="","",VLOOKUP($B92,'C-1 On-Site WaterC'' Baseline'!$C$9:$R$257,16,FALSE))</f>
        <v/>
      </c>
      <c r="N92" s="259"/>
      <c r="O92" s="290" t="str">
        <f t="shared" si="10"/>
        <v/>
      </c>
      <c r="P92" s="291" t="str">
        <f t="shared" si="11"/>
        <v/>
      </c>
      <c r="Q92" s="346" t="str">
        <f>IF(N92="","",VLOOKUP(B92,'C-1 On-Site WaterC'' Baseline'!$C$10:$AC$257,20,FALSE))</f>
        <v/>
      </c>
      <c r="R92" s="290" t="str">
        <f>IF(N92="","",VLOOKUP(N92,'G-7 WaterC'' Data'!$B$2:$G$8,2,FALSE))</f>
        <v/>
      </c>
      <c r="S92" s="291" t="str">
        <f>IFERROR(VLOOKUP(R92,'G-7 WaterC'' Data'!$C$4:$D$8,2,FALSE),"")</f>
        <v/>
      </c>
      <c r="T92" s="95"/>
      <c r="U92" s="291" t="str">
        <f>IFERROR(INDEX('G-7 WaterC'' Data'!$H$4:$L$8,MATCH(N92,'G-7 WaterC'' Data'!$B$4:$B$8,0),MATCH(T92,'G-7 WaterC'' Data'!$H$3:$L$3,0)),"")</f>
        <v/>
      </c>
      <c r="V92" s="95"/>
      <c r="W92" s="298" t="str">
        <f>IF(V92="","",IF(VLOOKUP(V92,'G-7 WaterC'' Data'!$AK$4:$AM$6,2,FALSE)=0,"Spatial Data Missing ⚠",VLOOKUP(V92,'G-7 WaterC'' Data'!$AK$4:$AM$6,2,FALSE)))</f>
        <v/>
      </c>
      <c r="X92" s="291" t="str">
        <f>IF(V92="","",IF(VLOOKUP(V92,'G-7 WaterC'' Data'!$AK$4:$AM$6,3,FALSE)=0,"Spatial Data Missing ⚠",VLOOKUP(V92,'G-7 WaterC'' Data'!$AK$4:$AM$6,3,FALSE)))</f>
        <v/>
      </c>
      <c r="Y92" s="290" t="str">
        <f>IFERROR(IF(OR(LEFT(P92,5)="Error",LEFT(O92,5)="Error ▲"),"Check Data ⚠",IF(F92&lt;S92,'G-7 WaterC'' Data'!$R$3,INDEX('G-7 WaterC'' Data'!$U$5:$Y$9,MATCH(G92,'G-7 WaterC'' Data'!$T$5:$T$9,0),MATCH(T92,'G-7 WaterC'' Data'!$U$4:$Y$4,0)))),"")</f>
        <v/>
      </c>
      <c r="Z92" s="138"/>
      <c r="AA92" s="138"/>
      <c r="AB92" s="298" t="str">
        <f t="shared" si="12"/>
        <v/>
      </c>
      <c r="AC92" s="311" t="str">
        <f t="shared" si="13"/>
        <v/>
      </c>
      <c r="AD92" s="344" t="str">
        <f>IFERROR(IF(AC92="Check Data ⚠","Check Data ⚠",VLOOKUP(AC92,'G-4 Temporal multipliers'!$A$4:$C$37,3,FALSE)),"")</f>
        <v/>
      </c>
      <c r="AE92" s="290" t="str">
        <f>IF(N92="","",VLOOKUP(N92,'G-7 WaterC'' Data'!$B$4:$G$8,5,FALSE))</f>
        <v/>
      </c>
      <c r="AF92" s="298" t="str">
        <f t="shared" si="14"/>
        <v/>
      </c>
      <c r="AG92" s="328" t="str">
        <f t="shared" si="15"/>
        <v/>
      </c>
      <c r="AH92" s="291" t="str">
        <f t="shared" si="9"/>
        <v/>
      </c>
      <c r="AI92" s="103"/>
      <c r="AJ92" s="291" t="str">
        <f>IF(AI92="","",IF(AND(AI92="N/A - Culvert",N92&lt;&gt;"Culvert"),"Not possible ▲",IF(VLOOKUP(AI92,'G-7 WaterC'' Data'!$AA$4:$AB$7,2,FALSE)=0,"Spatial Data Missing ⚠",VLOOKUP(AI92,'G-7 WaterC'' Data'!$AA$4:$AB$7,2,FALSE))))</f>
        <v/>
      </c>
      <c r="AK92" s="104"/>
      <c r="AL92" s="291" t="str">
        <f>IF(AK92="","",IF(AND(AK92="N/A - Culvert",N92&lt;&gt;"Culvert"),"Not possible ▲",IF(VLOOKUP(AK92,'G-7 WaterC'' Data'!$AD$4:$AE$14,2,FALSE)=0,"Spatial Data Missing ⚠",VLOOKUP(AK92,'G-7 WaterC'' Data'!$AD$4:$AE$14,2,FALSE))))</f>
        <v/>
      </c>
      <c r="AM92" s="332" t="str">
        <f t="shared" si="16"/>
        <v/>
      </c>
      <c r="AN92" s="98"/>
      <c r="AO92" s="99"/>
      <c r="AP92" s="101"/>
      <c r="AS92" s="15" t="str">
        <f>IF(B92="","",IF(ISNA(VLOOKUP($B92,'C-1 On-Site WaterC'' Baseline'!$C$8:$AD$257,17,FALSE)),"",(VLOOKUP($B92,'C-1 On-Site WaterC'' Baseline'!$C$8:$AD$257,17,FALSE))))</f>
        <v/>
      </c>
      <c r="AT92" s="15" t="str">
        <f>IF(B92="","",VLOOKUP($B92,'C-1 On-Site WaterC'' Baseline'!$C$9:$Z$257,12,FALSE))</f>
        <v/>
      </c>
      <c r="AU92" s="15" t="str">
        <f>IF(B92="","",VLOOKUP($B92,'C-1 On-Site WaterC'' Baseline'!$C$9:$Z$257,14,FALSE))</f>
        <v/>
      </c>
      <c r="AV92" s="15" t="str">
        <f>IFERROR(INDEX('G-7 WaterC'' Data'!$AZ$3:$AZ$7,MATCH(N92,'G-7 WaterC'' Data'!$AY$3:$AY$7,0)),"")</f>
        <v/>
      </c>
      <c r="AX92" s="15" t="str">
        <f>IF(B92="","",VLOOKUP($B92,'C-1 On-Site WaterC'' Baseline'!$C$9:$Y$257,22,FALSE))</f>
        <v/>
      </c>
      <c r="AY92" s="15" t="str">
        <f t="shared" si="17"/>
        <v/>
      </c>
      <c r="AZ92" s="15" t="str">
        <f>IF(B92="","",VLOOKUP($B92,'C-1 On-Site WaterC'' Baseline'!$C$9:$Y$257,21,FALSE))</f>
        <v/>
      </c>
      <c r="BA92" s="15" t="str">
        <f>IF(B92="","",VLOOKUP($B92,'C-1 On-Site WaterC'' Baseline'!$C$9:$Y$257,19,FALSE))</f>
        <v/>
      </c>
    </row>
    <row r="93" spans="2:53" ht="14" x14ac:dyDescent="0.3">
      <c r="B93" s="319" t="str">
        <f>'C-1 On-Site WaterC'' Baseline'!AP91</f>
        <v/>
      </c>
      <c r="C93" s="310" t="str">
        <f>IF(B93="","",VLOOKUP($B93,'C-1 On-Site WaterC'' Baseline'!$C$9:$R$257,2,FALSE))</f>
        <v/>
      </c>
      <c r="D93" s="310" t="str">
        <f>IF(C93="","",VLOOKUP($B93,'C-1 On-Site WaterC'' Baseline'!$C$9:$R$257,3,FALSE))</f>
        <v/>
      </c>
      <c r="E93" s="310" t="str">
        <f>IF(D93="","",VLOOKUP($B93,'C-1 On-Site WaterC'' Baseline'!$C$9:$R$257,4,FALSE))</f>
        <v/>
      </c>
      <c r="F93" s="310" t="str">
        <f>IF(E93="","",VLOOKUP($B93,'C-1 On-Site WaterC'' Baseline'!$C$9:$R$257,5,FALSE))</f>
        <v/>
      </c>
      <c r="G93" s="310" t="str">
        <f>IF(F93="","",VLOOKUP($B93,'C-1 On-Site WaterC'' Baseline'!$C$9:$R$257,6,FALSE))</f>
        <v/>
      </c>
      <c r="H93" s="310" t="str">
        <f>IF(G93="","",VLOOKUP($B93,'C-1 On-Site WaterC'' Baseline'!$C$9:$R$257,7,FALSE))</f>
        <v/>
      </c>
      <c r="I93" s="310" t="str">
        <f>IF(H93="","",VLOOKUP($B93,'C-1 On-Site WaterC'' Baseline'!$C$9:$R$257,8,FALSE))</f>
        <v/>
      </c>
      <c r="J93" s="310" t="str">
        <f>IF(I93="","",VLOOKUP($B93,'C-1 On-Site WaterC'' Baseline'!$C$9:$R$257,9,FALSE))</f>
        <v/>
      </c>
      <c r="K93" s="310" t="str">
        <f>IF(J93="","",VLOOKUP($B93,'C-1 On-Site WaterC'' Baseline'!$C$9:$R$257,10,FALSE))</f>
        <v/>
      </c>
      <c r="L93" s="310" t="str">
        <f>IF(B93="","",VLOOKUP($B93,'C-1 On-Site WaterC'' Baseline'!$C$9:$R$257,15,FALSE))</f>
        <v/>
      </c>
      <c r="M93" s="314" t="str">
        <f>IF(L93="","",VLOOKUP($B93,'C-1 On-Site WaterC'' Baseline'!$C$9:$R$257,16,FALSE))</f>
        <v/>
      </c>
      <c r="N93" s="259"/>
      <c r="O93" s="290" t="str">
        <f t="shared" si="10"/>
        <v/>
      </c>
      <c r="P93" s="291" t="str">
        <f t="shared" si="11"/>
        <v/>
      </c>
      <c r="Q93" s="346" t="str">
        <f>IF(N93="","",VLOOKUP(B93,'C-1 On-Site WaterC'' Baseline'!$C$10:$AC$257,20,FALSE))</f>
        <v/>
      </c>
      <c r="R93" s="290" t="str">
        <f>IF(N93="","",VLOOKUP(N93,'G-7 WaterC'' Data'!$B$2:$G$8,2,FALSE))</f>
        <v/>
      </c>
      <c r="S93" s="291" t="str">
        <f>IFERROR(VLOOKUP(R93,'G-7 WaterC'' Data'!$C$4:$D$8,2,FALSE),"")</f>
        <v/>
      </c>
      <c r="T93" s="95"/>
      <c r="U93" s="291" t="str">
        <f>IFERROR(INDEX('G-7 WaterC'' Data'!$H$4:$L$8,MATCH(N93,'G-7 WaterC'' Data'!$B$4:$B$8,0),MATCH(T93,'G-7 WaterC'' Data'!$H$3:$L$3,0)),"")</f>
        <v/>
      </c>
      <c r="V93" s="95"/>
      <c r="W93" s="298" t="str">
        <f>IF(V93="","",IF(VLOOKUP(V93,'G-7 WaterC'' Data'!$AK$4:$AM$6,2,FALSE)=0,"Spatial Data Missing ⚠",VLOOKUP(V93,'G-7 WaterC'' Data'!$AK$4:$AM$6,2,FALSE)))</f>
        <v/>
      </c>
      <c r="X93" s="291" t="str">
        <f>IF(V93="","",IF(VLOOKUP(V93,'G-7 WaterC'' Data'!$AK$4:$AM$6,3,FALSE)=0,"Spatial Data Missing ⚠",VLOOKUP(V93,'G-7 WaterC'' Data'!$AK$4:$AM$6,3,FALSE)))</f>
        <v/>
      </c>
      <c r="Y93" s="290" t="str">
        <f>IFERROR(IF(OR(LEFT(P93,5)="Error",LEFT(O93,5)="Error ▲"),"Check Data ⚠",IF(F93&lt;S93,'G-7 WaterC'' Data'!$R$3,INDEX('G-7 WaterC'' Data'!$U$5:$Y$9,MATCH(G93,'G-7 WaterC'' Data'!$T$5:$T$9,0),MATCH(T93,'G-7 WaterC'' Data'!$U$4:$Y$4,0)))),"")</f>
        <v/>
      </c>
      <c r="Z93" s="138"/>
      <c r="AA93" s="138"/>
      <c r="AB93" s="298" t="str">
        <f t="shared" si="12"/>
        <v/>
      </c>
      <c r="AC93" s="311" t="str">
        <f t="shared" si="13"/>
        <v/>
      </c>
      <c r="AD93" s="344" t="str">
        <f>IFERROR(IF(AC93="Check Data ⚠","Check Data ⚠",VLOOKUP(AC93,'G-4 Temporal multipliers'!$A$4:$C$37,3,FALSE)),"")</f>
        <v/>
      </c>
      <c r="AE93" s="290" t="str">
        <f>IF(N93="","",VLOOKUP(N93,'G-7 WaterC'' Data'!$B$4:$G$8,5,FALSE))</f>
        <v/>
      </c>
      <c r="AF93" s="298" t="str">
        <f t="shared" si="14"/>
        <v/>
      </c>
      <c r="AG93" s="328" t="str">
        <f t="shared" si="15"/>
        <v/>
      </c>
      <c r="AH93" s="291" t="str">
        <f t="shared" si="9"/>
        <v/>
      </c>
      <c r="AI93" s="103"/>
      <c r="AJ93" s="291" t="str">
        <f>IF(AI93="","",IF(AND(AI93="N/A - Culvert",N93&lt;&gt;"Culvert"),"Not possible ▲",IF(VLOOKUP(AI93,'G-7 WaterC'' Data'!$AA$4:$AB$7,2,FALSE)=0,"Spatial Data Missing ⚠",VLOOKUP(AI93,'G-7 WaterC'' Data'!$AA$4:$AB$7,2,FALSE))))</f>
        <v/>
      </c>
      <c r="AK93" s="104"/>
      <c r="AL93" s="291" t="str">
        <f>IF(AK93="","",IF(AND(AK93="N/A - Culvert",N93&lt;&gt;"Culvert"),"Not possible ▲",IF(VLOOKUP(AK93,'G-7 WaterC'' Data'!$AD$4:$AE$14,2,FALSE)=0,"Spatial Data Missing ⚠",VLOOKUP(AK93,'G-7 WaterC'' Data'!$AD$4:$AE$14,2,FALSE))))</f>
        <v/>
      </c>
      <c r="AM93" s="332" t="str">
        <f t="shared" si="16"/>
        <v/>
      </c>
      <c r="AN93" s="98"/>
      <c r="AO93" s="99"/>
      <c r="AP93" s="101"/>
      <c r="AS93" s="15" t="str">
        <f>IF(B93="","",IF(ISNA(VLOOKUP($B93,'C-1 On-Site WaterC'' Baseline'!$C$8:$AD$257,17,FALSE)),"",(VLOOKUP($B93,'C-1 On-Site WaterC'' Baseline'!$C$8:$AD$257,17,FALSE))))</f>
        <v/>
      </c>
      <c r="AT93" s="15" t="str">
        <f>IF(B93="","",VLOOKUP($B93,'C-1 On-Site WaterC'' Baseline'!$C$9:$Z$257,12,FALSE))</f>
        <v/>
      </c>
      <c r="AU93" s="15" t="str">
        <f>IF(B93="","",VLOOKUP($B93,'C-1 On-Site WaterC'' Baseline'!$C$9:$Z$257,14,FALSE))</f>
        <v/>
      </c>
      <c r="AV93" s="15" t="str">
        <f>IFERROR(INDEX('G-7 WaterC'' Data'!$AZ$3:$AZ$7,MATCH(N93,'G-7 WaterC'' Data'!$AY$3:$AY$7,0)),"")</f>
        <v/>
      </c>
      <c r="AX93" s="15" t="str">
        <f>IF(B93="","",VLOOKUP($B93,'C-1 On-Site WaterC'' Baseline'!$C$9:$Y$257,22,FALSE))</f>
        <v/>
      </c>
      <c r="AY93" s="15" t="str">
        <f t="shared" si="17"/>
        <v/>
      </c>
      <c r="AZ93" s="15" t="str">
        <f>IF(B93="","",VLOOKUP($B93,'C-1 On-Site WaterC'' Baseline'!$C$9:$Y$257,21,FALSE))</f>
        <v/>
      </c>
      <c r="BA93" s="15" t="str">
        <f>IF(B93="","",VLOOKUP($B93,'C-1 On-Site WaterC'' Baseline'!$C$9:$Y$257,19,FALSE))</f>
        <v/>
      </c>
    </row>
    <row r="94" spans="2:53" ht="14" x14ac:dyDescent="0.3">
      <c r="B94" s="319" t="str">
        <f>'C-1 On-Site WaterC'' Baseline'!AP92</f>
        <v/>
      </c>
      <c r="C94" s="310" t="str">
        <f>IF(B94="","",VLOOKUP($B94,'C-1 On-Site WaterC'' Baseline'!$C$9:$R$257,2,FALSE))</f>
        <v/>
      </c>
      <c r="D94" s="310" t="str">
        <f>IF(C94="","",VLOOKUP($B94,'C-1 On-Site WaterC'' Baseline'!$C$9:$R$257,3,FALSE))</f>
        <v/>
      </c>
      <c r="E94" s="310" t="str">
        <f>IF(D94="","",VLOOKUP($B94,'C-1 On-Site WaterC'' Baseline'!$C$9:$R$257,4,FALSE))</f>
        <v/>
      </c>
      <c r="F94" s="310" t="str">
        <f>IF(E94="","",VLOOKUP($B94,'C-1 On-Site WaterC'' Baseline'!$C$9:$R$257,5,FALSE))</f>
        <v/>
      </c>
      <c r="G94" s="310" t="str">
        <f>IF(F94="","",VLOOKUP($B94,'C-1 On-Site WaterC'' Baseline'!$C$9:$R$257,6,FALSE))</f>
        <v/>
      </c>
      <c r="H94" s="310" t="str">
        <f>IF(G94="","",VLOOKUP($B94,'C-1 On-Site WaterC'' Baseline'!$C$9:$R$257,7,FALSE))</f>
        <v/>
      </c>
      <c r="I94" s="310" t="str">
        <f>IF(H94="","",VLOOKUP($B94,'C-1 On-Site WaterC'' Baseline'!$C$9:$R$257,8,FALSE))</f>
        <v/>
      </c>
      <c r="J94" s="310" t="str">
        <f>IF(I94="","",VLOOKUP($B94,'C-1 On-Site WaterC'' Baseline'!$C$9:$R$257,9,FALSE))</f>
        <v/>
      </c>
      <c r="K94" s="310" t="str">
        <f>IF(J94="","",VLOOKUP($B94,'C-1 On-Site WaterC'' Baseline'!$C$9:$R$257,10,FALSE))</f>
        <v/>
      </c>
      <c r="L94" s="310" t="str">
        <f>IF(B94="","",VLOOKUP($B94,'C-1 On-Site WaterC'' Baseline'!$C$9:$R$257,15,FALSE))</f>
        <v/>
      </c>
      <c r="M94" s="314" t="str">
        <f>IF(L94="","",VLOOKUP($B94,'C-1 On-Site WaterC'' Baseline'!$C$9:$R$257,16,FALSE))</f>
        <v/>
      </c>
      <c r="N94" s="259"/>
      <c r="O94" s="290" t="str">
        <f t="shared" si="10"/>
        <v/>
      </c>
      <c r="P94" s="291" t="str">
        <f t="shared" si="11"/>
        <v/>
      </c>
      <c r="Q94" s="346" t="str">
        <f>IF(N94="","",VLOOKUP(B94,'C-1 On-Site WaterC'' Baseline'!$C$10:$AC$257,20,FALSE))</f>
        <v/>
      </c>
      <c r="R94" s="290" t="str">
        <f>IF(N94="","",VLOOKUP(N94,'G-7 WaterC'' Data'!$B$2:$G$8,2,FALSE))</f>
        <v/>
      </c>
      <c r="S94" s="291" t="str">
        <f>IFERROR(VLOOKUP(R94,'G-7 WaterC'' Data'!$C$4:$D$8,2,FALSE),"")</f>
        <v/>
      </c>
      <c r="T94" s="95"/>
      <c r="U94" s="291" t="str">
        <f>IFERROR(INDEX('G-7 WaterC'' Data'!$H$4:$L$8,MATCH(N94,'G-7 WaterC'' Data'!$B$4:$B$8,0),MATCH(T94,'G-7 WaterC'' Data'!$H$3:$L$3,0)),"")</f>
        <v/>
      </c>
      <c r="V94" s="95"/>
      <c r="W94" s="298" t="str">
        <f>IF(V94="","",IF(VLOOKUP(V94,'G-7 WaterC'' Data'!$AK$4:$AM$6,2,FALSE)=0,"Spatial Data Missing ⚠",VLOOKUP(V94,'G-7 WaterC'' Data'!$AK$4:$AM$6,2,FALSE)))</f>
        <v/>
      </c>
      <c r="X94" s="291" t="str">
        <f>IF(V94="","",IF(VLOOKUP(V94,'G-7 WaterC'' Data'!$AK$4:$AM$6,3,FALSE)=0,"Spatial Data Missing ⚠",VLOOKUP(V94,'G-7 WaterC'' Data'!$AK$4:$AM$6,3,FALSE)))</f>
        <v/>
      </c>
      <c r="Y94" s="290" t="str">
        <f>IFERROR(IF(OR(LEFT(P94,5)="Error",LEFT(O94,5)="Error ▲"),"Check Data ⚠",IF(F94&lt;S94,'G-7 WaterC'' Data'!$R$3,INDEX('G-7 WaterC'' Data'!$U$5:$Y$9,MATCH(G94,'G-7 WaterC'' Data'!$T$5:$T$9,0),MATCH(T94,'G-7 WaterC'' Data'!$U$4:$Y$4,0)))),"")</f>
        <v/>
      </c>
      <c r="Z94" s="138"/>
      <c r="AA94" s="138"/>
      <c r="AB94" s="298" t="str">
        <f t="shared" si="12"/>
        <v/>
      </c>
      <c r="AC94" s="311" t="str">
        <f t="shared" si="13"/>
        <v/>
      </c>
      <c r="AD94" s="344" t="str">
        <f>IFERROR(IF(AC94="Check Data ⚠","Check Data ⚠",VLOOKUP(AC94,'G-4 Temporal multipliers'!$A$4:$C$37,3,FALSE)),"")</f>
        <v/>
      </c>
      <c r="AE94" s="290" t="str">
        <f>IF(N94="","",VLOOKUP(N94,'G-7 WaterC'' Data'!$B$4:$G$8,5,FALSE))</f>
        <v/>
      </c>
      <c r="AF94" s="298" t="str">
        <f t="shared" si="14"/>
        <v/>
      </c>
      <c r="AG94" s="328" t="str">
        <f t="shared" si="15"/>
        <v/>
      </c>
      <c r="AH94" s="291" t="str">
        <f t="shared" si="9"/>
        <v/>
      </c>
      <c r="AI94" s="103"/>
      <c r="AJ94" s="291" t="str">
        <f>IF(AI94="","",IF(AND(AI94="N/A - Culvert",N94&lt;&gt;"Culvert"),"Not possible ▲",IF(VLOOKUP(AI94,'G-7 WaterC'' Data'!$AA$4:$AB$7,2,FALSE)=0,"Spatial Data Missing ⚠",VLOOKUP(AI94,'G-7 WaterC'' Data'!$AA$4:$AB$7,2,FALSE))))</f>
        <v/>
      </c>
      <c r="AK94" s="104"/>
      <c r="AL94" s="291" t="str">
        <f>IF(AK94="","",IF(AND(AK94="N/A - Culvert",N94&lt;&gt;"Culvert"),"Not possible ▲",IF(VLOOKUP(AK94,'G-7 WaterC'' Data'!$AD$4:$AE$14,2,FALSE)=0,"Spatial Data Missing ⚠",VLOOKUP(AK94,'G-7 WaterC'' Data'!$AD$4:$AE$14,2,FALSE))))</f>
        <v/>
      </c>
      <c r="AM94" s="332" t="str">
        <f t="shared" si="16"/>
        <v/>
      </c>
      <c r="AN94" s="98"/>
      <c r="AO94" s="99"/>
      <c r="AP94" s="101"/>
      <c r="AS94" s="15" t="str">
        <f>IF(B94="","",IF(ISNA(VLOOKUP($B94,'C-1 On-Site WaterC'' Baseline'!$C$8:$AD$257,17,FALSE)),"",(VLOOKUP($B94,'C-1 On-Site WaterC'' Baseline'!$C$8:$AD$257,17,FALSE))))</f>
        <v/>
      </c>
      <c r="AT94" s="15" t="str">
        <f>IF(B94="","",VLOOKUP($B94,'C-1 On-Site WaterC'' Baseline'!$C$9:$Z$257,12,FALSE))</f>
        <v/>
      </c>
      <c r="AU94" s="15" t="str">
        <f>IF(B94="","",VLOOKUP($B94,'C-1 On-Site WaterC'' Baseline'!$C$9:$Z$257,14,FALSE))</f>
        <v/>
      </c>
      <c r="AV94" s="15" t="str">
        <f>IFERROR(INDEX('G-7 WaterC'' Data'!$AZ$3:$AZ$7,MATCH(N94,'G-7 WaterC'' Data'!$AY$3:$AY$7,0)),"")</f>
        <v/>
      </c>
      <c r="AX94" s="15" t="str">
        <f>IF(B94="","",VLOOKUP($B94,'C-1 On-Site WaterC'' Baseline'!$C$9:$Y$257,22,FALSE))</f>
        <v/>
      </c>
      <c r="AY94" s="15" t="str">
        <f t="shared" si="17"/>
        <v/>
      </c>
      <c r="AZ94" s="15" t="str">
        <f>IF(B94="","",VLOOKUP($B94,'C-1 On-Site WaterC'' Baseline'!$C$9:$Y$257,21,FALSE))</f>
        <v/>
      </c>
      <c r="BA94" s="15" t="str">
        <f>IF(B94="","",VLOOKUP($B94,'C-1 On-Site WaterC'' Baseline'!$C$9:$Y$257,19,FALSE))</f>
        <v/>
      </c>
    </row>
    <row r="95" spans="2:53" ht="14" x14ac:dyDescent="0.3">
      <c r="B95" s="319" t="str">
        <f>'C-1 On-Site WaterC'' Baseline'!AP93</f>
        <v/>
      </c>
      <c r="C95" s="310" t="str">
        <f>IF(B95="","",VLOOKUP($B95,'C-1 On-Site WaterC'' Baseline'!$C$9:$R$257,2,FALSE))</f>
        <v/>
      </c>
      <c r="D95" s="310" t="str">
        <f>IF(C95="","",VLOOKUP($B95,'C-1 On-Site WaterC'' Baseline'!$C$9:$R$257,3,FALSE))</f>
        <v/>
      </c>
      <c r="E95" s="310" t="str">
        <f>IF(D95="","",VLOOKUP($B95,'C-1 On-Site WaterC'' Baseline'!$C$9:$R$257,4,FALSE))</f>
        <v/>
      </c>
      <c r="F95" s="310" t="str">
        <f>IF(E95="","",VLOOKUP($B95,'C-1 On-Site WaterC'' Baseline'!$C$9:$R$257,5,FALSE))</f>
        <v/>
      </c>
      <c r="G95" s="310" t="str">
        <f>IF(F95="","",VLOOKUP($B95,'C-1 On-Site WaterC'' Baseline'!$C$9:$R$257,6,FALSE))</f>
        <v/>
      </c>
      <c r="H95" s="310" t="str">
        <f>IF(G95="","",VLOOKUP($B95,'C-1 On-Site WaterC'' Baseline'!$C$9:$R$257,7,FALSE))</f>
        <v/>
      </c>
      <c r="I95" s="310" t="str">
        <f>IF(H95="","",VLOOKUP($B95,'C-1 On-Site WaterC'' Baseline'!$C$9:$R$257,8,FALSE))</f>
        <v/>
      </c>
      <c r="J95" s="310" t="str">
        <f>IF(I95="","",VLOOKUP($B95,'C-1 On-Site WaterC'' Baseline'!$C$9:$R$257,9,FALSE))</f>
        <v/>
      </c>
      <c r="K95" s="310" t="str">
        <f>IF(J95="","",VLOOKUP($B95,'C-1 On-Site WaterC'' Baseline'!$C$9:$R$257,10,FALSE))</f>
        <v/>
      </c>
      <c r="L95" s="310" t="str">
        <f>IF(B95="","",VLOOKUP($B95,'C-1 On-Site WaterC'' Baseline'!$C$9:$R$257,15,FALSE))</f>
        <v/>
      </c>
      <c r="M95" s="314" t="str">
        <f>IF(L95="","",VLOOKUP($B95,'C-1 On-Site WaterC'' Baseline'!$C$9:$R$257,16,FALSE))</f>
        <v/>
      </c>
      <c r="N95" s="259"/>
      <c r="O95" s="290" t="str">
        <f t="shared" si="10"/>
        <v/>
      </c>
      <c r="P95" s="291" t="str">
        <f t="shared" si="11"/>
        <v/>
      </c>
      <c r="Q95" s="346" t="str">
        <f>IF(N95="","",VLOOKUP(B95,'C-1 On-Site WaterC'' Baseline'!$C$10:$AC$257,20,FALSE))</f>
        <v/>
      </c>
      <c r="R95" s="290" t="str">
        <f>IF(N95="","",VLOOKUP(N95,'G-7 WaterC'' Data'!$B$2:$G$8,2,FALSE))</f>
        <v/>
      </c>
      <c r="S95" s="291" t="str">
        <f>IFERROR(VLOOKUP(R95,'G-7 WaterC'' Data'!$C$4:$D$8,2,FALSE),"")</f>
        <v/>
      </c>
      <c r="T95" s="95"/>
      <c r="U95" s="291" t="str">
        <f>IFERROR(INDEX('G-7 WaterC'' Data'!$H$4:$L$8,MATCH(N95,'G-7 WaterC'' Data'!$B$4:$B$8,0),MATCH(T95,'G-7 WaterC'' Data'!$H$3:$L$3,0)),"")</f>
        <v/>
      </c>
      <c r="V95" s="95"/>
      <c r="W95" s="298" t="str">
        <f>IF(V95="","",IF(VLOOKUP(V95,'G-7 WaterC'' Data'!$AK$4:$AM$6,2,FALSE)=0,"Spatial Data Missing ⚠",VLOOKUP(V95,'G-7 WaterC'' Data'!$AK$4:$AM$6,2,FALSE)))</f>
        <v/>
      </c>
      <c r="X95" s="291" t="str">
        <f>IF(V95="","",IF(VLOOKUP(V95,'G-7 WaterC'' Data'!$AK$4:$AM$6,3,FALSE)=0,"Spatial Data Missing ⚠",VLOOKUP(V95,'G-7 WaterC'' Data'!$AK$4:$AM$6,3,FALSE)))</f>
        <v/>
      </c>
      <c r="Y95" s="290" t="str">
        <f>IFERROR(IF(OR(LEFT(P95,5)="Error",LEFT(O95,5)="Error ▲"),"Check Data ⚠",IF(F95&lt;S95,'G-7 WaterC'' Data'!$R$3,INDEX('G-7 WaterC'' Data'!$U$5:$Y$9,MATCH(G95,'G-7 WaterC'' Data'!$T$5:$T$9,0),MATCH(T95,'G-7 WaterC'' Data'!$U$4:$Y$4,0)))),"")</f>
        <v/>
      </c>
      <c r="Z95" s="138"/>
      <c r="AA95" s="138"/>
      <c r="AB95" s="298" t="str">
        <f t="shared" si="12"/>
        <v/>
      </c>
      <c r="AC95" s="311" t="str">
        <f t="shared" si="13"/>
        <v/>
      </c>
      <c r="AD95" s="344" t="str">
        <f>IFERROR(IF(AC95="Check Data ⚠","Check Data ⚠",VLOOKUP(AC95,'G-4 Temporal multipliers'!$A$4:$C$37,3,FALSE)),"")</f>
        <v/>
      </c>
      <c r="AE95" s="290" t="str">
        <f>IF(N95="","",VLOOKUP(N95,'G-7 WaterC'' Data'!$B$4:$G$8,5,FALSE))</f>
        <v/>
      </c>
      <c r="AF95" s="298" t="str">
        <f t="shared" si="14"/>
        <v/>
      </c>
      <c r="AG95" s="328" t="str">
        <f t="shared" si="15"/>
        <v/>
      </c>
      <c r="AH95" s="291" t="str">
        <f t="shared" si="9"/>
        <v/>
      </c>
      <c r="AI95" s="103"/>
      <c r="AJ95" s="291" t="str">
        <f>IF(AI95="","",IF(AND(AI95="N/A - Culvert",N95&lt;&gt;"Culvert"),"Not possible ▲",IF(VLOOKUP(AI95,'G-7 WaterC'' Data'!$AA$4:$AB$7,2,FALSE)=0,"Spatial Data Missing ⚠",VLOOKUP(AI95,'G-7 WaterC'' Data'!$AA$4:$AB$7,2,FALSE))))</f>
        <v/>
      </c>
      <c r="AK95" s="104"/>
      <c r="AL95" s="291" t="str">
        <f>IF(AK95="","",IF(AND(AK95="N/A - Culvert",N95&lt;&gt;"Culvert"),"Not possible ▲",IF(VLOOKUP(AK95,'G-7 WaterC'' Data'!$AD$4:$AE$14,2,FALSE)=0,"Spatial Data Missing ⚠",VLOOKUP(AK95,'G-7 WaterC'' Data'!$AD$4:$AE$14,2,FALSE))))</f>
        <v/>
      </c>
      <c r="AM95" s="332" t="str">
        <f t="shared" si="16"/>
        <v/>
      </c>
      <c r="AN95" s="98"/>
      <c r="AO95" s="99"/>
      <c r="AP95" s="101"/>
      <c r="AS95" s="15" t="str">
        <f>IF(B95="","",IF(ISNA(VLOOKUP($B95,'C-1 On-Site WaterC'' Baseline'!$C$8:$AD$257,17,FALSE)),"",(VLOOKUP($B95,'C-1 On-Site WaterC'' Baseline'!$C$8:$AD$257,17,FALSE))))</f>
        <v/>
      </c>
      <c r="AT95" s="15" t="str">
        <f>IF(B95="","",VLOOKUP($B95,'C-1 On-Site WaterC'' Baseline'!$C$9:$Z$257,12,FALSE))</f>
        <v/>
      </c>
      <c r="AU95" s="15" t="str">
        <f>IF(B95="","",VLOOKUP($B95,'C-1 On-Site WaterC'' Baseline'!$C$9:$Z$257,14,FALSE))</f>
        <v/>
      </c>
      <c r="AV95" s="15" t="str">
        <f>IFERROR(INDEX('G-7 WaterC'' Data'!$AZ$3:$AZ$7,MATCH(N95,'G-7 WaterC'' Data'!$AY$3:$AY$7,0)),"")</f>
        <v/>
      </c>
      <c r="AX95" s="15" t="str">
        <f>IF(B95="","",VLOOKUP($B95,'C-1 On-Site WaterC'' Baseline'!$C$9:$Y$257,22,FALSE))</f>
        <v/>
      </c>
      <c r="AY95" s="15" t="str">
        <f t="shared" si="17"/>
        <v/>
      </c>
      <c r="AZ95" s="15" t="str">
        <f>IF(B95="","",VLOOKUP($B95,'C-1 On-Site WaterC'' Baseline'!$C$9:$Y$257,21,FALSE))</f>
        <v/>
      </c>
      <c r="BA95" s="15" t="str">
        <f>IF(B95="","",VLOOKUP($B95,'C-1 On-Site WaterC'' Baseline'!$C$9:$Y$257,19,FALSE))</f>
        <v/>
      </c>
    </row>
    <row r="96" spans="2:53" ht="14" x14ac:dyDescent="0.3">
      <c r="B96" s="319" t="str">
        <f>'C-1 On-Site WaterC'' Baseline'!AP94</f>
        <v/>
      </c>
      <c r="C96" s="310" t="str">
        <f>IF(B96="","",VLOOKUP($B96,'C-1 On-Site WaterC'' Baseline'!$C$9:$R$257,2,FALSE))</f>
        <v/>
      </c>
      <c r="D96" s="310" t="str">
        <f>IF(C96="","",VLOOKUP($B96,'C-1 On-Site WaterC'' Baseline'!$C$9:$R$257,3,FALSE))</f>
        <v/>
      </c>
      <c r="E96" s="310" t="str">
        <f>IF(D96="","",VLOOKUP($B96,'C-1 On-Site WaterC'' Baseline'!$C$9:$R$257,4,FALSE))</f>
        <v/>
      </c>
      <c r="F96" s="310" t="str">
        <f>IF(E96="","",VLOOKUP($B96,'C-1 On-Site WaterC'' Baseline'!$C$9:$R$257,5,FALSE))</f>
        <v/>
      </c>
      <c r="G96" s="310" t="str">
        <f>IF(F96="","",VLOOKUP($B96,'C-1 On-Site WaterC'' Baseline'!$C$9:$R$257,6,FALSE))</f>
        <v/>
      </c>
      <c r="H96" s="310" t="str">
        <f>IF(G96="","",VLOOKUP($B96,'C-1 On-Site WaterC'' Baseline'!$C$9:$R$257,7,FALSE))</f>
        <v/>
      </c>
      <c r="I96" s="310" t="str">
        <f>IF(H96="","",VLOOKUP($B96,'C-1 On-Site WaterC'' Baseline'!$C$9:$R$257,8,FALSE))</f>
        <v/>
      </c>
      <c r="J96" s="310" t="str">
        <f>IF(I96="","",VLOOKUP($B96,'C-1 On-Site WaterC'' Baseline'!$C$9:$R$257,9,FALSE))</f>
        <v/>
      </c>
      <c r="K96" s="310" t="str">
        <f>IF(J96="","",VLOOKUP($B96,'C-1 On-Site WaterC'' Baseline'!$C$9:$R$257,10,FALSE))</f>
        <v/>
      </c>
      <c r="L96" s="310" t="str">
        <f>IF(B96="","",VLOOKUP($B96,'C-1 On-Site WaterC'' Baseline'!$C$9:$R$257,15,FALSE))</f>
        <v/>
      </c>
      <c r="M96" s="314" t="str">
        <f>IF(L96="","",VLOOKUP($B96,'C-1 On-Site WaterC'' Baseline'!$C$9:$R$257,16,FALSE))</f>
        <v/>
      </c>
      <c r="N96" s="259"/>
      <c r="O96" s="290" t="str">
        <f t="shared" si="10"/>
        <v/>
      </c>
      <c r="P96" s="291" t="str">
        <f t="shared" si="11"/>
        <v/>
      </c>
      <c r="Q96" s="346" t="str">
        <f>IF(N96="","",VLOOKUP(B96,'C-1 On-Site WaterC'' Baseline'!$C$10:$AC$257,20,FALSE))</f>
        <v/>
      </c>
      <c r="R96" s="290" t="str">
        <f>IF(N96="","",VLOOKUP(N96,'G-7 WaterC'' Data'!$B$2:$G$8,2,FALSE))</f>
        <v/>
      </c>
      <c r="S96" s="291" t="str">
        <f>IFERROR(VLOOKUP(R96,'G-7 WaterC'' Data'!$C$4:$D$8,2,FALSE),"")</f>
        <v/>
      </c>
      <c r="T96" s="95"/>
      <c r="U96" s="291" t="str">
        <f>IFERROR(INDEX('G-7 WaterC'' Data'!$H$4:$L$8,MATCH(N96,'G-7 WaterC'' Data'!$B$4:$B$8,0),MATCH(T96,'G-7 WaterC'' Data'!$H$3:$L$3,0)),"")</f>
        <v/>
      </c>
      <c r="V96" s="95"/>
      <c r="W96" s="298" t="str">
        <f>IF(V96="","",IF(VLOOKUP(V96,'G-7 WaterC'' Data'!$AK$4:$AM$6,2,FALSE)=0,"Spatial Data Missing ⚠",VLOOKUP(V96,'G-7 WaterC'' Data'!$AK$4:$AM$6,2,FALSE)))</f>
        <v/>
      </c>
      <c r="X96" s="291" t="str">
        <f>IF(V96="","",IF(VLOOKUP(V96,'G-7 WaterC'' Data'!$AK$4:$AM$6,3,FALSE)=0,"Spatial Data Missing ⚠",VLOOKUP(V96,'G-7 WaterC'' Data'!$AK$4:$AM$6,3,FALSE)))</f>
        <v/>
      </c>
      <c r="Y96" s="290" t="str">
        <f>IFERROR(IF(OR(LEFT(P96,5)="Error",LEFT(O96,5)="Error ▲"),"Check Data ⚠",IF(F96&lt;S96,'G-7 WaterC'' Data'!$R$3,INDEX('G-7 WaterC'' Data'!$U$5:$Y$9,MATCH(G96,'G-7 WaterC'' Data'!$T$5:$T$9,0),MATCH(T96,'G-7 WaterC'' Data'!$U$4:$Y$4,0)))),"")</f>
        <v/>
      </c>
      <c r="Z96" s="138"/>
      <c r="AA96" s="138"/>
      <c r="AB96" s="298" t="str">
        <f t="shared" si="12"/>
        <v/>
      </c>
      <c r="AC96" s="311" t="str">
        <f t="shared" si="13"/>
        <v/>
      </c>
      <c r="AD96" s="344" t="str">
        <f>IFERROR(IF(AC96="Check Data ⚠","Check Data ⚠",VLOOKUP(AC96,'G-4 Temporal multipliers'!$A$4:$C$37,3,FALSE)),"")</f>
        <v/>
      </c>
      <c r="AE96" s="290" t="str">
        <f>IF(N96="","",VLOOKUP(N96,'G-7 WaterC'' Data'!$B$4:$G$8,5,FALSE))</f>
        <v/>
      </c>
      <c r="AF96" s="298" t="str">
        <f t="shared" si="14"/>
        <v/>
      </c>
      <c r="AG96" s="328" t="str">
        <f t="shared" si="15"/>
        <v/>
      </c>
      <c r="AH96" s="291" t="str">
        <f t="shared" si="9"/>
        <v/>
      </c>
      <c r="AI96" s="103"/>
      <c r="AJ96" s="291" t="str">
        <f>IF(AI96="","",IF(AND(AI96="N/A - Culvert",N96&lt;&gt;"Culvert"),"Not possible ▲",IF(VLOOKUP(AI96,'G-7 WaterC'' Data'!$AA$4:$AB$7,2,FALSE)=0,"Spatial Data Missing ⚠",VLOOKUP(AI96,'G-7 WaterC'' Data'!$AA$4:$AB$7,2,FALSE))))</f>
        <v/>
      </c>
      <c r="AK96" s="104"/>
      <c r="AL96" s="291" t="str">
        <f>IF(AK96="","",IF(AND(AK96="N/A - Culvert",N96&lt;&gt;"Culvert"),"Not possible ▲",IF(VLOOKUP(AK96,'G-7 WaterC'' Data'!$AD$4:$AE$14,2,FALSE)=0,"Spatial Data Missing ⚠",VLOOKUP(AK96,'G-7 WaterC'' Data'!$AD$4:$AE$14,2,FALSE))))</f>
        <v/>
      </c>
      <c r="AM96" s="332" t="str">
        <f t="shared" si="16"/>
        <v/>
      </c>
      <c r="AN96" s="98"/>
      <c r="AO96" s="99"/>
      <c r="AP96" s="101"/>
      <c r="AS96" s="15" t="str">
        <f>IF(B96="","",IF(ISNA(VLOOKUP($B96,'C-1 On-Site WaterC'' Baseline'!$C$8:$AD$257,17,FALSE)),"",(VLOOKUP($B96,'C-1 On-Site WaterC'' Baseline'!$C$8:$AD$257,17,FALSE))))</f>
        <v/>
      </c>
      <c r="AT96" s="15" t="str">
        <f>IF(B96="","",VLOOKUP($B96,'C-1 On-Site WaterC'' Baseline'!$C$9:$Z$257,12,FALSE))</f>
        <v/>
      </c>
      <c r="AU96" s="15" t="str">
        <f>IF(B96="","",VLOOKUP($B96,'C-1 On-Site WaterC'' Baseline'!$C$9:$Z$257,14,FALSE))</f>
        <v/>
      </c>
      <c r="AV96" s="15" t="str">
        <f>IFERROR(INDEX('G-7 WaterC'' Data'!$AZ$3:$AZ$7,MATCH(N96,'G-7 WaterC'' Data'!$AY$3:$AY$7,0)),"")</f>
        <v/>
      </c>
      <c r="AX96" s="15" t="str">
        <f>IF(B96="","",VLOOKUP($B96,'C-1 On-Site WaterC'' Baseline'!$C$9:$Y$257,22,FALSE))</f>
        <v/>
      </c>
      <c r="AY96" s="15" t="str">
        <f t="shared" si="17"/>
        <v/>
      </c>
      <c r="AZ96" s="15" t="str">
        <f>IF(B96="","",VLOOKUP($B96,'C-1 On-Site WaterC'' Baseline'!$C$9:$Y$257,21,FALSE))</f>
        <v/>
      </c>
      <c r="BA96" s="15" t="str">
        <f>IF(B96="","",VLOOKUP($B96,'C-1 On-Site WaterC'' Baseline'!$C$9:$Y$257,19,FALSE))</f>
        <v/>
      </c>
    </row>
    <row r="97" spans="2:53" ht="14" x14ac:dyDescent="0.3">
      <c r="B97" s="319" t="str">
        <f>'C-1 On-Site WaterC'' Baseline'!AP95</f>
        <v/>
      </c>
      <c r="C97" s="310" t="str">
        <f>IF(B97="","",VLOOKUP($B97,'C-1 On-Site WaterC'' Baseline'!$C$9:$R$257,2,FALSE))</f>
        <v/>
      </c>
      <c r="D97" s="310" t="str">
        <f>IF(C97="","",VLOOKUP($B97,'C-1 On-Site WaterC'' Baseline'!$C$9:$R$257,3,FALSE))</f>
        <v/>
      </c>
      <c r="E97" s="310" t="str">
        <f>IF(D97="","",VLOOKUP($B97,'C-1 On-Site WaterC'' Baseline'!$C$9:$R$257,4,FALSE))</f>
        <v/>
      </c>
      <c r="F97" s="310" t="str">
        <f>IF(E97="","",VLOOKUP($B97,'C-1 On-Site WaterC'' Baseline'!$C$9:$R$257,5,FALSE))</f>
        <v/>
      </c>
      <c r="G97" s="310" t="str">
        <f>IF(F97="","",VLOOKUP($B97,'C-1 On-Site WaterC'' Baseline'!$C$9:$R$257,6,FALSE))</f>
        <v/>
      </c>
      <c r="H97" s="310" t="str">
        <f>IF(G97="","",VLOOKUP($B97,'C-1 On-Site WaterC'' Baseline'!$C$9:$R$257,7,FALSE))</f>
        <v/>
      </c>
      <c r="I97" s="310" t="str">
        <f>IF(H97="","",VLOOKUP($B97,'C-1 On-Site WaterC'' Baseline'!$C$9:$R$257,8,FALSE))</f>
        <v/>
      </c>
      <c r="J97" s="310" t="str">
        <f>IF(I97="","",VLOOKUP($B97,'C-1 On-Site WaterC'' Baseline'!$C$9:$R$257,9,FALSE))</f>
        <v/>
      </c>
      <c r="K97" s="310" t="str">
        <f>IF(J97="","",VLOOKUP($B97,'C-1 On-Site WaterC'' Baseline'!$C$9:$R$257,10,FALSE))</f>
        <v/>
      </c>
      <c r="L97" s="310" t="str">
        <f>IF(B97="","",VLOOKUP($B97,'C-1 On-Site WaterC'' Baseline'!$C$9:$R$257,15,FALSE))</f>
        <v/>
      </c>
      <c r="M97" s="314" t="str">
        <f>IF(L97="","",VLOOKUP($B97,'C-1 On-Site WaterC'' Baseline'!$C$9:$R$257,16,FALSE))</f>
        <v/>
      </c>
      <c r="N97" s="259"/>
      <c r="O97" s="290" t="str">
        <f t="shared" si="10"/>
        <v/>
      </c>
      <c r="P97" s="291" t="str">
        <f t="shared" si="11"/>
        <v/>
      </c>
      <c r="Q97" s="346" t="str">
        <f>IF(N97="","",VLOOKUP(B97,'C-1 On-Site WaterC'' Baseline'!$C$10:$AC$257,20,FALSE))</f>
        <v/>
      </c>
      <c r="R97" s="290" t="str">
        <f>IF(N97="","",VLOOKUP(N97,'G-7 WaterC'' Data'!$B$2:$G$8,2,FALSE))</f>
        <v/>
      </c>
      <c r="S97" s="291" t="str">
        <f>IFERROR(VLOOKUP(R97,'G-7 WaterC'' Data'!$C$4:$D$8,2,FALSE),"")</f>
        <v/>
      </c>
      <c r="T97" s="95"/>
      <c r="U97" s="291" t="str">
        <f>IFERROR(INDEX('G-7 WaterC'' Data'!$H$4:$L$8,MATCH(N97,'G-7 WaterC'' Data'!$B$4:$B$8,0),MATCH(T97,'G-7 WaterC'' Data'!$H$3:$L$3,0)),"")</f>
        <v/>
      </c>
      <c r="V97" s="95"/>
      <c r="W97" s="298" t="str">
        <f>IF(V97="","",IF(VLOOKUP(V97,'G-7 WaterC'' Data'!$AK$4:$AM$6,2,FALSE)=0,"Spatial Data Missing ⚠",VLOOKUP(V97,'G-7 WaterC'' Data'!$AK$4:$AM$6,2,FALSE)))</f>
        <v/>
      </c>
      <c r="X97" s="291" t="str">
        <f>IF(V97="","",IF(VLOOKUP(V97,'G-7 WaterC'' Data'!$AK$4:$AM$6,3,FALSE)=0,"Spatial Data Missing ⚠",VLOOKUP(V97,'G-7 WaterC'' Data'!$AK$4:$AM$6,3,FALSE)))</f>
        <v/>
      </c>
      <c r="Y97" s="290" t="str">
        <f>IFERROR(IF(OR(LEFT(P97,5)="Error",LEFT(O97,5)="Error ▲"),"Check Data ⚠",IF(F97&lt;S97,'G-7 WaterC'' Data'!$R$3,INDEX('G-7 WaterC'' Data'!$U$5:$Y$9,MATCH(G97,'G-7 WaterC'' Data'!$T$5:$T$9,0),MATCH(T97,'G-7 WaterC'' Data'!$U$4:$Y$4,0)))),"")</f>
        <v/>
      </c>
      <c r="Z97" s="138"/>
      <c r="AA97" s="138"/>
      <c r="AB97" s="298" t="str">
        <f t="shared" si="12"/>
        <v/>
      </c>
      <c r="AC97" s="311" t="str">
        <f t="shared" si="13"/>
        <v/>
      </c>
      <c r="AD97" s="344" t="str">
        <f>IFERROR(IF(AC97="Check Data ⚠","Check Data ⚠",VLOOKUP(AC97,'G-4 Temporal multipliers'!$A$4:$C$37,3,FALSE)),"")</f>
        <v/>
      </c>
      <c r="AE97" s="290" t="str">
        <f>IF(N97="","",VLOOKUP(N97,'G-7 WaterC'' Data'!$B$4:$G$8,5,FALSE))</f>
        <v/>
      </c>
      <c r="AF97" s="298" t="str">
        <f t="shared" si="14"/>
        <v/>
      </c>
      <c r="AG97" s="328" t="str">
        <f t="shared" si="15"/>
        <v/>
      </c>
      <c r="AH97" s="291" t="str">
        <f t="shared" si="9"/>
        <v/>
      </c>
      <c r="AI97" s="103"/>
      <c r="AJ97" s="291" t="str">
        <f>IF(AI97="","",IF(AND(AI97="N/A - Culvert",N97&lt;&gt;"Culvert"),"Not possible ▲",IF(VLOOKUP(AI97,'G-7 WaterC'' Data'!$AA$4:$AB$7,2,FALSE)=0,"Spatial Data Missing ⚠",VLOOKUP(AI97,'G-7 WaterC'' Data'!$AA$4:$AB$7,2,FALSE))))</f>
        <v/>
      </c>
      <c r="AK97" s="104"/>
      <c r="AL97" s="291" t="str">
        <f>IF(AK97="","",IF(AND(AK97="N/A - Culvert",N97&lt;&gt;"Culvert"),"Not possible ▲",IF(VLOOKUP(AK97,'G-7 WaterC'' Data'!$AD$4:$AE$14,2,FALSE)=0,"Spatial Data Missing ⚠",VLOOKUP(AK97,'G-7 WaterC'' Data'!$AD$4:$AE$14,2,FALSE))))</f>
        <v/>
      </c>
      <c r="AM97" s="332" t="str">
        <f t="shared" si="16"/>
        <v/>
      </c>
      <c r="AN97" s="98"/>
      <c r="AO97" s="99"/>
      <c r="AP97" s="101"/>
      <c r="AS97" s="15" t="str">
        <f>IF(B97="","",IF(ISNA(VLOOKUP($B97,'C-1 On-Site WaterC'' Baseline'!$C$8:$AD$257,17,FALSE)),"",(VLOOKUP($B97,'C-1 On-Site WaterC'' Baseline'!$C$8:$AD$257,17,FALSE))))</f>
        <v/>
      </c>
      <c r="AT97" s="15" t="str">
        <f>IF(B97="","",VLOOKUP($B97,'C-1 On-Site WaterC'' Baseline'!$C$9:$Z$257,12,FALSE))</f>
        <v/>
      </c>
      <c r="AU97" s="15" t="str">
        <f>IF(B97="","",VLOOKUP($B97,'C-1 On-Site WaterC'' Baseline'!$C$9:$Z$257,14,FALSE))</f>
        <v/>
      </c>
      <c r="AV97" s="15" t="str">
        <f>IFERROR(INDEX('G-7 WaterC'' Data'!$AZ$3:$AZ$7,MATCH(N97,'G-7 WaterC'' Data'!$AY$3:$AY$7,0)),"")</f>
        <v/>
      </c>
      <c r="AX97" s="15" t="str">
        <f>IF(B97="","",VLOOKUP($B97,'C-1 On-Site WaterC'' Baseline'!$C$9:$Y$257,22,FALSE))</f>
        <v/>
      </c>
      <c r="AY97" s="15" t="str">
        <f t="shared" si="17"/>
        <v/>
      </c>
      <c r="AZ97" s="15" t="str">
        <f>IF(B97="","",VLOOKUP($B97,'C-1 On-Site WaterC'' Baseline'!$C$9:$Y$257,21,FALSE))</f>
        <v/>
      </c>
      <c r="BA97" s="15" t="str">
        <f>IF(B97="","",VLOOKUP($B97,'C-1 On-Site WaterC'' Baseline'!$C$9:$Y$257,19,FALSE))</f>
        <v/>
      </c>
    </row>
    <row r="98" spans="2:53" ht="14" x14ac:dyDescent="0.3">
      <c r="B98" s="319" t="str">
        <f>'C-1 On-Site WaterC'' Baseline'!AP96</f>
        <v/>
      </c>
      <c r="C98" s="310" t="str">
        <f>IF(B98="","",VLOOKUP($B98,'C-1 On-Site WaterC'' Baseline'!$C$9:$R$257,2,FALSE))</f>
        <v/>
      </c>
      <c r="D98" s="310" t="str">
        <f>IF(C98="","",VLOOKUP($B98,'C-1 On-Site WaterC'' Baseline'!$C$9:$R$257,3,FALSE))</f>
        <v/>
      </c>
      <c r="E98" s="310" t="str">
        <f>IF(D98="","",VLOOKUP($B98,'C-1 On-Site WaterC'' Baseline'!$C$9:$R$257,4,FALSE))</f>
        <v/>
      </c>
      <c r="F98" s="310" t="str">
        <f>IF(E98="","",VLOOKUP($B98,'C-1 On-Site WaterC'' Baseline'!$C$9:$R$257,5,FALSE))</f>
        <v/>
      </c>
      <c r="G98" s="310" t="str">
        <f>IF(F98="","",VLOOKUP($B98,'C-1 On-Site WaterC'' Baseline'!$C$9:$R$257,6,FALSE))</f>
        <v/>
      </c>
      <c r="H98" s="310" t="str">
        <f>IF(G98="","",VLOOKUP($B98,'C-1 On-Site WaterC'' Baseline'!$C$9:$R$257,7,FALSE))</f>
        <v/>
      </c>
      <c r="I98" s="310" t="str">
        <f>IF(H98="","",VLOOKUP($B98,'C-1 On-Site WaterC'' Baseline'!$C$9:$R$257,8,FALSE))</f>
        <v/>
      </c>
      <c r="J98" s="310" t="str">
        <f>IF(I98="","",VLOOKUP($B98,'C-1 On-Site WaterC'' Baseline'!$C$9:$R$257,9,FALSE))</f>
        <v/>
      </c>
      <c r="K98" s="310" t="str">
        <f>IF(J98="","",VLOOKUP($B98,'C-1 On-Site WaterC'' Baseline'!$C$9:$R$257,10,FALSE))</f>
        <v/>
      </c>
      <c r="L98" s="310" t="str">
        <f>IF(B98="","",VLOOKUP($B98,'C-1 On-Site WaterC'' Baseline'!$C$9:$R$257,15,FALSE))</f>
        <v/>
      </c>
      <c r="M98" s="314" t="str">
        <f>IF(L98="","",VLOOKUP($B98,'C-1 On-Site WaterC'' Baseline'!$C$9:$R$257,16,FALSE))</f>
        <v/>
      </c>
      <c r="N98" s="259"/>
      <c r="O98" s="290" t="str">
        <f t="shared" si="10"/>
        <v/>
      </c>
      <c r="P98" s="291" t="str">
        <f t="shared" si="11"/>
        <v/>
      </c>
      <c r="Q98" s="346" t="str">
        <f>IF(N98="","",VLOOKUP(B98,'C-1 On-Site WaterC'' Baseline'!$C$10:$AC$257,20,FALSE))</f>
        <v/>
      </c>
      <c r="R98" s="290" t="str">
        <f>IF(N98="","",VLOOKUP(N98,'G-7 WaterC'' Data'!$B$2:$G$8,2,FALSE))</f>
        <v/>
      </c>
      <c r="S98" s="291" t="str">
        <f>IFERROR(VLOOKUP(R98,'G-7 WaterC'' Data'!$C$4:$D$8,2,FALSE),"")</f>
        <v/>
      </c>
      <c r="T98" s="95"/>
      <c r="U98" s="291" t="str">
        <f>IFERROR(INDEX('G-7 WaterC'' Data'!$H$4:$L$8,MATCH(N98,'G-7 WaterC'' Data'!$B$4:$B$8,0),MATCH(T98,'G-7 WaterC'' Data'!$H$3:$L$3,0)),"")</f>
        <v/>
      </c>
      <c r="V98" s="95"/>
      <c r="W98" s="298" t="str">
        <f>IF(V98="","",IF(VLOOKUP(V98,'G-7 WaterC'' Data'!$AK$4:$AM$6,2,FALSE)=0,"Spatial Data Missing ⚠",VLOOKUP(V98,'G-7 WaterC'' Data'!$AK$4:$AM$6,2,FALSE)))</f>
        <v/>
      </c>
      <c r="X98" s="291" t="str">
        <f>IF(V98="","",IF(VLOOKUP(V98,'G-7 WaterC'' Data'!$AK$4:$AM$6,3,FALSE)=0,"Spatial Data Missing ⚠",VLOOKUP(V98,'G-7 WaterC'' Data'!$AK$4:$AM$6,3,FALSE)))</f>
        <v/>
      </c>
      <c r="Y98" s="290" t="str">
        <f>IFERROR(IF(OR(LEFT(P98,5)="Error",LEFT(O98,5)="Error ▲"),"Check Data ⚠",IF(F98&lt;S98,'G-7 WaterC'' Data'!$R$3,INDEX('G-7 WaterC'' Data'!$U$5:$Y$9,MATCH(G98,'G-7 WaterC'' Data'!$T$5:$T$9,0),MATCH(T98,'G-7 WaterC'' Data'!$U$4:$Y$4,0)))),"")</f>
        <v/>
      </c>
      <c r="Z98" s="138"/>
      <c r="AA98" s="138"/>
      <c r="AB98" s="298" t="str">
        <f t="shared" si="12"/>
        <v/>
      </c>
      <c r="AC98" s="311" t="str">
        <f t="shared" si="13"/>
        <v/>
      </c>
      <c r="AD98" s="344" t="str">
        <f>IFERROR(IF(AC98="Check Data ⚠","Check Data ⚠",VLOOKUP(AC98,'G-4 Temporal multipliers'!$A$4:$C$37,3,FALSE)),"")</f>
        <v/>
      </c>
      <c r="AE98" s="290" t="str">
        <f>IF(N98="","",VLOOKUP(N98,'G-7 WaterC'' Data'!$B$4:$G$8,5,FALSE))</f>
        <v/>
      </c>
      <c r="AF98" s="298" t="str">
        <f t="shared" si="14"/>
        <v/>
      </c>
      <c r="AG98" s="328" t="str">
        <f t="shared" si="15"/>
        <v/>
      </c>
      <c r="AH98" s="291" t="str">
        <f t="shared" si="9"/>
        <v/>
      </c>
      <c r="AI98" s="103"/>
      <c r="AJ98" s="291" t="str">
        <f>IF(AI98="","",IF(AND(AI98="N/A - Culvert",N98&lt;&gt;"Culvert"),"Not possible ▲",IF(VLOOKUP(AI98,'G-7 WaterC'' Data'!$AA$4:$AB$7,2,FALSE)=0,"Spatial Data Missing ⚠",VLOOKUP(AI98,'G-7 WaterC'' Data'!$AA$4:$AB$7,2,FALSE))))</f>
        <v/>
      </c>
      <c r="AK98" s="104"/>
      <c r="AL98" s="291" t="str">
        <f>IF(AK98="","",IF(AND(AK98="N/A - Culvert",N98&lt;&gt;"Culvert"),"Not possible ▲",IF(VLOOKUP(AK98,'G-7 WaterC'' Data'!$AD$4:$AE$14,2,FALSE)=0,"Spatial Data Missing ⚠",VLOOKUP(AK98,'G-7 WaterC'' Data'!$AD$4:$AE$14,2,FALSE))))</f>
        <v/>
      </c>
      <c r="AM98" s="332" t="str">
        <f t="shared" si="16"/>
        <v/>
      </c>
      <c r="AN98" s="98"/>
      <c r="AO98" s="99"/>
      <c r="AP98" s="101"/>
      <c r="AS98" s="15" t="str">
        <f>IF(B98="","",IF(ISNA(VLOOKUP($B98,'C-1 On-Site WaterC'' Baseline'!$C$8:$AD$257,17,FALSE)),"",(VLOOKUP($B98,'C-1 On-Site WaterC'' Baseline'!$C$8:$AD$257,17,FALSE))))</f>
        <v/>
      </c>
      <c r="AT98" s="15" t="str">
        <f>IF(B98="","",VLOOKUP($B98,'C-1 On-Site WaterC'' Baseline'!$C$9:$Z$257,12,FALSE))</f>
        <v/>
      </c>
      <c r="AU98" s="15" t="str">
        <f>IF(B98="","",VLOOKUP($B98,'C-1 On-Site WaterC'' Baseline'!$C$9:$Z$257,14,FALSE))</f>
        <v/>
      </c>
      <c r="AV98" s="15" t="str">
        <f>IFERROR(INDEX('G-7 WaterC'' Data'!$AZ$3:$AZ$7,MATCH(N98,'G-7 WaterC'' Data'!$AY$3:$AY$7,0)),"")</f>
        <v/>
      </c>
      <c r="AX98" s="15" t="str">
        <f>IF(B98="","",VLOOKUP($B98,'C-1 On-Site WaterC'' Baseline'!$C$9:$Y$257,22,FALSE))</f>
        <v/>
      </c>
      <c r="AY98" s="15" t="str">
        <f t="shared" si="17"/>
        <v/>
      </c>
      <c r="AZ98" s="15" t="str">
        <f>IF(B98="","",VLOOKUP($B98,'C-1 On-Site WaterC'' Baseline'!$C$9:$Y$257,21,FALSE))</f>
        <v/>
      </c>
      <c r="BA98" s="15" t="str">
        <f>IF(B98="","",VLOOKUP($B98,'C-1 On-Site WaterC'' Baseline'!$C$9:$Y$257,19,FALSE))</f>
        <v/>
      </c>
    </row>
    <row r="99" spans="2:53" ht="14" x14ac:dyDescent="0.3">
      <c r="B99" s="319" t="str">
        <f>'C-1 On-Site WaterC'' Baseline'!AP97</f>
        <v/>
      </c>
      <c r="C99" s="310" t="str">
        <f>IF(B99="","",VLOOKUP($B99,'C-1 On-Site WaterC'' Baseline'!$C$9:$R$257,2,FALSE))</f>
        <v/>
      </c>
      <c r="D99" s="310" t="str">
        <f>IF(C99="","",VLOOKUP($B99,'C-1 On-Site WaterC'' Baseline'!$C$9:$R$257,3,FALSE))</f>
        <v/>
      </c>
      <c r="E99" s="310" t="str">
        <f>IF(D99="","",VLOOKUP($B99,'C-1 On-Site WaterC'' Baseline'!$C$9:$R$257,4,FALSE))</f>
        <v/>
      </c>
      <c r="F99" s="310" t="str">
        <f>IF(E99="","",VLOOKUP($B99,'C-1 On-Site WaterC'' Baseline'!$C$9:$R$257,5,FALSE))</f>
        <v/>
      </c>
      <c r="G99" s="310" t="str">
        <f>IF(F99="","",VLOOKUP($B99,'C-1 On-Site WaterC'' Baseline'!$C$9:$R$257,6,FALSE))</f>
        <v/>
      </c>
      <c r="H99" s="310" t="str">
        <f>IF(G99="","",VLOOKUP($B99,'C-1 On-Site WaterC'' Baseline'!$C$9:$R$257,7,FALSE))</f>
        <v/>
      </c>
      <c r="I99" s="310" t="str">
        <f>IF(H99="","",VLOOKUP($B99,'C-1 On-Site WaterC'' Baseline'!$C$9:$R$257,8,FALSE))</f>
        <v/>
      </c>
      <c r="J99" s="310" t="str">
        <f>IF(I99="","",VLOOKUP($B99,'C-1 On-Site WaterC'' Baseline'!$C$9:$R$257,9,FALSE))</f>
        <v/>
      </c>
      <c r="K99" s="310" t="str">
        <f>IF(J99="","",VLOOKUP($B99,'C-1 On-Site WaterC'' Baseline'!$C$9:$R$257,10,FALSE))</f>
        <v/>
      </c>
      <c r="L99" s="310" t="str">
        <f>IF(B99="","",VLOOKUP($B99,'C-1 On-Site WaterC'' Baseline'!$C$9:$R$257,15,FALSE))</f>
        <v/>
      </c>
      <c r="M99" s="314" t="str">
        <f>IF(L99="","",VLOOKUP($B99,'C-1 On-Site WaterC'' Baseline'!$C$9:$R$257,16,FALSE))</f>
        <v/>
      </c>
      <c r="N99" s="259"/>
      <c r="O99" s="290" t="str">
        <f t="shared" si="10"/>
        <v/>
      </c>
      <c r="P99" s="291" t="str">
        <f t="shared" si="11"/>
        <v/>
      </c>
      <c r="Q99" s="346" t="str">
        <f>IF(N99="","",VLOOKUP(B99,'C-1 On-Site WaterC'' Baseline'!$C$10:$AC$257,20,FALSE))</f>
        <v/>
      </c>
      <c r="R99" s="290" t="str">
        <f>IF(N99="","",VLOOKUP(N99,'G-7 WaterC'' Data'!$B$2:$G$8,2,FALSE))</f>
        <v/>
      </c>
      <c r="S99" s="291" t="str">
        <f>IFERROR(VLOOKUP(R99,'G-7 WaterC'' Data'!$C$4:$D$8,2,FALSE),"")</f>
        <v/>
      </c>
      <c r="T99" s="95"/>
      <c r="U99" s="291" t="str">
        <f>IFERROR(INDEX('G-7 WaterC'' Data'!$H$4:$L$8,MATCH(N99,'G-7 WaterC'' Data'!$B$4:$B$8,0),MATCH(T99,'G-7 WaterC'' Data'!$H$3:$L$3,0)),"")</f>
        <v/>
      </c>
      <c r="V99" s="95"/>
      <c r="W99" s="298" t="str">
        <f>IF(V99="","",IF(VLOOKUP(V99,'G-7 WaterC'' Data'!$AK$4:$AM$6,2,FALSE)=0,"Spatial Data Missing ⚠",VLOOKUP(V99,'G-7 WaterC'' Data'!$AK$4:$AM$6,2,FALSE)))</f>
        <v/>
      </c>
      <c r="X99" s="291" t="str">
        <f>IF(V99="","",IF(VLOOKUP(V99,'G-7 WaterC'' Data'!$AK$4:$AM$6,3,FALSE)=0,"Spatial Data Missing ⚠",VLOOKUP(V99,'G-7 WaterC'' Data'!$AK$4:$AM$6,3,FALSE)))</f>
        <v/>
      </c>
      <c r="Y99" s="290" t="str">
        <f>IFERROR(IF(OR(LEFT(P99,5)="Error",LEFT(O99,5)="Error ▲"),"Check Data ⚠",IF(F99&lt;S99,'G-7 WaterC'' Data'!$R$3,INDEX('G-7 WaterC'' Data'!$U$5:$Y$9,MATCH(G99,'G-7 WaterC'' Data'!$T$5:$T$9,0),MATCH(T99,'G-7 WaterC'' Data'!$U$4:$Y$4,0)))),"")</f>
        <v/>
      </c>
      <c r="Z99" s="138"/>
      <c r="AA99" s="138"/>
      <c r="AB99" s="298" t="str">
        <f t="shared" si="12"/>
        <v/>
      </c>
      <c r="AC99" s="311" t="str">
        <f t="shared" si="13"/>
        <v/>
      </c>
      <c r="AD99" s="344" t="str">
        <f>IFERROR(IF(AC99="Check Data ⚠","Check Data ⚠",VLOOKUP(AC99,'G-4 Temporal multipliers'!$A$4:$C$37,3,FALSE)),"")</f>
        <v/>
      </c>
      <c r="AE99" s="290" t="str">
        <f>IF(N99="","",VLOOKUP(N99,'G-7 WaterC'' Data'!$B$4:$G$8,5,FALSE))</f>
        <v/>
      </c>
      <c r="AF99" s="298" t="str">
        <f t="shared" si="14"/>
        <v/>
      </c>
      <c r="AG99" s="328" t="str">
        <f t="shared" si="15"/>
        <v/>
      </c>
      <c r="AH99" s="291" t="str">
        <f t="shared" si="9"/>
        <v/>
      </c>
      <c r="AI99" s="103"/>
      <c r="AJ99" s="291" t="str">
        <f>IF(AI99="","",IF(AND(AI99="N/A - Culvert",N99&lt;&gt;"Culvert"),"Not possible ▲",IF(VLOOKUP(AI99,'G-7 WaterC'' Data'!$AA$4:$AB$7,2,FALSE)=0,"Spatial Data Missing ⚠",VLOOKUP(AI99,'G-7 WaterC'' Data'!$AA$4:$AB$7,2,FALSE))))</f>
        <v/>
      </c>
      <c r="AK99" s="104"/>
      <c r="AL99" s="291" t="str">
        <f>IF(AK99="","",IF(AND(AK99="N/A - Culvert",N99&lt;&gt;"Culvert"),"Not possible ▲",IF(VLOOKUP(AK99,'G-7 WaterC'' Data'!$AD$4:$AE$14,2,FALSE)=0,"Spatial Data Missing ⚠",VLOOKUP(AK99,'G-7 WaterC'' Data'!$AD$4:$AE$14,2,FALSE))))</f>
        <v/>
      </c>
      <c r="AM99" s="332" t="str">
        <f t="shared" si="16"/>
        <v/>
      </c>
      <c r="AN99" s="98"/>
      <c r="AO99" s="99"/>
      <c r="AP99" s="101"/>
      <c r="AS99" s="15" t="str">
        <f>IF(B99="","",IF(ISNA(VLOOKUP($B99,'C-1 On-Site WaterC'' Baseline'!$C$8:$AD$257,17,FALSE)),"",(VLOOKUP($B99,'C-1 On-Site WaterC'' Baseline'!$C$8:$AD$257,17,FALSE))))</f>
        <v/>
      </c>
      <c r="AT99" s="15" t="str">
        <f>IF(B99="","",VLOOKUP($B99,'C-1 On-Site WaterC'' Baseline'!$C$9:$Z$257,12,FALSE))</f>
        <v/>
      </c>
      <c r="AU99" s="15" t="str">
        <f>IF(B99="","",VLOOKUP($B99,'C-1 On-Site WaterC'' Baseline'!$C$9:$Z$257,14,FALSE))</f>
        <v/>
      </c>
      <c r="AV99" s="15" t="str">
        <f>IFERROR(INDEX('G-7 WaterC'' Data'!$AZ$3:$AZ$7,MATCH(N99,'G-7 WaterC'' Data'!$AY$3:$AY$7,0)),"")</f>
        <v/>
      </c>
      <c r="AX99" s="15" t="str">
        <f>IF(B99="","",VLOOKUP($B99,'C-1 On-Site WaterC'' Baseline'!$C$9:$Y$257,22,FALSE))</f>
        <v/>
      </c>
      <c r="AY99" s="15" t="str">
        <f t="shared" si="17"/>
        <v/>
      </c>
      <c r="AZ99" s="15" t="str">
        <f>IF(B99="","",VLOOKUP($B99,'C-1 On-Site WaterC'' Baseline'!$C$9:$Y$257,21,FALSE))</f>
        <v/>
      </c>
      <c r="BA99" s="15" t="str">
        <f>IF(B99="","",VLOOKUP($B99,'C-1 On-Site WaterC'' Baseline'!$C$9:$Y$257,19,FALSE))</f>
        <v/>
      </c>
    </row>
    <row r="100" spans="2:53" ht="14" x14ac:dyDescent="0.3">
      <c r="B100" s="319" t="str">
        <f>'C-1 On-Site WaterC'' Baseline'!AP98</f>
        <v/>
      </c>
      <c r="C100" s="310" t="str">
        <f>IF(B100="","",VLOOKUP($B100,'C-1 On-Site WaterC'' Baseline'!$C$9:$R$257,2,FALSE))</f>
        <v/>
      </c>
      <c r="D100" s="310" t="str">
        <f>IF(C100="","",VLOOKUP($B100,'C-1 On-Site WaterC'' Baseline'!$C$9:$R$257,3,FALSE))</f>
        <v/>
      </c>
      <c r="E100" s="310" t="str">
        <f>IF(D100="","",VLOOKUP($B100,'C-1 On-Site WaterC'' Baseline'!$C$9:$R$257,4,FALSE))</f>
        <v/>
      </c>
      <c r="F100" s="310" t="str">
        <f>IF(E100="","",VLOOKUP($B100,'C-1 On-Site WaterC'' Baseline'!$C$9:$R$257,5,FALSE))</f>
        <v/>
      </c>
      <c r="G100" s="310" t="str">
        <f>IF(F100="","",VLOOKUP($B100,'C-1 On-Site WaterC'' Baseline'!$C$9:$R$257,6,FALSE))</f>
        <v/>
      </c>
      <c r="H100" s="310" t="str">
        <f>IF(G100="","",VLOOKUP($B100,'C-1 On-Site WaterC'' Baseline'!$C$9:$R$257,7,FALSE))</f>
        <v/>
      </c>
      <c r="I100" s="310" t="str">
        <f>IF(H100="","",VLOOKUP($B100,'C-1 On-Site WaterC'' Baseline'!$C$9:$R$257,8,FALSE))</f>
        <v/>
      </c>
      <c r="J100" s="310" t="str">
        <f>IF(I100="","",VLOOKUP($B100,'C-1 On-Site WaterC'' Baseline'!$C$9:$R$257,9,FALSE))</f>
        <v/>
      </c>
      <c r="K100" s="310" t="str">
        <f>IF(J100="","",VLOOKUP($B100,'C-1 On-Site WaterC'' Baseline'!$C$9:$R$257,10,FALSE))</f>
        <v/>
      </c>
      <c r="L100" s="310" t="str">
        <f>IF(B100="","",VLOOKUP($B100,'C-1 On-Site WaterC'' Baseline'!$C$9:$R$257,15,FALSE))</f>
        <v/>
      </c>
      <c r="M100" s="314" t="str">
        <f>IF(L100="","",VLOOKUP($B100,'C-1 On-Site WaterC'' Baseline'!$C$9:$R$257,16,FALSE))</f>
        <v/>
      </c>
      <c r="N100" s="259"/>
      <c r="O100" s="290" t="str">
        <f t="shared" si="10"/>
        <v/>
      </c>
      <c r="P100" s="291" t="str">
        <f t="shared" si="11"/>
        <v/>
      </c>
      <c r="Q100" s="346" t="str">
        <f>IF(N100="","",VLOOKUP(B100,'C-1 On-Site WaterC'' Baseline'!$C$10:$AC$257,20,FALSE))</f>
        <v/>
      </c>
      <c r="R100" s="290" t="str">
        <f>IF(N100="","",VLOOKUP(N100,'G-7 WaterC'' Data'!$B$2:$G$8,2,FALSE))</f>
        <v/>
      </c>
      <c r="S100" s="291" t="str">
        <f>IFERROR(VLOOKUP(R100,'G-7 WaterC'' Data'!$C$4:$D$8,2,FALSE),"")</f>
        <v/>
      </c>
      <c r="T100" s="95"/>
      <c r="U100" s="291" t="str">
        <f>IFERROR(INDEX('G-7 WaterC'' Data'!$H$4:$L$8,MATCH(N100,'G-7 WaterC'' Data'!$B$4:$B$8,0),MATCH(T100,'G-7 WaterC'' Data'!$H$3:$L$3,0)),"")</f>
        <v/>
      </c>
      <c r="V100" s="95"/>
      <c r="W100" s="298" t="str">
        <f>IF(V100="","",IF(VLOOKUP(V100,'G-7 WaterC'' Data'!$AK$4:$AM$6,2,FALSE)=0,"Spatial Data Missing ⚠",VLOOKUP(V100,'G-7 WaterC'' Data'!$AK$4:$AM$6,2,FALSE)))</f>
        <v/>
      </c>
      <c r="X100" s="291" t="str">
        <f>IF(V100="","",IF(VLOOKUP(V100,'G-7 WaterC'' Data'!$AK$4:$AM$6,3,FALSE)=0,"Spatial Data Missing ⚠",VLOOKUP(V100,'G-7 WaterC'' Data'!$AK$4:$AM$6,3,FALSE)))</f>
        <v/>
      </c>
      <c r="Y100" s="290" t="str">
        <f>IFERROR(IF(OR(LEFT(P100,5)="Error",LEFT(O100,5)="Error ▲"),"Check Data ⚠",IF(F100&lt;S100,'G-7 WaterC'' Data'!$R$3,INDEX('G-7 WaterC'' Data'!$U$5:$Y$9,MATCH(G100,'G-7 WaterC'' Data'!$T$5:$T$9,0),MATCH(T100,'G-7 WaterC'' Data'!$U$4:$Y$4,0)))),"")</f>
        <v/>
      </c>
      <c r="Z100" s="138"/>
      <c r="AA100" s="138"/>
      <c r="AB100" s="298" t="str">
        <f t="shared" si="12"/>
        <v/>
      </c>
      <c r="AC100" s="311" t="str">
        <f t="shared" si="13"/>
        <v/>
      </c>
      <c r="AD100" s="344" t="str">
        <f>IFERROR(IF(AC100="Check Data ⚠","Check Data ⚠",VLOOKUP(AC100,'G-4 Temporal multipliers'!$A$4:$C$37,3,FALSE)),"")</f>
        <v/>
      </c>
      <c r="AE100" s="290" t="str">
        <f>IF(N100="","",VLOOKUP(N100,'G-7 WaterC'' Data'!$B$4:$G$8,5,FALSE))</f>
        <v/>
      </c>
      <c r="AF100" s="298" t="str">
        <f t="shared" si="14"/>
        <v/>
      </c>
      <c r="AG100" s="328" t="str">
        <f t="shared" si="15"/>
        <v/>
      </c>
      <c r="AH100" s="291" t="str">
        <f t="shared" si="9"/>
        <v/>
      </c>
      <c r="AI100" s="103"/>
      <c r="AJ100" s="291" t="str">
        <f>IF(AI100="","",IF(AND(AI100="N/A - Culvert",N100&lt;&gt;"Culvert"),"Not possible ▲",IF(VLOOKUP(AI100,'G-7 WaterC'' Data'!$AA$4:$AB$7,2,FALSE)=0,"Spatial Data Missing ⚠",VLOOKUP(AI100,'G-7 WaterC'' Data'!$AA$4:$AB$7,2,FALSE))))</f>
        <v/>
      </c>
      <c r="AK100" s="104"/>
      <c r="AL100" s="291" t="str">
        <f>IF(AK100="","",IF(AND(AK100="N/A - Culvert",N100&lt;&gt;"Culvert"),"Not possible ▲",IF(VLOOKUP(AK100,'G-7 WaterC'' Data'!$AD$4:$AE$14,2,FALSE)=0,"Spatial Data Missing ⚠",VLOOKUP(AK100,'G-7 WaterC'' Data'!$AD$4:$AE$14,2,FALSE))))</f>
        <v/>
      </c>
      <c r="AM100" s="332" t="str">
        <f t="shared" si="16"/>
        <v/>
      </c>
      <c r="AN100" s="98"/>
      <c r="AO100" s="99"/>
      <c r="AP100" s="101"/>
      <c r="AS100" s="15" t="str">
        <f>IF(B100="","",IF(ISNA(VLOOKUP($B100,'C-1 On-Site WaterC'' Baseline'!$C$8:$AD$257,17,FALSE)),"",(VLOOKUP($B100,'C-1 On-Site WaterC'' Baseline'!$C$8:$AD$257,17,FALSE))))</f>
        <v/>
      </c>
      <c r="AT100" s="15" t="str">
        <f>IF(B100="","",VLOOKUP($B100,'C-1 On-Site WaterC'' Baseline'!$C$9:$Z$257,12,FALSE))</f>
        <v/>
      </c>
      <c r="AU100" s="15" t="str">
        <f>IF(B100="","",VLOOKUP($B100,'C-1 On-Site WaterC'' Baseline'!$C$9:$Z$257,14,FALSE))</f>
        <v/>
      </c>
      <c r="AV100" s="15" t="str">
        <f>IFERROR(INDEX('G-7 WaterC'' Data'!$AZ$3:$AZ$7,MATCH(N100,'G-7 WaterC'' Data'!$AY$3:$AY$7,0)),"")</f>
        <v/>
      </c>
      <c r="AX100" s="15" t="str">
        <f>IF(B100="","",VLOOKUP($B100,'C-1 On-Site WaterC'' Baseline'!$C$9:$Y$257,22,FALSE))</f>
        <v/>
      </c>
      <c r="AY100" s="15" t="str">
        <f t="shared" si="17"/>
        <v/>
      </c>
      <c r="AZ100" s="15" t="str">
        <f>IF(B100="","",VLOOKUP($B100,'C-1 On-Site WaterC'' Baseline'!$C$9:$Y$257,21,FALSE))</f>
        <v/>
      </c>
      <c r="BA100" s="15" t="str">
        <f>IF(B100="","",VLOOKUP($B100,'C-1 On-Site WaterC'' Baseline'!$C$9:$Y$257,19,FALSE))</f>
        <v/>
      </c>
    </row>
    <row r="101" spans="2:53" ht="14" x14ac:dyDescent="0.3">
      <c r="B101" s="319" t="str">
        <f>'C-1 On-Site WaterC'' Baseline'!AP99</f>
        <v/>
      </c>
      <c r="C101" s="310" t="str">
        <f>IF(B101="","",VLOOKUP($B101,'C-1 On-Site WaterC'' Baseline'!$C$9:$R$257,2,FALSE))</f>
        <v/>
      </c>
      <c r="D101" s="310" t="str">
        <f>IF(C101="","",VLOOKUP($B101,'C-1 On-Site WaterC'' Baseline'!$C$9:$R$257,3,FALSE))</f>
        <v/>
      </c>
      <c r="E101" s="310" t="str">
        <f>IF(D101="","",VLOOKUP($B101,'C-1 On-Site WaterC'' Baseline'!$C$9:$R$257,4,FALSE))</f>
        <v/>
      </c>
      <c r="F101" s="310" t="str">
        <f>IF(E101="","",VLOOKUP($B101,'C-1 On-Site WaterC'' Baseline'!$C$9:$R$257,5,FALSE))</f>
        <v/>
      </c>
      <c r="G101" s="310" t="str">
        <f>IF(F101="","",VLOOKUP($B101,'C-1 On-Site WaterC'' Baseline'!$C$9:$R$257,6,FALSE))</f>
        <v/>
      </c>
      <c r="H101" s="310" t="str">
        <f>IF(G101="","",VLOOKUP($B101,'C-1 On-Site WaterC'' Baseline'!$C$9:$R$257,7,FALSE))</f>
        <v/>
      </c>
      <c r="I101" s="310" t="str">
        <f>IF(H101="","",VLOOKUP($B101,'C-1 On-Site WaterC'' Baseline'!$C$9:$R$257,8,FALSE))</f>
        <v/>
      </c>
      <c r="J101" s="310" t="str">
        <f>IF(I101="","",VLOOKUP($B101,'C-1 On-Site WaterC'' Baseline'!$C$9:$R$257,9,FALSE))</f>
        <v/>
      </c>
      <c r="K101" s="310" t="str">
        <f>IF(J101="","",VLOOKUP($B101,'C-1 On-Site WaterC'' Baseline'!$C$9:$R$257,10,FALSE))</f>
        <v/>
      </c>
      <c r="L101" s="310" t="str">
        <f>IF(B101="","",VLOOKUP($B101,'C-1 On-Site WaterC'' Baseline'!$C$9:$R$257,15,FALSE))</f>
        <v/>
      </c>
      <c r="M101" s="314" t="str">
        <f>IF(L101="","",VLOOKUP($B101,'C-1 On-Site WaterC'' Baseline'!$C$9:$R$257,16,FALSE))</f>
        <v/>
      </c>
      <c r="N101" s="259"/>
      <c r="O101" s="290" t="str">
        <f t="shared" si="10"/>
        <v/>
      </c>
      <c r="P101" s="291" t="str">
        <f t="shared" si="11"/>
        <v/>
      </c>
      <c r="Q101" s="346" t="str">
        <f>IF(N101="","",VLOOKUP(B101,'C-1 On-Site WaterC'' Baseline'!$C$10:$AC$257,20,FALSE))</f>
        <v/>
      </c>
      <c r="R101" s="290" t="str">
        <f>IF(N101="","",VLOOKUP(N101,'G-7 WaterC'' Data'!$B$2:$G$8,2,FALSE))</f>
        <v/>
      </c>
      <c r="S101" s="291" t="str">
        <f>IFERROR(VLOOKUP(R101,'G-7 WaterC'' Data'!$C$4:$D$8,2,FALSE),"")</f>
        <v/>
      </c>
      <c r="T101" s="95"/>
      <c r="U101" s="291" t="str">
        <f>IFERROR(INDEX('G-7 WaterC'' Data'!$H$4:$L$8,MATCH(N101,'G-7 WaterC'' Data'!$B$4:$B$8,0),MATCH(T101,'G-7 WaterC'' Data'!$H$3:$L$3,0)),"")</f>
        <v/>
      </c>
      <c r="V101" s="95"/>
      <c r="W101" s="298" t="str">
        <f>IF(V101="","",IF(VLOOKUP(V101,'G-7 WaterC'' Data'!$AK$4:$AM$6,2,FALSE)=0,"Spatial Data Missing ⚠",VLOOKUP(V101,'G-7 WaterC'' Data'!$AK$4:$AM$6,2,FALSE)))</f>
        <v/>
      </c>
      <c r="X101" s="291" t="str">
        <f>IF(V101="","",IF(VLOOKUP(V101,'G-7 WaterC'' Data'!$AK$4:$AM$6,3,FALSE)=0,"Spatial Data Missing ⚠",VLOOKUP(V101,'G-7 WaterC'' Data'!$AK$4:$AM$6,3,FALSE)))</f>
        <v/>
      </c>
      <c r="Y101" s="290" t="str">
        <f>IFERROR(IF(OR(LEFT(P101,5)="Error",LEFT(O101,5)="Error ▲"),"Check Data ⚠",IF(F101&lt;S101,'G-7 WaterC'' Data'!$R$3,INDEX('G-7 WaterC'' Data'!$U$5:$Y$9,MATCH(G101,'G-7 WaterC'' Data'!$T$5:$T$9,0),MATCH(T101,'G-7 WaterC'' Data'!$U$4:$Y$4,0)))),"")</f>
        <v/>
      </c>
      <c r="Z101" s="138"/>
      <c r="AA101" s="138"/>
      <c r="AB101" s="298" t="str">
        <f t="shared" si="12"/>
        <v/>
      </c>
      <c r="AC101" s="311" t="str">
        <f t="shared" si="13"/>
        <v/>
      </c>
      <c r="AD101" s="344" t="str">
        <f>IFERROR(IF(AC101="Check Data ⚠","Check Data ⚠",VLOOKUP(AC101,'G-4 Temporal multipliers'!$A$4:$C$37,3,FALSE)),"")</f>
        <v/>
      </c>
      <c r="AE101" s="290" t="str">
        <f>IF(N101="","",VLOOKUP(N101,'G-7 WaterC'' Data'!$B$4:$G$8,5,FALSE))</f>
        <v/>
      </c>
      <c r="AF101" s="298" t="str">
        <f t="shared" si="14"/>
        <v/>
      </c>
      <c r="AG101" s="328" t="str">
        <f t="shared" si="15"/>
        <v/>
      </c>
      <c r="AH101" s="291" t="str">
        <f t="shared" si="9"/>
        <v/>
      </c>
      <c r="AI101" s="103"/>
      <c r="AJ101" s="291" t="str">
        <f>IF(AI101="","",IF(AND(AI101="N/A - Culvert",N101&lt;&gt;"Culvert"),"Not possible ▲",IF(VLOOKUP(AI101,'G-7 WaterC'' Data'!$AA$4:$AB$7,2,FALSE)=0,"Spatial Data Missing ⚠",VLOOKUP(AI101,'G-7 WaterC'' Data'!$AA$4:$AB$7,2,FALSE))))</f>
        <v/>
      </c>
      <c r="AK101" s="104"/>
      <c r="AL101" s="291" t="str">
        <f>IF(AK101="","",IF(AND(AK101="N/A - Culvert",N101&lt;&gt;"Culvert"),"Not possible ▲",IF(VLOOKUP(AK101,'G-7 WaterC'' Data'!$AD$4:$AE$14,2,FALSE)=0,"Spatial Data Missing ⚠",VLOOKUP(AK101,'G-7 WaterC'' Data'!$AD$4:$AE$14,2,FALSE))))</f>
        <v/>
      </c>
      <c r="AM101" s="332" t="str">
        <f t="shared" si="16"/>
        <v/>
      </c>
      <c r="AN101" s="98"/>
      <c r="AO101" s="99"/>
      <c r="AP101" s="101"/>
      <c r="AS101" s="15" t="str">
        <f>IF(B101="","",IF(ISNA(VLOOKUP($B101,'C-1 On-Site WaterC'' Baseline'!$C$8:$AD$257,17,FALSE)),"",(VLOOKUP($B101,'C-1 On-Site WaterC'' Baseline'!$C$8:$AD$257,17,FALSE))))</f>
        <v/>
      </c>
      <c r="AT101" s="15" t="str">
        <f>IF(B101="","",VLOOKUP($B101,'C-1 On-Site WaterC'' Baseline'!$C$9:$Z$257,12,FALSE))</f>
        <v/>
      </c>
      <c r="AU101" s="15" t="str">
        <f>IF(B101="","",VLOOKUP($B101,'C-1 On-Site WaterC'' Baseline'!$C$9:$Z$257,14,FALSE))</f>
        <v/>
      </c>
      <c r="AV101" s="15" t="str">
        <f>IFERROR(INDEX('G-7 WaterC'' Data'!$AZ$3:$AZ$7,MATCH(N101,'G-7 WaterC'' Data'!$AY$3:$AY$7,0)),"")</f>
        <v/>
      </c>
      <c r="AX101" s="15" t="str">
        <f>IF(B101="","",VLOOKUP($B101,'C-1 On-Site WaterC'' Baseline'!$C$9:$Y$257,22,FALSE))</f>
        <v/>
      </c>
      <c r="AY101" s="15" t="str">
        <f t="shared" si="17"/>
        <v/>
      </c>
      <c r="AZ101" s="15" t="str">
        <f>IF(B101="","",VLOOKUP($B101,'C-1 On-Site WaterC'' Baseline'!$C$9:$Y$257,21,FALSE))</f>
        <v/>
      </c>
      <c r="BA101" s="15" t="str">
        <f>IF(B101="","",VLOOKUP($B101,'C-1 On-Site WaterC'' Baseline'!$C$9:$Y$257,19,FALSE))</f>
        <v/>
      </c>
    </row>
    <row r="102" spans="2:53" ht="14" x14ac:dyDescent="0.3">
      <c r="B102" s="319" t="str">
        <f>'C-1 On-Site WaterC'' Baseline'!AP100</f>
        <v/>
      </c>
      <c r="C102" s="310" t="str">
        <f>IF(B102="","",VLOOKUP($B102,'C-1 On-Site WaterC'' Baseline'!$C$9:$R$257,2,FALSE))</f>
        <v/>
      </c>
      <c r="D102" s="310" t="str">
        <f>IF(C102="","",VLOOKUP($B102,'C-1 On-Site WaterC'' Baseline'!$C$9:$R$257,3,FALSE))</f>
        <v/>
      </c>
      <c r="E102" s="310" t="str">
        <f>IF(D102="","",VLOOKUP($B102,'C-1 On-Site WaterC'' Baseline'!$C$9:$R$257,4,FALSE))</f>
        <v/>
      </c>
      <c r="F102" s="310" t="str">
        <f>IF(E102="","",VLOOKUP($B102,'C-1 On-Site WaterC'' Baseline'!$C$9:$R$257,5,FALSE))</f>
        <v/>
      </c>
      <c r="G102" s="310" t="str">
        <f>IF(F102="","",VLOOKUP($B102,'C-1 On-Site WaterC'' Baseline'!$C$9:$R$257,6,FALSE))</f>
        <v/>
      </c>
      <c r="H102" s="310" t="str">
        <f>IF(G102="","",VLOOKUP($B102,'C-1 On-Site WaterC'' Baseline'!$C$9:$R$257,7,FALSE))</f>
        <v/>
      </c>
      <c r="I102" s="310" t="str">
        <f>IF(H102="","",VLOOKUP($B102,'C-1 On-Site WaterC'' Baseline'!$C$9:$R$257,8,FALSE))</f>
        <v/>
      </c>
      <c r="J102" s="310" t="str">
        <f>IF(I102="","",VLOOKUP($B102,'C-1 On-Site WaterC'' Baseline'!$C$9:$R$257,9,FALSE))</f>
        <v/>
      </c>
      <c r="K102" s="310" t="str">
        <f>IF(J102="","",VLOOKUP($B102,'C-1 On-Site WaterC'' Baseline'!$C$9:$R$257,10,FALSE))</f>
        <v/>
      </c>
      <c r="L102" s="310" t="str">
        <f>IF(B102="","",VLOOKUP($B102,'C-1 On-Site WaterC'' Baseline'!$C$9:$R$257,15,FALSE))</f>
        <v/>
      </c>
      <c r="M102" s="314" t="str">
        <f>IF(L102="","",VLOOKUP($B102,'C-1 On-Site WaterC'' Baseline'!$C$9:$R$257,16,FALSE))</f>
        <v/>
      </c>
      <c r="N102" s="259"/>
      <c r="O102" s="290" t="str">
        <f t="shared" si="10"/>
        <v/>
      </c>
      <c r="P102" s="291" t="str">
        <f t="shared" si="11"/>
        <v/>
      </c>
      <c r="Q102" s="346" t="str">
        <f>IF(N102="","",VLOOKUP(B102,'C-1 On-Site WaterC'' Baseline'!$C$10:$AC$257,20,FALSE))</f>
        <v/>
      </c>
      <c r="R102" s="290" t="str">
        <f>IF(N102="","",VLOOKUP(N102,'G-7 WaterC'' Data'!$B$2:$G$8,2,FALSE))</f>
        <v/>
      </c>
      <c r="S102" s="291" t="str">
        <f>IFERROR(VLOOKUP(R102,'G-7 WaterC'' Data'!$C$4:$D$8,2,FALSE),"")</f>
        <v/>
      </c>
      <c r="T102" s="95"/>
      <c r="U102" s="291" t="str">
        <f>IFERROR(INDEX('G-7 WaterC'' Data'!$H$4:$L$8,MATCH(N102,'G-7 WaterC'' Data'!$B$4:$B$8,0),MATCH(T102,'G-7 WaterC'' Data'!$H$3:$L$3,0)),"")</f>
        <v/>
      </c>
      <c r="V102" s="95"/>
      <c r="W102" s="298" t="str">
        <f>IF(V102="","",IF(VLOOKUP(V102,'G-7 WaterC'' Data'!$AK$4:$AM$6,2,FALSE)=0,"Spatial Data Missing ⚠",VLOOKUP(V102,'G-7 WaterC'' Data'!$AK$4:$AM$6,2,FALSE)))</f>
        <v/>
      </c>
      <c r="X102" s="291" t="str">
        <f>IF(V102="","",IF(VLOOKUP(V102,'G-7 WaterC'' Data'!$AK$4:$AM$6,3,FALSE)=0,"Spatial Data Missing ⚠",VLOOKUP(V102,'G-7 WaterC'' Data'!$AK$4:$AM$6,3,FALSE)))</f>
        <v/>
      </c>
      <c r="Y102" s="290" t="str">
        <f>IFERROR(IF(OR(LEFT(P102,5)="Error",LEFT(O102,5)="Error ▲"),"Check Data ⚠",IF(F102&lt;S102,'G-7 WaterC'' Data'!$R$3,INDEX('G-7 WaterC'' Data'!$U$5:$Y$9,MATCH(G102,'G-7 WaterC'' Data'!$T$5:$T$9,0),MATCH(T102,'G-7 WaterC'' Data'!$U$4:$Y$4,0)))),"")</f>
        <v/>
      </c>
      <c r="Z102" s="138"/>
      <c r="AA102" s="138"/>
      <c r="AB102" s="298" t="str">
        <f t="shared" si="12"/>
        <v/>
      </c>
      <c r="AC102" s="311" t="str">
        <f t="shared" si="13"/>
        <v/>
      </c>
      <c r="AD102" s="344" t="str">
        <f>IFERROR(IF(AC102="Check Data ⚠","Check Data ⚠",VLOOKUP(AC102,'G-4 Temporal multipliers'!$A$4:$C$37,3,FALSE)),"")</f>
        <v/>
      </c>
      <c r="AE102" s="290" t="str">
        <f>IF(N102="","",VLOOKUP(N102,'G-7 WaterC'' Data'!$B$4:$G$8,5,FALSE))</f>
        <v/>
      </c>
      <c r="AF102" s="298" t="str">
        <f t="shared" si="14"/>
        <v/>
      </c>
      <c r="AG102" s="328" t="str">
        <f t="shared" si="15"/>
        <v/>
      </c>
      <c r="AH102" s="291" t="str">
        <f t="shared" si="9"/>
        <v/>
      </c>
      <c r="AI102" s="103"/>
      <c r="AJ102" s="291" t="str">
        <f>IF(AI102="","",IF(AND(AI102="N/A - Culvert",N102&lt;&gt;"Culvert"),"Not possible ▲",IF(VLOOKUP(AI102,'G-7 WaterC'' Data'!$AA$4:$AB$7,2,FALSE)=0,"Spatial Data Missing ⚠",VLOOKUP(AI102,'G-7 WaterC'' Data'!$AA$4:$AB$7,2,FALSE))))</f>
        <v/>
      </c>
      <c r="AK102" s="104"/>
      <c r="AL102" s="291" t="str">
        <f>IF(AK102="","",IF(AND(AK102="N/A - Culvert",N102&lt;&gt;"Culvert"),"Not possible ▲",IF(VLOOKUP(AK102,'G-7 WaterC'' Data'!$AD$4:$AE$14,2,FALSE)=0,"Spatial Data Missing ⚠",VLOOKUP(AK102,'G-7 WaterC'' Data'!$AD$4:$AE$14,2,FALSE))))</f>
        <v/>
      </c>
      <c r="AM102" s="332" t="str">
        <f t="shared" si="16"/>
        <v/>
      </c>
      <c r="AN102" s="98"/>
      <c r="AO102" s="99"/>
      <c r="AP102" s="101"/>
      <c r="AS102" s="15" t="str">
        <f>IF(B102="","",IF(ISNA(VLOOKUP($B102,'C-1 On-Site WaterC'' Baseline'!$C$8:$AD$257,17,FALSE)),"",(VLOOKUP($B102,'C-1 On-Site WaterC'' Baseline'!$C$8:$AD$257,17,FALSE))))</f>
        <v/>
      </c>
      <c r="AT102" s="15" t="str">
        <f>IF(B102="","",VLOOKUP($B102,'C-1 On-Site WaterC'' Baseline'!$C$9:$Z$257,12,FALSE))</f>
        <v/>
      </c>
      <c r="AU102" s="15" t="str">
        <f>IF(B102="","",VLOOKUP($B102,'C-1 On-Site WaterC'' Baseline'!$C$9:$Z$257,14,FALSE))</f>
        <v/>
      </c>
      <c r="AV102" s="15" t="str">
        <f>IFERROR(INDEX('G-7 WaterC'' Data'!$AZ$3:$AZ$7,MATCH(N102,'G-7 WaterC'' Data'!$AY$3:$AY$7,0)),"")</f>
        <v/>
      </c>
      <c r="AX102" s="15" t="str">
        <f>IF(B102="","",VLOOKUP($B102,'C-1 On-Site WaterC'' Baseline'!$C$9:$Y$257,22,FALSE))</f>
        <v/>
      </c>
      <c r="AY102" s="15" t="str">
        <f t="shared" si="17"/>
        <v/>
      </c>
      <c r="AZ102" s="15" t="str">
        <f>IF(B102="","",VLOOKUP($B102,'C-1 On-Site WaterC'' Baseline'!$C$9:$Y$257,21,FALSE))</f>
        <v/>
      </c>
      <c r="BA102" s="15" t="str">
        <f>IF(B102="","",VLOOKUP($B102,'C-1 On-Site WaterC'' Baseline'!$C$9:$Y$257,19,FALSE))</f>
        <v/>
      </c>
    </row>
    <row r="103" spans="2:53" ht="14" x14ac:dyDescent="0.3">
      <c r="B103" s="319" t="str">
        <f>'C-1 On-Site WaterC'' Baseline'!AP101</f>
        <v/>
      </c>
      <c r="C103" s="310" t="str">
        <f>IF(B103="","",VLOOKUP($B103,'C-1 On-Site WaterC'' Baseline'!$C$9:$R$257,2,FALSE))</f>
        <v/>
      </c>
      <c r="D103" s="310" t="str">
        <f>IF(C103="","",VLOOKUP($B103,'C-1 On-Site WaterC'' Baseline'!$C$9:$R$257,3,FALSE))</f>
        <v/>
      </c>
      <c r="E103" s="310" t="str">
        <f>IF(D103="","",VLOOKUP($B103,'C-1 On-Site WaterC'' Baseline'!$C$9:$R$257,4,FALSE))</f>
        <v/>
      </c>
      <c r="F103" s="310" t="str">
        <f>IF(E103="","",VLOOKUP($B103,'C-1 On-Site WaterC'' Baseline'!$C$9:$R$257,5,FALSE))</f>
        <v/>
      </c>
      <c r="G103" s="310" t="str">
        <f>IF(F103="","",VLOOKUP($B103,'C-1 On-Site WaterC'' Baseline'!$C$9:$R$257,6,FALSE))</f>
        <v/>
      </c>
      <c r="H103" s="310" t="str">
        <f>IF(G103="","",VLOOKUP($B103,'C-1 On-Site WaterC'' Baseline'!$C$9:$R$257,7,FALSE))</f>
        <v/>
      </c>
      <c r="I103" s="310" t="str">
        <f>IF(H103="","",VLOOKUP($B103,'C-1 On-Site WaterC'' Baseline'!$C$9:$R$257,8,FALSE))</f>
        <v/>
      </c>
      <c r="J103" s="310" t="str">
        <f>IF(I103="","",VLOOKUP($B103,'C-1 On-Site WaterC'' Baseline'!$C$9:$R$257,9,FALSE))</f>
        <v/>
      </c>
      <c r="K103" s="310" t="str">
        <f>IF(J103="","",VLOOKUP($B103,'C-1 On-Site WaterC'' Baseline'!$C$9:$R$257,10,FALSE))</f>
        <v/>
      </c>
      <c r="L103" s="310" t="str">
        <f>IF(B103="","",VLOOKUP($B103,'C-1 On-Site WaterC'' Baseline'!$C$9:$R$257,15,FALSE))</f>
        <v/>
      </c>
      <c r="M103" s="314" t="str">
        <f>IF(L103="","",VLOOKUP($B103,'C-1 On-Site WaterC'' Baseline'!$C$9:$R$257,16,FALSE))</f>
        <v/>
      </c>
      <c r="N103" s="259"/>
      <c r="O103" s="290" t="str">
        <f t="shared" si="10"/>
        <v/>
      </c>
      <c r="P103" s="291" t="str">
        <f t="shared" si="11"/>
        <v/>
      </c>
      <c r="Q103" s="346" t="str">
        <f>IF(N103="","",VLOOKUP(B103,'C-1 On-Site WaterC'' Baseline'!$C$10:$AC$257,20,FALSE))</f>
        <v/>
      </c>
      <c r="R103" s="290" t="str">
        <f>IF(N103="","",VLOOKUP(N103,'G-7 WaterC'' Data'!$B$2:$G$8,2,FALSE))</f>
        <v/>
      </c>
      <c r="S103" s="291" t="str">
        <f>IFERROR(VLOOKUP(R103,'G-7 WaterC'' Data'!$C$4:$D$8,2,FALSE),"")</f>
        <v/>
      </c>
      <c r="T103" s="95"/>
      <c r="U103" s="291" t="str">
        <f>IFERROR(INDEX('G-7 WaterC'' Data'!$H$4:$L$8,MATCH(N103,'G-7 WaterC'' Data'!$B$4:$B$8,0),MATCH(T103,'G-7 WaterC'' Data'!$H$3:$L$3,0)),"")</f>
        <v/>
      </c>
      <c r="V103" s="95"/>
      <c r="W103" s="298" t="str">
        <f>IF(V103="","",IF(VLOOKUP(V103,'G-7 WaterC'' Data'!$AK$4:$AM$6,2,FALSE)=0,"Spatial Data Missing ⚠",VLOOKUP(V103,'G-7 WaterC'' Data'!$AK$4:$AM$6,2,FALSE)))</f>
        <v/>
      </c>
      <c r="X103" s="291" t="str">
        <f>IF(V103="","",IF(VLOOKUP(V103,'G-7 WaterC'' Data'!$AK$4:$AM$6,3,FALSE)=0,"Spatial Data Missing ⚠",VLOOKUP(V103,'G-7 WaterC'' Data'!$AK$4:$AM$6,3,FALSE)))</f>
        <v/>
      </c>
      <c r="Y103" s="290" t="str">
        <f>IFERROR(IF(OR(LEFT(P103,5)="Error",LEFT(O103,5)="Error ▲"),"Check Data ⚠",IF(F103&lt;S103,'G-7 WaterC'' Data'!$R$3,INDEX('G-7 WaterC'' Data'!$U$5:$Y$9,MATCH(G103,'G-7 WaterC'' Data'!$T$5:$T$9,0),MATCH(T103,'G-7 WaterC'' Data'!$U$4:$Y$4,0)))),"")</f>
        <v/>
      </c>
      <c r="Z103" s="138"/>
      <c r="AA103" s="138"/>
      <c r="AB103" s="298" t="str">
        <f t="shared" si="12"/>
        <v/>
      </c>
      <c r="AC103" s="311" t="str">
        <f t="shared" si="13"/>
        <v/>
      </c>
      <c r="AD103" s="344" t="str">
        <f>IFERROR(IF(AC103="Check Data ⚠","Check Data ⚠",VLOOKUP(AC103,'G-4 Temporal multipliers'!$A$4:$C$37,3,FALSE)),"")</f>
        <v/>
      </c>
      <c r="AE103" s="290" t="str">
        <f>IF(N103="","",VLOOKUP(N103,'G-7 WaterC'' Data'!$B$4:$G$8,5,FALSE))</f>
        <v/>
      </c>
      <c r="AF103" s="298" t="str">
        <f t="shared" si="14"/>
        <v/>
      </c>
      <c r="AG103" s="328" t="str">
        <f t="shared" si="15"/>
        <v/>
      </c>
      <c r="AH103" s="291" t="str">
        <f t="shared" si="9"/>
        <v/>
      </c>
      <c r="AI103" s="103"/>
      <c r="AJ103" s="291" t="str">
        <f>IF(AI103="","",IF(AND(AI103="N/A - Culvert",N103&lt;&gt;"Culvert"),"Not possible ▲",IF(VLOOKUP(AI103,'G-7 WaterC'' Data'!$AA$4:$AB$7,2,FALSE)=0,"Spatial Data Missing ⚠",VLOOKUP(AI103,'G-7 WaterC'' Data'!$AA$4:$AB$7,2,FALSE))))</f>
        <v/>
      </c>
      <c r="AK103" s="104"/>
      <c r="AL103" s="291" t="str">
        <f>IF(AK103="","",IF(AND(AK103="N/A - Culvert",N103&lt;&gt;"Culvert"),"Not possible ▲",IF(VLOOKUP(AK103,'G-7 WaterC'' Data'!$AD$4:$AE$14,2,FALSE)=0,"Spatial Data Missing ⚠",VLOOKUP(AK103,'G-7 WaterC'' Data'!$AD$4:$AE$14,2,FALSE))))</f>
        <v/>
      </c>
      <c r="AM103" s="332" t="str">
        <f t="shared" si="16"/>
        <v/>
      </c>
      <c r="AN103" s="98"/>
      <c r="AO103" s="99"/>
      <c r="AP103" s="101"/>
      <c r="AS103" s="15" t="str">
        <f>IF(B103="","",IF(ISNA(VLOOKUP($B103,'C-1 On-Site WaterC'' Baseline'!$C$8:$AD$257,17,FALSE)),"",(VLOOKUP($B103,'C-1 On-Site WaterC'' Baseline'!$C$8:$AD$257,17,FALSE))))</f>
        <v/>
      </c>
      <c r="AT103" s="15" t="str">
        <f>IF(B103="","",VLOOKUP($B103,'C-1 On-Site WaterC'' Baseline'!$C$9:$Z$257,12,FALSE))</f>
        <v/>
      </c>
      <c r="AU103" s="15" t="str">
        <f>IF(B103="","",VLOOKUP($B103,'C-1 On-Site WaterC'' Baseline'!$C$9:$Z$257,14,FALSE))</f>
        <v/>
      </c>
      <c r="AV103" s="15" t="str">
        <f>IFERROR(INDEX('G-7 WaterC'' Data'!$AZ$3:$AZ$7,MATCH(N103,'G-7 WaterC'' Data'!$AY$3:$AY$7,0)),"")</f>
        <v/>
      </c>
      <c r="AX103" s="15" t="str">
        <f>IF(B103="","",VLOOKUP($B103,'C-1 On-Site WaterC'' Baseline'!$C$9:$Y$257,22,FALSE))</f>
        <v/>
      </c>
      <c r="AY103" s="15" t="str">
        <f t="shared" si="17"/>
        <v/>
      </c>
      <c r="AZ103" s="15" t="str">
        <f>IF(B103="","",VLOOKUP($B103,'C-1 On-Site WaterC'' Baseline'!$C$9:$Y$257,21,FALSE))</f>
        <v/>
      </c>
      <c r="BA103" s="15" t="str">
        <f>IF(B103="","",VLOOKUP($B103,'C-1 On-Site WaterC'' Baseline'!$C$9:$Y$257,19,FALSE))</f>
        <v/>
      </c>
    </row>
    <row r="104" spans="2:53" ht="14" x14ac:dyDescent="0.3">
      <c r="B104" s="319" t="str">
        <f>'C-1 On-Site WaterC'' Baseline'!AP102</f>
        <v/>
      </c>
      <c r="C104" s="310" t="str">
        <f>IF(B104="","",VLOOKUP($B104,'C-1 On-Site WaterC'' Baseline'!$C$9:$R$257,2,FALSE))</f>
        <v/>
      </c>
      <c r="D104" s="310" t="str">
        <f>IF(C104="","",VLOOKUP($B104,'C-1 On-Site WaterC'' Baseline'!$C$9:$R$257,3,FALSE))</f>
        <v/>
      </c>
      <c r="E104" s="310" t="str">
        <f>IF(D104="","",VLOOKUP($B104,'C-1 On-Site WaterC'' Baseline'!$C$9:$R$257,4,FALSE))</f>
        <v/>
      </c>
      <c r="F104" s="310" t="str">
        <f>IF(E104="","",VLOOKUP($B104,'C-1 On-Site WaterC'' Baseline'!$C$9:$R$257,5,FALSE))</f>
        <v/>
      </c>
      <c r="G104" s="310" t="str">
        <f>IF(F104="","",VLOOKUP($B104,'C-1 On-Site WaterC'' Baseline'!$C$9:$R$257,6,FALSE))</f>
        <v/>
      </c>
      <c r="H104" s="310" t="str">
        <f>IF(G104="","",VLOOKUP($B104,'C-1 On-Site WaterC'' Baseline'!$C$9:$R$257,7,FALSE))</f>
        <v/>
      </c>
      <c r="I104" s="310" t="str">
        <f>IF(H104="","",VLOOKUP($B104,'C-1 On-Site WaterC'' Baseline'!$C$9:$R$257,8,FALSE))</f>
        <v/>
      </c>
      <c r="J104" s="310" t="str">
        <f>IF(I104="","",VLOOKUP($B104,'C-1 On-Site WaterC'' Baseline'!$C$9:$R$257,9,FALSE))</f>
        <v/>
      </c>
      <c r="K104" s="310" t="str">
        <f>IF(J104="","",VLOOKUP($B104,'C-1 On-Site WaterC'' Baseline'!$C$9:$R$257,10,FALSE))</f>
        <v/>
      </c>
      <c r="L104" s="310" t="str">
        <f>IF(B104="","",VLOOKUP($B104,'C-1 On-Site WaterC'' Baseline'!$C$9:$R$257,15,FALSE))</f>
        <v/>
      </c>
      <c r="M104" s="314" t="str">
        <f>IF(L104="","",VLOOKUP($B104,'C-1 On-Site WaterC'' Baseline'!$C$9:$R$257,16,FALSE))</f>
        <v/>
      </c>
      <c r="N104" s="259"/>
      <c r="O104" s="290" t="str">
        <f t="shared" si="10"/>
        <v/>
      </c>
      <c r="P104" s="291" t="str">
        <f t="shared" si="11"/>
        <v/>
      </c>
      <c r="Q104" s="346" t="str">
        <f>IF(N104="","",VLOOKUP(B104,'C-1 On-Site WaterC'' Baseline'!$C$10:$AC$257,20,FALSE))</f>
        <v/>
      </c>
      <c r="R104" s="290" t="str">
        <f>IF(N104="","",VLOOKUP(N104,'G-7 WaterC'' Data'!$B$2:$G$8,2,FALSE))</f>
        <v/>
      </c>
      <c r="S104" s="291" t="str">
        <f>IFERROR(VLOOKUP(R104,'G-7 WaterC'' Data'!$C$4:$D$8,2,FALSE),"")</f>
        <v/>
      </c>
      <c r="T104" s="95"/>
      <c r="U104" s="291" t="str">
        <f>IFERROR(INDEX('G-7 WaterC'' Data'!$H$4:$L$8,MATCH(N104,'G-7 WaterC'' Data'!$B$4:$B$8,0),MATCH(T104,'G-7 WaterC'' Data'!$H$3:$L$3,0)),"")</f>
        <v/>
      </c>
      <c r="V104" s="95"/>
      <c r="W104" s="298" t="str">
        <f>IF(V104="","",IF(VLOOKUP(V104,'G-7 WaterC'' Data'!$AK$4:$AM$6,2,FALSE)=0,"Spatial Data Missing ⚠",VLOOKUP(V104,'G-7 WaterC'' Data'!$AK$4:$AM$6,2,FALSE)))</f>
        <v/>
      </c>
      <c r="X104" s="291" t="str">
        <f>IF(V104="","",IF(VLOOKUP(V104,'G-7 WaterC'' Data'!$AK$4:$AM$6,3,FALSE)=0,"Spatial Data Missing ⚠",VLOOKUP(V104,'G-7 WaterC'' Data'!$AK$4:$AM$6,3,FALSE)))</f>
        <v/>
      </c>
      <c r="Y104" s="290" t="str">
        <f>IFERROR(IF(OR(LEFT(P104,5)="Error",LEFT(O104,5)="Error ▲"),"Check Data ⚠",IF(F104&lt;S104,'G-7 WaterC'' Data'!$R$3,INDEX('G-7 WaterC'' Data'!$U$5:$Y$9,MATCH(G104,'G-7 WaterC'' Data'!$T$5:$T$9,0),MATCH(T104,'G-7 WaterC'' Data'!$U$4:$Y$4,0)))),"")</f>
        <v/>
      </c>
      <c r="Z104" s="138"/>
      <c r="AA104" s="138"/>
      <c r="AB104" s="298" t="str">
        <f t="shared" si="12"/>
        <v/>
      </c>
      <c r="AC104" s="311" t="str">
        <f t="shared" si="13"/>
        <v/>
      </c>
      <c r="AD104" s="344" t="str">
        <f>IFERROR(IF(AC104="Check Data ⚠","Check Data ⚠",VLOOKUP(AC104,'G-4 Temporal multipliers'!$A$4:$C$37,3,FALSE)),"")</f>
        <v/>
      </c>
      <c r="AE104" s="290" t="str">
        <f>IF(N104="","",VLOOKUP(N104,'G-7 WaterC'' Data'!$B$4:$G$8,5,FALSE))</f>
        <v/>
      </c>
      <c r="AF104" s="298" t="str">
        <f t="shared" si="14"/>
        <v/>
      </c>
      <c r="AG104" s="328" t="str">
        <f t="shared" si="15"/>
        <v/>
      </c>
      <c r="AH104" s="291" t="str">
        <f t="shared" si="9"/>
        <v/>
      </c>
      <c r="AI104" s="103"/>
      <c r="AJ104" s="291" t="str">
        <f>IF(AI104="","",IF(AND(AI104="N/A - Culvert",N104&lt;&gt;"Culvert"),"Not possible ▲",IF(VLOOKUP(AI104,'G-7 WaterC'' Data'!$AA$4:$AB$7,2,FALSE)=0,"Spatial Data Missing ⚠",VLOOKUP(AI104,'G-7 WaterC'' Data'!$AA$4:$AB$7,2,FALSE))))</f>
        <v/>
      </c>
      <c r="AK104" s="104"/>
      <c r="AL104" s="291" t="str">
        <f>IF(AK104="","",IF(AND(AK104="N/A - Culvert",N104&lt;&gt;"Culvert"),"Not possible ▲",IF(VLOOKUP(AK104,'G-7 WaterC'' Data'!$AD$4:$AE$14,2,FALSE)=0,"Spatial Data Missing ⚠",VLOOKUP(AK104,'G-7 WaterC'' Data'!$AD$4:$AE$14,2,FALSE))))</f>
        <v/>
      </c>
      <c r="AM104" s="332" t="str">
        <f t="shared" si="16"/>
        <v/>
      </c>
      <c r="AN104" s="98"/>
      <c r="AO104" s="99"/>
      <c r="AP104" s="101"/>
      <c r="AS104" s="15" t="str">
        <f>IF(B104="","",IF(ISNA(VLOOKUP($B104,'C-1 On-Site WaterC'' Baseline'!$C$8:$AD$257,17,FALSE)),"",(VLOOKUP($B104,'C-1 On-Site WaterC'' Baseline'!$C$8:$AD$257,17,FALSE))))</f>
        <v/>
      </c>
      <c r="AT104" s="15" t="str">
        <f>IF(B104="","",VLOOKUP($B104,'C-1 On-Site WaterC'' Baseline'!$C$9:$Z$257,12,FALSE))</f>
        <v/>
      </c>
      <c r="AU104" s="15" t="str">
        <f>IF(B104="","",VLOOKUP($B104,'C-1 On-Site WaterC'' Baseline'!$C$9:$Z$257,14,FALSE))</f>
        <v/>
      </c>
      <c r="AV104" s="15" t="str">
        <f>IFERROR(INDEX('G-7 WaterC'' Data'!$AZ$3:$AZ$7,MATCH(N104,'G-7 WaterC'' Data'!$AY$3:$AY$7,0)),"")</f>
        <v/>
      </c>
      <c r="AX104" s="15" t="str">
        <f>IF(B104="","",VLOOKUP($B104,'C-1 On-Site WaterC'' Baseline'!$C$9:$Y$257,22,FALSE))</f>
        <v/>
      </c>
      <c r="AY104" s="15" t="str">
        <f t="shared" si="17"/>
        <v/>
      </c>
      <c r="AZ104" s="15" t="str">
        <f>IF(B104="","",VLOOKUP($B104,'C-1 On-Site WaterC'' Baseline'!$C$9:$Y$257,21,FALSE))</f>
        <v/>
      </c>
      <c r="BA104" s="15" t="str">
        <f>IF(B104="","",VLOOKUP($B104,'C-1 On-Site WaterC'' Baseline'!$C$9:$Y$257,19,FALSE))</f>
        <v/>
      </c>
    </row>
    <row r="105" spans="2:53" ht="14" x14ac:dyDescent="0.3">
      <c r="B105" s="319" t="str">
        <f>'C-1 On-Site WaterC'' Baseline'!AP103</f>
        <v/>
      </c>
      <c r="C105" s="310" t="str">
        <f>IF(B105="","",VLOOKUP($B105,'C-1 On-Site WaterC'' Baseline'!$C$9:$R$257,2,FALSE))</f>
        <v/>
      </c>
      <c r="D105" s="310" t="str">
        <f>IF(C105="","",VLOOKUP($B105,'C-1 On-Site WaterC'' Baseline'!$C$9:$R$257,3,FALSE))</f>
        <v/>
      </c>
      <c r="E105" s="310" t="str">
        <f>IF(D105="","",VLOOKUP($B105,'C-1 On-Site WaterC'' Baseline'!$C$9:$R$257,4,FALSE))</f>
        <v/>
      </c>
      <c r="F105" s="310" t="str">
        <f>IF(E105="","",VLOOKUP($B105,'C-1 On-Site WaterC'' Baseline'!$C$9:$R$257,5,FALSE))</f>
        <v/>
      </c>
      <c r="G105" s="310" t="str">
        <f>IF(F105="","",VLOOKUP($B105,'C-1 On-Site WaterC'' Baseline'!$C$9:$R$257,6,FALSE))</f>
        <v/>
      </c>
      <c r="H105" s="310" t="str">
        <f>IF(G105="","",VLOOKUP($B105,'C-1 On-Site WaterC'' Baseline'!$C$9:$R$257,7,FALSE))</f>
        <v/>
      </c>
      <c r="I105" s="310" t="str">
        <f>IF(H105="","",VLOOKUP($B105,'C-1 On-Site WaterC'' Baseline'!$C$9:$R$257,8,FALSE))</f>
        <v/>
      </c>
      <c r="J105" s="310" t="str">
        <f>IF(I105="","",VLOOKUP($B105,'C-1 On-Site WaterC'' Baseline'!$C$9:$R$257,9,FALSE))</f>
        <v/>
      </c>
      <c r="K105" s="310" t="str">
        <f>IF(J105="","",VLOOKUP($B105,'C-1 On-Site WaterC'' Baseline'!$C$9:$R$257,10,FALSE))</f>
        <v/>
      </c>
      <c r="L105" s="310" t="str">
        <f>IF(B105="","",VLOOKUP($B105,'C-1 On-Site WaterC'' Baseline'!$C$9:$R$257,15,FALSE))</f>
        <v/>
      </c>
      <c r="M105" s="314" t="str">
        <f>IF(L105="","",VLOOKUP($B105,'C-1 On-Site WaterC'' Baseline'!$C$9:$R$257,16,FALSE))</f>
        <v/>
      </c>
      <c r="N105" s="259"/>
      <c r="O105" s="290" t="str">
        <f t="shared" si="10"/>
        <v/>
      </c>
      <c r="P105" s="291" t="str">
        <f t="shared" si="11"/>
        <v/>
      </c>
      <c r="Q105" s="346" t="str">
        <f>IF(N105="","",VLOOKUP(B105,'C-1 On-Site WaterC'' Baseline'!$C$10:$AC$257,20,FALSE))</f>
        <v/>
      </c>
      <c r="R105" s="290" t="str">
        <f>IF(N105="","",VLOOKUP(N105,'G-7 WaterC'' Data'!$B$2:$G$8,2,FALSE))</f>
        <v/>
      </c>
      <c r="S105" s="291" t="str">
        <f>IFERROR(VLOOKUP(R105,'G-7 WaterC'' Data'!$C$4:$D$8,2,FALSE),"")</f>
        <v/>
      </c>
      <c r="T105" s="95"/>
      <c r="U105" s="291" t="str">
        <f>IFERROR(INDEX('G-7 WaterC'' Data'!$H$4:$L$8,MATCH(N105,'G-7 WaterC'' Data'!$B$4:$B$8,0),MATCH(T105,'G-7 WaterC'' Data'!$H$3:$L$3,0)),"")</f>
        <v/>
      </c>
      <c r="V105" s="95"/>
      <c r="W105" s="298" t="str">
        <f>IF(V105="","",IF(VLOOKUP(V105,'G-7 WaterC'' Data'!$AK$4:$AM$6,2,FALSE)=0,"Spatial Data Missing ⚠",VLOOKUP(V105,'G-7 WaterC'' Data'!$AK$4:$AM$6,2,FALSE)))</f>
        <v/>
      </c>
      <c r="X105" s="291" t="str">
        <f>IF(V105="","",IF(VLOOKUP(V105,'G-7 WaterC'' Data'!$AK$4:$AM$6,3,FALSE)=0,"Spatial Data Missing ⚠",VLOOKUP(V105,'G-7 WaterC'' Data'!$AK$4:$AM$6,3,FALSE)))</f>
        <v/>
      </c>
      <c r="Y105" s="290" t="str">
        <f>IFERROR(IF(OR(LEFT(P105,5)="Error",LEFT(O105,5)="Error ▲"),"Check Data ⚠",IF(F105&lt;S105,'G-7 WaterC'' Data'!$R$3,INDEX('G-7 WaterC'' Data'!$U$5:$Y$9,MATCH(G105,'G-7 WaterC'' Data'!$T$5:$T$9,0),MATCH(T105,'G-7 WaterC'' Data'!$U$4:$Y$4,0)))),"")</f>
        <v/>
      </c>
      <c r="Z105" s="138"/>
      <c r="AA105" s="138"/>
      <c r="AB105" s="298" t="str">
        <f t="shared" si="12"/>
        <v/>
      </c>
      <c r="AC105" s="311" t="str">
        <f t="shared" si="13"/>
        <v/>
      </c>
      <c r="AD105" s="344" t="str">
        <f>IFERROR(IF(AC105="Check Data ⚠","Check Data ⚠",VLOOKUP(AC105,'G-4 Temporal multipliers'!$A$4:$C$37,3,FALSE)),"")</f>
        <v/>
      </c>
      <c r="AE105" s="290" t="str">
        <f>IF(N105="","",VLOOKUP(N105,'G-7 WaterC'' Data'!$B$4:$G$8,5,FALSE))</f>
        <v/>
      </c>
      <c r="AF105" s="298" t="str">
        <f t="shared" si="14"/>
        <v/>
      </c>
      <c r="AG105" s="328" t="str">
        <f t="shared" si="15"/>
        <v/>
      </c>
      <c r="AH105" s="291" t="str">
        <f t="shared" si="9"/>
        <v/>
      </c>
      <c r="AI105" s="103"/>
      <c r="AJ105" s="291" t="str">
        <f>IF(AI105="","",IF(AND(AI105="N/A - Culvert",N105&lt;&gt;"Culvert"),"Not possible ▲",IF(VLOOKUP(AI105,'G-7 WaterC'' Data'!$AA$4:$AB$7,2,FALSE)=0,"Spatial Data Missing ⚠",VLOOKUP(AI105,'G-7 WaterC'' Data'!$AA$4:$AB$7,2,FALSE))))</f>
        <v/>
      </c>
      <c r="AK105" s="104"/>
      <c r="AL105" s="291" t="str">
        <f>IF(AK105="","",IF(AND(AK105="N/A - Culvert",N105&lt;&gt;"Culvert"),"Not possible ▲",IF(VLOOKUP(AK105,'G-7 WaterC'' Data'!$AD$4:$AE$14,2,FALSE)=0,"Spatial Data Missing ⚠",VLOOKUP(AK105,'G-7 WaterC'' Data'!$AD$4:$AE$14,2,FALSE))))</f>
        <v/>
      </c>
      <c r="AM105" s="332" t="str">
        <f t="shared" si="16"/>
        <v/>
      </c>
      <c r="AN105" s="98"/>
      <c r="AO105" s="99"/>
      <c r="AP105" s="101"/>
      <c r="AS105" s="15" t="str">
        <f>IF(B105="","",IF(ISNA(VLOOKUP($B105,'C-1 On-Site WaterC'' Baseline'!$C$8:$AD$257,17,FALSE)),"",(VLOOKUP($B105,'C-1 On-Site WaterC'' Baseline'!$C$8:$AD$257,17,FALSE))))</f>
        <v/>
      </c>
      <c r="AT105" s="15" t="str">
        <f>IF(B105="","",VLOOKUP($B105,'C-1 On-Site WaterC'' Baseline'!$C$9:$Z$257,12,FALSE))</f>
        <v/>
      </c>
      <c r="AU105" s="15" t="str">
        <f>IF(B105="","",VLOOKUP($B105,'C-1 On-Site WaterC'' Baseline'!$C$9:$Z$257,14,FALSE))</f>
        <v/>
      </c>
      <c r="AV105" s="15" t="str">
        <f>IFERROR(INDEX('G-7 WaterC'' Data'!$AZ$3:$AZ$7,MATCH(N105,'G-7 WaterC'' Data'!$AY$3:$AY$7,0)),"")</f>
        <v/>
      </c>
      <c r="AX105" s="15" t="str">
        <f>IF(B105="","",VLOOKUP($B105,'C-1 On-Site WaterC'' Baseline'!$C$9:$Y$257,22,FALSE))</f>
        <v/>
      </c>
      <c r="AY105" s="15" t="str">
        <f t="shared" si="17"/>
        <v/>
      </c>
      <c r="AZ105" s="15" t="str">
        <f>IF(B105="","",VLOOKUP($B105,'C-1 On-Site WaterC'' Baseline'!$C$9:$Y$257,21,FALSE))</f>
        <v/>
      </c>
      <c r="BA105" s="15" t="str">
        <f>IF(B105="","",VLOOKUP($B105,'C-1 On-Site WaterC'' Baseline'!$C$9:$Y$257,19,FALSE))</f>
        <v/>
      </c>
    </row>
    <row r="106" spans="2:53" ht="14" x14ac:dyDescent="0.3">
      <c r="B106" s="319" t="str">
        <f>'C-1 On-Site WaterC'' Baseline'!AP104</f>
        <v/>
      </c>
      <c r="C106" s="310" t="str">
        <f>IF(B106="","",VLOOKUP($B106,'C-1 On-Site WaterC'' Baseline'!$C$9:$R$257,2,FALSE))</f>
        <v/>
      </c>
      <c r="D106" s="310" t="str">
        <f>IF(C106="","",VLOOKUP($B106,'C-1 On-Site WaterC'' Baseline'!$C$9:$R$257,3,FALSE))</f>
        <v/>
      </c>
      <c r="E106" s="310" t="str">
        <f>IF(D106="","",VLOOKUP($B106,'C-1 On-Site WaterC'' Baseline'!$C$9:$R$257,4,FALSE))</f>
        <v/>
      </c>
      <c r="F106" s="310" t="str">
        <f>IF(E106="","",VLOOKUP($B106,'C-1 On-Site WaterC'' Baseline'!$C$9:$R$257,5,FALSE))</f>
        <v/>
      </c>
      <c r="G106" s="310" t="str">
        <f>IF(F106="","",VLOOKUP($B106,'C-1 On-Site WaterC'' Baseline'!$C$9:$R$257,6,FALSE))</f>
        <v/>
      </c>
      <c r="H106" s="310" t="str">
        <f>IF(G106="","",VLOOKUP($B106,'C-1 On-Site WaterC'' Baseline'!$C$9:$R$257,7,FALSE))</f>
        <v/>
      </c>
      <c r="I106" s="310" t="str">
        <f>IF(H106="","",VLOOKUP($B106,'C-1 On-Site WaterC'' Baseline'!$C$9:$R$257,8,FALSE))</f>
        <v/>
      </c>
      <c r="J106" s="310" t="str">
        <f>IF(I106="","",VLOOKUP($B106,'C-1 On-Site WaterC'' Baseline'!$C$9:$R$257,9,FALSE))</f>
        <v/>
      </c>
      <c r="K106" s="310" t="str">
        <f>IF(J106="","",VLOOKUP($B106,'C-1 On-Site WaterC'' Baseline'!$C$9:$R$257,10,FALSE))</f>
        <v/>
      </c>
      <c r="L106" s="310" t="str">
        <f>IF(B106="","",VLOOKUP($B106,'C-1 On-Site WaterC'' Baseline'!$C$9:$R$257,15,FALSE))</f>
        <v/>
      </c>
      <c r="M106" s="314" t="str">
        <f>IF(L106="","",VLOOKUP($B106,'C-1 On-Site WaterC'' Baseline'!$C$9:$R$257,16,FALSE))</f>
        <v/>
      </c>
      <c r="N106" s="259"/>
      <c r="O106" s="290" t="str">
        <f t="shared" si="10"/>
        <v/>
      </c>
      <c r="P106" s="291" t="str">
        <f t="shared" si="11"/>
        <v/>
      </c>
      <c r="Q106" s="346" t="str">
        <f>IF(N106="","",VLOOKUP(B106,'C-1 On-Site WaterC'' Baseline'!$C$10:$AC$257,20,FALSE))</f>
        <v/>
      </c>
      <c r="R106" s="290" t="str">
        <f>IF(N106="","",VLOOKUP(N106,'G-7 WaterC'' Data'!$B$2:$G$8,2,FALSE))</f>
        <v/>
      </c>
      <c r="S106" s="291" t="str">
        <f>IFERROR(VLOOKUP(R106,'G-7 WaterC'' Data'!$C$4:$D$8,2,FALSE),"")</f>
        <v/>
      </c>
      <c r="T106" s="95"/>
      <c r="U106" s="291" t="str">
        <f>IFERROR(INDEX('G-7 WaterC'' Data'!$H$4:$L$8,MATCH(N106,'G-7 WaterC'' Data'!$B$4:$B$8,0),MATCH(T106,'G-7 WaterC'' Data'!$H$3:$L$3,0)),"")</f>
        <v/>
      </c>
      <c r="V106" s="95"/>
      <c r="W106" s="298" t="str">
        <f>IF(V106="","",IF(VLOOKUP(V106,'G-7 WaterC'' Data'!$AK$4:$AM$6,2,FALSE)=0,"Spatial Data Missing ⚠",VLOOKUP(V106,'G-7 WaterC'' Data'!$AK$4:$AM$6,2,FALSE)))</f>
        <v/>
      </c>
      <c r="X106" s="291" t="str">
        <f>IF(V106="","",IF(VLOOKUP(V106,'G-7 WaterC'' Data'!$AK$4:$AM$6,3,FALSE)=0,"Spatial Data Missing ⚠",VLOOKUP(V106,'G-7 WaterC'' Data'!$AK$4:$AM$6,3,FALSE)))</f>
        <v/>
      </c>
      <c r="Y106" s="290" t="str">
        <f>IFERROR(IF(OR(LEFT(P106,5)="Error",LEFT(O106,5)="Error ▲"),"Check Data ⚠",IF(F106&lt;S106,'G-7 WaterC'' Data'!$R$3,INDEX('G-7 WaterC'' Data'!$U$5:$Y$9,MATCH(G106,'G-7 WaterC'' Data'!$T$5:$T$9,0),MATCH(T106,'G-7 WaterC'' Data'!$U$4:$Y$4,0)))),"")</f>
        <v/>
      </c>
      <c r="Z106" s="138"/>
      <c r="AA106" s="138"/>
      <c r="AB106" s="298" t="str">
        <f t="shared" si="12"/>
        <v/>
      </c>
      <c r="AC106" s="311" t="str">
        <f t="shared" si="13"/>
        <v/>
      </c>
      <c r="AD106" s="344" t="str">
        <f>IFERROR(IF(AC106="Check Data ⚠","Check Data ⚠",VLOOKUP(AC106,'G-4 Temporal multipliers'!$A$4:$C$37,3,FALSE)),"")</f>
        <v/>
      </c>
      <c r="AE106" s="290" t="str">
        <f>IF(N106="","",VLOOKUP(N106,'G-7 WaterC'' Data'!$B$4:$G$8,5,FALSE))</f>
        <v/>
      </c>
      <c r="AF106" s="298" t="str">
        <f t="shared" si="14"/>
        <v/>
      </c>
      <c r="AG106" s="328" t="str">
        <f t="shared" si="15"/>
        <v/>
      </c>
      <c r="AH106" s="291" t="str">
        <f t="shared" si="9"/>
        <v/>
      </c>
      <c r="AI106" s="103"/>
      <c r="AJ106" s="291" t="str">
        <f>IF(AI106="","",IF(AND(AI106="N/A - Culvert",N106&lt;&gt;"Culvert"),"Not possible ▲",IF(VLOOKUP(AI106,'G-7 WaterC'' Data'!$AA$4:$AB$7,2,FALSE)=0,"Spatial Data Missing ⚠",VLOOKUP(AI106,'G-7 WaterC'' Data'!$AA$4:$AB$7,2,FALSE))))</f>
        <v/>
      </c>
      <c r="AK106" s="104"/>
      <c r="AL106" s="291" t="str">
        <f>IF(AK106="","",IF(AND(AK106="N/A - Culvert",N106&lt;&gt;"Culvert"),"Not possible ▲",IF(VLOOKUP(AK106,'G-7 WaterC'' Data'!$AD$4:$AE$14,2,FALSE)=0,"Spatial Data Missing ⚠",VLOOKUP(AK106,'G-7 WaterC'' Data'!$AD$4:$AE$14,2,FALSE))))</f>
        <v/>
      </c>
      <c r="AM106" s="332" t="str">
        <f t="shared" si="16"/>
        <v/>
      </c>
      <c r="AN106" s="98"/>
      <c r="AO106" s="99"/>
      <c r="AP106" s="101"/>
      <c r="AS106" s="15" t="str">
        <f>IF(B106="","",IF(ISNA(VLOOKUP($B106,'C-1 On-Site WaterC'' Baseline'!$C$8:$AD$257,17,FALSE)),"",(VLOOKUP($B106,'C-1 On-Site WaterC'' Baseline'!$C$8:$AD$257,17,FALSE))))</f>
        <v/>
      </c>
      <c r="AT106" s="15" t="str">
        <f>IF(B106="","",VLOOKUP($B106,'C-1 On-Site WaterC'' Baseline'!$C$9:$Z$257,12,FALSE))</f>
        <v/>
      </c>
      <c r="AU106" s="15" t="str">
        <f>IF(B106="","",VLOOKUP($B106,'C-1 On-Site WaterC'' Baseline'!$C$9:$Z$257,14,FALSE))</f>
        <v/>
      </c>
      <c r="AV106" s="15" t="str">
        <f>IFERROR(INDEX('G-7 WaterC'' Data'!$AZ$3:$AZ$7,MATCH(N106,'G-7 WaterC'' Data'!$AY$3:$AY$7,0)),"")</f>
        <v/>
      </c>
      <c r="AX106" s="15" t="str">
        <f>IF(B106="","",VLOOKUP($B106,'C-1 On-Site WaterC'' Baseline'!$C$9:$Y$257,22,FALSE))</f>
        <v/>
      </c>
      <c r="AY106" s="15" t="str">
        <f t="shared" si="17"/>
        <v/>
      </c>
      <c r="AZ106" s="15" t="str">
        <f>IF(B106="","",VLOOKUP($B106,'C-1 On-Site WaterC'' Baseline'!$C$9:$Y$257,21,FALSE))</f>
        <v/>
      </c>
      <c r="BA106" s="15" t="str">
        <f>IF(B106="","",VLOOKUP($B106,'C-1 On-Site WaterC'' Baseline'!$C$9:$Y$257,19,FALSE))</f>
        <v/>
      </c>
    </row>
    <row r="107" spans="2:53" ht="14" x14ac:dyDescent="0.3">
      <c r="B107" s="319" t="str">
        <f>'C-1 On-Site WaterC'' Baseline'!AP105</f>
        <v/>
      </c>
      <c r="C107" s="310" t="str">
        <f>IF(B107="","",VLOOKUP($B107,'C-1 On-Site WaterC'' Baseline'!$C$9:$R$257,2,FALSE))</f>
        <v/>
      </c>
      <c r="D107" s="310" t="str">
        <f>IF(C107="","",VLOOKUP($B107,'C-1 On-Site WaterC'' Baseline'!$C$9:$R$257,3,FALSE))</f>
        <v/>
      </c>
      <c r="E107" s="310" t="str">
        <f>IF(D107="","",VLOOKUP($B107,'C-1 On-Site WaterC'' Baseline'!$C$9:$R$257,4,FALSE))</f>
        <v/>
      </c>
      <c r="F107" s="310" t="str">
        <f>IF(E107="","",VLOOKUP($B107,'C-1 On-Site WaterC'' Baseline'!$C$9:$R$257,5,FALSE))</f>
        <v/>
      </c>
      <c r="G107" s="310" t="str">
        <f>IF(F107="","",VLOOKUP($B107,'C-1 On-Site WaterC'' Baseline'!$C$9:$R$257,6,FALSE))</f>
        <v/>
      </c>
      <c r="H107" s="310" t="str">
        <f>IF(G107="","",VLOOKUP($B107,'C-1 On-Site WaterC'' Baseline'!$C$9:$R$257,7,FALSE))</f>
        <v/>
      </c>
      <c r="I107" s="310" t="str">
        <f>IF(H107="","",VLOOKUP($B107,'C-1 On-Site WaterC'' Baseline'!$C$9:$R$257,8,FALSE))</f>
        <v/>
      </c>
      <c r="J107" s="310" t="str">
        <f>IF(I107="","",VLOOKUP($B107,'C-1 On-Site WaterC'' Baseline'!$C$9:$R$257,9,FALSE))</f>
        <v/>
      </c>
      <c r="K107" s="310" t="str">
        <f>IF(J107="","",VLOOKUP($B107,'C-1 On-Site WaterC'' Baseline'!$C$9:$R$257,10,FALSE))</f>
        <v/>
      </c>
      <c r="L107" s="310" t="str">
        <f>IF(B107="","",VLOOKUP($B107,'C-1 On-Site WaterC'' Baseline'!$C$9:$R$257,15,FALSE))</f>
        <v/>
      </c>
      <c r="M107" s="314" t="str">
        <f>IF(L107="","",VLOOKUP($B107,'C-1 On-Site WaterC'' Baseline'!$C$9:$R$257,16,FALSE))</f>
        <v/>
      </c>
      <c r="N107" s="259"/>
      <c r="O107" s="290" t="str">
        <f t="shared" si="10"/>
        <v/>
      </c>
      <c r="P107" s="291" t="str">
        <f t="shared" si="11"/>
        <v/>
      </c>
      <c r="Q107" s="346" t="str">
        <f>IF(N107="","",VLOOKUP(B107,'C-1 On-Site WaterC'' Baseline'!$C$10:$AC$257,20,FALSE))</f>
        <v/>
      </c>
      <c r="R107" s="290" t="str">
        <f>IF(N107="","",VLOOKUP(N107,'G-7 WaterC'' Data'!$B$2:$G$8,2,FALSE))</f>
        <v/>
      </c>
      <c r="S107" s="291" t="str">
        <f>IFERROR(VLOOKUP(R107,'G-7 WaterC'' Data'!$C$4:$D$8,2,FALSE),"")</f>
        <v/>
      </c>
      <c r="T107" s="95"/>
      <c r="U107" s="291" t="str">
        <f>IFERROR(INDEX('G-7 WaterC'' Data'!$H$4:$L$8,MATCH(N107,'G-7 WaterC'' Data'!$B$4:$B$8,0),MATCH(T107,'G-7 WaterC'' Data'!$H$3:$L$3,0)),"")</f>
        <v/>
      </c>
      <c r="V107" s="95"/>
      <c r="W107" s="298" t="str">
        <f>IF(V107="","",IF(VLOOKUP(V107,'G-7 WaterC'' Data'!$AK$4:$AM$6,2,FALSE)=0,"Spatial Data Missing ⚠",VLOOKUP(V107,'G-7 WaterC'' Data'!$AK$4:$AM$6,2,FALSE)))</f>
        <v/>
      </c>
      <c r="X107" s="291" t="str">
        <f>IF(V107="","",IF(VLOOKUP(V107,'G-7 WaterC'' Data'!$AK$4:$AM$6,3,FALSE)=0,"Spatial Data Missing ⚠",VLOOKUP(V107,'G-7 WaterC'' Data'!$AK$4:$AM$6,3,FALSE)))</f>
        <v/>
      </c>
      <c r="Y107" s="290" t="str">
        <f>IFERROR(IF(OR(LEFT(P107,5)="Error",LEFT(O107,5)="Error ▲"),"Check Data ⚠",IF(F107&lt;S107,'G-7 WaterC'' Data'!$R$3,INDEX('G-7 WaterC'' Data'!$U$5:$Y$9,MATCH(G107,'G-7 WaterC'' Data'!$T$5:$T$9,0),MATCH(T107,'G-7 WaterC'' Data'!$U$4:$Y$4,0)))),"")</f>
        <v/>
      </c>
      <c r="Z107" s="138"/>
      <c r="AA107" s="138"/>
      <c r="AB107" s="298" t="str">
        <f t="shared" si="12"/>
        <v/>
      </c>
      <c r="AC107" s="311" t="str">
        <f t="shared" si="13"/>
        <v/>
      </c>
      <c r="AD107" s="344" t="str">
        <f>IFERROR(IF(AC107="Check Data ⚠","Check Data ⚠",VLOOKUP(AC107,'G-4 Temporal multipliers'!$A$4:$C$37,3,FALSE)),"")</f>
        <v/>
      </c>
      <c r="AE107" s="290" t="str">
        <f>IF(N107="","",VLOOKUP(N107,'G-7 WaterC'' Data'!$B$4:$G$8,5,FALSE))</f>
        <v/>
      </c>
      <c r="AF107" s="298" t="str">
        <f t="shared" si="14"/>
        <v/>
      </c>
      <c r="AG107" s="328" t="str">
        <f t="shared" si="15"/>
        <v/>
      </c>
      <c r="AH107" s="291" t="str">
        <f t="shared" si="9"/>
        <v/>
      </c>
      <c r="AI107" s="103"/>
      <c r="AJ107" s="291" t="str">
        <f>IF(AI107="","",IF(AND(AI107="N/A - Culvert",N107&lt;&gt;"Culvert"),"Not possible ▲",IF(VLOOKUP(AI107,'G-7 WaterC'' Data'!$AA$4:$AB$7,2,FALSE)=0,"Spatial Data Missing ⚠",VLOOKUP(AI107,'G-7 WaterC'' Data'!$AA$4:$AB$7,2,FALSE))))</f>
        <v/>
      </c>
      <c r="AK107" s="104"/>
      <c r="AL107" s="291" t="str">
        <f>IF(AK107="","",IF(AND(AK107="N/A - Culvert",N107&lt;&gt;"Culvert"),"Not possible ▲",IF(VLOOKUP(AK107,'G-7 WaterC'' Data'!$AD$4:$AE$14,2,FALSE)=0,"Spatial Data Missing ⚠",VLOOKUP(AK107,'G-7 WaterC'' Data'!$AD$4:$AE$14,2,FALSE))))</f>
        <v/>
      </c>
      <c r="AM107" s="332" t="str">
        <f t="shared" si="16"/>
        <v/>
      </c>
      <c r="AN107" s="98"/>
      <c r="AO107" s="99"/>
      <c r="AP107" s="101"/>
      <c r="AS107" s="15" t="str">
        <f>IF(B107="","",IF(ISNA(VLOOKUP($B107,'C-1 On-Site WaterC'' Baseline'!$C$8:$AD$257,17,FALSE)),"",(VLOOKUP($B107,'C-1 On-Site WaterC'' Baseline'!$C$8:$AD$257,17,FALSE))))</f>
        <v/>
      </c>
      <c r="AT107" s="15" t="str">
        <f>IF(B107="","",VLOOKUP($B107,'C-1 On-Site WaterC'' Baseline'!$C$9:$Z$257,12,FALSE))</f>
        <v/>
      </c>
      <c r="AU107" s="15" t="str">
        <f>IF(B107="","",VLOOKUP($B107,'C-1 On-Site WaterC'' Baseline'!$C$9:$Z$257,14,FALSE))</f>
        <v/>
      </c>
      <c r="AV107" s="15" t="str">
        <f>IFERROR(INDEX('G-7 WaterC'' Data'!$AZ$3:$AZ$7,MATCH(N107,'G-7 WaterC'' Data'!$AY$3:$AY$7,0)),"")</f>
        <v/>
      </c>
      <c r="AX107" s="15" t="str">
        <f>IF(B107="","",VLOOKUP($B107,'C-1 On-Site WaterC'' Baseline'!$C$9:$Y$257,22,FALSE))</f>
        <v/>
      </c>
      <c r="AY107" s="15" t="str">
        <f t="shared" si="17"/>
        <v/>
      </c>
      <c r="AZ107" s="15" t="str">
        <f>IF(B107="","",VLOOKUP($B107,'C-1 On-Site WaterC'' Baseline'!$C$9:$Y$257,21,FALSE))</f>
        <v/>
      </c>
      <c r="BA107" s="15" t="str">
        <f>IF(B107="","",VLOOKUP($B107,'C-1 On-Site WaterC'' Baseline'!$C$9:$Y$257,19,FALSE))</f>
        <v/>
      </c>
    </row>
    <row r="108" spans="2:53" ht="14" x14ac:dyDescent="0.3">
      <c r="B108" s="319" t="str">
        <f>'C-1 On-Site WaterC'' Baseline'!AP106</f>
        <v/>
      </c>
      <c r="C108" s="310" t="str">
        <f>IF(B108="","",VLOOKUP($B108,'C-1 On-Site WaterC'' Baseline'!$C$9:$R$257,2,FALSE))</f>
        <v/>
      </c>
      <c r="D108" s="310" t="str">
        <f>IF(C108="","",VLOOKUP($B108,'C-1 On-Site WaterC'' Baseline'!$C$9:$R$257,3,FALSE))</f>
        <v/>
      </c>
      <c r="E108" s="310" t="str">
        <f>IF(D108="","",VLOOKUP($B108,'C-1 On-Site WaterC'' Baseline'!$C$9:$R$257,4,FALSE))</f>
        <v/>
      </c>
      <c r="F108" s="310" t="str">
        <f>IF(E108="","",VLOOKUP($B108,'C-1 On-Site WaterC'' Baseline'!$C$9:$R$257,5,FALSE))</f>
        <v/>
      </c>
      <c r="G108" s="310" t="str">
        <f>IF(F108="","",VLOOKUP($B108,'C-1 On-Site WaterC'' Baseline'!$C$9:$R$257,6,FALSE))</f>
        <v/>
      </c>
      <c r="H108" s="310" t="str">
        <f>IF(G108="","",VLOOKUP($B108,'C-1 On-Site WaterC'' Baseline'!$C$9:$R$257,7,FALSE))</f>
        <v/>
      </c>
      <c r="I108" s="310" t="str">
        <f>IF(H108="","",VLOOKUP($B108,'C-1 On-Site WaterC'' Baseline'!$C$9:$R$257,8,FALSE))</f>
        <v/>
      </c>
      <c r="J108" s="310" t="str">
        <f>IF(I108="","",VLOOKUP($B108,'C-1 On-Site WaterC'' Baseline'!$C$9:$R$257,9,FALSE))</f>
        <v/>
      </c>
      <c r="K108" s="310" t="str">
        <f>IF(J108="","",VLOOKUP($B108,'C-1 On-Site WaterC'' Baseline'!$C$9:$R$257,10,FALSE))</f>
        <v/>
      </c>
      <c r="L108" s="310" t="str">
        <f>IF(B108="","",VLOOKUP($B108,'C-1 On-Site WaterC'' Baseline'!$C$9:$R$257,15,FALSE))</f>
        <v/>
      </c>
      <c r="M108" s="314" t="str">
        <f>IF(L108="","",VLOOKUP($B108,'C-1 On-Site WaterC'' Baseline'!$C$9:$R$257,16,FALSE))</f>
        <v/>
      </c>
      <c r="N108" s="259"/>
      <c r="O108" s="290" t="str">
        <f t="shared" si="10"/>
        <v/>
      </c>
      <c r="P108" s="291" t="str">
        <f t="shared" si="11"/>
        <v/>
      </c>
      <c r="Q108" s="346" t="str">
        <f>IF(N108="","",VLOOKUP(B108,'C-1 On-Site WaterC'' Baseline'!$C$10:$AC$257,20,FALSE))</f>
        <v/>
      </c>
      <c r="R108" s="290" t="str">
        <f>IF(N108="","",VLOOKUP(N108,'G-7 WaterC'' Data'!$B$2:$G$8,2,FALSE))</f>
        <v/>
      </c>
      <c r="S108" s="291" t="str">
        <f>IFERROR(VLOOKUP(R108,'G-7 WaterC'' Data'!$C$4:$D$8,2,FALSE),"")</f>
        <v/>
      </c>
      <c r="T108" s="95"/>
      <c r="U108" s="291" t="str">
        <f>IFERROR(INDEX('G-7 WaterC'' Data'!$H$4:$L$8,MATCH(N108,'G-7 WaterC'' Data'!$B$4:$B$8,0),MATCH(T108,'G-7 WaterC'' Data'!$H$3:$L$3,0)),"")</f>
        <v/>
      </c>
      <c r="V108" s="95"/>
      <c r="W108" s="298" t="str">
        <f>IF(V108="","",IF(VLOOKUP(V108,'G-7 WaterC'' Data'!$AK$4:$AM$6,2,FALSE)=0,"Spatial Data Missing ⚠",VLOOKUP(V108,'G-7 WaterC'' Data'!$AK$4:$AM$6,2,FALSE)))</f>
        <v/>
      </c>
      <c r="X108" s="291" t="str">
        <f>IF(V108="","",IF(VLOOKUP(V108,'G-7 WaterC'' Data'!$AK$4:$AM$6,3,FALSE)=0,"Spatial Data Missing ⚠",VLOOKUP(V108,'G-7 WaterC'' Data'!$AK$4:$AM$6,3,FALSE)))</f>
        <v/>
      </c>
      <c r="Y108" s="290" t="str">
        <f>IFERROR(IF(OR(LEFT(P108,5)="Error",LEFT(O108,5)="Error ▲"),"Check Data ⚠",IF(F108&lt;S108,'G-7 WaterC'' Data'!$R$3,INDEX('G-7 WaterC'' Data'!$U$5:$Y$9,MATCH(G108,'G-7 WaterC'' Data'!$T$5:$T$9,0),MATCH(T108,'G-7 WaterC'' Data'!$U$4:$Y$4,0)))),"")</f>
        <v/>
      </c>
      <c r="Z108" s="138"/>
      <c r="AA108" s="138"/>
      <c r="AB108" s="298" t="str">
        <f t="shared" si="12"/>
        <v/>
      </c>
      <c r="AC108" s="311" t="str">
        <f t="shared" si="13"/>
        <v/>
      </c>
      <c r="AD108" s="344" t="str">
        <f>IFERROR(IF(AC108="Check Data ⚠","Check Data ⚠",VLOOKUP(AC108,'G-4 Temporal multipliers'!$A$4:$C$37,3,FALSE)),"")</f>
        <v/>
      </c>
      <c r="AE108" s="290" t="str">
        <f>IF(N108="","",VLOOKUP(N108,'G-7 WaterC'' Data'!$B$4:$G$8,5,FALSE))</f>
        <v/>
      </c>
      <c r="AF108" s="298" t="str">
        <f t="shared" si="14"/>
        <v/>
      </c>
      <c r="AG108" s="328" t="str">
        <f t="shared" si="15"/>
        <v/>
      </c>
      <c r="AH108" s="291" t="str">
        <f t="shared" si="9"/>
        <v/>
      </c>
      <c r="AI108" s="103"/>
      <c r="AJ108" s="291" t="str">
        <f>IF(AI108="","",IF(AND(AI108="N/A - Culvert",N108&lt;&gt;"Culvert"),"Not possible ▲",IF(VLOOKUP(AI108,'G-7 WaterC'' Data'!$AA$4:$AB$7,2,FALSE)=0,"Spatial Data Missing ⚠",VLOOKUP(AI108,'G-7 WaterC'' Data'!$AA$4:$AB$7,2,FALSE))))</f>
        <v/>
      </c>
      <c r="AK108" s="104"/>
      <c r="AL108" s="291" t="str">
        <f>IF(AK108="","",IF(AND(AK108="N/A - Culvert",N108&lt;&gt;"Culvert"),"Not possible ▲",IF(VLOOKUP(AK108,'G-7 WaterC'' Data'!$AD$4:$AE$14,2,FALSE)=0,"Spatial Data Missing ⚠",VLOOKUP(AK108,'G-7 WaterC'' Data'!$AD$4:$AE$14,2,FALSE))))</f>
        <v/>
      </c>
      <c r="AM108" s="332" t="str">
        <f t="shared" si="16"/>
        <v/>
      </c>
      <c r="AN108" s="98"/>
      <c r="AO108" s="99"/>
      <c r="AP108" s="101"/>
      <c r="AS108" s="15" t="str">
        <f>IF(B108="","",IF(ISNA(VLOOKUP($B108,'C-1 On-Site WaterC'' Baseline'!$C$8:$AD$257,17,FALSE)),"",(VLOOKUP($B108,'C-1 On-Site WaterC'' Baseline'!$C$8:$AD$257,17,FALSE))))</f>
        <v/>
      </c>
      <c r="AT108" s="15" t="str">
        <f>IF(B108="","",VLOOKUP($B108,'C-1 On-Site WaterC'' Baseline'!$C$9:$Z$257,12,FALSE))</f>
        <v/>
      </c>
      <c r="AU108" s="15" t="str">
        <f>IF(B108="","",VLOOKUP($B108,'C-1 On-Site WaterC'' Baseline'!$C$9:$Z$257,14,FALSE))</f>
        <v/>
      </c>
      <c r="AV108" s="15" t="str">
        <f>IFERROR(INDEX('G-7 WaterC'' Data'!$AZ$3:$AZ$7,MATCH(N108,'G-7 WaterC'' Data'!$AY$3:$AY$7,0)),"")</f>
        <v/>
      </c>
      <c r="AX108" s="15" t="str">
        <f>IF(B108="","",VLOOKUP($B108,'C-1 On-Site WaterC'' Baseline'!$C$9:$Y$257,22,FALSE))</f>
        <v/>
      </c>
      <c r="AY108" s="15" t="str">
        <f t="shared" si="17"/>
        <v/>
      </c>
      <c r="AZ108" s="15" t="str">
        <f>IF(B108="","",VLOOKUP($B108,'C-1 On-Site WaterC'' Baseline'!$C$9:$Y$257,21,FALSE))</f>
        <v/>
      </c>
      <c r="BA108" s="15" t="str">
        <f>IF(B108="","",VLOOKUP($B108,'C-1 On-Site WaterC'' Baseline'!$C$9:$Y$257,19,FALSE))</f>
        <v/>
      </c>
    </row>
    <row r="109" spans="2:53" ht="14" x14ac:dyDescent="0.3">
      <c r="B109" s="319" t="str">
        <f>'C-1 On-Site WaterC'' Baseline'!AP107</f>
        <v/>
      </c>
      <c r="C109" s="310" t="str">
        <f>IF(B109="","",VLOOKUP($B109,'C-1 On-Site WaterC'' Baseline'!$C$9:$R$257,2,FALSE))</f>
        <v/>
      </c>
      <c r="D109" s="310" t="str">
        <f>IF(C109="","",VLOOKUP($B109,'C-1 On-Site WaterC'' Baseline'!$C$9:$R$257,3,FALSE))</f>
        <v/>
      </c>
      <c r="E109" s="310" t="str">
        <f>IF(D109="","",VLOOKUP($B109,'C-1 On-Site WaterC'' Baseline'!$C$9:$R$257,4,FALSE))</f>
        <v/>
      </c>
      <c r="F109" s="310" t="str">
        <f>IF(E109="","",VLOOKUP($B109,'C-1 On-Site WaterC'' Baseline'!$C$9:$R$257,5,FALSE))</f>
        <v/>
      </c>
      <c r="G109" s="310" t="str">
        <f>IF(F109="","",VLOOKUP($B109,'C-1 On-Site WaterC'' Baseline'!$C$9:$R$257,6,FALSE))</f>
        <v/>
      </c>
      <c r="H109" s="310" t="str">
        <f>IF(G109="","",VLOOKUP($B109,'C-1 On-Site WaterC'' Baseline'!$C$9:$R$257,7,FALSE))</f>
        <v/>
      </c>
      <c r="I109" s="310" t="str">
        <f>IF(H109="","",VLOOKUP($B109,'C-1 On-Site WaterC'' Baseline'!$C$9:$R$257,8,FALSE))</f>
        <v/>
      </c>
      <c r="J109" s="310" t="str">
        <f>IF(I109="","",VLOOKUP($B109,'C-1 On-Site WaterC'' Baseline'!$C$9:$R$257,9,FALSE))</f>
        <v/>
      </c>
      <c r="K109" s="310" t="str">
        <f>IF(J109="","",VLOOKUP($B109,'C-1 On-Site WaterC'' Baseline'!$C$9:$R$257,10,FALSE))</f>
        <v/>
      </c>
      <c r="L109" s="310" t="str">
        <f>IF(B109="","",VLOOKUP($B109,'C-1 On-Site WaterC'' Baseline'!$C$9:$R$257,15,FALSE))</f>
        <v/>
      </c>
      <c r="M109" s="314" t="str">
        <f>IF(L109="","",VLOOKUP($B109,'C-1 On-Site WaterC'' Baseline'!$C$9:$R$257,16,FALSE))</f>
        <v/>
      </c>
      <c r="N109" s="259"/>
      <c r="O109" s="290" t="str">
        <f t="shared" si="10"/>
        <v/>
      </c>
      <c r="P109" s="291" t="str">
        <f t="shared" si="11"/>
        <v/>
      </c>
      <c r="Q109" s="346" t="str">
        <f>IF(N109="","",VLOOKUP(B109,'C-1 On-Site WaterC'' Baseline'!$C$10:$AC$257,20,FALSE))</f>
        <v/>
      </c>
      <c r="R109" s="290" t="str">
        <f>IF(N109="","",VLOOKUP(N109,'G-7 WaterC'' Data'!$B$2:$G$8,2,FALSE))</f>
        <v/>
      </c>
      <c r="S109" s="291" t="str">
        <f>IFERROR(VLOOKUP(R109,'G-7 WaterC'' Data'!$C$4:$D$8,2,FALSE),"")</f>
        <v/>
      </c>
      <c r="T109" s="95"/>
      <c r="U109" s="291" t="str">
        <f>IFERROR(INDEX('G-7 WaterC'' Data'!$H$4:$L$8,MATCH(N109,'G-7 WaterC'' Data'!$B$4:$B$8,0),MATCH(T109,'G-7 WaterC'' Data'!$H$3:$L$3,0)),"")</f>
        <v/>
      </c>
      <c r="V109" s="95"/>
      <c r="W109" s="298" t="str">
        <f>IF(V109="","",IF(VLOOKUP(V109,'G-7 WaterC'' Data'!$AK$4:$AM$6,2,FALSE)=0,"Spatial Data Missing ⚠",VLOOKUP(V109,'G-7 WaterC'' Data'!$AK$4:$AM$6,2,FALSE)))</f>
        <v/>
      </c>
      <c r="X109" s="291" t="str">
        <f>IF(V109="","",IF(VLOOKUP(V109,'G-7 WaterC'' Data'!$AK$4:$AM$6,3,FALSE)=0,"Spatial Data Missing ⚠",VLOOKUP(V109,'G-7 WaterC'' Data'!$AK$4:$AM$6,3,FALSE)))</f>
        <v/>
      </c>
      <c r="Y109" s="290" t="str">
        <f>IFERROR(IF(OR(LEFT(P109,5)="Error",LEFT(O109,5)="Error ▲"),"Check Data ⚠",IF(F109&lt;S109,'G-7 WaterC'' Data'!$R$3,INDEX('G-7 WaterC'' Data'!$U$5:$Y$9,MATCH(G109,'G-7 WaterC'' Data'!$T$5:$T$9,0),MATCH(T109,'G-7 WaterC'' Data'!$U$4:$Y$4,0)))),"")</f>
        <v/>
      </c>
      <c r="Z109" s="138"/>
      <c r="AA109" s="138"/>
      <c r="AB109" s="298" t="str">
        <f t="shared" si="12"/>
        <v/>
      </c>
      <c r="AC109" s="311" t="str">
        <f t="shared" si="13"/>
        <v/>
      </c>
      <c r="AD109" s="344" t="str">
        <f>IFERROR(IF(AC109="Check Data ⚠","Check Data ⚠",VLOOKUP(AC109,'G-4 Temporal multipliers'!$A$4:$C$37,3,FALSE)),"")</f>
        <v/>
      </c>
      <c r="AE109" s="290" t="str">
        <f>IF(N109="","",VLOOKUP(N109,'G-7 WaterC'' Data'!$B$4:$G$8,5,FALSE))</f>
        <v/>
      </c>
      <c r="AF109" s="298" t="str">
        <f t="shared" si="14"/>
        <v/>
      </c>
      <c r="AG109" s="328" t="str">
        <f t="shared" si="15"/>
        <v/>
      </c>
      <c r="AH109" s="291" t="str">
        <f t="shared" si="9"/>
        <v/>
      </c>
      <c r="AI109" s="103"/>
      <c r="AJ109" s="291" t="str">
        <f>IF(AI109="","",IF(AND(AI109="N/A - Culvert",N109&lt;&gt;"Culvert"),"Not possible ▲",IF(VLOOKUP(AI109,'G-7 WaterC'' Data'!$AA$4:$AB$7,2,FALSE)=0,"Spatial Data Missing ⚠",VLOOKUP(AI109,'G-7 WaterC'' Data'!$AA$4:$AB$7,2,FALSE))))</f>
        <v/>
      </c>
      <c r="AK109" s="104"/>
      <c r="AL109" s="291" t="str">
        <f>IF(AK109="","",IF(AND(AK109="N/A - Culvert",N109&lt;&gt;"Culvert"),"Not possible ▲",IF(VLOOKUP(AK109,'G-7 WaterC'' Data'!$AD$4:$AE$14,2,FALSE)=0,"Spatial Data Missing ⚠",VLOOKUP(AK109,'G-7 WaterC'' Data'!$AD$4:$AE$14,2,FALSE))))</f>
        <v/>
      </c>
      <c r="AM109" s="332" t="str">
        <f t="shared" si="16"/>
        <v/>
      </c>
      <c r="AN109" s="98"/>
      <c r="AO109" s="99"/>
      <c r="AP109" s="101"/>
      <c r="AS109" s="15" t="str">
        <f>IF(B109="","",IF(ISNA(VLOOKUP($B109,'C-1 On-Site WaterC'' Baseline'!$C$8:$AD$257,17,FALSE)),"",(VLOOKUP($B109,'C-1 On-Site WaterC'' Baseline'!$C$8:$AD$257,17,FALSE))))</f>
        <v/>
      </c>
      <c r="AT109" s="15" t="str">
        <f>IF(B109="","",VLOOKUP($B109,'C-1 On-Site WaterC'' Baseline'!$C$9:$Z$257,12,FALSE))</f>
        <v/>
      </c>
      <c r="AU109" s="15" t="str">
        <f>IF(B109="","",VLOOKUP($B109,'C-1 On-Site WaterC'' Baseline'!$C$9:$Z$257,14,FALSE))</f>
        <v/>
      </c>
      <c r="AV109" s="15" t="str">
        <f>IFERROR(INDEX('G-7 WaterC'' Data'!$AZ$3:$AZ$7,MATCH(N109,'G-7 WaterC'' Data'!$AY$3:$AY$7,0)),"")</f>
        <v/>
      </c>
      <c r="AX109" s="15" t="str">
        <f>IF(B109="","",VLOOKUP($B109,'C-1 On-Site WaterC'' Baseline'!$C$9:$Y$257,22,FALSE))</f>
        <v/>
      </c>
      <c r="AY109" s="15" t="str">
        <f t="shared" si="17"/>
        <v/>
      </c>
      <c r="AZ109" s="15" t="str">
        <f>IF(B109="","",VLOOKUP($B109,'C-1 On-Site WaterC'' Baseline'!$C$9:$Y$257,21,FALSE))</f>
        <v/>
      </c>
      <c r="BA109" s="15" t="str">
        <f>IF(B109="","",VLOOKUP($B109,'C-1 On-Site WaterC'' Baseline'!$C$9:$Y$257,19,FALSE))</f>
        <v/>
      </c>
    </row>
    <row r="110" spans="2:53" ht="14" x14ac:dyDescent="0.3">
      <c r="B110" s="319" t="str">
        <f>'C-1 On-Site WaterC'' Baseline'!AP108</f>
        <v/>
      </c>
      <c r="C110" s="310" t="str">
        <f>IF(B110="","",VLOOKUP($B110,'C-1 On-Site WaterC'' Baseline'!$C$9:$R$257,2,FALSE))</f>
        <v/>
      </c>
      <c r="D110" s="310" t="str">
        <f>IF(C110="","",VLOOKUP($B110,'C-1 On-Site WaterC'' Baseline'!$C$9:$R$257,3,FALSE))</f>
        <v/>
      </c>
      <c r="E110" s="310" t="str">
        <f>IF(D110="","",VLOOKUP($B110,'C-1 On-Site WaterC'' Baseline'!$C$9:$R$257,4,FALSE))</f>
        <v/>
      </c>
      <c r="F110" s="310" t="str">
        <f>IF(E110="","",VLOOKUP($B110,'C-1 On-Site WaterC'' Baseline'!$C$9:$R$257,5,FALSE))</f>
        <v/>
      </c>
      <c r="G110" s="310" t="str">
        <f>IF(F110="","",VLOOKUP($B110,'C-1 On-Site WaterC'' Baseline'!$C$9:$R$257,6,FALSE))</f>
        <v/>
      </c>
      <c r="H110" s="310" t="str">
        <f>IF(G110="","",VLOOKUP($B110,'C-1 On-Site WaterC'' Baseline'!$C$9:$R$257,7,FALSE))</f>
        <v/>
      </c>
      <c r="I110" s="310" t="str">
        <f>IF(H110="","",VLOOKUP($B110,'C-1 On-Site WaterC'' Baseline'!$C$9:$R$257,8,FALSE))</f>
        <v/>
      </c>
      <c r="J110" s="310" t="str">
        <f>IF(I110="","",VLOOKUP($B110,'C-1 On-Site WaterC'' Baseline'!$C$9:$R$257,9,FALSE))</f>
        <v/>
      </c>
      <c r="K110" s="310" t="str">
        <f>IF(J110="","",VLOOKUP($B110,'C-1 On-Site WaterC'' Baseline'!$C$9:$R$257,10,FALSE))</f>
        <v/>
      </c>
      <c r="L110" s="310" t="str">
        <f>IF(B110="","",VLOOKUP($B110,'C-1 On-Site WaterC'' Baseline'!$C$9:$R$257,15,FALSE))</f>
        <v/>
      </c>
      <c r="M110" s="314" t="str">
        <f>IF(L110="","",VLOOKUP($B110,'C-1 On-Site WaterC'' Baseline'!$C$9:$R$257,16,FALSE))</f>
        <v/>
      </c>
      <c r="N110" s="259"/>
      <c r="O110" s="290" t="str">
        <f t="shared" si="10"/>
        <v/>
      </c>
      <c r="P110" s="291" t="str">
        <f t="shared" si="11"/>
        <v/>
      </c>
      <c r="Q110" s="346" t="str">
        <f>IF(N110="","",VLOOKUP(B110,'C-1 On-Site WaterC'' Baseline'!$C$10:$AC$257,20,FALSE))</f>
        <v/>
      </c>
      <c r="R110" s="290" t="str">
        <f>IF(N110="","",VLOOKUP(N110,'G-7 WaterC'' Data'!$B$2:$G$8,2,FALSE))</f>
        <v/>
      </c>
      <c r="S110" s="291" t="str">
        <f>IFERROR(VLOOKUP(R110,'G-7 WaterC'' Data'!$C$4:$D$8,2,FALSE),"")</f>
        <v/>
      </c>
      <c r="T110" s="95"/>
      <c r="U110" s="291" t="str">
        <f>IFERROR(INDEX('G-7 WaterC'' Data'!$H$4:$L$8,MATCH(N110,'G-7 WaterC'' Data'!$B$4:$B$8,0),MATCH(T110,'G-7 WaterC'' Data'!$H$3:$L$3,0)),"")</f>
        <v/>
      </c>
      <c r="V110" s="95"/>
      <c r="W110" s="298" t="str">
        <f>IF(V110="","",IF(VLOOKUP(V110,'G-7 WaterC'' Data'!$AK$4:$AM$6,2,FALSE)=0,"Spatial Data Missing ⚠",VLOOKUP(V110,'G-7 WaterC'' Data'!$AK$4:$AM$6,2,FALSE)))</f>
        <v/>
      </c>
      <c r="X110" s="291" t="str">
        <f>IF(V110="","",IF(VLOOKUP(V110,'G-7 WaterC'' Data'!$AK$4:$AM$6,3,FALSE)=0,"Spatial Data Missing ⚠",VLOOKUP(V110,'G-7 WaterC'' Data'!$AK$4:$AM$6,3,FALSE)))</f>
        <v/>
      </c>
      <c r="Y110" s="290" t="str">
        <f>IFERROR(IF(OR(LEFT(P110,5)="Error",LEFT(O110,5)="Error ▲"),"Check Data ⚠",IF(F110&lt;S110,'G-7 WaterC'' Data'!$R$3,INDEX('G-7 WaterC'' Data'!$U$5:$Y$9,MATCH(G110,'G-7 WaterC'' Data'!$T$5:$T$9,0),MATCH(T110,'G-7 WaterC'' Data'!$U$4:$Y$4,0)))),"")</f>
        <v/>
      </c>
      <c r="Z110" s="138"/>
      <c r="AA110" s="138"/>
      <c r="AB110" s="298" t="str">
        <f t="shared" si="12"/>
        <v/>
      </c>
      <c r="AC110" s="311" t="str">
        <f t="shared" si="13"/>
        <v/>
      </c>
      <c r="AD110" s="344" t="str">
        <f>IFERROR(IF(AC110="Check Data ⚠","Check Data ⚠",VLOOKUP(AC110,'G-4 Temporal multipliers'!$A$4:$C$37,3,FALSE)),"")</f>
        <v/>
      </c>
      <c r="AE110" s="290" t="str">
        <f>IF(N110="","",VLOOKUP(N110,'G-7 WaterC'' Data'!$B$4:$G$8,5,FALSE))</f>
        <v/>
      </c>
      <c r="AF110" s="298" t="str">
        <f t="shared" si="14"/>
        <v/>
      </c>
      <c r="AG110" s="328" t="str">
        <f t="shared" si="15"/>
        <v/>
      </c>
      <c r="AH110" s="291" t="str">
        <f t="shared" si="9"/>
        <v/>
      </c>
      <c r="AI110" s="103"/>
      <c r="AJ110" s="291" t="str">
        <f>IF(AI110="","",IF(AND(AI110="N/A - Culvert",N110&lt;&gt;"Culvert"),"Not possible ▲",IF(VLOOKUP(AI110,'G-7 WaterC'' Data'!$AA$4:$AB$7,2,FALSE)=0,"Spatial Data Missing ⚠",VLOOKUP(AI110,'G-7 WaterC'' Data'!$AA$4:$AB$7,2,FALSE))))</f>
        <v/>
      </c>
      <c r="AK110" s="104"/>
      <c r="AL110" s="291" t="str">
        <f>IF(AK110="","",IF(AND(AK110="N/A - Culvert",N110&lt;&gt;"Culvert"),"Not possible ▲",IF(VLOOKUP(AK110,'G-7 WaterC'' Data'!$AD$4:$AE$14,2,FALSE)=0,"Spatial Data Missing ⚠",VLOOKUP(AK110,'G-7 WaterC'' Data'!$AD$4:$AE$14,2,FALSE))))</f>
        <v/>
      </c>
      <c r="AM110" s="332" t="str">
        <f t="shared" si="16"/>
        <v/>
      </c>
      <c r="AN110" s="98"/>
      <c r="AO110" s="99"/>
      <c r="AP110" s="101"/>
      <c r="AS110" s="15" t="str">
        <f>IF(B110="","",IF(ISNA(VLOOKUP($B110,'C-1 On-Site WaterC'' Baseline'!$C$8:$AD$257,17,FALSE)),"",(VLOOKUP($B110,'C-1 On-Site WaterC'' Baseline'!$C$8:$AD$257,17,FALSE))))</f>
        <v/>
      </c>
      <c r="AT110" s="15" t="str">
        <f>IF(B110="","",VLOOKUP($B110,'C-1 On-Site WaterC'' Baseline'!$C$9:$Z$257,12,FALSE))</f>
        <v/>
      </c>
      <c r="AU110" s="15" t="str">
        <f>IF(B110="","",VLOOKUP($B110,'C-1 On-Site WaterC'' Baseline'!$C$9:$Z$257,14,FALSE))</f>
        <v/>
      </c>
      <c r="AV110" s="15" t="str">
        <f>IFERROR(INDEX('G-7 WaterC'' Data'!$AZ$3:$AZ$7,MATCH(N110,'G-7 WaterC'' Data'!$AY$3:$AY$7,0)),"")</f>
        <v/>
      </c>
      <c r="AX110" s="15" t="str">
        <f>IF(B110="","",VLOOKUP($B110,'C-1 On-Site WaterC'' Baseline'!$C$9:$Y$257,22,FALSE))</f>
        <v/>
      </c>
      <c r="AY110" s="15" t="str">
        <f t="shared" si="17"/>
        <v/>
      </c>
      <c r="AZ110" s="15" t="str">
        <f>IF(B110="","",VLOOKUP($B110,'C-1 On-Site WaterC'' Baseline'!$C$9:$Y$257,21,FALSE))</f>
        <v/>
      </c>
      <c r="BA110" s="15" t="str">
        <f>IF(B110="","",VLOOKUP($B110,'C-1 On-Site WaterC'' Baseline'!$C$9:$Y$257,19,FALSE))</f>
        <v/>
      </c>
    </row>
    <row r="111" spans="2:53" ht="14" x14ac:dyDescent="0.3">
      <c r="B111" s="319" t="str">
        <f>'C-1 On-Site WaterC'' Baseline'!AP109</f>
        <v/>
      </c>
      <c r="C111" s="310" t="str">
        <f>IF(B111="","",VLOOKUP($B111,'C-1 On-Site WaterC'' Baseline'!$C$9:$R$257,2,FALSE))</f>
        <v/>
      </c>
      <c r="D111" s="310" t="str">
        <f>IF(C111="","",VLOOKUP($B111,'C-1 On-Site WaterC'' Baseline'!$C$9:$R$257,3,FALSE))</f>
        <v/>
      </c>
      <c r="E111" s="310" t="str">
        <f>IF(D111="","",VLOOKUP($B111,'C-1 On-Site WaterC'' Baseline'!$C$9:$R$257,4,FALSE))</f>
        <v/>
      </c>
      <c r="F111" s="310" t="str">
        <f>IF(E111="","",VLOOKUP($B111,'C-1 On-Site WaterC'' Baseline'!$C$9:$R$257,5,FALSE))</f>
        <v/>
      </c>
      <c r="G111" s="310" t="str">
        <f>IF(F111="","",VLOOKUP($B111,'C-1 On-Site WaterC'' Baseline'!$C$9:$R$257,6,FALSE))</f>
        <v/>
      </c>
      <c r="H111" s="310" t="str">
        <f>IF(G111="","",VLOOKUP($B111,'C-1 On-Site WaterC'' Baseline'!$C$9:$R$257,7,FALSE))</f>
        <v/>
      </c>
      <c r="I111" s="310" t="str">
        <f>IF(H111="","",VLOOKUP($B111,'C-1 On-Site WaterC'' Baseline'!$C$9:$R$257,8,FALSE))</f>
        <v/>
      </c>
      <c r="J111" s="310" t="str">
        <f>IF(I111="","",VLOOKUP($B111,'C-1 On-Site WaterC'' Baseline'!$C$9:$R$257,9,FALSE))</f>
        <v/>
      </c>
      <c r="K111" s="310" t="str">
        <f>IF(J111="","",VLOOKUP($B111,'C-1 On-Site WaterC'' Baseline'!$C$9:$R$257,10,FALSE))</f>
        <v/>
      </c>
      <c r="L111" s="310" t="str">
        <f>IF(B111="","",VLOOKUP($B111,'C-1 On-Site WaterC'' Baseline'!$C$9:$R$257,15,FALSE))</f>
        <v/>
      </c>
      <c r="M111" s="314" t="str">
        <f>IF(L111="","",VLOOKUP($B111,'C-1 On-Site WaterC'' Baseline'!$C$9:$R$257,16,FALSE))</f>
        <v/>
      </c>
      <c r="N111" s="259"/>
      <c r="O111" s="290" t="str">
        <f t="shared" si="10"/>
        <v/>
      </c>
      <c r="P111" s="291" t="str">
        <f t="shared" si="11"/>
        <v/>
      </c>
      <c r="Q111" s="346" t="str">
        <f>IF(N111="","",VLOOKUP(B111,'C-1 On-Site WaterC'' Baseline'!$C$10:$AC$257,20,FALSE))</f>
        <v/>
      </c>
      <c r="R111" s="290" t="str">
        <f>IF(N111="","",VLOOKUP(N111,'G-7 WaterC'' Data'!$B$2:$G$8,2,FALSE))</f>
        <v/>
      </c>
      <c r="S111" s="291" t="str">
        <f>IFERROR(VLOOKUP(R111,'G-7 WaterC'' Data'!$C$4:$D$8,2,FALSE),"")</f>
        <v/>
      </c>
      <c r="T111" s="95"/>
      <c r="U111" s="291" t="str">
        <f>IFERROR(INDEX('G-7 WaterC'' Data'!$H$4:$L$8,MATCH(N111,'G-7 WaterC'' Data'!$B$4:$B$8,0),MATCH(T111,'G-7 WaterC'' Data'!$H$3:$L$3,0)),"")</f>
        <v/>
      </c>
      <c r="V111" s="95"/>
      <c r="W111" s="298" t="str">
        <f>IF(V111="","",IF(VLOOKUP(V111,'G-7 WaterC'' Data'!$AK$4:$AM$6,2,FALSE)=0,"Spatial Data Missing ⚠",VLOOKUP(V111,'G-7 WaterC'' Data'!$AK$4:$AM$6,2,FALSE)))</f>
        <v/>
      </c>
      <c r="X111" s="291" t="str">
        <f>IF(V111="","",IF(VLOOKUP(V111,'G-7 WaterC'' Data'!$AK$4:$AM$6,3,FALSE)=0,"Spatial Data Missing ⚠",VLOOKUP(V111,'G-7 WaterC'' Data'!$AK$4:$AM$6,3,FALSE)))</f>
        <v/>
      </c>
      <c r="Y111" s="290" t="str">
        <f>IFERROR(IF(OR(LEFT(P111,5)="Error",LEFT(O111,5)="Error ▲"),"Check Data ⚠",IF(F111&lt;S111,'G-7 WaterC'' Data'!$R$3,INDEX('G-7 WaterC'' Data'!$U$5:$Y$9,MATCH(G111,'G-7 WaterC'' Data'!$T$5:$T$9,0),MATCH(T111,'G-7 WaterC'' Data'!$U$4:$Y$4,0)))),"")</f>
        <v/>
      </c>
      <c r="Z111" s="138"/>
      <c r="AA111" s="138"/>
      <c r="AB111" s="298" t="str">
        <f t="shared" si="12"/>
        <v/>
      </c>
      <c r="AC111" s="311" t="str">
        <f t="shared" si="13"/>
        <v/>
      </c>
      <c r="AD111" s="344" t="str">
        <f>IFERROR(IF(AC111="Check Data ⚠","Check Data ⚠",VLOOKUP(AC111,'G-4 Temporal multipliers'!$A$4:$C$37,3,FALSE)),"")</f>
        <v/>
      </c>
      <c r="AE111" s="290" t="str">
        <f>IF(N111="","",VLOOKUP(N111,'G-7 WaterC'' Data'!$B$4:$G$8,5,FALSE))</f>
        <v/>
      </c>
      <c r="AF111" s="298" t="str">
        <f t="shared" si="14"/>
        <v/>
      </c>
      <c r="AG111" s="328" t="str">
        <f t="shared" si="15"/>
        <v/>
      </c>
      <c r="AH111" s="291" t="str">
        <f t="shared" si="9"/>
        <v/>
      </c>
      <c r="AI111" s="103"/>
      <c r="AJ111" s="291" t="str">
        <f>IF(AI111="","",IF(AND(AI111="N/A - Culvert",N111&lt;&gt;"Culvert"),"Not possible ▲",IF(VLOOKUP(AI111,'G-7 WaterC'' Data'!$AA$4:$AB$7,2,FALSE)=0,"Spatial Data Missing ⚠",VLOOKUP(AI111,'G-7 WaterC'' Data'!$AA$4:$AB$7,2,FALSE))))</f>
        <v/>
      </c>
      <c r="AK111" s="104"/>
      <c r="AL111" s="291" t="str">
        <f>IF(AK111="","",IF(AND(AK111="N/A - Culvert",N111&lt;&gt;"Culvert"),"Not possible ▲",IF(VLOOKUP(AK111,'G-7 WaterC'' Data'!$AD$4:$AE$14,2,FALSE)=0,"Spatial Data Missing ⚠",VLOOKUP(AK111,'G-7 WaterC'' Data'!$AD$4:$AE$14,2,FALSE))))</f>
        <v/>
      </c>
      <c r="AM111" s="332" t="str">
        <f t="shared" si="16"/>
        <v/>
      </c>
      <c r="AN111" s="98"/>
      <c r="AO111" s="99"/>
      <c r="AP111" s="101"/>
      <c r="AS111" s="15" t="str">
        <f>IF(B111="","",IF(ISNA(VLOOKUP($B111,'C-1 On-Site WaterC'' Baseline'!$C$8:$AD$257,17,FALSE)),"",(VLOOKUP($B111,'C-1 On-Site WaterC'' Baseline'!$C$8:$AD$257,17,FALSE))))</f>
        <v/>
      </c>
      <c r="AT111" s="15" t="str">
        <f>IF(B111="","",VLOOKUP($B111,'C-1 On-Site WaterC'' Baseline'!$C$9:$Z$257,12,FALSE))</f>
        <v/>
      </c>
      <c r="AU111" s="15" t="str">
        <f>IF(B111="","",VLOOKUP($B111,'C-1 On-Site WaterC'' Baseline'!$C$9:$Z$257,14,FALSE))</f>
        <v/>
      </c>
      <c r="AV111" s="15" t="str">
        <f>IFERROR(INDEX('G-7 WaterC'' Data'!$AZ$3:$AZ$7,MATCH(N111,'G-7 WaterC'' Data'!$AY$3:$AY$7,0)),"")</f>
        <v/>
      </c>
      <c r="AX111" s="15" t="str">
        <f>IF(B111="","",VLOOKUP($B111,'C-1 On-Site WaterC'' Baseline'!$C$9:$Y$257,22,FALSE))</f>
        <v/>
      </c>
      <c r="AY111" s="15" t="str">
        <f t="shared" si="17"/>
        <v/>
      </c>
      <c r="AZ111" s="15" t="str">
        <f>IF(B111="","",VLOOKUP($B111,'C-1 On-Site WaterC'' Baseline'!$C$9:$Y$257,21,FALSE))</f>
        <v/>
      </c>
      <c r="BA111" s="15" t="str">
        <f>IF(B111="","",VLOOKUP($B111,'C-1 On-Site WaterC'' Baseline'!$C$9:$Y$257,19,FALSE))</f>
        <v/>
      </c>
    </row>
    <row r="112" spans="2:53" ht="14" x14ac:dyDescent="0.3">
      <c r="B112" s="319" t="str">
        <f>'C-1 On-Site WaterC'' Baseline'!AP110</f>
        <v/>
      </c>
      <c r="C112" s="310" t="str">
        <f>IF(B112="","",VLOOKUP($B112,'C-1 On-Site WaterC'' Baseline'!$C$9:$R$257,2,FALSE))</f>
        <v/>
      </c>
      <c r="D112" s="310" t="str">
        <f>IF(C112="","",VLOOKUP($B112,'C-1 On-Site WaterC'' Baseline'!$C$9:$R$257,3,FALSE))</f>
        <v/>
      </c>
      <c r="E112" s="310" t="str">
        <f>IF(D112="","",VLOOKUP($B112,'C-1 On-Site WaterC'' Baseline'!$C$9:$R$257,4,FALSE))</f>
        <v/>
      </c>
      <c r="F112" s="310" t="str">
        <f>IF(E112="","",VLOOKUP($B112,'C-1 On-Site WaterC'' Baseline'!$C$9:$R$257,5,FALSE))</f>
        <v/>
      </c>
      <c r="G112" s="310" t="str">
        <f>IF(F112="","",VLOOKUP($B112,'C-1 On-Site WaterC'' Baseline'!$C$9:$R$257,6,FALSE))</f>
        <v/>
      </c>
      <c r="H112" s="310" t="str">
        <f>IF(G112="","",VLOOKUP($B112,'C-1 On-Site WaterC'' Baseline'!$C$9:$R$257,7,FALSE))</f>
        <v/>
      </c>
      <c r="I112" s="310" t="str">
        <f>IF(H112="","",VLOOKUP($B112,'C-1 On-Site WaterC'' Baseline'!$C$9:$R$257,8,FALSE))</f>
        <v/>
      </c>
      <c r="J112" s="310" t="str">
        <f>IF(I112="","",VLOOKUP($B112,'C-1 On-Site WaterC'' Baseline'!$C$9:$R$257,9,FALSE))</f>
        <v/>
      </c>
      <c r="K112" s="310" t="str">
        <f>IF(J112="","",VLOOKUP($B112,'C-1 On-Site WaterC'' Baseline'!$C$9:$R$257,10,FALSE))</f>
        <v/>
      </c>
      <c r="L112" s="310" t="str">
        <f>IF(B112="","",VLOOKUP($B112,'C-1 On-Site WaterC'' Baseline'!$C$9:$R$257,15,FALSE))</f>
        <v/>
      </c>
      <c r="M112" s="314" t="str">
        <f>IF(L112="","",VLOOKUP($B112,'C-1 On-Site WaterC'' Baseline'!$C$9:$R$257,16,FALSE))</f>
        <v/>
      </c>
      <c r="N112" s="259"/>
      <c r="O112" s="290" t="str">
        <f t="shared" si="10"/>
        <v/>
      </c>
      <c r="P112" s="291" t="str">
        <f t="shared" si="11"/>
        <v/>
      </c>
      <c r="Q112" s="346" t="str">
        <f>IF(N112="","",VLOOKUP(B112,'C-1 On-Site WaterC'' Baseline'!$C$10:$AC$257,20,FALSE))</f>
        <v/>
      </c>
      <c r="R112" s="290" t="str">
        <f>IF(N112="","",VLOOKUP(N112,'G-7 WaterC'' Data'!$B$2:$G$8,2,FALSE))</f>
        <v/>
      </c>
      <c r="S112" s="291" t="str">
        <f>IFERROR(VLOOKUP(R112,'G-7 WaterC'' Data'!$C$4:$D$8,2,FALSE),"")</f>
        <v/>
      </c>
      <c r="T112" s="95"/>
      <c r="U112" s="291" t="str">
        <f>IFERROR(INDEX('G-7 WaterC'' Data'!$H$4:$L$8,MATCH(N112,'G-7 WaterC'' Data'!$B$4:$B$8,0),MATCH(T112,'G-7 WaterC'' Data'!$H$3:$L$3,0)),"")</f>
        <v/>
      </c>
      <c r="V112" s="95"/>
      <c r="W112" s="298" t="str">
        <f>IF(V112="","",IF(VLOOKUP(V112,'G-7 WaterC'' Data'!$AK$4:$AM$6,2,FALSE)=0,"Spatial Data Missing ⚠",VLOOKUP(V112,'G-7 WaterC'' Data'!$AK$4:$AM$6,2,FALSE)))</f>
        <v/>
      </c>
      <c r="X112" s="291" t="str">
        <f>IF(V112="","",IF(VLOOKUP(V112,'G-7 WaterC'' Data'!$AK$4:$AM$6,3,FALSE)=0,"Spatial Data Missing ⚠",VLOOKUP(V112,'G-7 WaterC'' Data'!$AK$4:$AM$6,3,FALSE)))</f>
        <v/>
      </c>
      <c r="Y112" s="290" t="str">
        <f>IFERROR(IF(OR(LEFT(P112,5)="Error",LEFT(O112,5)="Error ▲"),"Check Data ⚠",IF(F112&lt;S112,'G-7 WaterC'' Data'!$R$3,INDEX('G-7 WaterC'' Data'!$U$5:$Y$9,MATCH(G112,'G-7 WaterC'' Data'!$T$5:$T$9,0),MATCH(T112,'G-7 WaterC'' Data'!$U$4:$Y$4,0)))),"")</f>
        <v/>
      </c>
      <c r="Z112" s="138"/>
      <c r="AA112" s="138"/>
      <c r="AB112" s="298" t="str">
        <f t="shared" si="12"/>
        <v/>
      </c>
      <c r="AC112" s="311" t="str">
        <f t="shared" si="13"/>
        <v/>
      </c>
      <c r="AD112" s="344" t="str">
        <f>IFERROR(IF(AC112="Check Data ⚠","Check Data ⚠",VLOOKUP(AC112,'G-4 Temporal multipliers'!$A$4:$C$37,3,FALSE)),"")</f>
        <v/>
      </c>
      <c r="AE112" s="290" t="str">
        <f>IF(N112="","",VLOOKUP(N112,'G-7 WaterC'' Data'!$B$4:$G$8,5,FALSE))</f>
        <v/>
      </c>
      <c r="AF112" s="298" t="str">
        <f t="shared" si="14"/>
        <v/>
      </c>
      <c r="AG112" s="328" t="str">
        <f t="shared" si="15"/>
        <v/>
      </c>
      <c r="AH112" s="291" t="str">
        <f t="shared" si="9"/>
        <v/>
      </c>
      <c r="AI112" s="103"/>
      <c r="AJ112" s="291" t="str">
        <f>IF(AI112="","",IF(AND(AI112="N/A - Culvert",N112&lt;&gt;"Culvert"),"Not possible ▲",IF(VLOOKUP(AI112,'G-7 WaterC'' Data'!$AA$4:$AB$7,2,FALSE)=0,"Spatial Data Missing ⚠",VLOOKUP(AI112,'G-7 WaterC'' Data'!$AA$4:$AB$7,2,FALSE))))</f>
        <v/>
      </c>
      <c r="AK112" s="104"/>
      <c r="AL112" s="291" t="str">
        <f>IF(AK112="","",IF(AND(AK112="N/A - Culvert",N112&lt;&gt;"Culvert"),"Not possible ▲",IF(VLOOKUP(AK112,'G-7 WaterC'' Data'!$AD$4:$AE$14,2,FALSE)=0,"Spatial Data Missing ⚠",VLOOKUP(AK112,'G-7 WaterC'' Data'!$AD$4:$AE$14,2,FALSE))))</f>
        <v/>
      </c>
      <c r="AM112" s="332" t="str">
        <f t="shared" si="16"/>
        <v/>
      </c>
      <c r="AN112" s="98"/>
      <c r="AO112" s="99"/>
      <c r="AP112" s="101"/>
      <c r="AS112" s="15" t="str">
        <f>IF(B112="","",IF(ISNA(VLOOKUP($B112,'C-1 On-Site WaterC'' Baseline'!$C$8:$AD$257,17,FALSE)),"",(VLOOKUP($B112,'C-1 On-Site WaterC'' Baseline'!$C$8:$AD$257,17,FALSE))))</f>
        <v/>
      </c>
      <c r="AT112" s="15" t="str">
        <f>IF(B112="","",VLOOKUP($B112,'C-1 On-Site WaterC'' Baseline'!$C$9:$Z$257,12,FALSE))</f>
        <v/>
      </c>
      <c r="AU112" s="15" t="str">
        <f>IF(B112="","",VLOOKUP($B112,'C-1 On-Site WaterC'' Baseline'!$C$9:$Z$257,14,FALSE))</f>
        <v/>
      </c>
      <c r="AV112" s="15" t="str">
        <f>IFERROR(INDEX('G-7 WaterC'' Data'!$AZ$3:$AZ$7,MATCH(N112,'G-7 WaterC'' Data'!$AY$3:$AY$7,0)),"")</f>
        <v/>
      </c>
      <c r="AX112" s="15" t="str">
        <f>IF(B112="","",VLOOKUP($B112,'C-1 On-Site WaterC'' Baseline'!$C$9:$Y$257,22,FALSE))</f>
        <v/>
      </c>
      <c r="AY112" s="15" t="str">
        <f t="shared" si="17"/>
        <v/>
      </c>
      <c r="AZ112" s="15" t="str">
        <f>IF(B112="","",VLOOKUP($B112,'C-1 On-Site WaterC'' Baseline'!$C$9:$Y$257,21,FALSE))</f>
        <v/>
      </c>
      <c r="BA112" s="15" t="str">
        <f>IF(B112="","",VLOOKUP($B112,'C-1 On-Site WaterC'' Baseline'!$C$9:$Y$257,19,FALSE))</f>
        <v/>
      </c>
    </row>
    <row r="113" spans="2:53" ht="14" x14ac:dyDescent="0.3">
      <c r="B113" s="319" t="str">
        <f>'C-1 On-Site WaterC'' Baseline'!AP111</f>
        <v/>
      </c>
      <c r="C113" s="310" t="str">
        <f>IF(B113="","",VLOOKUP($B113,'C-1 On-Site WaterC'' Baseline'!$C$9:$R$257,2,FALSE))</f>
        <v/>
      </c>
      <c r="D113" s="310" t="str">
        <f>IF(C113="","",VLOOKUP($B113,'C-1 On-Site WaterC'' Baseline'!$C$9:$R$257,3,FALSE))</f>
        <v/>
      </c>
      <c r="E113" s="310" t="str">
        <f>IF(D113="","",VLOOKUP($B113,'C-1 On-Site WaterC'' Baseline'!$C$9:$R$257,4,FALSE))</f>
        <v/>
      </c>
      <c r="F113" s="310" t="str">
        <f>IF(E113="","",VLOOKUP($B113,'C-1 On-Site WaterC'' Baseline'!$C$9:$R$257,5,FALSE))</f>
        <v/>
      </c>
      <c r="G113" s="310" t="str">
        <f>IF(F113="","",VLOOKUP($B113,'C-1 On-Site WaterC'' Baseline'!$C$9:$R$257,6,FALSE))</f>
        <v/>
      </c>
      <c r="H113" s="310" t="str">
        <f>IF(G113="","",VLOOKUP($B113,'C-1 On-Site WaterC'' Baseline'!$C$9:$R$257,7,FALSE))</f>
        <v/>
      </c>
      <c r="I113" s="310" t="str">
        <f>IF(H113="","",VLOOKUP($B113,'C-1 On-Site WaterC'' Baseline'!$C$9:$R$257,8,FALSE))</f>
        <v/>
      </c>
      <c r="J113" s="310" t="str">
        <f>IF(I113="","",VLOOKUP($B113,'C-1 On-Site WaterC'' Baseline'!$C$9:$R$257,9,FALSE))</f>
        <v/>
      </c>
      <c r="K113" s="310" t="str">
        <f>IF(J113="","",VLOOKUP($B113,'C-1 On-Site WaterC'' Baseline'!$C$9:$R$257,10,FALSE))</f>
        <v/>
      </c>
      <c r="L113" s="310" t="str">
        <f>IF(B113="","",VLOOKUP($B113,'C-1 On-Site WaterC'' Baseline'!$C$9:$R$257,15,FALSE))</f>
        <v/>
      </c>
      <c r="M113" s="314" t="str">
        <f>IF(L113="","",VLOOKUP($B113,'C-1 On-Site WaterC'' Baseline'!$C$9:$R$257,16,FALSE))</f>
        <v/>
      </c>
      <c r="N113" s="259"/>
      <c r="O113" s="290" t="str">
        <f t="shared" si="10"/>
        <v/>
      </c>
      <c r="P113" s="291" t="str">
        <f t="shared" si="11"/>
        <v/>
      </c>
      <c r="Q113" s="346" t="str">
        <f>IF(N113="","",VLOOKUP(B113,'C-1 On-Site WaterC'' Baseline'!$C$10:$AC$257,20,FALSE))</f>
        <v/>
      </c>
      <c r="R113" s="290" t="str">
        <f>IF(N113="","",VLOOKUP(N113,'G-7 WaterC'' Data'!$B$2:$G$8,2,FALSE))</f>
        <v/>
      </c>
      <c r="S113" s="291" t="str">
        <f>IFERROR(VLOOKUP(R113,'G-7 WaterC'' Data'!$C$4:$D$8,2,FALSE),"")</f>
        <v/>
      </c>
      <c r="T113" s="95"/>
      <c r="U113" s="291" t="str">
        <f>IFERROR(INDEX('G-7 WaterC'' Data'!$H$4:$L$8,MATCH(N113,'G-7 WaterC'' Data'!$B$4:$B$8,0),MATCH(T113,'G-7 WaterC'' Data'!$H$3:$L$3,0)),"")</f>
        <v/>
      </c>
      <c r="V113" s="95"/>
      <c r="W113" s="298" t="str">
        <f>IF(V113="","",IF(VLOOKUP(V113,'G-7 WaterC'' Data'!$AK$4:$AM$6,2,FALSE)=0,"Spatial Data Missing ⚠",VLOOKUP(V113,'G-7 WaterC'' Data'!$AK$4:$AM$6,2,FALSE)))</f>
        <v/>
      </c>
      <c r="X113" s="291" t="str">
        <f>IF(V113="","",IF(VLOOKUP(V113,'G-7 WaterC'' Data'!$AK$4:$AM$6,3,FALSE)=0,"Spatial Data Missing ⚠",VLOOKUP(V113,'G-7 WaterC'' Data'!$AK$4:$AM$6,3,FALSE)))</f>
        <v/>
      </c>
      <c r="Y113" s="290" t="str">
        <f>IFERROR(IF(OR(LEFT(P113,5)="Error",LEFT(O113,5)="Error ▲"),"Check Data ⚠",IF(F113&lt;S113,'G-7 WaterC'' Data'!$R$3,INDEX('G-7 WaterC'' Data'!$U$5:$Y$9,MATCH(G113,'G-7 WaterC'' Data'!$T$5:$T$9,0),MATCH(T113,'G-7 WaterC'' Data'!$U$4:$Y$4,0)))),"")</f>
        <v/>
      </c>
      <c r="Z113" s="138"/>
      <c r="AA113" s="138"/>
      <c r="AB113" s="298" t="str">
        <f t="shared" si="12"/>
        <v/>
      </c>
      <c r="AC113" s="311" t="str">
        <f t="shared" si="13"/>
        <v/>
      </c>
      <c r="AD113" s="344" t="str">
        <f>IFERROR(IF(AC113="Check Data ⚠","Check Data ⚠",VLOOKUP(AC113,'G-4 Temporal multipliers'!$A$4:$C$37,3,FALSE)),"")</f>
        <v/>
      </c>
      <c r="AE113" s="290" t="str">
        <f>IF(N113="","",VLOOKUP(N113,'G-7 WaterC'' Data'!$B$4:$G$8,5,FALSE))</f>
        <v/>
      </c>
      <c r="AF113" s="298" t="str">
        <f t="shared" si="14"/>
        <v/>
      </c>
      <c r="AG113" s="328" t="str">
        <f t="shared" si="15"/>
        <v/>
      </c>
      <c r="AH113" s="291" t="str">
        <f t="shared" si="9"/>
        <v/>
      </c>
      <c r="AI113" s="103"/>
      <c r="AJ113" s="291" t="str">
        <f>IF(AI113="","",IF(AND(AI113="N/A - Culvert",N113&lt;&gt;"Culvert"),"Not possible ▲",IF(VLOOKUP(AI113,'G-7 WaterC'' Data'!$AA$4:$AB$7,2,FALSE)=0,"Spatial Data Missing ⚠",VLOOKUP(AI113,'G-7 WaterC'' Data'!$AA$4:$AB$7,2,FALSE))))</f>
        <v/>
      </c>
      <c r="AK113" s="104"/>
      <c r="AL113" s="291" t="str">
        <f>IF(AK113="","",IF(AND(AK113="N/A - Culvert",N113&lt;&gt;"Culvert"),"Not possible ▲",IF(VLOOKUP(AK113,'G-7 WaterC'' Data'!$AD$4:$AE$14,2,FALSE)=0,"Spatial Data Missing ⚠",VLOOKUP(AK113,'G-7 WaterC'' Data'!$AD$4:$AE$14,2,FALSE))))</f>
        <v/>
      </c>
      <c r="AM113" s="332" t="str">
        <f t="shared" si="16"/>
        <v/>
      </c>
      <c r="AN113" s="98"/>
      <c r="AO113" s="99"/>
      <c r="AP113" s="101"/>
      <c r="AS113" s="15" t="str">
        <f>IF(B113="","",IF(ISNA(VLOOKUP($B113,'C-1 On-Site WaterC'' Baseline'!$C$8:$AD$257,17,FALSE)),"",(VLOOKUP($B113,'C-1 On-Site WaterC'' Baseline'!$C$8:$AD$257,17,FALSE))))</f>
        <v/>
      </c>
      <c r="AT113" s="15" t="str">
        <f>IF(B113="","",VLOOKUP($B113,'C-1 On-Site WaterC'' Baseline'!$C$9:$Z$257,12,FALSE))</f>
        <v/>
      </c>
      <c r="AU113" s="15" t="str">
        <f>IF(B113="","",VLOOKUP($B113,'C-1 On-Site WaterC'' Baseline'!$C$9:$Z$257,14,FALSE))</f>
        <v/>
      </c>
      <c r="AV113" s="15" t="str">
        <f>IFERROR(INDEX('G-7 WaterC'' Data'!$AZ$3:$AZ$7,MATCH(N113,'G-7 WaterC'' Data'!$AY$3:$AY$7,0)),"")</f>
        <v/>
      </c>
      <c r="AX113" s="15" t="str">
        <f>IF(B113="","",VLOOKUP($B113,'C-1 On-Site WaterC'' Baseline'!$C$9:$Y$257,22,FALSE))</f>
        <v/>
      </c>
      <c r="AY113" s="15" t="str">
        <f t="shared" si="17"/>
        <v/>
      </c>
      <c r="AZ113" s="15" t="str">
        <f>IF(B113="","",VLOOKUP($B113,'C-1 On-Site WaterC'' Baseline'!$C$9:$Y$257,21,FALSE))</f>
        <v/>
      </c>
      <c r="BA113" s="15" t="str">
        <f>IF(B113="","",VLOOKUP($B113,'C-1 On-Site WaterC'' Baseline'!$C$9:$Y$257,19,FALSE))</f>
        <v/>
      </c>
    </row>
    <row r="114" spans="2:53" ht="14" x14ac:dyDescent="0.3">
      <c r="B114" s="319" t="str">
        <f>'C-1 On-Site WaterC'' Baseline'!AP112</f>
        <v/>
      </c>
      <c r="C114" s="310" t="str">
        <f>IF(B114="","",VLOOKUP($B114,'C-1 On-Site WaterC'' Baseline'!$C$9:$R$257,2,FALSE))</f>
        <v/>
      </c>
      <c r="D114" s="310" t="str">
        <f>IF(C114="","",VLOOKUP($B114,'C-1 On-Site WaterC'' Baseline'!$C$9:$R$257,3,FALSE))</f>
        <v/>
      </c>
      <c r="E114" s="310" t="str">
        <f>IF(D114="","",VLOOKUP($B114,'C-1 On-Site WaterC'' Baseline'!$C$9:$R$257,4,FALSE))</f>
        <v/>
      </c>
      <c r="F114" s="310" t="str">
        <f>IF(E114="","",VLOOKUP($B114,'C-1 On-Site WaterC'' Baseline'!$C$9:$R$257,5,FALSE))</f>
        <v/>
      </c>
      <c r="G114" s="310" t="str">
        <f>IF(F114="","",VLOOKUP($B114,'C-1 On-Site WaterC'' Baseline'!$C$9:$R$257,6,FALSE))</f>
        <v/>
      </c>
      <c r="H114" s="310" t="str">
        <f>IF(G114="","",VLOOKUP($B114,'C-1 On-Site WaterC'' Baseline'!$C$9:$R$257,7,FALSE))</f>
        <v/>
      </c>
      <c r="I114" s="310" t="str">
        <f>IF(H114="","",VLOOKUP($B114,'C-1 On-Site WaterC'' Baseline'!$C$9:$R$257,8,FALSE))</f>
        <v/>
      </c>
      <c r="J114" s="310" t="str">
        <f>IF(I114="","",VLOOKUP($B114,'C-1 On-Site WaterC'' Baseline'!$C$9:$R$257,9,FALSE))</f>
        <v/>
      </c>
      <c r="K114" s="310" t="str">
        <f>IF(J114="","",VLOOKUP($B114,'C-1 On-Site WaterC'' Baseline'!$C$9:$R$257,10,FALSE))</f>
        <v/>
      </c>
      <c r="L114" s="310" t="str">
        <f>IF(B114="","",VLOOKUP($B114,'C-1 On-Site WaterC'' Baseline'!$C$9:$R$257,15,FALSE))</f>
        <v/>
      </c>
      <c r="M114" s="314" t="str">
        <f>IF(L114="","",VLOOKUP($B114,'C-1 On-Site WaterC'' Baseline'!$C$9:$R$257,16,FALSE))</f>
        <v/>
      </c>
      <c r="N114" s="259"/>
      <c r="O114" s="290" t="str">
        <f t="shared" si="10"/>
        <v/>
      </c>
      <c r="P114" s="291" t="str">
        <f t="shared" si="11"/>
        <v/>
      </c>
      <c r="Q114" s="346" t="str">
        <f>IF(N114="","",VLOOKUP(B114,'C-1 On-Site WaterC'' Baseline'!$C$10:$AC$257,20,FALSE))</f>
        <v/>
      </c>
      <c r="R114" s="290" t="str">
        <f>IF(N114="","",VLOOKUP(N114,'G-7 WaterC'' Data'!$B$2:$G$8,2,FALSE))</f>
        <v/>
      </c>
      <c r="S114" s="291" t="str">
        <f>IFERROR(VLOOKUP(R114,'G-7 WaterC'' Data'!$C$4:$D$8,2,FALSE),"")</f>
        <v/>
      </c>
      <c r="T114" s="95"/>
      <c r="U114" s="291" t="str">
        <f>IFERROR(INDEX('G-7 WaterC'' Data'!$H$4:$L$8,MATCH(N114,'G-7 WaterC'' Data'!$B$4:$B$8,0),MATCH(T114,'G-7 WaterC'' Data'!$H$3:$L$3,0)),"")</f>
        <v/>
      </c>
      <c r="V114" s="95"/>
      <c r="W114" s="298" t="str">
        <f>IF(V114="","",IF(VLOOKUP(V114,'G-7 WaterC'' Data'!$AK$4:$AM$6,2,FALSE)=0,"Spatial Data Missing ⚠",VLOOKUP(V114,'G-7 WaterC'' Data'!$AK$4:$AM$6,2,FALSE)))</f>
        <v/>
      </c>
      <c r="X114" s="291" t="str">
        <f>IF(V114="","",IF(VLOOKUP(V114,'G-7 WaterC'' Data'!$AK$4:$AM$6,3,FALSE)=0,"Spatial Data Missing ⚠",VLOOKUP(V114,'G-7 WaterC'' Data'!$AK$4:$AM$6,3,FALSE)))</f>
        <v/>
      </c>
      <c r="Y114" s="290" t="str">
        <f>IFERROR(IF(OR(LEFT(P114,5)="Error",LEFT(O114,5)="Error ▲"),"Check Data ⚠",IF(F114&lt;S114,'G-7 WaterC'' Data'!$R$3,INDEX('G-7 WaterC'' Data'!$U$5:$Y$9,MATCH(G114,'G-7 WaterC'' Data'!$T$5:$T$9,0),MATCH(T114,'G-7 WaterC'' Data'!$U$4:$Y$4,0)))),"")</f>
        <v/>
      </c>
      <c r="Z114" s="138"/>
      <c r="AA114" s="138"/>
      <c r="AB114" s="298" t="str">
        <f t="shared" si="12"/>
        <v/>
      </c>
      <c r="AC114" s="311" t="str">
        <f t="shared" si="13"/>
        <v/>
      </c>
      <c r="AD114" s="344" t="str">
        <f>IFERROR(IF(AC114="Check Data ⚠","Check Data ⚠",VLOOKUP(AC114,'G-4 Temporal multipliers'!$A$4:$C$37,3,FALSE)),"")</f>
        <v/>
      </c>
      <c r="AE114" s="290" t="str">
        <f>IF(N114="","",VLOOKUP(N114,'G-7 WaterC'' Data'!$B$4:$G$8,5,FALSE))</f>
        <v/>
      </c>
      <c r="AF114" s="298" t="str">
        <f t="shared" si="14"/>
        <v/>
      </c>
      <c r="AG114" s="328" t="str">
        <f t="shared" si="15"/>
        <v/>
      </c>
      <c r="AH114" s="291" t="str">
        <f t="shared" si="9"/>
        <v/>
      </c>
      <c r="AI114" s="103"/>
      <c r="AJ114" s="291" t="str">
        <f>IF(AI114="","",IF(AND(AI114="N/A - Culvert",N114&lt;&gt;"Culvert"),"Not possible ▲",IF(VLOOKUP(AI114,'G-7 WaterC'' Data'!$AA$4:$AB$7,2,FALSE)=0,"Spatial Data Missing ⚠",VLOOKUP(AI114,'G-7 WaterC'' Data'!$AA$4:$AB$7,2,FALSE))))</f>
        <v/>
      </c>
      <c r="AK114" s="104"/>
      <c r="AL114" s="291" t="str">
        <f>IF(AK114="","",IF(AND(AK114="N/A - Culvert",N114&lt;&gt;"Culvert"),"Not possible ▲",IF(VLOOKUP(AK114,'G-7 WaterC'' Data'!$AD$4:$AE$14,2,FALSE)=0,"Spatial Data Missing ⚠",VLOOKUP(AK114,'G-7 WaterC'' Data'!$AD$4:$AE$14,2,FALSE))))</f>
        <v/>
      </c>
      <c r="AM114" s="332" t="str">
        <f t="shared" si="16"/>
        <v/>
      </c>
      <c r="AN114" s="98"/>
      <c r="AO114" s="99"/>
      <c r="AP114" s="101"/>
      <c r="AS114" s="15" t="str">
        <f>IF(B114="","",IF(ISNA(VLOOKUP($B114,'C-1 On-Site WaterC'' Baseline'!$C$8:$AD$257,17,FALSE)),"",(VLOOKUP($B114,'C-1 On-Site WaterC'' Baseline'!$C$8:$AD$257,17,FALSE))))</f>
        <v/>
      </c>
      <c r="AT114" s="15" t="str">
        <f>IF(B114="","",VLOOKUP($B114,'C-1 On-Site WaterC'' Baseline'!$C$9:$Z$257,12,FALSE))</f>
        <v/>
      </c>
      <c r="AU114" s="15" t="str">
        <f>IF(B114="","",VLOOKUP($B114,'C-1 On-Site WaterC'' Baseline'!$C$9:$Z$257,14,FALSE))</f>
        <v/>
      </c>
      <c r="AV114" s="15" t="str">
        <f>IFERROR(INDEX('G-7 WaterC'' Data'!$AZ$3:$AZ$7,MATCH(N114,'G-7 WaterC'' Data'!$AY$3:$AY$7,0)),"")</f>
        <v/>
      </c>
      <c r="AX114" s="15" t="str">
        <f>IF(B114="","",VLOOKUP($B114,'C-1 On-Site WaterC'' Baseline'!$C$9:$Y$257,22,FALSE))</f>
        <v/>
      </c>
      <c r="AY114" s="15" t="str">
        <f t="shared" si="17"/>
        <v/>
      </c>
      <c r="AZ114" s="15" t="str">
        <f>IF(B114="","",VLOOKUP($B114,'C-1 On-Site WaterC'' Baseline'!$C$9:$Y$257,21,FALSE))</f>
        <v/>
      </c>
      <c r="BA114" s="15" t="str">
        <f>IF(B114="","",VLOOKUP($B114,'C-1 On-Site WaterC'' Baseline'!$C$9:$Y$257,19,FALSE))</f>
        <v/>
      </c>
    </row>
    <row r="115" spans="2:53" ht="14" x14ac:dyDescent="0.3">
      <c r="B115" s="319" t="str">
        <f>'C-1 On-Site WaterC'' Baseline'!AP113</f>
        <v/>
      </c>
      <c r="C115" s="310" t="str">
        <f>IF(B115="","",VLOOKUP($B115,'C-1 On-Site WaterC'' Baseline'!$C$9:$R$257,2,FALSE))</f>
        <v/>
      </c>
      <c r="D115" s="310" t="str">
        <f>IF(C115="","",VLOOKUP($B115,'C-1 On-Site WaterC'' Baseline'!$C$9:$R$257,3,FALSE))</f>
        <v/>
      </c>
      <c r="E115" s="310" t="str">
        <f>IF(D115="","",VLOOKUP($B115,'C-1 On-Site WaterC'' Baseline'!$C$9:$R$257,4,FALSE))</f>
        <v/>
      </c>
      <c r="F115" s="310" t="str">
        <f>IF(E115="","",VLOOKUP($B115,'C-1 On-Site WaterC'' Baseline'!$C$9:$R$257,5,FALSE))</f>
        <v/>
      </c>
      <c r="G115" s="310" t="str">
        <f>IF(F115="","",VLOOKUP($B115,'C-1 On-Site WaterC'' Baseline'!$C$9:$R$257,6,FALSE))</f>
        <v/>
      </c>
      <c r="H115" s="310" t="str">
        <f>IF(G115="","",VLOOKUP($B115,'C-1 On-Site WaterC'' Baseline'!$C$9:$R$257,7,FALSE))</f>
        <v/>
      </c>
      <c r="I115" s="310" t="str">
        <f>IF(H115="","",VLOOKUP($B115,'C-1 On-Site WaterC'' Baseline'!$C$9:$R$257,8,FALSE))</f>
        <v/>
      </c>
      <c r="J115" s="310" t="str">
        <f>IF(I115="","",VLOOKUP($B115,'C-1 On-Site WaterC'' Baseline'!$C$9:$R$257,9,FALSE))</f>
        <v/>
      </c>
      <c r="K115" s="310" t="str">
        <f>IF(J115="","",VLOOKUP($B115,'C-1 On-Site WaterC'' Baseline'!$C$9:$R$257,10,FALSE))</f>
        <v/>
      </c>
      <c r="L115" s="310" t="str">
        <f>IF(B115="","",VLOOKUP($B115,'C-1 On-Site WaterC'' Baseline'!$C$9:$R$257,15,FALSE))</f>
        <v/>
      </c>
      <c r="M115" s="314" t="str">
        <f>IF(L115="","",VLOOKUP($B115,'C-1 On-Site WaterC'' Baseline'!$C$9:$R$257,16,FALSE))</f>
        <v/>
      </c>
      <c r="N115" s="259"/>
      <c r="O115" s="290" t="str">
        <f t="shared" si="10"/>
        <v/>
      </c>
      <c r="P115" s="291" t="str">
        <f t="shared" si="11"/>
        <v/>
      </c>
      <c r="Q115" s="346" t="str">
        <f>IF(N115="","",VLOOKUP(B115,'C-1 On-Site WaterC'' Baseline'!$C$10:$AC$257,20,FALSE))</f>
        <v/>
      </c>
      <c r="R115" s="290" t="str">
        <f>IF(N115="","",VLOOKUP(N115,'G-7 WaterC'' Data'!$B$2:$G$8,2,FALSE))</f>
        <v/>
      </c>
      <c r="S115" s="291" t="str">
        <f>IFERROR(VLOOKUP(R115,'G-7 WaterC'' Data'!$C$4:$D$8,2,FALSE),"")</f>
        <v/>
      </c>
      <c r="T115" s="95"/>
      <c r="U115" s="291" t="str">
        <f>IFERROR(INDEX('G-7 WaterC'' Data'!$H$4:$L$8,MATCH(N115,'G-7 WaterC'' Data'!$B$4:$B$8,0),MATCH(T115,'G-7 WaterC'' Data'!$H$3:$L$3,0)),"")</f>
        <v/>
      </c>
      <c r="V115" s="95"/>
      <c r="W115" s="298" t="str">
        <f>IF(V115="","",IF(VLOOKUP(V115,'G-7 WaterC'' Data'!$AK$4:$AM$6,2,FALSE)=0,"Spatial Data Missing ⚠",VLOOKUP(V115,'G-7 WaterC'' Data'!$AK$4:$AM$6,2,FALSE)))</f>
        <v/>
      </c>
      <c r="X115" s="291" t="str">
        <f>IF(V115="","",IF(VLOOKUP(V115,'G-7 WaterC'' Data'!$AK$4:$AM$6,3,FALSE)=0,"Spatial Data Missing ⚠",VLOOKUP(V115,'G-7 WaterC'' Data'!$AK$4:$AM$6,3,FALSE)))</f>
        <v/>
      </c>
      <c r="Y115" s="290" t="str">
        <f>IFERROR(IF(OR(LEFT(P115,5)="Error",LEFT(O115,5)="Error ▲"),"Check Data ⚠",IF(F115&lt;S115,'G-7 WaterC'' Data'!$R$3,INDEX('G-7 WaterC'' Data'!$U$5:$Y$9,MATCH(G115,'G-7 WaterC'' Data'!$T$5:$T$9,0),MATCH(T115,'G-7 WaterC'' Data'!$U$4:$Y$4,0)))),"")</f>
        <v/>
      </c>
      <c r="Z115" s="138"/>
      <c r="AA115" s="138"/>
      <c r="AB115" s="298" t="str">
        <f t="shared" si="12"/>
        <v/>
      </c>
      <c r="AC115" s="311" t="str">
        <f t="shared" si="13"/>
        <v/>
      </c>
      <c r="AD115" s="344" t="str">
        <f>IFERROR(IF(AC115="Check Data ⚠","Check Data ⚠",VLOOKUP(AC115,'G-4 Temporal multipliers'!$A$4:$C$37,3,FALSE)),"")</f>
        <v/>
      </c>
      <c r="AE115" s="290" t="str">
        <f>IF(N115="","",VLOOKUP(N115,'G-7 WaterC'' Data'!$B$4:$G$8,5,FALSE))</f>
        <v/>
      </c>
      <c r="AF115" s="298" t="str">
        <f t="shared" si="14"/>
        <v/>
      </c>
      <c r="AG115" s="328" t="str">
        <f t="shared" si="15"/>
        <v/>
      </c>
      <c r="AH115" s="291" t="str">
        <f t="shared" si="9"/>
        <v/>
      </c>
      <c r="AI115" s="103"/>
      <c r="AJ115" s="291" t="str">
        <f>IF(AI115="","",IF(AND(AI115="N/A - Culvert",N115&lt;&gt;"Culvert"),"Not possible ▲",IF(VLOOKUP(AI115,'G-7 WaterC'' Data'!$AA$4:$AB$7,2,FALSE)=0,"Spatial Data Missing ⚠",VLOOKUP(AI115,'G-7 WaterC'' Data'!$AA$4:$AB$7,2,FALSE))))</f>
        <v/>
      </c>
      <c r="AK115" s="104"/>
      <c r="AL115" s="291" t="str">
        <f>IF(AK115="","",IF(AND(AK115="N/A - Culvert",N115&lt;&gt;"Culvert"),"Not possible ▲",IF(VLOOKUP(AK115,'G-7 WaterC'' Data'!$AD$4:$AE$14,2,FALSE)=0,"Spatial Data Missing ⚠",VLOOKUP(AK115,'G-7 WaterC'' Data'!$AD$4:$AE$14,2,FALSE))))</f>
        <v/>
      </c>
      <c r="AM115" s="332" t="str">
        <f t="shared" si="16"/>
        <v/>
      </c>
      <c r="AN115" s="98"/>
      <c r="AO115" s="99"/>
      <c r="AP115" s="101"/>
      <c r="AS115" s="15" t="str">
        <f>IF(B115="","",IF(ISNA(VLOOKUP($B115,'C-1 On-Site WaterC'' Baseline'!$C$8:$AD$257,17,FALSE)),"",(VLOOKUP($B115,'C-1 On-Site WaterC'' Baseline'!$C$8:$AD$257,17,FALSE))))</f>
        <v/>
      </c>
      <c r="AT115" s="15" t="str">
        <f>IF(B115="","",VLOOKUP($B115,'C-1 On-Site WaterC'' Baseline'!$C$9:$Z$257,12,FALSE))</f>
        <v/>
      </c>
      <c r="AU115" s="15" t="str">
        <f>IF(B115="","",VLOOKUP($B115,'C-1 On-Site WaterC'' Baseline'!$C$9:$Z$257,14,FALSE))</f>
        <v/>
      </c>
      <c r="AV115" s="15" t="str">
        <f>IFERROR(INDEX('G-7 WaterC'' Data'!$AZ$3:$AZ$7,MATCH(N115,'G-7 WaterC'' Data'!$AY$3:$AY$7,0)),"")</f>
        <v/>
      </c>
      <c r="AX115" s="15" t="str">
        <f>IF(B115="","",VLOOKUP($B115,'C-1 On-Site WaterC'' Baseline'!$C$9:$Y$257,22,FALSE))</f>
        <v/>
      </c>
      <c r="AY115" s="15" t="str">
        <f t="shared" si="17"/>
        <v/>
      </c>
      <c r="AZ115" s="15" t="str">
        <f>IF(B115="","",VLOOKUP($B115,'C-1 On-Site WaterC'' Baseline'!$C$9:$Y$257,21,FALSE))</f>
        <v/>
      </c>
      <c r="BA115" s="15" t="str">
        <f>IF(B115="","",VLOOKUP($B115,'C-1 On-Site WaterC'' Baseline'!$C$9:$Y$257,19,FALSE))</f>
        <v/>
      </c>
    </row>
    <row r="116" spans="2:53" ht="14" x14ac:dyDescent="0.3">
      <c r="B116" s="319" t="str">
        <f>'C-1 On-Site WaterC'' Baseline'!AP114</f>
        <v/>
      </c>
      <c r="C116" s="310" t="str">
        <f>IF(B116="","",VLOOKUP($B116,'C-1 On-Site WaterC'' Baseline'!$C$9:$R$257,2,FALSE))</f>
        <v/>
      </c>
      <c r="D116" s="310" t="str">
        <f>IF(C116="","",VLOOKUP($B116,'C-1 On-Site WaterC'' Baseline'!$C$9:$R$257,3,FALSE))</f>
        <v/>
      </c>
      <c r="E116" s="310" t="str">
        <f>IF(D116="","",VLOOKUP($B116,'C-1 On-Site WaterC'' Baseline'!$C$9:$R$257,4,FALSE))</f>
        <v/>
      </c>
      <c r="F116" s="310" t="str">
        <f>IF(E116="","",VLOOKUP($B116,'C-1 On-Site WaterC'' Baseline'!$C$9:$R$257,5,FALSE))</f>
        <v/>
      </c>
      <c r="G116" s="310" t="str">
        <f>IF(F116="","",VLOOKUP($B116,'C-1 On-Site WaterC'' Baseline'!$C$9:$R$257,6,FALSE))</f>
        <v/>
      </c>
      <c r="H116" s="310" t="str">
        <f>IF(G116="","",VLOOKUP($B116,'C-1 On-Site WaterC'' Baseline'!$C$9:$R$257,7,FALSE))</f>
        <v/>
      </c>
      <c r="I116" s="310" t="str">
        <f>IF(H116="","",VLOOKUP($B116,'C-1 On-Site WaterC'' Baseline'!$C$9:$R$257,8,FALSE))</f>
        <v/>
      </c>
      <c r="J116" s="310" t="str">
        <f>IF(I116="","",VLOOKUP($B116,'C-1 On-Site WaterC'' Baseline'!$C$9:$R$257,9,FALSE))</f>
        <v/>
      </c>
      <c r="K116" s="310" t="str">
        <f>IF(J116="","",VLOOKUP($B116,'C-1 On-Site WaterC'' Baseline'!$C$9:$R$257,10,FALSE))</f>
        <v/>
      </c>
      <c r="L116" s="310" t="str">
        <f>IF(B116="","",VLOOKUP($B116,'C-1 On-Site WaterC'' Baseline'!$C$9:$R$257,15,FALSE))</f>
        <v/>
      </c>
      <c r="M116" s="314" t="str">
        <f>IF(L116="","",VLOOKUP($B116,'C-1 On-Site WaterC'' Baseline'!$C$9:$R$257,16,FALSE))</f>
        <v/>
      </c>
      <c r="N116" s="259"/>
      <c r="O116" s="290" t="str">
        <f t="shared" si="10"/>
        <v/>
      </c>
      <c r="P116" s="291" t="str">
        <f t="shared" si="11"/>
        <v/>
      </c>
      <c r="Q116" s="346" t="str">
        <f>IF(N116="","",VLOOKUP(B116,'C-1 On-Site WaterC'' Baseline'!$C$10:$AC$257,20,FALSE))</f>
        <v/>
      </c>
      <c r="R116" s="290" t="str">
        <f>IF(N116="","",VLOOKUP(N116,'G-7 WaterC'' Data'!$B$2:$G$8,2,FALSE))</f>
        <v/>
      </c>
      <c r="S116" s="291" t="str">
        <f>IFERROR(VLOOKUP(R116,'G-7 WaterC'' Data'!$C$4:$D$8,2,FALSE),"")</f>
        <v/>
      </c>
      <c r="T116" s="95"/>
      <c r="U116" s="291" t="str">
        <f>IFERROR(INDEX('G-7 WaterC'' Data'!$H$4:$L$8,MATCH(N116,'G-7 WaterC'' Data'!$B$4:$B$8,0),MATCH(T116,'G-7 WaterC'' Data'!$H$3:$L$3,0)),"")</f>
        <v/>
      </c>
      <c r="V116" s="95"/>
      <c r="W116" s="298" t="str">
        <f>IF(V116="","",IF(VLOOKUP(V116,'G-7 WaterC'' Data'!$AK$4:$AM$6,2,FALSE)=0,"Spatial Data Missing ⚠",VLOOKUP(V116,'G-7 WaterC'' Data'!$AK$4:$AM$6,2,FALSE)))</f>
        <v/>
      </c>
      <c r="X116" s="291" t="str">
        <f>IF(V116="","",IF(VLOOKUP(V116,'G-7 WaterC'' Data'!$AK$4:$AM$6,3,FALSE)=0,"Spatial Data Missing ⚠",VLOOKUP(V116,'G-7 WaterC'' Data'!$AK$4:$AM$6,3,FALSE)))</f>
        <v/>
      </c>
      <c r="Y116" s="290" t="str">
        <f>IFERROR(IF(OR(LEFT(P116,5)="Error",LEFT(O116,5)="Error ▲"),"Check Data ⚠",IF(F116&lt;S116,'G-7 WaterC'' Data'!$R$3,INDEX('G-7 WaterC'' Data'!$U$5:$Y$9,MATCH(G116,'G-7 WaterC'' Data'!$T$5:$T$9,0),MATCH(T116,'G-7 WaterC'' Data'!$U$4:$Y$4,0)))),"")</f>
        <v/>
      </c>
      <c r="Z116" s="138"/>
      <c r="AA116" s="138"/>
      <c r="AB116" s="298" t="str">
        <f t="shared" si="12"/>
        <v/>
      </c>
      <c r="AC116" s="311" t="str">
        <f t="shared" si="13"/>
        <v/>
      </c>
      <c r="AD116" s="344" t="str">
        <f>IFERROR(IF(AC116="Check Data ⚠","Check Data ⚠",VLOOKUP(AC116,'G-4 Temporal multipliers'!$A$4:$C$37,3,FALSE)),"")</f>
        <v/>
      </c>
      <c r="AE116" s="290" t="str">
        <f>IF(N116="","",VLOOKUP(N116,'G-7 WaterC'' Data'!$B$4:$G$8,5,FALSE))</f>
        <v/>
      </c>
      <c r="AF116" s="298" t="str">
        <f t="shared" si="14"/>
        <v/>
      </c>
      <c r="AG116" s="328" t="str">
        <f t="shared" si="15"/>
        <v/>
      </c>
      <c r="AH116" s="291" t="str">
        <f t="shared" si="9"/>
        <v/>
      </c>
      <c r="AI116" s="103"/>
      <c r="AJ116" s="291" t="str">
        <f>IF(AI116="","",IF(AND(AI116="N/A - Culvert",N116&lt;&gt;"Culvert"),"Not possible ▲",IF(VLOOKUP(AI116,'G-7 WaterC'' Data'!$AA$4:$AB$7,2,FALSE)=0,"Spatial Data Missing ⚠",VLOOKUP(AI116,'G-7 WaterC'' Data'!$AA$4:$AB$7,2,FALSE))))</f>
        <v/>
      </c>
      <c r="AK116" s="104"/>
      <c r="AL116" s="291" t="str">
        <f>IF(AK116="","",IF(AND(AK116="N/A - Culvert",N116&lt;&gt;"Culvert"),"Not possible ▲",IF(VLOOKUP(AK116,'G-7 WaterC'' Data'!$AD$4:$AE$14,2,FALSE)=0,"Spatial Data Missing ⚠",VLOOKUP(AK116,'G-7 WaterC'' Data'!$AD$4:$AE$14,2,FALSE))))</f>
        <v/>
      </c>
      <c r="AM116" s="332" t="str">
        <f t="shared" si="16"/>
        <v/>
      </c>
      <c r="AN116" s="98"/>
      <c r="AO116" s="99"/>
      <c r="AP116" s="101"/>
      <c r="AS116" s="15" t="str">
        <f>IF(B116="","",IF(ISNA(VLOOKUP($B116,'C-1 On-Site WaterC'' Baseline'!$C$8:$AD$257,17,FALSE)),"",(VLOOKUP($B116,'C-1 On-Site WaterC'' Baseline'!$C$8:$AD$257,17,FALSE))))</f>
        <v/>
      </c>
      <c r="AT116" s="15" t="str">
        <f>IF(B116="","",VLOOKUP($B116,'C-1 On-Site WaterC'' Baseline'!$C$9:$Z$257,12,FALSE))</f>
        <v/>
      </c>
      <c r="AU116" s="15" t="str">
        <f>IF(B116="","",VLOOKUP($B116,'C-1 On-Site WaterC'' Baseline'!$C$9:$Z$257,14,FALSE))</f>
        <v/>
      </c>
      <c r="AV116" s="15" t="str">
        <f>IFERROR(INDEX('G-7 WaterC'' Data'!$AZ$3:$AZ$7,MATCH(N116,'G-7 WaterC'' Data'!$AY$3:$AY$7,0)),"")</f>
        <v/>
      </c>
      <c r="AX116" s="15" t="str">
        <f>IF(B116="","",VLOOKUP($B116,'C-1 On-Site WaterC'' Baseline'!$C$9:$Y$257,22,FALSE))</f>
        <v/>
      </c>
      <c r="AY116" s="15" t="str">
        <f t="shared" si="17"/>
        <v/>
      </c>
      <c r="AZ116" s="15" t="str">
        <f>IF(B116="","",VLOOKUP($B116,'C-1 On-Site WaterC'' Baseline'!$C$9:$Y$257,21,FALSE))</f>
        <v/>
      </c>
      <c r="BA116" s="15" t="str">
        <f>IF(B116="","",VLOOKUP($B116,'C-1 On-Site WaterC'' Baseline'!$C$9:$Y$257,19,FALSE))</f>
        <v/>
      </c>
    </row>
    <row r="117" spans="2:53" ht="14" x14ac:dyDescent="0.3">
      <c r="B117" s="319" t="str">
        <f>'C-1 On-Site WaterC'' Baseline'!AP115</f>
        <v/>
      </c>
      <c r="C117" s="310" t="str">
        <f>IF(B117="","",VLOOKUP($B117,'C-1 On-Site WaterC'' Baseline'!$C$9:$R$257,2,FALSE))</f>
        <v/>
      </c>
      <c r="D117" s="310" t="str">
        <f>IF(C117="","",VLOOKUP($B117,'C-1 On-Site WaterC'' Baseline'!$C$9:$R$257,3,FALSE))</f>
        <v/>
      </c>
      <c r="E117" s="310" t="str">
        <f>IF(D117="","",VLOOKUP($B117,'C-1 On-Site WaterC'' Baseline'!$C$9:$R$257,4,FALSE))</f>
        <v/>
      </c>
      <c r="F117" s="310" t="str">
        <f>IF(E117="","",VLOOKUP($B117,'C-1 On-Site WaterC'' Baseline'!$C$9:$R$257,5,FALSE))</f>
        <v/>
      </c>
      <c r="G117" s="310" t="str">
        <f>IF(F117="","",VLOOKUP($B117,'C-1 On-Site WaterC'' Baseline'!$C$9:$R$257,6,FALSE))</f>
        <v/>
      </c>
      <c r="H117" s="310" t="str">
        <f>IF(G117="","",VLOOKUP($B117,'C-1 On-Site WaterC'' Baseline'!$C$9:$R$257,7,FALSE))</f>
        <v/>
      </c>
      <c r="I117" s="310" t="str">
        <f>IF(H117="","",VLOOKUP($B117,'C-1 On-Site WaterC'' Baseline'!$C$9:$R$257,8,FALSE))</f>
        <v/>
      </c>
      <c r="J117" s="310" t="str">
        <f>IF(I117="","",VLOOKUP($B117,'C-1 On-Site WaterC'' Baseline'!$C$9:$R$257,9,FALSE))</f>
        <v/>
      </c>
      <c r="K117" s="310" t="str">
        <f>IF(J117="","",VLOOKUP($B117,'C-1 On-Site WaterC'' Baseline'!$C$9:$R$257,10,FALSE))</f>
        <v/>
      </c>
      <c r="L117" s="310" t="str">
        <f>IF(B117="","",VLOOKUP($B117,'C-1 On-Site WaterC'' Baseline'!$C$9:$R$257,15,FALSE))</f>
        <v/>
      </c>
      <c r="M117" s="314" t="str">
        <f>IF(L117="","",VLOOKUP($B117,'C-1 On-Site WaterC'' Baseline'!$C$9:$R$257,16,FALSE))</f>
        <v/>
      </c>
      <c r="N117" s="259"/>
      <c r="O117" s="290" t="str">
        <f t="shared" si="10"/>
        <v/>
      </c>
      <c r="P117" s="291" t="str">
        <f t="shared" si="11"/>
        <v/>
      </c>
      <c r="Q117" s="346" t="str">
        <f>IF(N117="","",VLOOKUP(B117,'C-1 On-Site WaterC'' Baseline'!$C$10:$AC$257,20,FALSE))</f>
        <v/>
      </c>
      <c r="R117" s="290" t="str">
        <f>IF(N117="","",VLOOKUP(N117,'G-7 WaterC'' Data'!$B$2:$G$8,2,FALSE))</f>
        <v/>
      </c>
      <c r="S117" s="291" t="str">
        <f>IFERROR(VLOOKUP(R117,'G-7 WaterC'' Data'!$C$4:$D$8,2,FALSE),"")</f>
        <v/>
      </c>
      <c r="T117" s="95"/>
      <c r="U117" s="291" t="str">
        <f>IFERROR(INDEX('G-7 WaterC'' Data'!$H$4:$L$8,MATCH(N117,'G-7 WaterC'' Data'!$B$4:$B$8,0),MATCH(T117,'G-7 WaterC'' Data'!$H$3:$L$3,0)),"")</f>
        <v/>
      </c>
      <c r="V117" s="95"/>
      <c r="W117" s="298" t="str">
        <f>IF(V117="","",IF(VLOOKUP(V117,'G-7 WaterC'' Data'!$AK$4:$AM$6,2,FALSE)=0,"Spatial Data Missing ⚠",VLOOKUP(V117,'G-7 WaterC'' Data'!$AK$4:$AM$6,2,FALSE)))</f>
        <v/>
      </c>
      <c r="X117" s="291" t="str">
        <f>IF(V117="","",IF(VLOOKUP(V117,'G-7 WaterC'' Data'!$AK$4:$AM$6,3,FALSE)=0,"Spatial Data Missing ⚠",VLOOKUP(V117,'G-7 WaterC'' Data'!$AK$4:$AM$6,3,FALSE)))</f>
        <v/>
      </c>
      <c r="Y117" s="290" t="str">
        <f>IFERROR(IF(OR(LEFT(P117,5)="Error",LEFT(O117,5)="Error ▲"),"Check Data ⚠",IF(F117&lt;S117,'G-7 WaterC'' Data'!$R$3,INDEX('G-7 WaterC'' Data'!$U$5:$Y$9,MATCH(G117,'G-7 WaterC'' Data'!$T$5:$T$9,0),MATCH(T117,'G-7 WaterC'' Data'!$U$4:$Y$4,0)))),"")</f>
        <v/>
      </c>
      <c r="Z117" s="138"/>
      <c r="AA117" s="138"/>
      <c r="AB117" s="298" t="str">
        <f t="shared" si="12"/>
        <v/>
      </c>
      <c r="AC117" s="311" t="str">
        <f t="shared" si="13"/>
        <v/>
      </c>
      <c r="AD117" s="344" t="str">
        <f>IFERROR(IF(AC117="Check Data ⚠","Check Data ⚠",VLOOKUP(AC117,'G-4 Temporal multipliers'!$A$4:$C$37,3,FALSE)),"")</f>
        <v/>
      </c>
      <c r="AE117" s="290" t="str">
        <f>IF(N117="","",VLOOKUP(N117,'G-7 WaterC'' Data'!$B$4:$G$8,5,FALSE))</f>
        <v/>
      </c>
      <c r="AF117" s="298" t="str">
        <f t="shared" si="14"/>
        <v/>
      </c>
      <c r="AG117" s="328" t="str">
        <f t="shared" si="15"/>
        <v/>
      </c>
      <c r="AH117" s="291" t="str">
        <f t="shared" si="9"/>
        <v/>
      </c>
      <c r="AI117" s="103"/>
      <c r="AJ117" s="291" t="str">
        <f>IF(AI117="","",IF(AND(AI117="N/A - Culvert",N117&lt;&gt;"Culvert"),"Not possible ▲",IF(VLOOKUP(AI117,'G-7 WaterC'' Data'!$AA$4:$AB$7,2,FALSE)=0,"Spatial Data Missing ⚠",VLOOKUP(AI117,'G-7 WaterC'' Data'!$AA$4:$AB$7,2,FALSE))))</f>
        <v/>
      </c>
      <c r="AK117" s="104"/>
      <c r="AL117" s="291" t="str">
        <f>IF(AK117="","",IF(AND(AK117="N/A - Culvert",N117&lt;&gt;"Culvert"),"Not possible ▲",IF(VLOOKUP(AK117,'G-7 WaterC'' Data'!$AD$4:$AE$14,2,FALSE)=0,"Spatial Data Missing ⚠",VLOOKUP(AK117,'G-7 WaterC'' Data'!$AD$4:$AE$14,2,FALSE))))</f>
        <v/>
      </c>
      <c r="AM117" s="332" t="str">
        <f t="shared" si="16"/>
        <v/>
      </c>
      <c r="AN117" s="98"/>
      <c r="AO117" s="99"/>
      <c r="AP117" s="101"/>
      <c r="AS117" s="15" t="str">
        <f>IF(B117="","",IF(ISNA(VLOOKUP($B117,'C-1 On-Site WaterC'' Baseline'!$C$8:$AD$257,17,FALSE)),"",(VLOOKUP($B117,'C-1 On-Site WaterC'' Baseline'!$C$8:$AD$257,17,FALSE))))</f>
        <v/>
      </c>
      <c r="AT117" s="15" t="str">
        <f>IF(B117="","",VLOOKUP($B117,'C-1 On-Site WaterC'' Baseline'!$C$9:$Z$257,12,FALSE))</f>
        <v/>
      </c>
      <c r="AU117" s="15" t="str">
        <f>IF(B117="","",VLOOKUP($B117,'C-1 On-Site WaterC'' Baseline'!$C$9:$Z$257,14,FALSE))</f>
        <v/>
      </c>
      <c r="AV117" s="15" t="str">
        <f>IFERROR(INDEX('G-7 WaterC'' Data'!$AZ$3:$AZ$7,MATCH(N117,'G-7 WaterC'' Data'!$AY$3:$AY$7,0)),"")</f>
        <v/>
      </c>
      <c r="AX117" s="15" t="str">
        <f>IF(B117="","",VLOOKUP($B117,'C-1 On-Site WaterC'' Baseline'!$C$9:$Y$257,22,FALSE))</f>
        <v/>
      </c>
      <c r="AY117" s="15" t="str">
        <f t="shared" si="17"/>
        <v/>
      </c>
      <c r="AZ117" s="15" t="str">
        <f>IF(B117="","",VLOOKUP($B117,'C-1 On-Site WaterC'' Baseline'!$C$9:$Y$257,21,FALSE))</f>
        <v/>
      </c>
      <c r="BA117" s="15" t="str">
        <f>IF(B117="","",VLOOKUP($B117,'C-1 On-Site WaterC'' Baseline'!$C$9:$Y$257,19,FALSE))</f>
        <v/>
      </c>
    </row>
    <row r="118" spans="2:53" ht="14" x14ac:dyDescent="0.3">
      <c r="B118" s="319" t="str">
        <f>'C-1 On-Site WaterC'' Baseline'!AP116</f>
        <v/>
      </c>
      <c r="C118" s="310" t="str">
        <f>IF(B118="","",VLOOKUP($B118,'C-1 On-Site WaterC'' Baseline'!$C$9:$R$257,2,FALSE))</f>
        <v/>
      </c>
      <c r="D118" s="310" t="str">
        <f>IF(C118="","",VLOOKUP($B118,'C-1 On-Site WaterC'' Baseline'!$C$9:$R$257,3,FALSE))</f>
        <v/>
      </c>
      <c r="E118" s="310" t="str">
        <f>IF(D118="","",VLOOKUP($B118,'C-1 On-Site WaterC'' Baseline'!$C$9:$R$257,4,FALSE))</f>
        <v/>
      </c>
      <c r="F118" s="310" t="str">
        <f>IF(E118="","",VLOOKUP($B118,'C-1 On-Site WaterC'' Baseline'!$C$9:$R$257,5,FALSE))</f>
        <v/>
      </c>
      <c r="G118" s="310" t="str">
        <f>IF(F118="","",VLOOKUP($B118,'C-1 On-Site WaterC'' Baseline'!$C$9:$R$257,6,FALSE))</f>
        <v/>
      </c>
      <c r="H118" s="310" t="str">
        <f>IF(G118="","",VLOOKUP($B118,'C-1 On-Site WaterC'' Baseline'!$C$9:$R$257,7,FALSE))</f>
        <v/>
      </c>
      <c r="I118" s="310" t="str">
        <f>IF(H118="","",VLOOKUP($B118,'C-1 On-Site WaterC'' Baseline'!$C$9:$R$257,8,FALSE))</f>
        <v/>
      </c>
      <c r="J118" s="310" t="str">
        <f>IF(I118="","",VLOOKUP($B118,'C-1 On-Site WaterC'' Baseline'!$C$9:$R$257,9,FALSE))</f>
        <v/>
      </c>
      <c r="K118" s="310" t="str">
        <f>IF(J118="","",VLOOKUP($B118,'C-1 On-Site WaterC'' Baseline'!$C$9:$R$257,10,FALSE))</f>
        <v/>
      </c>
      <c r="L118" s="310" t="str">
        <f>IF(B118="","",VLOOKUP($B118,'C-1 On-Site WaterC'' Baseline'!$C$9:$R$257,15,FALSE))</f>
        <v/>
      </c>
      <c r="M118" s="314" t="str">
        <f>IF(L118="","",VLOOKUP($B118,'C-1 On-Site WaterC'' Baseline'!$C$9:$R$257,16,FALSE))</f>
        <v/>
      </c>
      <c r="N118" s="259"/>
      <c r="O118" s="290" t="str">
        <f t="shared" si="10"/>
        <v/>
      </c>
      <c r="P118" s="291" t="str">
        <f t="shared" si="11"/>
        <v/>
      </c>
      <c r="Q118" s="346" t="str">
        <f>IF(N118="","",VLOOKUP(B118,'C-1 On-Site WaterC'' Baseline'!$C$10:$AC$257,20,FALSE))</f>
        <v/>
      </c>
      <c r="R118" s="290" t="str">
        <f>IF(N118="","",VLOOKUP(N118,'G-7 WaterC'' Data'!$B$2:$G$8,2,FALSE))</f>
        <v/>
      </c>
      <c r="S118" s="291" t="str">
        <f>IFERROR(VLOOKUP(R118,'G-7 WaterC'' Data'!$C$4:$D$8,2,FALSE),"")</f>
        <v/>
      </c>
      <c r="T118" s="95"/>
      <c r="U118" s="291" t="str">
        <f>IFERROR(INDEX('G-7 WaterC'' Data'!$H$4:$L$8,MATCH(N118,'G-7 WaterC'' Data'!$B$4:$B$8,0),MATCH(T118,'G-7 WaterC'' Data'!$H$3:$L$3,0)),"")</f>
        <v/>
      </c>
      <c r="V118" s="95"/>
      <c r="W118" s="298" t="str">
        <f>IF(V118="","",IF(VLOOKUP(V118,'G-7 WaterC'' Data'!$AK$4:$AM$6,2,FALSE)=0,"Spatial Data Missing ⚠",VLOOKUP(V118,'G-7 WaterC'' Data'!$AK$4:$AM$6,2,FALSE)))</f>
        <v/>
      </c>
      <c r="X118" s="291" t="str">
        <f>IF(V118="","",IF(VLOOKUP(V118,'G-7 WaterC'' Data'!$AK$4:$AM$6,3,FALSE)=0,"Spatial Data Missing ⚠",VLOOKUP(V118,'G-7 WaterC'' Data'!$AK$4:$AM$6,3,FALSE)))</f>
        <v/>
      </c>
      <c r="Y118" s="290" t="str">
        <f>IFERROR(IF(OR(LEFT(P118,5)="Error",LEFT(O118,5)="Error ▲"),"Check Data ⚠",IF(F118&lt;S118,'G-7 WaterC'' Data'!$R$3,INDEX('G-7 WaterC'' Data'!$U$5:$Y$9,MATCH(G118,'G-7 WaterC'' Data'!$T$5:$T$9,0),MATCH(T118,'G-7 WaterC'' Data'!$U$4:$Y$4,0)))),"")</f>
        <v/>
      </c>
      <c r="Z118" s="138"/>
      <c r="AA118" s="138"/>
      <c r="AB118" s="298" t="str">
        <f t="shared" si="12"/>
        <v/>
      </c>
      <c r="AC118" s="311" t="str">
        <f t="shared" si="13"/>
        <v/>
      </c>
      <c r="AD118" s="344" t="str">
        <f>IFERROR(IF(AC118="Check Data ⚠","Check Data ⚠",VLOOKUP(AC118,'G-4 Temporal multipliers'!$A$4:$C$37,3,FALSE)),"")</f>
        <v/>
      </c>
      <c r="AE118" s="290" t="str">
        <f>IF(N118="","",VLOOKUP(N118,'G-7 WaterC'' Data'!$B$4:$G$8,5,FALSE))</f>
        <v/>
      </c>
      <c r="AF118" s="298" t="str">
        <f t="shared" si="14"/>
        <v/>
      </c>
      <c r="AG118" s="328" t="str">
        <f t="shared" si="15"/>
        <v/>
      </c>
      <c r="AH118" s="291" t="str">
        <f t="shared" si="9"/>
        <v/>
      </c>
      <c r="AI118" s="103"/>
      <c r="AJ118" s="291" t="str">
        <f>IF(AI118="","",IF(AND(AI118="N/A - Culvert",N118&lt;&gt;"Culvert"),"Not possible ▲",IF(VLOOKUP(AI118,'G-7 WaterC'' Data'!$AA$4:$AB$7,2,FALSE)=0,"Spatial Data Missing ⚠",VLOOKUP(AI118,'G-7 WaterC'' Data'!$AA$4:$AB$7,2,FALSE))))</f>
        <v/>
      </c>
      <c r="AK118" s="104"/>
      <c r="AL118" s="291" t="str">
        <f>IF(AK118="","",IF(AND(AK118="N/A - Culvert",N118&lt;&gt;"Culvert"),"Not possible ▲",IF(VLOOKUP(AK118,'G-7 WaterC'' Data'!$AD$4:$AE$14,2,FALSE)=0,"Spatial Data Missing ⚠",VLOOKUP(AK118,'G-7 WaterC'' Data'!$AD$4:$AE$14,2,FALSE))))</f>
        <v/>
      </c>
      <c r="AM118" s="332" t="str">
        <f t="shared" si="16"/>
        <v/>
      </c>
      <c r="AN118" s="98"/>
      <c r="AO118" s="99"/>
      <c r="AP118" s="101"/>
      <c r="AS118" s="15" t="str">
        <f>IF(B118="","",IF(ISNA(VLOOKUP($B118,'C-1 On-Site WaterC'' Baseline'!$C$8:$AD$257,17,FALSE)),"",(VLOOKUP($B118,'C-1 On-Site WaterC'' Baseline'!$C$8:$AD$257,17,FALSE))))</f>
        <v/>
      </c>
      <c r="AT118" s="15" t="str">
        <f>IF(B118="","",VLOOKUP($B118,'C-1 On-Site WaterC'' Baseline'!$C$9:$Z$257,12,FALSE))</f>
        <v/>
      </c>
      <c r="AU118" s="15" t="str">
        <f>IF(B118="","",VLOOKUP($B118,'C-1 On-Site WaterC'' Baseline'!$C$9:$Z$257,14,FALSE))</f>
        <v/>
      </c>
      <c r="AV118" s="15" t="str">
        <f>IFERROR(INDEX('G-7 WaterC'' Data'!$AZ$3:$AZ$7,MATCH(N118,'G-7 WaterC'' Data'!$AY$3:$AY$7,0)),"")</f>
        <v/>
      </c>
      <c r="AX118" s="15" t="str">
        <f>IF(B118="","",VLOOKUP($B118,'C-1 On-Site WaterC'' Baseline'!$C$9:$Y$257,22,FALSE))</f>
        <v/>
      </c>
      <c r="AY118" s="15" t="str">
        <f t="shared" si="17"/>
        <v/>
      </c>
      <c r="AZ118" s="15" t="str">
        <f>IF(B118="","",VLOOKUP($B118,'C-1 On-Site WaterC'' Baseline'!$C$9:$Y$257,21,FALSE))</f>
        <v/>
      </c>
      <c r="BA118" s="15" t="str">
        <f>IF(B118="","",VLOOKUP($B118,'C-1 On-Site WaterC'' Baseline'!$C$9:$Y$257,19,FALSE))</f>
        <v/>
      </c>
    </row>
    <row r="119" spans="2:53" ht="14" x14ac:dyDescent="0.3">
      <c r="B119" s="319" t="str">
        <f>'C-1 On-Site WaterC'' Baseline'!AP117</f>
        <v/>
      </c>
      <c r="C119" s="310" t="str">
        <f>IF(B119="","",VLOOKUP($B119,'C-1 On-Site WaterC'' Baseline'!$C$9:$R$257,2,FALSE))</f>
        <v/>
      </c>
      <c r="D119" s="310" t="str">
        <f>IF(C119="","",VLOOKUP($B119,'C-1 On-Site WaterC'' Baseline'!$C$9:$R$257,3,FALSE))</f>
        <v/>
      </c>
      <c r="E119" s="310" t="str">
        <f>IF(D119="","",VLOOKUP($B119,'C-1 On-Site WaterC'' Baseline'!$C$9:$R$257,4,FALSE))</f>
        <v/>
      </c>
      <c r="F119" s="310" t="str">
        <f>IF(E119="","",VLOOKUP($B119,'C-1 On-Site WaterC'' Baseline'!$C$9:$R$257,5,FALSE))</f>
        <v/>
      </c>
      <c r="G119" s="310" t="str">
        <f>IF(F119="","",VLOOKUP($B119,'C-1 On-Site WaterC'' Baseline'!$C$9:$R$257,6,FALSE))</f>
        <v/>
      </c>
      <c r="H119" s="310" t="str">
        <f>IF(G119="","",VLOOKUP($B119,'C-1 On-Site WaterC'' Baseline'!$C$9:$R$257,7,FALSE))</f>
        <v/>
      </c>
      <c r="I119" s="310" t="str">
        <f>IF(H119="","",VLOOKUP($B119,'C-1 On-Site WaterC'' Baseline'!$C$9:$R$257,8,FALSE))</f>
        <v/>
      </c>
      <c r="J119" s="310" t="str">
        <f>IF(I119="","",VLOOKUP($B119,'C-1 On-Site WaterC'' Baseline'!$C$9:$R$257,9,FALSE))</f>
        <v/>
      </c>
      <c r="K119" s="310" t="str">
        <f>IF(J119="","",VLOOKUP($B119,'C-1 On-Site WaterC'' Baseline'!$C$9:$R$257,10,FALSE))</f>
        <v/>
      </c>
      <c r="L119" s="310" t="str">
        <f>IF(B119="","",VLOOKUP($B119,'C-1 On-Site WaterC'' Baseline'!$C$9:$R$257,15,FALSE))</f>
        <v/>
      </c>
      <c r="M119" s="314" t="str">
        <f>IF(L119="","",VLOOKUP($B119,'C-1 On-Site WaterC'' Baseline'!$C$9:$R$257,16,FALSE))</f>
        <v/>
      </c>
      <c r="N119" s="259"/>
      <c r="O119" s="290" t="str">
        <f t="shared" si="10"/>
        <v/>
      </c>
      <c r="P119" s="291" t="str">
        <f t="shared" si="11"/>
        <v/>
      </c>
      <c r="Q119" s="346" t="str">
        <f>IF(N119="","",VLOOKUP(B119,'C-1 On-Site WaterC'' Baseline'!$C$10:$AC$257,20,FALSE))</f>
        <v/>
      </c>
      <c r="R119" s="290" t="str">
        <f>IF(N119="","",VLOOKUP(N119,'G-7 WaterC'' Data'!$B$2:$G$8,2,FALSE))</f>
        <v/>
      </c>
      <c r="S119" s="291" t="str">
        <f>IFERROR(VLOOKUP(R119,'G-7 WaterC'' Data'!$C$4:$D$8,2,FALSE),"")</f>
        <v/>
      </c>
      <c r="T119" s="95"/>
      <c r="U119" s="291" t="str">
        <f>IFERROR(INDEX('G-7 WaterC'' Data'!$H$4:$L$8,MATCH(N119,'G-7 WaterC'' Data'!$B$4:$B$8,0),MATCH(T119,'G-7 WaterC'' Data'!$H$3:$L$3,0)),"")</f>
        <v/>
      </c>
      <c r="V119" s="95"/>
      <c r="W119" s="298" t="str">
        <f>IF(V119="","",IF(VLOOKUP(V119,'G-7 WaterC'' Data'!$AK$4:$AM$6,2,FALSE)=0,"Spatial Data Missing ⚠",VLOOKUP(V119,'G-7 WaterC'' Data'!$AK$4:$AM$6,2,FALSE)))</f>
        <v/>
      </c>
      <c r="X119" s="291" t="str">
        <f>IF(V119="","",IF(VLOOKUP(V119,'G-7 WaterC'' Data'!$AK$4:$AM$6,3,FALSE)=0,"Spatial Data Missing ⚠",VLOOKUP(V119,'G-7 WaterC'' Data'!$AK$4:$AM$6,3,FALSE)))</f>
        <v/>
      </c>
      <c r="Y119" s="290" t="str">
        <f>IFERROR(IF(OR(LEFT(P119,5)="Error",LEFT(O119,5)="Error ▲"),"Check Data ⚠",IF(F119&lt;S119,'G-7 WaterC'' Data'!$R$3,INDEX('G-7 WaterC'' Data'!$U$5:$Y$9,MATCH(G119,'G-7 WaterC'' Data'!$T$5:$T$9,0),MATCH(T119,'G-7 WaterC'' Data'!$U$4:$Y$4,0)))),"")</f>
        <v/>
      </c>
      <c r="Z119" s="138"/>
      <c r="AA119" s="138"/>
      <c r="AB119" s="298" t="str">
        <f t="shared" si="12"/>
        <v/>
      </c>
      <c r="AC119" s="311" t="str">
        <f t="shared" si="13"/>
        <v/>
      </c>
      <c r="AD119" s="344" t="str">
        <f>IFERROR(IF(AC119="Check Data ⚠","Check Data ⚠",VLOOKUP(AC119,'G-4 Temporal multipliers'!$A$4:$C$37,3,FALSE)),"")</f>
        <v/>
      </c>
      <c r="AE119" s="290" t="str">
        <f>IF(N119="","",VLOOKUP(N119,'G-7 WaterC'' Data'!$B$4:$G$8,5,FALSE))</f>
        <v/>
      </c>
      <c r="AF119" s="298" t="str">
        <f t="shared" si="14"/>
        <v/>
      </c>
      <c r="AG119" s="328" t="str">
        <f t="shared" si="15"/>
        <v/>
      </c>
      <c r="AH119" s="291" t="str">
        <f t="shared" si="9"/>
        <v/>
      </c>
      <c r="AI119" s="103"/>
      <c r="AJ119" s="291" t="str">
        <f>IF(AI119="","",IF(AND(AI119="N/A - Culvert",N119&lt;&gt;"Culvert"),"Not possible ▲",IF(VLOOKUP(AI119,'G-7 WaterC'' Data'!$AA$4:$AB$7,2,FALSE)=0,"Spatial Data Missing ⚠",VLOOKUP(AI119,'G-7 WaterC'' Data'!$AA$4:$AB$7,2,FALSE))))</f>
        <v/>
      </c>
      <c r="AK119" s="104"/>
      <c r="AL119" s="291" t="str">
        <f>IF(AK119="","",IF(AND(AK119="N/A - Culvert",N119&lt;&gt;"Culvert"),"Not possible ▲",IF(VLOOKUP(AK119,'G-7 WaterC'' Data'!$AD$4:$AE$14,2,FALSE)=0,"Spatial Data Missing ⚠",VLOOKUP(AK119,'G-7 WaterC'' Data'!$AD$4:$AE$14,2,FALSE))))</f>
        <v/>
      </c>
      <c r="AM119" s="332" t="str">
        <f t="shared" si="16"/>
        <v/>
      </c>
      <c r="AN119" s="98"/>
      <c r="AO119" s="99"/>
      <c r="AP119" s="101"/>
      <c r="AS119" s="15" t="str">
        <f>IF(B119="","",IF(ISNA(VLOOKUP($B119,'C-1 On-Site WaterC'' Baseline'!$C$8:$AD$257,17,FALSE)),"",(VLOOKUP($B119,'C-1 On-Site WaterC'' Baseline'!$C$8:$AD$257,17,FALSE))))</f>
        <v/>
      </c>
      <c r="AT119" s="15" t="str">
        <f>IF(B119="","",VLOOKUP($B119,'C-1 On-Site WaterC'' Baseline'!$C$9:$Z$257,12,FALSE))</f>
        <v/>
      </c>
      <c r="AU119" s="15" t="str">
        <f>IF(B119="","",VLOOKUP($B119,'C-1 On-Site WaterC'' Baseline'!$C$9:$Z$257,14,FALSE))</f>
        <v/>
      </c>
      <c r="AV119" s="15" t="str">
        <f>IFERROR(INDEX('G-7 WaterC'' Data'!$AZ$3:$AZ$7,MATCH(N119,'G-7 WaterC'' Data'!$AY$3:$AY$7,0)),"")</f>
        <v/>
      </c>
      <c r="AX119" s="15" t="str">
        <f>IF(B119="","",VLOOKUP($B119,'C-1 On-Site WaterC'' Baseline'!$C$9:$Y$257,22,FALSE))</f>
        <v/>
      </c>
      <c r="AY119" s="15" t="str">
        <f t="shared" si="17"/>
        <v/>
      </c>
      <c r="AZ119" s="15" t="str">
        <f>IF(B119="","",VLOOKUP($B119,'C-1 On-Site WaterC'' Baseline'!$C$9:$Y$257,21,FALSE))</f>
        <v/>
      </c>
      <c r="BA119" s="15" t="str">
        <f>IF(B119="","",VLOOKUP($B119,'C-1 On-Site WaterC'' Baseline'!$C$9:$Y$257,19,FALSE))</f>
        <v/>
      </c>
    </row>
    <row r="120" spans="2:53" ht="14" x14ac:dyDescent="0.3">
      <c r="B120" s="319" t="str">
        <f>'C-1 On-Site WaterC'' Baseline'!AP118</f>
        <v/>
      </c>
      <c r="C120" s="310" t="str">
        <f>IF(B120="","",VLOOKUP($B120,'C-1 On-Site WaterC'' Baseline'!$C$9:$R$257,2,FALSE))</f>
        <v/>
      </c>
      <c r="D120" s="310" t="str">
        <f>IF(C120="","",VLOOKUP($B120,'C-1 On-Site WaterC'' Baseline'!$C$9:$R$257,3,FALSE))</f>
        <v/>
      </c>
      <c r="E120" s="310" t="str">
        <f>IF(D120="","",VLOOKUP($B120,'C-1 On-Site WaterC'' Baseline'!$C$9:$R$257,4,FALSE))</f>
        <v/>
      </c>
      <c r="F120" s="310" t="str">
        <f>IF(E120="","",VLOOKUP($B120,'C-1 On-Site WaterC'' Baseline'!$C$9:$R$257,5,FALSE))</f>
        <v/>
      </c>
      <c r="G120" s="310" t="str">
        <f>IF(F120="","",VLOOKUP($B120,'C-1 On-Site WaterC'' Baseline'!$C$9:$R$257,6,FALSE))</f>
        <v/>
      </c>
      <c r="H120" s="310" t="str">
        <f>IF(G120="","",VLOOKUP($B120,'C-1 On-Site WaterC'' Baseline'!$C$9:$R$257,7,FALSE))</f>
        <v/>
      </c>
      <c r="I120" s="310" t="str">
        <f>IF(H120="","",VLOOKUP($B120,'C-1 On-Site WaterC'' Baseline'!$C$9:$R$257,8,FALSE))</f>
        <v/>
      </c>
      <c r="J120" s="310" t="str">
        <f>IF(I120="","",VLOOKUP($B120,'C-1 On-Site WaterC'' Baseline'!$C$9:$R$257,9,FALSE))</f>
        <v/>
      </c>
      <c r="K120" s="310" t="str">
        <f>IF(J120="","",VLOOKUP($B120,'C-1 On-Site WaterC'' Baseline'!$C$9:$R$257,10,FALSE))</f>
        <v/>
      </c>
      <c r="L120" s="310" t="str">
        <f>IF(B120="","",VLOOKUP($B120,'C-1 On-Site WaterC'' Baseline'!$C$9:$R$257,15,FALSE))</f>
        <v/>
      </c>
      <c r="M120" s="314" t="str">
        <f>IF(L120="","",VLOOKUP($B120,'C-1 On-Site WaterC'' Baseline'!$C$9:$R$257,16,FALSE))</f>
        <v/>
      </c>
      <c r="N120" s="259"/>
      <c r="O120" s="290" t="str">
        <f t="shared" si="10"/>
        <v/>
      </c>
      <c r="P120" s="291" t="str">
        <f t="shared" si="11"/>
        <v/>
      </c>
      <c r="Q120" s="346" t="str">
        <f>IF(N120="","",VLOOKUP(B120,'C-1 On-Site WaterC'' Baseline'!$C$10:$AC$257,20,FALSE))</f>
        <v/>
      </c>
      <c r="R120" s="290" t="str">
        <f>IF(N120="","",VLOOKUP(N120,'G-7 WaterC'' Data'!$B$2:$G$8,2,FALSE))</f>
        <v/>
      </c>
      <c r="S120" s="291" t="str">
        <f>IFERROR(VLOOKUP(R120,'G-7 WaterC'' Data'!$C$4:$D$8,2,FALSE),"")</f>
        <v/>
      </c>
      <c r="T120" s="95"/>
      <c r="U120" s="291" t="str">
        <f>IFERROR(INDEX('G-7 WaterC'' Data'!$H$4:$L$8,MATCH(N120,'G-7 WaterC'' Data'!$B$4:$B$8,0),MATCH(T120,'G-7 WaterC'' Data'!$H$3:$L$3,0)),"")</f>
        <v/>
      </c>
      <c r="V120" s="95"/>
      <c r="W120" s="298" t="str">
        <f>IF(V120="","",IF(VLOOKUP(V120,'G-7 WaterC'' Data'!$AK$4:$AM$6,2,FALSE)=0,"Spatial Data Missing ⚠",VLOOKUP(V120,'G-7 WaterC'' Data'!$AK$4:$AM$6,2,FALSE)))</f>
        <v/>
      </c>
      <c r="X120" s="291" t="str">
        <f>IF(V120="","",IF(VLOOKUP(V120,'G-7 WaterC'' Data'!$AK$4:$AM$6,3,FALSE)=0,"Spatial Data Missing ⚠",VLOOKUP(V120,'G-7 WaterC'' Data'!$AK$4:$AM$6,3,FALSE)))</f>
        <v/>
      </c>
      <c r="Y120" s="290" t="str">
        <f>IFERROR(IF(OR(LEFT(P120,5)="Error",LEFT(O120,5)="Error ▲"),"Check Data ⚠",IF(F120&lt;S120,'G-7 WaterC'' Data'!$R$3,INDEX('G-7 WaterC'' Data'!$U$5:$Y$9,MATCH(G120,'G-7 WaterC'' Data'!$T$5:$T$9,0),MATCH(T120,'G-7 WaterC'' Data'!$U$4:$Y$4,0)))),"")</f>
        <v/>
      </c>
      <c r="Z120" s="138"/>
      <c r="AA120" s="138"/>
      <c r="AB120" s="298" t="str">
        <f t="shared" si="12"/>
        <v/>
      </c>
      <c r="AC120" s="311" t="str">
        <f t="shared" si="13"/>
        <v/>
      </c>
      <c r="AD120" s="344" t="str">
        <f>IFERROR(IF(AC120="Check Data ⚠","Check Data ⚠",VLOOKUP(AC120,'G-4 Temporal multipliers'!$A$4:$C$37,3,FALSE)),"")</f>
        <v/>
      </c>
      <c r="AE120" s="290" t="str">
        <f>IF(N120="","",VLOOKUP(N120,'G-7 WaterC'' Data'!$B$4:$G$8,5,FALSE))</f>
        <v/>
      </c>
      <c r="AF120" s="298" t="str">
        <f t="shared" si="14"/>
        <v/>
      </c>
      <c r="AG120" s="328" t="str">
        <f t="shared" si="15"/>
        <v/>
      </c>
      <c r="AH120" s="291" t="str">
        <f t="shared" si="9"/>
        <v/>
      </c>
      <c r="AI120" s="103"/>
      <c r="AJ120" s="291" t="str">
        <f>IF(AI120="","",IF(AND(AI120="N/A - Culvert",N120&lt;&gt;"Culvert"),"Not possible ▲",IF(VLOOKUP(AI120,'G-7 WaterC'' Data'!$AA$4:$AB$7,2,FALSE)=0,"Spatial Data Missing ⚠",VLOOKUP(AI120,'G-7 WaterC'' Data'!$AA$4:$AB$7,2,FALSE))))</f>
        <v/>
      </c>
      <c r="AK120" s="104"/>
      <c r="AL120" s="291" t="str">
        <f>IF(AK120="","",IF(AND(AK120="N/A - Culvert",N120&lt;&gt;"Culvert"),"Not possible ▲",IF(VLOOKUP(AK120,'G-7 WaterC'' Data'!$AD$4:$AE$14,2,FALSE)=0,"Spatial Data Missing ⚠",VLOOKUP(AK120,'G-7 WaterC'' Data'!$AD$4:$AE$14,2,FALSE))))</f>
        <v/>
      </c>
      <c r="AM120" s="332" t="str">
        <f t="shared" si="16"/>
        <v/>
      </c>
      <c r="AN120" s="98"/>
      <c r="AO120" s="99"/>
      <c r="AP120" s="101"/>
      <c r="AS120" s="15" t="str">
        <f>IF(B120="","",IF(ISNA(VLOOKUP($B120,'C-1 On-Site WaterC'' Baseline'!$C$8:$AD$257,17,FALSE)),"",(VLOOKUP($B120,'C-1 On-Site WaterC'' Baseline'!$C$8:$AD$257,17,FALSE))))</f>
        <v/>
      </c>
      <c r="AT120" s="15" t="str">
        <f>IF(B120="","",VLOOKUP($B120,'C-1 On-Site WaterC'' Baseline'!$C$9:$Z$257,12,FALSE))</f>
        <v/>
      </c>
      <c r="AU120" s="15" t="str">
        <f>IF(B120="","",VLOOKUP($B120,'C-1 On-Site WaterC'' Baseline'!$C$9:$Z$257,14,FALSE))</f>
        <v/>
      </c>
      <c r="AV120" s="15" t="str">
        <f>IFERROR(INDEX('G-7 WaterC'' Data'!$AZ$3:$AZ$7,MATCH(N120,'G-7 WaterC'' Data'!$AY$3:$AY$7,0)),"")</f>
        <v/>
      </c>
      <c r="AX120" s="15" t="str">
        <f>IF(B120="","",VLOOKUP($B120,'C-1 On-Site WaterC'' Baseline'!$C$9:$Y$257,22,FALSE))</f>
        <v/>
      </c>
      <c r="AY120" s="15" t="str">
        <f t="shared" si="17"/>
        <v/>
      </c>
      <c r="AZ120" s="15" t="str">
        <f>IF(B120="","",VLOOKUP($B120,'C-1 On-Site WaterC'' Baseline'!$C$9:$Y$257,21,FALSE))</f>
        <v/>
      </c>
      <c r="BA120" s="15" t="str">
        <f>IF(B120="","",VLOOKUP($B120,'C-1 On-Site WaterC'' Baseline'!$C$9:$Y$257,19,FALSE))</f>
        <v/>
      </c>
    </row>
    <row r="121" spans="2:53" ht="14" x14ac:dyDescent="0.3">
      <c r="B121" s="319" t="str">
        <f>'C-1 On-Site WaterC'' Baseline'!AP119</f>
        <v/>
      </c>
      <c r="C121" s="310" t="str">
        <f>IF(B121="","",VLOOKUP($B121,'C-1 On-Site WaterC'' Baseline'!$C$9:$R$257,2,FALSE))</f>
        <v/>
      </c>
      <c r="D121" s="310" t="str">
        <f>IF(C121="","",VLOOKUP($B121,'C-1 On-Site WaterC'' Baseline'!$C$9:$R$257,3,FALSE))</f>
        <v/>
      </c>
      <c r="E121" s="310" t="str">
        <f>IF(D121="","",VLOOKUP($B121,'C-1 On-Site WaterC'' Baseline'!$C$9:$R$257,4,FALSE))</f>
        <v/>
      </c>
      <c r="F121" s="310" t="str">
        <f>IF(E121="","",VLOOKUP($B121,'C-1 On-Site WaterC'' Baseline'!$C$9:$R$257,5,FALSE))</f>
        <v/>
      </c>
      <c r="G121" s="310" t="str">
        <f>IF(F121="","",VLOOKUP($B121,'C-1 On-Site WaterC'' Baseline'!$C$9:$R$257,6,FALSE))</f>
        <v/>
      </c>
      <c r="H121" s="310" t="str">
        <f>IF(G121="","",VLOOKUP($B121,'C-1 On-Site WaterC'' Baseline'!$C$9:$R$257,7,FALSE))</f>
        <v/>
      </c>
      <c r="I121" s="310" t="str">
        <f>IF(H121="","",VLOOKUP($B121,'C-1 On-Site WaterC'' Baseline'!$C$9:$R$257,8,FALSE))</f>
        <v/>
      </c>
      <c r="J121" s="310" t="str">
        <f>IF(I121="","",VLOOKUP($B121,'C-1 On-Site WaterC'' Baseline'!$C$9:$R$257,9,FALSE))</f>
        <v/>
      </c>
      <c r="K121" s="310" t="str">
        <f>IF(J121="","",VLOOKUP($B121,'C-1 On-Site WaterC'' Baseline'!$C$9:$R$257,10,FALSE))</f>
        <v/>
      </c>
      <c r="L121" s="310" t="str">
        <f>IF(B121="","",VLOOKUP($B121,'C-1 On-Site WaterC'' Baseline'!$C$9:$R$257,15,FALSE))</f>
        <v/>
      </c>
      <c r="M121" s="314" t="str">
        <f>IF(L121="","",VLOOKUP($B121,'C-1 On-Site WaterC'' Baseline'!$C$9:$R$257,16,FALSE))</f>
        <v/>
      </c>
      <c r="N121" s="259"/>
      <c r="O121" s="290" t="str">
        <f t="shared" si="10"/>
        <v/>
      </c>
      <c r="P121" s="291" t="str">
        <f t="shared" si="11"/>
        <v/>
      </c>
      <c r="Q121" s="346" t="str">
        <f>IF(N121="","",VLOOKUP(B121,'C-1 On-Site WaterC'' Baseline'!$C$10:$AC$257,20,FALSE))</f>
        <v/>
      </c>
      <c r="R121" s="290" t="str">
        <f>IF(N121="","",VLOOKUP(N121,'G-7 WaterC'' Data'!$B$2:$G$8,2,FALSE))</f>
        <v/>
      </c>
      <c r="S121" s="291" t="str">
        <f>IFERROR(VLOOKUP(R121,'G-7 WaterC'' Data'!$C$4:$D$8,2,FALSE),"")</f>
        <v/>
      </c>
      <c r="T121" s="95"/>
      <c r="U121" s="291" t="str">
        <f>IFERROR(INDEX('G-7 WaterC'' Data'!$H$4:$L$8,MATCH(N121,'G-7 WaterC'' Data'!$B$4:$B$8,0),MATCH(T121,'G-7 WaterC'' Data'!$H$3:$L$3,0)),"")</f>
        <v/>
      </c>
      <c r="V121" s="95"/>
      <c r="W121" s="298" t="str">
        <f>IF(V121="","",IF(VLOOKUP(V121,'G-7 WaterC'' Data'!$AK$4:$AM$6,2,FALSE)=0,"Spatial Data Missing ⚠",VLOOKUP(V121,'G-7 WaterC'' Data'!$AK$4:$AM$6,2,FALSE)))</f>
        <v/>
      </c>
      <c r="X121" s="291" t="str">
        <f>IF(V121="","",IF(VLOOKUP(V121,'G-7 WaterC'' Data'!$AK$4:$AM$6,3,FALSE)=0,"Spatial Data Missing ⚠",VLOOKUP(V121,'G-7 WaterC'' Data'!$AK$4:$AM$6,3,FALSE)))</f>
        <v/>
      </c>
      <c r="Y121" s="290" t="str">
        <f>IFERROR(IF(OR(LEFT(P121,5)="Error",LEFT(O121,5)="Error ▲"),"Check Data ⚠",IF(F121&lt;S121,'G-7 WaterC'' Data'!$R$3,INDEX('G-7 WaterC'' Data'!$U$5:$Y$9,MATCH(G121,'G-7 WaterC'' Data'!$T$5:$T$9,0),MATCH(T121,'G-7 WaterC'' Data'!$U$4:$Y$4,0)))),"")</f>
        <v/>
      </c>
      <c r="Z121" s="138"/>
      <c r="AA121" s="138"/>
      <c r="AB121" s="298" t="str">
        <f t="shared" si="12"/>
        <v/>
      </c>
      <c r="AC121" s="311" t="str">
        <f t="shared" si="13"/>
        <v/>
      </c>
      <c r="AD121" s="344" t="str">
        <f>IFERROR(IF(AC121="Check Data ⚠","Check Data ⚠",VLOOKUP(AC121,'G-4 Temporal multipliers'!$A$4:$C$37,3,FALSE)),"")</f>
        <v/>
      </c>
      <c r="AE121" s="290" t="str">
        <f>IF(N121="","",VLOOKUP(N121,'G-7 WaterC'' Data'!$B$4:$G$8,5,FALSE))</f>
        <v/>
      </c>
      <c r="AF121" s="298" t="str">
        <f t="shared" si="14"/>
        <v/>
      </c>
      <c r="AG121" s="328" t="str">
        <f t="shared" si="15"/>
        <v/>
      </c>
      <c r="AH121" s="291" t="str">
        <f t="shared" si="9"/>
        <v/>
      </c>
      <c r="AI121" s="103"/>
      <c r="AJ121" s="291" t="str">
        <f>IF(AI121="","",IF(AND(AI121="N/A - Culvert",N121&lt;&gt;"Culvert"),"Not possible ▲",IF(VLOOKUP(AI121,'G-7 WaterC'' Data'!$AA$4:$AB$7,2,FALSE)=0,"Spatial Data Missing ⚠",VLOOKUP(AI121,'G-7 WaterC'' Data'!$AA$4:$AB$7,2,FALSE))))</f>
        <v/>
      </c>
      <c r="AK121" s="104"/>
      <c r="AL121" s="291" t="str">
        <f>IF(AK121="","",IF(AND(AK121="N/A - Culvert",N121&lt;&gt;"Culvert"),"Not possible ▲",IF(VLOOKUP(AK121,'G-7 WaterC'' Data'!$AD$4:$AE$14,2,FALSE)=0,"Spatial Data Missing ⚠",VLOOKUP(AK121,'G-7 WaterC'' Data'!$AD$4:$AE$14,2,FALSE))))</f>
        <v/>
      </c>
      <c r="AM121" s="332" t="str">
        <f t="shared" si="16"/>
        <v/>
      </c>
      <c r="AN121" s="98"/>
      <c r="AO121" s="99"/>
      <c r="AP121" s="101"/>
      <c r="AS121" s="15" t="str">
        <f>IF(B121="","",IF(ISNA(VLOOKUP($B121,'C-1 On-Site WaterC'' Baseline'!$C$8:$AD$257,17,FALSE)),"",(VLOOKUP($B121,'C-1 On-Site WaterC'' Baseline'!$C$8:$AD$257,17,FALSE))))</f>
        <v/>
      </c>
      <c r="AT121" s="15" t="str">
        <f>IF(B121="","",VLOOKUP($B121,'C-1 On-Site WaterC'' Baseline'!$C$9:$Z$257,12,FALSE))</f>
        <v/>
      </c>
      <c r="AU121" s="15" t="str">
        <f>IF(B121="","",VLOOKUP($B121,'C-1 On-Site WaterC'' Baseline'!$C$9:$Z$257,14,FALSE))</f>
        <v/>
      </c>
      <c r="AV121" s="15" t="str">
        <f>IFERROR(INDEX('G-7 WaterC'' Data'!$AZ$3:$AZ$7,MATCH(N121,'G-7 WaterC'' Data'!$AY$3:$AY$7,0)),"")</f>
        <v/>
      </c>
      <c r="AX121" s="15" t="str">
        <f>IF(B121="","",VLOOKUP($B121,'C-1 On-Site WaterC'' Baseline'!$C$9:$Y$257,22,FALSE))</f>
        <v/>
      </c>
      <c r="AY121" s="15" t="str">
        <f t="shared" si="17"/>
        <v/>
      </c>
      <c r="AZ121" s="15" t="str">
        <f>IF(B121="","",VLOOKUP($B121,'C-1 On-Site WaterC'' Baseline'!$C$9:$Y$257,21,FALSE))</f>
        <v/>
      </c>
      <c r="BA121" s="15" t="str">
        <f>IF(B121="","",VLOOKUP($B121,'C-1 On-Site WaterC'' Baseline'!$C$9:$Y$257,19,FALSE))</f>
        <v/>
      </c>
    </row>
    <row r="122" spans="2:53" ht="14" x14ac:dyDescent="0.3">
      <c r="B122" s="319" t="str">
        <f>'C-1 On-Site WaterC'' Baseline'!AP120</f>
        <v/>
      </c>
      <c r="C122" s="310" t="str">
        <f>IF(B122="","",VLOOKUP($B122,'C-1 On-Site WaterC'' Baseline'!$C$9:$R$257,2,FALSE))</f>
        <v/>
      </c>
      <c r="D122" s="310" t="str">
        <f>IF(C122="","",VLOOKUP($B122,'C-1 On-Site WaterC'' Baseline'!$C$9:$R$257,3,FALSE))</f>
        <v/>
      </c>
      <c r="E122" s="310" t="str">
        <f>IF(D122="","",VLOOKUP($B122,'C-1 On-Site WaterC'' Baseline'!$C$9:$R$257,4,FALSE))</f>
        <v/>
      </c>
      <c r="F122" s="310" t="str">
        <f>IF(E122="","",VLOOKUP($B122,'C-1 On-Site WaterC'' Baseline'!$C$9:$R$257,5,FALSE))</f>
        <v/>
      </c>
      <c r="G122" s="310" t="str">
        <f>IF(F122="","",VLOOKUP($B122,'C-1 On-Site WaterC'' Baseline'!$C$9:$R$257,6,FALSE))</f>
        <v/>
      </c>
      <c r="H122" s="310" t="str">
        <f>IF(G122="","",VLOOKUP($B122,'C-1 On-Site WaterC'' Baseline'!$C$9:$R$257,7,FALSE))</f>
        <v/>
      </c>
      <c r="I122" s="310" t="str">
        <f>IF(H122="","",VLOOKUP($B122,'C-1 On-Site WaterC'' Baseline'!$C$9:$R$257,8,FALSE))</f>
        <v/>
      </c>
      <c r="J122" s="310" t="str">
        <f>IF(I122="","",VLOOKUP($B122,'C-1 On-Site WaterC'' Baseline'!$C$9:$R$257,9,FALSE))</f>
        <v/>
      </c>
      <c r="K122" s="310" t="str">
        <f>IF(J122="","",VLOOKUP($B122,'C-1 On-Site WaterC'' Baseline'!$C$9:$R$257,10,FALSE))</f>
        <v/>
      </c>
      <c r="L122" s="310" t="str">
        <f>IF(B122="","",VLOOKUP($B122,'C-1 On-Site WaterC'' Baseline'!$C$9:$R$257,15,FALSE))</f>
        <v/>
      </c>
      <c r="M122" s="314" t="str">
        <f>IF(L122="","",VLOOKUP($B122,'C-1 On-Site WaterC'' Baseline'!$C$9:$R$257,16,FALSE))</f>
        <v/>
      </c>
      <c r="N122" s="259"/>
      <c r="O122" s="290" t="str">
        <f t="shared" si="10"/>
        <v/>
      </c>
      <c r="P122" s="291" t="str">
        <f t="shared" si="11"/>
        <v/>
      </c>
      <c r="Q122" s="346" t="str">
        <f>IF(N122="","",VLOOKUP(B122,'C-1 On-Site WaterC'' Baseline'!$C$10:$AC$257,20,FALSE))</f>
        <v/>
      </c>
      <c r="R122" s="290" t="str">
        <f>IF(N122="","",VLOOKUP(N122,'G-7 WaterC'' Data'!$B$2:$G$8,2,FALSE))</f>
        <v/>
      </c>
      <c r="S122" s="291" t="str">
        <f>IFERROR(VLOOKUP(R122,'G-7 WaterC'' Data'!$C$4:$D$8,2,FALSE),"")</f>
        <v/>
      </c>
      <c r="T122" s="95"/>
      <c r="U122" s="291" t="str">
        <f>IFERROR(INDEX('G-7 WaterC'' Data'!$H$4:$L$8,MATCH(N122,'G-7 WaterC'' Data'!$B$4:$B$8,0),MATCH(T122,'G-7 WaterC'' Data'!$H$3:$L$3,0)),"")</f>
        <v/>
      </c>
      <c r="V122" s="95"/>
      <c r="W122" s="298" t="str">
        <f>IF(V122="","",IF(VLOOKUP(V122,'G-7 WaterC'' Data'!$AK$4:$AM$6,2,FALSE)=0,"Spatial Data Missing ⚠",VLOOKUP(V122,'G-7 WaterC'' Data'!$AK$4:$AM$6,2,FALSE)))</f>
        <v/>
      </c>
      <c r="X122" s="291" t="str">
        <f>IF(V122="","",IF(VLOOKUP(V122,'G-7 WaterC'' Data'!$AK$4:$AM$6,3,FALSE)=0,"Spatial Data Missing ⚠",VLOOKUP(V122,'G-7 WaterC'' Data'!$AK$4:$AM$6,3,FALSE)))</f>
        <v/>
      </c>
      <c r="Y122" s="290" t="str">
        <f>IFERROR(IF(OR(LEFT(P122,5)="Error",LEFT(O122,5)="Error ▲"),"Check Data ⚠",IF(F122&lt;S122,'G-7 WaterC'' Data'!$R$3,INDEX('G-7 WaterC'' Data'!$U$5:$Y$9,MATCH(G122,'G-7 WaterC'' Data'!$T$5:$T$9,0),MATCH(T122,'G-7 WaterC'' Data'!$U$4:$Y$4,0)))),"")</f>
        <v/>
      </c>
      <c r="Z122" s="138"/>
      <c r="AA122" s="138"/>
      <c r="AB122" s="298" t="str">
        <f t="shared" si="12"/>
        <v/>
      </c>
      <c r="AC122" s="311" t="str">
        <f t="shared" si="13"/>
        <v/>
      </c>
      <c r="AD122" s="344" t="str">
        <f>IFERROR(IF(AC122="Check Data ⚠","Check Data ⚠",VLOOKUP(AC122,'G-4 Temporal multipliers'!$A$4:$C$37,3,FALSE)),"")</f>
        <v/>
      </c>
      <c r="AE122" s="290" t="str">
        <f>IF(N122="","",VLOOKUP(N122,'G-7 WaterC'' Data'!$B$4:$G$8,5,FALSE))</f>
        <v/>
      </c>
      <c r="AF122" s="298" t="str">
        <f t="shared" si="14"/>
        <v/>
      </c>
      <c r="AG122" s="328" t="str">
        <f t="shared" si="15"/>
        <v/>
      </c>
      <c r="AH122" s="291" t="str">
        <f t="shared" si="9"/>
        <v/>
      </c>
      <c r="AI122" s="103"/>
      <c r="AJ122" s="291" t="str">
        <f>IF(AI122="","",IF(AND(AI122="N/A - Culvert",N122&lt;&gt;"Culvert"),"Not possible ▲",IF(VLOOKUP(AI122,'G-7 WaterC'' Data'!$AA$4:$AB$7,2,FALSE)=0,"Spatial Data Missing ⚠",VLOOKUP(AI122,'G-7 WaterC'' Data'!$AA$4:$AB$7,2,FALSE))))</f>
        <v/>
      </c>
      <c r="AK122" s="104"/>
      <c r="AL122" s="291" t="str">
        <f>IF(AK122="","",IF(AND(AK122="N/A - Culvert",N122&lt;&gt;"Culvert"),"Not possible ▲",IF(VLOOKUP(AK122,'G-7 WaterC'' Data'!$AD$4:$AE$14,2,FALSE)=0,"Spatial Data Missing ⚠",VLOOKUP(AK122,'G-7 WaterC'' Data'!$AD$4:$AE$14,2,FALSE))))</f>
        <v/>
      </c>
      <c r="AM122" s="332" t="str">
        <f t="shared" si="16"/>
        <v/>
      </c>
      <c r="AN122" s="98"/>
      <c r="AO122" s="99"/>
      <c r="AP122" s="101"/>
      <c r="AS122" s="15" t="str">
        <f>IF(B122="","",IF(ISNA(VLOOKUP($B122,'C-1 On-Site WaterC'' Baseline'!$C$8:$AD$257,17,FALSE)),"",(VLOOKUP($B122,'C-1 On-Site WaterC'' Baseline'!$C$8:$AD$257,17,FALSE))))</f>
        <v/>
      </c>
      <c r="AT122" s="15" t="str">
        <f>IF(B122="","",VLOOKUP($B122,'C-1 On-Site WaterC'' Baseline'!$C$9:$Z$257,12,FALSE))</f>
        <v/>
      </c>
      <c r="AU122" s="15" t="str">
        <f>IF(B122="","",VLOOKUP($B122,'C-1 On-Site WaterC'' Baseline'!$C$9:$Z$257,14,FALSE))</f>
        <v/>
      </c>
      <c r="AV122" s="15" t="str">
        <f>IFERROR(INDEX('G-7 WaterC'' Data'!$AZ$3:$AZ$7,MATCH(N122,'G-7 WaterC'' Data'!$AY$3:$AY$7,0)),"")</f>
        <v/>
      </c>
      <c r="AX122" s="15" t="str">
        <f>IF(B122="","",VLOOKUP($B122,'C-1 On-Site WaterC'' Baseline'!$C$9:$Y$257,22,FALSE))</f>
        <v/>
      </c>
      <c r="AY122" s="15" t="str">
        <f t="shared" si="17"/>
        <v/>
      </c>
      <c r="AZ122" s="15" t="str">
        <f>IF(B122="","",VLOOKUP($B122,'C-1 On-Site WaterC'' Baseline'!$C$9:$Y$257,21,FALSE))</f>
        <v/>
      </c>
      <c r="BA122" s="15" t="str">
        <f>IF(B122="","",VLOOKUP($B122,'C-1 On-Site WaterC'' Baseline'!$C$9:$Y$257,19,FALSE))</f>
        <v/>
      </c>
    </row>
    <row r="123" spans="2:53" ht="14" x14ac:dyDescent="0.3">
      <c r="B123" s="319" t="str">
        <f>'C-1 On-Site WaterC'' Baseline'!AP121</f>
        <v/>
      </c>
      <c r="C123" s="310" t="str">
        <f>IF(B123="","",VLOOKUP($B123,'C-1 On-Site WaterC'' Baseline'!$C$9:$R$257,2,FALSE))</f>
        <v/>
      </c>
      <c r="D123" s="310" t="str">
        <f>IF(C123="","",VLOOKUP($B123,'C-1 On-Site WaterC'' Baseline'!$C$9:$R$257,3,FALSE))</f>
        <v/>
      </c>
      <c r="E123" s="310" t="str">
        <f>IF(D123="","",VLOOKUP($B123,'C-1 On-Site WaterC'' Baseline'!$C$9:$R$257,4,FALSE))</f>
        <v/>
      </c>
      <c r="F123" s="310" t="str">
        <f>IF(E123="","",VLOOKUP($B123,'C-1 On-Site WaterC'' Baseline'!$C$9:$R$257,5,FALSE))</f>
        <v/>
      </c>
      <c r="G123" s="310" t="str">
        <f>IF(F123="","",VLOOKUP($B123,'C-1 On-Site WaterC'' Baseline'!$C$9:$R$257,6,FALSE))</f>
        <v/>
      </c>
      <c r="H123" s="310" t="str">
        <f>IF(G123="","",VLOOKUP($B123,'C-1 On-Site WaterC'' Baseline'!$C$9:$R$257,7,FALSE))</f>
        <v/>
      </c>
      <c r="I123" s="310" t="str">
        <f>IF(H123="","",VLOOKUP($B123,'C-1 On-Site WaterC'' Baseline'!$C$9:$R$257,8,FALSE))</f>
        <v/>
      </c>
      <c r="J123" s="310" t="str">
        <f>IF(I123="","",VLOOKUP($B123,'C-1 On-Site WaterC'' Baseline'!$C$9:$R$257,9,FALSE))</f>
        <v/>
      </c>
      <c r="K123" s="310" t="str">
        <f>IF(J123="","",VLOOKUP($B123,'C-1 On-Site WaterC'' Baseline'!$C$9:$R$257,10,FALSE))</f>
        <v/>
      </c>
      <c r="L123" s="310" t="str">
        <f>IF(B123="","",VLOOKUP($B123,'C-1 On-Site WaterC'' Baseline'!$C$9:$R$257,15,FALSE))</f>
        <v/>
      </c>
      <c r="M123" s="314" t="str">
        <f>IF(L123="","",VLOOKUP($B123,'C-1 On-Site WaterC'' Baseline'!$C$9:$R$257,16,FALSE))</f>
        <v/>
      </c>
      <c r="N123" s="259"/>
      <c r="O123" s="290" t="str">
        <f t="shared" si="10"/>
        <v/>
      </c>
      <c r="P123" s="291" t="str">
        <f t="shared" si="11"/>
        <v/>
      </c>
      <c r="Q123" s="346" t="str">
        <f>IF(N123="","",VLOOKUP(B123,'C-1 On-Site WaterC'' Baseline'!$C$10:$AC$257,20,FALSE))</f>
        <v/>
      </c>
      <c r="R123" s="290" t="str">
        <f>IF(N123="","",VLOOKUP(N123,'G-7 WaterC'' Data'!$B$2:$G$8,2,FALSE))</f>
        <v/>
      </c>
      <c r="S123" s="291" t="str">
        <f>IFERROR(VLOOKUP(R123,'G-7 WaterC'' Data'!$C$4:$D$8,2,FALSE),"")</f>
        <v/>
      </c>
      <c r="T123" s="95"/>
      <c r="U123" s="291" t="str">
        <f>IFERROR(INDEX('G-7 WaterC'' Data'!$H$4:$L$8,MATCH(N123,'G-7 WaterC'' Data'!$B$4:$B$8,0),MATCH(T123,'G-7 WaterC'' Data'!$H$3:$L$3,0)),"")</f>
        <v/>
      </c>
      <c r="V123" s="95"/>
      <c r="W123" s="298" t="str">
        <f>IF(V123="","",IF(VLOOKUP(V123,'G-7 WaterC'' Data'!$AK$4:$AM$6,2,FALSE)=0,"Spatial Data Missing ⚠",VLOOKUP(V123,'G-7 WaterC'' Data'!$AK$4:$AM$6,2,FALSE)))</f>
        <v/>
      </c>
      <c r="X123" s="291" t="str">
        <f>IF(V123="","",IF(VLOOKUP(V123,'G-7 WaterC'' Data'!$AK$4:$AM$6,3,FALSE)=0,"Spatial Data Missing ⚠",VLOOKUP(V123,'G-7 WaterC'' Data'!$AK$4:$AM$6,3,FALSE)))</f>
        <v/>
      </c>
      <c r="Y123" s="290" t="str">
        <f>IFERROR(IF(OR(LEFT(P123,5)="Error",LEFT(O123,5)="Error ▲"),"Check Data ⚠",IF(F123&lt;S123,'G-7 WaterC'' Data'!$R$3,INDEX('G-7 WaterC'' Data'!$U$5:$Y$9,MATCH(G123,'G-7 WaterC'' Data'!$T$5:$T$9,0),MATCH(T123,'G-7 WaterC'' Data'!$U$4:$Y$4,0)))),"")</f>
        <v/>
      </c>
      <c r="Z123" s="138"/>
      <c r="AA123" s="138"/>
      <c r="AB123" s="298" t="str">
        <f t="shared" si="12"/>
        <v/>
      </c>
      <c r="AC123" s="311" t="str">
        <f t="shared" si="13"/>
        <v/>
      </c>
      <c r="AD123" s="344" t="str">
        <f>IFERROR(IF(AC123="Check Data ⚠","Check Data ⚠",VLOOKUP(AC123,'G-4 Temporal multipliers'!$A$4:$C$37,3,FALSE)),"")</f>
        <v/>
      </c>
      <c r="AE123" s="290" t="str">
        <f>IF(N123="","",VLOOKUP(N123,'G-7 WaterC'' Data'!$B$4:$G$8,5,FALSE))</f>
        <v/>
      </c>
      <c r="AF123" s="298" t="str">
        <f t="shared" si="14"/>
        <v/>
      </c>
      <c r="AG123" s="328" t="str">
        <f t="shared" si="15"/>
        <v/>
      </c>
      <c r="AH123" s="291" t="str">
        <f t="shared" si="9"/>
        <v/>
      </c>
      <c r="AI123" s="103"/>
      <c r="AJ123" s="291" t="str">
        <f>IF(AI123="","",IF(AND(AI123="N/A - Culvert",N123&lt;&gt;"Culvert"),"Not possible ▲",IF(VLOOKUP(AI123,'G-7 WaterC'' Data'!$AA$4:$AB$7,2,FALSE)=0,"Spatial Data Missing ⚠",VLOOKUP(AI123,'G-7 WaterC'' Data'!$AA$4:$AB$7,2,FALSE))))</f>
        <v/>
      </c>
      <c r="AK123" s="104"/>
      <c r="AL123" s="291" t="str">
        <f>IF(AK123="","",IF(AND(AK123="N/A - Culvert",N123&lt;&gt;"Culvert"),"Not possible ▲",IF(VLOOKUP(AK123,'G-7 WaterC'' Data'!$AD$4:$AE$14,2,FALSE)=0,"Spatial Data Missing ⚠",VLOOKUP(AK123,'G-7 WaterC'' Data'!$AD$4:$AE$14,2,FALSE))))</f>
        <v/>
      </c>
      <c r="AM123" s="332" t="str">
        <f t="shared" si="16"/>
        <v/>
      </c>
      <c r="AN123" s="98"/>
      <c r="AO123" s="99"/>
      <c r="AP123" s="101"/>
      <c r="AS123" s="15" t="str">
        <f>IF(B123="","",IF(ISNA(VLOOKUP($B123,'C-1 On-Site WaterC'' Baseline'!$C$8:$AD$257,17,FALSE)),"",(VLOOKUP($B123,'C-1 On-Site WaterC'' Baseline'!$C$8:$AD$257,17,FALSE))))</f>
        <v/>
      </c>
      <c r="AT123" s="15" t="str">
        <f>IF(B123="","",VLOOKUP($B123,'C-1 On-Site WaterC'' Baseline'!$C$9:$Z$257,12,FALSE))</f>
        <v/>
      </c>
      <c r="AU123" s="15" t="str">
        <f>IF(B123="","",VLOOKUP($B123,'C-1 On-Site WaterC'' Baseline'!$C$9:$Z$257,14,FALSE))</f>
        <v/>
      </c>
      <c r="AV123" s="15" t="str">
        <f>IFERROR(INDEX('G-7 WaterC'' Data'!$AZ$3:$AZ$7,MATCH(N123,'G-7 WaterC'' Data'!$AY$3:$AY$7,0)),"")</f>
        <v/>
      </c>
      <c r="AX123" s="15" t="str">
        <f>IF(B123="","",VLOOKUP($B123,'C-1 On-Site WaterC'' Baseline'!$C$9:$Y$257,22,FALSE))</f>
        <v/>
      </c>
      <c r="AY123" s="15" t="str">
        <f t="shared" si="17"/>
        <v/>
      </c>
      <c r="AZ123" s="15" t="str">
        <f>IF(B123="","",VLOOKUP($B123,'C-1 On-Site WaterC'' Baseline'!$C$9:$Y$257,21,FALSE))</f>
        <v/>
      </c>
      <c r="BA123" s="15" t="str">
        <f>IF(B123="","",VLOOKUP($B123,'C-1 On-Site WaterC'' Baseline'!$C$9:$Y$257,19,FALSE))</f>
        <v/>
      </c>
    </row>
    <row r="124" spans="2:53" ht="14" x14ac:dyDescent="0.3">
      <c r="B124" s="319" t="str">
        <f>'C-1 On-Site WaterC'' Baseline'!AP122</f>
        <v/>
      </c>
      <c r="C124" s="310" t="str">
        <f>IF(B124="","",VLOOKUP($B124,'C-1 On-Site WaterC'' Baseline'!$C$9:$R$257,2,FALSE))</f>
        <v/>
      </c>
      <c r="D124" s="310" t="str">
        <f>IF(C124="","",VLOOKUP($B124,'C-1 On-Site WaterC'' Baseline'!$C$9:$R$257,3,FALSE))</f>
        <v/>
      </c>
      <c r="E124" s="310" t="str">
        <f>IF(D124="","",VLOOKUP($B124,'C-1 On-Site WaterC'' Baseline'!$C$9:$R$257,4,FALSE))</f>
        <v/>
      </c>
      <c r="F124" s="310" t="str">
        <f>IF(E124="","",VLOOKUP($B124,'C-1 On-Site WaterC'' Baseline'!$C$9:$R$257,5,FALSE))</f>
        <v/>
      </c>
      <c r="G124" s="310" t="str">
        <f>IF(F124="","",VLOOKUP($B124,'C-1 On-Site WaterC'' Baseline'!$C$9:$R$257,6,FALSE))</f>
        <v/>
      </c>
      <c r="H124" s="310" t="str">
        <f>IF(G124="","",VLOOKUP($B124,'C-1 On-Site WaterC'' Baseline'!$C$9:$R$257,7,FALSE))</f>
        <v/>
      </c>
      <c r="I124" s="310" t="str">
        <f>IF(H124="","",VLOOKUP($B124,'C-1 On-Site WaterC'' Baseline'!$C$9:$R$257,8,FALSE))</f>
        <v/>
      </c>
      <c r="J124" s="310" t="str">
        <f>IF(I124="","",VLOOKUP($B124,'C-1 On-Site WaterC'' Baseline'!$C$9:$R$257,9,FALSE))</f>
        <v/>
      </c>
      <c r="K124" s="310" t="str">
        <f>IF(J124="","",VLOOKUP($B124,'C-1 On-Site WaterC'' Baseline'!$C$9:$R$257,10,FALSE))</f>
        <v/>
      </c>
      <c r="L124" s="310" t="str">
        <f>IF(B124="","",VLOOKUP($B124,'C-1 On-Site WaterC'' Baseline'!$C$9:$R$257,15,FALSE))</f>
        <v/>
      </c>
      <c r="M124" s="314" t="str">
        <f>IF(L124="","",VLOOKUP($B124,'C-1 On-Site WaterC'' Baseline'!$C$9:$R$257,16,FALSE))</f>
        <v/>
      </c>
      <c r="N124" s="259"/>
      <c r="O124" s="290" t="str">
        <f t="shared" si="10"/>
        <v/>
      </c>
      <c r="P124" s="291" t="str">
        <f t="shared" si="11"/>
        <v/>
      </c>
      <c r="Q124" s="346" t="str">
        <f>IF(N124="","",VLOOKUP(B124,'C-1 On-Site WaterC'' Baseline'!$C$10:$AC$257,20,FALSE))</f>
        <v/>
      </c>
      <c r="R124" s="290" t="str">
        <f>IF(N124="","",VLOOKUP(N124,'G-7 WaterC'' Data'!$B$2:$G$8,2,FALSE))</f>
        <v/>
      </c>
      <c r="S124" s="291" t="str">
        <f>IFERROR(VLOOKUP(R124,'G-7 WaterC'' Data'!$C$4:$D$8,2,FALSE),"")</f>
        <v/>
      </c>
      <c r="T124" s="95"/>
      <c r="U124" s="291" t="str">
        <f>IFERROR(INDEX('G-7 WaterC'' Data'!$H$4:$L$8,MATCH(N124,'G-7 WaterC'' Data'!$B$4:$B$8,0),MATCH(T124,'G-7 WaterC'' Data'!$H$3:$L$3,0)),"")</f>
        <v/>
      </c>
      <c r="V124" s="95"/>
      <c r="W124" s="298" t="str">
        <f>IF(V124="","",IF(VLOOKUP(V124,'G-7 WaterC'' Data'!$AK$4:$AM$6,2,FALSE)=0,"Spatial Data Missing ⚠",VLOOKUP(V124,'G-7 WaterC'' Data'!$AK$4:$AM$6,2,FALSE)))</f>
        <v/>
      </c>
      <c r="X124" s="291" t="str">
        <f>IF(V124="","",IF(VLOOKUP(V124,'G-7 WaterC'' Data'!$AK$4:$AM$6,3,FALSE)=0,"Spatial Data Missing ⚠",VLOOKUP(V124,'G-7 WaterC'' Data'!$AK$4:$AM$6,3,FALSE)))</f>
        <v/>
      </c>
      <c r="Y124" s="290" t="str">
        <f>IFERROR(IF(OR(LEFT(P124,5)="Error",LEFT(O124,5)="Error ▲"),"Check Data ⚠",IF(F124&lt;S124,'G-7 WaterC'' Data'!$R$3,INDEX('G-7 WaterC'' Data'!$U$5:$Y$9,MATCH(G124,'G-7 WaterC'' Data'!$T$5:$T$9,0),MATCH(T124,'G-7 WaterC'' Data'!$U$4:$Y$4,0)))),"")</f>
        <v/>
      </c>
      <c r="Z124" s="138"/>
      <c r="AA124" s="138"/>
      <c r="AB124" s="298" t="str">
        <f t="shared" si="12"/>
        <v/>
      </c>
      <c r="AC124" s="311" t="str">
        <f t="shared" si="13"/>
        <v/>
      </c>
      <c r="AD124" s="344" t="str">
        <f>IFERROR(IF(AC124="Check Data ⚠","Check Data ⚠",VLOOKUP(AC124,'G-4 Temporal multipliers'!$A$4:$C$37,3,FALSE)),"")</f>
        <v/>
      </c>
      <c r="AE124" s="290" t="str">
        <f>IF(N124="","",VLOOKUP(N124,'G-7 WaterC'' Data'!$B$4:$G$8,5,FALSE))</f>
        <v/>
      </c>
      <c r="AF124" s="298" t="str">
        <f t="shared" si="14"/>
        <v/>
      </c>
      <c r="AG124" s="328" t="str">
        <f t="shared" si="15"/>
        <v/>
      </c>
      <c r="AH124" s="291" t="str">
        <f t="shared" si="9"/>
        <v/>
      </c>
      <c r="AI124" s="103"/>
      <c r="AJ124" s="291" t="str">
        <f>IF(AI124="","",IF(AND(AI124="N/A - Culvert",N124&lt;&gt;"Culvert"),"Not possible ▲",IF(VLOOKUP(AI124,'G-7 WaterC'' Data'!$AA$4:$AB$7,2,FALSE)=0,"Spatial Data Missing ⚠",VLOOKUP(AI124,'G-7 WaterC'' Data'!$AA$4:$AB$7,2,FALSE))))</f>
        <v/>
      </c>
      <c r="AK124" s="104"/>
      <c r="AL124" s="291" t="str">
        <f>IF(AK124="","",IF(AND(AK124="N/A - Culvert",N124&lt;&gt;"Culvert"),"Not possible ▲",IF(VLOOKUP(AK124,'G-7 WaterC'' Data'!$AD$4:$AE$14,2,FALSE)=0,"Spatial Data Missing ⚠",VLOOKUP(AK124,'G-7 WaterC'' Data'!$AD$4:$AE$14,2,FALSE))))</f>
        <v/>
      </c>
      <c r="AM124" s="332" t="str">
        <f t="shared" si="16"/>
        <v/>
      </c>
      <c r="AN124" s="98"/>
      <c r="AO124" s="99"/>
      <c r="AP124" s="101"/>
      <c r="AS124" s="15" t="str">
        <f>IF(B124="","",IF(ISNA(VLOOKUP($B124,'C-1 On-Site WaterC'' Baseline'!$C$8:$AD$257,17,FALSE)),"",(VLOOKUP($B124,'C-1 On-Site WaterC'' Baseline'!$C$8:$AD$257,17,FALSE))))</f>
        <v/>
      </c>
      <c r="AT124" s="15" t="str">
        <f>IF(B124="","",VLOOKUP($B124,'C-1 On-Site WaterC'' Baseline'!$C$9:$Z$257,12,FALSE))</f>
        <v/>
      </c>
      <c r="AU124" s="15" t="str">
        <f>IF(B124="","",VLOOKUP($B124,'C-1 On-Site WaterC'' Baseline'!$C$9:$Z$257,14,FALSE))</f>
        <v/>
      </c>
      <c r="AV124" s="15" t="str">
        <f>IFERROR(INDEX('G-7 WaterC'' Data'!$AZ$3:$AZ$7,MATCH(N124,'G-7 WaterC'' Data'!$AY$3:$AY$7,0)),"")</f>
        <v/>
      </c>
      <c r="AX124" s="15" t="str">
        <f>IF(B124="","",VLOOKUP($B124,'C-1 On-Site WaterC'' Baseline'!$C$9:$Y$257,22,FALSE))</f>
        <v/>
      </c>
      <c r="AY124" s="15" t="str">
        <f t="shared" si="17"/>
        <v/>
      </c>
      <c r="AZ124" s="15" t="str">
        <f>IF(B124="","",VLOOKUP($B124,'C-1 On-Site WaterC'' Baseline'!$C$9:$Y$257,21,FALSE))</f>
        <v/>
      </c>
      <c r="BA124" s="15" t="str">
        <f>IF(B124="","",VLOOKUP($B124,'C-1 On-Site WaterC'' Baseline'!$C$9:$Y$257,19,FALSE))</f>
        <v/>
      </c>
    </row>
    <row r="125" spans="2:53" ht="14" x14ac:dyDescent="0.3">
      <c r="B125" s="319" t="str">
        <f>'C-1 On-Site WaterC'' Baseline'!AP123</f>
        <v/>
      </c>
      <c r="C125" s="310" t="str">
        <f>IF(B125="","",VLOOKUP($B125,'C-1 On-Site WaterC'' Baseline'!$C$9:$R$257,2,FALSE))</f>
        <v/>
      </c>
      <c r="D125" s="310" t="str">
        <f>IF(C125="","",VLOOKUP($B125,'C-1 On-Site WaterC'' Baseline'!$C$9:$R$257,3,FALSE))</f>
        <v/>
      </c>
      <c r="E125" s="310" t="str">
        <f>IF(D125="","",VLOOKUP($B125,'C-1 On-Site WaterC'' Baseline'!$C$9:$R$257,4,FALSE))</f>
        <v/>
      </c>
      <c r="F125" s="310" t="str">
        <f>IF(E125="","",VLOOKUP($B125,'C-1 On-Site WaterC'' Baseline'!$C$9:$R$257,5,FALSE))</f>
        <v/>
      </c>
      <c r="G125" s="310" t="str">
        <f>IF(F125="","",VLOOKUP($B125,'C-1 On-Site WaterC'' Baseline'!$C$9:$R$257,6,FALSE))</f>
        <v/>
      </c>
      <c r="H125" s="310" t="str">
        <f>IF(G125="","",VLOOKUP($B125,'C-1 On-Site WaterC'' Baseline'!$C$9:$R$257,7,FALSE))</f>
        <v/>
      </c>
      <c r="I125" s="310" t="str">
        <f>IF(H125="","",VLOOKUP($B125,'C-1 On-Site WaterC'' Baseline'!$C$9:$R$257,8,FALSE))</f>
        <v/>
      </c>
      <c r="J125" s="310" t="str">
        <f>IF(I125="","",VLOOKUP($B125,'C-1 On-Site WaterC'' Baseline'!$C$9:$R$257,9,FALSE))</f>
        <v/>
      </c>
      <c r="K125" s="310" t="str">
        <f>IF(J125="","",VLOOKUP($B125,'C-1 On-Site WaterC'' Baseline'!$C$9:$R$257,10,FALSE))</f>
        <v/>
      </c>
      <c r="L125" s="310" t="str">
        <f>IF(B125="","",VLOOKUP($B125,'C-1 On-Site WaterC'' Baseline'!$C$9:$R$257,15,FALSE))</f>
        <v/>
      </c>
      <c r="M125" s="314" t="str">
        <f>IF(L125="","",VLOOKUP($B125,'C-1 On-Site WaterC'' Baseline'!$C$9:$R$257,16,FALSE))</f>
        <v/>
      </c>
      <c r="N125" s="259"/>
      <c r="O125" s="290" t="str">
        <f t="shared" si="10"/>
        <v/>
      </c>
      <c r="P125" s="291" t="str">
        <f t="shared" si="11"/>
        <v/>
      </c>
      <c r="Q125" s="346" t="str">
        <f>IF(N125="","",VLOOKUP(B125,'C-1 On-Site WaterC'' Baseline'!$C$10:$AC$257,20,FALSE))</f>
        <v/>
      </c>
      <c r="R125" s="290" t="str">
        <f>IF(N125="","",VLOOKUP(N125,'G-7 WaterC'' Data'!$B$2:$G$8,2,FALSE))</f>
        <v/>
      </c>
      <c r="S125" s="291" t="str">
        <f>IFERROR(VLOOKUP(R125,'G-7 WaterC'' Data'!$C$4:$D$8,2,FALSE),"")</f>
        <v/>
      </c>
      <c r="T125" s="95"/>
      <c r="U125" s="291" t="str">
        <f>IFERROR(INDEX('G-7 WaterC'' Data'!$H$4:$L$8,MATCH(N125,'G-7 WaterC'' Data'!$B$4:$B$8,0),MATCH(T125,'G-7 WaterC'' Data'!$H$3:$L$3,0)),"")</f>
        <v/>
      </c>
      <c r="V125" s="95"/>
      <c r="W125" s="298" t="str">
        <f>IF(V125="","",IF(VLOOKUP(V125,'G-7 WaterC'' Data'!$AK$4:$AM$6,2,FALSE)=0,"Spatial Data Missing ⚠",VLOOKUP(V125,'G-7 WaterC'' Data'!$AK$4:$AM$6,2,FALSE)))</f>
        <v/>
      </c>
      <c r="X125" s="291" t="str">
        <f>IF(V125="","",IF(VLOOKUP(V125,'G-7 WaterC'' Data'!$AK$4:$AM$6,3,FALSE)=0,"Spatial Data Missing ⚠",VLOOKUP(V125,'G-7 WaterC'' Data'!$AK$4:$AM$6,3,FALSE)))</f>
        <v/>
      </c>
      <c r="Y125" s="290" t="str">
        <f>IFERROR(IF(OR(LEFT(P125,5)="Error",LEFT(O125,5)="Error ▲"),"Check Data ⚠",IF(F125&lt;S125,'G-7 WaterC'' Data'!$R$3,INDEX('G-7 WaterC'' Data'!$U$5:$Y$9,MATCH(G125,'G-7 WaterC'' Data'!$T$5:$T$9,0),MATCH(T125,'G-7 WaterC'' Data'!$U$4:$Y$4,0)))),"")</f>
        <v/>
      </c>
      <c r="Z125" s="138"/>
      <c r="AA125" s="138"/>
      <c r="AB125" s="298" t="str">
        <f t="shared" si="12"/>
        <v/>
      </c>
      <c r="AC125" s="311" t="str">
        <f t="shared" si="13"/>
        <v/>
      </c>
      <c r="AD125" s="344" t="str">
        <f>IFERROR(IF(AC125="Check Data ⚠","Check Data ⚠",VLOOKUP(AC125,'G-4 Temporal multipliers'!$A$4:$C$37,3,FALSE)),"")</f>
        <v/>
      </c>
      <c r="AE125" s="290" t="str">
        <f>IF(N125="","",VLOOKUP(N125,'G-7 WaterC'' Data'!$B$4:$G$8,5,FALSE))</f>
        <v/>
      </c>
      <c r="AF125" s="298" t="str">
        <f t="shared" si="14"/>
        <v/>
      </c>
      <c r="AG125" s="328" t="str">
        <f t="shared" si="15"/>
        <v/>
      </c>
      <c r="AH125" s="291" t="str">
        <f t="shared" si="9"/>
        <v/>
      </c>
      <c r="AI125" s="103"/>
      <c r="AJ125" s="291" t="str">
        <f>IF(AI125="","",IF(AND(AI125="N/A - Culvert",N125&lt;&gt;"Culvert"),"Not possible ▲",IF(VLOOKUP(AI125,'G-7 WaterC'' Data'!$AA$4:$AB$7,2,FALSE)=0,"Spatial Data Missing ⚠",VLOOKUP(AI125,'G-7 WaterC'' Data'!$AA$4:$AB$7,2,FALSE))))</f>
        <v/>
      </c>
      <c r="AK125" s="104"/>
      <c r="AL125" s="291" t="str">
        <f>IF(AK125="","",IF(AND(AK125="N/A - Culvert",N125&lt;&gt;"Culvert"),"Not possible ▲",IF(VLOOKUP(AK125,'G-7 WaterC'' Data'!$AD$4:$AE$14,2,FALSE)=0,"Spatial Data Missing ⚠",VLOOKUP(AK125,'G-7 WaterC'' Data'!$AD$4:$AE$14,2,FALSE))))</f>
        <v/>
      </c>
      <c r="AM125" s="332" t="str">
        <f t="shared" si="16"/>
        <v/>
      </c>
      <c r="AN125" s="98"/>
      <c r="AO125" s="99"/>
      <c r="AP125" s="101"/>
      <c r="AS125" s="15" t="str">
        <f>IF(B125="","",IF(ISNA(VLOOKUP($B125,'C-1 On-Site WaterC'' Baseline'!$C$8:$AD$257,17,FALSE)),"",(VLOOKUP($B125,'C-1 On-Site WaterC'' Baseline'!$C$8:$AD$257,17,FALSE))))</f>
        <v/>
      </c>
      <c r="AT125" s="15" t="str">
        <f>IF(B125="","",VLOOKUP($B125,'C-1 On-Site WaterC'' Baseline'!$C$9:$Z$257,12,FALSE))</f>
        <v/>
      </c>
      <c r="AU125" s="15" t="str">
        <f>IF(B125="","",VLOOKUP($B125,'C-1 On-Site WaterC'' Baseline'!$C$9:$Z$257,14,FALSE))</f>
        <v/>
      </c>
      <c r="AV125" s="15" t="str">
        <f>IFERROR(INDEX('G-7 WaterC'' Data'!$AZ$3:$AZ$7,MATCH(N125,'G-7 WaterC'' Data'!$AY$3:$AY$7,0)),"")</f>
        <v/>
      </c>
      <c r="AX125" s="15" t="str">
        <f>IF(B125="","",VLOOKUP($B125,'C-1 On-Site WaterC'' Baseline'!$C$9:$Y$257,22,FALSE))</f>
        <v/>
      </c>
      <c r="AY125" s="15" t="str">
        <f t="shared" si="17"/>
        <v/>
      </c>
      <c r="AZ125" s="15" t="str">
        <f>IF(B125="","",VLOOKUP($B125,'C-1 On-Site WaterC'' Baseline'!$C$9:$Y$257,21,FALSE))</f>
        <v/>
      </c>
      <c r="BA125" s="15" t="str">
        <f>IF(B125="","",VLOOKUP($B125,'C-1 On-Site WaterC'' Baseline'!$C$9:$Y$257,19,FALSE))</f>
        <v/>
      </c>
    </row>
    <row r="126" spans="2:53" ht="14" x14ac:dyDescent="0.3">
      <c r="B126" s="319" t="str">
        <f>'C-1 On-Site WaterC'' Baseline'!AP124</f>
        <v/>
      </c>
      <c r="C126" s="310" t="str">
        <f>IF(B126="","",VLOOKUP($B126,'C-1 On-Site WaterC'' Baseline'!$C$9:$R$257,2,FALSE))</f>
        <v/>
      </c>
      <c r="D126" s="310" t="str">
        <f>IF(C126="","",VLOOKUP($B126,'C-1 On-Site WaterC'' Baseline'!$C$9:$R$257,3,FALSE))</f>
        <v/>
      </c>
      <c r="E126" s="310" t="str">
        <f>IF(D126="","",VLOOKUP($B126,'C-1 On-Site WaterC'' Baseline'!$C$9:$R$257,4,FALSE))</f>
        <v/>
      </c>
      <c r="F126" s="310" t="str">
        <f>IF(E126="","",VLOOKUP($B126,'C-1 On-Site WaterC'' Baseline'!$C$9:$R$257,5,FALSE))</f>
        <v/>
      </c>
      <c r="G126" s="310" t="str">
        <f>IF(F126="","",VLOOKUP($B126,'C-1 On-Site WaterC'' Baseline'!$C$9:$R$257,6,FALSE))</f>
        <v/>
      </c>
      <c r="H126" s="310" t="str">
        <f>IF(G126="","",VLOOKUP($B126,'C-1 On-Site WaterC'' Baseline'!$C$9:$R$257,7,FALSE))</f>
        <v/>
      </c>
      <c r="I126" s="310" t="str">
        <f>IF(H126="","",VLOOKUP($B126,'C-1 On-Site WaterC'' Baseline'!$C$9:$R$257,8,FALSE))</f>
        <v/>
      </c>
      <c r="J126" s="310" t="str">
        <f>IF(I126="","",VLOOKUP($B126,'C-1 On-Site WaterC'' Baseline'!$C$9:$R$257,9,FALSE))</f>
        <v/>
      </c>
      <c r="K126" s="310" t="str">
        <f>IF(J126="","",VLOOKUP($B126,'C-1 On-Site WaterC'' Baseline'!$C$9:$R$257,10,FALSE))</f>
        <v/>
      </c>
      <c r="L126" s="310" t="str">
        <f>IF(B126="","",VLOOKUP($B126,'C-1 On-Site WaterC'' Baseline'!$C$9:$R$257,15,FALSE))</f>
        <v/>
      </c>
      <c r="M126" s="314" t="str">
        <f>IF(L126="","",VLOOKUP($B126,'C-1 On-Site WaterC'' Baseline'!$C$9:$R$257,16,FALSE))</f>
        <v/>
      </c>
      <c r="N126" s="259"/>
      <c r="O126" s="290" t="str">
        <f t="shared" si="10"/>
        <v/>
      </c>
      <c r="P126" s="291" t="str">
        <f t="shared" si="11"/>
        <v/>
      </c>
      <c r="Q126" s="346" t="str">
        <f>IF(N126="","",VLOOKUP(B126,'C-1 On-Site WaterC'' Baseline'!$C$10:$AC$257,20,FALSE))</f>
        <v/>
      </c>
      <c r="R126" s="290" t="str">
        <f>IF(N126="","",VLOOKUP(N126,'G-7 WaterC'' Data'!$B$2:$G$8,2,FALSE))</f>
        <v/>
      </c>
      <c r="S126" s="291" t="str">
        <f>IFERROR(VLOOKUP(R126,'G-7 WaterC'' Data'!$C$4:$D$8,2,FALSE),"")</f>
        <v/>
      </c>
      <c r="T126" s="95"/>
      <c r="U126" s="291" t="str">
        <f>IFERROR(INDEX('G-7 WaterC'' Data'!$H$4:$L$8,MATCH(N126,'G-7 WaterC'' Data'!$B$4:$B$8,0),MATCH(T126,'G-7 WaterC'' Data'!$H$3:$L$3,0)),"")</f>
        <v/>
      </c>
      <c r="V126" s="95"/>
      <c r="W126" s="298" t="str">
        <f>IF(V126="","",IF(VLOOKUP(V126,'G-7 WaterC'' Data'!$AK$4:$AM$6,2,FALSE)=0,"Spatial Data Missing ⚠",VLOOKUP(V126,'G-7 WaterC'' Data'!$AK$4:$AM$6,2,FALSE)))</f>
        <v/>
      </c>
      <c r="X126" s="291" t="str">
        <f>IF(V126="","",IF(VLOOKUP(V126,'G-7 WaterC'' Data'!$AK$4:$AM$6,3,FALSE)=0,"Spatial Data Missing ⚠",VLOOKUP(V126,'G-7 WaterC'' Data'!$AK$4:$AM$6,3,FALSE)))</f>
        <v/>
      </c>
      <c r="Y126" s="290" t="str">
        <f>IFERROR(IF(OR(LEFT(P126,5)="Error",LEFT(O126,5)="Error ▲"),"Check Data ⚠",IF(F126&lt;S126,'G-7 WaterC'' Data'!$R$3,INDEX('G-7 WaterC'' Data'!$U$5:$Y$9,MATCH(G126,'G-7 WaterC'' Data'!$T$5:$T$9,0),MATCH(T126,'G-7 WaterC'' Data'!$U$4:$Y$4,0)))),"")</f>
        <v/>
      </c>
      <c r="Z126" s="138"/>
      <c r="AA126" s="138"/>
      <c r="AB126" s="298" t="str">
        <f t="shared" si="12"/>
        <v/>
      </c>
      <c r="AC126" s="311" t="str">
        <f t="shared" si="13"/>
        <v/>
      </c>
      <c r="AD126" s="344" t="str">
        <f>IFERROR(IF(AC126="Check Data ⚠","Check Data ⚠",VLOOKUP(AC126,'G-4 Temporal multipliers'!$A$4:$C$37,3,FALSE)),"")</f>
        <v/>
      </c>
      <c r="AE126" s="290" t="str">
        <f>IF(N126="","",VLOOKUP(N126,'G-7 WaterC'' Data'!$B$4:$G$8,5,FALSE))</f>
        <v/>
      </c>
      <c r="AF126" s="298" t="str">
        <f t="shared" si="14"/>
        <v/>
      </c>
      <c r="AG126" s="328" t="str">
        <f t="shared" si="15"/>
        <v/>
      </c>
      <c r="AH126" s="291" t="str">
        <f t="shared" si="9"/>
        <v/>
      </c>
      <c r="AI126" s="103"/>
      <c r="AJ126" s="291" t="str">
        <f>IF(AI126="","",IF(AND(AI126="N/A - Culvert",N126&lt;&gt;"Culvert"),"Not possible ▲",IF(VLOOKUP(AI126,'G-7 WaterC'' Data'!$AA$4:$AB$7,2,FALSE)=0,"Spatial Data Missing ⚠",VLOOKUP(AI126,'G-7 WaterC'' Data'!$AA$4:$AB$7,2,FALSE))))</f>
        <v/>
      </c>
      <c r="AK126" s="104"/>
      <c r="AL126" s="291" t="str">
        <f>IF(AK126="","",IF(AND(AK126="N/A - Culvert",N126&lt;&gt;"Culvert"),"Not possible ▲",IF(VLOOKUP(AK126,'G-7 WaterC'' Data'!$AD$4:$AE$14,2,FALSE)=0,"Spatial Data Missing ⚠",VLOOKUP(AK126,'G-7 WaterC'' Data'!$AD$4:$AE$14,2,FALSE))))</f>
        <v/>
      </c>
      <c r="AM126" s="332" t="str">
        <f t="shared" si="16"/>
        <v/>
      </c>
      <c r="AN126" s="98"/>
      <c r="AO126" s="99"/>
      <c r="AP126" s="101"/>
      <c r="AS126" s="15" t="str">
        <f>IF(B126="","",IF(ISNA(VLOOKUP($B126,'C-1 On-Site WaterC'' Baseline'!$C$8:$AD$257,17,FALSE)),"",(VLOOKUP($B126,'C-1 On-Site WaterC'' Baseline'!$C$8:$AD$257,17,FALSE))))</f>
        <v/>
      </c>
      <c r="AT126" s="15" t="str">
        <f>IF(B126="","",VLOOKUP($B126,'C-1 On-Site WaterC'' Baseline'!$C$9:$Z$257,12,FALSE))</f>
        <v/>
      </c>
      <c r="AU126" s="15" t="str">
        <f>IF(B126="","",VLOOKUP($B126,'C-1 On-Site WaterC'' Baseline'!$C$9:$Z$257,14,FALSE))</f>
        <v/>
      </c>
      <c r="AV126" s="15" t="str">
        <f>IFERROR(INDEX('G-7 WaterC'' Data'!$AZ$3:$AZ$7,MATCH(N126,'G-7 WaterC'' Data'!$AY$3:$AY$7,0)),"")</f>
        <v/>
      </c>
      <c r="AX126" s="15" t="str">
        <f>IF(B126="","",VLOOKUP($B126,'C-1 On-Site WaterC'' Baseline'!$C$9:$Y$257,22,FALSE))</f>
        <v/>
      </c>
      <c r="AY126" s="15" t="str">
        <f t="shared" si="17"/>
        <v/>
      </c>
      <c r="AZ126" s="15" t="str">
        <f>IF(B126="","",VLOOKUP($B126,'C-1 On-Site WaterC'' Baseline'!$C$9:$Y$257,21,FALSE))</f>
        <v/>
      </c>
      <c r="BA126" s="15" t="str">
        <f>IF(B126="","",VLOOKUP($B126,'C-1 On-Site WaterC'' Baseline'!$C$9:$Y$257,19,FALSE))</f>
        <v/>
      </c>
    </row>
    <row r="127" spans="2:53" ht="14" x14ac:dyDescent="0.3">
      <c r="B127" s="319" t="str">
        <f>'C-1 On-Site WaterC'' Baseline'!AP125</f>
        <v/>
      </c>
      <c r="C127" s="310" t="str">
        <f>IF(B127="","",VLOOKUP($B127,'C-1 On-Site WaterC'' Baseline'!$C$9:$R$257,2,FALSE))</f>
        <v/>
      </c>
      <c r="D127" s="310" t="str">
        <f>IF(C127="","",VLOOKUP($B127,'C-1 On-Site WaterC'' Baseline'!$C$9:$R$257,3,FALSE))</f>
        <v/>
      </c>
      <c r="E127" s="310" t="str">
        <f>IF(D127="","",VLOOKUP($B127,'C-1 On-Site WaterC'' Baseline'!$C$9:$R$257,4,FALSE))</f>
        <v/>
      </c>
      <c r="F127" s="310" t="str">
        <f>IF(E127="","",VLOOKUP($B127,'C-1 On-Site WaterC'' Baseline'!$C$9:$R$257,5,FALSE))</f>
        <v/>
      </c>
      <c r="G127" s="310" t="str">
        <f>IF(F127="","",VLOOKUP($B127,'C-1 On-Site WaterC'' Baseline'!$C$9:$R$257,6,FALSE))</f>
        <v/>
      </c>
      <c r="H127" s="310" t="str">
        <f>IF(G127="","",VLOOKUP($B127,'C-1 On-Site WaterC'' Baseline'!$C$9:$R$257,7,FALSE))</f>
        <v/>
      </c>
      <c r="I127" s="310" t="str">
        <f>IF(H127="","",VLOOKUP($B127,'C-1 On-Site WaterC'' Baseline'!$C$9:$R$257,8,FALSE))</f>
        <v/>
      </c>
      <c r="J127" s="310" t="str">
        <f>IF(I127="","",VLOOKUP($B127,'C-1 On-Site WaterC'' Baseline'!$C$9:$R$257,9,FALSE))</f>
        <v/>
      </c>
      <c r="K127" s="310" t="str">
        <f>IF(J127="","",VLOOKUP($B127,'C-1 On-Site WaterC'' Baseline'!$C$9:$R$257,10,FALSE))</f>
        <v/>
      </c>
      <c r="L127" s="310" t="str">
        <f>IF(B127="","",VLOOKUP($B127,'C-1 On-Site WaterC'' Baseline'!$C$9:$R$257,15,FALSE))</f>
        <v/>
      </c>
      <c r="M127" s="314" t="str">
        <f>IF(L127="","",VLOOKUP($B127,'C-1 On-Site WaterC'' Baseline'!$C$9:$R$257,16,FALSE))</f>
        <v/>
      </c>
      <c r="N127" s="259"/>
      <c r="O127" s="290" t="str">
        <f t="shared" si="10"/>
        <v/>
      </c>
      <c r="P127" s="291" t="str">
        <f t="shared" si="11"/>
        <v/>
      </c>
      <c r="Q127" s="346" t="str">
        <f>IF(N127="","",VLOOKUP(B127,'C-1 On-Site WaterC'' Baseline'!$C$10:$AC$257,20,FALSE))</f>
        <v/>
      </c>
      <c r="R127" s="290" t="str">
        <f>IF(N127="","",VLOOKUP(N127,'G-7 WaterC'' Data'!$B$2:$G$8,2,FALSE))</f>
        <v/>
      </c>
      <c r="S127" s="291" t="str">
        <f>IFERROR(VLOOKUP(R127,'G-7 WaterC'' Data'!$C$4:$D$8,2,FALSE),"")</f>
        <v/>
      </c>
      <c r="T127" s="95"/>
      <c r="U127" s="291" t="str">
        <f>IFERROR(INDEX('G-7 WaterC'' Data'!$H$4:$L$8,MATCH(N127,'G-7 WaterC'' Data'!$B$4:$B$8,0),MATCH(T127,'G-7 WaterC'' Data'!$H$3:$L$3,0)),"")</f>
        <v/>
      </c>
      <c r="V127" s="95"/>
      <c r="W127" s="298" t="str">
        <f>IF(V127="","",IF(VLOOKUP(V127,'G-7 WaterC'' Data'!$AK$4:$AM$6,2,FALSE)=0,"Spatial Data Missing ⚠",VLOOKUP(V127,'G-7 WaterC'' Data'!$AK$4:$AM$6,2,FALSE)))</f>
        <v/>
      </c>
      <c r="X127" s="291" t="str">
        <f>IF(V127="","",IF(VLOOKUP(V127,'G-7 WaterC'' Data'!$AK$4:$AM$6,3,FALSE)=0,"Spatial Data Missing ⚠",VLOOKUP(V127,'G-7 WaterC'' Data'!$AK$4:$AM$6,3,FALSE)))</f>
        <v/>
      </c>
      <c r="Y127" s="290" t="str">
        <f>IFERROR(IF(OR(LEFT(P127,5)="Error",LEFT(O127,5)="Error ▲"),"Check Data ⚠",IF(F127&lt;S127,'G-7 WaterC'' Data'!$R$3,INDEX('G-7 WaterC'' Data'!$U$5:$Y$9,MATCH(G127,'G-7 WaterC'' Data'!$T$5:$T$9,0),MATCH(T127,'G-7 WaterC'' Data'!$U$4:$Y$4,0)))),"")</f>
        <v/>
      </c>
      <c r="Z127" s="138"/>
      <c r="AA127" s="138"/>
      <c r="AB127" s="298" t="str">
        <f t="shared" si="12"/>
        <v/>
      </c>
      <c r="AC127" s="311" t="str">
        <f t="shared" si="13"/>
        <v/>
      </c>
      <c r="AD127" s="344" t="str">
        <f>IFERROR(IF(AC127="Check Data ⚠","Check Data ⚠",VLOOKUP(AC127,'G-4 Temporal multipliers'!$A$4:$C$37,3,FALSE)),"")</f>
        <v/>
      </c>
      <c r="AE127" s="290" t="str">
        <f>IF(N127="","",VLOOKUP(N127,'G-7 WaterC'' Data'!$B$4:$G$8,5,FALSE))</f>
        <v/>
      </c>
      <c r="AF127" s="298" t="str">
        <f t="shared" si="14"/>
        <v/>
      </c>
      <c r="AG127" s="328" t="str">
        <f t="shared" si="15"/>
        <v/>
      </c>
      <c r="AH127" s="291" t="str">
        <f t="shared" si="9"/>
        <v/>
      </c>
      <c r="AI127" s="103"/>
      <c r="AJ127" s="291" t="str">
        <f>IF(AI127="","",IF(AND(AI127="N/A - Culvert",N127&lt;&gt;"Culvert"),"Not possible ▲",IF(VLOOKUP(AI127,'G-7 WaterC'' Data'!$AA$4:$AB$7,2,FALSE)=0,"Spatial Data Missing ⚠",VLOOKUP(AI127,'G-7 WaterC'' Data'!$AA$4:$AB$7,2,FALSE))))</f>
        <v/>
      </c>
      <c r="AK127" s="104"/>
      <c r="AL127" s="291" t="str">
        <f>IF(AK127="","",IF(AND(AK127="N/A - Culvert",N127&lt;&gt;"Culvert"),"Not possible ▲",IF(VLOOKUP(AK127,'G-7 WaterC'' Data'!$AD$4:$AE$14,2,FALSE)=0,"Spatial Data Missing ⚠",VLOOKUP(AK127,'G-7 WaterC'' Data'!$AD$4:$AE$14,2,FALSE))))</f>
        <v/>
      </c>
      <c r="AM127" s="332" t="str">
        <f t="shared" si="16"/>
        <v/>
      </c>
      <c r="AN127" s="98"/>
      <c r="AO127" s="99"/>
      <c r="AP127" s="101"/>
      <c r="AS127" s="15" t="str">
        <f>IF(B127="","",IF(ISNA(VLOOKUP($B127,'C-1 On-Site WaterC'' Baseline'!$C$8:$AD$257,17,FALSE)),"",(VLOOKUP($B127,'C-1 On-Site WaterC'' Baseline'!$C$8:$AD$257,17,FALSE))))</f>
        <v/>
      </c>
      <c r="AT127" s="15" t="str">
        <f>IF(B127="","",VLOOKUP($B127,'C-1 On-Site WaterC'' Baseline'!$C$9:$Z$257,12,FALSE))</f>
        <v/>
      </c>
      <c r="AU127" s="15" t="str">
        <f>IF(B127="","",VLOOKUP($B127,'C-1 On-Site WaterC'' Baseline'!$C$9:$Z$257,14,FALSE))</f>
        <v/>
      </c>
      <c r="AV127" s="15" t="str">
        <f>IFERROR(INDEX('G-7 WaterC'' Data'!$AZ$3:$AZ$7,MATCH(N127,'G-7 WaterC'' Data'!$AY$3:$AY$7,0)),"")</f>
        <v/>
      </c>
      <c r="AX127" s="15" t="str">
        <f>IF(B127="","",VLOOKUP($B127,'C-1 On-Site WaterC'' Baseline'!$C$9:$Y$257,22,FALSE))</f>
        <v/>
      </c>
      <c r="AY127" s="15" t="str">
        <f t="shared" si="17"/>
        <v/>
      </c>
      <c r="AZ127" s="15" t="str">
        <f>IF(B127="","",VLOOKUP($B127,'C-1 On-Site WaterC'' Baseline'!$C$9:$Y$257,21,FALSE))</f>
        <v/>
      </c>
      <c r="BA127" s="15" t="str">
        <f>IF(B127="","",VLOOKUP($B127,'C-1 On-Site WaterC'' Baseline'!$C$9:$Y$257,19,FALSE))</f>
        <v/>
      </c>
    </row>
    <row r="128" spans="2:53" ht="14" x14ac:dyDescent="0.3">
      <c r="B128" s="319" t="str">
        <f>'C-1 On-Site WaterC'' Baseline'!AP126</f>
        <v/>
      </c>
      <c r="C128" s="310" t="str">
        <f>IF(B128="","",VLOOKUP($B128,'C-1 On-Site WaterC'' Baseline'!$C$9:$R$257,2,FALSE))</f>
        <v/>
      </c>
      <c r="D128" s="310" t="str">
        <f>IF(C128="","",VLOOKUP($B128,'C-1 On-Site WaterC'' Baseline'!$C$9:$R$257,3,FALSE))</f>
        <v/>
      </c>
      <c r="E128" s="310" t="str">
        <f>IF(D128="","",VLOOKUP($B128,'C-1 On-Site WaterC'' Baseline'!$C$9:$R$257,4,FALSE))</f>
        <v/>
      </c>
      <c r="F128" s="310" t="str">
        <f>IF(E128="","",VLOOKUP($B128,'C-1 On-Site WaterC'' Baseline'!$C$9:$R$257,5,FALSE))</f>
        <v/>
      </c>
      <c r="G128" s="310" t="str">
        <f>IF(F128="","",VLOOKUP($B128,'C-1 On-Site WaterC'' Baseline'!$C$9:$R$257,6,FALSE))</f>
        <v/>
      </c>
      <c r="H128" s="310" t="str">
        <f>IF(G128="","",VLOOKUP($B128,'C-1 On-Site WaterC'' Baseline'!$C$9:$R$257,7,FALSE))</f>
        <v/>
      </c>
      <c r="I128" s="310" t="str">
        <f>IF(H128="","",VLOOKUP($B128,'C-1 On-Site WaterC'' Baseline'!$C$9:$R$257,8,FALSE))</f>
        <v/>
      </c>
      <c r="J128" s="310" t="str">
        <f>IF(I128="","",VLOOKUP($B128,'C-1 On-Site WaterC'' Baseline'!$C$9:$R$257,9,FALSE))</f>
        <v/>
      </c>
      <c r="K128" s="310" t="str">
        <f>IF(J128="","",VLOOKUP($B128,'C-1 On-Site WaterC'' Baseline'!$C$9:$R$257,10,FALSE))</f>
        <v/>
      </c>
      <c r="L128" s="310" t="str">
        <f>IF(B128="","",VLOOKUP($B128,'C-1 On-Site WaterC'' Baseline'!$C$9:$R$257,15,FALSE))</f>
        <v/>
      </c>
      <c r="M128" s="314" t="str">
        <f>IF(L128="","",VLOOKUP($B128,'C-1 On-Site WaterC'' Baseline'!$C$9:$R$257,16,FALSE))</f>
        <v/>
      </c>
      <c r="N128" s="259"/>
      <c r="O128" s="290" t="str">
        <f t="shared" si="10"/>
        <v/>
      </c>
      <c r="P128" s="291" t="str">
        <f t="shared" si="11"/>
        <v/>
      </c>
      <c r="Q128" s="346" t="str">
        <f>IF(N128="","",VLOOKUP(B128,'C-1 On-Site WaterC'' Baseline'!$C$10:$AC$257,20,FALSE))</f>
        <v/>
      </c>
      <c r="R128" s="290" t="str">
        <f>IF(N128="","",VLOOKUP(N128,'G-7 WaterC'' Data'!$B$2:$G$8,2,FALSE))</f>
        <v/>
      </c>
      <c r="S128" s="291" t="str">
        <f>IFERROR(VLOOKUP(R128,'G-7 WaterC'' Data'!$C$4:$D$8,2,FALSE),"")</f>
        <v/>
      </c>
      <c r="T128" s="95"/>
      <c r="U128" s="291" t="str">
        <f>IFERROR(INDEX('G-7 WaterC'' Data'!$H$4:$L$8,MATCH(N128,'G-7 WaterC'' Data'!$B$4:$B$8,0),MATCH(T128,'G-7 WaterC'' Data'!$H$3:$L$3,0)),"")</f>
        <v/>
      </c>
      <c r="V128" s="95"/>
      <c r="W128" s="298" t="str">
        <f>IF(V128="","",IF(VLOOKUP(V128,'G-7 WaterC'' Data'!$AK$4:$AM$6,2,FALSE)=0,"Spatial Data Missing ⚠",VLOOKUP(V128,'G-7 WaterC'' Data'!$AK$4:$AM$6,2,FALSE)))</f>
        <v/>
      </c>
      <c r="X128" s="291" t="str">
        <f>IF(V128="","",IF(VLOOKUP(V128,'G-7 WaterC'' Data'!$AK$4:$AM$6,3,FALSE)=0,"Spatial Data Missing ⚠",VLOOKUP(V128,'G-7 WaterC'' Data'!$AK$4:$AM$6,3,FALSE)))</f>
        <v/>
      </c>
      <c r="Y128" s="290" t="str">
        <f>IFERROR(IF(OR(LEFT(P128,5)="Error",LEFT(O128,5)="Error ▲"),"Check Data ⚠",IF(F128&lt;S128,'G-7 WaterC'' Data'!$R$3,INDEX('G-7 WaterC'' Data'!$U$5:$Y$9,MATCH(G128,'G-7 WaterC'' Data'!$T$5:$T$9,0),MATCH(T128,'G-7 WaterC'' Data'!$U$4:$Y$4,0)))),"")</f>
        <v/>
      </c>
      <c r="Z128" s="138"/>
      <c r="AA128" s="138"/>
      <c r="AB128" s="298" t="str">
        <f t="shared" si="12"/>
        <v/>
      </c>
      <c r="AC128" s="311" t="str">
        <f t="shared" si="13"/>
        <v/>
      </c>
      <c r="AD128" s="344" t="str">
        <f>IFERROR(IF(AC128="Check Data ⚠","Check Data ⚠",VLOOKUP(AC128,'G-4 Temporal multipliers'!$A$4:$C$37,3,FALSE)),"")</f>
        <v/>
      </c>
      <c r="AE128" s="290" t="str">
        <f>IF(N128="","",VLOOKUP(N128,'G-7 WaterC'' Data'!$B$4:$G$8,5,FALSE))</f>
        <v/>
      </c>
      <c r="AF128" s="298" t="str">
        <f t="shared" si="14"/>
        <v/>
      </c>
      <c r="AG128" s="328" t="str">
        <f t="shared" si="15"/>
        <v/>
      </c>
      <c r="AH128" s="291" t="str">
        <f t="shared" si="9"/>
        <v/>
      </c>
      <c r="AI128" s="103"/>
      <c r="AJ128" s="291" t="str">
        <f>IF(AI128="","",IF(AND(AI128="N/A - Culvert",N128&lt;&gt;"Culvert"),"Not possible ▲",IF(VLOOKUP(AI128,'G-7 WaterC'' Data'!$AA$4:$AB$7,2,FALSE)=0,"Spatial Data Missing ⚠",VLOOKUP(AI128,'G-7 WaterC'' Data'!$AA$4:$AB$7,2,FALSE))))</f>
        <v/>
      </c>
      <c r="AK128" s="104"/>
      <c r="AL128" s="291" t="str">
        <f>IF(AK128="","",IF(AND(AK128="N/A - Culvert",N128&lt;&gt;"Culvert"),"Not possible ▲",IF(VLOOKUP(AK128,'G-7 WaterC'' Data'!$AD$4:$AE$14,2,FALSE)=0,"Spatial Data Missing ⚠",VLOOKUP(AK128,'G-7 WaterC'' Data'!$AD$4:$AE$14,2,FALSE))))</f>
        <v/>
      </c>
      <c r="AM128" s="332" t="str">
        <f t="shared" si="16"/>
        <v/>
      </c>
      <c r="AN128" s="98"/>
      <c r="AO128" s="99"/>
      <c r="AP128" s="101"/>
      <c r="AS128" s="15" t="str">
        <f>IF(B128="","",IF(ISNA(VLOOKUP($B128,'C-1 On-Site WaterC'' Baseline'!$C$8:$AD$257,17,FALSE)),"",(VLOOKUP($B128,'C-1 On-Site WaterC'' Baseline'!$C$8:$AD$257,17,FALSE))))</f>
        <v/>
      </c>
      <c r="AT128" s="15" t="str">
        <f>IF(B128="","",VLOOKUP($B128,'C-1 On-Site WaterC'' Baseline'!$C$9:$Z$257,12,FALSE))</f>
        <v/>
      </c>
      <c r="AU128" s="15" t="str">
        <f>IF(B128="","",VLOOKUP($B128,'C-1 On-Site WaterC'' Baseline'!$C$9:$Z$257,14,FALSE))</f>
        <v/>
      </c>
      <c r="AV128" s="15" t="str">
        <f>IFERROR(INDEX('G-7 WaterC'' Data'!$AZ$3:$AZ$7,MATCH(N128,'G-7 WaterC'' Data'!$AY$3:$AY$7,0)),"")</f>
        <v/>
      </c>
      <c r="AX128" s="15" t="str">
        <f>IF(B128="","",VLOOKUP($B128,'C-1 On-Site WaterC'' Baseline'!$C$9:$Y$257,22,FALSE))</f>
        <v/>
      </c>
      <c r="AY128" s="15" t="str">
        <f t="shared" si="17"/>
        <v/>
      </c>
      <c r="AZ128" s="15" t="str">
        <f>IF(B128="","",VLOOKUP($B128,'C-1 On-Site WaterC'' Baseline'!$C$9:$Y$257,21,FALSE))</f>
        <v/>
      </c>
      <c r="BA128" s="15" t="str">
        <f>IF(B128="","",VLOOKUP($B128,'C-1 On-Site WaterC'' Baseline'!$C$9:$Y$257,19,FALSE))</f>
        <v/>
      </c>
    </row>
    <row r="129" spans="2:53" ht="14" x14ac:dyDescent="0.3">
      <c r="B129" s="319" t="str">
        <f>'C-1 On-Site WaterC'' Baseline'!AP127</f>
        <v/>
      </c>
      <c r="C129" s="310" t="str">
        <f>IF(B129="","",VLOOKUP($B129,'C-1 On-Site WaterC'' Baseline'!$C$9:$R$257,2,FALSE))</f>
        <v/>
      </c>
      <c r="D129" s="310" t="str">
        <f>IF(C129="","",VLOOKUP($B129,'C-1 On-Site WaterC'' Baseline'!$C$9:$R$257,3,FALSE))</f>
        <v/>
      </c>
      <c r="E129" s="310" t="str">
        <f>IF(D129="","",VLOOKUP($B129,'C-1 On-Site WaterC'' Baseline'!$C$9:$R$257,4,FALSE))</f>
        <v/>
      </c>
      <c r="F129" s="310" t="str">
        <f>IF(E129="","",VLOOKUP($B129,'C-1 On-Site WaterC'' Baseline'!$C$9:$R$257,5,FALSE))</f>
        <v/>
      </c>
      <c r="G129" s="310" t="str">
        <f>IF(F129="","",VLOOKUP($B129,'C-1 On-Site WaterC'' Baseline'!$C$9:$R$257,6,FALSE))</f>
        <v/>
      </c>
      <c r="H129" s="310" t="str">
        <f>IF(G129="","",VLOOKUP($B129,'C-1 On-Site WaterC'' Baseline'!$C$9:$R$257,7,FALSE))</f>
        <v/>
      </c>
      <c r="I129" s="310" t="str">
        <f>IF(H129="","",VLOOKUP($B129,'C-1 On-Site WaterC'' Baseline'!$C$9:$R$257,8,FALSE))</f>
        <v/>
      </c>
      <c r="J129" s="310" t="str">
        <f>IF(I129="","",VLOOKUP($B129,'C-1 On-Site WaterC'' Baseline'!$C$9:$R$257,9,FALSE))</f>
        <v/>
      </c>
      <c r="K129" s="310" t="str">
        <f>IF(J129="","",VLOOKUP($B129,'C-1 On-Site WaterC'' Baseline'!$C$9:$R$257,10,FALSE))</f>
        <v/>
      </c>
      <c r="L129" s="310" t="str">
        <f>IF(B129="","",VLOOKUP($B129,'C-1 On-Site WaterC'' Baseline'!$C$9:$R$257,15,FALSE))</f>
        <v/>
      </c>
      <c r="M129" s="314" t="str">
        <f>IF(L129="","",VLOOKUP($B129,'C-1 On-Site WaterC'' Baseline'!$C$9:$R$257,16,FALSE))</f>
        <v/>
      </c>
      <c r="N129" s="259"/>
      <c r="O129" s="290" t="str">
        <f t="shared" si="10"/>
        <v/>
      </c>
      <c r="P129" s="291" t="str">
        <f t="shared" si="11"/>
        <v/>
      </c>
      <c r="Q129" s="346" t="str">
        <f>IF(N129="","",VLOOKUP(B129,'C-1 On-Site WaterC'' Baseline'!$C$10:$AC$257,20,FALSE))</f>
        <v/>
      </c>
      <c r="R129" s="290" t="str">
        <f>IF(N129="","",VLOOKUP(N129,'G-7 WaterC'' Data'!$B$2:$G$8,2,FALSE))</f>
        <v/>
      </c>
      <c r="S129" s="291" t="str">
        <f>IFERROR(VLOOKUP(R129,'G-7 WaterC'' Data'!$C$4:$D$8,2,FALSE),"")</f>
        <v/>
      </c>
      <c r="T129" s="95"/>
      <c r="U129" s="291" t="str">
        <f>IFERROR(INDEX('G-7 WaterC'' Data'!$H$4:$L$8,MATCH(N129,'G-7 WaterC'' Data'!$B$4:$B$8,0),MATCH(T129,'G-7 WaterC'' Data'!$H$3:$L$3,0)),"")</f>
        <v/>
      </c>
      <c r="V129" s="95"/>
      <c r="W129" s="298" t="str">
        <f>IF(V129="","",IF(VLOOKUP(V129,'G-7 WaterC'' Data'!$AK$4:$AM$6,2,FALSE)=0,"Spatial Data Missing ⚠",VLOOKUP(V129,'G-7 WaterC'' Data'!$AK$4:$AM$6,2,FALSE)))</f>
        <v/>
      </c>
      <c r="X129" s="291" t="str">
        <f>IF(V129="","",IF(VLOOKUP(V129,'G-7 WaterC'' Data'!$AK$4:$AM$6,3,FALSE)=0,"Spatial Data Missing ⚠",VLOOKUP(V129,'G-7 WaterC'' Data'!$AK$4:$AM$6,3,FALSE)))</f>
        <v/>
      </c>
      <c r="Y129" s="290" t="str">
        <f>IFERROR(IF(OR(LEFT(P129,5)="Error",LEFT(O129,5)="Error ▲"),"Check Data ⚠",IF(F129&lt;S129,'G-7 WaterC'' Data'!$R$3,INDEX('G-7 WaterC'' Data'!$U$5:$Y$9,MATCH(G129,'G-7 WaterC'' Data'!$T$5:$T$9,0),MATCH(T129,'G-7 WaterC'' Data'!$U$4:$Y$4,0)))),"")</f>
        <v/>
      </c>
      <c r="Z129" s="138"/>
      <c r="AA129" s="138"/>
      <c r="AB129" s="298" t="str">
        <f t="shared" si="12"/>
        <v/>
      </c>
      <c r="AC129" s="311" t="str">
        <f t="shared" si="13"/>
        <v/>
      </c>
      <c r="AD129" s="344" t="str">
        <f>IFERROR(IF(AC129="Check Data ⚠","Check Data ⚠",VLOOKUP(AC129,'G-4 Temporal multipliers'!$A$4:$C$37,3,FALSE)),"")</f>
        <v/>
      </c>
      <c r="AE129" s="290" t="str">
        <f>IF(N129="","",VLOOKUP(N129,'G-7 WaterC'' Data'!$B$4:$G$8,5,FALSE))</f>
        <v/>
      </c>
      <c r="AF129" s="298" t="str">
        <f t="shared" si="14"/>
        <v/>
      </c>
      <c r="AG129" s="328" t="str">
        <f t="shared" si="15"/>
        <v/>
      </c>
      <c r="AH129" s="291" t="str">
        <f t="shared" si="9"/>
        <v/>
      </c>
      <c r="AI129" s="103"/>
      <c r="AJ129" s="291" t="str">
        <f>IF(AI129="","",IF(AND(AI129="N/A - Culvert",N129&lt;&gt;"Culvert"),"Not possible ▲",IF(VLOOKUP(AI129,'G-7 WaterC'' Data'!$AA$4:$AB$7,2,FALSE)=0,"Spatial Data Missing ⚠",VLOOKUP(AI129,'G-7 WaterC'' Data'!$AA$4:$AB$7,2,FALSE))))</f>
        <v/>
      </c>
      <c r="AK129" s="104"/>
      <c r="AL129" s="291" t="str">
        <f>IF(AK129="","",IF(AND(AK129="N/A - Culvert",N129&lt;&gt;"Culvert"),"Not possible ▲",IF(VLOOKUP(AK129,'G-7 WaterC'' Data'!$AD$4:$AE$14,2,FALSE)=0,"Spatial Data Missing ⚠",VLOOKUP(AK129,'G-7 WaterC'' Data'!$AD$4:$AE$14,2,FALSE))))</f>
        <v/>
      </c>
      <c r="AM129" s="332" t="str">
        <f t="shared" si="16"/>
        <v/>
      </c>
      <c r="AN129" s="98"/>
      <c r="AO129" s="99"/>
      <c r="AP129" s="101"/>
      <c r="AS129" s="15" t="str">
        <f>IF(B129="","",IF(ISNA(VLOOKUP($B129,'C-1 On-Site WaterC'' Baseline'!$C$8:$AD$257,17,FALSE)),"",(VLOOKUP($B129,'C-1 On-Site WaterC'' Baseline'!$C$8:$AD$257,17,FALSE))))</f>
        <v/>
      </c>
      <c r="AT129" s="15" t="str">
        <f>IF(B129="","",VLOOKUP($B129,'C-1 On-Site WaterC'' Baseline'!$C$9:$Z$257,12,FALSE))</f>
        <v/>
      </c>
      <c r="AU129" s="15" t="str">
        <f>IF(B129="","",VLOOKUP($B129,'C-1 On-Site WaterC'' Baseline'!$C$9:$Z$257,14,FALSE))</f>
        <v/>
      </c>
      <c r="AV129" s="15" t="str">
        <f>IFERROR(INDEX('G-7 WaterC'' Data'!$AZ$3:$AZ$7,MATCH(N129,'G-7 WaterC'' Data'!$AY$3:$AY$7,0)),"")</f>
        <v/>
      </c>
      <c r="AX129" s="15" t="str">
        <f>IF(B129="","",VLOOKUP($B129,'C-1 On-Site WaterC'' Baseline'!$C$9:$Y$257,22,FALSE))</f>
        <v/>
      </c>
      <c r="AY129" s="15" t="str">
        <f t="shared" si="17"/>
        <v/>
      </c>
      <c r="AZ129" s="15" t="str">
        <f>IF(B129="","",VLOOKUP($B129,'C-1 On-Site WaterC'' Baseline'!$C$9:$Y$257,21,FALSE))</f>
        <v/>
      </c>
      <c r="BA129" s="15" t="str">
        <f>IF(B129="","",VLOOKUP($B129,'C-1 On-Site WaterC'' Baseline'!$C$9:$Y$257,19,FALSE))</f>
        <v/>
      </c>
    </row>
    <row r="130" spans="2:53" ht="14" x14ac:dyDescent="0.3">
      <c r="B130" s="319" t="str">
        <f>'C-1 On-Site WaterC'' Baseline'!AP128</f>
        <v/>
      </c>
      <c r="C130" s="310" t="str">
        <f>IF(B130="","",VLOOKUP($B130,'C-1 On-Site WaterC'' Baseline'!$C$9:$R$257,2,FALSE))</f>
        <v/>
      </c>
      <c r="D130" s="310" t="str">
        <f>IF(C130="","",VLOOKUP($B130,'C-1 On-Site WaterC'' Baseline'!$C$9:$R$257,3,FALSE))</f>
        <v/>
      </c>
      <c r="E130" s="310" t="str">
        <f>IF(D130="","",VLOOKUP($B130,'C-1 On-Site WaterC'' Baseline'!$C$9:$R$257,4,FALSE))</f>
        <v/>
      </c>
      <c r="F130" s="310" t="str">
        <f>IF(E130="","",VLOOKUP($B130,'C-1 On-Site WaterC'' Baseline'!$C$9:$R$257,5,FALSE))</f>
        <v/>
      </c>
      <c r="G130" s="310" t="str">
        <f>IF(F130="","",VLOOKUP($B130,'C-1 On-Site WaterC'' Baseline'!$C$9:$R$257,6,FALSE))</f>
        <v/>
      </c>
      <c r="H130" s="310" t="str">
        <f>IF(G130="","",VLOOKUP($B130,'C-1 On-Site WaterC'' Baseline'!$C$9:$R$257,7,FALSE))</f>
        <v/>
      </c>
      <c r="I130" s="310" t="str">
        <f>IF(H130="","",VLOOKUP($B130,'C-1 On-Site WaterC'' Baseline'!$C$9:$R$257,8,FALSE))</f>
        <v/>
      </c>
      <c r="J130" s="310" t="str">
        <f>IF(I130="","",VLOOKUP($B130,'C-1 On-Site WaterC'' Baseline'!$C$9:$R$257,9,FALSE))</f>
        <v/>
      </c>
      <c r="K130" s="310" t="str">
        <f>IF(J130="","",VLOOKUP($B130,'C-1 On-Site WaterC'' Baseline'!$C$9:$R$257,10,FALSE))</f>
        <v/>
      </c>
      <c r="L130" s="310" t="str">
        <f>IF(B130="","",VLOOKUP($B130,'C-1 On-Site WaterC'' Baseline'!$C$9:$R$257,15,FALSE))</f>
        <v/>
      </c>
      <c r="M130" s="314" t="str">
        <f>IF(L130="","",VLOOKUP($B130,'C-1 On-Site WaterC'' Baseline'!$C$9:$R$257,16,FALSE))</f>
        <v/>
      </c>
      <c r="N130" s="259"/>
      <c r="O130" s="290" t="str">
        <f t="shared" si="10"/>
        <v/>
      </c>
      <c r="P130" s="291" t="str">
        <f t="shared" si="11"/>
        <v/>
      </c>
      <c r="Q130" s="346" t="str">
        <f>IF(N130="","",VLOOKUP(B130,'C-1 On-Site WaterC'' Baseline'!$C$10:$AC$257,20,FALSE))</f>
        <v/>
      </c>
      <c r="R130" s="290" t="str">
        <f>IF(N130="","",VLOOKUP(N130,'G-7 WaterC'' Data'!$B$2:$G$8,2,FALSE))</f>
        <v/>
      </c>
      <c r="S130" s="291" t="str">
        <f>IFERROR(VLOOKUP(R130,'G-7 WaterC'' Data'!$C$4:$D$8,2,FALSE),"")</f>
        <v/>
      </c>
      <c r="T130" s="95"/>
      <c r="U130" s="291" t="str">
        <f>IFERROR(INDEX('G-7 WaterC'' Data'!$H$4:$L$8,MATCH(N130,'G-7 WaterC'' Data'!$B$4:$B$8,0),MATCH(T130,'G-7 WaterC'' Data'!$H$3:$L$3,0)),"")</f>
        <v/>
      </c>
      <c r="V130" s="95"/>
      <c r="W130" s="298" t="str">
        <f>IF(V130="","",IF(VLOOKUP(V130,'G-7 WaterC'' Data'!$AK$4:$AM$6,2,FALSE)=0,"Spatial Data Missing ⚠",VLOOKUP(V130,'G-7 WaterC'' Data'!$AK$4:$AM$6,2,FALSE)))</f>
        <v/>
      </c>
      <c r="X130" s="291" t="str">
        <f>IF(V130="","",IF(VLOOKUP(V130,'G-7 WaterC'' Data'!$AK$4:$AM$6,3,FALSE)=0,"Spatial Data Missing ⚠",VLOOKUP(V130,'G-7 WaterC'' Data'!$AK$4:$AM$6,3,FALSE)))</f>
        <v/>
      </c>
      <c r="Y130" s="290" t="str">
        <f>IFERROR(IF(OR(LEFT(P130,5)="Error",LEFT(O130,5)="Error ▲"),"Check Data ⚠",IF(F130&lt;S130,'G-7 WaterC'' Data'!$R$3,INDEX('G-7 WaterC'' Data'!$U$5:$Y$9,MATCH(G130,'G-7 WaterC'' Data'!$T$5:$T$9,0),MATCH(T130,'G-7 WaterC'' Data'!$U$4:$Y$4,0)))),"")</f>
        <v/>
      </c>
      <c r="Z130" s="138"/>
      <c r="AA130" s="138"/>
      <c r="AB130" s="298" t="str">
        <f t="shared" si="12"/>
        <v/>
      </c>
      <c r="AC130" s="311" t="str">
        <f t="shared" si="13"/>
        <v/>
      </c>
      <c r="AD130" s="344" t="str">
        <f>IFERROR(IF(AC130="Check Data ⚠","Check Data ⚠",VLOOKUP(AC130,'G-4 Temporal multipliers'!$A$4:$C$37,3,FALSE)),"")</f>
        <v/>
      </c>
      <c r="AE130" s="290" t="str">
        <f>IF(N130="","",VLOOKUP(N130,'G-7 WaterC'' Data'!$B$4:$G$8,5,FALSE))</f>
        <v/>
      </c>
      <c r="AF130" s="298" t="str">
        <f t="shared" si="14"/>
        <v/>
      </c>
      <c r="AG130" s="328" t="str">
        <f t="shared" si="15"/>
        <v/>
      </c>
      <c r="AH130" s="291" t="str">
        <f t="shared" si="9"/>
        <v/>
      </c>
      <c r="AI130" s="103"/>
      <c r="AJ130" s="291" t="str">
        <f>IF(AI130="","",IF(AND(AI130="N/A - Culvert",N130&lt;&gt;"Culvert"),"Not possible ▲",IF(VLOOKUP(AI130,'G-7 WaterC'' Data'!$AA$4:$AB$7,2,FALSE)=0,"Spatial Data Missing ⚠",VLOOKUP(AI130,'G-7 WaterC'' Data'!$AA$4:$AB$7,2,FALSE))))</f>
        <v/>
      </c>
      <c r="AK130" s="104"/>
      <c r="AL130" s="291" t="str">
        <f>IF(AK130="","",IF(AND(AK130="N/A - Culvert",N130&lt;&gt;"Culvert"),"Not possible ▲",IF(VLOOKUP(AK130,'G-7 WaterC'' Data'!$AD$4:$AE$14,2,FALSE)=0,"Spatial Data Missing ⚠",VLOOKUP(AK130,'G-7 WaterC'' Data'!$AD$4:$AE$14,2,FALSE))))</f>
        <v/>
      </c>
      <c r="AM130" s="332" t="str">
        <f t="shared" si="16"/>
        <v/>
      </c>
      <c r="AN130" s="98"/>
      <c r="AO130" s="99"/>
      <c r="AP130" s="101"/>
      <c r="AS130" s="15" t="str">
        <f>IF(B130="","",IF(ISNA(VLOOKUP($B130,'C-1 On-Site WaterC'' Baseline'!$C$8:$AD$257,17,FALSE)),"",(VLOOKUP($B130,'C-1 On-Site WaterC'' Baseline'!$C$8:$AD$257,17,FALSE))))</f>
        <v/>
      </c>
      <c r="AT130" s="15" t="str">
        <f>IF(B130="","",VLOOKUP($B130,'C-1 On-Site WaterC'' Baseline'!$C$9:$Z$257,12,FALSE))</f>
        <v/>
      </c>
      <c r="AU130" s="15" t="str">
        <f>IF(B130="","",VLOOKUP($B130,'C-1 On-Site WaterC'' Baseline'!$C$9:$Z$257,14,FALSE))</f>
        <v/>
      </c>
      <c r="AV130" s="15" t="str">
        <f>IFERROR(INDEX('G-7 WaterC'' Data'!$AZ$3:$AZ$7,MATCH(N130,'G-7 WaterC'' Data'!$AY$3:$AY$7,0)),"")</f>
        <v/>
      </c>
      <c r="AX130" s="15" t="str">
        <f>IF(B130="","",VLOOKUP($B130,'C-1 On-Site WaterC'' Baseline'!$C$9:$Y$257,22,FALSE))</f>
        <v/>
      </c>
      <c r="AY130" s="15" t="str">
        <f t="shared" si="17"/>
        <v/>
      </c>
      <c r="AZ130" s="15" t="str">
        <f>IF(B130="","",VLOOKUP($B130,'C-1 On-Site WaterC'' Baseline'!$C$9:$Y$257,21,FALSE))</f>
        <v/>
      </c>
      <c r="BA130" s="15" t="str">
        <f>IF(B130="","",VLOOKUP($B130,'C-1 On-Site WaterC'' Baseline'!$C$9:$Y$257,19,FALSE))</f>
        <v/>
      </c>
    </row>
    <row r="131" spans="2:53" ht="14" x14ac:dyDescent="0.3">
      <c r="B131" s="319" t="str">
        <f>'C-1 On-Site WaterC'' Baseline'!AP129</f>
        <v/>
      </c>
      <c r="C131" s="310" t="str">
        <f>IF(B131="","",VLOOKUP($B131,'C-1 On-Site WaterC'' Baseline'!$C$9:$R$257,2,FALSE))</f>
        <v/>
      </c>
      <c r="D131" s="310" t="str">
        <f>IF(C131="","",VLOOKUP($B131,'C-1 On-Site WaterC'' Baseline'!$C$9:$R$257,3,FALSE))</f>
        <v/>
      </c>
      <c r="E131" s="310" t="str">
        <f>IF(D131="","",VLOOKUP($B131,'C-1 On-Site WaterC'' Baseline'!$C$9:$R$257,4,FALSE))</f>
        <v/>
      </c>
      <c r="F131" s="310" t="str">
        <f>IF(E131="","",VLOOKUP($B131,'C-1 On-Site WaterC'' Baseline'!$C$9:$R$257,5,FALSE))</f>
        <v/>
      </c>
      <c r="G131" s="310" t="str">
        <f>IF(F131="","",VLOOKUP($B131,'C-1 On-Site WaterC'' Baseline'!$C$9:$R$257,6,FALSE))</f>
        <v/>
      </c>
      <c r="H131" s="310" t="str">
        <f>IF(G131="","",VLOOKUP($B131,'C-1 On-Site WaterC'' Baseline'!$C$9:$R$257,7,FALSE))</f>
        <v/>
      </c>
      <c r="I131" s="310" t="str">
        <f>IF(H131="","",VLOOKUP($B131,'C-1 On-Site WaterC'' Baseline'!$C$9:$R$257,8,FALSE))</f>
        <v/>
      </c>
      <c r="J131" s="310" t="str">
        <f>IF(I131="","",VLOOKUP($B131,'C-1 On-Site WaterC'' Baseline'!$C$9:$R$257,9,FALSE))</f>
        <v/>
      </c>
      <c r="K131" s="310" t="str">
        <f>IF(J131="","",VLOOKUP($B131,'C-1 On-Site WaterC'' Baseline'!$C$9:$R$257,10,FALSE))</f>
        <v/>
      </c>
      <c r="L131" s="310" t="str">
        <f>IF(B131="","",VLOOKUP($B131,'C-1 On-Site WaterC'' Baseline'!$C$9:$R$257,15,FALSE))</f>
        <v/>
      </c>
      <c r="M131" s="314" t="str">
        <f>IF(L131="","",VLOOKUP($B131,'C-1 On-Site WaterC'' Baseline'!$C$9:$R$257,16,FALSE))</f>
        <v/>
      </c>
      <c r="N131" s="259"/>
      <c r="O131" s="290" t="str">
        <f t="shared" si="10"/>
        <v/>
      </c>
      <c r="P131" s="291" t="str">
        <f t="shared" si="11"/>
        <v/>
      </c>
      <c r="Q131" s="346" t="str">
        <f>IF(N131="","",VLOOKUP(B131,'C-1 On-Site WaterC'' Baseline'!$C$10:$AC$257,20,FALSE))</f>
        <v/>
      </c>
      <c r="R131" s="290" t="str">
        <f>IF(N131="","",VLOOKUP(N131,'G-7 WaterC'' Data'!$B$2:$G$8,2,FALSE))</f>
        <v/>
      </c>
      <c r="S131" s="291" t="str">
        <f>IFERROR(VLOOKUP(R131,'G-7 WaterC'' Data'!$C$4:$D$8,2,FALSE),"")</f>
        <v/>
      </c>
      <c r="T131" s="95"/>
      <c r="U131" s="291" t="str">
        <f>IFERROR(INDEX('G-7 WaterC'' Data'!$H$4:$L$8,MATCH(N131,'G-7 WaterC'' Data'!$B$4:$B$8,0),MATCH(T131,'G-7 WaterC'' Data'!$H$3:$L$3,0)),"")</f>
        <v/>
      </c>
      <c r="V131" s="95"/>
      <c r="W131" s="298" t="str">
        <f>IF(V131="","",IF(VLOOKUP(V131,'G-7 WaterC'' Data'!$AK$4:$AM$6,2,FALSE)=0,"Spatial Data Missing ⚠",VLOOKUP(V131,'G-7 WaterC'' Data'!$AK$4:$AM$6,2,FALSE)))</f>
        <v/>
      </c>
      <c r="X131" s="291" t="str">
        <f>IF(V131="","",IF(VLOOKUP(V131,'G-7 WaterC'' Data'!$AK$4:$AM$6,3,FALSE)=0,"Spatial Data Missing ⚠",VLOOKUP(V131,'G-7 WaterC'' Data'!$AK$4:$AM$6,3,FALSE)))</f>
        <v/>
      </c>
      <c r="Y131" s="290" t="str">
        <f>IFERROR(IF(OR(LEFT(P131,5)="Error",LEFT(O131,5)="Error ▲"),"Check Data ⚠",IF(F131&lt;S131,'G-7 WaterC'' Data'!$R$3,INDEX('G-7 WaterC'' Data'!$U$5:$Y$9,MATCH(G131,'G-7 WaterC'' Data'!$T$5:$T$9,0),MATCH(T131,'G-7 WaterC'' Data'!$U$4:$Y$4,0)))),"")</f>
        <v/>
      </c>
      <c r="Z131" s="138"/>
      <c r="AA131" s="138"/>
      <c r="AB131" s="298" t="str">
        <f t="shared" si="12"/>
        <v/>
      </c>
      <c r="AC131" s="311" t="str">
        <f t="shared" si="13"/>
        <v/>
      </c>
      <c r="AD131" s="344" t="str">
        <f>IFERROR(IF(AC131="Check Data ⚠","Check Data ⚠",VLOOKUP(AC131,'G-4 Temporal multipliers'!$A$4:$C$37,3,FALSE)),"")</f>
        <v/>
      </c>
      <c r="AE131" s="290" t="str">
        <f>IF(N131="","",VLOOKUP(N131,'G-7 WaterC'' Data'!$B$4:$G$8,5,FALSE))</f>
        <v/>
      </c>
      <c r="AF131" s="298" t="str">
        <f t="shared" si="14"/>
        <v/>
      </c>
      <c r="AG131" s="328" t="str">
        <f t="shared" si="15"/>
        <v/>
      </c>
      <c r="AH131" s="291" t="str">
        <f t="shared" si="9"/>
        <v/>
      </c>
      <c r="AI131" s="103"/>
      <c r="AJ131" s="291" t="str">
        <f>IF(AI131="","",IF(AND(AI131="N/A - Culvert",N131&lt;&gt;"Culvert"),"Not possible ▲",IF(VLOOKUP(AI131,'G-7 WaterC'' Data'!$AA$4:$AB$7,2,FALSE)=0,"Spatial Data Missing ⚠",VLOOKUP(AI131,'G-7 WaterC'' Data'!$AA$4:$AB$7,2,FALSE))))</f>
        <v/>
      </c>
      <c r="AK131" s="104"/>
      <c r="AL131" s="291" t="str">
        <f>IF(AK131="","",IF(AND(AK131="N/A - Culvert",N131&lt;&gt;"Culvert"),"Not possible ▲",IF(VLOOKUP(AK131,'G-7 WaterC'' Data'!$AD$4:$AE$14,2,FALSE)=0,"Spatial Data Missing ⚠",VLOOKUP(AK131,'G-7 WaterC'' Data'!$AD$4:$AE$14,2,FALSE))))</f>
        <v/>
      </c>
      <c r="AM131" s="332" t="str">
        <f t="shared" si="16"/>
        <v/>
      </c>
      <c r="AN131" s="98"/>
      <c r="AO131" s="99"/>
      <c r="AP131" s="101"/>
      <c r="AS131" s="15" t="str">
        <f>IF(B131="","",IF(ISNA(VLOOKUP($B131,'C-1 On-Site WaterC'' Baseline'!$C$8:$AD$257,17,FALSE)),"",(VLOOKUP($B131,'C-1 On-Site WaterC'' Baseline'!$C$8:$AD$257,17,FALSE))))</f>
        <v/>
      </c>
      <c r="AT131" s="15" t="str">
        <f>IF(B131="","",VLOOKUP($B131,'C-1 On-Site WaterC'' Baseline'!$C$9:$Z$257,12,FALSE))</f>
        <v/>
      </c>
      <c r="AU131" s="15" t="str">
        <f>IF(B131="","",VLOOKUP($B131,'C-1 On-Site WaterC'' Baseline'!$C$9:$Z$257,14,FALSE))</f>
        <v/>
      </c>
      <c r="AV131" s="15" t="str">
        <f>IFERROR(INDEX('G-7 WaterC'' Data'!$AZ$3:$AZ$7,MATCH(N131,'G-7 WaterC'' Data'!$AY$3:$AY$7,0)),"")</f>
        <v/>
      </c>
      <c r="AX131" s="15" t="str">
        <f>IF(B131="","",VLOOKUP($B131,'C-1 On-Site WaterC'' Baseline'!$C$9:$Y$257,22,FALSE))</f>
        <v/>
      </c>
      <c r="AY131" s="15" t="str">
        <f t="shared" si="17"/>
        <v/>
      </c>
      <c r="AZ131" s="15" t="str">
        <f>IF(B131="","",VLOOKUP($B131,'C-1 On-Site WaterC'' Baseline'!$C$9:$Y$257,21,FALSE))</f>
        <v/>
      </c>
      <c r="BA131" s="15" t="str">
        <f>IF(B131="","",VLOOKUP($B131,'C-1 On-Site WaterC'' Baseline'!$C$9:$Y$257,19,FALSE))</f>
        <v/>
      </c>
    </row>
    <row r="132" spans="2:53" ht="14" x14ac:dyDescent="0.3">
      <c r="B132" s="319" t="str">
        <f>'C-1 On-Site WaterC'' Baseline'!AP130</f>
        <v/>
      </c>
      <c r="C132" s="310" t="str">
        <f>IF(B132="","",VLOOKUP($B132,'C-1 On-Site WaterC'' Baseline'!$C$9:$R$257,2,FALSE))</f>
        <v/>
      </c>
      <c r="D132" s="310" t="str">
        <f>IF(C132="","",VLOOKUP($B132,'C-1 On-Site WaterC'' Baseline'!$C$9:$R$257,3,FALSE))</f>
        <v/>
      </c>
      <c r="E132" s="310" t="str">
        <f>IF(D132="","",VLOOKUP($B132,'C-1 On-Site WaterC'' Baseline'!$C$9:$R$257,4,FALSE))</f>
        <v/>
      </c>
      <c r="F132" s="310" t="str">
        <f>IF(E132="","",VLOOKUP($B132,'C-1 On-Site WaterC'' Baseline'!$C$9:$R$257,5,FALSE))</f>
        <v/>
      </c>
      <c r="G132" s="310" t="str">
        <f>IF(F132="","",VLOOKUP($B132,'C-1 On-Site WaterC'' Baseline'!$C$9:$R$257,6,FALSE))</f>
        <v/>
      </c>
      <c r="H132" s="310" t="str">
        <f>IF(G132="","",VLOOKUP($B132,'C-1 On-Site WaterC'' Baseline'!$C$9:$R$257,7,FALSE))</f>
        <v/>
      </c>
      <c r="I132" s="310" t="str">
        <f>IF(H132="","",VLOOKUP($B132,'C-1 On-Site WaterC'' Baseline'!$C$9:$R$257,8,FALSE))</f>
        <v/>
      </c>
      <c r="J132" s="310" t="str">
        <f>IF(I132="","",VLOOKUP($B132,'C-1 On-Site WaterC'' Baseline'!$C$9:$R$257,9,FALSE))</f>
        <v/>
      </c>
      <c r="K132" s="310" t="str">
        <f>IF(J132="","",VLOOKUP($B132,'C-1 On-Site WaterC'' Baseline'!$C$9:$R$257,10,FALSE))</f>
        <v/>
      </c>
      <c r="L132" s="310" t="str">
        <f>IF(B132="","",VLOOKUP($B132,'C-1 On-Site WaterC'' Baseline'!$C$9:$R$257,15,FALSE))</f>
        <v/>
      </c>
      <c r="M132" s="314" t="str">
        <f>IF(L132="","",VLOOKUP($B132,'C-1 On-Site WaterC'' Baseline'!$C$9:$R$257,16,FALSE))</f>
        <v/>
      </c>
      <c r="N132" s="259"/>
      <c r="O132" s="290" t="str">
        <f t="shared" si="10"/>
        <v/>
      </c>
      <c r="P132" s="291" t="str">
        <f t="shared" si="11"/>
        <v/>
      </c>
      <c r="Q132" s="346" t="str">
        <f>IF(N132="","",VLOOKUP(B132,'C-1 On-Site WaterC'' Baseline'!$C$10:$AC$257,20,FALSE))</f>
        <v/>
      </c>
      <c r="R132" s="290" t="str">
        <f>IF(N132="","",VLOOKUP(N132,'G-7 WaterC'' Data'!$B$2:$G$8,2,FALSE))</f>
        <v/>
      </c>
      <c r="S132" s="291" t="str">
        <f>IFERROR(VLOOKUP(R132,'G-7 WaterC'' Data'!$C$4:$D$8,2,FALSE),"")</f>
        <v/>
      </c>
      <c r="T132" s="95"/>
      <c r="U132" s="291" t="str">
        <f>IFERROR(INDEX('G-7 WaterC'' Data'!$H$4:$L$8,MATCH(N132,'G-7 WaterC'' Data'!$B$4:$B$8,0),MATCH(T132,'G-7 WaterC'' Data'!$H$3:$L$3,0)),"")</f>
        <v/>
      </c>
      <c r="V132" s="95"/>
      <c r="W132" s="298" t="str">
        <f>IF(V132="","",IF(VLOOKUP(V132,'G-7 WaterC'' Data'!$AK$4:$AM$6,2,FALSE)=0,"Spatial Data Missing ⚠",VLOOKUP(V132,'G-7 WaterC'' Data'!$AK$4:$AM$6,2,FALSE)))</f>
        <v/>
      </c>
      <c r="X132" s="291" t="str">
        <f>IF(V132="","",IF(VLOOKUP(V132,'G-7 WaterC'' Data'!$AK$4:$AM$6,3,FALSE)=0,"Spatial Data Missing ⚠",VLOOKUP(V132,'G-7 WaterC'' Data'!$AK$4:$AM$6,3,FALSE)))</f>
        <v/>
      </c>
      <c r="Y132" s="290" t="str">
        <f>IFERROR(IF(OR(LEFT(P132,5)="Error",LEFT(O132,5)="Error ▲"),"Check Data ⚠",IF(F132&lt;S132,'G-7 WaterC'' Data'!$R$3,INDEX('G-7 WaterC'' Data'!$U$5:$Y$9,MATCH(G132,'G-7 WaterC'' Data'!$T$5:$T$9,0),MATCH(T132,'G-7 WaterC'' Data'!$U$4:$Y$4,0)))),"")</f>
        <v/>
      </c>
      <c r="Z132" s="138"/>
      <c r="AA132" s="138"/>
      <c r="AB132" s="298" t="str">
        <f t="shared" si="12"/>
        <v/>
      </c>
      <c r="AC132" s="311" t="str">
        <f t="shared" si="13"/>
        <v/>
      </c>
      <c r="AD132" s="344" t="str">
        <f>IFERROR(IF(AC132="Check Data ⚠","Check Data ⚠",VLOOKUP(AC132,'G-4 Temporal multipliers'!$A$4:$C$37,3,FALSE)),"")</f>
        <v/>
      </c>
      <c r="AE132" s="290" t="str">
        <f>IF(N132="","",VLOOKUP(N132,'G-7 WaterC'' Data'!$B$4:$G$8,5,FALSE))</f>
        <v/>
      </c>
      <c r="AF132" s="298" t="str">
        <f t="shared" si="14"/>
        <v/>
      </c>
      <c r="AG132" s="328" t="str">
        <f t="shared" si="15"/>
        <v/>
      </c>
      <c r="AH132" s="291" t="str">
        <f t="shared" si="9"/>
        <v/>
      </c>
      <c r="AI132" s="103"/>
      <c r="AJ132" s="291" t="str">
        <f>IF(AI132="","",IF(AND(AI132="N/A - Culvert",N132&lt;&gt;"Culvert"),"Not possible ▲",IF(VLOOKUP(AI132,'G-7 WaterC'' Data'!$AA$4:$AB$7,2,FALSE)=0,"Spatial Data Missing ⚠",VLOOKUP(AI132,'G-7 WaterC'' Data'!$AA$4:$AB$7,2,FALSE))))</f>
        <v/>
      </c>
      <c r="AK132" s="104"/>
      <c r="AL132" s="291" t="str">
        <f>IF(AK132="","",IF(AND(AK132="N/A - Culvert",N132&lt;&gt;"Culvert"),"Not possible ▲",IF(VLOOKUP(AK132,'G-7 WaterC'' Data'!$AD$4:$AE$14,2,FALSE)=0,"Spatial Data Missing ⚠",VLOOKUP(AK132,'G-7 WaterC'' Data'!$AD$4:$AE$14,2,FALSE))))</f>
        <v/>
      </c>
      <c r="AM132" s="332" t="str">
        <f t="shared" si="16"/>
        <v/>
      </c>
      <c r="AN132" s="98"/>
      <c r="AO132" s="99"/>
      <c r="AP132" s="101"/>
      <c r="AS132" s="15" t="str">
        <f>IF(B132="","",IF(ISNA(VLOOKUP($B132,'C-1 On-Site WaterC'' Baseline'!$C$8:$AD$257,17,FALSE)),"",(VLOOKUP($B132,'C-1 On-Site WaterC'' Baseline'!$C$8:$AD$257,17,FALSE))))</f>
        <v/>
      </c>
      <c r="AT132" s="15" t="str">
        <f>IF(B132="","",VLOOKUP($B132,'C-1 On-Site WaterC'' Baseline'!$C$9:$Z$257,12,FALSE))</f>
        <v/>
      </c>
      <c r="AU132" s="15" t="str">
        <f>IF(B132="","",VLOOKUP($B132,'C-1 On-Site WaterC'' Baseline'!$C$9:$Z$257,14,FALSE))</f>
        <v/>
      </c>
      <c r="AV132" s="15" t="str">
        <f>IFERROR(INDEX('G-7 WaterC'' Data'!$AZ$3:$AZ$7,MATCH(N132,'G-7 WaterC'' Data'!$AY$3:$AY$7,0)),"")</f>
        <v/>
      </c>
      <c r="AX132" s="15" t="str">
        <f>IF(B132="","",VLOOKUP($B132,'C-1 On-Site WaterC'' Baseline'!$C$9:$Y$257,22,FALSE))</f>
        <v/>
      </c>
      <c r="AY132" s="15" t="str">
        <f t="shared" si="17"/>
        <v/>
      </c>
      <c r="AZ132" s="15" t="str">
        <f>IF(B132="","",VLOOKUP($B132,'C-1 On-Site WaterC'' Baseline'!$C$9:$Y$257,21,FALSE))</f>
        <v/>
      </c>
      <c r="BA132" s="15" t="str">
        <f>IF(B132="","",VLOOKUP($B132,'C-1 On-Site WaterC'' Baseline'!$C$9:$Y$257,19,FALSE))</f>
        <v/>
      </c>
    </row>
    <row r="133" spans="2:53" ht="14" x14ac:dyDescent="0.3">
      <c r="B133" s="319" t="str">
        <f>'C-1 On-Site WaterC'' Baseline'!AP131</f>
        <v/>
      </c>
      <c r="C133" s="310" t="str">
        <f>IF(B133="","",VLOOKUP($B133,'C-1 On-Site WaterC'' Baseline'!$C$9:$R$257,2,FALSE))</f>
        <v/>
      </c>
      <c r="D133" s="310" t="str">
        <f>IF(C133="","",VLOOKUP($B133,'C-1 On-Site WaterC'' Baseline'!$C$9:$R$257,3,FALSE))</f>
        <v/>
      </c>
      <c r="E133" s="310" t="str">
        <f>IF(D133="","",VLOOKUP($B133,'C-1 On-Site WaterC'' Baseline'!$C$9:$R$257,4,FALSE))</f>
        <v/>
      </c>
      <c r="F133" s="310" t="str">
        <f>IF(E133="","",VLOOKUP($B133,'C-1 On-Site WaterC'' Baseline'!$C$9:$R$257,5,FALSE))</f>
        <v/>
      </c>
      <c r="G133" s="310" t="str">
        <f>IF(F133="","",VLOOKUP($B133,'C-1 On-Site WaterC'' Baseline'!$C$9:$R$257,6,FALSE))</f>
        <v/>
      </c>
      <c r="H133" s="310" t="str">
        <f>IF(G133="","",VLOOKUP($B133,'C-1 On-Site WaterC'' Baseline'!$C$9:$R$257,7,FALSE))</f>
        <v/>
      </c>
      <c r="I133" s="310" t="str">
        <f>IF(H133="","",VLOOKUP($B133,'C-1 On-Site WaterC'' Baseline'!$C$9:$R$257,8,FALSE))</f>
        <v/>
      </c>
      <c r="J133" s="310" t="str">
        <f>IF(I133="","",VLOOKUP($B133,'C-1 On-Site WaterC'' Baseline'!$C$9:$R$257,9,FALSE))</f>
        <v/>
      </c>
      <c r="K133" s="310" t="str">
        <f>IF(J133="","",VLOOKUP($B133,'C-1 On-Site WaterC'' Baseline'!$C$9:$R$257,10,FALSE))</f>
        <v/>
      </c>
      <c r="L133" s="310" t="str">
        <f>IF(B133="","",VLOOKUP($B133,'C-1 On-Site WaterC'' Baseline'!$C$9:$R$257,15,FALSE))</f>
        <v/>
      </c>
      <c r="M133" s="314" t="str">
        <f>IF(L133="","",VLOOKUP($B133,'C-1 On-Site WaterC'' Baseline'!$C$9:$R$257,16,FALSE))</f>
        <v/>
      </c>
      <c r="N133" s="259"/>
      <c r="O133" s="290" t="str">
        <f t="shared" si="10"/>
        <v/>
      </c>
      <c r="P133" s="291" t="str">
        <f t="shared" si="11"/>
        <v/>
      </c>
      <c r="Q133" s="346" t="str">
        <f>IF(N133="","",VLOOKUP(B133,'C-1 On-Site WaterC'' Baseline'!$C$10:$AC$257,20,FALSE))</f>
        <v/>
      </c>
      <c r="R133" s="290" t="str">
        <f>IF(N133="","",VLOOKUP(N133,'G-7 WaterC'' Data'!$B$2:$G$8,2,FALSE))</f>
        <v/>
      </c>
      <c r="S133" s="291" t="str">
        <f>IFERROR(VLOOKUP(R133,'G-7 WaterC'' Data'!$C$4:$D$8,2,FALSE),"")</f>
        <v/>
      </c>
      <c r="T133" s="95"/>
      <c r="U133" s="291" t="str">
        <f>IFERROR(INDEX('G-7 WaterC'' Data'!$H$4:$L$8,MATCH(N133,'G-7 WaterC'' Data'!$B$4:$B$8,0),MATCH(T133,'G-7 WaterC'' Data'!$H$3:$L$3,0)),"")</f>
        <v/>
      </c>
      <c r="V133" s="95"/>
      <c r="W133" s="298" t="str">
        <f>IF(V133="","",IF(VLOOKUP(V133,'G-7 WaterC'' Data'!$AK$4:$AM$6,2,FALSE)=0,"Spatial Data Missing ⚠",VLOOKUP(V133,'G-7 WaterC'' Data'!$AK$4:$AM$6,2,FALSE)))</f>
        <v/>
      </c>
      <c r="X133" s="291" t="str">
        <f>IF(V133="","",IF(VLOOKUP(V133,'G-7 WaterC'' Data'!$AK$4:$AM$6,3,FALSE)=0,"Spatial Data Missing ⚠",VLOOKUP(V133,'G-7 WaterC'' Data'!$AK$4:$AM$6,3,FALSE)))</f>
        <v/>
      </c>
      <c r="Y133" s="290" t="str">
        <f>IFERROR(IF(OR(LEFT(P133,5)="Error",LEFT(O133,5)="Error ▲"),"Check Data ⚠",IF(F133&lt;S133,'G-7 WaterC'' Data'!$R$3,INDEX('G-7 WaterC'' Data'!$U$5:$Y$9,MATCH(G133,'G-7 WaterC'' Data'!$T$5:$T$9,0),MATCH(T133,'G-7 WaterC'' Data'!$U$4:$Y$4,0)))),"")</f>
        <v/>
      </c>
      <c r="Z133" s="138"/>
      <c r="AA133" s="138"/>
      <c r="AB133" s="298" t="str">
        <f t="shared" si="12"/>
        <v/>
      </c>
      <c r="AC133" s="311" t="str">
        <f t="shared" si="13"/>
        <v/>
      </c>
      <c r="AD133" s="344" t="str">
        <f>IFERROR(IF(AC133="Check Data ⚠","Check Data ⚠",VLOOKUP(AC133,'G-4 Temporal multipliers'!$A$4:$C$37,3,FALSE)),"")</f>
        <v/>
      </c>
      <c r="AE133" s="290" t="str">
        <f>IF(N133="","",VLOOKUP(N133,'G-7 WaterC'' Data'!$B$4:$G$8,5,FALSE))</f>
        <v/>
      </c>
      <c r="AF133" s="298" t="str">
        <f t="shared" si="14"/>
        <v/>
      </c>
      <c r="AG133" s="328" t="str">
        <f t="shared" si="15"/>
        <v/>
      </c>
      <c r="AH133" s="291" t="str">
        <f t="shared" si="9"/>
        <v/>
      </c>
      <c r="AI133" s="103"/>
      <c r="AJ133" s="291" t="str">
        <f>IF(AI133="","",IF(AND(AI133="N/A - Culvert",N133&lt;&gt;"Culvert"),"Not possible ▲",IF(VLOOKUP(AI133,'G-7 WaterC'' Data'!$AA$4:$AB$7,2,FALSE)=0,"Spatial Data Missing ⚠",VLOOKUP(AI133,'G-7 WaterC'' Data'!$AA$4:$AB$7,2,FALSE))))</f>
        <v/>
      </c>
      <c r="AK133" s="104"/>
      <c r="AL133" s="291" t="str">
        <f>IF(AK133="","",IF(AND(AK133="N/A - Culvert",N133&lt;&gt;"Culvert"),"Not possible ▲",IF(VLOOKUP(AK133,'G-7 WaterC'' Data'!$AD$4:$AE$14,2,FALSE)=0,"Spatial Data Missing ⚠",VLOOKUP(AK133,'G-7 WaterC'' Data'!$AD$4:$AE$14,2,FALSE))))</f>
        <v/>
      </c>
      <c r="AM133" s="332" t="str">
        <f t="shared" si="16"/>
        <v/>
      </c>
      <c r="AN133" s="98"/>
      <c r="AO133" s="99"/>
      <c r="AP133" s="101"/>
      <c r="AS133" s="15" t="str">
        <f>IF(B133="","",IF(ISNA(VLOOKUP($B133,'C-1 On-Site WaterC'' Baseline'!$C$8:$AD$257,17,FALSE)),"",(VLOOKUP($B133,'C-1 On-Site WaterC'' Baseline'!$C$8:$AD$257,17,FALSE))))</f>
        <v/>
      </c>
      <c r="AT133" s="15" t="str">
        <f>IF(B133="","",VLOOKUP($B133,'C-1 On-Site WaterC'' Baseline'!$C$9:$Z$257,12,FALSE))</f>
        <v/>
      </c>
      <c r="AU133" s="15" t="str">
        <f>IF(B133="","",VLOOKUP($B133,'C-1 On-Site WaterC'' Baseline'!$C$9:$Z$257,14,FALSE))</f>
        <v/>
      </c>
      <c r="AV133" s="15" t="str">
        <f>IFERROR(INDEX('G-7 WaterC'' Data'!$AZ$3:$AZ$7,MATCH(N133,'G-7 WaterC'' Data'!$AY$3:$AY$7,0)),"")</f>
        <v/>
      </c>
      <c r="AX133" s="15" t="str">
        <f>IF(B133="","",VLOOKUP($B133,'C-1 On-Site WaterC'' Baseline'!$C$9:$Y$257,22,FALSE))</f>
        <v/>
      </c>
      <c r="AY133" s="15" t="str">
        <f t="shared" si="17"/>
        <v/>
      </c>
      <c r="AZ133" s="15" t="str">
        <f>IF(B133="","",VLOOKUP($B133,'C-1 On-Site WaterC'' Baseline'!$C$9:$Y$257,21,FALSE))</f>
        <v/>
      </c>
      <c r="BA133" s="15" t="str">
        <f>IF(B133="","",VLOOKUP($B133,'C-1 On-Site WaterC'' Baseline'!$C$9:$Y$257,19,FALSE))</f>
        <v/>
      </c>
    </row>
    <row r="134" spans="2:53" ht="14" x14ac:dyDescent="0.3">
      <c r="B134" s="319" t="str">
        <f>'C-1 On-Site WaterC'' Baseline'!AP132</f>
        <v/>
      </c>
      <c r="C134" s="310" t="str">
        <f>IF(B134="","",VLOOKUP($B134,'C-1 On-Site WaterC'' Baseline'!$C$9:$R$257,2,FALSE))</f>
        <v/>
      </c>
      <c r="D134" s="310" t="str">
        <f>IF(C134="","",VLOOKUP($B134,'C-1 On-Site WaterC'' Baseline'!$C$9:$R$257,3,FALSE))</f>
        <v/>
      </c>
      <c r="E134" s="310" t="str">
        <f>IF(D134="","",VLOOKUP($B134,'C-1 On-Site WaterC'' Baseline'!$C$9:$R$257,4,FALSE))</f>
        <v/>
      </c>
      <c r="F134" s="310" t="str">
        <f>IF(E134="","",VLOOKUP($B134,'C-1 On-Site WaterC'' Baseline'!$C$9:$R$257,5,FALSE))</f>
        <v/>
      </c>
      <c r="G134" s="310" t="str">
        <f>IF(F134="","",VLOOKUP($B134,'C-1 On-Site WaterC'' Baseline'!$C$9:$R$257,6,FALSE))</f>
        <v/>
      </c>
      <c r="H134" s="310" t="str">
        <f>IF(G134="","",VLOOKUP($B134,'C-1 On-Site WaterC'' Baseline'!$C$9:$R$257,7,FALSE))</f>
        <v/>
      </c>
      <c r="I134" s="310" t="str">
        <f>IF(H134="","",VLOOKUP($B134,'C-1 On-Site WaterC'' Baseline'!$C$9:$R$257,8,FALSE))</f>
        <v/>
      </c>
      <c r="J134" s="310" t="str">
        <f>IF(I134="","",VLOOKUP($B134,'C-1 On-Site WaterC'' Baseline'!$C$9:$R$257,9,FALSE))</f>
        <v/>
      </c>
      <c r="K134" s="310" t="str">
        <f>IF(J134="","",VLOOKUP($B134,'C-1 On-Site WaterC'' Baseline'!$C$9:$R$257,10,FALSE))</f>
        <v/>
      </c>
      <c r="L134" s="310" t="str">
        <f>IF(B134="","",VLOOKUP($B134,'C-1 On-Site WaterC'' Baseline'!$C$9:$R$257,15,FALSE))</f>
        <v/>
      </c>
      <c r="M134" s="314" t="str">
        <f>IF(L134="","",VLOOKUP($B134,'C-1 On-Site WaterC'' Baseline'!$C$9:$R$257,16,FALSE))</f>
        <v/>
      </c>
      <c r="N134" s="259"/>
      <c r="O134" s="290" t="str">
        <f t="shared" si="10"/>
        <v/>
      </c>
      <c r="P134" s="291" t="str">
        <f t="shared" si="11"/>
        <v/>
      </c>
      <c r="Q134" s="346" t="str">
        <f>IF(N134="","",VLOOKUP(B134,'C-1 On-Site WaterC'' Baseline'!$C$10:$AC$257,20,FALSE))</f>
        <v/>
      </c>
      <c r="R134" s="290" t="str">
        <f>IF(N134="","",VLOOKUP(N134,'G-7 WaterC'' Data'!$B$2:$G$8,2,FALSE))</f>
        <v/>
      </c>
      <c r="S134" s="291" t="str">
        <f>IFERROR(VLOOKUP(R134,'G-7 WaterC'' Data'!$C$4:$D$8,2,FALSE),"")</f>
        <v/>
      </c>
      <c r="T134" s="95"/>
      <c r="U134" s="291" t="str">
        <f>IFERROR(INDEX('G-7 WaterC'' Data'!$H$4:$L$8,MATCH(N134,'G-7 WaterC'' Data'!$B$4:$B$8,0),MATCH(T134,'G-7 WaterC'' Data'!$H$3:$L$3,0)),"")</f>
        <v/>
      </c>
      <c r="V134" s="95"/>
      <c r="W134" s="298" t="str">
        <f>IF(V134="","",IF(VLOOKUP(V134,'G-7 WaterC'' Data'!$AK$4:$AM$6,2,FALSE)=0,"Spatial Data Missing ⚠",VLOOKUP(V134,'G-7 WaterC'' Data'!$AK$4:$AM$6,2,FALSE)))</f>
        <v/>
      </c>
      <c r="X134" s="291" t="str">
        <f>IF(V134="","",IF(VLOOKUP(V134,'G-7 WaterC'' Data'!$AK$4:$AM$6,3,FALSE)=0,"Spatial Data Missing ⚠",VLOOKUP(V134,'G-7 WaterC'' Data'!$AK$4:$AM$6,3,FALSE)))</f>
        <v/>
      </c>
      <c r="Y134" s="290" t="str">
        <f>IFERROR(IF(OR(LEFT(P134,5)="Error",LEFT(O134,5)="Error ▲"),"Check Data ⚠",IF(F134&lt;S134,'G-7 WaterC'' Data'!$R$3,INDEX('G-7 WaterC'' Data'!$U$5:$Y$9,MATCH(G134,'G-7 WaterC'' Data'!$T$5:$T$9,0),MATCH(T134,'G-7 WaterC'' Data'!$U$4:$Y$4,0)))),"")</f>
        <v/>
      </c>
      <c r="Z134" s="138"/>
      <c r="AA134" s="138"/>
      <c r="AB134" s="298" t="str">
        <f t="shared" si="12"/>
        <v/>
      </c>
      <c r="AC134" s="311" t="str">
        <f t="shared" si="13"/>
        <v/>
      </c>
      <c r="AD134" s="344" t="str">
        <f>IFERROR(IF(AC134="Check Data ⚠","Check Data ⚠",VLOOKUP(AC134,'G-4 Temporal multipliers'!$A$4:$C$37,3,FALSE)),"")</f>
        <v/>
      </c>
      <c r="AE134" s="290" t="str">
        <f>IF(N134="","",VLOOKUP(N134,'G-7 WaterC'' Data'!$B$4:$G$8,5,FALSE))</f>
        <v/>
      </c>
      <c r="AF134" s="298" t="str">
        <f t="shared" si="14"/>
        <v/>
      </c>
      <c r="AG134" s="328" t="str">
        <f t="shared" si="15"/>
        <v/>
      </c>
      <c r="AH134" s="291" t="str">
        <f t="shared" si="9"/>
        <v/>
      </c>
      <c r="AI134" s="103"/>
      <c r="AJ134" s="291" t="str">
        <f>IF(AI134="","",IF(AND(AI134="N/A - Culvert",N134&lt;&gt;"Culvert"),"Not possible ▲",IF(VLOOKUP(AI134,'G-7 WaterC'' Data'!$AA$4:$AB$7,2,FALSE)=0,"Spatial Data Missing ⚠",VLOOKUP(AI134,'G-7 WaterC'' Data'!$AA$4:$AB$7,2,FALSE))))</f>
        <v/>
      </c>
      <c r="AK134" s="104"/>
      <c r="AL134" s="291" t="str">
        <f>IF(AK134="","",IF(AND(AK134="N/A - Culvert",N134&lt;&gt;"Culvert"),"Not possible ▲",IF(VLOOKUP(AK134,'G-7 WaterC'' Data'!$AD$4:$AE$14,2,FALSE)=0,"Spatial Data Missing ⚠",VLOOKUP(AK134,'G-7 WaterC'' Data'!$AD$4:$AE$14,2,FALSE))))</f>
        <v/>
      </c>
      <c r="AM134" s="332" t="str">
        <f t="shared" si="16"/>
        <v/>
      </c>
      <c r="AN134" s="98"/>
      <c r="AO134" s="99"/>
      <c r="AP134" s="101"/>
      <c r="AS134" s="15" t="str">
        <f>IF(B134="","",IF(ISNA(VLOOKUP($B134,'C-1 On-Site WaterC'' Baseline'!$C$8:$AD$257,17,FALSE)),"",(VLOOKUP($B134,'C-1 On-Site WaterC'' Baseline'!$C$8:$AD$257,17,FALSE))))</f>
        <v/>
      </c>
      <c r="AT134" s="15" t="str">
        <f>IF(B134="","",VLOOKUP($B134,'C-1 On-Site WaterC'' Baseline'!$C$9:$Z$257,12,FALSE))</f>
        <v/>
      </c>
      <c r="AU134" s="15" t="str">
        <f>IF(B134="","",VLOOKUP($B134,'C-1 On-Site WaterC'' Baseline'!$C$9:$Z$257,14,FALSE))</f>
        <v/>
      </c>
      <c r="AV134" s="15" t="str">
        <f>IFERROR(INDEX('G-7 WaterC'' Data'!$AZ$3:$AZ$7,MATCH(N134,'G-7 WaterC'' Data'!$AY$3:$AY$7,0)),"")</f>
        <v/>
      </c>
      <c r="AX134" s="15" t="str">
        <f>IF(B134="","",VLOOKUP($B134,'C-1 On-Site WaterC'' Baseline'!$C$9:$Y$257,22,FALSE))</f>
        <v/>
      </c>
      <c r="AY134" s="15" t="str">
        <f t="shared" si="17"/>
        <v/>
      </c>
      <c r="AZ134" s="15" t="str">
        <f>IF(B134="","",VLOOKUP($B134,'C-1 On-Site WaterC'' Baseline'!$C$9:$Y$257,21,FALSE))</f>
        <v/>
      </c>
      <c r="BA134" s="15" t="str">
        <f>IF(B134="","",VLOOKUP($B134,'C-1 On-Site WaterC'' Baseline'!$C$9:$Y$257,19,FALSE))</f>
        <v/>
      </c>
    </row>
    <row r="135" spans="2:53" ht="14" x14ac:dyDescent="0.3">
      <c r="B135" s="319" t="str">
        <f>'C-1 On-Site WaterC'' Baseline'!AP133</f>
        <v/>
      </c>
      <c r="C135" s="310" t="str">
        <f>IF(B135="","",VLOOKUP($B135,'C-1 On-Site WaterC'' Baseline'!$C$9:$R$257,2,FALSE))</f>
        <v/>
      </c>
      <c r="D135" s="310" t="str">
        <f>IF(C135="","",VLOOKUP($B135,'C-1 On-Site WaterC'' Baseline'!$C$9:$R$257,3,FALSE))</f>
        <v/>
      </c>
      <c r="E135" s="310" t="str">
        <f>IF(D135="","",VLOOKUP($B135,'C-1 On-Site WaterC'' Baseline'!$C$9:$R$257,4,FALSE))</f>
        <v/>
      </c>
      <c r="F135" s="310" t="str">
        <f>IF(E135="","",VLOOKUP($B135,'C-1 On-Site WaterC'' Baseline'!$C$9:$R$257,5,FALSE))</f>
        <v/>
      </c>
      <c r="G135" s="310" t="str">
        <f>IF(F135="","",VLOOKUP($B135,'C-1 On-Site WaterC'' Baseline'!$C$9:$R$257,6,FALSE))</f>
        <v/>
      </c>
      <c r="H135" s="310" t="str">
        <f>IF(G135="","",VLOOKUP($B135,'C-1 On-Site WaterC'' Baseline'!$C$9:$R$257,7,FALSE))</f>
        <v/>
      </c>
      <c r="I135" s="310" t="str">
        <f>IF(H135="","",VLOOKUP($B135,'C-1 On-Site WaterC'' Baseline'!$C$9:$R$257,8,FALSE))</f>
        <v/>
      </c>
      <c r="J135" s="310" t="str">
        <f>IF(I135="","",VLOOKUP($B135,'C-1 On-Site WaterC'' Baseline'!$C$9:$R$257,9,FALSE))</f>
        <v/>
      </c>
      <c r="K135" s="310" t="str">
        <f>IF(J135="","",VLOOKUP($B135,'C-1 On-Site WaterC'' Baseline'!$C$9:$R$257,10,FALSE))</f>
        <v/>
      </c>
      <c r="L135" s="310" t="str">
        <f>IF(B135="","",VLOOKUP($B135,'C-1 On-Site WaterC'' Baseline'!$C$9:$R$257,15,FALSE))</f>
        <v/>
      </c>
      <c r="M135" s="314" t="str">
        <f>IF(L135="","",VLOOKUP($B135,'C-1 On-Site WaterC'' Baseline'!$C$9:$R$257,16,FALSE))</f>
        <v/>
      </c>
      <c r="N135" s="259"/>
      <c r="O135" s="290" t="str">
        <f t="shared" si="10"/>
        <v/>
      </c>
      <c r="P135" s="291" t="str">
        <f t="shared" si="11"/>
        <v/>
      </c>
      <c r="Q135" s="346" t="str">
        <f>IF(N135="","",VLOOKUP(B135,'C-1 On-Site WaterC'' Baseline'!$C$10:$AC$257,20,FALSE))</f>
        <v/>
      </c>
      <c r="R135" s="290" t="str">
        <f>IF(N135="","",VLOOKUP(N135,'G-7 WaterC'' Data'!$B$2:$G$8,2,FALSE))</f>
        <v/>
      </c>
      <c r="S135" s="291" t="str">
        <f>IFERROR(VLOOKUP(R135,'G-7 WaterC'' Data'!$C$4:$D$8,2,FALSE),"")</f>
        <v/>
      </c>
      <c r="T135" s="95"/>
      <c r="U135" s="291" t="str">
        <f>IFERROR(INDEX('G-7 WaterC'' Data'!$H$4:$L$8,MATCH(N135,'G-7 WaterC'' Data'!$B$4:$B$8,0),MATCH(T135,'G-7 WaterC'' Data'!$H$3:$L$3,0)),"")</f>
        <v/>
      </c>
      <c r="V135" s="95"/>
      <c r="W135" s="298" t="str">
        <f>IF(V135="","",IF(VLOOKUP(V135,'G-7 WaterC'' Data'!$AK$4:$AM$6,2,FALSE)=0,"Spatial Data Missing ⚠",VLOOKUP(V135,'G-7 WaterC'' Data'!$AK$4:$AM$6,2,FALSE)))</f>
        <v/>
      </c>
      <c r="X135" s="291" t="str">
        <f>IF(V135="","",IF(VLOOKUP(V135,'G-7 WaterC'' Data'!$AK$4:$AM$6,3,FALSE)=0,"Spatial Data Missing ⚠",VLOOKUP(V135,'G-7 WaterC'' Data'!$AK$4:$AM$6,3,FALSE)))</f>
        <v/>
      </c>
      <c r="Y135" s="290" t="str">
        <f>IFERROR(IF(OR(LEFT(P135,5)="Error",LEFT(O135,5)="Error ▲"),"Check Data ⚠",IF(F135&lt;S135,'G-7 WaterC'' Data'!$R$3,INDEX('G-7 WaterC'' Data'!$U$5:$Y$9,MATCH(G135,'G-7 WaterC'' Data'!$T$5:$T$9,0),MATCH(T135,'G-7 WaterC'' Data'!$U$4:$Y$4,0)))),"")</f>
        <v/>
      </c>
      <c r="Z135" s="138"/>
      <c r="AA135" s="138"/>
      <c r="AB135" s="298" t="str">
        <f t="shared" si="12"/>
        <v/>
      </c>
      <c r="AC135" s="311" t="str">
        <f t="shared" si="13"/>
        <v/>
      </c>
      <c r="AD135" s="344" t="str">
        <f>IFERROR(IF(AC135="Check Data ⚠","Check Data ⚠",VLOOKUP(AC135,'G-4 Temporal multipliers'!$A$4:$C$37,3,FALSE)),"")</f>
        <v/>
      </c>
      <c r="AE135" s="290" t="str">
        <f>IF(N135="","",VLOOKUP(N135,'G-7 WaterC'' Data'!$B$4:$G$8,5,FALSE))</f>
        <v/>
      </c>
      <c r="AF135" s="298" t="str">
        <f t="shared" si="14"/>
        <v/>
      </c>
      <c r="AG135" s="328" t="str">
        <f t="shared" si="15"/>
        <v/>
      </c>
      <c r="AH135" s="291" t="str">
        <f t="shared" si="9"/>
        <v/>
      </c>
      <c r="AI135" s="103"/>
      <c r="AJ135" s="291" t="str">
        <f>IF(AI135="","",IF(AND(AI135="N/A - Culvert",N135&lt;&gt;"Culvert"),"Not possible ▲",IF(VLOOKUP(AI135,'G-7 WaterC'' Data'!$AA$4:$AB$7,2,FALSE)=0,"Spatial Data Missing ⚠",VLOOKUP(AI135,'G-7 WaterC'' Data'!$AA$4:$AB$7,2,FALSE))))</f>
        <v/>
      </c>
      <c r="AK135" s="104"/>
      <c r="AL135" s="291" t="str">
        <f>IF(AK135="","",IF(AND(AK135="N/A - Culvert",N135&lt;&gt;"Culvert"),"Not possible ▲",IF(VLOOKUP(AK135,'G-7 WaterC'' Data'!$AD$4:$AE$14,2,FALSE)=0,"Spatial Data Missing ⚠",VLOOKUP(AK135,'G-7 WaterC'' Data'!$AD$4:$AE$14,2,FALSE))))</f>
        <v/>
      </c>
      <c r="AM135" s="332" t="str">
        <f t="shared" si="16"/>
        <v/>
      </c>
      <c r="AN135" s="98"/>
      <c r="AO135" s="99"/>
      <c r="AP135" s="101"/>
      <c r="AS135" s="15" t="str">
        <f>IF(B135="","",IF(ISNA(VLOOKUP($B135,'C-1 On-Site WaterC'' Baseline'!$C$8:$AD$257,17,FALSE)),"",(VLOOKUP($B135,'C-1 On-Site WaterC'' Baseline'!$C$8:$AD$257,17,FALSE))))</f>
        <v/>
      </c>
      <c r="AT135" s="15" t="str">
        <f>IF(B135="","",VLOOKUP($B135,'C-1 On-Site WaterC'' Baseline'!$C$9:$Z$257,12,FALSE))</f>
        <v/>
      </c>
      <c r="AU135" s="15" t="str">
        <f>IF(B135="","",VLOOKUP($B135,'C-1 On-Site WaterC'' Baseline'!$C$9:$Z$257,14,FALSE))</f>
        <v/>
      </c>
      <c r="AV135" s="15" t="str">
        <f>IFERROR(INDEX('G-7 WaterC'' Data'!$AZ$3:$AZ$7,MATCH(N135,'G-7 WaterC'' Data'!$AY$3:$AY$7,0)),"")</f>
        <v/>
      </c>
      <c r="AX135" s="15" t="str">
        <f>IF(B135="","",VLOOKUP($B135,'C-1 On-Site WaterC'' Baseline'!$C$9:$Y$257,22,FALSE))</f>
        <v/>
      </c>
      <c r="AY135" s="15" t="str">
        <f t="shared" si="17"/>
        <v/>
      </c>
      <c r="AZ135" s="15" t="str">
        <f>IF(B135="","",VLOOKUP($B135,'C-1 On-Site WaterC'' Baseline'!$C$9:$Y$257,21,FALSE))</f>
        <v/>
      </c>
      <c r="BA135" s="15" t="str">
        <f>IF(B135="","",VLOOKUP($B135,'C-1 On-Site WaterC'' Baseline'!$C$9:$Y$257,19,FALSE))</f>
        <v/>
      </c>
    </row>
    <row r="136" spans="2:53" ht="14" x14ac:dyDescent="0.3">
      <c r="B136" s="319" t="str">
        <f>'C-1 On-Site WaterC'' Baseline'!AP134</f>
        <v/>
      </c>
      <c r="C136" s="310" t="str">
        <f>IF(B136="","",VLOOKUP($B136,'C-1 On-Site WaterC'' Baseline'!$C$9:$R$257,2,FALSE))</f>
        <v/>
      </c>
      <c r="D136" s="310" t="str">
        <f>IF(C136="","",VLOOKUP($B136,'C-1 On-Site WaterC'' Baseline'!$C$9:$R$257,3,FALSE))</f>
        <v/>
      </c>
      <c r="E136" s="310" t="str">
        <f>IF(D136="","",VLOOKUP($B136,'C-1 On-Site WaterC'' Baseline'!$C$9:$R$257,4,FALSE))</f>
        <v/>
      </c>
      <c r="F136" s="310" t="str">
        <f>IF(E136="","",VLOOKUP($B136,'C-1 On-Site WaterC'' Baseline'!$C$9:$R$257,5,FALSE))</f>
        <v/>
      </c>
      <c r="G136" s="310" t="str">
        <f>IF(F136="","",VLOOKUP($B136,'C-1 On-Site WaterC'' Baseline'!$C$9:$R$257,6,FALSE))</f>
        <v/>
      </c>
      <c r="H136" s="310" t="str">
        <f>IF(G136="","",VLOOKUP($B136,'C-1 On-Site WaterC'' Baseline'!$C$9:$R$257,7,FALSE))</f>
        <v/>
      </c>
      <c r="I136" s="310" t="str">
        <f>IF(H136="","",VLOOKUP($B136,'C-1 On-Site WaterC'' Baseline'!$C$9:$R$257,8,FALSE))</f>
        <v/>
      </c>
      <c r="J136" s="310" t="str">
        <f>IF(I136="","",VLOOKUP($B136,'C-1 On-Site WaterC'' Baseline'!$C$9:$R$257,9,FALSE))</f>
        <v/>
      </c>
      <c r="K136" s="310" t="str">
        <f>IF(J136="","",VLOOKUP($B136,'C-1 On-Site WaterC'' Baseline'!$C$9:$R$257,10,FALSE))</f>
        <v/>
      </c>
      <c r="L136" s="310" t="str">
        <f>IF(B136="","",VLOOKUP($B136,'C-1 On-Site WaterC'' Baseline'!$C$9:$R$257,15,FALSE))</f>
        <v/>
      </c>
      <c r="M136" s="314" t="str">
        <f>IF(L136="","",VLOOKUP($B136,'C-1 On-Site WaterC'' Baseline'!$C$9:$R$257,16,FALSE))</f>
        <v/>
      </c>
      <c r="N136" s="259"/>
      <c r="O136" s="290" t="str">
        <f t="shared" si="10"/>
        <v/>
      </c>
      <c r="P136" s="291" t="str">
        <f t="shared" si="11"/>
        <v/>
      </c>
      <c r="Q136" s="346" t="str">
        <f>IF(N136="","",VLOOKUP(B136,'C-1 On-Site WaterC'' Baseline'!$C$10:$AC$257,20,FALSE))</f>
        <v/>
      </c>
      <c r="R136" s="290" t="str">
        <f>IF(N136="","",VLOOKUP(N136,'G-7 WaterC'' Data'!$B$2:$G$8,2,FALSE))</f>
        <v/>
      </c>
      <c r="S136" s="291" t="str">
        <f>IFERROR(VLOOKUP(R136,'G-7 WaterC'' Data'!$C$4:$D$8,2,FALSE),"")</f>
        <v/>
      </c>
      <c r="T136" s="95"/>
      <c r="U136" s="291" t="str">
        <f>IFERROR(INDEX('G-7 WaterC'' Data'!$H$4:$L$8,MATCH(N136,'G-7 WaterC'' Data'!$B$4:$B$8,0),MATCH(T136,'G-7 WaterC'' Data'!$H$3:$L$3,0)),"")</f>
        <v/>
      </c>
      <c r="V136" s="95"/>
      <c r="W136" s="298" t="str">
        <f>IF(V136="","",IF(VLOOKUP(V136,'G-7 WaterC'' Data'!$AK$4:$AM$6,2,FALSE)=0,"Spatial Data Missing ⚠",VLOOKUP(V136,'G-7 WaterC'' Data'!$AK$4:$AM$6,2,FALSE)))</f>
        <v/>
      </c>
      <c r="X136" s="291" t="str">
        <f>IF(V136="","",IF(VLOOKUP(V136,'G-7 WaterC'' Data'!$AK$4:$AM$6,3,FALSE)=0,"Spatial Data Missing ⚠",VLOOKUP(V136,'G-7 WaterC'' Data'!$AK$4:$AM$6,3,FALSE)))</f>
        <v/>
      </c>
      <c r="Y136" s="290" t="str">
        <f>IFERROR(IF(OR(LEFT(P136,5)="Error",LEFT(O136,5)="Error ▲"),"Check Data ⚠",IF(F136&lt;S136,'G-7 WaterC'' Data'!$R$3,INDEX('G-7 WaterC'' Data'!$U$5:$Y$9,MATCH(G136,'G-7 WaterC'' Data'!$T$5:$T$9,0),MATCH(T136,'G-7 WaterC'' Data'!$U$4:$Y$4,0)))),"")</f>
        <v/>
      </c>
      <c r="Z136" s="138"/>
      <c r="AA136" s="138"/>
      <c r="AB136" s="298" t="str">
        <f t="shared" si="12"/>
        <v/>
      </c>
      <c r="AC136" s="311" t="str">
        <f t="shared" si="13"/>
        <v/>
      </c>
      <c r="AD136" s="344" t="str">
        <f>IFERROR(IF(AC136="Check Data ⚠","Check Data ⚠",VLOOKUP(AC136,'G-4 Temporal multipliers'!$A$4:$C$37,3,FALSE)),"")</f>
        <v/>
      </c>
      <c r="AE136" s="290" t="str">
        <f>IF(N136="","",VLOOKUP(N136,'G-7 WaterC'' Data'!$B$4:$G$8,5,FALSE))</f>
        <v/>
      </c>
      <c r="AF136" s="298" t="str">
        <f t="shared" si="14"/>
        <v/>
      </c>
      <c r="AG136" s="328" t="str">
        <f t="shared" si="15"/>
        <v/>
      </c>
      <c r="AH136" s="291" t="str">
        <f t="shared" si="9"/>
        <v/>
      </c>
      <c r="AI136" s="103"/>
      <c r="AJ136" s="291" t="str">
        <f>IF(AI136="","",IF(AND(AI136="N/A - Culvert",N136&lt;&gt;"Culvert"),"Not possible ▲",IF(VLOOKUP(AI136,'G-7 WaterC'' Data'!$AA$4:$AB$7,2,FALSE)=0,"Spatial Data Missing ⚠",VLOOKUP(AI136,'G-7 WaterC'' Data'!$AA$4:$AB$7,2,FALSE))))</f>
        <v/>
      </c>
      <c r="AK136" s="104"/>
      <c r="AL136" s="291" t="str">
        <f>IF(AK136="","",IF(AND(AK136="N/A - Culvert",N136&lt;&gt;"Culvert"),"Not possible ▲",IF(VLOOKUP(AK136,'G-7 WaterC'' Data'!$AD$4:$AE$14,2,FALSE)=0,"Spatial Data Missing ⚠",VLOOKUP(AK136,'G-7 WaterC'' Data'!$AD$4:$AE$14,2,FALSE))))</f>
        <v/>
      </c>
      <c r="AM136" s="332" t="str">
        <f t="shared" si="16"/>
        <v/>
      </c>
      <c r="AN136" s="98"/>
      <c r="AO136" s="99"/>
      <c r="AP136" s="101"/>
      <c r="AS136" s="15" t="str">
        <f>IF(B136="","",IF(ISNA(VLOOKUP($B136,'C-1 On-Site WaterC'' Baseline'!$C$8:$AD$257,17,FALSE)),"",(VLOOKUP($B136,'C-1 On-Site WaterC'' Baseline'!$C$8:$AD$257,17,FALSE))))</f>
        <v/>
      </c>
      <c r="AT136" s="15" t="str">
        <f>IF(B136="","",VLOOKUP($B136,'C-1 On-Site WaterC'' Baseline'!$C$9:$Z$257,12,FALSE))</f>
        <v/>
      </c>
      <c r="AU136" s="15" t="str">
        <f>IF(B136="","",VLOOKUP($B136,'C-1 On-Site WaterC'' Baseline'!$C$9:$Z$257,14,FALSE))</f>
        <v/>
      </c>
      <c r="AV136" s="15" t="str">
        <f>IFERROR(INDEX('G-7 WaterC'' Data'!$AZ$3:$AZ$7,MATCH(N136,'G-7 WaterC'' Data'!$AY$3:$AY$7,0)),"")</f>
        <v/>
      </c>
      <c r="AX136" s="15" t="str">
        <f>IF(B136="","",VLOOKUP($B136,'C-1 On-Site WaterC'' Baseline'!$C$9:$Y$257,22,FALSE))</f>
        <v/>
      </c>
      <c r="AY136" s="15" t="str">
        <f t="shared" si="17"/>
        <v/>
      </c>
      <c r="AZ136" s="15" t="str">
        <f>IF(B136="","",VLOOKUP($B136,'C-1 On-Site WaterC'' Baseline'!$C$9:$Y$257,21,FALSE))</f>
        <v/>
      </c>
      <c r="BA136" s="15" t="str">
        <f>IF(B136="","",VLOOKUP($B136,'C-1 On-Site WaterC'' Baseline'!$C$9:$Y$257,19,FALSE))</f>
        <v/>
      </c>
    </row>
    <row r="137" spans="2:53" ht="14" x14ac:dyDescent="0.3">
      <c r="B137" s="319" t="str">
        <f>'C-1 On-Site WaterC'' Baseline'!AP135</f>
        <v/>
      </c>
      <c r="C137" s="310" t="str">
        <f>IF(B137="","",VLOOKUP($B137,'C-1 On-Site WaterC'' Baseline'!$C$9:$R$257,2,FALSE))</f>
        <v/>
      </c>
      <c r="D137" s="310" t="str">
        <f>IF(C137="","",VLOOKUP($B137,'C-1 On-Site WaterC'' Baseline'!$C$9:$R$257,3,FALSE))</f>
        <v/>
      </c>
      <c r="E137" s="310" t="str">
        <f>IF(D137="","",VLOOKUP($B137,'C-1 On-Site WaterC'' Baseline'!$C$9:$R$257,4,FALSE))</f>
        <v/>
      </c>
      <c r="F137" s="310" t="str">
        <f>IF(E137="","",VLOOKUP($B137,'C-1 On-Site WaterC'' Baseline'!$C$9:$R$257,5,FALSE))</f>
        <v/>
      </c>
      <c r="G137" s="310" t="str">
        <f>IF(F137="","",VLOOKUP($B137,'C-1 On-Site WaterC'' Baseline'!$C$9:$R$257,6,FALSE))</f>
        <v/>
      </c>
      <c r="H137" s="310" t="str">
        <f>IF(G137="","",VLOOKUP($B137,'C-1 On-Site WaterC'' Baseline'!$C$9:$R$257,7,FALSE))</f>
        <v/>
      </c>
      <c r="I137" s="310" t="str">
        <f>IF(H137="","",VLOOKUP($B137,'C-1 On-Site WaterC'' Baseline'!$C$9:$R$257,8,FALSE))</f>
        <v/>
      </c>
      <c r="J137" s="310" t="str">
        <f>IF(I137="","",VLOOKUP($B137,'C-1 On-Site WaterC'' Baseline'!$C$9:$R$257,9,FALSE))</f>
        <v/>
      </c>
      <c r="K137" s="310" t="str">
        <f>IF(J137="","",VLOOKUP($B137,'C-1 On-Site WaterC'' Baseline'!$C$9:$R$257,10,FALSE))</f>
        <v/>
      </c>
      <c r="L137" s="310" t="str">
        <f>IF(B137="","",VLOOKUP($B137,'C-1 On-Site WaterC'' Baseline'!$C$9:$R$257,15,FALSE))</f>
        <v/>
      </c>
      <c r="M137" s="314" t="str">
        <f>IF(L137="","",VLOOKUP($B137,'C-1 On-Site WaterC'' Baseline'!$C$9:$R$257,16,FALSE))</f>
        <v/>
      </c>
      <c r="N137" s="259"/>
      <c r="O137" s="290" t="str">
        <f t="shared" si="10"/>
        <v/>
      </c>
      <c r="P137" s="291" t="str">
        <f t="shared" si="11"/>
        <v/>
      </c>
      <c r="Q137" s="346" t="str">
        <f>IF(N137="","",VLOOKUP(B137,'C-1 On-Site WaterC'' Baseline'!$C$10:$AC$257,20,FALSE))</f>
        <v/>
      </c>
      <c r="R137" s="290" t="str">
        <f>IF(N137="","",VLOOKUP(N137,'G-7 WaterC'' Data'!$B$2:$G$8,2,FALSE))</f>
        <v/>
      </c>
      <c r="S137" s="291" t="str">
        <f>IFERROR(VLOOKUP(R137,'G-7 WaterC'' Data'!$C$4:$D$8,2,FALSE),"")</f>
        <v/>
      </c>
      <c r="T137" s="95"/>
      <c r="U137" s="291" t="str">
        <f>IFERROR(INDEX('G-7 WaterC'' Data'!$H$4:$L$8,MATCH(N137,'G-7 WaterC'' Data'!$B$4:$B$8,0),MATCH(T137,'G-7 WaterC'' Data'!$H$3:$L$3,0)),"")</f>
        <v/>
      </c>
      <c r="V137" s="95"/>
      <c r="W137" s="298" t="str">
        <f>IF(V137="","",IF(VLOOKUP(V137,'G-7 WaterC'' Data'!$AK$4:$AM$6,2,FALSE)=0,"Spatial Data Missing ⚠",VLOOKUP(V137,'G-7 WaterC'' Data'!$AK$4:$AM$6,2,FALSE)))</f>
        <v/>
      </c>
      <c r="X137" s="291" t="str">
        <f>IF(V137="","",IF(VLOOKUP(V137,'G-7 WaterC'' Data'!$AK$4:$AM$6,3,FALSE)=0,"Spatial Data Missing ⚠",VLOOKUP(V137,'G-7 WaterC'' Data'!$AK$4:$AM$6,3,FALSE)))</f>
        <v/>
      </c>
      <c r="Y137" s="290" t="str">
        <f>IFERROR(IF(OR(LEFT(P137,5)="Error",LEFT(O137,5)="Error ▲"),"Check Data ⚠",IF(F137&lt;S137,'G-7 WaterC'' Data'!$R$3,INDEX('G-7 WaterC'' Data'!$U$5:$Y$9,MATCH(G137,'G-7 WaterC'' Data'!$T$5:$T$9,0),MATCH(T137,'G-7 WaterC'' Data'!$U$4:$Y$4,0)))),"")</f>
        <v/>
      </c>
      <c r="Z137" s="138"/>
      <c r="AA137" s="138"/>
      <c r="AB137" s="298" t="str">
        <f t="shared" si="12"/>
        <v/>
      </c>
      <c r="AC137" s="311" t="str">
        <f t="shared" si="13"/>
        <v/>
      </c>
      <c r="AD137" s="344" t="str">
        <f>IFERROR(IF(AC137="Check Data ⚠","Check Data ⚠",VLOOKUP(AC137,'G-4 Temporal multipliers'!$A$4:$C$37,3,FALSE)),"")</f>
        <v/>
      </c>
      <c r="AE137" s="290" t="str">
        <f>IF(N137="","",VLOOKUP(N137,'G-7 WaterC'' Data'!$B$4:$G$8,5,FALSE))</f>
        <v/>
      </c>
      <c r="AF137" s="298" t="str">
        <f t="shared" si="14"/>
        <v/>
      </c>
      <c r="AG137" s="328" t="str">
        <f t="shared" si="15"/>
        <v/>
      </c>
      <c r="AH137" s="291" t="str">
        <f t="shared" si="9"/>
        <v/>
      </c>
      <c r="AI137" s="103"/>
      <c r="AJ137" s="291" t="str">
        <f>IF(AI137="","",IF(AND(AI137="N/A - Culvert",N137&lt;&gt;"Culvert"),"Not possible ▲",IF(VLOOKUP(AI137,'G-7 WaterC'' Data'!$AA$4:$AB$7,2,FALSE)=0,"Spatial Data Missing ⚠",VLOOKUP(AI137,'G-7 WaterC'' Data'!$AA$4:$AB$7,2,FALSE))))</f>
        <v/>
      </c>
      <c r="AK137" s="104"/>
      <c r="AL137" s="291" t="str">
        <f>IF(AK137="","",IF(AND(AK137="N/A - Culvert",N137&lt;&gt;"Culvert"),"Not possible ▲",IF(VLOOKUP(AK137,'G-7 WaterC'' Data'!$AD$4:$AE$14,2,FALSE)=0,"Spatial Data Missing ⚠",VLOOKUP(AK137,'G-7 WaterC'' Data'!$AD$4:$AE$14,2,FALSE))))</f>
        <v/>
      </c>
      <c r="AM137" s="332" t="str">
        <f t="shared" si="16"/>
        <v/>
      </c>
      <c r="AN137" s="98"/>
      <c r="AO137" s="99"/>
      <c r="AP137" s="101"/>
      <c r="AS137" s="15" t="str">
        <f>IF(B137="","",IF(ISNA(VLOOKUP($B137,'C-1 On-Site WaterC'' Baseline'!$C$8:$AD$257,17,FALSE)),"",(VLOOKUP($B137,'C-1 On-Site WaterC'' Baseline'!$C$8:$AD$257,17,FALSE))))</f>
        <v/>
      </c>
      <c r="AT137" s="15" t="str">
        <f>IF(B137="","",VLOOKUP($B137,'C-1 On-Site WaterC'' Baseline'!$C$9:$Z$257,12,FALSE))</f>
        <v/>
      </c>
      <c r="AU137" s="15" t="str">
        <f>IF(B137="","",VLOOKUP($B137,'C-1 On-Site WaterC'' Baseline'!$C$9:$Z$257,14,FALSE))</f>
        <v/>
      </c>
      <c r="AV137" s="15" t="str">
        <f>IFERROR(INDEX('G-7 WaterC'' Data'!$AZ$3:$AZ$7,MATCH(N137,'G-7 WaterC'' Data'!$AY$3:$AY$7,0)),"")</f>
        <v/>
      </c>
      <c r="AX137" s="15" t="str">
        <f>IF(B137="","",VLOOKUP($B137,'C-1 On-Site WaterC'' Baseline'!$C$9:$Y$257,22,FALSE))</f>
        <v/>
      </c>
      <c r="AY137" s="15" t="str">
        <f t="shared" si="17"/>
        <v/>
      </c>
      <c r="AZ137" s="15" t="str">
        <f>IF(B137="","",VLOOKUP($B137,'C-1 On-Site WaterC'' Baseline'!$C$9:$Y$257,21,FALSE))</f>
        <v/>
      </c>
      <c r="BA137" s="15" t="str">
        <f>IF(B137="","",VLOOKUP($B137,'C-1 On-Site WaterC'' Baseline'!$C$9:$Y$257,19,FALSE))</f>
        <v/>
      </c>
    </row>
    <row r="138" spans="2:53" ht="14" x14ac:dyDescent="0.3">
      <c r="B138" s="319" t="str">
        <f>'C-1 On-Site WaterC'' Baseline'!AP136</f>
        <v/>
      </c>
      <c r="C138" s="310" t="str">
        <f>IF(B138="","",VLOOKUP($B138,'C-1 On-Site WaterC'' Baseline'!$C$9:$R$257,2,FALSE))</f>
        <v/>
      </c>
      <c r="D138" s="310" t="str">
        <f>IF(C138="","",VLOOKUP($B138,'C-1 On-Site WaterC'' Baseline'!$C$9:$R$257,3,FALSE))</f>
        <v/>
      </c>
      <c r="E138" s="310" t="str">
        <f>IF(D138="","",VLOOKUP($B138,'C-1 On-Site WaterC'' Baseline'!$C$9:$R$257,4,FALSE))</f>
        <v/>
      </c>
      <c r="F138" s="310" t="str">
        <f>IF(E138="","",VLOOKUP($B138,'C-1 On-Site WaterC'' Baseline'!$C$9:$R$257,5,FALSE))</f>
        <v/>
      </c>
      <c r="G138" s="310" t="str">
        <f>IF(F138="","",VLOOKUP($B138,'C-1 On-Site WaterC'' Baseline'!$C$9:$R$257,6,FALSE))</f>
        <v/>
      </c>
      <c r="H138" s="310" t="str">
        <f>IF(G138="","",VLOOKUP($B138,'C-1 On-Site WaterC'' Baseline'!$C$9:$R$257,7,FALSE))</f>
        <v/>
      </c>
      <c r="I138" s="310" t="str">
        <f>IF(H138="","",VLOOKUP($B138,'C-1 On-Site WaterC'' Baseline'!$C$9:$R$257,8,FALSE))</f>
        <v/>
      </c>
      <c r="J138" s="310" t="str">
        <f>IF(I138="","",VLOOKUP($B138,'C-1 On-Site WaterC'' Baseline'!$C$9:$R$257,9,FALSE))</f>
        <v/>
      </c>
      <c r="K138" s="310" t="str">
        <f>IF(J138="","",VLOOKUP($B138,'C-1 On-Site WaterC'' Baseline'!$C$9:$R$257,10,FALSE))</f>
        <v/>
      </c>
      <c r="L138" s="310" t="str">
        <f>IF(B138="","",VLOOKUP($B138,'C-1 On-Site WaterC'' Baseline'!$C$9:$R$257,15,FALSE))</f>
        <v/>
      </c>
      <c r="M138" s="314" t="str">
        <f>IF(L138="","",VLOOKUP($B138,'C-1 On-Site WaterC'' Baseline'!$C$9:$R$257,16,FALSE))</f>
        <v/>
      </c>
      <c r="N138" s="259"/>
      <c r="O138" s="290" t="str">
        <f t="shared" si="10"/>
        <v/>
      </c>
      <c r="P138" s="291" t="str">
        <f t="shared" si="11"/>
        <v/>
      </c>
      <c r="Q138" s="346" t="str">
        <f>IF(N138="","",VLOOKUP(B138,'C-1 On-Site WaterC'' Baseline'!$C$10:$AC$257,20,FALSE))</f>
        <v/>
      </c>
      <c r="R138" s="290" t="str">
        <f>IF(N138="","",VLOOKUP(N138,'G-7 WaterC'' Data'!$B$2:$G$8,2,FALSE))</f>
        <v/>
      </c>
      <c r="S138" s="291" t="str">
        <f>IFERROR(VLOOKUP(R138,'G-7 WaterC'' Data'!$C$4:$D$8,2,FALSE),"")</f>
        <v/>
      </c>
      <c r="T138" s="95"/>
      <c r="U138" s="291" t="str">
        <f>IFERROR(INDEX('G-7 WaterC'' Data'!$H$4:$L$8,MATCH(N138,'G-7 WaterC'' Data'!$B$4:$B$8,0),MATCH(T138,'G-7 WaterC'' Data'!$H$3:$L$3,0)),"")</f>
        <v/>
      </c>
      <c r="V138" s="95"/>
      <c r="W138" s="298" t="str">
        <f>IF(V138="","",IF(VLOOKUP(V138,'G-7 WaterC'' Data'!$AK$4:$AM$6,2,FALSE)=0,"Spatial Data Missing ⚠",VLOOKUP(V138,'G-7 WaterC'' Data'!$AK$4:$AM$6,2,FALSE)))</f>
        <v/>
      </c>
      <c r="X138" s="291" t="str">
        <f>IF(V138="","",IF(VLOOKUP(V138,'G-7 WaterC'' Data'!$AK$4:$AM$6,3,FALSE)=0,"Spatial Data Missing ⚠",VLOOKUP(V138,'G-7 WaterC'' Data'!$AK$4:$AM$6,3,FALSE)))</f>
        <v/>
      </c>
      <c r="Y138" s="290" t="str">
        <f>IFERROR(IF(OR(LEFT(P138,5)="Error",LEFT(O138,5)="Error ▲"),"Check Data ⚠",IF(F138&lt;S138,'G-7 WaterC'' Data'!$R$3,INDEX('G-7 WaterC'' Data'!$U$5:$Y$9,MATCH(G138,'G-7 WaterC'' Data'!$T$5:$T$9,0),MATCH(T138,'G-7 WaterC'' Data'!$U$4:$Y$4,0)))),"")</f>
        <v/>
      </c>
      <c r="Z138" s="138"/>
      <c r="AA138" s="138"/>
      <c r="AB138" s="298" t="str">
        <f t="shared" si="12"/>
        <v/>
      </c>
      <c r="AC138" s="311" t="str">
        <f t="shared" si="13"/>
        <v/>
      </c>
      <c r="AD138" s="344" t="str">
        <f>IFERROR(IF(AC138="Check Data ⚠","Check Data ⚠",VLOOKUP(AC138,'G-4 Temporal multipliers'!$A$4:$C$37,3,FALSE)),"")</f>
        <v/>
      </c>
      <c r="AE138" s="290" t="str">
        <f>IF(N138="","",VLOOKUP(N138,'G-7 WaterC'' Data'!$B$4:$G$8,5,FALSE))</f>
        <v/>
      </c>
      <c r="AF138" s="298" t="str">
        <f t="shared" si="14"/>
        <v/>
      </c>
      <c r="AG138" s="328" t="str">
        <f t="shared" si="15"/>
        <v/>
      </c>
      <c r="AH138" s="291" t="str">
        <f t="shared" si="9"/>
        <v/>
      </c>
      <c r="AI138" s="103"/>
      <c r="AJ138" s="291" t="str">
        <f>IF(AI138="","",IF(AND(AI138="N/A - Culvert",N138&lt;&gt;"Culvert"),"Not possible ▲",IF(VLOOKUP(AI138,'G-7 WaterC'' Data'!$AA$4:$AB$7,2,FALSE)=0,"Spatial Data Missing ⚠",VLOOKUP(AI138,'G-7 WaterC'' Data'!$AA$4:$AB$7,2,FALSE))))</f>
        <v/>
      </c>
      <c r="AK138" s="104"/>
      <c r="AL138" s="291" t="str">
        <f>IF(AK138="","",IF(AND(AK138="N/A - Culvert",N138&lt;&gt;"Culvert"),"Not possible ▲",IF(VLOOKUP(AK138,'G-7 WaterC'' Data'!$AD$4:$AE$14,2,FALSE)=0,"Spatial Data Missing ⚠",VLOOKUP(AK138,'G-7 WaterC'' Data'!$AD$4:$AE$14,2,FALSE))))</f>
        <v/>
      </c>
      <c r="AM138" s="332" t="str">
        <f t="shared" si="16"/>
        <v/>
      </c>
      <c r="AN138" s="98"/>
      <c r="AO138" s="99"/>
      <c r="AP138" s="101"/>
      <c r="AS138" s="15" t="str">
        <f>IF(B138="","",IF(ISNA(VLOOKUP($B138,'C-1 On-Site WaterC'' Baseline'!$C$8:$AD$257,17,FALSE)),"",(VLOOKUP($B138,'C-1 On-Site WaterC'' Baseline'!$C$8:$AD$257,17,FALSE))))</f>
        <v/>
      </c>
      <c r="AT138" s="15" t="str">
        <f>IF(B138="","",VLOOKUP($B138,'C-1 On-Site WaterC'' Baseline'!$C$9:$Z$257,12,FALSE))</f>
        <v/>
      </c>
      <c r="AU138" s="15" t="str">
        <f>IF(B138="","",VLOOKUP($B138,'C-1 On-Site WaterC'' Baseline'!$C$9:$Z$257,14,FALSE))</f>
        <v/>
      </c>
      <c r="AV138" s="15" t="str">
        <f>IFERROR(INDEX('G-7 WaterC'' Data'!$AZ$3:$AZ$7,MATCH(N138,'G-7 WaterC'' Data'!$AY$3:$AY$7,0)),"")</f>
        <v/>
      </c>
      <c r="AX138" s="15" t="str">
        <f>IF(B138="","",VLOOKUP($B138,'C-1 On-Site WaterC'' Baseline'!$C$9:$Y$257,22,FALSE))</f>
        <v/>
      </c>
      <c r="AY138" s="15" t="str">
        <f t="shared" si="17"/>
        <v/>
      </c>
      <c r="AZ138" s="15" t="str">
        <f>IF(B138="","",VLOOKUP($B138,'C-1 On-Site WaterC'' Baseline'!$C$9:$Y$257,21,FALSE))</f>
        <v/>
      </c>
      <c r="BA138" s="15" t="str">
        <f>IF(B138="","",VLOOKUP($B138,'C-1 On-Site WaterC'' Baseline'!$C$9:$Y$257,19,FALSE))</f>
        <v/>
      </c>
    </row>
    <row r="139" spans="2:53" ht="14" x14ac:dyDescent="0.3">
      <c r="B139" s="319" t="str">
        <f>'C-1 On-Site WaterC'' Baseline'!AP137</f>
        <v/>
      </c>
      <c r="C139" s="310" t="str">
        <f>IF(B139="","",VLOOKUP($B139,'C-1 On-Site WaterC'' Baseline'!$C$9:$R$257,2,FALSE))</f>
        <v/>
      </c>
      <c r="D139" s="310" t="str">
        <f>IF(C139="","",VLOOKUP($B139,'C-1 On-Site WaterC'' Baseline'!$C$9:$R$257,3,FALSE))</f>
        <v/>
      </c>
      <c r="E139" s="310" t="str">
        <f>IF(D139="","",VLOOKUP($B139,'C-1 On-Site WaterC'' Baseline'!$C$9:$R$257,4,FALSE))</f>
        <v/>
      </c>
      <c r="F139" s="310" t="str">
        <f>IF(E139="","",VLOOKUP($B139,'C-1 On-Site WaterC'' Baseline'!$C$9:$R$257,5,FALSE))</f>
        <v/>
      </c>
      <c r="G139" s="310" t="str">
        <f>IF(F139="","",VLOOKUP($B139,'C-1 On-Site WaterC'' Baseline'!$C$9:$R$257,6,FALSE))</f>
        <v/>
      </c>
      <c r="H139" s="310" t="str">
        <f>IF(G139="","",VLOOKUP($B139,'C-1 On-Site WaterC'' Baseline'!$C$9:$R$257,7,FALSE))</f>
        <v/>
      </c>
      <c r="I139" s="310" t="str">
        <f>IF(H139="","",VLOOKUP($B139,'C-1 On-Site WaterC'' Baseline'!$C$9:$R$257,8,FALSE))</f>
        <v/>
      </c>
      <c r="J139" s="310" t="str">
        <f>IF(I139="","",VLOOKUP($B139,'C-1 On-Site WaterC'' Baseline'!$C$9:$R$257,9,FALSE))</f>
        <v/>
      </c>
      <c r="K139" s="310" t="str">
        <f>IF(J139="","",VLOOKUP($B139,'C-1 On-Site WaterC'' Baseline'!$C$9:$R$257,10,FALSE))</f>
        <v/>
      </c>
      <c r="L139" s="310" t="str">
        <f>IF(B139="","",VLOOKUP($B139,'C-1 On-Site WaterC'' Baseline'!$C$9:$R$257,15,FALSE))</f>
        <v/>
      </c>
      <c r="M139" s="314" t="str">
        <f>IF(L139="","",VLOOKUP($B139,'C-1 On-Site WaterC'' Baseline'!$C$9:$R$257,16,FALSE))</f>
        <v/>
      </c>
      <c r="N139" s="259"/>
      <c r="O139" s="290" t="str">
        <f t="shared" si="10"/>
        <v/>
      </c>
      <c r="P139" s="291" t="str">
        <f t="shared" si="11"/>
        <v/>
      </c>
      <c r="Q139" s="346" t="str">
        <f>IF(N139="","",VLOOKUP(B139,'C-1 On-Site WaterC'' Baseline'!$C$10:$AC$257,20,FALSE))</f>
        <v/>
      </c>
      <c r="R139" s="290" t="str">
        <f>IF(N139="","",VLOOKUP(N139,'G-7 WaterC'' Data'!$B$2:$G$8,2,FALSE))</f>
        <v/>
      </c>
      <c r="S139" s="291" t="str">
        <f>IFERROR(VLOOKUP(R139,'G-7 WaterC'' Data'!$C$4:$D$8,2,FALSE),"")</f>
        <v/>
      </c>
      <c r="T139" s="95"/>
      <c r="U139" s="291" t="str">
        <f>IFERROR(INDEX('G-7 WaterC'' Data'!$H$4:$L$8,MATCH(N139,'G-7 WaterC'' Data'!$B$4:$B$8,0),MATCH(T139,'G-7 WaterC'' Data'!$H$3:$L$3,0)),"")</f>
        <v/>
      </c>
      <c r="V139" s="95"/>
      <c r="W139" s="298" t="str">
        <f>IF(V139="","",IF(VLOOKUP(V139,'G-7 WaterC'' Data'!$AK$4:$AM$6,2,FALSE)=0,"Spatial Data Missing ⚠",VLOOKUP(V139,'G-7 WaterC'' Data'!$AK$4:$AM$6,2,FALSE)))</f>
        <v/>
      </c>
      <c r="X139" s="291" t="str">
        <f>IF(V139="","",IF(VLOOKUP(V139,'G-7 WaterC'' Data'!$AK$4:$AM$6,3,FALSE)=0,"Spatial Data Missing ⚠",VLOOKUP(V139,'G-7 WaterC'' Data'!$AK$4:$AM$6,3,FALSE)))</f>
        <v/>
      </c>
      <c r="Y139" s="290" t="str">
        <f>IFERROR(IF(OR(LEFT(P139,5)="Error",LEFT(O139,5)="Error ▲"),"Check Data ⚠",IF(F139&lt;S139,'G-7 WaterC'' Data'!$R$3,INDEX('G-7 WaterC'' Data'!$U$5:$Y$9,MATCH(G139,'G-7 WaterC'' Data'!$T$5:$T$9,0),MATCH(T139,'G-7 WaterC'' Data'!$U$4:$Y$4,0)))),"")</f>
        <v/>
      </c>
      <c r="Z139" s="138"/>
      <c r="AA139" s="138"/>
      <c r="AB139" s="298" t="str">
        <f t="shared" si="12"/>
        <v/>
      </c>
      <c r="AC139" s="311" t="str">
        <f t="shared" si="13"/>
        <v/>
      </c>
      <c r="AD139" s="344" t="str">
        <f>IFERROR(IF(AC139="Check Data ⚠","Check Data ⚠",VLOOKUP(AC139,'G-4 Temporal multipliers'!$A$4:$C$37,3,FALSE)),"")</f>
        <v/>
      </c>
      <c r="AE139" s="290" t="str">
        <f>IF(N139="","",VLOOKUP(N139,'G-7 WaterC'' Data'!$B$4:$G$8,5,FALSE))</f>
        <v/>
      </c>
      <c r="AF139" s="298" t="str">
        <f t="shared" si="14"/>
        <v/>
      </c>
      <c r="AG139" s="328" t="str">
        <f t="shared" si="15"/>
        <v/>
      </c>
      <c r="AH139" s="291" t="str">
        <f t="shared" si="9"/>
        <v/>
      </c>
      <c r="AI139" s="103"/>
      <c r="AJ139" s="291" t="str">
        <f>IF(AI139="","",IF(AND(AI139="N/A - Culvert",N139&lt;&gt;"Culvert"),"Not possible ▲",IF(VLOOKUP(AI139,'G-7 WaterC'' Data'!$AA$4:$AB$7,2,FALSE)=0,"Spatial Data Missing ⚠",VLOOKUP(AI139,'G-7 WaterC'' Data'!$AA$4:$AB$7,2,FALSE))))</f>
        <v/>
      </c>
      <c r="AK139" s="104"/>
      <c r="AL139" s="291" t="str">
        <f>IF(AK139="","",IF(AND(AK139="N/A - Culvert",N139&lt;&gt;"Culvert"),"Not possible ▲",IF(VLOOKUP(AK139,'G-7 WaterC'' Data'!$AD$4:$AE$14,2,FALSE)=0,"Spatial Data Missing ⚠",VLOOKUP(AK139,'G-7 WaterC'' Data'!$AD$4:$AE$14,2,FALSE))))</f>
        <v/>
      </c>
      <c r="AM139" s="332" t="str">
        <f t="shared" si="16"/>
        <v/>
      </c>
      <c r="AN139" s="98"/>
      <c r="AO139" s="99"/>
      <c r="AP139" s="101"/>
      <c r="AS139" s="15" t="str">
        <f>IF(B139="","",IF(ISNA(VLOOKUP($B139,'C-1 On-Site WaterC'' Baseline'!$C$8:$AD$257,17,FALSE)),"",(VLOOKUP($B139,'C-1 On-Site WaterC'' Baseline'!$C$8:$AD$257,17,FALSE))))</f>
        <v/>
      </c>
      <c r="AT139" s="15" t="str">
        <f>IF(B139="","",VLOOKUP($B139,'C-1 On-Site WaterC'' Baseline'!$C$9:$Z$257,12,FALSE))</f>
        <v/>
      </c>
      <c r="AU139" s="15" t="str">
        <f>IF(B139="","",VLOOKUP($B139,'C-1 On-Site WaterC'' Baseline'!$C$9:$Z$257,14,FALSE))</f>
        <v/>
      </c>
      <c r="AV139" s="15" t="str">
        <f>IFERROR(INDEX('G-7 WaterC'' Data'!$AZ$3:$AZ$7,MATCH(N139,'G-7 WaterC'' Data'!$AY$3:$AY$7,0)),"")</f>
        <v/>
      </c>
      <c r="AX139" s="15" t="str">
        <f>IF(B139="","",VLOOKUP($B139,'C-1 On-Site WaterC'' Baseline'!$C$9:$Y$257,22,FALSE))</f>
        <v/>
      </c>
      <c r="AY139" s="15" t="str">
        <f t="shared" si="17"/>
        <v/>
      </c>
      <c r="AZ139" s="15" t="str">
        <f>IF(B139="","",VLOOKUP($B139,'C-1 On-Site WaterC'' Baseline'!$C$9:$Y$257,21,FALSE))</f>
        <v/>
      </c>
      <c r="BA139" s="15" t="str">
        <f>IF(B139="","",VLOOKUP($B139,'C-1 On-Site WaterC'' Baseline'!$C$9:$Y$257,19,FALSE))</f>
        <v/>
      </c>
    </row>
    <row r="140" spans="2:53" ht="14" x14ac:dyDescent="0.3">
      <c r="B140" s="319" t="str">
        <f>'C-1 On-Site WaterC'' Baseline'!AP138</f>
        <v/>
      </c>
      <c r="C140" s="310" t="str">
        <f>IF(B140="","",VLOOKUP($B140,'C-1 On-Site WaterC'' Baseline'!$C$9:$R$257,2,FALSE))</f>
        <v/>
      </c>
      <c r="D140" s="310" t="str">
        <f>IF(C140="","",VLOOKUP($B140,'C-1 On-Site WaterC'' Baseline'!$C$9:$R$257,3,FALSE))</f>
        <v/>
      </c>
      <c r="E140" s="310" t="str">
        <f>IF(D140="","",VLOOKUP($B140,'C-1 On-Site WaterC'' Baseline'!$C$9:$R$257,4,FALSE))</f>
        <v/>
      </c>
      <c r="F140" s="310" t="str">
        <f>IF(E140="","",VLOOKUP($B140,'C-1 On-Site WaterC'' Baseline'!$C$9:$R$257,5,FALSE))</f>
        <v/>
      </c>
      <c r="G140" s="310" t="str">
        <f>IF(F140="","",VLOOKUP($B140,'C-1 On-Site WaterC'' Baseline'!$C$9:$R$257,6,FALSE))</f>
        <v/>
      </c>
      <c r="H140" s="310" t="str">
        <f>IF(G140="","",VLOOKUP($B140,'C-1 On-Site WaterC'' Baseline'!$C$9:$R$257,7,FALSE))</f>
        <v/>
      </c>
      <c r="I140" s="310" t="str">
        <f>IF(H140="","",VLOOKUP($B140,'C-1 On-Site WaterC'' Baseline'!$C$9:$R$257,8,FALSE))</f>
        <v/>
      </c>
      <c r="J140" s="310" t="str">
        <f>IF(I140="","",VLOOKUP($B140,'C-1 On-Site WaterC'' Baseline'!$C$9:$R$257,9,FALSE))</f>
        <v/>
      </c>
      <c r="K140" s="310" t="str">
        <f>IF(J140="","",VLOOKUP($B140,'C-1 On-Site WaterC'' Baseline'!$C$9:$R$257,10,FALSE))</f>
        <v/>
      </c>
      <c r="L140" s="310" t="str">
        <f>IF(B140="","",VLOOKUP($B140,'C-1 On-Site WaterC'' Baseline'!$C$9:$R$257,15,FALSE))</f>
        <v/>
      </c>
      <c r="M140" s="314" t="str">
        <f>IF(L140="","",VLOOKUP($B140,'C-1 On-Site WaterC'' Baseline'!$C$9:$R$257,16,FALSE))</f>
        <v/>
      </c>
      <c r="N140" s="259"/>
      <c r="O140" s="290" t="str">
        <f t="shared" si="10"/>
        <v/>
      </c>
      <c r="P140" s="291" t="str">
        <f t="shared" si="11"/>
        <v/>
      </c>
      <c r="Q140" s="346" t="str">
        <f>IF(N140="","",VLOOKUP(B140,'C-1 On-Site WaterC'' Baseline'!$C$10:$AC$257,20,FALSE))</f>
        <v/>
      </c>
      <c r="R140" s="290" t="str">
        <f>IF(N140="","",VLOOKUP(N140,'G-7 WaterC'' Data'!$B$2:$G$8,2,FALSE))</f>
        <v/>
      </c>
      <c r="S140" s="291" t="str">
        <f>IFERROR(VLOOKUP(R140,'G-7 WaterC'' Data'!$C$4:$D$8,2,FALSE),"")</f>
        <v/>
      </c>
      <c r="T140" s="95"/>
      <c r="U140" s="291" t="str">
        <f>IFERROR(INDEX('G-7 WaterC'' Data'!$H$4:$L$8,MATCH(N140,'G-7 WaterC'' Data'!$B$4:$B$8,0),MATCH(T140,'G-7 WaterC'' Data'!$H$3:$L$3,0)),"")</f>
        <v/>
      </c>
      <c r="V140" s="95"/>
      <c r="W140" s="298" t="str">
        <f>IF(V140="","",IF(VLOOKUP(V140,'G-7 WaterC'' Data'!$AK$4:$AM$6,2,FALSE)=0,"Spatial Data Missing ⚠",VLOOKUP(V140,'G-7 WaterC'' Data'!$AK$4:$AM$6,2,FALSE)))</f>
        <v/>
      </c>
      <c r="X140" s="291" t="str">
        <f>IF(V140="","",IF(VLOOKUP(V140,'G-7 WaterC'' Data'!$AK$4:$AM$6,3,FALSE)=0,"Spatial Data Missing ⚠",VLOOKUP(V140,'G-7 WaterC'' Data'!$AK$4:$AM$6,3,FALSE)))</f>
        <v/>
      </c>
      <c r="Y140" s="290" t="str">
        <f>IFERROR(IF(OR(LEFT(P140,5)="Error",LEFT(O140,5)="Error ▲"),"Check Data ⚠",IF(F140&lt;S140,'G-7 WaterC'' Data'!$R$3,INDEX('G-7 WaterC'' Data'!$U$5:$Y$9,MATCH(G140,'G-7 WaterC'' Data'!$T$5:$T$9,0),MATCH(T140,'G-7 WaterC'' Data'!$U$4:$Y$4,0)))),"")</f>
        <v/>
      </c>
      <c r="Z140" s="138"/>
      <c r="AA140" s="138"/>
      <c r="AB140" s="298" t="str">
        <f t="shared" si="12"/>
        <v/>
      </c>
      <c r="AC140" s="311" t="str">
        <f t="shared" si="13"/>
        <v/>
      </c>
      <c r="AD140" s="344" t="str">
        <f>IFERROR(IF(AC140="Check Data ⚠","Check Data ⚠",VLOOKUP(AC140,'G-4 Temporal multipliers'!$A$4:$C$37,3,FALSE)),"")</f>
        <v/>
      </c>
      <c r="AE140" s="290" t="str">
        <f>IF(N140="","",VLOOKUP(N140,'G-7 WaterC'' Data'!$B$4:$G$8,5,FALSE))</f>
        <v/>
      </c>
      <c r="AF140" s="298" t="str">
        <f t="shared" si="14"/>
        <v/>
      </c>
      <c r="AG140" s="328" t="str">
        <f t="shared" si="15"/>
        <v/>
      </c>
      <c r="AH140" s="291" t="str">
        <f t="shared" ref="AH140:AH203" si="18">IF(N140="","",VLOOKUP(AG140,Difficulty,2,FALSE))</f>
        <v/>
      </c>
      <c r="AI140" s="103"/>
      <c r="AJ140" s="291" t="str">
        <f>IF(AI140="","",IF(AND(AI140="N/A - Culvert",N140&lt;&gt;"Culvert"),"Not possible ▲",IF(VLOOKUP(AI140,'G-7 WaterC'' Data'!$AA$4:$AB$7,2,FALSE)=0,"Spatial Data Missing ⚠",VLOOKUP(AI140,'G-7 WaterC'' Data'!$AA$4:$AB$7,2,FALSE))))</f>
        <v/>
      </c>
      <c r="AK140" s="104"/>
      <c r="AL140" s="291" t="str">
        <f>IF(AK140="","",IF(AND(AK140="N/A - Culvert",N140&lt;&gt;"Culvert"),"Not possible ▲",IF(VLOOKUP(AK140,'G-7 WaterC'' Data'!$AD$4:$AE$14,2,FALSE)=0,"Spatial Data Missing ⚠",VLOOKUP(AK140,'G-7 WaterC'' Data'!$AD$4:$AE$14,2,FALSE))))</f>
        <v/>
      </c>
      <c r="AM140" s="332" t="str">
        <f t="shared" si="16"/>
        <v/>
      </c>
      <c r="AN140" s="98"/>
      <c r="AO140" s="99"/>
      <c r="AP140" s="101"/>
      <c r="AS140" s="15" t="str">
        <f>IF(B140="","",IF(ISNA(VLOOKUP($B140,'C-1 On-Site WaterC'' Baseline'!$C$8:$AD$257,17,FALSE)),"",(VLOOKUP($B140,'C-1 On-Site WaterC'' Baseline'!$C$8:$AD$257,17,FALSE))))</f>
        <v/>
      </c>
      <c r="AT140" s="15" t="str">
        <f>IF(B140="","",VLOOKUP($B140,'C-1 On-Site WaterC'' Baseline'!$C$9:$Z$257,12,FALSE))</f>
        <v/>
      </c>
      <c r="AU140" s="15" t="str">
        <f>IF(B140="","",VLOOKUP($B140,'C-1 On-Site WaterC'' Baseline'!$C$9:$Z$257,14,FALSE))</f>
        <v/>
      </c>
      <c r="AV140" s="15" t="str">
        <f>IFERROR(INDEX('G-7 WaterC'' Data'!$AZ$3:$AZ$7,MATCH(N140,'G-7 WaterC'' Data'!$AY$3:$AY$7,0)),"")</f>
        <v/>
      </c>
      <c r="AX140" s="15" t="str">
        <f>IF(B140="","",VLOOKUP($B140,'C-1 On-Site WaterC'' Baseline'!$C$9:$Y$257,22,FALSE))</f>
        <v/>
      </c>
      <c r="AY140" s="15" t="str">
        <f t="shared" si="17"/>
        <v/>
      </c>
      <c r="AZ140" s="15" t="str">
        <f>IF(B140="","",VLOOKUP($B140,'C-1 On-Site WaterC'' Baseline'!$C$9:$Y$257,21,FALSE))</f>
        <v/>
      </c>
      <c r="BA140" s="15" t="str">
        <f>IF(B140="","",VLOOKUP($B140,'C-1 On-Site WaterC'' Baseline'!$C$9:$Y$257,19,FALSE))</f>
        <v/>
      </c>
    </row>
    <row r="141" spans="2:53" ht="14" x14ac:dyDescent="0.3">
      <c r="B141" s="319" t="str">
        <f>'C-1 On-Site WaterC'' Baseline'!AP139</f>
        <v/>
      </c>
      <c r="C141" s="310" t="str">
        <f>IF(B141="","",VLOOKUP($B141,'C-1 On-Site WaterC'' Baseline'!$C$9:$R$257,2,FALSE))</f>
        <v/>
      </c>
      <c r="D141" s="310" t="str">
        <f>IF(C141="","",VLOOKUP($B141,'C-1 On-Site WaterC'' Baseline'!$C$9:$R$257,3,FALSE))</f>
        <v/>
      </c>
      <c r="E141" s="310" t="str">
        <f>IF(D141="","",VLOOKUP($B141,'C-1 On-Site WaterC'' Baseline'!$C$9:$R$257,4,FALSE))</f>
        <v/>
      </c>
      <c r="F141" s="310" t="str">
        <f>IF(E141="","",VLOOKUP($B141,'C-1 On-Site WaterC'' Baseline'!$C$9:$R$257,5,FALSE))</f>
        <v/>
      </c>
      <c r="G141" s="310" t="str">
        <f>IF(F141="","",VLOOKUP($B141,'C-1 On-Site WaterC'' Baseline'!$C$9:$R$257,6,FALSE))</f>
        <v/>
      </c>
      <c r="H141" s="310" t="str">
        <f>IF(G141="","",VLOOKUP($B141,'C-1 On-Site WaterC'' Baseline'!$C$9:$R$257,7,FALSE))</f>
        <v/>
      </c>
      <c r="I141" s="310" t="str">
        <f>IF(H141="","",VLOOKUP($B141,'C-1 On-Site WaterC'' Baseline'!$C$9:$R$257,8,FALSE))</f>
        <v/>
      </c>
      <c r="J141" s="310" t="str">
        <f>IF(I141="","",VLOOKUP($B141,'C-1 On-Site WaterC'' Baseline'!$C$9:$R$257,9,FALSE))</f>
        <v/>
      </c>
      <c r="K141" s="310" t="str">
        <f>IF(J141="","",VLOOKUP($B141,'C-1 On-Site WaterC'' Baseline'!$C$9:$R$257,10,FALSE))</f>
        <v/>
      </c>
      <c r="L141" s="310" t="str">
        <f>IF(B141="","",VLOOKUP($B141,'C-1 On-Site WaterC'' Baseline'!$C$9:$R$257,15,FALSE))</f>
        <v/>
      </c>
      <c r="M141" s="314" t="str">
        <f>IF(L141="","",VLOOKUP($B141,'C-1 On-Site WaterC'' Baseline'!$C$9:$R$257,16,FALSE))</f>
        <v/>
      </c>
      <c r="N141" s="259"/>
      <c r="O141" s="290" t="str">
        <f t="shared" ref="O141:O204" si="19">IF(B141="","",IF(S141&lt;F141,"Error Trading Down ▲",E141&amp;" - "&amp;R141))</f>
        <v/>
      </c>
      <c r="P141" s="291" t="str">
        <f t="shared" ref="P141:P204" si="20">IF(C141="","",IF(AND(N141&lt;&gt;C141,AS141="Yes"),"Error you cannot replace and irreplaceable habitat ▲",IF(AND(LEFT(C141,55)&lt;&gt;LEFT(N141,55),O141="High - High"),"Error - Not like for like ▲",IF(H141&gt;U141,"Error - Can not reduce condition ▲",IF(AND(C141&lt;&gt;N141,F141&lt;S141),"Lower Distinctiveness Habitat"&amp;" - "&amp;T141,G141&amp;" - "&amp;T141)))))</f>
        <v/>
      </c>
      <c r="Q141" s="346" t="str">
        <f>IF(N141="","",VLOOKUP(B141,'C-1 On-Site WaterC'' Baseline'!$C$10:$AC$257,20,FALSE))</f>
        <v/>
      </c>
      <c r="R141" s="290" t="str">
        <f>IF(N141="","",VLOOKUP(N141,'G-7 WaterC'' Data'!$B$2:$G$8,2,FALSE))</f>
        <v/>
      </c>
      <c r="S141" s="291" t="str">
        <f>IFERROR(VLOOKUP(R141,'G-7 WaterC'' Data'!$C$4:$D$8,2,FALSE),"")</f>
        <v/>
      </c>
      <c r="T141" s="95"/>
      <c r="U141" s="291" t="str">
        <f>IFERROR(INDEX('G-7 WaterC'' Data'!$H$4:$L$8,MATCH(N141,'G-7 WaterC'' Data'!$B$4:$B$8,0),MATCH(T141,'G-7 WaterC'' Data'!$H$3:$L$3,0)),"")</f>
        <v/>
      </c>
      <c r="V141" s="95"/>
      <c r="W141" s="298" t="str">
        <f>IF(V141="","",IF(VLOOKUP(V141,'G-7 WaterC'' Data'!$AK$4:$AM$6,2,FALSE)=0,"Spatial Data Missing ⚠",VLOOKUP(V141,'G-7 WaterC'' Data'!$AK$4:$AM$6,2,FALSE)))</f>
        <v/>
      </c>
      <c r="X141" s="291" t="str">
        <f>IF(V141="","",IF(VLOOKUP(V141,'G-7 WaterC'' Data'!$AK$4:$AM$6,3,FALSE)=0,"Spatial Data Missing ⚠",VLOOKUP(V141,'G-7 WaterC'' Data'!$AK$4:$AM$6,3,FALSE)))</f>
        <v/>
      </c>
      <c r="Y141" s="290" t="str">
        <f>IFERROR(IF(OR(LEFT(P141,5)="Error",LEFT(O141,5)="Error ▲"),"Check Data ⚠",IF(F141&lt;S141,'G-7 WaterC'' Data'!$R$3,INDEX('G-7 WaterC'' Data'!$U$5:$Y$9,MATCH(G141,'G-7 WaterC'' Data'!$T$5:$T$9,0),MATCH(T141,'G-7 WaterC'' Data'!$U$4:$Y$4,0)))),"")</f>
        <v/>
      </c>
      <c r="Z141" s="138"/>
      <c r="AA141" s="138"/>
      <c r="AB141" s="298" t="str">
        <f t="shared" ref="AB141:AB204" si="21">IF(Y141="","",IF(Y141="Check Data ⚠","Check Data ⚠",IF(AND(Z141&gt;0,AA141&gt;0),"Error -both advance and delayed habitat creation ▲",IF(AND(OR(Z141="Habitat already in target condition",Y141&lt;=Z141),AA141=0),"Check details - Is there evidence that habitat has reached target condition? ⚠",IF(Z141&gt;0,"Check details - Is there evidence habitat creation started/in place? ⚠",IF(AA141&gt;0,"Check details- Delay in starting habitat in required condition? ⚠","Standard time to target condition applied"))))))</f>
        <v/>
      </c>
      <c r="AC141" s="311" t="str">
        <f t="shared" ref="AC141:AC204" si="22">IF(AB141="Error -both advance and delayed habitat creation ▲","Check Data ⚠",IF(AB141="Check Data ⚠","Check Data ⚠",IF(Y141="","",IF(Z141="30+",0,IF(AA141="30+","30+",IF(Y141+AA141&gt;30,"30+",IF(Y141+AA141-Z141&gt;0,Y141+AA141-Z141,IF(Y141-Z141&lt;0,0,Y141+AA141-Z141))))))))</f>
        <v/>
      </c>
      <c r="AD141" s="344" t="str">
        <f>IFERROR(IF(AC141="Check Data ⚠","Check Data ⚠",VLOOKUP(AC141,'G-4 Temporal multipliers'!$A$4:$C$37,3,FALSE)),"")</f>
        <v/>
      </c>
      <c r="AE141" s="290" t="str">
        <f>IF(N141="","",VLOOKUP(N141,'G-7 WaterC'' Data'!$B$4:$G$8,5,FALSE))</f>
        <v/>
      </c>
      <c r="AF141" s="298" t="str">
        <f t="shared" ref="AF141:AF204" si="23">IF(N141="","",IF(AC141="Check Data ⚠","Check Data ⚠",IF(T141="","",IF($AB141="Check details - Is there evidence that habitat has reached target condition? ⚠","Low Difficulty - only applicable if all habitat created before losses ⚠","Standard difficulty applied"))))</f>
        <v/>
      </c>
      <c r="AG141" s="328" t="str">
        <f t="shared" ref="AG141:AG204" si="24">(IF(AND(AF141="Standard difficulty applied",Y141&gt;Z141),AE141,IF(AND(AF141="Low Difficulty - only applicable if all habitat created before losses ⚠",Z141&gt;=Y141),"Low",AE141)))</f>
        <v/>
      </c>
      <c r="AH141" s="291" t="str">
        <f t="shared" si="18"/>
        <v/>
      </c>
      <c r="AI141" s="103"/>
      <c r="AJ141" s="291" t="str">
        <f>IF(AI141="","",IF(AND(AI141="N/A - Culvert",N141&lt;&gt;"Culvert"),"Not possible ▲",IF(VLOOKUP(AI141,'G-7 WaterC'' Data'!$AA$4:$AB$7,2,FALSE)=0,"Spatial Data Missing ⚠",VLOOKUP(AI141,'G-7 WaterC'' Data'!$AA$4:$AB$7,2,FALSE))))</f>
        <v/>
      </c>
      <c r="AK141" s="104"/>
      <c r="AL141" s="291" t="str">
        <f>IF(AK141="","",IF(AND(AK141="N/A - Culvert",N141&lt;&gt;"Culvert"),"Not possible ▲",IF(VLOOKUP(AK141,'G-7 WaterC'' Data'!$AD$4:$AE$14,2,FALSE)=0,"Spatial Data Missing ⚠",VLOOKUP(AK141,'G-7 WaterC'' Data'!$AD$4:$AE$14,2,FALSE))))</f>
        <v/>
      </c>
      <c r="AM141" s="332" t="str">
        <f t="shared" ref="AM141:AM204" si="25">IFERROR(IF(C141="","",IF(AND(N141&lt;&gt;"",M141=""),"Check Data ⚠",IF(Q141&gt;D141,((((Q141*S141*U141)-(D141*F141*H141))*(AH141*AD141))+(D141*F141*H141))*(AL141*X141*AJ141),((((Q141*S141*U141)-(Q141*F141*H141))*(AH141*AD141))+(Q141*F141*H141))*(AL141*X141*AJ141)))),"")</f>
        <v/>
      </c>
      <c r="AN141" s="98"/>
      <c r="AO141" s="99"/>
      <c r="AP141" s="101"/>
      <c r="AS141" s="15" t="str">
        <f>IF(B141="","",IF(ISNA(VLOOKUP($B141,'C-1 On-Site WaterC'' Baseline'!$C$8:$AD$257,17,FALSE)),"",(VLOOKUP($B141,'C-1 On-Site WaterC'' Baseline'!$C$8:$AD$257,17,FALSE))))</f>
        <v/>
      </c>
      <c r="AT141" s="15" t="str">
        <f>IF(B141="","",VLOOKUP($B141,'C-1 On-Site WaterC'' Baseline'!$C$9:$Z$257,12,FALSE))</f>
        <v/>
      </c>
      <c r="AU141" s="15" t="str">
        <f>IF(B141="","",VLOOKUP($B141,'C-1 On-Site WaterC'' Baseline'!$C$9:$Z$257,14,FALSE))</f>
        <v/>
      </c>
      <c r="AV141" s="15" t="str">
        <f>IFERROR(INDEX('G-7 WaterC'' Data'!$AZ$3:$AZ$7,MATCH(N141,'G-7 WaterC'' Data'!$AY$3:$AY$7,0)),"")</f>
        <v/>
      </c>
      <c r="AX141" s="15" t="str">
        <f>IF(B141="","",VLOOKUP($B141,'C-1 On-Site WaterC'' Baseline'!$C$9:$Y$257,22,FALSE))</f>
        <v/>
      </c>
      <c r="AY141" s="15" t="str">
        <f t="shared" ref="AY141:AY204" si="26">IF(B141="","", IF(AX141&gt;M141, M141, IF((BA141+Q141)&gt;D141, M141 - AZ141, AX141)))</f>
        <v/>
      </c>
      <c r="AZ141" s="15" t="str">
        <f>IF(B141="","",VLOOKUP($B141,'C-1 On-Site WaterC'' Baseline'!$C$9:$Y$257,21,FALSE))</f>
        <v/>
      </c>
      <c r="BA141" s="15" t="str">
        <f>IF(B141="","",VLOOKUP($B141,'C-1 On-Site WaterC'' Baseline'!$C$9:$Y$257,19,FALSE))</f>
        <v/>
      </c>
    </row>
    <row r="142" spans="2:53" ht="14" x14ac:dyDescent="0.3">
      <c r="B142" s="319" t="str">
        <f>'C-1 On-Site WaterC'' Baseline'!AP140</f>
        <v/>
      </c>
      <c r="C142" s="310" t="str">
        <f>IF(B142="","",VLOOKUP($B142,'C-1 On-Site WaterC'' Baseline'!$C$9:$R$257,2,FALSE))</f>
        <v/>
      </c>
      <c r="D142" s="310" t="str">
        <f>IF(C142="","",VLOOKUP($B142,'C-1 On-Site WaterC'' Baseline'!$C$9:$R$257,3,FALSE))</f>
        <v/>
      </c>
      <c r="E142" s="310" t="str">
        <f>IF(D142="","",VLOOKUP($B142,'C-1 On-Site WaterC'' Baseline'!$C$9:$R$257,4,FALSE))</f>
        <v/>
      </c>
      <c r="F142" s="310" t="str">
        <f>IF(E142="","",VLOOKUP($B142,'C-1 On-Site WaterC'' Baseline'!$C$9:$R$257,5,FALSE))</f>
        <v/>
      </c>
      <c r="G142" s="310" t="str">
        <f>IF(F142="","",VLOOKUP($B142,'C-1 On-Site WaterC'' Baseline'!$C$9:$R$257,6,FALSE))</f>
        <v/>
      </c>
      <c r="H142" s="310" t="str">
        <f>IF(G142="","",VLOOKUP($B142,'C-1 On-Site WaterC'' Baseline'!$C$9:$R$257,7,FALSE))</f>
        <v/>
      </c>
      <c r="I142" s="310" t="str">
        <f>IF(H142="","",VLOOKUP($B142,'C-1 On-Site WaterC'' Baseline'!$C$9:$R$257,8,FALSE))</f>
        <v/>
      </c>
      <c r="J142" s="310" t="str">
        <f>IF(I142="","",VLOOKUP($B142,'C-1 On-Site WaterC'' Baseline'!$C$9:$R$257,9,FALSE))</f>
        <v/>
      </c>
      <c r="K142" s="310" t="str">
        <f>IF(J142="","",VLOOKUP($B142,'C-1 On-Site WaterC'' Baseline'!$C$9:$R$257,10,FALSE))</f>
        <v/>
      </c>
      <c r="L142" s="310" t="str">
        <f>IF(B142="","",VLOOKUP($B142,'C-1 On-Site WaterC'' Baseline'!$C$9:$R$257,15,FALSE))</f>
        <v/>
      </c>
      <c r="M142" s="314" t="str">
        <f>IF(L142="","",VLOOKUP($B142,'C-1 On-Site WaterC'' Baseline'!$C$9:$R$257,16,FALSE))</f>
        <v/>
      </c>
      <c r="N142" s="259"/>
      <c r="O142" s="290" t="str">
        <f t="shared" si="19"/>
        <v/>
      </c>
      <c r="P142" s="291" t="str">
        <f t="shared" si="20"/>
        <v/>
      </c>
      <c r="Q142" s="346" t="str">
        <f>IF(N142="","",VLOOKUP(B142,'C-1 On-Site WaterC'' Baseline'!$C$10:$AC$257,20,FALSE))</f>
        <v/>
      </c>
      <c r="R142" s="290" t="str">
        <f>IF(N142="","",VLOOKUP(N142,'G-7 WaterC'' Data'!$B$2:$G$8,2,FALSE))</f>
        <v/>
      </c>
      <c r="S142" s="291" t="str">
        <f>IFERROR(VLOOKUP(R142,'G-7 WaterC'' Data'!$C$4:$D$8,2,FALSE),"")</f>
        <v/>
      </c>
      <c r="T142" s="95"/>
      <c r="U142" s="291" t="str">
        <f>IFERROR(INDEX('G-7 WaterC'' Data'!$H$4:$L$8,MATCH(N142,'G-7 WaterC'' Data'!$B$4:$B$8,0),MATCH(T142,'G-7 WaterC'' Data'!$H$3:$L$3,0)),"")</f>
        <v/>
      </c>
      <c r="V142" s="95"/>
      <c r="W142" s="298" t="str">
        <f>IF(V142="","",IF(VLOOKUP(V142,'G-7 WaterC'' Data'!$AK$4:$AM$6,2,FALSE)=0,"Spatial Data Missing ⚠",VLOOKUP(V142,'G-7 WaterC'' Data'!$AK$4:$AM$6,2,FALSE)))</f>
        <v/>
      </c>
      <c r="X142" s="291" t="str">
        <f>IF(V142="","",IF(VLOOKUP(V142,'G-7 WaterC'' Data'!$AK$4:$AM$6,3,FALSE)=0,"Spatial Data Missing ⚠",VLOOKUP(V142,'G-7 WaterC'' Data'!$AK$4:$AM$6,3,FALSE)))</f>
        <v/>
      </c>
      <c r="Y142" s="290" t="str">
        <f>IFERROR(IF(OR(LEFT(P142,5)="Error",LEFT(O142,5)="Error ▲"),"Check Data ⚠",IF(F142&lt;S142,'G-7 WaterC'' Data'!$R$3,INDEX('G-7 WaterC'' Data'!$U$5:$Y$9,MATCH(G142,'G-7 WaterC'' Data'!$T$5:$T$9,0),MATCH(T142,'G-7 WaterC'' Data'!$U$4:$Y$4,0)))),"")</f>
        <v/>
      </c>
      <c r="Z142" s="138"/>
      <c r="AA142" s="138"/>
      <c r="AB142" s="298" t="str">
        <f t="shared" si="21"/>
        <v/>
      </c>
      <c r="AC142" s="311" t="str">
        <f t="shared" si="22"/>
        <v/>
      </c>
      <c r="AD142" s="344" t="str">
        <f>IFERROR(IF(AC142="Check Data ⚠","Check Data ⚠",VLOOKUP(AC142,'G-4 Temporal multipliers'!$A$4:$C$37,3,FALSE)),"")</f>
        <v/>
      </c>
      <c r="AE142" s="290" t="str">
        <f>IF(N142="","",VLOOKUP(N142,'G-7 WaterC'' Data'!$B$4:$G$8,5,FALSE))</f>
        <v/>
      </c>
      <c r="AF142" s="298" t="str">
        <f t="shared" si="23"/>
        <v/>
      </c>
      <c r="AG142" s="328" t="str">
        <f t="shared" si="24"/>
        <v/>
      </c>
      <c r="AH142" s="291" t="str">
        <f t="shared" si="18"/>
        <v/>
      </c>
      <c r="AI142" s="103"/>
      <c r="AJ142" s="291" t="str">
        <f>IF(AI142="","",IF(AND(AI142="N/A - Culvert",N142&lt;&gt;"Culvert"),"Not possible ▲",IF(VLOOKUP(AI142,'G-7 WaterC'' Data'!$AA$4:$AB$7,2,FALSE)=0,"Spatial Data Missing ⚠",VLOOKUP(AI142,'G-7 WaterC'' Data'!$AA$4:$AB$7,2,FALSE))))</f>
        <v/>
      </c>
      <c r="AK142" s="104"/>
      <c r="AL142" s="291" t="str">
        <f>IF(AK142="","",IF(AND(AK142="N/A - Culvert",N142&lt;&gt;"Culvert"),"Not possible ▲",IF(VLOOKUP(AK142,'G-7 WaterC'' Data'!$AD$4:$AE$14,2,FALSE)=0,"Spatial Data Missing ⚠",VLOOKUP(AK142,'G-7 WaterC'' Data'!$AD$4:$AE$14,2,FALSE))))</f>
        <v/>
      </c>
      <c r="AM142" s="332" t="str">
        <f t="shared" si="25"/>
        <v/>
      </c>
      <c r="AN142" s="98"/>
      <c r="AO142" s="99"/>
      <c r="AP142" s="101"/>
      <c r="AS142" s="15" t="str">
        <f>IF(B142="","",IF(ISNA(VLOOKUP($B142,'C-1 On-Site WaterC'' Baseline'!$C$8:$AD$257,17,FALSE)),"",(VLOOKUP($B142,'C-1 On-Site WaterC'' Baseline'!$C$8:$AD$257,17,FALSE))))</f>
        <v/>
      </c>
      <c r="AT142" s="15" t="str">
        <f>IF(B142="","",VLOOKUP($B142,'C-1 On-Site WaterC'' Baseline'!$C$9:$Z$257,12,FALSE))</f>
        <v/>
      </c>
      <c r="AU142" s="15" t="str">
        <f>IF(B142="","",VLOOKUP($B142,'C-1 On-Site WaterC'' Baseline'!$C$9:$Z$257,14,FALSE))</f>
        <v/>
      </c>
      <c r="AV142" s="15" t="str">
        <f>IFERROR(INDEX('G-7 WaterC'' Data'!$AZ$3:$AZ$7,MATCH(N142,'G-7 WaterC'' Data'!$AY$3:$AY$7,0)),"")</f>
        <v/>
      </c>
      <c r="AX142" s="15" t="str">
        <f>IF(B142="","",VLOOKUP($B142,'C-1 On-Site WaterC'' Baseline'!$C$9:$Y$257,22,FALSE))</f>
        <v/>
      </c>
      <c r="AY142" s="15" t="str">
        <f t="shared" si="26"/>
        <v/>
      </c>
      <c r="AZ142" s="15" t="str">
        <f>IF(B142="","",VLOOKUP($B142,'C-1 On-Site WaterC'' Baseline'!$C$9:$Y$257,21,FALSE))</f>
        <v/>
      </c>
      <c r="BA142" s="15" t="str">
        <f>IF(B142="","",VLOOKUP($B142,'C-1 On-Site WaterC'' Baseline'!$C$9:$Y$257,19,FALSE))</f>
        <v/>
      </c>
    </row>
    <row r="143" spans="2:53" ht="14" x14ac:dyDescent="0.3">
      <c r="B143" s="319" t="str">
        <f>'C-1 On-Site WaterC'' Baseline'!AP141</f>
        <v/>
      </c>
      <c r="C143" s="310" t="str">
        <f>IF(B143="","",VLOOKUP($B143,'C-1 On-Site WaterC'' Baseline'!$C$9:$R$257,2,FALSE))</f>
        <v/>
      </c>
      <c r="D143" s="310" t="str">
        <f>IF(C143="","",VLOOKUP($B143,'C-1 On-Site WaterC'' Baseline'!$C$9:$R$257,3,FALSE))</f>
        <v/>
      </c>
      <c r="E143" s="310" t="str">
        <f>IF(D143="","",VLOOKUP($B143,'C-1 On-Site WaterC'' Baseline'!$C$9:$R$257,4,FALSE))</f>
        <v/>
      </c>
      <c r="F143" s="310" t="str">
        <f>IF(E143="","",VLOOKUP($B143,'C-1 On-Site WaterC'' Baseline'!$C$9:$R$257,5,FALSE))</f>
        <v/>
      </c>
      <c r="G143" s="310" t="str">
        <f>IF(F143="","",VLOOKUP($B143,'C-1 On-Site WaterC'' Baseline'!$C$9:$R$257,6,FALSE))</f>
        <v/>
      </c>
      <c r="H143" s="310" t="str">
        <f>IF(G143="","",VLOOKUP($B143,'C-1 On-Site WaterC'' Baseline'!$C$9:$R$257,7,FALSE))</f>
        <v/>
      </c>
      <c r="I143" s="310" t="str">
        <f>IF(H143="","",VLOOKUP($B143,'C-1 On-Site WaterC'' Baseline'!$C$9:$R$257,8,FALSE))</f>
        <v/>
      </c>
      <c r="J143" s="310" t="str">
        <f>IF(I143="","",VLOOKUP($B143,'C-1 On-Site WaterC'' Baseline'!$C$9:$R$257,9,FALSE))</f>
        <v/>
      </c>
      <c r="K143" s="310" t="str">
        <f>IF(J143="","",VLOOKUP($B143,'C-1 On-Site WaterC'' Baseline'!$C$9:$R$257,10,FALSE))</f>
        <v/>
      </c>
      <c r="L143" s="310" t="str">
        <f>IF(B143="","",VLOOKUP($B143,'C-1 On-Site WaterC'' Baseline'!$C$9:$R$257,15,FALSE))</f>
        <v/>
      </c>
      <c r="M143" s="314" t="str">
        <f>IF(L143="","",VLOOKUP($B143,'C-1 On-Site WaterC'' Baseline'!$C$9:$R$257,16,FALSE))</f>
        <v/>
      </c>
      <c r="N143" s="259"/>
      <c r="O143" s="290" t="str">
        <f t="shared" si="19"/>
        <v/>
      </c>
      <c r="P143" s="291" t="str">
        <f t="shared" si="20"/>
        <v/>
      </c>
      <c r="Q143" s="346" t="str">
        <f>IF(N143="","",VLOOKUP(B143,'C-1 On-Site WaterC'' Baseline'!$C$10:$AC$257,20,FALSE))</f>
        <v/>
      </c>
      <c r="R143" s="290" t="str">
        <f>IF(N143="","",VLOOKUP(N143,'G-7 WaterC'' Data'!$B$2:$G$8,2,FALSE))</f>
        <v/>
      </c>
      <c r="S143" s="291" t="str">
        <f>IFERROR(VLOOKUP(R143,'G-7 WaterC'' Data'!$C$4:$D$8,2,FALSE),"")</f>
        <v/>
      </c>
      <c r="T143" s="95"/>
      <c r="U143" s="291" t="str">
        <f>IFERROR(INDEX('G-7 WaterC'' Data'!$H$4:$L$8,MATCH(N143,'G-7 WaterC'' Data'!$B$4:$B$8,0),MATCH(T143,'G-7 WaterC'' Data'!$H$3:$L$3,0)),"")</f>
        <v/>
      </c>
      <c r="V143" s="95"/>
      <c r="W143" s="298" t="str">
        <f>IF(V143="","",IF(VLOOKUP(V143,'G-7 WaterC'' Data'!$AK$4:$AM$6,2,FALSE)=0,"Spatial Data Missing ⚠",VLOOKUP(V143,'G-7 WaterC'' Data'!$AK$4:$AM$6,2,FALSE)))</f>
        <v/>
      </c>
      <c r="X143" s="291" t="str">
        <f>IF(V143="","",IF(VLOOKUP(V143,'G-7 WaterC'' Data'!$AK$4:$AM$6,3,FALSE)=0,"Spatial Data Missing ⚠",VLOOKUP(V143,'G-7 WaterC'' Data'!$AK$4:$AM$6,3,FALSE)))</f>
        <v/>
      </c>
      <c r="Y143" s="290" t="str">
        <f>IFERROR(IF(OR(LEFT(P143,5)="Error",LEFT(O143,5)="Error ▲"),"Check Data ⚠",IF(F143&lt;S143,'G-7 WaterC'' Data'!$R$3,INDEX('G-7 WaterC'' Data'!$U$5:$Y$9,MATCH(G143,'G-7 WaterC'' Data'!$T$5:$T$9,0),MATCH(T143,'G-7 WaterC'' Data'!$U$4:$Y$4,0)))),"")</f>
        <v/>
      </c>
      <c r="Z143" s="138"/>
      <c r="AA143" s="138"/>
      <c r="AB143" s="298" t="str">
        <f t="shared" si="21"/>
        <v/>
      </c>
      <c r="AC143" s="311" t="str">
        <f t="shared" si="22"/>
        <v/>
      </c>
      <c r="AD143" s="344" t="str">
        <f>IFERROR(IF(AC143="Check Data ⚠","Check Data ⚠",VLOOKUP(AC143,'G-4 Temporal multipliers'!$A$4:$C$37,3,FALSE)),"")</f>
        <v/>
      </c>
      <c r="AE143" s="290" t="str">
        <f>IF(N143="","",VLOOKUP(N143,'G-7 WaterC'' Data'!$B$4:$G$8,5,FALSE))</f>
        <v/>
      </c>
      <c r="AF143" s="298" t="str">
        <f t="shared" si="23"/>
        <v/>
      </c>
      <c r="AG143" s="328" t="str">
        <f t="shared" si="24"/>
        <v/>
      </c>
      <c r="AH143" s="291" t="str">
        <f t="shared" si="18"/>
        <v/>
      </c>
      <c r="AI143" s="103"/>
      <c r="AJ143" s="291" t="str">
        <f>IF(AI143="","",IF(AND(AI143="N/A - Culvert",N143&lt;&gt;"Culvert"),"Not possible ▲",IF(VLOOKUP(AI143,'G-7 WaterC'' Data'!$AA$4:$AB$7,2,FALSE)=0,"Spatial Data Missing ⚠",VLOOKUP(AI143,'G-7 WaterC'' Data'!$AA$4:$AB$7,2,FALSE))))</f>
        <v/>
      </c>
      <c r="AK143" s="104"/>
      <c r="AL143" s="291" t="str">
        <f>IF(AK143="","",IF(AND(AK143="N/A - Culvert",N143&lt;&gt;"Culvert"),"Not possible ▲",IF(VLOOKUP(AK143,'G-7 WaterC'' Data'!$AD$4:$AE$14,2,FALSE)=0,"Spatial Data Missing ⚠",VLOOKUP(AK143,'G-7 WaterC'' Data'!$AD$4:$AE$14,2,FALSE))))</f>
        <v/>
      </c>
      <c r="AM143" s="332" t="str">
        <f t="shared" si="25"/>
        <v/>
      </c>
      <c r="AN143" s="98"/>
      <c r="AO143" s="99"/>
      <c r="AP143" s="101"/>
      <c r="AS143" s="15" t="str">
        <f>IF(B143="","",IF(ISNA(VLOOKUP($B143,'C-1 On-Site WaterC'' Baseline'!$C$8:$AD$257,17,FALSE)),"",(VLOOKUP($B143,'C-1 On-Site WaterC'' Baseline'!$C$8:$AD$257,17,FALSE))))</f>
        <v/>
      </c>
      <c r="AT143" s="15" t="str">
        <f>IF(B143="","",VLOOKUP($B143,'C-1 On-Site WaterC'' Baseline'!$C$9:$Z$257,12,FALSE))</f>
        <v/>
      </c>
      <c r="AU143" s="15" t="str">
        <f>IF(B143="","",VLOOKUP($B143,'C-1 On-Site WaterC'' Baseline'!$C$9:$Z$257,14,FALSE))</f>
        <v/>
      </c>
      <c r="AV143" s="15" t="str">
        <f>IFERROR(INDEX('G-7 WaterC'' Data'!$AZ$3:$AZ$7,MATCH(N143,'G-7 WaterC'' Data'!$AY$3:$AY$7,0)),"")</f>
        <v/>
      </c>
      <c r="AX143" s="15" t="str">
        <f>IF(B143="","",VLOOKUP($B143,'C-1 On-Site WaterC'' Baseline'!$C$9:$Y$257,22,FALSE))</f>
        <v/>
      </c>
      <c r="AY143" s="15" t="str">
        <f t="shared" si="26"/>
        <v/>
      </c>
      <c r="AZ143" s="15" t="str">
        <f>IF(B143="","",VLOOKUP($B143,'C-1 On-Site WaterC'' Baseline'!$C$9:$Y$257,21,FALSE))</f>
        <v/>
      </c>
      <c r="BA143" s="15" t="str">
        <f>IF(B143="","",VLOOKUP($B143,'C-1 On-Site WaterC'' Baseline'!$C$9:$Y$257,19,FALSE))</f>
        <v/>
      </c>
    </row>
    <row r="144" spans="2:53" ht="14" x14ac:dyDescent="0.3">
      <c r="B144" s="319" t="str">
        <f>'C-1 On-Site WaterC'' Baseline'!AP142</f>
        <v/>
      </c>
      <c r="C144" s="310" t="str">
        <f>IF(B144="","",VLOOKUP($B144,'C-1 On-Site WaterC'' Baseline'!$C$9:$R$257,2,FALSE))</f>
        <v/>
      </c>
      <c r="D144" s="310" t="str">
        <f>IF(C144="","",VLOOKUP($B144,'C-1 On-Site WaterC'' Baseline'!$C$9:$R$257,3,FALSE))</f>
        <v/>
      </c>
      <c r="E144" s="310" t="str">
        <f>IF(D144="","",VLOOKUP($B144,'C-1 On-Site WaterC'' Baseline'!$C$9:$R$257,4,FALSE))</f>
        <v/>
      </c>
      <c r="F144" s="310" t="str">
        <f>IF(E144="","",VLOOKUP($B144,'C-1 On-Site WaterC'' Baseline'!$C$9:$R$257,5,FALSE))</f>
        <v/>
      </c>
      <c r="G144" s="310" t="str">
        <f>IF(F144="","",VLOOKUP($B144,'C-1 On-Site WaterC'' Baseline'!$C$9:$R$257,6,FALSE))</f>
        <v/>
      </c>
      <c r="H144" s="310" t="str">
        <f>IF(G144="","",VLOOKUP($B144,'C-1 On-Site WaterC'' Baseline'!$C$9:$R$257,7,FALSE))</f>
        <v/>
      </c>
      <c r="I144" s="310" t="str">
        <f>IF(H144="","",VLOOKUP($B144,'C-1 On-Site WaterC'' Baseline'!$C$9:$R$257,8,FALSE))</f>
        <v/>
      </c>
      <c r="J144" s="310" t="str">
        <f>IF(I144="","",VLOOKUP($B144,'C-1 On-Site WaterC'' Baseline'!$C$9:$R$257,9,FALSE))</f>
        <v/>
      </c>
      <c r="K144" s="310" t="str">
        <f>IF(J144="","",VLOOKUP($B144,'C-1 On-Site WaterC'' Baseline'!$C$9:$R$257,10,FALSE))</f>
        <v/>
      </c>
      <c r="L144" s="310" t="str">
        <f>IF(B144="","",VLOOKUP($B144,'C-1 On-Site WaterC'' Baseline'!$C$9:$R$257,15,FALSE))</f>
        <v/>
      </c>
      <c r="M144" s="314" t="str">
        <f>IF(L144="","",VLOOKUP($B144,'C-1 On-Site WaterC'' Baseline'!$C$9:$R$257,16,FALSE))</f>
        <v/>
      </c>
      <c r="N144" s="259"/>
      <c r="O144" s="290" t="str">
        <f t="shared" si="19"/>
        <v/>
      </c>
      <c r="P144" s="291" t="str">
        <f t="shared" si="20"/>
        <v/>
      </c>
      <c r="Q144" s="346" t="str">
        <f>IF(N144="","",VLOOKUP(B144,'C-1 On-Site WaterC'' Baseline'!$C$10:$AC$257,20,FALSE))</f>
        <v/>
      </c>
      <c r="R144" s="290" t="str">
        <f>IF(N144="","",VLOOKUP(N144,'G-7 WaterC'' Data'!$B$2:$G$8,2,FALSE))</f>
        <v/>
      </c>
      <c r="S144" s="291" t="str">
        <f>IFERROR(VLOOKUP(R144,'G-7 WaterC'' Data'!$C$4:$D$8,2,FALSE),"")</f>
        <v/>
      </c>
      <c r="T144" s="95"/>
      <c r="U144" s="291" t="str">
        <f>IFERROR(INDEX('G-7 WaterC'' Data'!$H$4:$L$8,MATCH(N144,'G-7 WaterC'' Data'!$B$4:$B$8,0),MATCH(T144,'G-7 WaterC'' Data'!$H$3:$L$3,0)),"")</f>
        <v/>
      </c>
      <c r="V144" s="95"/>
      <c r="W144" s="298" t="str">
        <f>IF(V144="","",IF(VLOOKUP(V144,'G-7 WaterC'' Data'!$AK$4:$AM$6,2,FALSE)=0,"Spatial Data Missing ⚠",VLOOKUP(V144,'G-7 WaterC'' Data'!$AK$4:$AM$6,2,FALSE)))</f>
        <v/>
      </c>
      <c r="X144" s="291" t="str">
        <f>IF(V144="","",IF(VLOOKUP(V144,'G-7 WaterC'' Data'!$AK$4:$AM$6,3,FALSE)=0,"Spatial Data Missing ⚠",VLOOKUP(V144,'G-7 WaterC'' Data'!$AK$4:$AM$6,3,FALSE)))</f>
        <v/>
      </c>
      <c r="Y144" s="290" t="str">
        <f>IFERROR(IF(OR(LEFT(P144,5)="Error",LEFT(O144,5)="Error ▲"),"Check Data ⚠",IF(F144&lt;S144,'G-7 WaterC'' Data'!$R$3,INDEX('G-7 WaterC'' Data'!$U$5:$Y$9,MATCH(G144,'G-7 WaterC'' Data'!$T$5:$T$9,0),MATCH(T144,'G-7 WaterC'' Data'!$U$4:$Y$4,0)))),"")</f>
        <v/>
      </c>
      <c r="Z144" s="138"/>
      <c r="AA144" s="138"/>
      <c r="AB144" s="298" t="str">
        <f t="shared" si="21"/>
        <v/>
      </c>
      <c r="AC144" s="311" t="str">
        <f t="shared" si="22"/>
        <v/>
      </c>
      <c r="AD144" s="344" t="str">
        <f>IFERROR(IF(AC144="Check Data ⚠","Check Data ⚠",VLOOKUP(AC144,'G-4 Temporal multipliers'!$A$4:$C$37,3,FALSE)),"")</f>
        <v/>
      </c>
      <c r="AE144" s="290" t="str">
        <f>IF(N144="","",VLOOKUP(N144,'G-7 WaterC'' Data'!$B$4:$G$8,5,FALSE))</f>
        <v/>
      </c>
      <c r="AF144" s="298" t="str">
        <f t="shared" si="23"/>
        <v/>
      </c>
      <c r="AG144" s="328" t="str">
        <f t="shared" si="24"/>
        <v/>
      </c>
      <c r="AH144" s="291" t="str">
        <f t="shared" si="18"/>
        <v/>
      </c>
      <c r="AI144" s="103"/>
      <c r="AJ144" s="291" t="str">
        <f>IF(AI144="","",IF(AND(AI144="N/A - Culvert",N144&lt;&gt;"Culvert"),"Not possible ▲",IF(VLOOKUP(AI144,'G-7 WaterC'' Data'!$AA$4:$AB$7,2,FALSE)=0,"Spatial Data Missing ⚠",VLOOKUP(AI144,'G-7 WaterC'' Data'!$AA$4:$AB$7,2,FALSE))))</f>
        <v/>
      </c>
      <c r="AK144" s="104"/>
      <c r="AL144" s="291" t="str">
        <f>IF(AK144="","",IF(AND(AK144="N/A - Culvert",N144&lt;&gt;"Culvert"),"Not possible ▲",IF(VLOOKUP(AK144,'G-7 WaterC'' Data'!$AD$4:$AE$14,2,FALSE)=0,"Spatial Data Missing ⚠",VLOOKUP(AK144,'G-7 WaterC'' Data'!$AD$4:$AE$14,2,FALSE))))</f>
        <v/>
      </c>
      <c r="AM144" s="332" t="str">
        <f t="shared" si="25"/>
        <v/>
      </c>
      <c r="AN144" s="98"/>
      <c r="AO144" s="99"/>
      <c r="AP144" s="101"/>
      <c r="AS144" s="15" t="str">
        <f>IF(B144="","",IF(ISNA(VLOOKUP($B144,'C-1 On-Site WaterC'' Baseline'!$C$8:$AD$257,17,FALSE)),"",(VLOOKUP($B144,'C-1 On-Site WaterC'' Baseline'!$C$8:$AD$257,17,FALSE))))</f>
        <v/>
      </c>
      <c r="AT144" s="15" t="str">
        <f>IF(B144="","",VLOOKUP($B144,'C-1 On-Site WaterC'' Baseline'!$C$9:$Z$257,12,FALSE))</f>
        <v/>
      </c>
      <c r="AU144" s="15" t="str">
        <f>IF(B144="","",VLOOKUP($B144,'C-1 On-Site WaterC'' Baseline'!$C$9:$Z$257,14,FALSE))</f>
        <v/>
      </c>
      <c r="AV144" s="15" t="str">
        <f>IFERROR(INDEX('G-7 WaterC'' Data'!$AZ$3:$AZ$7,MATCH(N144,'G-7 WaterC'' Data'!$AY$3:$AY$7,0)),"")</f>
        <v/>
      </c>
      <c r="AX144" s="15" t="str">
        <f>IF(B144="","",VLOOKUP($B144,'C-1 On-Site WaterC'' Baseline'!$C$9:$Y$257,22,FALSE))</f>
        <v/>
      </c>
      <c r="AY144" s="15" t="str">
        <f t="shared" si="26"/>
        <v/>
      </c>
      <c r="AZ144" s="15" t="str">
        <f>IF(B144="","",VLOOKUP($B144,'C-1 On-Site WaterC'' Baseline'!$C$9:$Y$257,21,FALSE))</f>
        <v/>
      </c>
      <c r="BA144" s="15" t="str">
        <f>IF(B144="","",VLOOKUP($B144,'C-1 On-Site WaterC'' Baseline'!$C$9:$Y$257,19,FALSE))</f>
        <v/>
      </c>
    </row>
    <row r="145" spans="2:53" ht="14" x14ac:dyDescent="0.3">
      <c r="B145" s="319" t="str">
        <f>'C-1 On-Site WaterC'' Baseline'!AP143</f>
        <v/>
      </c>
      <c r="C145" s="310" t="str">
        <f>IF(B145="","",VLOOKUP($B145,'C-1 On-Site WaterC'' Baseline'!$C$9:$R$257,2,FALSE))</f>
        <v/>
      </c>
      <c r="D145" s="310" t="str">
        <f>IF(C145="","",VLOOKUP($B145,'C-1 On-Site WaterC'' Baseline'!$C$9:$R$257,3,FALSE))</f>
        <v/>
      </c>
      <c r="E145" s="310" t="str">
        <f>IF(D145="","",VLOOKUP($B145,'C-1 On-Site WaterC'' Baseline'!$C$9:$R$257,4,FALSE))</f>
        <v/>
      </c>
      <c r="F145" s="310" t="str">
        <f>IF(E145="","",VLOOKUP($B145,'C-1 On-Site WaterC'' Baseline'!$C$9:$R$257,5,FALSE))</f>
        <v/>
      </c>
      <c r="G145" s="310" t="str">
        <f>IF(F145="","",VLOOKUP($B145,'C-1 On-Site WaterC'' Baseline'!$C$9:$R$257,6,FALSE))</f>
        <v/>
      </c>
      <c r="H145" s="310" t="str">
        <f>IF(G145="","",VLOOKUP($B145,'C-1 On-Site WaterC'' Baseline'!$C$9:$R$257,7,FALSE))</f>
        <v/>
      </c>
      <c r="I145" s="310" t="str">
        <f>IF(H145="","",VLOOKUP($B145,'C-1 On-Site WaterC'' Baseline'!$C$9:$R$257,8,FALSE))</f>
        <v/>
      </c>
      <c r="J145" s="310" t="str">
        <f>IF(I145="","",VLOOKUP($B145,'C-1 On-Site WaterC'' Baseline'!$C$9:$R$257,9,FALSE))</f>
        <v/>
      </c>
      <c r="K145" s="310" t="str">
        <f>IF(J145="","",VLOOKUP($B145,'C-1 On-Site WaterC'' Baseline'!$C$9:$R$257,10,FALSE))</f>
        <v/>
      </c>
      <c r="L145" s="310" t="str">
        <f>IF(B145="","",VLOOKUP($B145,'C-1 On-Site WaterC'' Baseline'!$C$9:$R$257,15,FALSE))</f>
        <v/>
      </c>
      <c r="M145" s="314" t="str">
        <f>IF(L145="","",VLOOKUP($B145,'C-1 On-Site WaterC'' Baseline'!$C$9:$R$257,16,FALSE))</f>
        <v/>
      </c>
      <c r="N145" s="259"/>
      <c r="O145" s="290" t="str">
        <f t="shared" si="19"/>
        <v/>
      </c>
      <c r="P145" s="291" t="str">
        <f t="shared" si="20"/>
        <v/>
      </c>
      <c r="Q145" s="346" t="str">
        <f>IF(N145="","",VLOOKUP(B145,'C-1 On-Site WaterC'' Baseline'!$C$10:$AC$257,20,FALSE))</f>
        <v/>
      </c>
      <c r="R145" s="290" t="str">
        <f>IF(N145="","",VLOOKUP(N145,'G-7 WaterC'' Data'!$B$2:$G$8,2,FALSE))</f>
        <v/>
      </c>
      <c r="S145" s="291" t="str">
        <f>IFERROR(VLOOKUP(R145,'G-7 WaterC'' Data'!$C$4:$D$8,2,FALSE),"")</f>
        <v/>
      </c>
      <c r="T145" s="95"/>
      <c r="U145" s="291" t="str">
        <f>IFERROR(INDEX('G-7 WaterC'' Data'!$H$4:$L$8,MATCH(N145,'G-7 WaterC'' Data'!$B$4:$B$8,0),MATCH(T145,'G-7 WaterC'' Data'!$H$3:$L$3,0)),"")</f>
        <v/>
      </c>
      <c r="V145" s="95"/>
      <c r="W145" s="298" t="str">
        <f>IF(V145="","",IF(VLOOKUP(V145,'G-7 WaterC'' Data'!$AK$4:$AM$6,2,FALSE)=0,"Spatial Data Missing ⚠",VLOOKUP(V145,'G-7 WaterC'' Data'!$AK$4:$AM$6,2,FALSE)))</f>
        <v/>
      </c>
      <c r="X145" s="291" t="str">
        <f>IF(V145="","",IF(VLOOKUP(V145,'G-7 WaterC'' Data'!$AK$4:$AM$6,3,FALSE)=0,"Spatial Data Missing ⚠",VLOOKUP(V145,'G-7 WaterC'' Data'!$AK$4:$AM$6,3,FALSE)))</f>
        <v/>
      </c>
      <c r="Y145" s="290" t="str">
        <f>IFERROR(IF(OR(LEFT(P145,5)="Error",LEFT(O145,5)="Error ▲"),"Check Data ⚠",IF(F145&lt;S145,'G-7 WaterC'' Data'!$R$3,INDEX('G-7 WaterC'' Data'!$U$5:$Y$9,MATCH(G145,'G-7 WaterC'' Data'!$T$5:$T$9,0),MATCH(T145,'G-7 WaterC'' Data'!$U$4:$Y$4,0)))),"")</f>
        <v/>
      </c>
      <c r="Z145" s="138"/>
      <c r="AA145" s="138"/>
      <c r="AB145" s="298" t="str">
        <f t="shared" si="21"/>
        <v/>
      </c>
      <c r="AC145" s="311" t="str">
        <f t="shared" si="22"/>
        <v/>
      </c>
      <c r="AD145" s="344" t="str">
        <f>IFERROR(IF(AC145="Check Data ⚠","Check Data ⚠",VLOOKUP(AC145,'G-4 Temporal multipliers'!$A$4:$C$37,3,FALSE)),"")</f>
        <v/>
      </c>
      <c r="AE145" s="290" t="str">
        <f>IF(N145="","",VLOOKUP(N145,'G-7 WaterC'' Data'!$B$4:$G$8,5,FALSE))</f>
        <v/>
      </c>
      <c r="AF145" s="298" t="str">
        <f t="shared" si="23"/>
        <v/>
      </c>
      <c r="AG145" s="328" t="str">
        <f t="shared" si="24"/>
        <v/>
      </c>
      <c r="AH145" s="291" t="str">
        <f t="shared" si="18"/>
        <v/>
      </c>
      <c r="AI145" s="103"/>
      <c r="AJ145" s="291" t="str">
        <f>IF(AI145="","",IF(AND(AI145="N/A - Culvert",N145&lt;&gt;"Culvert"),"Not possible ▲",IF(VLOOKUP(AI145,'G-7 WaterC'' Data'!$AA$4:$AB$7,2,FALSE)=0,"Spatial Data Missing ⚠",VLOOKUP(AI145,'G-7 WaterC'' Data'!$AA$4:$AB$7,2,FALSE))))</f>
        <v/>
      </c>
      <c r="AK145" s="104"/>
      <c r="AL145" s="291" t="str">
        <f>IF(AK145="","",IF(AND(AK145="N/A - Culvert",N145&lt;&gt;"Culvert"),"Not possible ▲",IF(VLOOKUP(AK145,'G-7 WaterC'' Data'!$AD$4:$AE$14,2,FALSE)=0,"Spatial Data Missing ⚠",VLOOKUP(AK145,'G-7 WaterC'' Data'!$AD$4:$AE$14,2,FALSE))))</f>
        <v/>
      </c>
      <c r="AM145" s="332" t="str">
        <f t="shared" si="25"/>
        <v/>
      </c>
      <c r="AN145" s="98"/>
      <c r="AO145" s="99"/>
      <c r="AP145" s="101"/>
      <c r="AS145" s="15" t="str">
        <f>IF(B145="","",IF(ISNA(VLOOKUP($B145,'C-1 On-Site WaterC'' Baseline'!$C$8:$AD$257,17,FALSE)),"",(VLOOKUP($B145,'C-1 On-Site WaterC'' Baseline'!$C$8:$AD$257,17,FALSE))))</f>
        <v/>
      </c>
      <c r="AT145" s="15" t="str">
        <f>IF(B145="","",VLOOKUP($B145,'C-1 On-Site WaterC'' Baseline'!$C$9:$Z$257,12,FALSE))</f>
        <v/>
      </c>
      <c r="AU145" s="15" t="str">
        <f>IF(B145="","",VLOOKUP($B145,'C-1 On-Site WaterC'' Baseline'!$C$9:$Z$257,14,FALSE))</f>
        <v/>
      </c>
      <c r="AV145" s="15" t="str">
        <f>IFERROR(INDEX('G-7 WaterC'' Data'!$AZ$3:$AZ$7,MATCH(N145,'G-7 WaterC'' Data'!$AY$3:$AY$7,0)),"")</f>
        <v/>
      </c>
      <c r="AX145" s="15" t="str">
        <f>IF(B145="","",VLOOKUP($B145,'C-1 On-Site WaterC'' Baseline'!$C$9:$Y$257,22,FALSE))</f>
        <v/>
      </c>
      <c r="AY145" s="15" t="str">
        <f t="shared" si="26"/>
        <v/>
      </c>
      <c r="AZ145" s="15" t="str">
        <f>IF(B145="","",VLOOKUP($B145,'C-1 On-Site WaterC'' Baseline'!$C$9:$Y$257,21,FALSE))</f>
        <v/>
      </c>
      <c r="BA145" s="15" t="str">
        <f>IF(B145="","",VLOOKUP($B145,'C-1 On-Site WaterC'' Baseline'!$C$9:$Y$257,19,FALSE))</f>
        <v/>
      </c>
    </row>
    <row r="146" spans="2:53" ht="14" x14ac:dyDescent="0.3">
      <c r="B146" s="319" t="str">
        <f>'C-1 On-Site WaterC'' Baseline'!AP144</f>
        <v/>
      </c>
      <c r="C146" s="310" t="str">
        <f>IF(B146="","",VLOOKUP($B146,'C-1 On-Site WaterC'' Baseline'!$C$9:$R$257,2,FALSE))</f>
        <v/>
      </c>
      <c r="D146" s="310" t="str">
        <f>IF(C146="","",VLOOKUP($B146,'C-1 On-Site WaterC'' Baseline'!$C$9:$R$257,3,FALSE))</f>
        <v/>
      </c>
      <c r="E146" s="310" t="str">
        <f>IF(D146="","",VLOOKUP($B146,'C-1 On-Site WaterC'' Baseline'!$C$9:$R$257,4,FALSE))</f>
        <v/>
      </c>
      <c r="F146" s="310" t="str">
        <f>IF(E146="","",VLOOKUP($B146,'C-1 On-Site WaterC'' Baseline'!$C$9:$R$257,5,FALSE))</f>
        <v/>
      </c>
      <c r="G146" s="310" t="str">
        <f>IF(F146="","",VLOOKUP($B146,'C-1 On-Site WaterC'' Baseline'!$C$9:$R$257,6,FALSE))</f>
        <v/>
      </c>
      <c r="H146" s="310" t="str">
        <f>IF(G146="","",VLOOKUP($B146,'C-1 On-Site WaterC'' Baseline'!$C$9:$R$257,7,FALSE))</f>
        <v/>
      </c>
      <c r="I146" s="310" t="str">
        <f>IF(H146="","",VLOOKUP($B146,'C-1 On-Site WaterC'' Baseline'!$C$9:$R$257,8,FALSE))</f>
        <v/>
      </c>
      <c r="J146" s="310" t="str">
        <f>IF(I146="","",VLOOKUP($B146,'C-1 On-Site WaterC'' Baseline'!$C$9:$R$257,9,FALSE))</f>
        <v/>
      </c>
      <c r="K146" s="310" t="str">
        <f>IF(J146="","",VLOOKUP($B146,'C-1 On-Site WaterC'' Baseline'!$C$9:$R$257,10,FALSE))</f>
        <v/>
      </c>
      <c r="L146" s="310" t="str">
        <f>IF(B146="","",VLOOKUP($B146,'C-1 On-Site WaterC'' Baseline'!$C$9:$R$257,15,FALSE))</f>
        <v/>
      </c>
      <c r="M146" s="314" t="str">
        <f>IF(L146="","",VLOOKUP($B146,'C-1 On-Site WaterC'' Baseline'!$C$9:$R$257,16,FALSE))</f>
        <v/>
      </c>
      <c r="N146" s="259"/>
      <c r="O146" s="290" t="str">
        <f t="shared" si="19"/>
        <v/>
      </c>
      <c r="P146" s="291" t="str">
        <f t="shared" si="20"/>
        <v/>
      </c>
      <c r="Q146" s="346" t="str">
        <f>IF(N146="","",VLOOKUP(B146,'C-1 On-Site WaterC'' Baseline'!$C$10:$AC$257,20,FALSE))</f>
        <v/>
      </c>
      <c r="R146" s="290" t="str">
        <f>IF(N146="","",VLOOKUP(N146,'G-7 WaterC'' Data'!$B$2:$G$8,2,FALSE))</f>
        <v/>
      </c>
      <c r="S146" s="291" t="str">
        <f>IFERROR(VLOOKUP(R146,'G-7 WaterC'' Data'!$C$4:$D$8,2,FALSE),"")</f>
        <v/>
      </c>
      <c r="T146" s="95"/>
      <c r="U146" s="291" t="str">
        <f>IFERROR(INDEX('G-7 WaterC'' Data'!$H$4:$L$8,MATCH(N146,'G-7 WaterC'' Data'!$B$4:$B$8,0),MATCH(T146,'G-7 WaterC'' Data'!$H$3:$L$3,0)),"")</f>
        <v/>
      </c>
      <c r="V146" s="95"/>
      <c r="W146" s="298" t="str">
        <f>IF(V146="","",IF(VLOOKUP(V146,'G-7 WaterC'' Data'!$AK$4:$AM$6,2,FALSE)=0,"Spatial Data Missing ⚠",VLOOKUP(V146,'G-7 WaterC'' Data'!$AK$4:$AM$6,2,FALSE)))</f>
        <v/>
      </c>
      <c r="X146" s="291" t="str">
        <f>IF(V146="","",IF(VLOOKUP(V146,'G-7 WaterC'' Data'!$AK$4:$AM$6,3,FALSE)=0,"Spatial Data Missing ⚠",VLOOKUP(V146,'G-7 WaterC'' Data'!$AK$4:$AM$6,3,FALSE)))</f>
        <v/>
      </c>
      <c r="Y146" s="290" t="str">
        <f>IFERROR(IF(OR(LEFT(P146,5)="Error",LEFT(O146,5)="Error ▲"),"Check Data ⚠",IF(F146&lt;S146,'G-7 WaterC'' Data'!$R$3,INDEX('G-7 WaterC'' Data'!$U$5:$Y$9,MATCH(G146,'G-7 WaterC'' Data'!$T$5:$T$9,0),MATCH(T146,'G-7 WaterC'' Data'!$U$4:$Y$4,0)))),"")</f>
        <v/>
      </c>
      <c r="Z146" s="138"/>
      <c r="AA146" s="138"/>
      <c r="AB146" s="298" t="str">
        <f t="shared" si="21"/>
        <v/>
      </c>
      <c r="AC146" s="311" t="str">
        <f t="shared" si="22"/>
        <v/>
      </c>
      <c r="AD146" s="344" t="str">
        <f>IFERROR(IF(AC146="Check Data ⚠","Check Data ⚠",VLOOKUP(AC146,'G-4 Temporal multipliers'!$A$4:$C$37,3,FALSE)),"")</f>
        <v/>
      </c>
      <c r="AE146" s="290" t="str">
        <f>IF(N146="","",VLOOKUP(N146,'G-7 WaterC'' Data'!$B$4:$G$8,5,FALSE))</f>
        <v/>
      </c>
      <c r="AF146" s="298" t="str">
        <f t="shared" si="23"/>
        <v/>
      </c>
      <c r="AG146" s="328" t="str">
        <f t="shared" si="24"/>
        <v/>
      </c>
      <c r="AH146" s="291" t="str">
        <f t="shared" si="18"/>
        <v/>
      </c>
      <c r="AI146" s="103"/>
      <c r="AJ146" s="291" t="str">
        <f>IF(AI146="","",IF(AND(AI146="N/A - Culvert",N146&lt;&gt;"Culvert"),"Not possible ▲",IF(VLOOKUP(AI146,'G-7 WaterC'' Data'!$AA$4:$AB$7,2,FALSE)=0,"Spatial Data Missing ⚠",VLOOKUP(AI146,'G-7 WaterC'' Data'!$AA$4:$AB$7,2,FALSE))))</f>
        <v/>
      </c>
      <c r="AK146" s="104"/>
      <c r="AL146" s="291" t="str">
        <f>IF(AK146="","",IF(AND(AK146="N/A - Culvert",N146&lt;&gt;"Culvert"),"Not possible ▲",IF(VLOOKUP(AK146,'G-7 WaterC'' Data'!$AD$4:$AE$14,2,FALSE)=0,"Spatial Data Missing ⚠",VLOOKUP(AK146,'G-7 WaterC'' Data'!$AD$4:$AE$14,2,FALSE))))</f>
        <v/>
      </c>
      <c r="AM146" s="332" t="str">
        <f t="shared" si="25"/>
        <v/>
      </c>
      <c r="AN146" s="98"/>
      <c r="AO146" s="99"/>
      <c r="AP146" s="101"/>
      <c r="AS146" s="15" t="str">
        <f>IF(B146="","",IF(ISNA(VLOOKUP($B146,'C-1 On-Site WaterC'' Baseline'!$C$8:$AD$257,17,FALSE)),"",(VLOOKUP($B146,'C-1 On-Site WaterC'' Baseline'!$C$8:$AD$257,17,FALSE))))</f>
        <v/>
      </c>
      <c r="AT146" s="15" t="str">
        <f>IF(B146="","",VLOOKUP($B146,'C-1 On-Site WaterC'' Baseline'!$C$9:$Z$257,12,FALSE))</f>
        <v/>
      </c>
      <c r="AU146" s="15" t="str">
        <f>IF(B146="","",VLOOKUP($B146,'C-1 On-Site WaterC'' Baseline'!$C$9:$Z$257,14,FALSE))</f>
        <v/>
      </c>
      <c r="AV146" s="15" t="str">
        <f>IFERROR(INDEX('G-7 WaterC'' Data'!$AZ$3:$AZ$7,MATCH(N146,'G-7 WaterC'' Data'!$AY$3:$AY$7,0)),"")</f>
        <v/>
      </c>
      <c r="AX146" s="15" t="str">
        <f>IF(B146="","",VLOOKUP($B146,'C-1 On-Site WaterC'' Baseline'!$C$9:$Y$257,22,FALSE))</f>
        <v/>
      </c>
      <c r="AY146" s="15" t="str">
        <f t="shared" si="26"/>
        <v/>
      </c>
      <c r="AZ146" s="15" t="str">
        <f>IF(B146="","",VLOOKUP($B146,'C-1 On-Site WaterC'' Baseline'!$C$9:$Y$257,21,FALSE))</f>
        <v/>
      </c>
      <c r="BA146" s="15" t="str">
        <f>IF(B146="","",VLOOKUP($B146,'C-1 On-Site WaterC'' Baseline'!$C$9:$Y$257,19,FALSE))</f>
        <v/>
      </c>
    </row>
    <row r="147" spans="2:53" ht="14" x14ac:dyDescent="0.3">
      <c r="B147" s="319" t="str">
        <f>'C-1 On-Site WaterC'' Baseline'!AP145</f>
        <v/>
      </c>
      <c r="C147" s="310" t="str">
        <f>IF(B147="","",VLOOKUP($B147,'C-1 On-Site WaterC'' Baseline'!$C$9:$R$257,2,FALSE))</f>
        <v/>
      </c>
      <c r="D147" s="310" t="str">
        <f>IF(C147="","",VLOOKUP($B147,'C-1 On-Site WaterC'' Baseline'!$C$9:$R$257,3,FALSE))</f>
        <v/>
      </c>
      <c r="E147" s="310" t="str">
        <f>IF(D147="","",VLOOKUP($B147,'C-1 On-Site WaterC'' Baseline'!$C$9:$R$257,4,FALSE))</f>
        <v/>
      </c>
      <c r="F147" s="310" t="str">
        <f>IF(E147="","",VLOOKUP($B147,'C-1 On-Site WaterC'' Baseline'!$C$9:$R$257,5,FALSE))</f>
        <v/>
      </c>
      <c r="G147" s="310" t="str">
        <f>IF(F147="","",VLOOKUP($B147,'C-1 On-Site WaterC'' Baseline'!$C$9:$R$257,6,FALSE))</f>
        <v/>
      </c>
      <c r="H147" s="310" t="str">
        <f>IF(G147="","",VLOOKUP($B147,'C-1 On-Site WaterC'' Baseline'!$C$9:$R$257,7,FALSE))</f>
        <v/>
      </c>
      <c r="I147" s="310" t="str">
        <f>IF(H147="","",VLOOKUP($B147,'C-1 On-Site WaterC'' Baseline'!$C$9:$R$257,8,FALSE))</f>
        <v/>
      </c>
      <c r="J147" s="310" t="str">
        <f>IF(I147="","",VLOOKUP($B147,'C-1 On-Site WaterC'' Baseline'!$C$9:$R$257,9,FALSE))</f>
        <v/>
      </c>
      <c r="K147" s="310" t="str">
        <f>IF(J147="","",VLOOKUP($B147,'C-1 On-Site WaterC'' Baseline'!$C$9:$R$257,10,FALSE))</f>
        <v/>
      </c>
      <c r="L147" s="310" t="str">
        <f>IF(B147="","",VLOOKUP($B147,'C-1 On-Site WaterC'' Baseline'!$C$9:$R$257,15,FALSE))</f>
        <v/>
      </c>
      <c r="M147" s="314" t="str">
        <f>IF(L147="","",VLOOKUP($B147,'C-1 On-Site WaterC'' Baseline'!$C$9:$R$257,16,FALSE))</f>
        <v/>
      </c>
      <c r="N147" s="259"/>
      <c r="O147" s="290" t="str">
        <f t="shared" si="19"/>
        <v/>
      </c>
      <c r="P147" s="291" t="str">
        <f t="shared" si="20"/>
        <v/>
      </c>
      <c r="Q147" s="346" t="str">
        <f>IF(N147="","",VLOOKUP(B147,'C-1 On-Site WaterC'' Baseline'!$C$10:$AC$257,20,FALSE))</f>
        <v/>
      </c>
      <c r="R147" s="290" t="str">
        <f>IF(N147="","",VLOOKUP(N147,'G-7 WaterC'' Data'!$B$2:$G$8,2,FALSE))</f>
        <v/>
      </c>
      <c r="S147" s="291" t="str">
        <f>IFERROR(VLOOKUP(R147,'G-7 WaterC'' Data'!$C$4:$D$8,2,FALSE),"")</f>
        <v/>
      </c>
      <c r="T147" s="95"/>
      <c r="U147" s="291" t="str">
        <f>IFERROR(INDEX('G-7 WaterC'' Data'!$H$4:$L$8,MATCH(N147,'G-7 WaterC'' Data'!$B$4:$B$8,0),MATCH(T147,'G-7 WaterC'' Data'!$H$3:$L$3,0)),"")</f>
        <v/>
      </c>
      <c r="V147" s="95"/>
      <c r="W147" s="298" t="str">
        <f>IF(V147="","",IF(VLOOKUP(V147,'G-7 WaterC'' Data'!$AK$4:$AM$6,2,FALSE)=0,"Spatial Data Missing ⚠",VLOOKUP(V147,'G-7 WaterC'' Data'!$AK$4:$AM$6,2,FALSE)))</f>
        <v/>
      </c>
      <c r="X147" s="291" t="str">
        <f>IF(V147="","",IF(VLOOKUP(V147,'G-7 WaterC'' Data'!$AK$4:$AM$6,3,FALSE)=0,"Spatial Data Missing ⚠",VLOOKUP(V147,'G-7 WaterC'' Data'!$AK$4:$AM$6,3,FALSE)))</f>
        <v/>
      </c>
      <c r="Y147" s="290" t="str">
        <f>IFERROR(IF(OR(LEFT(P147,5)="Error",LEFT(O147,5)="Error ▲"),"Check Data ⚠",IF(F147&lt;S147,'G-7 WaterC'' Data'!$R$3,INDEX('G-7 WaterC'' Data'!$U$5:$Y$9,MATCH(G147,'G-7 WaterC'' Data'!$T$5:$T$9,0),MATCH(T147,'G-7 WaterC'' Data'!$U$4:$Y$4,0)))),"")</f>
        <v/>
      </c>
      <c r="Z147" s="138"/>
      <c r="AA147" s="138"/>
      <c r="AB147" s="298" t="str">
        <f t="shared" si="21"/>
        <v/>
      </c>
      <c r="AC147" s="311" t="str">
        <f t="shared" si="22"/>
        <v/>
      </c>
      <c r="AD147" s="344" t="str">
        <f>IFERROR(IF(AC147="Check Data ⚠","Check Data ⚠",VLOOKUP(AC147,'G-4 Temporal multipliers'!$A$4:$C$37,3,FALSE)),"")</f>
        <v/>
      </c>
      <c r="AE147" s="290" t="str">
        <f>IF(N147="","",VLOOKUP(N147,'G-7 WaterC'' Data'!$B$4:$G$8,5,FALSE))</f>
        <v/>
      </c>
      <c r="AF147" s="298" t="str">
        <f t="shared" si="23"/>
        <v/>
      </c>
      <c r="AG147" s="328" t="str">
        <f t="shared" si="24"/>
        <v/>
      </c>
      <c r="AH147" s="291" t="str">
        <f t="shared" si="18"/>
        <v/>
      </c>
      <c r="AI147" s="103"/>
      <c r="AJ147" s="291" t="str">
        <f>IF(AI147="","",IF(AND(AI147="N/A - Culvert",N147&lt;&gt;"Culvert"),"Not possible ▲",IF(VLOOKUP(AI147,'G-7 WaterC'' Data'!$AA$4:$AB$7,2,FALSE)=0,"Spatial Data Missing ⚠",VLOOKUP(AI147,'G-7 WaterC'' Data'!$AA$4:$AB$7,2,FALSE))))</f>
        <v/>
      </c>
      <c r="AK147" s="104"/>
      <c r="AL147" s="291" t="str">
        <f>IF(AK147="","",IF(AND(AK147="N/A - Culvert",N147&lt;&gt;"Culvert"),"Not possible ▲",IF(VLOOKUP(AK147,'G-7 WaterC'' Data'!$AD$4:$AE$14,2,FALSE)=0,"Spatial Data Missing ⚠",VLOOKUP(AK147,'G-7 WaterC'' Data'!$AD$4:$AE$14,2,FALSE))))</f>
        <v/>
      </c>
      <c r="AM147" s="332" t="str">
        <f t="shared" si="25"/>
        <v/>
      </c>
      <c r="AN147" s="98"/>
      <c r="AO147" s="99"/>
      <c r="AP147" s="101"/>
      <c r="AS147" s="15" t="str">
        <f>IF(B147="","",IF(ISNA(VLOOKUP($B147,'C-1 On-Site WaterC'' Baseline'!$C$8:$AD$257,17,FALSE)),"",(VLOOKUP($B147,'C-1 On-Site WaterC'' Baseline'!$C$8:$AD$257,17,FALSE))))</f>
        <v/>
      </c>
      <c r="AT147" s="15" t="str">
        <f>IF(B147="","",VLOOKUP($B147,'C-1 On-Site WaterC'' Baseline'!$C$9:$Z$257,12,FALSE))</f>
        <v/>
      </c>
      <c r="AU147" s="15" t="str">
        <f>IF(B147="","",VLOOKUP($B147,'C-1 On-Site WaterC'' Baseline'!$C$9:$Z$257,14,FALSE))</f>
        <v/>
      </c>
      <c r="AV147" s="15" t="str">
        <f>IFERROR(INDEX('G-7 WaterC'' Data'!$AZ$3:$AZ$7,MATCH(N147,'G-7 WaterC'' Data'!$AY$3:$AY$7,0)),"")</f>
        <v/>
      </c>
      <c r="AX147" s="15" t="str">
        <f>IF(B147="","",VLOOKUP($B147,'C-1 On-Site WaterC'' Baseline'!$C$9:$Y$257,22,FALSE))</f>
        <v/>
      </c>
      <c r="AY147" s="15" t="str">
        <f t="shared" si="26"/>
        <v/>
      </c>
      <c r="AZ147" s="15" t="str">
        <f>IF(B147="","",VLOOKUP($B147,'C-1 On-Site WaterC'' Baseline'!$C$9:$Y$257,21,FALSE))</f>
        <v/>
      </c>
      <c r="BA147" s="15" t="str">
        <f>IF(B147="","",VLOOKUP($B147,'C-1 On-Site WaterC'' Baseline'!$C$9:$Y$257,19,FALSE))</f>
        <v/>
      </c>
    </row>
    <row r="148" spans="2:53" ht="14" x14ac:dyDescent="0.3">
      <c r="B148" s="319" t="str">
        <f>'C-1 On-Site WaterC'' Baseline'!AP146</f>
        <v/>
      </c>
      <c r="C148" s="310" t="str">
        <f>IF(B148="","",VLOOKUP($B148,'C-1 On-Site WaterC'' Baseline'!$C$9:$R$257,2,FALSE))</f>
        <v/>
      </c>
      <c r="D148" s="310" t="str">
        <f>IF(C148="","",VLOOKUP($B148,'C-1 On-Site WaterC'' Baseline'!$C$9:$R$257,3,FALSE))</f>
        <v/>
      </c>
      <c r="E148" s="310" t="str">
        <f>IF(D148="","",VLOOKUP($B148,'C-1 On-Site WaterC'' Baseline'!$C$9:$R$257,4,FALSE))</f>
        <v/>
      </c>
      <c r="F148" s="310" t="str">
        <f>IF(E148="","",VLOOKUP($B148,'C-1 On-Site WaterC'' Baseline'!$C$9:$R$257,5,FALSE))</f>
        <v/>
      </c>
      <c r="G148" s="310" t="str">
        <f>IF(F148="","",VLOOKUP($B148,'C-1 On-Site WaterC'' Baseline'!$C$9:$R$257,6,FALSE))</f>
        <v/>
      </c>
      <c r="H148" s="310" t="str">
        <f>IF(G148="","",VLOOKUP($B148,'C-1 On-Site WaterC'' Baseline'!$C$9:$R$257,7,FALSE))</f>
        <v/>
      </c>
      <c r="I148" s="310" t="str">
        <f>IF(H148="","",VLOOKUP($B148,'C-1 On-Site WaterC'' Baseline'!$C$9:$R$257,8,FALSE))</f>
        <v/>
      </c>
      <c r="J148" s="310" t="str">
        <f>IF(I148="","",VLOOKUP($B148,'C-1 On-Site WaterC'' Baseline'!$C$9:$R$257,9,FALSE))</f>
        <v/>
      </c>
      <c r="K148" s="310" t="str">
        <f>IF(J148="","",VLOOKUP($B148,'C-1 On-Site WaterC'' Baseline'!$C$9:$R$257,10,FALSE))</f>
        <v/>
      </c>
      <c r="L148" s="310" t="str">
        <f>IF(B148="","",VLOOKUP($B148,'C-1 On-Site WaterC'' Baseline'!$C$9:$R$257,15,FALSE))</f>
        <v/>
      </c>
      <c r="M148" s="314" t="str">
        <f>IF(L148="","",VLOOKUP($B148,'C-1 On-Site WaterC'' Baseline'!$C$9:$R$257,16,FALSE))</f>
        <v/>
      </c>
      <c r="N148" s="259"/>
      <c r="O148" s="290" t="str">
        <f t="shared" si="19"/>
        <v/>
      </c>
      <c r="P148" s="291" t="str">
        <f t="shared" si="20"/>
        <v/>
      </c>
      <c r="Q148" s="346" t="str">
        <f>IF(N148="","",VLOOKUP(B148,'C-1 On-Site WaterC'' Baseline'!$C$10:$AC$257,20,FALSE))</f>
        <v/>
      </c>
      <c r="R148" s="290" t="str">
        <f>IF(N148="","",VLOOKUP(N148,'G-7 WaterC'' Data'!$B$2:$G$8,2,FALSE))</f>
        <v/>
      </c>
      <c r="S148" s="291" t="str">
        <f>IFERROR(VLOOKUP(R148,'G-7 WaterC'' Data'!$C$4:$D$8,2,FALSE),"")</f>
        <v/>
      </c>
      <c r="T148" s="95"/>
      <c r="U148" s="291" t="str">
        <f>IFERROR(INDEX('G-7 WaterC'' Data'!$H$4:$L$8,MATCH(N148,'G-7 WaterC'' Data'!$B$4:$B$8,0),MATCH(T148,'G-7 WaterC'' Data'!$H$3:$L$3,0)),"")</f>
        <v/>
      </c>
      <c r="V148" s="95"/>
      <c r="W148" s="298" t="str">
        <f>IF(V148="","",IF(VLOOKUP(V148,'G-7 WaterC'' Data'!$AK$4:$AM$6,2,FALSE)=0,"Spatial Data Missing ⚠",VLOOKUP(V148,'G-7 WaterC'' Data'!$AK$4:$AM$6,2,FALSE)))</f>
        <v/>
      </c>
      <c r="X148" s="291" t="str">
        <f>IF(V148="","",IF(VLOOKUP(V148,'G-7 WaterC'' Data'!$AK$4:$AM$6,3,FALSE)=0,"Spatial Data Missing ⚠",VLOOKUP(V148,'G-7 WaterC'' Data'!$AK$4:$AM$6,3,FALSE)))</f>
        <v/>
      </c>
      <c r="Y148" s="290" t="str">
        <f>IFERROR(IF(OR(LEFT(P148,5)="Error",LEFT(O148,5)="Error ▲"),"Check Data ⚠",IF(F148&lt;S148,'G-7 WaterC'' Data'!$R$3,INDEX('G-7 WaterC'' Data'!$U$5:$Y$9,MATCH(G148,'G-7 WaterC'' Data'!$T$5:$T$9,0),MATCH(T148,'G-7 WaterC'' Data'!$U$4:$Y$4,0)))),"")</f>
        <v/>
      </c>
      <c r="Z148" s="138"/>
      <c r="AA148" s="138"/>
      <c r="AB148" s="298" t="str">
        <f t="shared" si="21"/>
        <v/>
      </c>
      <c r="AC148" s="311" t="str">
        <f t="shared" si="22"/>
        <v/>
      </c>
      <c r="AD148" s="344" t="str">
        <f>IFERROR(IF(AC148="Check Data ⚠","Check Data ⚠",VLOOKUP(AC148,'G-4 Temporal multipliers'!$A$4:$C$37,3,FALSE)),"")</f>
        <v/>
      </c>
      <c r="AE148" s="290" t="str">
        <f>IF(N148="","",VLOOKUP(N148,'G-7 WaterC'' Data'!$B$4:$G$8,5,FALSE))</f>
        <v/>
      </c>
      <c r="AF148" s="298" t="str">
        <f t="shared" si="23"/>
        <v/>
      </c>
      <c r="AG148" s="328" t="str">
        <f t="shared" si="24"/>
        <v/>
      </c>
      <c r="AH148" s="291" t="str">
        <f t="shared" si="18"/>
        <v/>
      </c>
      <c r="AI148" s="103"/>
      <c r="AJ148" s="291" t="str">
        <f>IF(AI148="","",IF(AND(AI148="N/A - Culvert",N148&lt;&gt;"Culvert"),"Not possible ▲",IF(VLOOKUP(AI148,'G-7 WaterC'' Data'!$AA$4:$AB$7,2,FALSE)=0,"Spatial Data Missing ⚠",VLOOKUP(AI148,'G-7 WaterC'' Data'!$AA$4:$AB$7,2,FALSE))))</f>
        <v/>
      </c>
      <c r="AK148" s="104"/>
      <c r="AL148" s="291" t="str">
        <f>IF(AK148="","",IF(AND(AK148="N/A - Culvert",N148&lt;&gt;"Culvert"),"Not possible ▲",IF(VLOOKUP(AK148,'G-7 WaterC'' Data'!$AD$4:$AE$14,2,FALSE)=0,"Spatial Data Missing ⚠",VLOOKUP(AK148,'G-7 WaterC'' Data'!$AD$4:$AE$14,2,FALSE))))</f>
        <v/>
      </c>
      <c r="AM148" s="332" t="str">
        <f t="shared" si="25"/>
        <v/>
      </c>
      <c r="AN148" s="98"/>
      <c r="AO148" s="99"/>
      <c r="AP148" s="101"/>
      <c r="AS148" s="15" t="str">
        <f>IF(B148="","",IF(ISNA(VLOOKUP($B148,'C-1 On-Site WaterC'' Baseline'!$C$8:$AD$257,17,FALSE)),"",(VLOOKUP($B148,'C-1 On-Site WaterC'' Baseline'!$C$8:$AD$257,17,FALSE))))</f>
        <v/>
      </c>
      <c r="AT148" s="15" t="str">
        <f>IF(B148="","",VLOOKUP($B148,'C-1 On-Site WaterC'' Baseline'!$C$9:$Z$257,12,FALSE))</f>
        <v/>
      </c>
      <c r="AU148" s="15" t="str">
        <f>IF(B148="","",VLOOKUP($B148,'C-1 On-Site WaterC'' Baseline'!$C$9:$Z$257,14,FALSE))</f>
        <v/>
      </c>
      <c r="AV148" s="15" t="str">
        <f>IFERROR(INDEX('G-7 WaterC'' Data'!$AZ$3:$AZ$7,MATCH(N148,'G-7 WaterC'' Data'!$AY$3:$AY$7,0)),"")</f>
        <v/>
      </c>
      <c r="AX148" s="15" t="str">
        <f>IF(B148="","",VLOOKUP($B148,'C-1 On-Site WaterC'' Baseline'!$C$9:$Y$257,22,FALSE))</f>
        <v/>
      </c>
      <c r="AY148" s="15" t="str">
        <f t="shared" si="26"/>
        <v/>
      </c>
      <c r="AZ148" s="15" t="str">
        <f>IF(B148="","",VLOOKUP($B148,'C-1 On-Site WaterC'' Baseline'!$C$9:$Y$257,21,FALSE))</f>
        <v/>
      </c>
      <c r="BA148" s="15" t="str">
        <f>IF(B148="","",VLOOKUP($B148,'C-1 On-Site WaterC'' Baseline'!$C$9:$Y$257,19,FALSE))</f>
        <v/>
      </c>
    </row>
    <row r="149" spans="2:53" ht="14" x14ac:dyDescent="0.3">
      <c r="B149" s="319" t="str">
        <f>'C-1 On-Site WaterC'' Baseline'!AP147</f>
        <v/>
      </c>
      <c r="C149" s="310" t="str">
        <f>IF(B149="","",VLOOKUP($B149,'C-1 On-Site WaterC'' Baseline'!$C$9:$R$257,2,FALSE))</f>
        <v/>
      </c>
      <c r="D149" s="310" t="str">
        <f>IF(C149="","",VLOOKUP($B149,'C-1 On-Site WaterC'' Baseline'!$C$9:$R$257,3,FALSE))</f>
        <v/>
      </c>
      <c r="E149" s="310" t="str">
        <f>IF(D149="","",VLOOKUP($B149,'C-1 On-Site WaterC'' Baseline'!$C$9:$R$257,4,FALSE))</f>
        <v/>
      </c>
      <c r="F149" s="310" t="str">
        <f>IF(E149="","",VLOOKUP($B149,'C-1 On-Site WaterC'' Baseline'!$C$9:$R$257,5,FALSE))</f>
        <v/>
      </c>
      <c r="G149" s="310" t="str">
        <f>IF(F149="","",VLOOKUP($B149,'C-1 On-Site WaterC'' Baseline'!$C$9:$R$257,6,FALSE))</f>
        <v/>
      </c>
      <c r="H149" s="310" t="str">
        <f>IF(G149="","",VLOOKUP($B149,'C-1 On-Site WaterC'' Baseline'!$C$9:$R$257,7,FALSE))</f>
        <v/>
      </c>
      <c r="I149" s="310" t="str">
        <f>IF(H149="","",VLOOKUP($B149,'C-1 On-Site WaterC'' Baseline'!$C$9:$R$257,8,FALSE))</f>
        <v/>
      </c>
      <c r="J149" s="310" t="str">
        <f>IF(I149="","",VLOOKUP($B149,'C-1 On-Site WaterC'' Baseline'!$C$9:$R$257,9,FALSE))</f>
        <v/>
      </c>
      <c r="K149" s="310" t="str">
        <f>IF(J149="","",VLOOKUP($B149,'C-1 On-Site WaterC'' Baseline'!$C$9:$R$257,10,FALSE))</f>
        <v/>
      </c>
      <c r="L149" s="310" t="str">
        <f>IF(B149="","",VLOOKUP($B149,'C-1 On-Site WaterC'' Baseline'!$C$9:$R$257,15,FALSE))</f>
        <v/>
      </c>
      <c r="M149" s="314" t="str">
        <f>IF(L149="","",VLOOKUP($B149,'C-1 On-Site WaterC'' Baseline'!$C$9:$R$257,16,FALSE))</f>
        <v/>
      </c>
      <c r="N149" s="259"/>
      <c r="O149" s="290" t="str">
        <f t="shared" si="19"/>
        <v/>
      </c>
      <c r="P149" s="291" t="str">
        <f t="shared" si="20"/>
        <v/>
      </c>
      <c r="Q149" s="346" t="str">
        <f>IF(N149="","",VLOOKUP(B149,'C-1 On-Site WaterC'' Baseline'!$C$10:$AC$257,20,FALSE))</f>
        <v/>
      </c>
      <c r="R149" s="290" t="str">
        <f>IF(N149="","",VLOOKUP(N149,'G-7 WaterC'' Data'!$B$2:$G$8,2,FALSE))</f>
        <v/>
      </c>
      <c r="S149" s="291" t="str">
        <f>IFERROR(VLOOKUP(R149,'G-7 WaterC'' Data'!$C$4:$D$8,2,FALSE),"")</f>
        <v/>
      </c>
      <c r="T149" s="95"/>
      <c r="U149" s="291" t="str">
        <f>IFERROR(INDEX('G-7 WaterC'' Data'!$H$4:$L$8,MATCH(N149,'G-7 WaterC'' Data'!$B$4:$B$8,0),MATCH(T149,'G-7 WaterC'' Data'!$H$3:$L$3,0)),"")</f>
        <v/>
      </c>
      <c r="V149" s="95"/>
      <c r="W149" s="298" t="str">
        <f>IF(V149="","",IF(VLOOKUP(V149,'G-7 WaterC'' Data'!$AK$4:$AM$6,2,FALSE)=0,"Spatial Data Missing ⚠",VLOOKUP(V149,'G-7 WaterC'' Data'!$AK$4:$AM$6,2,FALSE)))</f>
        <v/>
      </c>
      <c r="X149" s="291" t="str">
        <f>IF(V149="","",IF(VLOOKUP(V149,'G-7 WaterC'' Data'!$AK$4:$AM$6,3,FALSE)=0,"Spatial Data Missing ⚠",VLOOKUP(V149,'G-7 WaterC'' Data'!$AK$4:$AM$6,3,FALSE)))</f>
        <v/>
      </c>
      <c r="Y149" s="290" t="str">
        <f>IFERROR(IF(OR(LEFT(P149,5)="Error",LEFT(O149,5)="Error ▲"),"Check Data ⚠",IF(F149&lt;S149,'G-7 WaterC'' Data'!$R$3,INDEX('G-7 WaterC'' Data'!$U$5:$Y$9,MATCH(G149,'G-7 WaterC'' Data'!$T$5:$T$9,0),MATCH(T149,'G-7 WaterC'' Data'!$U$4:$Y$4,0)))),"")</f>
        <v/>
      </c>
      <c r="Z149" s="138"/>
      <c r="AA149" s="138"/>
      <c r="AB149" s="298" t="str">
        <f t="shared" si="21"/>
        <v/>
      </c>
      <c r="AC149" s="311" t="str">
        <f t="shared" si="22"/>
        <v/>
      </c>
      <c r="AD149" s="344" t="str">
        <f>IFERROR(IF(AC149="Check Data ⚠","Check Data ⚠",VLOOKUP(AC149,'G-4 Temporal multipliers'!$A$4:$C$37,3,FALSE)),"")</f>
        <v/>
      </c>
      <c r="AE149" s="290" t="str">
        <f>IF(N149="","",VLOOKUP(N149,'G-7 WaterC'' Data'!$B$4:$G$8,5,FALSE))</f>
        <v/>
      </c>
      <c r="AF149" s="298" t="str">
        <f t="shared" si="23"/>
        <v/>
      </c>
      <c r="AG149" s="328" t="str">
        <f t="shared" si="24"/>
        <v/>
      </c>
      <c r="AH149" s="291" t="str">
        <f t="shared" si="18"/>
        <v/>
      </c>
      <c r="AI149" s="103"/>
      <c r="AJ149" s="291" t="str">
        <f>IF(AI149="","",IF(AND(AI149="N/A - Culvert",N149&lt;&gt;"Culvert"),"Not possible ▲",IF(VLOOKUP(AI149,'G-7 WaterC'' Data'!$AA$4:$AB$7,2,FALSE)=0,"Spatial Data Missing ⚠",VLOOKUP(AI149,'G-7 WaterC'' Data'!$AA$4:$AB$7,2,FALSE))))</f>
        <v/>
      </c>
      <c r="AK149" s="104"/>
      <c r="AL149" s="291" t="str">
        <f>IF(AK149="","",IF(AND(AK149="N/A - Culvert",N149&lt;&gt;"Culvert"),"Not possible ▲",IF(VLOOKUP(AK149,'G-7 WaterC'' Data'!$AD$4:$AE$14,2,FALSE)=0,"Spatial Data Missing ⚠",VLOOKUP(AK149,'G-7 WaterC'' Data'!$AD$4:$AE$14,2,FALSE))))</f>
        <v/>
      </c>
      <c r="AM149" s="332" t="str">
        <f t="shared" si="25"/>
        <v/>
      </c>
      <c r="AN149" s="98"/>
      <c r="AO149" s="99"/>
      <c r="AP149" s="101"/>
      <c r="AS149" s="15" t="str">
        <f>IF(B149="","",IF(ISNA(VLOOKUP($B149,'C-1 On-Site WaterC'' Baseline'!$C$8:$AD$257,17,FALSE)),"",(VLOOKUP($B149,'C-1 On-Site WaterC'' Baseline'!$C$8:$AD$257,17,FALSE))))</f>
        <v/>
      </c>
      <c r="AT149" s="15" t="str">
        <f>IF(B149="","",VLOOKUP($B149,'C-1 On-Site WaterC'' Baseline'!$C$9:$Z$257,12,FALSE))</f>
        <v/>
      </c>
      <c r="AU149" s="15" t="str">
        <f>IF(B149="","",VLOOKUP($B149,'C-1 On-Site WaterC'' Baseline'!$C$9:$Z$257,14,FALSE))</f>
        <v/>
      </c>
      <c r="AV149" s="15" t="str">
        <f>IFERROR(INDEX('G-7 WaterC'' Data'!$AZ$3:$AZ$7,MATCH(N149,'G-7 WaterC'' Data'!$AY$3:$AY$7,0)),"")</f>
        <v/>
      </c>
      <c r="AX149" s="15" t="str">
        <f>IF(B149="","",VLOOKUP($B149,'C-1 On-Site WaterC'' Baseline'!$C$9:$Y$257,22,FALSE))</f>
        <v/>
      </c>
      <c r="AY149" s="15" t="str">
        <f t="shared" si="26"/>
        <v/>
      </c>
      <c r="AZ149" s="15" t="str">
        <f>IF(B149="","",VLOOKUP($B149,'C-1 On-Site WaterC'' Baseline'!$C$9:$Y$257,21,FALSE))</f>
        <v/>
      </c>
      <c r="BA149" s="15" t="str">
        <f>IF(B149="","",VLOOKUP($B149,'C-1 On-Site WaterC'' Baseline'!$C$9:$Y$257,19,FALSE))</f>
        <v/>
      </c>
    </row>
    <row r="150" spans="2:53" ht="14" x14ac:dyDescent="0.3">
      <c r="B150" s="319" t="str">
        <f>'C-1 On-Site WaterC'' Baseline'!AP148</f>
        <v/>
      </c>
      <c r="C150" s="310" t="str">
        <f>IF(B150="","",VLOOKUP($B150,'C-1 On-Site WaterC'' Baseline'!$C$9:$R$257,2,FALSE))</f>
        <v/>
      </c>
      <c r="D150" s="310" t="str">
        <f>IF(C150="","",VLOOKUP($B150,'C-1 On-Site WaterC'' Baseline'!$C$9:$R$257,3,FALSE))</f>
        <v/>
      </c>
      <c r="E150" s="310" t="str">
        <f>IF(D150="","",VLOOKUP($B150,'C-1 On-Site WaterC'' Baseline'!$C$9:$R$257,4,FALSE))</f>
        <v/>
      </c>
      <c r="F150" s="310" t="str">
        <f>IF(E150="","",VLOOKUP($B150,'C-1 On-Site WaterC'' Baseline'!$C$9:$R$257,5,FALSE))</f>
        <v/>
      </c>
      <c r="G150" s="310" t="str">
        <f>IF(F150="","",VLOOKUP($B150,'C-1 On-Site WaterC'' Baseline'!$C$9:$R$257,6,FALSE))</f>
        <v/>
      </c>
      <c r="H150" s="310" t="str">
        <f>IF(G150="","",VLOOKUP($B150,'C-1 On-Site WaterC'' Baseline'!$C$9:$R$257,7,FALSE))</f>
        <v/>
      </c>
      <c r="I150" s="310" t="str">
        <f>IF(H150="","",VLOOKUP($B150,'C-1 On-Site WaterC'' Baseline'!$C$9:$R$257,8,FALSE))</f>
        <v/>
      </c>
      <c r="J150" s="310" t="str">
        <f>IF(I150="","",VLOOKUP($B150,'C-1 On-Site WaterC'' Baseline'!$C$9:$R$257,9,FALSE))</f>
        <v/>
      </c>
      <c r="K150" s="310" t="str">
        <f>IF(J150="","",VLOOKUP($B150,'C-1 On-Site WaterC'' Baseline'!$C$9:$R$257,10,FALSE))</f>
        <v/>
      </c>
      <c r="L150" s="310" t="str">
        <f>IF(B150="","",VLOOKUP($B150,'C-1 On-Site WaterC'' Baseline'!$C$9:$R$257,15,FALSE))</f>
        <v/>
      </c>
      <c r="M150" s="314" t="str">
        <f>IF(L150="","",VLOOKUP($B150,'C-1 On-Site WaterC'' Baseline'!$C$9:$R$257,16,FALSE))</f>
        <v/>
      </c>
      <c r="N150" s="259"/>
      <c r="O150" s="290" t="str">
        <f t="shared" si="19"/>
        <v/>
      </c>
      <c r="P150" s="291" t="str">
        <f t="shared" si="20"/>
        <v/>
      </c>
      <c r="Q150" s="346" t="str">
        <f>IF(N150="","",VLOOKUP(B150,'C-1 On-Site WaterC'' Baseline'!$C$10:$AC$257,20,FALSE))</f>
        <v/>
      </c>
      <c r="R150" s="290" t="str">
        <f>IF(N150="","",VLOOKUP(N150,'G-7 WaterC'' Data'!$B$2:$G$8,2,FALSE))</f>
        <v/>
      </c>
      <c r="S150" s="291" t="str">
        <f>IFERROR(VLOOKUP(R150,'G-7 WaterC'' Data'!$C$4:$D$8,2,FALSE),"")</f>
        <v/>
      </c>
      <c r="T150" s="95"/>
      <c r="U150" s="291" t="str">
        <f>IFERROR(INDEX('G-7 WaterC'' Data'!$H$4:$L$8,MATCH(N150,'G-7 WaterC'' Data'!$B$4:$B$8,0),MATCH(T150,'G-7 WaterC'' Data'!$H$3:$L$3,0)),"")</f>
        <v/>
      </c>
      <c r="V150" s="95"/>
      <c r="W150" s="298" t="str">
        <f>IF(V150="","",IF(VLOOKUP(V150,'G-7 WaterC'' Data'!$AK$4:$AM$6,2,FALSE)=0,"Spatial Data Missing ⚠",VLOOKUP(V150,'G-7 WaterC'' Data'!$AK$4:$AM$6,2,FALSE)))</f>
        <v/>
      </c>
      <c r="X150" s="291" t="str">
        <f>IF(V150="","",IF(VLOOKUP(V150,'G-7 WaterC'' Data'!$AK$4:$AM$6,3,FALSE)=0,"Spatial Data Missing ⚠",VLOOKUP(V150,'G-7 WaterC'' Data'!$AK$4:$AM$6,3,FALSE)))</f>
        <v/>
      </c>
      <c r="Y150" s="290" t="str">
        <f>IFERROR(IF(OR(LEFT(P150,5)="Error",LEFT(O150,5)="Error ▲"),"Check Data ⚠",IF(F150&lt;S150,'G-7 WaterC'' Data'!$R$3,INDEX('G-7 WaterC'' Data'!$U$5:$Y$9,MATCH(G150,'G-7 WaterC'' Data'!$T$5:$T$9,0),MATCH(T150,'G-7 WaterC'' Data'!$U$4:$Y$4,0)))),"")</f>
        <v/>
      </c>
      <c r="Z150" s="138"/>
      <c r="AA150" s="138"/>
      <c r="AB150" s="298" t="str">
        <f t="shared" si="21"/>
        <v/>
      </c>
      <c r="AC150" s="311" t="str">
        <f t="shared" si="22"/>
        <v/>
      </c>
      <c r="AD150" s="344" t="str">
        <f>IFERROR(IF(AC150="Check Data ⚠","Check Data ⚠",VLOOKUP(AC150,'G-4 Temporal multipliers'!$A$4:$C$37,3,FALSE)),"")</f>
        <v/>
      </c>
      <c r="AE150" s="290" t="str">
        <f>IF(N150="","",VLOOKUP(N150,'G-7 WaterC'' Data'!$B$4:$G$8,5,FALSE))</f>
        <v/>
      </c>
      <c r="AF150" s="298" t="str">
        <f t="shared" si="23"/>
        <v/>
      </c>
      <c r="AG150" s="328" t="str">
        <f t="shared" si="24"/>
        <v/>
      </c>
      <c r="AH150" s="291" t="str">
        <f t="shared" si="18"/>
        <v/>
      </c>
      <c r="AI150" s="103"/>
      <c r="AJ150" s="291" t="str">
        <f>IF(AI150="","",IF(AND(AI150="N/A - Culvert",N150&lt;&gt;"Culvert"),"Not possible ▲",IF(VLOOKUP(AI150,'G-7 WaterC'' Data'!$AA$4:$AB$7,2,FALSE)=0,"Spatial Data Missing ⚠",VLOOKUP(AI150,'G-7 WaterC'' Data'!$AA$4:$AB$7,2,FALSE))))</f>
        <v/>
      </c>
      <c r="AK150" s="104"/>
      <c r="AL150" s="291" t="str">
        <f>IF(AK150="","",IF(AND(AK150="N/A - Culvert",N150&lt;&gt;"Culvert"),"Not possible ▲",IF(VLOOKUP(AK150,'G-7 WaterC'' Data'!$AD$4:$AE$14,2,FALSE)=0,"Spatial Data Missing ⚠",VLOOKUP(AK150,'G-7 WaterC'' Data'!$AD$4:$AE$14,2,FALSE))))</f>
        <v/>
      </c>
      <c r="AM150" s="332" t="str">
        <f t="shared" si="25"/>
        <v/>
      </c>
      <c r="AN150" s="98"/>
      <c r="AO150" s="99"/>
      <c r="AP150" s="101"/>
      <c r="AS150" s="15" t="str">
        <f>IF(B150="","",IF(ISNA(VLOOKUP($B150,'C-1 On-Site WaterC'' Baseline'!$C$8:$AD$257,17,FALSE)),"",(VLOOKUP($B150,'C-1 On-Site WaterC'' Baseline'!$C$8:$AD$257,17,FALSE))))</f>
        <v/>
      </c>
      <c r="AT150" s="15" t="str">
        <f>IF(B150="","",VLOOKUP($B150,'C-1 On-Site WaterC'' Baseline'!$C$9:$Z$257,12,FALSE))</f>
        <v/>
      </c>
      <c r="AU150" s="15" t="str">
        <f>IF(B150="","",VLOOKUP($B150,'C-1 On-Site WaterC'' Baseline'!$C$9:$Z$257,14,FALSE))</f>
        <v/>
      </c>
      <c r="AV150" s="15" t="str">
        <f>IFERROR(INDEX('G-7 WaterC'' Data'!$AZ$3:$AZ$7,MATCH(N150,'G-7 WaterC'' Data'!$AY$3:$AY$7,0)),"")</f>
        <v/>
      </c>
      <c r="AX150" s="15" t="str">
        <f>IF(B150="","",VLOOKUP($B150,'C-1 On-Site WaterC'' Baseline'!$C$9:$Y$257,22,FALSE))</f>
        <v/>
      </c>
      <c r="AY150" s="15" t="str">
        <f t="shared" si="26"/>
        <v/>
      </c>
      <c r="AZ150" s="15" t="str">
        <f>IF(B150="","",VLOOKUP($B150,'C-1 On-Site WaterC'' Baseline'!$C$9:$Y$257,21,FALSE))</f>
        <v/>
      </c>
      <c r="BA150" s="15" t="str">
        <f>IF(B150="","",VLOOKUP($B150,'C-1 On-Site WaterC'' Baseline'!$C$9:$Y$257,19,FALSE))</f>
        <v/>
      </c>
    </row>
    <row r="151" spans="2:53" ht="14" x14ac:dyDescent="0.3">
      <c r="B151" s="319" t="str">
        <f>'C-1 On-Site WaterC'' Baseline'!AP149</f>
        <v/>
      </c>
      <c r="C151" s="310" t="str">
        <f>IF(B151="","",VLOOKUP($B151,'C-1 On-Site WaterC'' Baseline'!$C$9:$R$257,2,FALSE))</f>
        <v/>
      </c>
      <c r="D151" s="310" t="str">
        <f>IF(C151="","",VLOOKUP($B151,'C-1 On-Site WaterC'' Baseline'!$C$9:$R$257,3,FALSE))</f>
        <v/>
      </c>
      <c r="E151" s="310" t="str">
        <f>IF(D151="","",VLOOKUP($B151,'C-1 On-Site WaterC'' Baseline'!$C$9:$R$257,4,FALSE))</f>
        <v/>
      </c>
      <c r="F151" s="310" t="str">
        <f>IF(E151="","",VLOOKUP($B151,'C-1 On-Site WaterC'' Baseline'!$C$9:$R$257,5,FALSE))</f>
        <v/>
      </c>
      <c r="G151" s="310" t="str">
        <f>IF(F151="","",VLOOKUP($B151,'C-1 On-Site WaterC'' Baseline'!$C$9:$R$257,6,FALSE))</f>
        <v/>
      </c>
      <c r="H151" s="310" t="str">
        <f>IF(G151="","",VLOOKUP($B151,'C-1 On-Site WaterC'' Baseline'!$C$9:$R$257,7,FALSE))</f>
        <v/>
      </c>
      <c r="I151" s="310" t="str">
        <f>IF(H151="","",VLOOKUP($B151,'C-1 On-Site WaterC'' Baseline'!$C$9:$R$257,8,FALSE))</f>
        <v/>
      </c>
      <c r="J151" s="310" t="str">
        <f>IF(I151="","",VLOOKUP($B151,'C-1 On-Site WaterC'' Baseline'!$C$9:$R$257,9,FALSE))</f>
        <v/>
      </c>
      <c r="K151" s="310" t="str">
        <f>IF(J151="","",VLOOKUP($B151,'C-1 On-Site WaterC'' Baseline'!$C$9:$R$257,10,FALSE))</f>
        <v/>
      </c>
      <c r="L151" s="310" t="str">
        <f>IF(B151="","",VLOOKUP($B151,'C-1 On-Site WaterC'' Baseline'!$C$9:$R$257,15,FALSE))</f>
        <v/>
      </c>
      <c r="M151" s="314" t="str">
        <f>IF(L151="","",VLOOKUP($B151,'C-1 On-Site WaterC'' Baseline'!$C$9:$R$257,16,FALSE))</f>
        <v/>
      </c>
      <c r="N151" s="259"/>
      <c r="O151" s="290" t="str">
        <f t="shared" si="19"/>
        <v/>
      </c>
      <c r="P151" s="291" t="str">
        <f t="shared" si="20"/>
        <v/>
      </c>
      <c r="Q151" s="346" t="str">
        <f>IF(N151="","",VLOOKUP(B151,'C-1 On-Site WaterC'' Baseline'!$C$10:$AC$257,20,FALSE))</f>
        <v/>
      </c>
      <c r="R151" s="290" t="str">
        <f>IF(N151="","",VLOOKUP(N151,'G-7 WaterC'' Data'!$B$2:$G$8,2,FALSE))</f>
        <v/>
      </c>
      <c r="S151" s="291" t="str">
        <f>IFERROR(VLOOKUP(R151,'G-7 WaterC'' Data'!$C$4:$D$8,2,FALSE),"")</f>
        <v/>
      </c>
      <c r="T151" s="95"/>
      <c r="U151" s="291" t="str">
        <f>IFERROR(INDEX('G-7 WaterC'' Data'!$H$4:$L$8,MATCH(N151,'G-7 WaterC'' Data'!$B$4:$B$8,0),MATCH(T151,'G-7 WaterC'' Data'!$H$3:$L$3,0)),"")</f>
        <v/>
      </c>
      <c r="V151" s="95"/>
      <c r="W151" s="298" t="str">
        <f>IF(V151="","",IF(VLOOKUP(V151,'G-7 WaterC'' Data'!$AK$4:$AM$6,2,FALSE)=0,"Spatial Data Missing ⚠",VLOOKUP(V151,'G-7 WaterC'' Data'!$AK$4:$AM$6,2,FALSE)))</f>
        <v/>
      </c>
      <c r="X151" s="291" t="str">
        <f>IF(V151="","",IF(VLOOKUP(V151,'G-7 WaterC'' Data'!$AK$4:$AM$6,3,FALSE)=0,"Spatial Data Missing ⚠",VLOOKUP(V151,'G-7 WaterC'' Data'!$AK$4:$AM$6,3,FALSE)))</f>
        <v/>
      </c>
      <c r="Y151" s="290" t="str">
        <f>IFERROR(IF(OR(LEFT(P151,5)="Error",LEFT(O151,5)="Error ▲"),"Check Data ⚠",IF(F151&lt;S151,'G-7 WaterC'' Data'!$R$3,INDEX('G-7 WaterC'' Data'!$U$5:$Y$9,MATCH(G151,'G-7 WaterC'' Data'!$T$5:$T$9,0),MATCH(T151,'G-7 WaterC'' Data'!$U$4:$Y$4,0)))),"")</f>
        <v/>
      </c>
      <c r="Z151" s="138"/>
      <c r="AA151" s="138"/>
      <c r="AB151" s="298" t="str">
        <f t="shared" si="21"/>
        <v/>
      </c>
      <c r="AC151" s="311" t="str">
        <f t="shared" si="22"/>
        <v/>
      </c>
      <c r="AD151" s="344" t="str">
        <f>IFERROR(IF(AC151="Check Data ⚠","Check Data ⚠",VLOOKUP(AC151,'G-4 Temporal multipliers'!$A$4:$C$37,3,FALSE)),"")</f>
        <v/>
      </c>
      <c r="AE151" s="290" t="str">
        <f>IF(N151="","",VLOOKUP(N151,'G-7 WaterC'' Data'!$B$4:$G$8,5,FALSE))</f>
        <v/>
      </c>
      <c r="AF151" s="298" t="str">
        <f t="shared" si="23"/>
        <v/>
      </c>
      <c r="AG151" s="328" t="str">
        <f t="shared" si="24"/>
        <v/>
      </c>
      <c r="AH151" s="291" t="str">
        <f t="shared" si="18"/>
        <v/>
      </c>
      <c r="AI151" s="103"/>
      <c r="AJ151" s="291" t="str">
        <f>IF(AI151="","",IF(AND(AI151="N/A - Culvert",N151&lt;&gt;"Culvert"),"Not possible ▲",IF(VLOOKUP(AI151,'G-7 WaterC'' Data'!$AA$4:$AB$7,2,FALSE)=0,"Spatial Data Missing ⚠",VLOOKUP(AI151,'G-7 WaterC'' Data'!$AA$4:$AB$7,2,FALSE))))</f>
        <v/>
      </c>
      <c r="AK151" s="104"/>
      <c r="AL151" s="291" t="str">
        <f>IF(AK151="","",IF(AND(AK151="N/A - Culvert",N151&lt;&gt;"Culvert"),"Not possible ▲",IF(VLOOKUP(AK151,'G-7 WaterC'' Data'!$AD$4:$AE$14,2,FALSE)=0,"Spatial Data Missing ⚠",VLOOKUP(AK151,'G-7 WaterC'' Data'!$AD$4:$AE$14,2,FALSE))))</f>
        <v/>
      </c>
      <c r="AM151" s="332" t="str">
        <f t="shared" si="25"/>
        <v/>
      </c>
      <c r="AN151" s="98"/>
      <c r="AO151" s="99"/>
      <c r="AP151" s="101"/>
      <c r="AS151" s="15" t="str">
        <f>IF(B151="","",IF(ISNA(VLOOKUP($B151,'C-1 On-Site WaterC'' Baseline'!$C$8:$AD$257,17,FALSE)),"",(VLOOKUP($B151,'C-1 On-Site WaterC'' Baseline'!$C$8:$AD$257,17,FALSE))))</f>
        <v/>
      </c>
      <c r="AT151" s="15" t="str">
        <f>IF(B151="","",VLOOKUP($B151,'C-1 On-Site WaterC'' Baseline'!$C$9:$Z$257,12,FALSE))</f>
        <v/>
      </c>
      <c r="AU151" s="15" t="str">
        <f>IF(B151="","",VLOOKUP($B151,'C-1 On-Site WaterC'' Baseline'!$C$9:$Z$257,14,FALSE))</f>
        <v/>
      </c>
      <c r="AV151" s="15" t="str">
        <f>IFERROR(INDEX('G-7 WaterC'' Data'!$AZ$3:$AZ$7,MATCH(N151,'G-7 WaterC'' Data'!$AY$3:$AY$7,0)),"")</f>
        <v/>
      </c>
      <c r="AX151" s="15" t="str">
        <f>IF(B151="","",VLOOKUP($B151,'C-1 On-Site WaterC'' Baseline'!$C$9:$Y$257,22,FALSE))</f>
        <v/>
      </c>
      <c r="AY151" s="15" t="str">
        <f t="shared" si="26"/>
        <v/>
      </c>
      <c r="AZ151" s="15" t="str">
        <f>IF(B151="","",VLOOKUP($B151,'C-1 On-Site WaterC'' Baseline'!$C$9:$Y$257,21,FALSE))</f>
        <v/>
      </c>
      <c r="BA151" s="15" t="str">
        <f>IF(B151="","",VLOOKUP($B151,'C-1 On-Site WaterC'' Baseline'!$C$9:$Y$257,19,FALSE))</f>
        <v/>
      </c>
    </row>
    <row r="152" spans="2:53" ht="14" x14ac:dyDescent="0.3">
      <c r="B152" s="319" t="str">
        <f>'C-1 On-Site WaterC'' Baseline'!AP150</f>
        <v/>
      </c>
      <c r="C152" s="310" t="str">
        <f>IF(B152="","",VLOOKUP($B152,'C-1 On-Site WaterC'' Baseline'!$C$9:$R$257,2,FALSE))</f>
        <v/>
      </c>
      <c r="D152" s="310" t="str">
        <f>IF(C152="","",VLOOKUP($B152,'C-1 On-Site WaterC'' Baseline'!$C$9:$R$257,3,FALSE))</f>
        <v/>
      </c>
      <c r="E152" s="310" t="str">
        <f>IF(D152="","",VLOOKUP($B152,'C-1 On-Site WaterC'' Baseline'!$C$9:$R$257,4,FALSE))</f>
        <v/>
      </c>
      <c r="F152" s="310" t="str">
        <f>IF(E152="","",VLOOKUP($B152,'C-1 On-Site WaterC'' Baseline'!$C$9:$R$257,5,FALSE))</f>
        <v/>
      </c>
      <c r="G152" s="310" t="str">
        <f>IF(F152="","",VLOOKUP($B152,'C-1 On-Site WaterC'' Baseline'!$C$9:$R$257,6,FALSE))</f>
        <v/>
      </c>
      <c r="H152" s="310" t="str">
        <f>IF(G152="","",VLOOKUP($B152,'C-1 On-Site WaterC'' Baseline'!$C$9:$R$257,7,FALSE))</f>
        <v/>
      </c>
      <c r="I152" s="310" t="str">
        <f>IF(H152="","",VLOOKUP($B152,'C-1 On-Site WaterC'' Baseline'!$C$9:$R$257,8,FALSE))</f>
        <v/>
      </c>
      <c r="J152" s="310" t="str">
        <f>IF(I152="","",VLOOKUP($B152,'C-1 On-Site WaterC'' Baseline'!$C$9:$R$257,9,FALSE))</f>
        <v/>
      </c>
      <c r="K152" s="310" t="str">
        <f>IF(J152="","",VLOOKUP($B152,'C-1 On-Site WaterC'' Baseline'!$C$9:$R$257,10,FALSE))</f>
        <v/>
      </c>
      <c r="L152" s="310" t="str">
        <f>IF(B152="","",VLOOKUP($B152,'C-1 On-Site WaterC'' Baseline'!$C$9:$R$257,15,FALSE))</f>
        <v/>
      </c>
      <c r="M152" s="314" t="str">
        <f>IF(L152="","",VLOOKUP($B152,'C-1 On-Site WaterC'' Baseline'!$C$9:$R$257,16,FALSE))</f>
        <v/>
      </c>
      <c r="N152" s="259"/>
      <c r="O152" s="290" t="str">
        <f t="shared" si="19"/>
        <v/>
      </c>
      <c r="P152" s="291" t="str">
        <f t="shared" si="20"/>
        <v/>
      </c>
      <c r="Q152" s="346" t="str">
        <f>IF(N152="","",VLOOKUP(B152,'C-1 On-Site WaterC'' Baseline'!$C$10:$AC$257,20,FALSE))</f>
        <v/>
      </c>
      <c r="R152" s="290" t="str">
        <f>IF(N152="","",VLOOKUP(N152,'G-7 WaterC'' Data'!$B$2:$G$8,2,FALSE))</f>
        <v/>
      </c>
      <c r="S152" s="291" t="str">
        <f>IFERROR(VLOOKUP(R152,'G-7 WaterC'' Data'!$C$4:$D$8,2,FALSE),"")</f>
        <v/>
      </c>
      <c r="T152" s="95"/>
      <c r="U152" s="291" t="str">
        <f>IFERROR(INDEX('G-7 WaterC'' Data'!$H$4:$L$8,MATCH(N152,'G-7 WaterC'' Data'!$B$4:$B$8,0),MATCH(T152,'G-7 WaterC'' Data'!$H$3:$L$3,0)),"")</f>
        <v/>
      </c>
      <c r="V152" s="95"/>
      <c r="W152" s="298" t="str">
        <f>IF(V152="","",IF(VLOOKUP(V152,'G-7 WaterC'' Data'!$AK$4:$AM$6,2,FALSE)=0,"Spatial Data Missing ⚠",VLOOKUP(V152,'G-7 WaterC'' Data'!$AK$4:$AM$6,2,FALSE)))</f>
        <v/>
      </c>
      <c r="X152" s="291" t="str">
        <f>IF(V152="","",IF(VLOOKUP(V152,'G-7 WaterC'' Data'!$AK$4:$AM$6,3,FALSE)=0,"Spatial Data Missing ⚠",VLOOKUP(V152,'G-7 WaterC'' Data'!$AK$4:$AM$6,3,FALSE)))</f>
        <v/>
      </c>
      <c r="Y152" s="290" t="str">
        <f>IFERROR(IF(OR(LEFT(P152,5)="Error",LEFT(O152,5)="Error ▲"),"Check Data ⚠",IF(F152&lt;S152,'G-7 WaterC'' Data'!$R$3,INDEX('G-7 WaterC'' Data'!$U$5:$Y$9,MATCH(G152,'G-7 WaterC'' Data'!$T$5:$T$9,0),MATCH(T152,'G-7 WaterC'' Data'!$U$4:$Y$4,0)))),"")</f>
        <v/>
      </c>
      <c r="Z152" s="138"/>
      <c r="AA152" s="138"/>
      <c r="AB152" s="298" t="str">
        <f t="shared" si="21"/>
        <v/>
      </c>
      <c r="AC152" s="311" t="str">
        <f t="shared" si="22"/>
        <v/>
      </c>
      <c r="AD152" s="344" t="str">
        <f>IFERROR(IF(AC152="Check Data ⚠","Check Data ⚠",VLOOKUP(AC152,'G-4 Temporal multipliers'!$A$4:$C$37,3,FALSE)),"")</f>
        <v/>
      </c>
      <c r="AE152" s="290" t="str">
        <f>IF(N152="","",VLOOKUP(N152,'G-7 WaterC'' Data'!$B$4:$G$8,5,FALSE))</f>
        <v/>
      </c>
      <c r="AF152" s="298" t="str">
        <f t="shared" si="23"/>
        <v/>
      </c>
      <c r="AG152" s="328" t="str">
        <f t="shared" si="24"/>
        <v/>
      </c>
      <c r="AH152" s="291" t="str">
        <f t="shared" si="18"/>
        <v/>
      </c>
      <c r="AI152" s="103"/>
      <c r="AJ152" s="291" t="str">
        <f>IF(AI152="","",IF(AND(AI152="N/A - Culvert",N152&lt;&gt;"Culvert"),"Not possible ▲",IF(VLOOKUP(AI152,'G-7 WaterC'' Data'!$AA$4:$AB$7,2,FALSE)=0,"Spatial Data Missing ⚠",VLOOKUP(AI152,'G-7 WaterC'' Data'!$AA$4:$AB$7,2,FALSE))))</f>
        <v/>
      </c>
      <c r="AK152" s="104"/>
      <c r="AL152" s="291" t="str">
        <f>IF(AK152="","",IF(AND(AK152="N/A - Culvert",N152&lt;&gt;"Culvert"),"Not possible ▲",IF(VLOOKUP(AK152,'G-7 WaterC'' Data'!$AD$4:$AE$14,2,FALSE)=0,"Spatial Data Missing ⚠",VLOOKUP(AK152,'G-7 WaterC'' Data'!$AD$4:$AE$14,2,FALSE))))</f>
        <v/>
      </c>
      <c r="AM152" s="332" t="str">
        <f t="shared" si="25"/>
        <v/>
      </c>
      <c r="AN152" s="98"/>
      <c r="AO152" s="99"/>
      <c r="AP152" s="101"/>
      <c r="AS152" s="15" t="str">
        <f>IF(B152="","",IF(ISNA(VLOOKUP($B152,'C-1 On-Site WaterC'' Baseline'!$C$8:$AD$257,17,FALSE)),"",(VLOOKUP($B152,'C-1 On-Site WaterC'' Baseline'!$C$8:$AD$257,17,FALSE))))</f>
        <v/>
      </c>
      <c r="AT152" s="15" t="str">
        <f>IF(B152="","",VLOOKUP($B152,'C-1 On-Site WaterC'' Baseline'!$C$9:$Z$257,12,FALSE))</f>
        <v/>
      </c>
      <c r="AU152" s="15" t="str">
        <f>IF(B152="","",VLOOKUP($B152,'C-1 On-Site WaterC'' Baseline'!$C$9:$Z$257,14,FALSE))</f>
        <v/>
      </c>
      <c r="AV152" s="15" t="str">
        <f>IFERROR(INDEX('G-7 WaterC'' Data'!$AZ$3:$AZ$7,MATCH(N152,'G-7 WaterC'' Data'!$AY$3:$AY$7,0)),"")</f>
        <v/>
      </c>
      <c r="AX152" s="15" t="str">
        <f>IF(B152="","",VLOOKUP($B152,'C-1 On-Site WaterC'' Baseline'!$C$9:$Y$257,22,FALSE))</f>
        <v/>
      </c>
      <c r="AY152" s="15" t="str">
        <f t="shared" si="26"/>
        <v/>
      </c>
      <c r="AZ152" s="15" t="str">
        <f>IF(B152="","",VLOOKUP($B152,'C-1 On-Site WaterC'' Baseline'!$C$9:$Y$257,21,FALSE))</f>
        <v/>
      </c>
      <c r="BA152" s="15" t="str">
        <f>IF(B152="","",VLOOKUP($B152,'C-1 On-Site WaterC'' Baseline'!$C$9:$Y$257,19,FALSE))</f>
        <v/>
      </c>
    </row>
    <row r="153" spans="2:53" ht="14" x14ac:dyDescent="0.3">
      <c r="B153" s="319" t="str">
        <f>'C-1 On-Site WaterC'' Baseline'!AP151</f>
        <v/>
      </c>
      <c r="C153" s="310" t="str">
        <f>IF(B153="","",VLOOKUP($B153,'C-1 On-Site WaterC'' Baseline'!$C$9:$R$257,2,FALSE))</f>
        <v/>
      </c>
      <c r="D153" s="310" t="str">
        <f>IF(C153="","",VLOOKUP($B153,'C-1 On-Site WaterC'' Baseline'!$C$9:$R$257,3,FALSE))</f>
        <v/>
      </c>
      <c r="E153" s="310" t="str">
        <f>IF(D153="","",VLOOKUP($B153,'C-1 On-Site WaterC'' Baseline'!$C$9:$R$257,4,FALSE))</f>
        <v/>
      </c>
      <c r="F153" s="310" t="str">
        <f>IF(E153="","",VLOOKUP($B153,'C-1 On-Site WaterC'' Baseline'!$C$9:$R$257,5,FALSE))</f>
        <v/>
      </c>
      <c r="G153" s="310" t="str">
        <f>IF(F153="","",VLOOKUP($B153,'C-1 On-Site WaterC'' Baseline'!$C$9:$R$257,6,FALSE))</f>
        <v/>
      </c>
      <c r="H153" s="310" t="str">
        <f>IF(G153="","",VLOOKUP($B153,'C-1 On-Site WaterC'' Baseline'!$C$9:$R$257,7,FALSE))</f>
        <v/>
      </c>
      <c r="I153" s="310" t="str">
        <f>IF(H153="","",VLOOKUP($B153,'C-1 On-Site WaterC'' Baseline'!$C$9:$R$257,8,FALSE))</f>
        <v/>
      </c>
      <c r="J153" s="310" t="str">
        <f>IF(I153="","",VLOOKUP($B153,'C-1 On-Site WaterC'' Baseline'!$C$9:$R$257,9,FALSE))</f>
        <v/>
      </c>
      <c r="K153" s="310" t="str">
        <f>IF(J153="","",VLOOKUP($B153,'C-1 On-Site WaterC'' Baseline'!$C$9:$R$257,10,FALSE))</f>
        <v/>
      </c>
      <c r="L153" s="310" t="str">
        <f>IF(B153="","",VLOOKUP($B153,'C-1 On-Site WaterC'' Baseline'!$C$9:$R$257,15,FALSE))</f>
        <v/>
      </c>
      <c r="M153" s="314" t="str">
        <f>IF(L153="","",VLOOKUP($B153,'C-1 On-Site WaterC'' Baseline'!$C$9:$R$257,16,FALSE))</f>
        <v/>
      </c>
      <c r="N153" s="259"/>
      <c r="O153" s="290" t="str">
        <f t="shared" si="19"/>
        <v/>
      </c>
      <c r="P153" s="291" t="str">
        <f t="shared" si="20"/>
        <v/>
      </c>
      <c r="Q153" s="346" t="str">
        <f>IF(N153="","",VLOOKUP(B153,'C-1 On-Site WaterC'' Baseline'!$C$10:$AC$257,20,FALSE))</f>
        <v/>
      </c>
      <c r="R153" s="290" t="str">
        <f>IF(N153="","",VLOOKUP(N153,'G-7 WaterC'' Data'!$B$2:$G$8,2,FALSE))</f>
        <v/>
      </c>
      <c r="S153" s="291" t="str">
        <f>IFERROR(VLOOKUP(R153,'G-7 WaterC'' Data'!$C$4:$D$8,2,FALSE),"")</f>
        <v/>
      </c>
      <c r="T153" s="95"/>
      <c r="U153" s="291" t="str">
        <f>IFERROR(INDEX('G-7 WaterC'' Data'!$H$4:$L$8,MATCH(N153,'G-7 WaterC'' Data'!$B$4:$B$8,0),MATCH(T153,'G-7 WaterC'' Data'!$H$3:$L$3,0)),"")</f>
        <v/>
      </c>
      <c r="V153" s="95"/>
      <c r="W153" s="298" t="str">
        <f>IF(V153="","",IF(VLOOKUP(V153,'G-7 WaterC'' Data'!$AK$4:$AM$6,2,FALSE)=0,"Spatial Data Missing ⚠",VLOOKUP(V153,'G-7 WaterC'' Data'!$AK$4:$AM$6,2,FALSE)))</f>
        <v/>
      </c>
      <c r="X153" s="291" t="str">
        <f>IF(V153="","",IF(VLOOKUP(V153,'G-7 WaterC'' Data'!$AK$4:$AM$6,3,FALSE)=0,"Spatial Data Missing ⚠",VLOOKUP(V153,'G-7 WaterC'' Data'!$AK$4:$AM$6,3,FALSE)))</f>
        <v/>
      </c>
      <c r="Y153" s="290" t="str">
        <f>IFERROR(IF(OR(LEFT(P153,5)="Error",LEFT(O153,5)="Error ▲"),"Check Data ⚠",IF(F153&lt;S153,'G-7 WaterC'' Data'!$R$3,INDEX('G-7 WaterC'' Data'!$U$5:$Y$9,MATCH(G153,'G-7 WaterC'' Data'!$T$5:$T$9,0),MATCH(T153,'G-7 WaterC'' Data'!$U$4:$Y$4,0)))),"")</f>
        <v/>
      </c>
      <c r="Z153" s="138"/>
      <c r="AA153" s="138"/>
      <c r="AB153" s="298" t="str">
        <f t="shared" si="21"/>
        <v/>
      </c>
      <c r="AC153" s="311" t="str">
        <f t="shared" si="22"/>
        <v/>
      </c>
      <c r="AD153" s="344" t="str">
        <f>IFERROR(IF(AC153="Check Data ⚠","Check Data ⚠",VLOOKUP(AC153,'G-4 Temporal multipliers'!$A$4:$C$37,3,FALSE)),"")</f>
        <v/>
      </c>
      <c r="AE153" s="290" t="str">
        <f>IF(N153="","",VLOOKUP(N153,'G-7 WaterC'' Data'!$B$4:$G$8,5,FALSE))</f>
        <v/>
      </c>
      <c r="AF153" s="298" t="str">
        <f t="shared" si="23"/>
        <v/>
      </c>
      <c r="AG153" s="328" t="str">
        <f t="shared" si="24"/>
        <v/>
      </c>
      <c r="AH153" s="291" t="str">
        <f t="shared" si="18"/>
        <v/>
      </c>
      <c r="AI153" s="103"/>
      <c r="AJ153" s="291" t="str">
        <f>IF(AI153="","",IF(AND(AI153="N/A - Culvert",N153&lt;&gt;"Culvert"),"Not possible ▲",IF(VLOOKUP(AI153,'G-7 WaterC'' Data'!$AA$4:$AB$7,2,FALSE)=0,"Spatial Data Missing ⚠",VLOOKUP(AI153,'G-7 WaterC'' Data'!$AA$4:$AB$7,2,FALSE))))</f>
        <v/>
      </c>
      <c r="AK153" s="104"/>
      <c r="AL153" s="291" t="str">
        <f>IF(AK153="","",IF(AND(AK153="N/A - Culvert",N153&lt;&gt;"Culvert"),"Not possible ▲",IF(VLOOKUP(AK153,'G-7 WaterC'' Data'!$AD$4:$AE$14,2,FALSE)=0,"Spatial Data Missing ⚠",VLOOKUP(AK153,'G-7 WaterC'' Data'!$AD$4:$AE$14,2,FALSE))))</f>
        <v/>
      </c>
      <c r="AM153" s="332" t="str">
        <f t="shared" si="25"/>
        <v/>
      </c>
      <c r="AN153" s="98"/>
      <c r="AO153" s="99"/>
      <c r="AP153" s="101"/>
      <c r="AS153" s="15" t="str">
        <f>IF(B153="","",IF(ISNA(VLOOKUP($B153,'C-1 On-Site WaterC'' Baseline'!$C$8:$AD$257,17,FALSE)),"",(VLOOKUP($B153,'C-1 On-Site WaterC'' Baseline'!$C$8:$AD$257,17,FALSE))))</f>
        <v/>
      </c>
      <c r="AT153" s="15" t="str">
        <f>IF(B153="","",VLOOKUP($B153,'C-1 On-Site WaterC'' Baseline'!$C$9:$Z$257,12,FALSE))</f>
        <v/>
      </c>
      <c r="AU153" s="15" t="str">
        <f>IF(B153="","",VLOOKUP($B153,'C-1 On-Site WaterC'' Baseline'!$C$9:$Z$257,14,FALSE))</f>
        <v/>
      </c>
      <c r="AV153" s="15" t="str">
        <f>IFERROR(INDEX('G-7 WaterC'' Data'!$AZ$3:$AZ$7,MATCH(N153,'G-7 WaterC'' Data'!$AY$3:$AY$7,0)),"")</f>
        <v/>
      </c>
      <c r="AX153" s="15" t="str">
        <f>IF(B153="","",VLOOKUP($B153,'C-1 On-Site WaterC'' Baseline'!$C$9:$Y$257,22,FALSE))</f>
        <v/>
      </c>
      <c r="AY153" s="15" t="str">
        <f t="shared" si="26"/>
        <v/>
      </c>
      <c r="AZ153" s="15" t="str">
        <f>IF(B153="","",VLOOKUP($B153,'C-1 On-Site WaterC'' Baseline'!$C$9:$Y$257,21,FALSE))</f>
        <v/>
      </c>
      <c r="BA153" s="15" t="str">
        <f>IF(B153="","",VLOOKUP($B153,'C-1 On-Site WaterC'' Baseline'!$C$9:$Y$257,19,FALSE))</f>
        <v/>
      </c>
    </row>
    <row r="154" spans="2:53" ht="14" x14ac:dyDescent="0.3">
      <c r="B154" s="319" t="str">
        <f>'C-1 On-Site WaterC'' Baseline'!AP152</f>
        <v/>
      </c>
      <c r="C154" s="310" t="str">
        <f>IF(B154="","",VLOOKUP($B154,'C-1 On-Site WaterC'' Baseline'!$C$9:$R$257,2,FALSE))</f>
        <v/>
      </c>
      <c r="D154" s="310" t="str">
        <f>IF(C154="","",VLOOKUP($B154,'C-1 On-Site WaterC'' Baseline'!$C$9:$R$257,3,FALSE))</f>
        <v/>
      </c>
      <c r="E154" s="310" t="str">
        <f>IF(D154="","",VLOOKUP($B154,'C-1 On-Site WaterC'' Baseline'!$C$9:$R$257,4,FALSE))</f>
        <v/>
      </c>
      <c r="F154" s="310" t="str">
        <f>IF(E154="","",VLOOKUP($B154,'C-1 On-Site WaterC'' Baseline'!$C$9:$R$257,5,FALSE))</f>
        <v/>
      </c>
      <c r="G154" s="310" t="str">
        <f>IF(F154="","",VLOOKUP($B154,'C-1 On-Site WaterC'' Baseline'!$C$9:$R$257,6,FALSE))</f>
        <v/>
      </c>
      <c r="H154" s="310" t="str">
        <f>IF(G154="","",VLOOKUP($B154,'C-1 On-Site WaterC'' Baseline'!$C$9:$R$257,7,FALSE))</f>
        <v/>
      </c>
      <c r="I154" s="310" t="str">
        <f>IF(H154="","",VLOOKUP($B154,'C-1 On-Site WaterC'' Baseline'!$C$9:$R$257,8,FALSE))</f>
        <v/>
      </c>
      <c r="J154" s="310" t="str">
        <f>IF(I154="","",VLOOKUP($B154,'C-1 On-Site WaterC'' Baseline'!$C$9:$R$257,9,FALSE))</f>
        <v/>
      </c>
      <c r="K154" s="310" t="str">
        <f>IF(J154="","",VLOOKUP($B154,'C-1 On-Site WaterC'' Baseline'!$C$9:$R$257,10,FALSE))</f>
        <v/>
      </c>
      <c r="L154" s="310" t="str">
        <f>IF(B154="","",VLOOKUP($B154,'C-1 On-Site WaterC'' Baseline'!$C$9:$R$257,15,FALSE))</f>
        <v/>
      </c>
      <c r="M154" s="314" t="str">
        <f>IF(L154="","",VLOOKUP($B154,'C-1 On-Site WaterC'' Baseline'!$C$9:$R$257,16,FALSE))</f>
        <v/>
      </c>
      <c r="N154" s="259"/>
      <c r="O154" s="290" t="str">
        <f t="shared" si="19"/>
        <v/>
      </c>
      <c r="P154" s="291" t="str">
        <f t="shared" si="20"/>
        <v/>
      </c>
      <c r="Q154" s="346" t="str">
        <f>IF(N154="","",VLOOKUP(B154,'C-1 On-Site WaterC'' Baseline'!$C$10:$AC$257,20,FALSE))</f>
        <v/>
      </c>
      <c r="R154" s="290" t="str">
        <f>IF(N154="","",VLOOKUP(N154,'G-7 WaterC'' Data'!$B$2:$G$8,2,FALSE))</f>
        <v/>
      </c>
      <c r="S154" s="291" t="str">
        <f>IFERROR(VLOOKUP(R154,'G-7 WaterC'' Data'!$C$4:$D$8,2,FALSE),"")</f>
        <v/>
      </c>
      <c r="T154" s="95"/>
      <c r="U154" s="291" t="str">
        <f>IFERROR(INDEX('G-7 WaterC'' Data'!$H$4:$L$8,MATCH(N154,'G-7 WaterC'' Data'!$B$4:$B$8,0),MATCH(T154,'G-7 WaterC'' Data'!$H$3:$L$3,0)),"")</f>
        <v/>
      </c>
      <c r="V154" s="95"/>
      <c r="W154" s="298" t="str">
        <f>IF(V154="","",IF(VLOOKUP(V154,'G-7 WaterC'' Data'!$AK$4:$AM$6,2,FALSE)=0,"Spatial Data Missing ⚠",VLOOKUP(V154,'G-7 WaterC'' Data'!$AK$4:$AM$6,2,FALSE)))</f>
        <v/>
      </c>
      <c r="X154" s="291" t="str">
        <f>IF(V154="","",IF(VLOOKUP(V154,'G-7 WaterC'' Data'!$AK$4:$AM$6,3,FALSE)=0,"Spatial Data Missing ⚠",VLOOKUP(V154,'G-7 WaterC'' Data'!$AK$4:$AM$6,3,FALSE)))</f>
        <v/>
      </c>
      <c r="Y154" s="290" t="str">
        <f>IFERROR(IF(OR(LEFT(P154,5)="Error",LEFT(O154,5)="Error ▲"),"Check Data ⚠",IF(F154&lt;S154,'G-7 WaterC'' Data'!$R$3,INDEX('G-7 WaterC'' Data'!$U$5:$Y$9,MATCH(G154,'G-7 WaterC'' Data'!$T$5:$T$9,0),MATCH(T154,'G-7 WaterC'' Data'!$U$4:$Y$4,0)))),"")</f>
        <v/>
      </c>
      <c r="Z154" s="138"/>
      <c r="AA154" s="138"/>
      <c r="AB154" s="298" t="str">
        <f t="shared" si="21"/>
        <v/>
      </c>
      <c r="AC154" s="311" t="str">
        <f t="shared" si="22"/>
        <v/>
      </c>
      <c r="AD154" s="344" t="str">
        <f>IFERROR(IF(AC154="Check Data ⚠","Check Data ⚠",VLOOKUP(AC154,'G-4 Temporal multipliers'!$A$4:$C$37,3,FALSE)),"")</f>
        <v/>
      </c>
      <c r="AE154" s="290" t="str">
        <f>IF(N154="","",VLOOKUP(N154,'G-7 WaterC'' Data'!$B$4:$G$8,5,FALSE))</f>
        <v/>
      </c>
      <c r="AF154" s="298" t="str">
        <f t="shared" si="23"/>
        <v/>
      </c>
      <c r="AG154" s="328" t="str">
        <f t="shared" si="24"/>
        <v/>
      </c>
      <c r="AH154" s="291" t="str">
        <f t="shared" si="18"/>
        <v/>
      </c>
      <c r="AI154" s="103"/>
      <c r="AJ154" s="291" t="str">
        <f>IF(AI154="","",IF(AND(AI154="N/A - Culvert",N154&lt;&gt;"Culvert"),"Not possible ▲",IF(VLOOKUP(AI154,'G-7 WaterC'' Data'!$AA$4:$AB$7,2,FALSE)=0,"Spatial Data Missing ⚠",VLOOKUP(AI154,'G-7 WaterC'' Data'!$AA$4:$AB$7,2,FALSE))))</f>
        <v/>
      </c>
      <c r="AK154" s="104"/>
      <c r="AL154" s="291" t="str">
        <f>IF(AK154="","",IF(AND(AK154="N/A - Culvert",N154&lt;&gt;"Culvert"),"Not possible ▲",IF(VLOOKUP(AK154,'G-7 WaterC'' Data'!$AD$4:$AE$14,2,FALSE)=0,"Spatial Data Missing ⚠",VLOOKUP(AK154,'G-7 WaterC'' Data'!$AD$4:$AE$14,2,FALSE))))</f>
        <v/>
      </c>
      <c r="AM154" s="332" t="str">
        <f t="shared" si="25"/>
        <v/>
      </c>
      <c r="AN154" s="98"/>
      <c r="AO154" s="99"/>
      <c r="AP154" s="101"/>
      <c r="AS154" s="15" t="str">
        <f>IF(B154="","",IF(ISNA(VLOOKUP($B154,'C-1 On-Site WaterC'' Baseline'!$C$8:$AD$257,17,FALSE)),"",(VLOOKUP($B154,'C-1 On-Site WaterC'' Baseline'!$C$8:$AD$257,17,FALSE))))</f>
        <v/>
      </c>
      <c r="AT154" s="15" t="str">
        <f>IF(B154="","",VLOOKUP($B154,'C-1 On-Site WaterC'' Baseline'!$C$9:$Z$257,12,FALSE))</f>
        <v/>
      </c>
      <c r="AU154" s="15" t="str">
        <f>IF(B154="","",VLOOKUP($B154,'C-1 On-Site WaterC'' Baseline'!$C$9:$Z$257,14,FALSE))</f>
        <v/>
      </c>
      <c r="AV154" s="15" t="str">
        <f>IFERROR(INDEX('G-7 WaterC'' Data'!$AZ$3:$AZ$7,MATCH(N154,'G-7 WaterC'' Data'!$AY$3:$AY$7,0)),"")</f>
        <v/>
      </c>
      <c r="AX154" s="15" t="str">
        <f>IF(B154="","",VLOOKUP($B154,'C-1 On-Site WaterC'' Baseline'!$C$9:$Y$257,22,FALSE))</f>
        <v/>
      </c>
      <c r="AY154" s="15" t="str">
        <f t="shared" si="26"/>
        <v/>
      </c>
      <c r="AZ154" s="15" t="str">
        <f>IF(B154="","",VLOOKUP($B154,'C-1 On-Site WaterC'' Baseline'!$C$9:$Y$257,21,FALSE))</f>
        <v/>
      </c>
      <c r="BA154" s="15" t="str">
        <f>IF(B154="","",VLOOKUP($B154,'C-1 On-Site WaterC'' Baseline'!$C$9:$Y$257,19,FALSE))</f>
        <v/>
      </c>
    </row>
    <row r="155" spans="2:53" ht="14" x14ac:dyDescent="0.3">
      <c r="B155" s="319" t="str">
        <f>'C-1 On-Site WaterC'' Baseline'!AP153</f>
        <v/>
      </c>
      <c r="C155" s="310" t="str">
        <f>IF(B155="","",VLOOKUP($B155,'C-1 On-Site WaterC'' Baseline'!$C$9:$R$257,2,FALSE))</f>
        <v/>
      </c>
      <c r="D155" s="310" t="str">
        <f>IF(C155="","",VLOOKUP($B155,'C-1 On-Site WaterC'' Baseline'!$C$9:$R$257,3,FALSE))</f>
        <v/>
      </c>
      <c r="E155" s="310" t="str">
        <f>IF(D155="","",VLOOKUP($B155,'C-1 On-Site WaterC'' Baseline'!$C$9:$R$257,4,FALSE))</f>
        <v/>
      </c>
      <c r="F155" s="310" t="str">
        <f>IF(E155="","",VLOOKUP($B155,'C-1 On-Site WaterC'' Baseline'!$C$9:$R$257,5,FALSE))</f>
        <v/>
      </c>
      <c r="G155" s="310" t="str">
        <f>IF(F155="","",VLOOKUP($B155,'C-1 On-Site WaterC'' Baseline'!$C$9:$R$257,6,FALSE))</f>
        <v/>
      </c>
      <c r="H155" s="310" t="str">
        <f>IF(G155="","",VLOOKUP($B155,'C-1 On-Site WaterC'' Baseline'!$C$9:$R$257,7,FALSE))</f>
        <v/>
      </c>
      <c r="I155" s="310" t="str">
        <f>IF(H155="","",VLOOKUP($B155,'C-1 On-Site WaterC'' Baseline'!$C$9:$R$257,8,FALSE))</f>
        <v/>
      </c>
      <c r="J155" s="310" t="str">
        <f>IF(I155="","",VLOOKUP($B155,'C-1 On-Site WaterC'' Baseline'!$C$9:$R$257,9,FALSE))</f>
        <v/>
      </c>
      <c r="K155" s="310" t="str">
        <f>IF(J155="","",VLOOKUP($B155,'C-1 On-Site WaterC'' Baseline'!$C$9:$R$257,10,FALSE))</f>
        <v/>
      </c>
      <c r="L155" s="310" t="str">
        <f>IF(B155="","",VLOOKUP($B155,'C-1 On-Site WaterC'' Baseline'!$C$9:$R$257,15,FALSE))</f>
        <v/>
      </c>
      <c r="M155" s="314" t="str">
        <f>IF(L155="","",VLOOKUP($B155,'C-1 On-Site WaterC'' Baseline'!$C$9:$R$257,16,FALSE))</f>
        <v/>
      </c>
      <c r="N155" s="259"/>
      <c r="O155" s="290" t="str">
        <f t="shared" si="19"/>
        <v/>
      </c>
      <c r="P155" s="291" t="str">
        <f t="shared" si="20"/>
        <v/>
      </c>
      <c r="Q155" s="346" t="str">
        <f>IF(N155="","",VLOOKUP(B155,'C-1 On-Site WaterC'' Baseline'!$C$10:$AC$257,20,FALSE))</f>
        <v/>
      </c>
      <c r="R155" s="290" t="str">
        <f>IF(N155="","",VLOOKUP(N155,'G-7 WaterC'' Data'!$B$2:$G$8,2,FALSE))</f>
        <v/>
      </c>
      <c r="S155" s="291" t="str">
        <f>IFERROR(VLOOKUP(R155,'G-7 WaterC'' Data'!$C$4:$D$8,2,FALSE),"")</f>
        <v/>
      </c>
      <c r="T155" s="95"/>
      <c r="U155" s="291" t="str">
        <f>IFERROR(INDEX('G-7 WaterC'' Data'!$H$4:$L$8,MATCH(N155,'G-7 WaterC'' Data'!$B$4:$B$8,0),MATCH(T155,'G-7 WaterC'' Data'!$H$3:$L$3,0)),"")</f>
        <v/>
      </c>
      <c r="V155" s="95"/>
      <c r="W155" s="298" t="str">
        <f>IF(V155="","",IF(VLOOKUP(V155,'G-7 WaterC'' Data'!$AK$4:$AM$6,2,FALSE)=0,"Spatial Data Missing ⚠",VLOOKUP(V155,'G-7 WaterC'' Data'!$AK$4:$AM$6,2,FALSE)))</f>
        <v/>
      </c>
      <c r="X155" s="291" t="str">
        <f>IF(V155="","",IF(VLOOKUP(V155,'G-7 WaterC'' Data'!$AK$4:$AM$6,3,FALSE)=0,"Spatial Data Missing ⚠",VLOOKUP(V155,'G-7 WaterC'' Data'!$AK$4:$AM$6,3,FALSE)))</f>
        <v/>
      </c>
      <c r="Y155" s="290" t="str">
        <f>IFERROR(IF(OR(LEFT(P155,5)="Error",LEFT(O155,5)="Error ▲"),"Check Data ⚠",IF(F155&lt;S155,'G-7 WaterC'' Data'!$R$3,INDEX('G-7 WaterC'' Data'!$U$5:$Y$9,MATCH(G155,'G-7 WaterC'' Data'!$T$5:$T$9,0),MATCH(T155,'G-7 WaterC'' Data'!$U$4:$Y$4,0)))),"")</f>
        <v/>
      </c>
      <c r="Z155" s="138"/>
      <c r="AA155" s="138"/>
      <c r="AB155" s="298" t="str">
        <f t="shared" si="21"/>
        <v/>
      </c>
      <c r="AC155" s="311" t="str">
        <f t="shared" si="22"/>
        <v/>
      </c>
      <c r="AD155" s="344" t="str">
        <f>IFERROR(IF(AC155="Check Data ⚠","Check Data ⚠",VLOOKUP(AC155,'G-4 Temporal multipliers'!$A$4:$C$37,3,FALSE)),"")</f>
        <v/>
      </c>
      <c r="AE155" s="290" t="str">
        <f>IF(N155="","",VLOOKUP(N155,'G-7 WaterC'' Data'!$B$4:$G$8,5,FALSE))</f>
        <v/>
      </c>
      <c r="AF155" s="298" t="str">
        <f t="shared" si="23"/>
        <v/>
      </c>
      <c r="AG155" s="328" t="str">
        <f t="shared" si="24"/>
        <v/>
      </c>
      <c r="AH155" s="291" t="str">
        <f t="shared" si="18"/>
        <v/>
      </c>
      <c r="AI155" s="103"/>
      <c r="AJ155" s="291" t="str">
        <f>IF(AI155="","",IF(AND(AI155="N/A - Culvert",N155&lt;&gt;"Culvert"),"Not possible ▲",IF(VLOOKUP(AI155,'G-7 WaterC'' Data'!$AA$4:$AB$7,2,FALSE)=0,"Spatial Data Missing ⚠",VLOOKUP(AI155,'G-7 WaterC'' Data'!$AA$4:$AB$7,2,FALSE))))</f>
        <v/>
      </c>
      <c r="AK155" s="104"/>
      <c r="AL155" s="291" t="str">
        <f>IF(AK155="","",IF(AND(AK155="N/A - Culvert",N155&lt;&gt;"Culvert"),"Not possible ▲",IF(VLOOKUP(AK155,'G-7 WaterC'' Data'!$AD$4:$AE$14,2,FALSE)=0,"Spatial Data Missing ⚠",VLOOKUP(AK155,'G-7 WaterC'' Data'!$AD$4:$AE$14,2,FALSE))))</f>
        <v/>
      </c>
      <c r="AM155" s="332" t="str">
        <f t="shared" si="25"/>
        <v/>
      </c>
      <c r="AN155" s="98"/>
      <c r="AO155" s="99"/>
      <c r="AP155" s="101"/>
      <c r="AS155" s="15" t="str">
        <f>IF(B155="","",IF(ISNA(VLOOKUP($B155,'C-1 On-Site WaterC'' Baseline'!$C$8:$AD$257,17,FALSE)),"",(VLOOKUP($B155,'C-1 On-Site WaterC'' Baseline'!$C$8:$AD$257,17,FALSE))))</f>
        <v/>
      </c>
      <c r="AT155" s="15" t="str">
        <f>IF(B155="","",VLOOKUP($B155,'C-1 On-Site WaterC'' Baseline'!$C$9:$Z$257,12,FALSE))</f>
        <v/>
      </c>
      <c r="AU155" s="15" t="str">
        <f>IF(B155="","",VLOOKUP($B155,'C-1 On-Site WaterC'' Baseline'!$C$9:$Z$257,14,FALSE))</f>
        <v/>
      </c>
      <c r="AV155" s="15" t="str">
        <f>IFERROR(INDEX('G-7 WaterC'' Data'!$AZ$3:$AZ$7,MATCH(N155,'G-7 WaterC'' Data'!$AY$3:$AY$7,0)),"")</f>
        <v/>
      </c>
      <c r="AX155" s="15" t="str">
        <f>IF(B155="","",VLOOKUP($B155,'C-1 On-Site WaterC'' Baseline'!$C$9:$Y$257,22,FALSE))</f>
        <v/>
      </c>
      <c r="AY155" s="15" t="str">
        <f t="shared" si="26"/>
        <v/>
      </c>
      <c r="AZ155" s="15" t="str">
        <f>IF(B155="","",VLOOKUP($B155,'C-1 On-Site WaterC'' Baseline'!$C$9:$Y$257,21,FALSE))</f>
        <v/>
      </c>
      <c r="BA155" s="15" t="str">
        <f>IF(B155="","",VLOOKUP($B155,'C-1 On-Site WaterC'' Baseline'!$C$9:$Y$257,19,FALSE))</f>
        <v/>
      </c>
    </row>
    <row r="156" spans="2:53" ht="14" x14ac:dyDescent="0.3">
      <c r="B156" s="319" t="str">
        <f>'C-1 On-Site WaterC'' Baseline'!AP154</f>
        <v/>
      </c>
      <c r="C156" s="310" t="str">
        <f>IF(B156="","",VLOOKUP($B156,'C-1 On-Site WaterC'' Baseline'!$C$9:$R$257,2,FALSE))</f>
        <v/>
      </c>
      <c r="D156" s="310" t="str">
        <f>IF(C156="","",VLOOKUP($B156,'C-1 On-Site WaterC'' Baseline'!$C$9:$R$257,3,FALSE))</f>
        <v/>
      </c>
      <c r="E156" s="310" t="str">
        <f>IF(D156="","",VLOOKUP($B156,'C-1 On-Site WaterC'' Baseline'!$C$9:$R$257,4,FALSE))</f>
        <v/>
      </c>
      <c r="F156" s="310" t="str">
        <f>IF(E156="","",VLOOKUP($B156,'C-1 On-Site WaterC'' Baseline'!$C$9:$R$257,5,FALSE))</f>
        <v/>
      </c>
      <c r="G156" s="310" t="str">
        <f>IF(F156="","",VLOOKUP($B156,'C-1 On-Site WaterC'' Baseline'!$C$9:$R$257,6,FALSE))</f>
        <v/>
      </c>
      <c r="H156" s="310" t="str">
        <f>IF(G156="","",VLOOKUP($B156,'C-1 On-Site WaterC'' Baseline'!$C$9:$R$257,7,FALSE))</f>
        <v/>
      </c>
      <c r="I156" s="310" t="str">
        <f>IF(H156="","",VLOOKUP($B156,'C-1 On-Site WaterC'' Baseline'!$C$9:$R$257,8,FALSE))</f>
        <v/>
      </c>
      <c r="J156" s="310" t="str">
        <f>IF(I156="","",VLOOKUP($B156,'C-1 On-Site WaterC'' Baseline'!$C$9:$R$257,9,FALSE))</f>
        <v/>
      </c>
      <c r="K156" s="310" t="str">
        <f>IF(J156="","",VLOOKUP($B156,'C-1 On-Site WaterC'' Baseline'!$C$9:$R$257,10,FALSE))</f>
        <v/>
      </c>
      <c r="L156" s="310" t="str">
        <f>IF(B156="","",VLOOKUP($B156,'C-1 On-Site WaterC'' Baseline'!$C$9:$R$257,15,FALSE))</f>
        <v/>
      </c>
      <c r="M156" s="314" t="str">
        <f>IF(L156="","",VLOOKUP($B156,'C-1 On-Site WaterC'' Baseline'!$C$9:$R$257,16,FALSE))</f>
        <v/>
      </c>
      <c r="N156" s="259"/>
      <c r="O156" s="290" t="str">
        <f t="shared" si="19"/>
        <v/>
      </c>
      <c r="P156" s="291" t="str">
        <f t="shared" si="20"/>
        <v/>
      </c>
      <c r="Q156" s="346" t="str">
        <f>IF(N156="","",VLOOKUP(B156,'C-1 On-Site WaterC'' Baseline'!$C$10:$AC$257,20,FALSE))</f>
        <v/>
      </c>
      <c r="R156" s="290" t="str">
        <f>IF(N156="","",VLOOKUP(N156,'G-7 WaterC'' Data'!$B$2:$G$8,2,FALSE))</f>
        <v/>
      </c>
      <c r="S156" s="291" t="str">
        <f>IFERROR(VLOOKUP(R156,'G-7 WaterC'' Data'!$C$4:$D$8,2,FALSE),"")</f>
        <v/>
      </c>
      <c r="T156" s="95"/>
      <c r="U156" s="291" t="str">
        <f>IFERROR(INDEX('G-7 WaterC'' Data'!$H$4:$L$8,MATCH(N156,'G-7 WaterC'' Data'!$B$4:$B$8,0),MATCH(T156,'G-7 WaterC'' Data'!$H$3:$L$3,0)),"")</f>
        <v/>
      </c>
      <c r="V156" s="95"/>
      <c r="W156" s="298" t="str">
        <f>IF(V156="","",IF(VLOOKUP(V156,'G-7 WaterC'' Data'!$AK$4:$AM$6,2,FALSE)=0,"Spatial Data Missing ⚠",VLOOKUP(V156,'G-7 WaterC'' Data'!$AK$4:$AM$6,2,FALSE)))</f>
        <v/>
      </c>
      <c r="X156" s="291" t="str">
        <f>IF(V156="","",IF(VLOOKUP(V156,'G-7 WaterC'' Data'!$AK$4:$AM$6,3,FALSE)=0,"Spatial Data Missing ⚠",VLOOKUP(V156,'G-7 WaterC'' Data'!$AK$4:$AM$6,3,FALSE)))</f>
        <v/>
      </c>
      <c r="Y156" s="290" t="str">
        <f>IFERROR(IF(OR(LEFT(P156,5)="Error",LEFT(O156,5)="Error ▲"),"Check Data ⚠",IF(F156&lt;S156,'G-7 WaterC'' Data'!$R$3,INDEX('G-7 WaterC'' Data'!$U$5:$Y$9,MATCH(G156,'G-7 WaterC'' Data'!$T$5:$T$9,0),MATCH(T156,'G-7 WaterC'' Data'!$U$4:$Y$4,0)))),"")</f>
        <v/>
      </c>
      <c r="Z156" s="138"/>
      <c r="AA156" s="138"/>
      <c r="AB156" s="298" t="str">
        <f t="shared" si="21"/>
        <v/>
      </c>
      <c r="AC156" s="311" t="str">
        <f t="shared" si="22"/>
        <v/>
      </c>
      <c r="AD156" s="344" t="str">
        <f>IFERROR(IF(AC156="Check Data ⚠","Check Data ⚠",VLOOKUP(AC156,'G-4 Temporal multipliers'!$A$4:$C$37,3,FALSE)),"")</f>
        <v/>
      </c>
      <c r="AE156" s="290" t="str">
        <f>IF(N156="","",VLOOKUP(N156,'G-7 WaterC'' Data'!$B$4:$G$8,5,FALSE))</f>
        <v/>
      </c>
      <c r="AF156" s="298" t="str">
        <f t="shared" si="23"/>
        <v/>
      </c>
      <c r="AG156" s="328" t="str">
        <f t="shared" si="24"/>
        <v/>
      </c>
      <c r="AH156" s="291" t="str">
        <f t="shared" si="18"/>
        <v/>
      </c>
      <c r="AI156" s="103"/>
      <c r="AJ156" s="291" t="str">
        <f>IF(AI156="","",IF(AND(AI156="N/A - Culvert",N156&lt;&gt;"Culvert"),"Not possible ▲",IF(VLOOKUP(AI156,'G-7 WaterC'' Data'!$AA$4:$AB$7,2,FALSE)=0,"Spatial Data Missing ⚠",VLOOKUP(AI156,'G-7 WaterC'' Data'!$AA$4:$AB$7,2,FALSE))))</f>
        <v/>
      </c>
      <c r="AK156" s="104"/>
      <c r="AL156" s="291" t="str">
        <f>IF(AK156="","",IF(AND(AK156="N/A - Culvert",N156&lt;&gt;"Culvert"),"Not possible ▲",IF(VLOOKUP(AK156,'G-7 WaterC'' Data'!$AD$4:$AE$14,2,FALSE)=0,"Spatial Data Missing ⚠",VLOOKUP(AK156,'G-7 WaterC'' Data'!$AD$4:$AE$14,2,FALSE))))</f>
        <v/>
      </c>
      <c r="AM156" s="332" t="str">
        <f t="shared" si="25"/>
        <v/>
      </c>
      <c r="AN156" s="98"/>
      <c r="AO156" s="99"/>
      <c r="AP156" s="101"/>
      <c r="AS156" s="15" t="str">
        <f>IF(B156="","",IF(ISNA(VLOOKUP($B156,'C-1 On-Site WaterC'' Baseline'!$C$8:$AD$257,17,FALSE)),"",(VLOOKUP($B156,'C-1 On-Site WaterC'' Baseline'!$C$8:$AD$257,17,FALSE))))</f>
        <v/>
      </c>
      <c r="AT156" s="15" t="str">
        <f>IF(B156="","",VLOOKUP($B156,'C-1 On-Site WaterC'' Baseline'!$C$9:$Z$257,12,FALSE))</f>
        <v/>
      </c>
      <c r="AU156" s="15" t="str">
        <f>IF(B156="","",VLOOKUP($B156,'C-1 On-Site WaterC'' Baseline'!$C$9:$Z$257,14,FALSE))</f>
        <v/>
      </c>
      <c r="AV156" s="15" t="str">
        <f>IFERROR(INDEX('G-7 WaterC'' Data'!$AZ$3:$AZ$7,MATCH(N156,'G-7 WaterC'' Data'!$AY$3:$AY$7,0)),"")</f>
        <v/>
      </c>
      <c r="AX156" s="15" t="str">
        <f>IF(B156="","",VLOOKUP($B156,'C-1 On-Site WaterC'' Baseline'!$C$9:$Y$257,22,FALSE))</f>
        <v/>
      </c>
      <c r="AY156" s="15" t="str">
        <f t="shared" si="26"/>
        <v/>
      </c>
      <c r="AZ156" s="15" t="str">
        <f>IF(B156="","",VLOOKUP($B156,'C-1 On-Site WaterC'' Baseline'!$C$9:$Y$257,21,FALSE))</f>
        <v/>
      </c>
      <c r="BA156" s="15" t="str">
        <f>IF(B156="","",VLOOKUP($B156,'C-1 On-Site WaterC'' Baseline'!$C$9:$Y$257,19,FALSE))</f>
        <v/>
      </c>
    </row>
    <row r="157" spans="2:53" ht="14" x14ac:dyDescent="0.3">
      <c r="B157" s="319" t="str">
        <f>'C-1 On-Site WaterC'' Baseline'!AP155</f>
        <v/>
      </c>
      <c r="C157" s="310" t="str">
        <f>IF(B157="","",VLOOKUP($B157,'C-1 On-Site WaterC'' Baseline'!$C$9:$R$257,2,FALSE))</f>
        <v/>
      </c>
      <c r="D157" s="310" t="str">
        <f>IF(C157="","",VLOOKUP($B157,'C-1 On-Site WaterC'' Baseline'!$C$9:$R$257,3,FALSE))</f>
        <v/>
      </c>
      <c r="E157" s="310" t="str">
        <f>IF(D157="","",VLOOKUP($B157,'C-1 On-Site WaterC'' Baseline'!$C$9:$R$257,4,FALSE))</f>
        <v/>
      </c>
      <c r="F157" s="310" t="str">
        <f>IF(E157="","",VLOOKUP($B157,'C-1 On-Site WaterC'' Baseline'!$C$9:$R$257,5,FALSE))</f>
        <v/>
      </c>
      <c r="G157" s="310" t="str">
        <f>IF(F157="","",VLOOKUP($B157,'C-1 On-Site WaterC'' Baseline'!$C$9:$R$257,6,FALSE))</f>
        <v/>
      </c>
      <c r="H157" s="310" t="str">
        <f>IF(G157="","",VLOOKUP($B157,'C-1 On-Site WaterC'' Baseline'!$C$9:$R$257,7,FALSE))</f>
        <v/>
      </c>
      <c r="I157" s="310" t="str">
        <f>IF(H157="","",VLOOKUP($B157,'C-1 On-Site WaterC'' Baseline'!$C$9:$R$257,8,FALSE))</f>
        <v/>
      </c>
      <c r="J157" s="310" t="str">
        <f>IF(I157="","",VLOOKUP($B157,'C-1 On-Site WaterC'' Baseline'!$C$9:$R$257,9,FALSE))</f>
        <v/>
      </c>
      <c r="K157" s="310" t="str">
        <f>IF(J157="","",VLOOKUP($B157,'C-1 On-Site WaterC'' Baseline'!$C$9:$R$257,10,FALSE))</f>
        <v/>
      </c>
      <c r="L157" s="310" t="str">
        <f>IF(B157="","",VLOOKUP($B157,'C-1 On-Site WaterC'' Baseline'!$C$9:$R$257,15,FALSE))</f>
        <v/>
      </c>
      <c r="M157" s="314" t="str">
        <f>IF(L157="","",VLOOKUP($B157,'C-1 On-Site WaterC'' Baseline'!$C$9:$R$257,16,FALSE))</f>
        <v/>
      </c>
      <c r="N157" s="259"/>
      <c r="O157" s="290" t="str">
        <f t="shared" si="19"/>
        <v/>
      </c>
      <c r="P157" s="291" t="str">
        <f t="shared" si="20"/>
        <v/>
      </c>
      <c r="Q157" s="346" t="str">
        <f>IF(N157="","",VLOOKUP(B157,'C-1 On-Site WaterC'' Baseline'!$C$10:$AC$257,20,FALSE))</f>
        <v/>
      </c>
      <c r="R157" s="290" t="str">
        <f>IF(N157="","",VLOOKUP(N157,'G-7 WaterC'' Data'!$B$2:$G$8,2,FALSE))</f>
        <v/>
      </c>
      <c r="S157" s="291" t="str">
        <f>IFERROR(VLOOKUP(R157,'G-7 WaterC'' Data'!$C$4:$D$8,2,FALSE),"")</f>
        <v/>
      </c>
      <c r="T157" s="95"/>
      <c r="U157" s="291" t="str">
        <f>IFERROR(INDEX('G-7 WaterC'' Data'!$H$4:$L$8,MATCH(N157,'G-7 WaterC'' Data'!$B$4:$B$8,0),MATCH(T157,'G-7 WaterC'' Data'!$H$3:$L$3,0)),"")</f>
        <v/>
      </c>
      <c r="V157" s="95"/>
      <c r="W157" s="298" t="str">
        <f>IF(V157="","",IF(VLOOKUP(V157,'G-7 WaterC'' Data'!$AK$4:$AM$6,2,FALSE)=0,"Spatial Data Missing ⚠",VLOOKUP(V157,'G-7 WaterC'' Data'!$AK$4:$AM$6,2,FALSE)))</f>
        <v/>
      </c>
      <c r="X157" s="291" t="str">
        <f>IF(V157="","",IF(VLOOKUP(V157,'G-7 WaterC'' Data'!$AK$4:$AM$6,3,FALSE)=0,"Spatial Data Missing ⚠",VLOOKUP(V157,'G-7 WaterC'' Data'!$AK$4:$AM$6,3,FALSE)))</f>
        <v/>
      </c>
      <c r="Y157" s="290" t="str">
        <f>IFERROR(IF(OR(LEFT(P157,5)="Error",LEFT(O157,5)="Error ▲"),"Check Data ⚠",IF(F157&lt;S157,'G-7 WaterC'' Data'!$R$3,INDEX('G-7 WaterC'' Data'!$U$5:$Y$9,MATCH(G157,'G-7 WaterC'' Data'!$T$5:$T$9,0),MATCH(T157,'G-7 WaterC'' Data'!$U$4:$Y$4,0)))),"")</f>
        <v/>
      </c>
      <c r="Z157" s="138"/>
      <c r="AA157" s="138"/>
      <c r="AB157" s="298" t="str">
        <f t="shared" si="21"/>
        <v/>
      </c>
      <c r="AC157" s="311" t="str">
        <f t="shared" si="22"/>
        <v/>
      </c>
      <c r="AD157" s="344" t="str">
        <f>IFERROR(IF(AC157="Check Data ⚠","Check Data ⚠",VLOOKUP(AC157,'G-4 Temporal multipliers'!$A$4:$C$37,3,FALSE)),"")</f>
        <v/>
      </c>
      <c r="AE157" s="290" t="str">
        <f>IF(N157="","",VLOOKUP(N157,'G-7 WaterC'' Data'!$B$4:$G$8,5,FALSE))</f>
        <v/>
      </c>
      <c r="AF157" s="298" t="str">
        <f t="shared" si="23"/>
        <v/>
      </c>
      <c r="AG157" s="328" t="str">
        <f t="shared" si="24"/>
        <v/>
      </c>
      <c r="AH157" s="291" t="str">
        <f t="shared" si="18"/>
        <v/>
      </c>
      <c r="AI157" s="103"/>
      <c r="AJ157" s="291" t="str">
        <f>IF(AI157="","",IF(AND(AI157="N/A - Culvert",N157&lt;&gt;"Culvert"),"Not possible ▲",IF(VLOOKUP(AI157,'G-7 WaterC'' Data'!$AA$4:$AB$7,2,FALSE)=0,"Spatial Data Missing ⚠",VLOOKUP(AI157,'G-7 WaterC'' Data'!$AA$4:$AB$7,2,FALSE))))</f>
        <v/>
      </c>
      <c r="AK157" s="104"/>
      <c r="AL157" s="291" t="str">
        <f>IF(AK157="","",IF(AND(AK157="N/A - Culvert",N157&lt;&gt;"Culvert"),"Not possible ▲",IF(VLOOKUP(AK157,'G-7 WaterC'' Data'!$AD$4:$AE$14,2,FALSE)=0,"Spatial Data Missing ⚠",VLOOKUP(AK157,'G-7 WaterC'' Data'!$AD$4:$AE$14,2,FALSE))))</f>
        <v/>
      </c>
      <c r="AM157" s="332" t="str">
        <f t="shared" si="25"/>
        <v/>
      </c>
      <c r="AN157" s="98"/>
      <c r="AO157" s="99"/>
      <c r="AP157" s="101"/>
      <c r="AS157" s="15" t="str">
        <f>IF(B157="","",IF(ISNA(VLOOKUP($B157,'C-1 On-Site WaterC'' Baseline'!$C$8:$AD$257,17,FALSE)),"",(VLOOKUP($B157,'C-1 On-Site WaterC'' Baseline'!$C$8:$AD$257,17,FALSE))))</f>
        <v/>
      </c>
      <c r="AT157" s="15" t="str">
        <f>IF(B157="","",VLOOKUP($B157,'C-1 On-Site WaterC'' Baseline'!$C$9:$Z$257,12,FALSE))</f>
        <v/>
      </c>
      <c r="AU157" s="15" t="str">
        <f>IF(B157="","",VLOOKUP($B157,'C-1 On-Site WaterC'' Baseline'!$C$9:$Z$257,14,FALSE))</f>
        <v/>
      </c>
      <c r="AV157" s="15" t="str">
        <f>IFERROR(INDEX('G-7 WaterC'' Data'!$AZ$3:$AZ$7,MATCH(N157,'G-7 WaterC'' Data'!$AY$3:$AY$7,0)),"")</f>
        <v/>
      </c>
      <c r="AX157" s="15" t="str">
        <f>IF(B157="","",VLOOKUP($B157,'C-1 On-Site WaterC'' Baseline'!$C$9:$Y$257,22,FALSE))</f>
        <v/>
      </c>
      <c r="AY157" s="15" t="str">
        <f t="shared" si="26"/>
        <v/>
      </c>
      <c r="AZ157" s="15" t="str">
        <f>IF(B157="","",VLOOKUP($B157,'C-1 On-Site WaterC'' Baseline'!$C$9:$Y$257,21,FALSE))</f>
        <v/>
      </c>
      <c r="BA157" s="15" t="str">
        <f>IF(B157="","",VLOOKUP($B157,'C-1 On-Site WaterC'' Baseline'!$C$9:$Y$257,19,FALSE))</f>
        <v/>
      </c>
    </row>
    <row r="158" spans="2:53" ht="14" x14ac:dyDescent="0.3">
      <c r="B158" s="319" t="str">
        <f>'C-1 On-Site WaterC'' Baseline'!AP156</f>
        <v/>
      </c>
      <c r="C158" s="310" t="str">
        <f>IF(B158="","",VLOOKUP($B158,'C-1 On-Site WaterC'' Baseline'!$C$9:$R$257,2,FALSE))</f>
        <v/>
      </c>
      <c r="D158" s="310" t="str">
        <f>IF(C158="","",VLOOKUP($B158,'C-1 On-Site WaterC'' Baseline'!$C$9:$R$257,3,FALSE))</f>
        <v/>
      </c>
      <c r="E158" s="310" t="str">
        <f>IF(D158="","",VLOOKUP($B158,'C-1 On-Site WaterC'' Baseline'!$C$9:$R$257,4,FALSE))</f>
        <v/>
      </c>
      <c r="F158" s="310" t="str">
        <f>IF(E158="","",VLOOKUP($B158,'C-1 On-Site WaterC'' Baseline'!$C$9:$R$257,5,FALSE))</f>
        <v/>
      </c>
      <c r="G158" s="310" t="str">
        <f>IF(F158="","",VLOOKUP($B158,'C-1 On-Site WaterC'' Baseline'!$C$9:$R$257,6,FALSE))</f>
        <v/>
      </c>
      <c r="H158" s="310" t="str">
        <f>IF(G158="","",VLOOKUP($B158,'C-1 On-Site WaterC'' Baseline'!$C$9:$R$257,7,FALSE))</f>
        <v/>
      </c>
      <c r="I158" s="310" t="str">
        <f>IF(H158="","",VLOOKUP($B158,'C-1 On-Site WaterC'' Baseline'!$C$9:$R$257,8,FALSE))</f>
        <v/>
      </c>
      <c r="J158" s="310" t="str">
        <f>IF(I158="","",VLOOKUP($B158,'C-1 On-Site WaterC'' Baseline'!$C$9:$R$257,9,FALSE))</f>
        <v/>
      </c>
      <c r="K158" s="310" t="str">
        <f>IF(J158="","",VLOOKUP($B158,'C-1 On-Site WaterC'' Baseline'!$C$9:$R$257,10,FALSE))</f>
        <v/>
      </c>
      <c r="L158" s="310" t="str">
        <f>IF(B158="","",VLOOKUP($B158,'C-1 On-Site WaterC'' Baseline'!$C$9:$R$257,15,FALSE))</f>
        <v/>
      </c>
      <c r="M158" s="314" t="str">
        <f>IF(L158="","",VLOOKUP($B158,'C-1 On-Site WaterC'' Baseline'!$C$9:$R$257,16,FALSE))</f>
        <v/>
      </c>
      <c r="N158" s="259"/>
      <c r="O158" s="290" t="str">
        <f t="shared" si="19"/>
        <v/>
      </c>
      <c r="P158" s="291" t="str">
        <f t="shared" si="20"/>
        <v/>
      </c>
      <c r="Q158" s="346" t="str">
        <f>IF(N158="","",VLOOKUP(B158,'C-1 On-Site WaterC'' Baseline'!$C$10:$AC$257,20,FALSE))</f>
        <v/>
      </c>
      <c r="R158" s="290" t="str">
        <f>IF(N158="","",VLOOKUP(N158,'G-7 WaterC'' Data'!$B$2:$G$8,2,FALSE))</f>
        <v/>
      </c>
      <c r="S158" s="291" t="str">
        <f>IFERROR(VLOOKUP(R158,'G-7 WaterC'' Data'!$C$4:$D$8,2,FALSE),"")</f>
        <v/>
      </c>
      <c r="T158" s="95"/>
      <c r="U158" s="291" t="str">
        <f>IFERROR(INDEX('G-7 WaterC'' Data'!$H$4:$L$8,MATCH(N158,'G-7 WaterC'' Data'!$B$4:$B$8,0),MATCH(T158,'G-7 WaterC'' Data'!$H$3:$L$3,0)),"")</f>
        <v/>
      </c>
      <c r="V158" s="95"/>
      <c r="W158" s="298" t="str">
        <f>IF(V158="","",IF(VLOOKUP(V158,'G-7 WaterC'' Data'!$AK$4:$AM$6,2,FALSE)=0,"Spatial Data Missing ⚠",VLOOKUP(V158,'G-7 WaterC'' Data'!$AK$4:$AM$6,2,FALSE)))</f>
        <v/>
      </c>
      <c r="X158" s="291" t="str">
        <f>IF(V158="","",IF(VLOOKUP(V158,'G-7 WaterC'' Data'!$AK$4:$AM$6,3,FALSE)=0,"Spatial Data Missing ⚠",VLOOKUP(V158,'G-7 WaterC'' Data'!$AK$4:$AM$6,3,FALSE)))</f>
        <v/>
      </c>
      <c r="Y158" s="290" t="str">
        <f>IFERROR(IF(OR(LEFT(P158,5)="Error",LEFT(O158,5)="Error ▲"),"Check Data ⚠",IF(F158&lt;S158,'G-7 WaterC'' Data'!$R$3,INDEX('G-7 WaterC'' Data'!$U$5:$Y$9,MATCH(G158,'G-7 WaterC'' Data'!$T$5:$T$9,0),MATCH(T158,'G-7 WaterC'' Data'!$U$4:$Y$4,0)))),"")</f>
        <v/>
      </c>
      <c r="Z158" s="138"/>
      <c r="AA158" s="138"/>
      <c r="AB158" s="298" t="str">
        <f t="shared" si="21"/>
        <v/>
      </c>
      <c r="AC158" s="311" t="str">
        <f t="shared" si="22"/>
        <v/>
      </c>
      <c r="AD158" s="344" t="str">
        <f>IFERROR(IF(AC158="Check Data ⚠","Check Data ⚠",VLOOKUP(AC158,'G-4 Temporal multipliers'!$A$4:$C$37,3,FALSE)),"")</f>
        <v/>
      </c>
      <c r="AE158" s="290" t="str">
        <f>IF(N158="","",VLOOKUP(N158,'G-7 WaterC'' Data'!$B$4:$G$8,5,FALSE))</f>
        <v/>
      </c>
      <c r="AF158" s="298" t="str">
        <f t="shared" si="23"/>
        <v/>
      </c>
      <c r="AG158" s="328" t="str">
        <f t="shared" si="24"/>
        <v/>
      </c>
      <c r="AH158" s="291" t="str">
        <f t="shared" si="18"/>
        <v/>
      </c>
      <c r="AI158" s="103"/>
      <c r="AJ158" s="291" t="str">
        <f>IF(AI158="","",IF(AND(AI158="N/A - Culvert",N158&lt;&gt;"Culvert"),"Not possible ▲",IF(VLOOKUP(AI158,'G-7 WaterC'' Data'!$AA$4:$AB$7,2,FALSE)=0,"Spatial Data Missing ⚠",VLOOKUP(AI158,'G-7 WaterC'' Data'!$AA$4:$AB$7,2,FALSE))))</f>
        <v/>
      </c>
      <c r="AK158" s="104"/>
      <c r="AL158" s="291" t="str">
        <f>IF(AK158="","",IF(AND(AK158="N/A - Culvert",N158&lt;&gt;"Culvert"),"Not possible ▲",IF(VLOOKUP(AK158,'G-7 WaterC'' Data'!$AD$4:$AE$14,2,FALSE)=0,"Spatial Data Missing ⚠",VLOOKUP(AK158,'G-7 WaterC'' Data'!$AD$4:$AE$14,2,FALSE))))</f>
        <v/>
      </c>
      <c r="AM158" s="332" t="str">
        <f t="shared" si="25"/>
        <v/>
      </c>
      <c r="AN158" s="98"/>
      <c r="AO158" s="99"/>
      <c r="AP158" s="101"/>
      <c r="AS158" s="15" t="str">
        <f>IF(B158="","",IF(ISNA(VLOOKUP($B158,'C-1 On-Site WaterC'' Baseline'!$C$8:$AD$257,17,FALSE)),"",(VLOOKUP($B158,'C-1 On-Site WaterC'' Baseline'!$C$8:$AD$257,17,FALSE))))</f>
        <v/>
      </c>
      <c r="AT158" s="15" t="str">
        <f>IF(B158="","",VLOOKUP($B158,'C-1 On-Site WaterC'' Baseline'!$C$9:$Z$257,12,FALSE))</f>
        <v/>
      </c>
      <c r="AU158" s="15" t="str">
        <f>IF(B158="","",VLOOKUP($B158,'C-1 On-Site WaterC'' Baseline'!$C$9:$Z$257,14,FALSE))</f>
        <v/>
      </c>
      <c r="AV158" s="15" t="str">
        <f>IFERROR(INDEX('G-7 WaterC'' Data'!$AZ$3:$AZ$7,MATCH(N158,'G-7 WaterC'' Data'!$AY$3:$AY$7,0)),"")</f>
        <v/>
      </c>
      <c r="AX158" s="15" t="str">
        <f>IF(B158="","",VLOOKUP($B158,'C-1 On-Site WaterC'' Baseline'!$C$9:$Y$257,22,FALSE))</f>
        <v/>
      </c>
      <c r="AY158" s="15" t="str">
        <f t="shared" si="26"/>
        <v/>
      </c>
      <c r="AZ158" s="15" t="str">
        <f>IF(B158="","",VLOOKUP($B158,'C-1 On-Site WaterC'' Baseline'!$C$9:$Y$257,21,FALSE))</f>
        <v/>
      </c>
      <c r="BA158" s="15" t="str">
        <f>IF(B158="","",VLOOKUP($B158,'C-1 On-Site WaterC'' Baseline'!$C$9:$Y$257,19,FALSE))</f>
        <v/>
      </c>
    </row>
    <row r="159" spans="2:53" ht="14" x14ac:dyDescent="0.3">
      <c r="B159" s="319" t="str">
        <f>'C-1 On-Site WaterC'' Baseline'!AP157</f>
        <v/>
      </c>
      <c r="C159" s="310" t="str">
        <f>IF(B159="","",VLOOKUP($B159,'C-1 On-Site WaterC'' Baseline'!$C$9:$R$257,2,FALSE))</f>
        <v/>
      </c>
      <c r="D159" s="310" t="str">
        <f>IF(C159="","",VLOOKUP($B159,'C-1 On-Site WaterC'' Baseline'!$C$9:$R$257,3,FALSE))</f>
        <v/>
      </c>
      <c r="E159" s="310" t="str">
        <f>IF(D159="","",VLOOKUP($B159,'C-1 On-Site WaterC'' Baseline'!$C$9:$R$257,4,FALSE))</f>
        <v/>
      </c>
      <c r="F159" s="310" t="str">
        <f>IF(E159="","",VLOOKUP($B159,'C-1 On-Site WaterC'' Baseline'!$C$9:$R$257,5,FALSE))</f>
        <v/>
      </c>
      <c r="G159" s="310" t="str">
        <f>IF(F159="","",VLOOKUP($B159,'C-1 On-Site WaterC'' Baseline'!$C$9:$R$257,6,FALSE))</f>
        <v/>
      </c>
      <c r="H159" s="310" t="str">
        <f>IF(G159="","",VLOOKUP($B159,'C-1 On-Site WaterC'' Baseline'!$C$9:$R$257,7,FALSE))</f>
        <v/>
      </c>
      <c r="I159" s="310" t="str">
        <f>IF(H159="","",VLOOKUP($B159,'C-1 On-Site WaterC'' Baseline'!$C$9:$R$257,8,FALSE))</f>
        <v/>
      </c>
      <c r="J159" s="310" t="str">
        <f>IF(I159="","",VLOOKUP($B159,'C-1 On-Site WaterC'' Baseline'!$C$9:$R$257,9,FALSE))</f>
        <v/>
      </c>
      <c r="K159" s="310" t="str">
        <f>IF(J159="","",VLOOKUP($B159,'C-1 On-Site WaterC'' Baseline'!$C$9:$R$257,10,FALSE))</f>
        <v/>
      </c>
      <c r="L159" s="310" t="str">
        <f>IF(B159="","",VLOOKUP($B159,'C-1 On-Site WaterC'' Baseline'!$C$9:$R$257,15,FALSE))</f>
        <v/>
      </c>
      <c r="M159" s="314" t="str">
        <f>IF(L159="","",VLOOKUP($B159,'C-1 On-Site WaterC'' Baseline'!$C$9:$R$257,16,FALSE))</f>
        <v/>
      </c>
      <c r="N159" s="259"/>
      <c r="O159" s="290" t="str">
        <f t="shared" si="19"/>
        <v/>
      </c>
      <c r="P159" s="291" t="str">
        <f t="shared" si="20"/>
        <v/>
      </c>
      <c r="Q159" s="346" t="str">
        <f>IF(N159="","",VLOOKUP(B159,'C-1 On-Site WaterC'' Baseline'!$C$10:$AC$257,20,FALSE))</f>
        <v/>
      </c>
      <c r="R159" s="290" t="str">
        <f>IF(N159="","",VLOOKUP(N159,'G-7 WaterC'' Data'!$B$2:$G$8,2,FALSE))</f>
        <v/>
      </c>
      <c r="S159" s="291" t="str">
        <f>IFERROR(VLOOKUP(R159,'G-7 WaterC'' Data'!$C$4:$D$8,2,FALSE),"")</f>
        <v/>
      </c>
      <c r="T159" s="95"/>
      <c r="U159" s="291" t="str">
        <f>IFERROR(INDEX('G-7 WaterC'' Data'!$H$4:$L$8,MATCH(N159,'G-7 WaterC'' Data'!$B$4:$B$8,0),MATCH(T159,'G-7 WaterC'' Data'!$H$3:$L$3,0)),"")</f>
        <v/>
      </c>
      <c r="V159" s="95"/>
      <c r="W159" s="298" t="str">
        <f>IF(V159="","",IF(VLOOKUP(V159,'G-7 WaterC'' Data'!$AK$4:$AM$6,2,FALSE)=0,"Spatial Data Missing ⚠",VLOOKUP(V159,'G-7 WaterC'' Data'!$AK$4:$AM$6,2,FALSE)))</f>
        <v/>
      </c>
      <c r="X159" s="291" t="str">
        <f>IF(V159="","",IF(VLOOKUP(V159,'G-7 WaterC'' Data'!$AK$4:$AM$6,3,FALSE)=0,"Spatial Data Missing ⚠",VLOOKUP(V159,'G-7 WaterC'' Data'!$AK$4:$AM$6,3,FALSE)))</f>
        <v/>
      </c>
      <c r="Y159" s="290" t="str">
        <f>IFERROR(IF(OR(LEFT(P159,5)="Error",LEFT(O159,5)="Error ▲"),"Check Data ⚠",IF(F159&lt;S159,'G-7 WaterC'' Data'!$R$3,INDEX('G-7 WaterC'' Data'!$U$5:$Y$9,MATCH(G159,'G-7 WaterC'' Data'!$T$5:$T$9,0),MATCH(T159,'G-7 WaterC'' Data'!$U$4:$Y$4,0)))),"")</f>
        <v/>
      </c>
      <c r="Z159" s="138"/>
      <c r="AA159" s="138"/>
      <c r="AB159" s="298" t="str">
        <f t="shared" si="21"/>
        <v/>
      </c>
      <c r="AC159" s="311" t="str">
        <f t="shared" si="22"/>
        <v/>
      </c>
      <c r="AD159" s="344" t="str">
        <f>IFERROR(IF(AC159="Check Data ⚠","Check Data ⚠",VLOOKUP(AC159,'G-4 Temporal multipliers'!$A$4:$C$37,3,FALSE)),"")</f>
        <v/>
      </c>
      <c r="AE159" s="290" t="str">
        <f>IF(N159="","",VLOOKUP(N159,'G-7 WaterC'' Data'!$B$4:$G$8,5,FALSE))</f>
        <v/>
      </c>
      <c r="AF159" s="298" t="str">
        <f t="shared" si="23"/>
        <v/>
      </c>
      <c r="AG159" s="328" t="str">
        <f t="shared" si="24"/>
        <v/>
      </c>
      <c r="AH159" s="291" t="str">
        <f t="shared" si="18"/>
        <v/>
      </c>
      <c r="AI159" s="103"/>
      <c r="AJ159" s="291" t="str">
        <f>IF(AI159="","",IF(AND(AI159="N/A - Culvert",N159&lt;&gt;"Culvert"),"Not possible ▲",IF(VLOOKUP(AI159,'G-7 WaterC'' Data'!$AA$4:$AB$7,2,FALSE)=0,"Spatial Data Missing ⚠",VLOOKUP(AI159,'G-7 WaterC'' Data'!$AA$4:$AB$7,2,FALSE))))</f>
        <v/>
      </c>
      <c r="AK159" s="104"/>
      <c r="AL159" s="291" t="str">
        <f>IF(AK159="","",IF(AND(AK159="N/A - Culvert",N159&lt;&gt;"Culvert"),"Not possible ▲",IF(VLOOKUP(AK159,'G-7 WaterC'' Data'!$AD$4:$AE$14,2,FALSE)=0,"Spatial Data Missing ⚠",VLOOKUP(AK159,'G-7 WaterC'' Data'!$AD$4:$AE$14,2,FALSE))))</f>
        <v/>
      </c>
      <c r="AM159" s="332" t="str">
        <f t="shared" si="25"/>
        <v/>
      </c>
      <c r="AN159" s="98"/>
      <c r="AO159" s="99"/>
      <c r="AP159" s="101"/>
      <c r="AS159" s="15" t="str">
        <f>IF(B159="","",IF(ISNA(VLOOKUP($B159,'C-1 On-Site WaterC'' Baseline'!$C$8:$AD$257,17,FALSE)),"",(VLOOKUP($B159,'C-1 On-Site WaterC'' Baseline'!$C$8:$AD$257,17,FALSE))))</f>
        <v/>
      </c>
      <c r="AT159" s="15" t="str">
        <f>IF(B159="","",VLOOKUP($B159,'C-1 On-Site WaterC'' Baseline'!$C$9:$Z$257,12,FALSE))</f>
        <v/>
      </c>
      <c r="AU159" s="15" t="str">
        <f>IF(B159="","",VLOOKUP($B159,'C-1 On-Site WaterC'' Baseline'!$C$9:$Z$257,14,FALSE))</f>
        <v/>
      </c>
      <c r="AV159" s="15" t="str">
        <f>IFERROR(INDEX('G-7 WaterC'' Data'!$AZ$3:$AZ$7,MATCH(N159,'G-7 WaterC'' Data'!$AY$3:$AY$7,0)),"")</f>
        <v/>
      </c>
      <c r="AX159" s="15" t="str">
        <f>IF(B159="","",VLOOKUP($B159,'C-1 On-Site WaterC'' Baseline'!$C$9:$Y$257,22,FALSE))</f>
        <v/>
      </c>
      <c r="AY159" s="15" t="str">
        <f t="shared" si="26"/>
        <v/>
      </c>
      <c r="AZ159" s="15" t="str">
        <f>IF(B159="","",VLOOKUP($B159,'C-1 On-Site WaterC'' Baseline'!$C$9:$Y$257,21,FALSE))</f>
        <v/>
      </c>
      <c r="BA159" s="15" t="str">
        <f>IF(B159="","",VLOOKUP($B159,'C-1 On-Site WaterC'' Baseline'!$C$9:$Y$257,19,FALSE))</f>
        <v/>
      </c>
    </row>
    <row r="160" spans="2:53" ht="14" x14ac:dyDescent="0.3">
      <c r="B160" s="319" t="str">
        <f>'C-1 On-Site WaterC'' Baseline'!AP158</f>
        <v/>
      </c>
      <c r="C160" s="310" t="str">
        <f>IF(B160="","",VLOOKUP($B160,'C-1 On-Site WaterC'' Baseline'!$C$9:$R$257,2,FALSE))</f>
        <v/>
      </c>
      <c r="D160" s="310" t="str">
        <f>IF(C160="","",VLOOKUP($B160,'C-1 On-Site WaterC'' Baseline'!$C$9:$R$257,3,FALSE))</f>
        <v/>
      </c>
      <c r="E160" s="310" t="str">
        <f>IF(D160="","",VLOOKUP($B160,'C-1 On-Site WaterC'' Baseline'!$C$9:$R$257,4,FALSE))</f>
        <v/>
      </c>
      <c r="F160" s="310" t="str">
        <f>IF(E160="","",VLOOKUP($B160,'C-1 On-Site WaterC'' Baseline'!$C$9:$R$257,5,FALSE))</f>
        <v/>
      </c>
      <c r="G160" s="310" t="str">
        <f>IF(F160="","",VLOOKUP($B160,'C-1 On-Site WaterC'' Baseline'!$C$9:$R$257,6,FALSE))</f>
        <v/>
      </c>
      <c r="H160" s="310" t="str">
        <f>IF(G160="","",VLOOKUP($B160,'C-1 On-Site WaterC'' Baseline'!$C$9:$R$257,7,FALSE))</f>
        <v/>
      </c>
      <c r="I160" s="310" t="str">
        <f>IF(H160="","",VLOOKUP($B160,'C-1 On-Site WaterC'' Baseline'!$C$9:$R$257,8,FALSE))</f>
        <v/>
      </c>
      <c r="J160" s="310" t="str">
        <f>IF(I160="","",VLOOKUP($B160,'C-1 On-Site WaterC'' Baseline'!$C$9:$R$257,9,FALSE))</f>
        <v/>
      </c>
      <c r="K160" s="310" t="str">
        <f>IF(J160="","",VLOOKUP($B160,'C-1 On-Site WaterC'' Baseline'!$C$9:$R$257,10,FALSE))</f>
        <v/>
      </c>
      <c r="L160" s="310" t="str">
        <f>IF(B160="","",VLOOKUP($B160,'C-1 On-Site WaterC'' Baseline'!$C$9:$R$257,15,FALSE))</f>
        <v/>
      </c>
      <c r="M160" s="314" t="str">
        <f>IF(L160="","",VLOOKUP($B160,'C-1 On-Site WaterC'' Baseline'!$C$9:$R$257,16,FALSE))</f>
        <v/>
      </c>
      <c r="N160" s="259"/>
      <c r="O160" s="290" t="str">
        <f t="shared" si="19"/>
        <v/>
      </c>
      <c r="P160" s="291" t="str">
        <f t="shared" si="20"/>
        <v/>
      </c>
      <c r="Q160" s="346" t="str">
        <f>IF(N160="","",VLOOKUP(B160,'C-1 On-Site WaterC'' Baseline'!$C$10:$AC$257,20,FALSE))</f>
        <v/>
      </c>
      <c r="R160" s="290" t="str">
        <f>IF(N160="","",VLOOKUP(N160,'G-7 WaterC'' Data'!$B$2:$G$8,2,FALSE))</f>
        <v/>
      </c>
      <c r="S160" s="291" t="str">
        <f>IFERROR(VLOOKUP(R160,'G-7 WaterC'' Data'!$C$4:$D$8,2,FALSE),"")</f>
        <v/>
      </c>
      <c r="T160" s="95"/>
      <c r="U160" s="291" t="str">
        <f>IFERROR(INDEX('G-7 WaterC'' Data'!$H$4:$L$8,MATCH(N160,'G-7 WaterC'' Data'!$B$4:$B$8,0),MATCH(T160,'G-7 WaterC'' Data'!$H$3:$L$3,0)),"")</f>
        <v/>
      </c>
      <c r="V160" s="95"/>
      <c r="W160" s="298" t="str">
        <f>IF(V160="","",IF(VLOOKUP(V160,'G-7 WaterC'' Data'!$AK$4:$AM$6,2,FALSE)=0,"Spatial Data Missing ⚠",VLOOKUP(V160,'G-7 WaterC'' Data'!$AK$4:$AM$6,2,FALSE)))</f>
        <v/>
      </c>
      <c r="X160" s="291" t="str">
        <f>IF(V160="","",IF(VLOOKUP(V160,'G-7 WaterC'' Data'!$AK$4:$AM$6,3,FALSE)=0,"Spatial Data Missing ⚠",VLOOKUP(V160,'G-7 WaterC'' Data'!$AK$4:$AM$6,3,FALSE)))</f>
        <v/>
      </c>
      <c r="Y160" s="290" t="str">
        <f>IFERROR(IF(OR(LEFT(P160,5)="Error",LEFT(O160,5)="Error ▲"),"Check Data ⚠",IF(F160&lt;S160,'G-7 WaterC'' Data'!$R$3,INDEX('G-7 WaterC'' Data'!$U$5:$Y$9,MATCH(G160,'G-7 WaterC'' Data'!$T$5:$T$9,0),MATCH(T160,'G-7 WaterC'' Data'!$U$4:$Y$4,0)))),"")</f>
        <v/>
      </c>
      <c r="Z160" s="138"/>
      <c r="AA160" s="138"/>
      <c r="AB160" s="298" t="str">
        <f t="shared" si="21"/>
        <v/>
      </c>
      <c r="AC160" s="311" t="str">
        <f t="shared" si="22"/>
        <v/>
      </c>
      <c r="AD160" s="344" t="str">
        <f>IFERROR(IF(AC160="Check Data ⚠","Check Data ⚠",VLOOKUP(AC160,'G-4 Temporal multipliers'!$A$4:$C$37,3,FALSE)),"")</f>
        <v/>
      </c>
      <c r="AE160" s="290" t="str">
        <f>IF(N160="","",VLOOKUP(N160,'G-7 WaterC'' Data'!$B$4:$G$8,5,FALSE))</f>
        <v/>
      </c>
      <c r="AF160" s="298" t="str">
        <f t="shared" si="23"/>
        <v/>
      </c>
      <c r="AG160" s="328" t="str">
        <f t="shared" si="24"/>
        <v/>
      </c>
      <c r="AH160" s="291" t="str">
        <f t="shared" si="18"/>
        <v/>
      </c>
      <c r="AI160" s="103"/>
      <c r="AJ160" s="291" t="str">
        <f>IF(AI160="","",IF(AND(AI160="N/A - Culvert",N160&lt;&gt;"Culvert"),"Not possible ▲",IF(VLOOKUP(AI160,'G-7 WaterC'' Data'!$AA$4:$AB$7,2,FALSE)=0,"Spatial Data Missing ⚠",VLOOKUP(AI160,'G-7 WaterC'' Data'!$AA$4:$AB$7,2,FALSE))))</f>
        <v/>
      </c>
      <c r="AK160" s="104"/>
      <c r="AL160" s="291" t="str">
        <f>IF(AK160="","",IF(AND(AK160="N/A - Culvert",N160&lt;&gt;"Culvert"),"Not possible ▲",IF(VLOOKUP(AK160,'G-7 WaterC'' Data'!$AD$4:$AE$14,2,FALSE)=0,"Spatial Data Missing ⚠",VLOOKUP(AK160,'G-7 WaterC'' Data'!$AD$4:$AE$14,2,FALSE))))</f>
        <v/>
      </c>
      <c r="AM160" s="332" t="str">
        <f t="shared" si="25"/>
        <v/>
      </c>
      <c r="AN160" s="98"/>
      <c r="AO160" s="99"/>
      <c r="AP160" s="101"/>
      <c r="AS160" s="15" t="str">
        <f>IF(B160="","",IF(ISNA(VLOOKUP($B160,'C-1 On-Site WaterC'' Baseline'!$C$8:$AD$257,17,FALSE)),"",(VLOOKUP($B160,'C-1 On-Site WaterC'' Baseline'!$C$8:$AD$257,17,FALSE))))</f>
        <v/>
      </c>
      <c r="AT160" s="15" t="str">
        <f>IF(B160="","",VLOOKUP($B160,'C-1 On-Site WaterC'' Baseline'!$C$9:$Z$257,12,FALSE))</f>
        <v/>
      </c>
      <c r="AU160" s="15" t="str">
        <f>IF(B160="","",VLOOKUP($B160,'C-1 On-Site WaterC'' Baseline'!$C$9:$Z$257,14,FALSE))</f>
        <v/>
      </c>
      <c r="AV160" s="15" t="str">
        <f>IFERROR(INDEX('G-7 WaterC'' Data'!$AZ$3:$AZ$7,MATCH(N160,'G-7 WaterC'' Data'!$AY$3:$AY$7,0)),"")</f>
        <v/>
      </c>
      <c r="AX160" s="15" t="str">
        <f>IF(B160="","",VLOOKUP($B160,'C-1 On-Site WaterC'' Baseline'!$C$9:$Y$257,22,FALSE))</f>
        <v/>
      </c>
      <c r="AY160" s="15" t="str">
        <f t="shared" si="26"/>
        <v/>
      </c>
      <c r="AZ160" s="15" t="str">
        <f>IF(B160="","",VLOOKUP($B160,'C-1 On-Site WaterC'' Baseline'!$C$9:$Y$257,21,FALSE))</f>
        <v/>
      </c>
      <c r="BA160" s="15" t="str">
        <f>IF(B160="","",VLOOKUP($B160,'C-1 On-Site WaterC'' Baseline'!$C$9:$Y$257,19,FALSE))</f>
        <v/>
      </c>
    </row>
    <row r="161" spans="2:53" ht="14" x14ac:dyDescent="0.3">
      <c r="B161" s="319" t="str">
        <f>'C-1 On-Site WaterC'' Baseline'!AP159</f>
        <v/>
      </c>
      <c r="C161" s="310" t="str">
        <f>IF(B161="","",VLOOKUP($B161,'C-1 On-Site WaterC'' Baseline'!$C$9:$R$257,2,FALSE))</f>
        <v/>
      </c>
      <c r="D161" s="310" t="str">
        <f>IF(C161="","",VLOOKUP($B161,'C-1 On-Site WaterC'' Baseline'!$C$9:$R$257,3,FALSE))</f>
        <v/>
      </c>
      <c r="E161" s="310" t="str">
        <f>IF(D161="","",VLOOKUP($B161,'C-1 On-Site WaterC'' Baseline'!$C$9:$R$257,4,FALSE))</f>
        <v/>
      </c>
      <c r="F161" s="310" t="str">
        <f>IF(E161="","",VLOOKUP($B161,'C-1 On-Site WaterC'' Baseline'!$C$9:$R$257,5,FALSE))</f>
        <v/>
      </c>
      <c r="G161" s="310" t="str">
        <f>IF(F161="","",VLOOKUP($B161,'C-1 On-Site WaterC'' Baseline'!$C$9:$R$257,6,FALSE))</f>
        <v/>
      </c>
      <c r="H161" s="310" t="str">
        <f>IF(G161="","",VLOOKUP($B161,'C-1 On-Site WaterC'' Baseline'!$C$9:$R$257,7,FALSE))</f>
        <v/>
      </c>
      <c r="I161" s="310" t="str">
        <f>IF(H161="","",VLOOKUP($B161,'C-1 On-Site WaterC'' Baseline'!$C$9:$R$257,8,FALSE))</f>
        <v/>
      </c>
      <c r="J161" s="310" t="str">
        <f>IF(I161="","",VLOOKUP($B161,'C-1 On-Site WaterC'' Baseline'!$C$9:$R$257,9,FALSE))</f>
        <v/>
      </c>
      <c r="K161" s="310" t="str">
        <f>IF(J161="","",VLOOKUP($B161,'C-1 On-Site WaterC'' Baseline'!$C$9:$R$257,10,FALSE))</f>
        <v/>
      </c>
      <c r="L161" s="310" t="str">
        <f>IF(B161="","",VLOOKUP($B161,'C-1 On-Site WaterC'' Baseline'!$C$9:$R$257,15,FALSE))</f>
        <v/>
      </c>
      <c r="M161" s="314" t="str">
        <f>IF(L161="","",VLOOKUP($B161,'C-1 On-Site WaterC'' Baseline'!$C$9:$R$257,16,FALSE))</f>
        <v/>
      </c>
      <c r="N161" s="259"/>
      <c r="O161" s="290" t="str">
        <f t="shared" si="19"/>
        <v/>
      </c>
      <c r="P161" s="291" t="str">
        <f t="shared" si="20"/>
        <v/>
      </c>
      <c r="Q161" s="346" t="str">
        <f>IF(N161="","",VLOOKUP(B161,'C-1 On-Site WaterC'' Baseline'!$C$10:$AC$257,20,FALSE))</f>
        <v/>
      </c>
      <c r="R161" s="290" t="str">
        <f>IF(N161="","",VLOOKUP(N161,'G-7 WaterC'' Data'!$B$2:$G$8,2,FALSE))</f>
        <v/>
      </c>
      <c r="S161" s="291" t="str">
        <f>IFERROR(VLOOKUP(R161,'G-7 WaterC'' Data'!$C$4:$D$8,2,FALSE),"")</f>
        <v/>
      </c>
      <c r="T161" s="95"/>
      <c r="U161" s="291" t="str">
        <f>IFERROR(INDEX('G-7 WaterC'' Data'!$H$4:$L$8,MATCH(N161,'G-7 WaterC'' Data'!$B$4:$B$8,0),MATCH(T161,'G-7 WaterC'' Data'!$H$3:$L$3,0)),"")</f>
        <v/>
      </c>
      <c r="V161" s="95"/>
      <c r="W161" s="298" t="str">
        <f>IF(V161="","",IF(VLOOKUP(V161,'G-7 WaterC'' Data'!$AK$4:$AM$6,2,FALSE)=0,"Spatial Data Missing ⚠",VLOOKUP(V161,'G-7 WaterC'' Data'!$AK$4:$AM$6,2,FALSE)))</f>
        <v/>
      </c>
      <c r="X161" s="291" t="str">
        <f>IF(V161="","",IF(VLOOKUP(V161,'G-7 WaterC'' Data'!$AK$4:$AM$6,3,FALSE)=0,"Spatial Data Missing ⚠",VLOOKUP(V161,'G-7 WaterC'' Data'!$AK$4:$AM$6,3,FALSE)))</f>
        <v/>
      </c>
      <c r="Y161" s="290" t="str">
        <f>IFERROR(IF(OR(LEFT(P161,5)="Error",LEFT(O161,5)="Error ▲"),"Check Data ⚠",IF(F161&lt;S161,'G-7 WaterC'' Data'!$R$3,INDEX('G-7 WaterC'' Data'!$U$5:$Y$9,MATCH(G161,'G-7 WaterC'' Data'!$T$5:$T$9,0),MATCH(T161,'G-7 WaterC'' Data'!$U$4:$Y$4,0)))),"")</f>
        <v/>
      </c>
      <c r="Z161" s="138"/>
      <c r="AA161" s="138"/>
      <c r="AB161" s="298" t="str">
        <f t="shared" si="21"/>
        <v/>
      </c>
      <c r="AC161" s="311" t="str">
        <f t="shared" si="22"/>
        <v/>
      </c>
      <c r="AD161" s="344" t="str">
        <f>IFERROR(IF(AC161="Check Data ⚠","Check Data ⚠",VLOOKUP(AC161,'G-4 Temporal multipliers'!$A$4:$C$37,3,FALSE)),"")</f>
        <v/>
      </c>
      <c r="AE161" s="290" t="str">
        <f>IF(N161="","",VLOOKUP(N161,'G-7 WaterC'' Data'!$B$4:$G$8,5,FALSE))</f>
        <v/>
      </c>
      <c r="AF161" s="298" t="str">
        <f t="shared" si="23"/>
        <v/>
      </c>
      <c r="AG161" s="328" t="str">
        <f t="shared" si="24"/>
        <v/>
      </c>
      <c r="AH161" s="291" t="str">
        <f t="shared" si="18"/>
        <v/>
      </c>
      <c r="AI161" s="103"/>
      <c r="AJ161" s="291" t="str">
        <f>IF(AI161="","",IF(AND(AI161="N/A - Culvert",N161&lt;&gt;"Culvert"),"Not possible ▲",IF(VLOOKUP(AI161,'G-7 WaterC'' Data'!$AA$4:$AB$7,2,FALSE)=0,"Spatial Data Missing ⚠",VLOOKUP(AI161,'G-7 WaterC'' Data'!$AA$4:$AB$7,2,FALSE))))</f>
        <v/>
      </c>
      <c r="AK161" s="104"/>
      <c r="AL161" s="291" t="str">
        <f>IF(AK161="","",IF(AND(AK161="N/A - Culvert",N161&lt;&gt;"Culvert"),"Not possible ▲",IF(VLOOKUP(AK161,'G-7 WaterC'' Data'!$AD$4:$AE$14,2,FALSE)=0,"Spatial Data Missing ⚠",VLOOKUP(AK161,'G-7 WaterC'' Data'!$AD$4:$AE$14,2,FALSE))))</f>
        <v/>
      </c>
      <c r="AM161" s="332" t="str">
        <f t="shared" si="25"/>
        <v/>
      </c>
      <c r="AN161" s="98"/>
      <c r="AO161" s="99"/>
      <c r="AP161" s="101"/>
      <c r="AS161" s="15" t="str">
        <f>IF(B161="","",IF(ISNA(VLOOKUP($B161,'C-1 On-Site WaterC'' Baseline'!$C$8:$AD$257,17,FALSE)),"",(VLOOKUP($B161,'C-1 On-Site WaterC'' Baseline'!$C$8:$AD$257,17,FALSE))))</f>
        <v/>
      </c>
      <c r="AT161" s="15" t="str">
        <f>IF(B161="","",VLOOKUP($B161,'C-1 On-Site WaterC'' Baseline'!$C$9:$Z$257,12,FALSE))</f>
        <v/>
      </c>
      <c r="AU161" s="15" t="str">
        <f>IF(B161="","",VLOOKUP($B161,'C-1 On-Site WaterC'' Baseline'!$C$9:$Z$257,14,FALSE))</f>
        <v/>
      </c>
      <c r="AV161" s="15" t="str">
        <f>IFERROR(INDEX('G-7 WaterC'' Data'!$AZ$3:$AZ$7,MATCH(N161,'G-7 WaterC'' Data'!$AY$3:$AY$7,0)),"")</f>
        <v/>
      </c>
      <c r="AX161" s="15" t="str">
        <f>IF(B161="","",VLOOKUP($B161,'C-1 On-Site WaterC'' Baseline'!$C$9:$Y$257,22,FALSE))</f>
        <v/>
      </c>
      <c r="AY161" s="15" t="str">
        <f t="shared" si="26"/>
        <v/>
      </c>
      <c r="AZ161" s="15" t="str">
        <f>IF(B161="","",VLOOKUP($B161,'C-1 On-Site WaterC'' Baseline'!$C$9:$Y$257,21,FALSE))</f>
        <v/>
      </c>
      <c r="BA161" s="15" t="str">
        <f>IF(B161="","",VLOOKUP($B161,'C-1 On-Site WaterC'' Baseline'!$C$9:$Y$257,19,FALSE))</f>
        <v/>
      </c>
    </row>
    <row r="162" spans="2:53" ht="14" x14ac:dyDescent="0.3">
      <c r="B162" s="319" t="str">
        <f>'C-1 On-Site WaterC'' Baseline'!AP160</f>
        <v/>
      </c>
      <c r="C162" s="310" t="str">
        <f>IF(B162="","",VLOOKUP($B162,'C-1 On-Site WaterC'' Baseline'!$C$9:$R$257,2,FALSE))</f>
        <v/>
      </c>
      <c r="D162" s="310" t="str">
        <f>IF(C162="","",VLOOKUP($B162,'C-1 On-Site WaterC'' Baseline'!$C$9:$R$257,3,FALSE))</f>
        <v/>
      </c>
      <c r="E162" s="310" t="str">
        <f>IF(D162="","",VLOOKUP($B162,'C-1 On-Site WaterC'' Baseline'!$C$9:$R$257,4,FALSE))</f>
        <v/>
      </c>
      <c r="F162" s="310" t="str">
        <f>IF(E162="","",VLOOKUP($B162,'C-1 On-Site WaterC'' Baseline'!$C$9:$R$257,5,FALSE))</f>
        <v/>
      </c>
      <c r="G162" s="310" t="str">
        <f>IF(F162="","",VLOOKUP($B162,'C-1 On-Site WaterC'' Baseline'!$C$9:$R$257,6,FALSE))</f>
        <v/>
      </c>
      <c r="H162" s="310" t="str">
        <f>IF(G162="","",VLOOKUP($B162,'C-1 On-Site WaterC'' Baseline'!$C$9:$R$257,7,FALSE))</f>
        <v/>
      </c>
      <c r="I162" s="310" t="str">
        <f>IF(H162="","",VLOOKUP($B162,'C-1 On-Site WaterC'' Baseline'!$C$9:$R$257,8,FALSE))</f>
        <v/>
      </c>
      <c r="J162" s="310" t="str">
        <f>IF(I162="","",VLOOKUP($B162,'C-1 On-Site WaterC'' Baseline'!$C$9:$R$257,9,FALSE))</f>
        <v/>
      </c>
      <c r="K162" s="310" t="str">
        <f>IF(J162="","",VLOOKUP($B162,'C-1 On-Site WaterC'' Baseline'!$C$9:$R$257,10,FALSE))</f>
        <v/>
      </c>
      <c r="L162" s="310" t="str">
        <f>IF(B162="","",VLOOKUP($B162,'C-1 On-Site WaterC'' Baseline'!$C$9:$R$257,15,FALSE))</f>
        <v/>
      </c>
      <c r="M162" s="314" t="str">
        <f>IF(L162="","",VLOOKUP($B162,'C-1 On-Site WaterC'' Baseline'!$C$9:$R$257,16,FALSE))</f>
        <v/>
      </c>
      <c r="N162" s="259"/>
      <c r="O162" s="290" t="str">
        <f t="shared" si="19"/>
        <v/>
      </c>
      <c r="P162" s="291" t="str">
        <f t="shared" si="20"/>
        <v/>
      </c>
      <c r="Q162" s="346" t="str">
        <f>IF(N162="","",VLOOKUP(B162,'C-1 On-Site WaterC'' Baseline'!$C$10:$AC$257,20,FALSE))</f>
        <v/>
      </c>
      <c r="R162" s="290" t="str">
        <f>IF(N162="","",VLOOKUP(N162,'G-7 WaterC'' Data'!$B$2:$G$8,2,FALSE))</f>
        <v/>
      </c>
      <c r="S162" s="291" t="str">
        <f>IFERROR(VLOOKUP(R162,'G-7 WaterC'' Data'!$C$4:$D$8,2,FALSE),"")</f>
        <v/>
      </c>
      <c r="T162" s="95"/>
      <c r="U162" s="291" t="str">
        <f>IFERROR(INDEX('G-7 WaterC'' Data'!$H$4:$L$8,MATCH(N162,'G-7 WaterC'' Data'!$B$4:$B$8,0),MATCH(T162,'G-7 WaterC'' Data'!$H$3:$L$3,0)),"")</f>
        <v/>
      </c>
      <c r="V162" s="95"/>
      <c r="W162" s="298" t="str">
        <f>IF(V162="","",IF(VLOOKUP(V162,'G-7 WaterC'' Data'!$AK$4:$AM$6,2,FALSE)=0,"Spatial Data Missing ⚠",VLOOKUP(V162,'G-7 WaterC'' Data'!$AK$4:$AM$6,2,FALSE)))</f>
        <v/>
      </c>
      <c r="X162" s="291" t="str">
        <f>IF(V162="","",IF(VLOOKUP(V162,'G-7 WaterC'' Data'!$AK$4:$AM$6,3,FALSE)=0,"Spatial Data Missing ⚠",VLOOKUP(V162,'G-7 WaterC'' Data'!$AK$4:$AM$6,3,FALSE)))</f>
        <v/>
      </c>
      <c r="Y162" s="290" t="str">
        <f>IFERROR(IF(OR(LEFT(P162,5)="Error",LEFT(O162,5)="Error ▲"),"Check Data ⚠",IF(F162&lt;S162,'G-7 WaterC'' Data'!$R$3,INDEX('G-7 WaterC'' Data'!$U$5:$Y$9,MATCH(G162,'G-7 WaterC'' Data'!$T$5:$T$9,0),MATCH(T162,'G-7 WaterC'' Data'!$U$4:$Y$4,0)))),"")</f>
        <v/>
      </c>
      <c r="Z162" s="138"/>
      <c r="AA162" s="138"/>
      <c r="AB162" s="298" t="str">
        <f t="shared" si="21"/>
        <v/>
      </c>
      <c r="AC162" s="311" t="str">
        <f t="shared" si="22"/>
        <v/>
      </c>
      <c r="AD162" s="344" t="str">
        <f>IFERROR(IF(AC162="Check Data ⚠","Check Data ⚠",VLOOKUP(AC162,'G-4 Temporal multipliers'!$A$4:$C$37,3,FALSE)),"")</f>
        <v/>
      </c>
      <c r="AE162" s="290" t="str">
        <f>IF(N162="","",VLOOKUP(N162,'G-7 WaterC'' Data'!$B$4:$G$8,5,FALSE))</f>
        <v/>
      </c>
      <c r="AF162" s="298" t="str">
        <f t="shared" si="23"/>
        <v/>
      </c>
      <c r="AG162" s="328" t="str">
        <f t="shared" si="24"/>
        <v/>
      </c>
      <c r="AH162" s="291" t="str">
        <f t="shared" si="18"/>
        <v/>
      </c>
      <c r="AI162" s="103"/>
      <c r="AJ162" s="291" t="str">
        <f>IF(AI162="","",IF(AND(AI162="N/A - Culvert",N162&lt;&gt;"Culvert"),"Not possible ▲",IF(VLOOKUP(AI162,'G-7 WaterC'' Data'!$AA$4:$AB$7,2,FALSE)=0,"Spatial Data Missing ⚠",VLOOKUP(AI162,'G-7 WaterC'' Data'!$AA$4:$AB$7,2,FALSE))))</f>
        <v/>
      </c>
      <c r="AK162" s="104"/>
      <c r="AL162" s="291" t="str">
        <f>IF(AK162="","",IF(AND(AK162="N/A - Culvert",N162&lt;&gt;"Culvert"),"Not possible ▲",IF(VLOOKUP(AK162,'G-7 WaterC'' Data'!$AD$4:$AE$14,2,FALSE)=0,"Spatial Data Missing ⚠",VLOOKUP(AK162,'G-7 WaterC'' Data'!$AD$4:$AE$14,2,FALSE))))</f>
        <v/>
      </c>
      <c r="AM162" s="332" t="str">
        <f t="shared" si="25"/>
        <v/>
      </c>
      <c r="AN162" s="98"/>
      <c r="AO162" s="99"/>
      <c r="AP162" s="101"/>
      <c r="AS162" s="15" t="str">
        <f>IF(B162="","",IF(ISNA(VLOOKUP($B162,'C-1 On-Site WaterC'' Baseline'!$C$8:$AD$257,17,FALSE)),"",(VLOOKUP($B162,'C-1 On-Site WaterC'' Baseline'!$C$8:$AD$257,17,FALSE))))</f>
        <v/>
      </c>
      <c r="AT162" s="15" t="str">
        <f>IF(B162="","",VLOOKUP($B162,'C-1 On-Site WaterC'' Baseline'!$C$9:$Z$257,12,FALSE))</f>
        <v/>
      </c>
      <c r="AU162" s="15" t="str">
        <f>IF(B162="","",VLOOKUP($B162,'C-1 On-Site WaterC'' Baseline'!$C$9:$Z$257,14,FALSE))</f>
        <v/>
      </c>
      <c r="AV162" s="15" t="str">
        <f>IFERROR(INDEX('G-7 WaterC'' Data'!$AZ$3:$AZ$7,MATCH(N162,'G-7 WaterC'' Data'!$AY$3:$AY$7,0)),"")</f>
        <v/>
      </c>
      <c r="AX162" s="15" t="str">
        <f>IF(B162="","",VLOOKUP($B162,'C-1 On-Site WaterC'' Baseline'!$C$9:$Y$257,22,FALSE))</f>
        <v/>
      </c>
      <c r="AY162" s="15" t="str">
        <f t="shared" si="26"/>
        <v/>
      </c>
      <c r="AZ162" s="15" t="str">
        <f>IF(B162="","",VLOOKUP($B162,'C-1 On-Site WaterC'' Baseline'!$C$9:$Y$257,21,FALSE))</f>
        <v/>
      </c>
      <c r="BA162" s="15" t="str">
        <f>IF(B162="","",VLOOKUP($B162,'C-1 On-Site WaterC'' Baseline'!$C$9:$Y$257,19,FALSE))</f>
        <v/>
      </c>
    </row>
    <row r="163" spans="2:53" ht="14" x14ac:dyDescent="0.3">
      <c r="B163" s="319" t="str">
        <f>'C-1 On-Site WaterC'' Baseline'!AP161</f>
        <v/>
      </c>
      <c r="C163" s="310" t="str">
        <f>IF(B163="","",VLOOKUP($B163,'C-1 On-Site WaterC'' Baseline'!$C$9:$R$257,2,FALSE))</f>
        <v/>
      </c>
      <c r="D163" s="310" t="str">
        <f>IF(C163="","",VLOOKUP($B163,'C-1 On-Site WaterC'' Baseline'!$C$9:$R$257,3,FALSE))</f>
        <v/>
      </c>
      <c r="E163" s="310" t="str">
        <f>IF(D163="","",VLOOKUP($B163,'C-1 On-Site WaterC'' Baseline'!$C$9:$R$257,4,FALSE))</f>
        <v/>
      </c>
      <c r="F163" s="310" t="str">
        <f>IF(E163="","",VLOOKUP($B163,'C-1 On-Site WaterC'' Baseline'!$C$9:$R$257,5,FALSE))</f>
        <v/>
      </c>
      <c r="G163" s="310" t="str">
        <f>IF(F163="","",VLOOKUP($B163,'C-1 On-Site WaterC'' Baseline'!$C$9:$R$257,6,FALSE))</f>
        <v/>
      </c>
      <c r="H163" s="310" t="str">
        <f>IF(G163="","",VLOOKUP($B163,'C-1 On-Site WaterC'' Baseline'!$C$9:$R$257,7,FALSE))</f>
        <v/>
      </c>
      <c r="I163" s="310" t="str">
        <f>IF(H163="","",VLOOKUP($B163,'C-1 On-Site WaterC'' Baseline'!$C$9:$R$257,8,FALSE))</f>
        <v/>
      </c>
      <c r="J163" s="310" t="str">
        <f>IF(I163="","",VLOOKUP($B163,'C-1 On-Site WaterC'' Baseline'!$C$9:$R$257,9,FALSE))</f>
        <v/>
      </c>
      <c r="K163" s="310" t="str">
        <f>IF(J163="","",VLOOKUP($B163,'C-1 On-Site WaterC'' Baseline'!$C$9:$R$257,10,FALSE))</f>
        <v/>
      </c>
      <c r="L163" s="310" t="str">
        <f>IF(B163="","",VLOOKUP($B163,'C-1 On-Site WaterC'' Baseline'!$C$9:$R$257,15,FALSE))</f>
        <v/>
      </c>
      <c r="M163" s="314" t="str">
        <f>IF(L163="","",VLOOKUP($B163,'C-1 On-Site WaterC'' Baseline'!$C$9:$R$257,16,FALSE))</f>
        <v/>
      </c>
      <c r="N163" s="259"/>
      <c r="O163" s="290" t="str">
        <f t="shared" si="19"/>
        <v/>
      </c>
      <c r="P163" s="291" t="str">
        <f t="shared" si="20"/>
        <v/>
      </c>
      <c r="Q163" s="346" t="str">
        <f>IF(N163="","",VLOOKUP(B163,'C-1 On-Site WaterC'' Baseline'!$C$10:$AC$257,20,FALSE))</f>
        <v/>
      </c>
      <c r="R163" s="290" t="str">
        <f>IF(N163="","",VLOOKUP(N163,'G-7 WaterC'' Data'!$B$2:$G$8,2,FALSE))</f>
        <v/>
      </c>
      <c r="S163" s="291" t="str">
        <f>IFERROR(VLOOKUP(R163,'G-7 WaterC'' Data'!$C$4:$D$8,2,FALSE),"")</f>
        <v/>
      </c>
      <c r="T163" s="95"/>
      <c r="U163" s="291" t="str">
        <f>IFERROR(INDEX('G-7 WaterC'' Data'!$H$4:$L$8,MATCH(N163,'G-7 WaterC'' Data'!$B$4:$B$8,0),MATCH(T163,'G-7 WaterC'' Data'!$H$3:$L$3,0)),"")</f>
        <v/>
      </c>
      <c r="V163" s="95"/>
      <c r="W163" s="298" t="str">
        <f>IF(V163="","",IF(VLOOKUP(V163,'G-7 WaterC'' Data'!$AK$4:$AM$6,2,FALSE)=0,"Spatial Data Missing ⚠",VLOOKUP(V163,'G-7 WaterC'' Data'!$AK$4:$AM$6,2,FALSE)))</f>
        <v/>
      </c>
      <c r="X163" s="291" t="str">
        <f>IF(V163="","",IF(VLOOKUP(V163,'G-7 WaterC'' Data'!$AK$4:$AM$6,3,FALSE)=0,"Spatial Data Missing ⚠",VLOOKUP(V163,'G-7 WaterC'' Data'!$AK$4:$AM$6,3,FALSE)))</f>
        <v/>
      </c>
      <c r="Y163" s="290" t="str">
        <f>IFERROR(IF(OR(LEFT(P163,5)="Error",LEFT(O163,5)="Error ▲"),"Check Data ⚠",IF(F163&lt;S163,'G-7 WaterC'' Data'!$R$3,INDEX('G-7 WaterC'' Data'!$U$5:$Y$9,MATCH(G163,'G-7 WaterC'' Data'!$T$5:$T$9,0),MATCH(T163,'G-7 WaterC'' Data'!$U$4:$Y$4,0)))),"")</f>
        <v/>
      </c>
      <c r="Z163" s="138"/>
      <c r="AA163" s="138"/>
      <c r="AB163" s="298" t="str">
        <f t="shared" si="21"/>
        <v/>
      </c>
      <c r="AC163" s="311" t="str">
        <f t="shared" si="22"/>
        <v/>
      </c>
      <c r="AD163" s="344" t="str">
        <f>IFERROR(IF(AC163="Check Data ⚠","Check Data ⚠",VLOOKUP(AC163,'G-4 Temporal multipliers'!$A$4:$C$37,3,FALSE)),"")</f>
        <v/>
      </c>
      <c r="AE163" s="290" t="str">
        <f>IF(N163="","",VLOOKUP(N163,'G-7 WaterC'' Data'!$B$4:$G$8,5,FALSE))</f>
        <v/>
      </c>
      <c r="AF163" s="298" t="str">
        <f t="shared" si="23"/>
        <v/>
      </c>
      <c r="AG163" s="328" t="str">
        <f t="shared" si="24"/>
        <v/>
      </c>
      <c r="AH163" s="291" t="str">
        <f t="shared" si="18"/>
        <v/>
      </c>
      <c r="AI163" s="103"/>
      <c r="AJ163" s="291" t="str">
        <f>IF(AI163="","",IF(AND(AI163="N/A - Culvert",N163&lt;&gt;"Culvert"),"Not possible ▲",IF(VLOOKUP(AI163,'G-7 WaterC'' Data'!$AA$4:$AB$7,2,FALSE)=0,"Spatial Data Missing ⚠",VLOOKUP(AI163,'G-7 WaterC'' Data'!$AA$4:$AB$7,2,FALSE))))</f>
        <v/>
      </c>
      <c r="AK163" s="104"/>
      <c r="AL163" s="291" t="str">
        <f>IF(AK163="","",IF(AND(AK163="N/A - Culvert",N163&lt;&gt;"Culvert"),"Not possible ▲",IF(VLOOKUP(AK163,'G-7 WaterC'' Data'!$AD$4:$AE$14,2,FALSE)=0,"Spatial Data Missing ⚠",VLOOKUP(AK163,'G-7 WaterC'' Data'!$AD$4:$AE$14,2,FALSE))))</f>
        <v/>
      </c>
      <c r="AM163" s="332" t="str">
        <f t="shared" si="25"/>
        <v/>
      </c>
      <c r="AN163" s="98"/>
      <c r="AO163" s="99"/>
      <c r="AP163" s="101"/>
      <c r="AS163" s="15" t="str">
        <f>IF(B163="","",IF(ISNA(VLOOKUP($B163,'C-1 On-Site WaterC'' Baseline'!$C$8:$AD$257,17,FALSE)),"",(VLOOKUP($B163,'C-1 On-Site WaterC'' Baseline'!$C$8:$AD$257,17,FALSE))))</f>
        <v/>
      </c>
      <c r="AT163" s="15" t="str">
        <f>IF(B163="","",VLOOKUP($B163,'C-1 On-Site WaterC'' Baseline'!$C$9:$Z$257,12,FALSE))</f>
        <v/>
      </c>
      <c r="AU163" s="15" t="str">
        <f>IF(B163="","",VLOOKUP($B163,'C-1 On-Site WaterC'' Baseline'!$C$9:$Z$257,14,FALSE))</f>
        <v/>
      </c>
      <c r="AV163" s="15" t="str">
        <f>IFERROR(INDEX('G-7 WaterC'' Data'!$AZ$3:$AZ$7,MATCH(N163,'G-7 WaterC'' Data'!$AY$3:$AY$7,0)),"")</f>
        <v/>
      </c>
      <c r="AX163" s="15" t="str">
        <f>IF(B163="","",VLOOKUP($B163,'C-1 On-Site WaterC'' Baseline'!$C$9:$Y$257,22,FALSE))</f>
        <v/>
      </c>
      <c r="AY163" s="15" t="str">
        <f t="shared" si="26"/>
        <v/>
      </c>
      <c r="AZ163" s="15" t="str">
        <f>IF(B163="","",VLOOKUP($B163,'C-1 On-Site WaterC'' Baseline'!$C$9:$Y$257,21,FALSE))</f>
        <v/>
      </c>
      <c r="BA163" s="15" t="str">
        <f>IF(B163="","",VLOOKUP($B163,'C-1 On-Site WaterC'' Baseline'!$C$9:$Y$257,19,FALSE))</f>
        <v/>
      </c>
    </row>
    <row r="164" spans="2:53" ht="14" x14ac:dyDescent="0.3">
      <c r="B164" s="319" t="str">
        <f>'C-1 On-Site WaterC'' Baseline'!AP162</f>
        <v/>
      </c>
      <c r="C164" s="310" t="str">
        <f>IF(B164="","",VLOOKUP($B164,'C-1 On-Site WaterC'' Baseline'!$C$9:$R$257,2,FALSE))</f>
        <v/>
      </c>
      <c r="D164" s="310" t="str">
        <f>IF(C164="","",VLOOKUP($B164,'C-1 On-Site WaterC'' Baseline'!$C$9:$R$257,3,FALSE))</f>
        <v/>
      </c>
      <c r="E164" s="310" t="str">
        <f>IF(D164="","",VLOOKUP($B164,'C-1 On-Site WaterC'' Baseline'!$C$9:$R$257,4,FALSE))</f>
        <v/>
      </c>
      <c r="F164" s="310" t="str">
        <f>IF(E164="","",VLOOKUP($B164,'C-1 On-Site WaterC'' Baseline'!$C$9:$R$257,5,FALSE))</f>
        <v/>
      </c>
      <c r="G164" s="310" t="str">
        <f>IF(F164="","",VLOOKUP($B164,'C-1 On-Site WaterC'' Baseline'!$C$9:$R$257,6,FALSE))</f>
        <v/>
      </c>
      <c r="H164" s="310" t="str">
        <f>IF(G164="","",VLOOKUP($B164,'C-1 On-Site WaterC'' Baseline'!$C$9:$R$257,7,FALSE))</f>
        <v/>
      </c>
      <c r="I164" s="310" t="str">
        <f>IF(H164="","",VLOOKUP($B164,'C-1 On-Site WaterC'' Baseline'!$C$9:$R$257,8,FALSE))</f>
        <v/>
      </c>
      <c r="J164" s="310" t="str">
        <f>IF(I164="","",VLOOKUP($B164,'C-1 On-Site WaterC'' Baseline'!$C$9:$R$257,9,FALSE))</f>
        <v/>
      </c>
      <c r="K164" s="310" t="str">
        <f>IF(J164="","",VLOOKUP($B164,'C-1 On-Site WaterC'' Baseline'!$C$9:$R$257,10,FALSE))</f>
        <v/>
      </c>
      <c r="L164" s="310" t="str">
        <f>IF(B164="","",VLOOKUP($B164,'C-1 On-Site WaterC'' Baseline'!$C$9:$R$257,15,FALSE))</f>
        <v/>
      </c>
      <c r="M164" s="314" t="str">
        <f>IF(L164="","",VLOOKUP($B164,'C-1 On-Site WaterC'' Baseline'!$C$9:$R$257,16,FALSE))</f>
        <v/>
      </c>
      <c r="N164" s="259"/>
      <c r="O164" s="290" t="str">
        <f t="shared" si="19"/>
        <v/>
      </c>
      <c r="P164" s="291" t="str">
        <f t="shared" si="20"/>
        <v/>
      </c>
      <c r="Q164" s="346" t="str">
        <f>IF(N164="","",VLOOKUP(B164,'C-1 On-Site WaterC'' Baseline'!$C$10:$AC$257,20,FALSE))</f>
        <v/>
      </c>
      <c r="R164" s="290" t="str">
        <f>IF(N164="","",VLOOKUP(N164,'G-7 WaterC'' Data'!$B$2:$G$8,2,FALSE))</f>
        <v/>
      </c>
      <c r="S164" s="291" t="str">
        <f>IFERROR(VLOOKUP(R164,'G-7 WaterC'' Data'!$C$4:$D$8,2,FALSE),"")</f>
        <v/>
      </c>
      <c r="T164" s="95"/>
      <c r="U164" s="291" t="str">
        <f>IFERROR(INDEX('G-7 WaterC'' Data'!$H$4:$L$8,MATCH(N164,'G-7 WaterC'' Data'!$B$4:$B$8,0),MATCH(T164,'G-7 WaterC'' Data'!$H$3:$L$3,0)),"")</f>
        <v/>
      </c>
      <c r="V164" s="95"/>
      <c r="W164" s="298" t="str">
        <f>IF(V164="","",IF(VLOOKUP(V164,'G-7 WaterC'' Data'!$AK$4:$AM$6,2,FALSE)=0,"Spatial Data Missing ⚠",VLOOKUP(V164,'G-7 WaterC'' Data'!$AK$4:$AM$6,2,FALSE)))</f>
        <v/>
      </c>
      <c r="X164" s="291" t="str">
        <f>IF(V164="","",IF(VLOOKUP(V164,'G-7 WaterC'' Data'!$AK$4:$AM$6,3,FALSE)=0,"Spatial Data Missing ⚠",VLOOKUP(V164,'G-7 WaterC'' Data'!$AK$4:$AM$6,3,FALSE)))</f>
        <v/>
      </c>
      <c r="Y164" s="290" t="str">
        <f>IFERROR(IF(OR(LEFT(P164,5)="Error",LEFT(O164,5)="Error ▲"),"Check Data ⚠",IF(F164&lt;S164,'G-7 WaterC'' Data'!$R$3,INDEX('G-7 WaterC'' Data'!$U$5:$Y$9,MATCH(G164,'G-7 WaterC'' Data'!$T$5:$T$9,0),MATCH(T164,'G-7 WaterC'' Data'!$U$4:$Y$4,0)))),"")</f>
        <v/>
      </c>
      <c r="Z164" s="138"/>
      <c r="AA164" s="138"/>
      <c r="AB164" s="298" t="str">
        <f t="shared" si="21"/>
        <v/>
      </c>
      <c r="AC164" s="311" t="str">
        <f t="shared" si="22"/>
        <v/>
      </c>
      <c r="AD164" s="344" t="str">
        <f>IFERROR(IF(AC164="Check Data ⚠","Check Data ⚠",VLOOKUP(AC164,'G-4 Temporal multipliers'!$A$4:$C$37,3,FALSE)),"")</f>
        <v/>
      </c>
      <c r="AE164" s="290" t="str">
        <f>IF(N164="","",VLOOKUP(N164,'G-7 WaterC'' Data'!$B$4:$G$8,5,FALSE))</f>
        <v/>
      </c>
      <c r="AF164" s="298" t="str">
        <f t="shared" si="23"/>
        <v/>
      </c>
      <c r="AG164" s="328" t="str">
        <f t="shared" si="24"/>
        <v/>
      </c>
      <c r="AH164" s="291" t="str">
        <f t="shared" si="18"/>
        <v/>
      </c>
      <c r="AI164" s="103"/>
      <c r="AJ164" s="291" t="str">
        <f>IF(AI164="","",IF(AND(AI164="N/A - Culvert",N164&lt;&gt;"Culvert"),"Not possible ▲",IF(VLOOKUP(AI164,'G-7 WaterC'' Data'!$AA$4:$AB$7,2,FALSE)=0,"Spatial Data Missing ⚠",VLOOKUP(AI164,'G-7 WaterC'' Data'!$AA$4:$AB$7,2,FALSE))))</f>
        <v/>
      </c>
      <c r="AK164" s="104"/>
      <c r="AL164" s="291" t="str">
        <f>IF(AK164="","",IF(AND(AK164="N/A - Culvert",N164&lt;&gt;"Culvert"),"Not possible ▲",IF(VLOOKUP(AK164,'G-7 WaterC'' Data'!$AD$4:$AE$14,2,FALSE)=0,"Spatial Data Missing ⚠",VLOOKUP(AK164,'G-7 WaterC'' Data'!$AD$4:$AE$14,2,FALSE))))</f>
        <v/>
      </c>
      <c r="AM164" s="332" t="str">
        <f t="shared" si="25"/>
        <v/>
      </c>
      <c r="AN164" s="98"/>
      <c r="AO164" s="99"/>
      <c r="AP164" s="101"/>
      <c r="AS164" s="15" t="str">
        <f>IF(B164="","",IF(ISNA(VLOOKUP($B164,'C-1 On-Site WaterC'' Baseline'!$C$8:$AD$257,17,FALSE)),"",(VLOOKUP($B164,'C-1 On-Site WaterC'' Baseline'!$C$8:$AD$257,17,FALSE))))</f>
        <v/>
      </c>
      <c r="AT164" s="15" t="str">
        <f>IF(B164="","",VLOOKUP($B164,'C-1 On-Site WaterC'' Baseline'!$C$9:$Z$257,12,FALSE))</f>
        <v/>
      </c>
      <c r="AU164" s="15" t="str">
        <f>IF(B164="","",VLOOKUP($B164,'C-1 On-Site WaterC'' Baseline'!$C$9:$Z$257,14,FALSE))</f>
        <v/>
      </c>
      <c r="AV164" s="15" t="str">
        <f>IFERROR(INDEX('G-7 WaterC'' Data'!$AZ$3:$AZ$7,MATCH(N164,'G-7 WaterC'' Data'!$AY$3:$AY$7,0)),"")</f>
        <v/>
      </c>
      <c r="AX164" s="15" t="str">
        <f>IF(B164="","",VLOOKUP($B164,'C-1 On-Site WaterC'' Baseline'!$C$9:$Y$257,22,FALSE))</f>
        <v/>
      </c>
      <c r="AY164" s="15" t="str">
        <f t="shared" si="26"/>
        <v/>
      </c>
      <c r="AZ164" s="15" t="str">
        <f>IF(B164="","",VLOOKUP($B164,'C-1 On-Site WaterC'' Baseline'!$C$9:$Y$257,21,FALSE))</f>
        <v/>
      </c>
      <c r="BA164" s="15" t="str">
        <f>IF(B164="","",VLOOKUP($B164,'C-1 On-Site WaterC'' Baseline'!$C$9:$Y$257,19,FALSE))</f>
        <v/>
      </c>
    </row>
    <row r="165" spans="2:53" ht="14" x14ac:dyDescent="0.3">
      <c r="B165" s="319" t="str">
        <f>'C-1 On-Site WaterC'' Baseline'!AP163</f>
        <v/>
      </c>
      <c r="C165" s="310" t="str">
        <f>IF(B165="","",VLOOKUP($B165,'C-1 On-Site WaterC'' Baseline'!$C$9:$R$257,2,FALSE))</f>
        <v/>
      </c>
      <c r="D165" s="310" t="str">
        <f>IF(C165="","",VLOOKUP($B165,'C-1 On-Site WaterC'' Baseline'!$C$9:$R$257,3,FALSE))</f>
        <v/>
      </c>
      <c r="E165" s="310" t="str">
        <f>IF(D165="","",VLOOKUP($B165,'C-1 On-Site WaterC'' Baseline'!$C$9:$R$257,4,FALSE))</f>
        <v/>
      </c>
      <c r="F165" s="310" t="str">
        <f>IF(E165="","",VLOOKUP($B165,'C-1 On-Site WaterC'' Baseline'!$C$9:$R$257,5,FALSE))</f>
        <v/>
      </c>
      <c r="G165" s="310" t="str">
        <f>IF(F165="","",VLOOKUP($B165,'C-1 On-Site WaterC'' Baseline'!$C$9:$R$257,6,FALSE))</f>
        <v/>
      </c>
      <c r="H165" s="310" t="str">
        <f>IF(G165="","",VLOOKUP($B165,'C-1 On-Site WaterC'' Baseline'!$C$9:$R$257,7,FALSE))</f>
        <v/>
      </c>
      <c r="I165" s="310" t="str">
        <f>IF(H165="","",VLOOKUP($B165,'C-1 On-Site WaterC'' Baseline'!$C$9:$R$257,8,FALSE))</f>
        <v/>
      </c>
      <c r="J165" s="310" t="str">
        <f>IF(I165="","",VLOOKUP($B165,'C-1 On-Site WaterC'' Baseline'!$C$9:$R$257,9,FALSE))</f>
        <v/>
      </c>
      <c r="K165" s="310" t="str">
        <f>IF(J165="","",VLOOKUP($B165,'C-1 On-Site WaterC'' Baseline'!$C$9:$R$257,10,FALSE))</f>
        <v/>
      </c>
      <c r="L165" s="310" t="str">
        <f>IF(B165="","",VLOOKUP($B165,'C-1 On-Site WaterC'' Baseline'!$C$9:$R$257,15,FALSE))</f>
        <v/>
      </c>
      <c r="M165" s="314" t="str">
        <f>IF(L165="","",VLOOKUP($B165,'C-1 On-Site WaterC'' Baseline'!$C$9:$R$257,16,FALSE))</f>
        <v/>
      </c>
      <c r="N165" s="259"/>
      <c r="O165" s="290" t="str">
        <f t="shared" si="19"/>
        <v/>
      </c>
      <c r="P165" s="291" t="str">
        <f t="shared" si="20"/>
        <v/>
      </c>
      <c r="Q165" s="346" t="str">
        <f>IF(N165="","",VLOOKUP(B165,'C-1 On-Site WaterC'' Baseline'!$C$10:$AC$257,20,FALSE))</f>
        <v/>
      </c>
      <c r="R165" s="290" t="str">
        <f>IF(N165="","",VLOOKUP(N165,'G-7 WaterC'' Data'!$B$2:$G$8,2,FALSE))</f>
        <v/>
      </c>
      <c r="S165" s="291" t="str">
        <f>IFERROR(VLOOKUP(R165,'G-7 WaterC'' Data'!$C$4:$D$8,2,FALSE),"")</f>
        <v/>
      </c>
      <c r="T165" s="95"/>
      <c r="U165" s="291" t="str">
        <f>IFERROR(INDEX('G-7 WaterC'' Data'!$H$4:$L$8,MATCH(N165,'G-7 WaterC'' Data'!$B$4:$B$8,0),MATCH(T165,'G-7 WaterC'' Data'!$H$3:$L$3,0)),"")</f>
        <v/>
      </c>
      <c r="V165" s="95"/>
      <c r="W165" s="298" t="str">
        <f>IF(V165="","",IF(VLOOKUP(V165,'G-7 WaterC'' Data'!$AK$4:$AM$6,2,FALSE)=0,"Spatial Data Missing ⚠",VLOOKUP(V165,'G-7 WaterC'' Data'!$AK$4:$AM$6,2,FALSE)))</f>
        <v/>
      </c>
      <c r="X165" s="291" t="str">
        <f>IF(V165="","",IF(VLOOKUP(V165,'G-7 WaterC'' Data'!$AK$4:$AM$6,3,FALSE)=0,"Spatial Data Missing ⚠",VLOOKUP(V165,'G-7 WaterC'' Data'!$AK$4:$AM$6,3,FALSE)))</f>
        <v/>
      </c>
      <c r="Y165" s="290" t="str">
        <f>IFERROR(IF(OR(LEFT(P165,5)="Error",LEFT(O165,5)="Error ▲"),"Check Data ⚠",IF(F165&lt;S165,'G-7 WaterC'' Data'!$R$3,INDEX('G-7 WaterC'' Data'!$U$5:$Y$9,MATCH(G165,'G-7 WaterC'' Data'!$T$5:$T$9,0),MATCH(T165,'G-7 WaterC'' Data'!$U$4:$Y$4,0)))),"")</f>
        <v/>
      </c>
      <c r="Z165" s="138"/>
      <c r="AA165" s="138"/>
      <c r="AB165" s="298" t="str">
        <f t="shared" si="21"/>
        <v/>
      </c>
      <c r="AC165" s="311" t="str">
        <f t="shared" si="22"/>
        <v/>
      </c>
      <c r="AD165" s="344" t="str">
        <f>IFERROR(IF(AC165="Check Data ⚠","Check Data ⚠",VLOOKUP(AC165,'G-4 Temporal multipliers'!$A$4:$C$37,3,FALSE)),"")</f>
        <v/>
      </c>
      <c r="AE165" s="290" t="str">
        <f>IF(N165="","",VLOOKUP(N165,'G-7 WaterC'' Data'!$B$4:$G$8,5,FALSE))</f>
        <v/>
      </c>
      <c r="AF165" s="298" t="str">
        <f t="shared" si="23"/>
        <v/>
      </c>
      <c r="AG165" s="328" t="str">
        <f t="shared" si="24"/>
        <v/>
      </c>
      <c r="AH165" s="291" t="str">
        <f t="shared" si="18"/>
        <v/>
      </c>
      <c r="AI165" s="103"/>
      <c r="AJ165" s="291" t="str">
        <f>IF(AI165="","",IF(AND(AI165="N/A - Culvert",N165&lt;&gt;"Culvert"),"Not possible ▲",IF(VLOOKUP(AI165,'G-7 WaterC'' Data'!$AA$4:$AB$7,2,FALSE)=0,"Spatial Data Missing ⚠",VLOOKUP(AI165,'G-7 WaterC'' Data'!$AA$4:$AB$7,2,FALSE))))</f>
        <v/>
      </c>
      <c r="AK165" s="104"/>
      <c r="AL165" s="291" t="str">
        <f>IF(AK165="","",IF(AND(AK165="N/A - Culvert",N165&lt;&gt;"Culvert"),"Not possible ▲",IF(VLOOKUP(AK165,'G-7 WaterC'' Data'!$AD$4:$AE$14,2,FALSE)=0,"Spatial Data Missing ⚠",VLOOKUP(AK165,'G-7 WaterC'' Data'!$AD$4:$AE$14,2,FALSE))))</f>
        <v/>
      </c>
      <c r="AM165" s="332" t="str">
        <f t="shared" si="25"/>
        <v/>
      </c>
      <c r="AN165" s="98"/>
      <c r="AO165" s="99"/>
      <c r="AP165" s="101"/>
      <c r="AS165" s="15" t="str">
        <f>IF(B165="","",IF(ISNA(VLOOKUP($B165,'C-1 On-Site WaterC'' Baseline'!$C$8:$AD$257,17,FALSE)),"",(VLOOKUP($B165,'C-1 On-Site WaterC'' Baseline'!$C$8:$AD$257,17,FALSE))))</f>
        <v/>
      </c>
      <c r="AT165" s="15" t="str">
        <f>IF(B165="","",VLOOKUP($B165,'C-1 On-Site WaterC'' Baseline'!$C$9:$Z$257,12,FALSE))</f>
        <v/>
      </c>
      <c r="AU165" s="15" t="str">
        <f>IF(B165="","",VLOOKUP($B165,'C-1 On-Site WaterC'' Baseline'!$C$9:$Z$257,14,FALSE))</f>
        <v/>
      </c>
      <c r="AV165" s="15" t="str">
        <f>IFERROR(INDEX('G-7 WaterC'' Data'!$AZ$3:$AZ$7,MATCH(N165,'G-7 WaterC'' Data'!$AY$3:$AY$7,0)),"")</f>
        <v/>
      </c>
      <c r="AX165" s="15" t="str">
        <f>IF(B165="","",VLOOKUP($B165,'C-1 On-Site WaterC'' Baseline'!$C$9:$Y$257,22,FALSE))</f>
        <v/>
      </c>
      <c r="AY165" s="15" t="str">
        <f t="shared" si="26"/>
        <v/>
      </c>
      <c r="AZ165" s="15" t="str">
        <f>IF(B165="","",VLOOKUP($B165,'C-1 On-Site WaterC'' Baseline'!$C$9:$Y$257,21,FALSE))</f>
        <v/>
      </c>
      <c r="BA165" s="15" t="str">
        <f>IF(B165="","",VLOOKUP($B165,'C-1 On-Site WaterC'' Baseline'!$C$9:$Y$257,19,FALSE))</f>
        <v/>
      </c>
    </row>
    <row r="166" spans="2:53" ht="14" x14ac:dyDescent="0.3">
      <c r="B166" s="319" t="str">
        <f>'C-1 On-Site WaterC'' Baseline'!AP164</f>
        <v/>
      </c>
      <c r="C166" s="310" t="str">
        <f>IF(B166="","",VLOOKUP($B166,'C-1 On-Site WaterC'' Baseline'!$C$9:$R$257,2,FALSE))</f>
        <v/>
      </c>
      <c r="D166" s="310" t="str">
        <f>IF(C166="","",VLOOKUP($B166,'C-1 On-Site WaterC'' Baseline'!$C$9:$R$257,3,FALSE))</f>
        <v/>
      </c>
      <c r="E166" s="310" t="str">
        <f>IF(D166="","",VLOOKUP($B166,'C-1 On-Site WaterC'' Baseline'!$C$9:$R$257,4,FALSE))</f>
        <v/>
      </c>
      <c r="F166" s="310" t="str">
        <f>IF(E166="","",VLOOKUP($B166,'C-1 On-Site WaterC'' Baseline'!$C$9:$R$257,5,FALSE))</f>
        <v/>
      </c>
      <c r="G166" s="310" t="str">
        <f>IF(F166="","",VLOOKUP($B166,'C-1 On-Site WaterC'' Baseline'!$C$9:$R$257,6,FALSE))</f>
        <v/>
      </c>
      <c r="H166" s="310" t="str">
        <f>IF(G166="","",VLOOKUP($B166,'C-1 On-Site WaterC'' Baseline'!$C$9:$R$257,7,FALSE))</f>
        <v/>
      </c>
      <c r="I166" s="310" t="str">
        <f>IF(H166="","",VLOOKUP($B166,'C-1 On-Site WaterC'' Baseline'!$C$9:$R$257,8,FALSE))</f>
        <v/>
      </c>
      <c r="J166" s="310" t="str">
        <f>IF(I166="","",VLOOKUP($B166,'C-1 On-Site WaterC'' Baseline'!$C$9:$R$257,9,FALSE))</f>
        <v/>
      </c>
      <c r="K166" s="310" t="str">
        <f>IF(J166="","",VLOOKUP($B166,'C-1 On-Site WaterC'' Baseline'!$C$9:$R$257,10,FALSE))</f>
        <v/>
      </c>
      <c r="L166" s="310" t="str">
        <f>IF(B166="","",VLOOKUP($B166,'C-1 On-Site WaterC'' Baseline'!$C$9:$R$257,15,FALSE))</f>
        <v/>
      </c>
      <c r="M166" s="314" t="str">
        <f>IF(L166="","",VLOOKUP($B166,'C-1 On-Site WaterC'' Baseline'!$C$9:$R$257,16,FALSE))</f>
        <v/>
      </c>
      <c r="N166" s="259"/>
      <c r="O166" s="290" t="str">
        <f t="shared" si="19"/>
        <v/>
      </c>
      <c r="P166" s="291" t="str">
        <f t="shared" si="20"/>
        <v/>
      </c>
      <c r="Q166" s="346" t="str">
        <f>IF(N166="","",VLOOKUP(B166,'C-1 On-Site WaterC'' Baseline'!$C$10:$AC$257,20,FALSE))</f>
        <v/>
      </c>
      <c r="R166" s="290" t="str">
        <f>IF(N166="","",VLOOKUP(N166,'G-7 WaterC'' Data'!$B$2:$G$8,2,FALSE))</f>
        <v/>
      </c>
      <c r="S166" s="291" t="str">
        <f>IFERROR(VLOOKUP(R166,'G-7 WaterC'' Data'!$C$4:$D$8,2,FALSE),"")</f>
        <v/>
      </c>
      <c r="T166" s="95"/>
      <c r="U166" s="291" t="str">
        <f>IFERROR(INDEX('G-7 WaterC'' Data'!$H$4:$L$8,MATCH(N166,'G-7 WaterC'' Data'!$B$4:$B$8,0),MATCH(T166,'G-7 WaterC'' Data'!$H$3:$L$3,0)),"")</f>
        <v/>
      </c>
      <c r="V166" s="95"/>
      <c r="W166" s="298" t="str">
        <f>IF(V166="","",IF(VLOOKUP(V166,'G-7 WaterC'' Data'!$AK$4:$AM$6,2,FALSE)=0,"Spatial Data Missing ⚠",VLOOKUP(V166,'G-7 WaterC'' Data'!$AK$4:$AM$6,2,FALSE)))</f>
        <v/>
      </c>
      <c r="X166" s="291" t="str">
        <f>IF(V166="","",IF(VLOOKUP(V166,'G-7 WaterC'' Data'!$AK$4:$AM$6,3,FALSE)=0,"Spatial Data Missing ⚠",VLOOKUP(V166,'G-7 WaterC'' Data'!$AK$4:$AM$6,3,FALSE)))</f>
        <v/>
      </c>
      <c r="Y166" s="290" t="str">
        <f>IFERROR(IF(OR(LEFT(P166,5)="Error",LEFT(O166,5)="Error ▲"),"Check Data ⚠",IF(F166&lt;S166,'G-7 WaterC'' Data'!$R$3,INDEX('G-7 WaterC'' Data'!$U$5:$Y$9,MATCH(G166,'G-7 WaterC'' Data'!$T$5:$T$9,0),MATCH(T166,'G-7 WaterC'' Data'!$U$4:$Y$4,0)))),"")</f>
        <v/>
      </c>
      <c r="Z166" s="138"/>
      <c r="AA166" s="138"/>
      <c r="AB166" s="298" t="str">
        <f t="shared" si="21"/>
        <v/>
      </c>
      <c r="AC166" s="311" t="str">
        <f t="shared" si="22"/>
        <v/>
      </c>
      <c r="AD166" s="344" t="str">
        <f>IFERROR(IF(AC166="Check Data ⚠","Check Data ⚠",VLOOKUP(AC166,'G-4 Temporal multipliers'!$A$4:$C$37,3,FALSE)),"")</f>
        <v/>
      </c>
      <c r="AE166" s="290" t="str">
        <f>IF(N166="","",VLOOKUP(N166,'G-7 WaterC'' Data'!$B$4:$G$8,5,FALSE))</f>
        <v/>
      </c>
      <c r="AF166" s="298" t="str">
        <f t="shared" si="23"/>
        <v/>
      </c>
      <c r="AG166" s="328" t="str">
        <f t="shared" si="24"/>
        <v/>
      </c>
      <c r="AH166" s="291" t="str">
        <f t="shared" si="18"/>
        <v/>
      </c>
      <c r="AI166" s="103"/>
      <c r="AJ166" s="291" t="str">
        <f>IF(AI166="","",IF(AND(AI166="N/A - Culvert",N166&lt;&gt;"Culvert"),"Not possible ▲",IF(VLOOKUP(AI166,'G-7 WaterC'' Data'!$AA$4:$AB$7,2,FALSE)=0,"Spatial Data Missing ⚠",VLOOKUP(AI166,'G-7 WaterC'' Data'!$AA$4:$AB$7,2,FALSE))))</f>
        <v/>
      </c>
      <c r="AK166" s="104"/>
      <c r="AL166" s="291" t="str">
        <f>IF(AK166="","",IF(AND(AK166="N/A - Culvert",N166&lt;&gt;"Culvert"),"Not possible ▲",IF(VLOOKUP(AK166,'G-7 WaterC'' Data'!$AD$4:$AE$14,2,FALSE)=0,"Spatial Data Missing ⚠",VLOOKUP(AK166,'G-7 WaterC'' Data'!$AD$4:$AE$14,2,FALSE))))</f>
        <v/>
      </c>
      <c r="AM166" s="332" t="str">
        <f t="shared" si="25"/>
        <v/>
      </c>
      <c r="AN166" s="98"/>
      <c r="AO166" s="99"/>
      <c r="AP166" s="101"/>
      <c r="AS166" s="15" t="str">
        <f>IF(B166="","",IF(ISNA(VLOOKUP($B166,'C-1 On-Site WaterC'' Baseline'!$C$8:$AD$257,17,FALSE)),"",(VLOOKUP($B166,'C-1 On-Site WaterC'' Baseline'!$C$8:$AD$257,17,FALSE))))</f>
        <v/>
      </c>
      <c r="AT166" s="15" t="str">
        <f>IF(B166="","",VLOOKUP($B166,'C-1 On-Site WaterC'' Baseline'!$C$9:$Z$257,12,FALSE))</f>
        <v/>
      </c>
      <c r="AU166" s="15" t="str">
        <f>IF(B166="","",VLOOKUP($B166,'C-1 On-Site WaterC'' Baseline'!$C$9:$Z$257,14,FALSE))</f>
        <v/>
      </c>
      <c r="AV166" s="15" t="str">
        <f>IFERROR(INDEX('G-7 WaterC'' Data'!$AZ$3:$AZ$7,MATCH(N166,'G-7 WaterC'' Data'!$AY$3:$AY$7,0)),"")</f>
        <v/>
      </c>
      <c r="AX166" s="15" t="str">
        <f>IF(B166="","",VLOOKUP($B166,'C-1 On-Site WaterC'' Baseline'!$C$9:$Y$257,22,FALSE))</f>
        <v/>
      </c>
      <c r="AY166" s="15" t="str">
        <f t="shared" si="26"/>
        <v/>
      </c>
      <c r="AZ166" s="15" t="str">
        <f>IF(B166="","",VLOOKUP($B166,'C-1 On-Site WaterC'' Baseline'!$C$9:$Y$257,21,FALSE))</f>
        <v/>
      </c>
      <c r="BA166" s="15" t="str">
        <f>IF(B166="","",VLOOKUP($B166,'C-1 On-Site WaterC'' Baseline'!$C$9:$Y$257,19,FALSE))</f>
        <v/>
      </c>
    </row>
    <row r="167" spans="2:53" ht="14" x14ac:dyDescent="0.3">
      <c r="B167" s="319" t="str">
        <f>'C-1 On-Site WaterC'' Baseline'!AP165</f>
        <v/>
      </c>
      <c r="C167" s="310" t="str">
        <f>IF(B167="","",VLOOKUP($B167,'C-1 On-Site WaterC'' Baseline'!$C$9:$R$257,2,FALSE))</f>
        <v/>
      </c>
      <c r="D167" s="310" t="str">
        <f>IF(C167="","",VLOOKUP($B167,'C-1 On-Site WaterC'' Baseline'!$C$9:$R$257,3,FALSE))</f>
        <v/>
      </c>
      <c r="E167" s="310" t="str">
        <f>IF(D167="","",VLOOKUP($B167,'C-1 On-Site WaterC'' Baseline'!$C$9:$R$257,4,FALSE))</f>
        <v/>
      </c>
      <c r="F167" s="310" t="str">
        <f>IF(E167="","",VLOOKUP($B167,'C-1 On-Site WaterC'' Baseline'!$C$9:$R$257,5,FALSE))</f>
        <v/>
      </c>
      <c r="G167" s="310" t="str">
        <f>IF(F167="","",VLOOKUP($B167,'C-1 On-Site WaterC'' Baseline'!$C$9:$R$257,6,FALSE))</f>
        <v/>
      </c>
      <c r="H167" s="310" t="str">
        <f>IF(G167="","",VLOOKUP($B167,'C-1 On-Site WaterC'' Baseline'!$C$9:$R$257,7,FALSE))</f>
        <v/>
      </c>
      <c r="I167" s="310" t="str">
        <f>IF(H167="","",VLOOKUP($B167,'C-1 On-Site WaterC'' Baseline'!$C$9:$R$257,8,FALSE))</f>
        <v/>
      </c>
      <c r="J167" s="310" t="str">
        <f>IF(I167="","",VLOOKUP($B167,'C-1 On-Site WaterC'' Baseline'!$C$9:$R$257,9,FALSE))</f>
        <v/>
      </c>
      <c r="K167" s="310" t="str">
        <f>IF(J167="","",VLOOKUP($B167,'C-1 On-Site WaterC'' Baseline'!$C$9:$R$257,10,FALSE))</f>
        <v/>
      </c>
      <c r="L167" s="310" t="str">
        <f>IF(B167="","",VLOOKUP($B167,'C-1 On-Site WaterC'' Baseline'!$C$9:$R$257,15,FALSE))</f>
        <v/>
      </c>
      <c r="M167" s="314" t="str">
        <f>IF(L167="","",VLOOKUP($B167,'C-1 On-Site WaterC'' Baseline'!$C$9:$R$257,16,FALSE))</f>
        <v/>
      </c>
      <c r="N167" s="259"/>
      <c r="O167" s="290" t="str">
        <f t="shared" si="19"/>
        <v/>
      </c>
      <c r="P167" s="291" t="str">
        <f t="shared" si="20"/>
        <v/>
      </c>
      <c r="Q167" s="346" t="str">
        <f>IF(N167="","",VLOOKUP(B167,'C-1 On-Site WaterC'' Baseline'!$C$10:$AC$257,20,FALSE))</f>
        <v/>
      </c>
      <c r="R167" s="290" t="str">
        <f>IF(N167="","",VLOOKUP(N167,'G-7 WaterC'' Data'!$B$2:$G$8,2,FALSE))</f>
        <v/>
      </c>
      <c r="S167" s="291" t="str">
        <f>IFERROR(VLOOKUP(R167,'G-7 WaterC'' Data'!$C$4:$D$8,2,FALSE),"")</f>
        <v/>
      </c>
      <c r="T167" s="95"/>
      <c r="U167" s="291" t="str">
        <f>IFERROR(INDEX('G-7 WaterC'' Data'!$H$4:$L$8,MATCH(N167,'G-7 WaterC'' Data'!$B$4:$B$8,0),MATCH(T167,'G-7 WaterC'' Data'!$H$3:$L$3,0)),"")</f>
        <v/>
      </c>
      <c r="V167" s="95"/>
      <c r="W167" s="298" t="str">
        <f>IF(V167="","",IF(VLOOKUP(V167,'G-7 WaterC'' Data'!$AK$4:$AM$6,2,FALSE)=0,"Spatial Data Missing ⚠",VLOOKUP(V167,'G-7 WaterC'' Data'!$AK$4:$AM$6,2,FALSE)))</f>
        <v/>
      </c>
      <c r="X167" s="291" t="str">
        <f>IF(V167="","",IF(VLOOKUP(V167,'G-7 WaterC'' Data'!$AK$4:$AM$6,3,FALSE)=0,"Spatial Data Missing ⚠",VLOOKUP(V167,'G-7 WaterC'' Data'!$AK$4:$AM$6,3,FALSE)))</f>
        <v/>
      </c>
      <c r="Y167" s="290" t="str">
        <f>IFERROR(IF(OR(LEFT(P167,5)="Error",LEFT(O167,5)="Error ▲"),"Check Data ⚠",IF(F167&lt;S167,'G-7 WaterC'' Data'!$R$3,INDEX('G-7 WaterC'' Data'!$U$5:$Y$9,MATCH(G167,'G-7 WaterC'' Data'!$T$5:$T$9,0),MATCH(T167,'G-7 WaterC'' Data'!$U$4:$Y$4,0)))),"")</f>
        <v/>
      </c>
      <c r="Z167" s="138"/>
      <c r="AA167" s="138"/>
      <c r="AB167" s="298" t="str">
        <f t="shared" si="21"/>
        <v/>
      </c>
      <c r="AC167" s="311" t="str">
        <f t="shared" si="22"/>
        <v/>
      </c>
      <c r="AD167" s="344" t="str">
        <f>IFERROR(IF(AC167="Check Data ⚠","Check Data ⚠",VLOOKUP(AC167,'G-4 Temporal multipliers'!$A$4:$C$37,3,FALSE)),"")</f>
        <v/>
      </c>
      <c r="AE167" s="290" t="str">
        <f>IF(N167="","",VLOOKUP(N167,'G-7 WaterC'' Data'!$B$4:$G$8,5,FALSE))</f>
        <v/>
      </c>
      <c r="AF167" s="298" t="str">
        <f t="shared" si="23"/>
        <v/>
      </c>
      <c r="AG167" s="328" t="str">
        <f t="shared" si="24"/>
        <v/>
      </c>
      <c r="AH167" s="291" t="str">
        <f t="shared" si="18"/>
        <v/>
      </c>
      <c r="AI167" s="103"/>
      <c r="AJ167" s="291" t="str">
        <f>IF(AI167="","",IF(AND(AI167="N/A - Culvert",N167&lt;&gt;"Culvert"),"Not possible ▲",IF(VLOOKUP(AI167,'G-7 WaterC'' Data'!$AA$4:$AB$7,2,FALSE)=0,"Spatial Data Missing ⚠",VLOOKUP(AI167,'G-7 WaterC'' Data'!$AA$4:$AB$7,2,FALSE))))</f>
        <v/>
      </c>
      <c r="AK167" s="104"/>
      <c r="AL167" s="291" t="str">
        <f>IF(AK167="","",IF(AND(AK167="N/A - Culvert",N167&lt;&gt;"Culvert"),"Not possible ▲",IF(VLOOKUP(AK167,'G-7 WaterC'' Data'!$AD$4:$AE$14,2,FALSE)=0,"Spatial Data Missing ⚠",VLOOKUP(AK167,'G-7 WaterC'' Data'!$AD$4:$AE$14,2,FALSE))))</f>
        <v/>
      </c>
      <c r="AM167" s="332" t="str">
        <f t="shared" si="25"/>
        <v/>
      </c>
      <c r="AN167" s="98"/>
      <c r="AO167" s="99"/>
      <c r="AP167" s="101"/>
      <c r="AS167" s="15" t="str">
        <f>IF(B167="","",IF(ISNA(VLOOKUP($B167,'C-1 On-Site WaterC'' Baseline'!$C$8:$AD$257,17,FALSE)),"",(VLOOKUP($B167,'C-1 On-Site WaterC'' Baseline'!$C$8:$AD$257,17,FALSE))))</f>
        <v/>
      </c>
      <c r="AT167" s="15" t="str">
        <f>IF(B167="","",VLOOKUP($B167,'C-1 On-Site WaterC'' Baseline'!$C$9:$Z$257,12,FALSE))</f>
        <v/>
      </c>
      <c r="AU167" s="15" t="str">
        <f>IF(B167="","",VLOOKUP($B167,'C-1 On-Site WaterC'' Baseline'!$C$9:$Z$257,14,FALSE))</f>
        <v/>
      </c>
      <c r="AV167" s="15" t="str">
        <f>IFERROR(INDEX('G-7 WaterC'' Data'!$AZ$3:$AZ$7,MATCH(N167,'G-7 WaterC'' Data'!$AY$3:$AY$7,0)),"")</f>
        <v/>
      </c>
      <c r="AX167" s="15" t="str">
        <f>IF(B167="","",VLOOKUP($B167,'C-1 On-Site WaterC'' Baseline'!$C$9:$Y$257,22,FALSE))</f>
        <v/>
      </c>
      <c r="AY167" s="15" t="str">
        <f t="shared" si="26"/>
        <v/>
      </c>
      <c r="AZ167" s="15" t="str">
        <f>IF(B167="","",VLOOKUP($B167,'C-1 On-Site WaterC'' Baseline'!$C$9:$Y$257,21,FALSE))</f>
        <v/>
      </c>
      <c r="BA167" s="15" t="str">
        <f>IF(B167="","",VLOOKUP($B167,'C-1 On-Site WaterC'' Baseline'!$C$9:$Y$257,19,FALSE))</f>
        <v/>
      </c>
    </row>
    <row r="168" spans="2:53" ht="14" x14ac:dyDescent="0.3">
      <c r="B168" s="319" t="str">
        <f>'C-1 On-Site WaterC'' Baseline'!AP166</f>
        <v/>
      </c>
      <c r="C168" s="310" t="str">
        <f>IF(B168="","",VLOOKUP($B168,'C-1 On-Site WaterC'' Baseline'!$C$9:$R$257,2,FALSE))</f>
        <v/>
      </c>
      <c r="D168" s="310" t="str">
        <f>IF(C168="","",VLOOKUP($B168,'C-1 On-Site WaterC'' Baseline'!$C$9:$R$257,3,FALSE))</f>
        <v/>
      </c>
      <c r="E168" s="310" t="str">
        <f>IF(D168="","",VLOOKUP($B168,'C-1 On-Site WaterC'' Baseline'!$C$9:$R$257,4,FALSE))</f>
        <v/>
      </c>
      <c r="F168" s="310" t="str">
        <f>IF(E168="","",VLOOKUP($B168,'C-1 On-Site WaterC'' Baseline'!$C$9:$R$257,5,FALSE))</f>
        <v/>
      </c>
      <c r="G168" s="310" t="str">
        <f>IF(F168="","",VLOOKUP($B168,'C-1 On-Site WaterC'' Baseline'!$C$9:$R$257,6,FALSE))</f>
        <v/>
      </c>
      <c r="H168" s="310" t="str">
        <f>IF(G168="","",VLOOKUP($B168,'C-1 On-Site WaterC'' Baseline'!$C$9:$R$257,7,FALSE))</f>
        <v/>
      </c>
      <c r="I168" s="310" t="str">
        <f>IF(H168="","",VLOOKUP($B168,'C-1 On-Site WaterC'' Baseline'!$C$9:$R$257,8,FALSE))</f>
        <v/>
      </c>
      <c r="J168" s="310" t="str">
        <f>IF(I168="","",VLOOKUP($B168,'C-1 On-Site WaterC'' Baseline'!$C$9:$R$257,9,FALSE))</f>
        <v/>
      </c>
      <c r="K168" s="310" t="str">
        <f>IF(J168="","",VLOOKUP($B168,'C-1 On-Site WaterC'' Baseline'!$C$9:$R$257,10,FALSE))</f>
        <v/>
      </c>
      <c r="L168" s="310" t="str">
        <f>IF(B168="","",VLOOKUP($B168,'C-1 On-Site WaterC'' Baseline'!$C$9:$R$257,15,FALSE))</f>
        <v/>
      </c>
      <c r="M168" s="314" t="str">
        <f>IF(L168="","",VLOOKUP($B168,'C-1 On-Site WaterC'' Baseline'!$C$9:$R$257,16,FALSE))</f>
        <v/>
      </c>
      <c r="N168" s="259"/>
      <c r="O168" s="290" t="str">
        <f t="shared" si="19"/>
        <v/>
      </c>
      <c r="P168" s="291" t="str">
        <f t="shared" si="20"/>
        <v/>
      </c>
      <c r="Q168" s="346" t="str">
        <f>IF(N168="","",VLOOKUP(B168,'C-1 On-Site WaterC'' Baseline'!$C$10:$AC$257,20,FALSE))</f>
        <v/>
      </c>
      <c r="R168" s="290" t="str">
        <f>IF(N168="","",VLOOKUP(N168,'G-7 WaterC'' Data'!$B$2:$G$8,2,FALSE))</f>
        <v/>
      </c>
      <c r="S168" s="291" t="str">
        <f>IFERROR(VLOOKUP(R168,'G-7 WaterC'' Data'!$C$4:$D$8,2,FALSE),"")</f>
        <v/>
      </c>
      <c r="T168" s="95"/>
      <c r="U168" s="291" t="str">
        <f>IFERROR(INDEX('G-7 WaterC'' Data'!$H$4:$L$8,MATCH(N168,'G-7 WaterC'' Data'!$B$4:$B$8,0),MATCH(T168,'G-7 WaterC'' Data'!$H$3:$L$3,0)),"")</f>
        <v/>
      </c>
      <c r="V168" s="95"/>
      <c r="W168" s="298" t="str">
        <f>IF(V168="","",IF(VLOOKUP(V168,'G-7 WaterC'' Data'!$AK$4:$AM$6,2,FALSE)=0,"Spatial Data Missing ⚠",VLOOKUP(V168,'G-7 WaterC'' Data'!$AK$4:$AM$6,2,FALSE)))</f>
        <v/>
      </c>
      <c r="X168" s="291" t="str">
        <f>IF(V168="","",IF(VLOOKUP(V168,'G-7 WaterC'' Data'!$AK$4:$AM$6,3,FALSE)=0,"Spatial Data Missing ⚠",VLOOKUP(V168,'G-7 WaterC'' Data'!$AK$4:$AM$6,3,FALSE)))</f>
        <v/>
      </c>
      <c r="Y168" s="290" t="str">
        <f>IFERROR(IF(OR(LEFT(P168,5)="Error",LEFT(O168,5)="Error ▲"),"Check Data ⚠",IF(F168&lt;S168,'G-7 WaterC'' Data'!$R$3,INDEX('G-7 WaterC'' Data'!$U$5:$Y$9,MATCH(G168,'G-7 WaterC'' Data'!$T$5:$T$9,0),MATCH(T168,'G-7 WaterC'' Data'!$U$4:$Y$4,0)))),"")</f>
        <v/>
      </c>
      <c r="Z168" s="138"/>
      <c r="AA168" s="138"/>
      <c r="AB168" s="298" t="str">
        <f t="shared" si="21"/>
        <v/>
      </c>
      <c r="AC168" s="311" t="str">
        <f t="shared" si="22"/>
        <v/>
      </c>
      <c r="AD168" s="344" t="str">
        <f>IFERROR(IF(AC168="Check Data ⚠","Check Data ⚠",VLOOKUP(AC168,'G-4 Temporal multipliers'!$A$4:$C$37,3,FALSE)),"")</f>
        <v/>
      </c>
      <c r="AE168" s="290" t="str">
        <f>IF(N168="","",VLOOKUP(N168,'G-7 WaterC'' Data'!$B$4:$G$8,5,FALSE))</f>
        <v/>
      </c>
      <c r="AF168" s="298" t="str">
        <f t="shared" si="23"/>
        <v/>
      </c>
      <c r="AG168" s="328" t="str">
        <f t="shared" si="24"/>
        <v/>
      </c>
      <c r="AH168" s="291" t="str">
        <f t="shared" si="18"/>
        <v/>
      </c>
      <c r="AI168" s="103"/>
      <c r="AJ168" s="291" t="str">
        <f>IF(AI168="","",IF(AND(AI168="N/A - Culvert",N168&lt;&gt;"Culvert"),"Not possible ▲",IF(VLOOKUP(AI168,'G-7 WaterC'' Data'!$AA$4:$AB$7,2,FALSE)=0,"Spatial Data Missing ⚠",VLOOKUP(AI168,'G-7 WaterC'' Data'!$AA$4:$AB$7,2,FALSE))))</f>
        <v/>
      </c>
      <c r="AK168" s="104"/>
      <c r="AL168" s="291" t="str">
        <f>IF(AK168="","",IF(AND(AK168="N/A - Culvert",N168&lt;&gt;"Culvert"),"Not possible ▲",IF(VLOOKUP(AK168,'G-7 WaterC'' Data'!$AD$4:$AE$14,2,FALSE)=0,"Spatial Data Missing ⚠",VLOOKUP(AK168,'G-7 WaterC'' Data'!$AD$4:$AE$14,2,FALSE))))</f>
        <v/>
      </c>
      <c r="AM168" s="332" t="str">
        <f t="shared" si="25"/>
        <v/>
      </c>
      <c r="AN168" s="98"/>
      <c r="AO168" s="99"/>
      <c r="AP168" s="101"/>
      <c r="AS168" s="15" t="str">
        <f>IF(B168="","",IF(ISNA(VLOOKUP($B168,'C-1 On-Site WaterC'' Baseline'!$C$8:$AD$257,17,FALSE)),"",(VLOOKUP($B168,'C-1 On-Site WaterC'' Baseline'!$C$8:$AD$257,17,FALSE))))</f>
        <v/>
      </c>
      <c r="AT168" s="15" t="str">
        <f>IF(B168="","",VLOOKUP($B168,'C-1 On-Site WaterC'' Baseline'!$C$9:$Z$257,12,FALSE))</f>
        <v/>
      </c>
      <c r="AU168" s="15" t="str">
        <f>IF(B168="","",VLOOKUP($B168,'C-1 On-Site WaterC'' Baseline'!$C$9:$Z$257,14,FALSE))</f>
        <v/>
      </c>
      <c r="AV168" s="15" t="str">
        <f>IFERROR(INDEX('G-7 WaterC'' Data'!$AZ$3:$AZ$7,MATCH(N168,'G-7 WaterC'' Data'!$AY$3:$AY$7,0)),"")</f>
        <v/>
      </c>
      <c r="AX168" s="15" t="str">
        <f>IF(B168="","",VLOOKUP($B168,'C-1 On-Site WaterC'' Baseline'!$C$9:$Y$257,22,FALSE))</f>
        <v/>
      </c>
      <c r="AY168" s="15" t="str">
        <f t="shared" si="26"/>
        <v/>
      </c>
      <c r="AZ168" s="15" t="str">
        <f>IF(B168="","",VLOOKUP($B168,'C-1 On-Site WaterC'' Baseline'!$C$9:$Y$257,21,FALSE))</f>
        <v/>
      </c>
      <c r="BA168" s="15" t="str">
        <f>IF(B168="","",VLOOKUP($B168,'C-1 On-Site WaterC'' Baseline'!$C$9:$Y$257,19,FALSE))</f>
        <v/>
      </c>
    </row>
    <row r="169" spans="2:53" ht="14" x14ac:dyDescent="0.3">
      <c r="B169" s="319" t="str">
        <f>'C-1 On-Site WaterC'' Baseline'!AP167</f>
        <v/>
      </c>
      <c r="C169" s="310" t="str">
        <f>IF(B169="","",VLOOKUP($B169,'C-1 On-Site WaterC'' Baseline'!$C$9:$R$257,2,FALSE))</f>
        <v/>
      </c>
      <c r="D169" s="310" t="str">
        <f>IF(C169="","",VLOOKUP($B169,'C-1 On-Site WaterC'' Baseline'!$C$9:$R$257,3,FALSE))</f>
        <v/>
      </c>
      <c r="E169" s="310" t="str">
        <f>IF(D169="","",VLOOKUP($B169,'C-1 On-Site WaterC'' Baseline'!$C$9:$R$257,4,FALSE))</f>
        <v/>
      </c>
      <c r="F169" s="310" t="str">
        <f>IF(E169="","",VLOOKUP($B169,'C-1 On-Site WaterC'' Baseline'!$C$9:$R$257,5,FALSE))</f>
        <v/>
      </c>
      <c r="G169" s="310" t="str">
        <f>IF(F169="","",VLOOKUP($B169,'C-1 On-Site WaterC'' Baseline'!$C$9:$R$257,6,FALSE))</f>
        <v/>
      </c>
      <c r="H169" s="310" t="str">
        <f>IF(G169="","",VLOOKUP($B169,'C-1 On-Site WaterC'' Baseline'!$C$9:$R$257,7,FALSE))</f>
        <v/>
      </c>
      <c r="I169" s="310" t="str">
        <f>IF(H169="","",VLOOKUP($B169,'C-1 On-Site WaterC'' Baseline'!$C$9:$R$257,8,FALSE))</f>
        <v/>
      </c>
      <c r="J169" s="310" t="str">
        <f>IF(I169="","",VLOOKUP($B169,'C-1 On-Site WaterC'' Baseline'!$C$9:$R$257,9,FALSE))</f>
        <v/>
      </c>
      <c r="K169" s="310" t="str">
        <f>IF(J169="","",VLOOKUP($B169,'C-1 On-Site WaterC'' Baseline'!$C$9:$R$257,10,FALSE))</f>
        <v/>
      </c>
      <c r="L169" s="310" t="str">
        <f>IF(B169="","",VLOOKUP($B169,'C-1 On-Site WaterC'' Baseline'!$C$9:$R$257,15,FALSE))</f>
        <v/>
      </c>
      <c r="M169" s="314" t="str">
        <f>IF(L169="","",VLOOKUP($B169,'C-1 On-Site WaterC'' Baseline'!$C$9:$R$257,16,FALSE))</f>
        <v/>
      </c>
      <c r="N169" s="259"/>
      <c r="O169" s="290" t="str">
        <f t="shared" si="19"/>
        <v/>
      </c>
      <c r="P169" s="291" t="str">
        <f t="shared" si="20"/>
        <v/>
      </c>
      <c r="Q169" s="346" t="str">
        <f>IF(N169="","",VLOOKUP(B169,'C-1 On-Site WaterC'' Baseline'!$C$10:$AC$257,20,FALSE))</f>
        <v/>
      </c>
      <c r="R169" s="290" t="str">
        <f>IF(N169="","",VLOOKUP(N169,'G-7 WaterC'' Data'!$B$2:$G$8,2,FALSE))</f>
        <v/>
      </c>
      <c r="S169" s="291" t="str">
        <f>IFERROR(VLOOKUP(R169,'G-7 WaterC'' Data'!$C$4:$D$8,2,FALSE),"")</f>
        <v/>
      </c>
      <c r="T169" s="95"/>
      <c r="U169" s="291" t="str">
        <f>IFERROR(INDEX('G-7 WaterC'' Data'!$H$4:$L$8,MATCH(N169,'G-7 WaterC'' Data'!$B$4:$B$8,0),MATCH(T169,'G-7 WaterC'' Data'!$H$3:$L$3,0)),"")</f>
        <v/>
      </c>
      <c r="V169" s="95"/>
      <c r="W169" s="298" t="str">
        <f>IF(V169="","",IF(VLOOKUP(V169,'G-7 WaterC'' Data'!$AK$4:$AM$6,2,FALSE)=0,"Spatial Data Missing ⚠",VLOOKUP(V169,'G-7 WaterC'' Data'!$AK$4:$AM$6,2,FALSE)))</f>
        <v/>
      </c>
      <c r="X169" s="291" t="str">
        <f>IF(V169="","",IF(VLOOKUP(V169,'G-7 WaterC'' Data'!$AK$4:$AM$6,3,FALSE)=0,"Spatial Data Missing ⚠",VLOOKUP(V169,'G-7 WaterC'' Data'!$AK$4:$AM$6,3,FALSE)))</f>
        <v/>
      </c>
      <c r="Y169" s="290" t="str">
        <f>IFERROR(IF(OR(LEFT(P169,5)="Error",LEFT(O169,5)="Error ▲"),"Check Data ⚠",IF(F169&lt;S169,'G-7 WaterC'' Data'!$R$3,INDEX('G-7 WaterC'' Data'!$U$5:$Y$9,MATCH(G169,'G-7 WaterC'' Data'!$T$5:$T$9,0),MATCH(T169,'G-7 WaterC'' Data'!$U$4:$Y$4,0)))),"")</f>
        <v/>
      </c>
      <c r="Z169" s="138"/>
      <c r="AA169" s="138"/>
      <c r="AB169" s="298" t="str">
        <f t="shared" si="21"/>
        <v/>
      </c>
      <c r="AC169" s="311" t="str">
        <f t="shared" si="22"/>
        <v/>
      </c>
      <c r="AD169" s="344" t="str">
        <f>IFERROR(IF(AC169="Check Data ⚠","Check Data ⚠",VLOOKUP(AC169,'G-4 Temporal multipliers'!$A$4:$C$37,3,FALSE)),"")</f>
        <v/>
      </c>
      <c r="AE169" s="290" t="str">
        <f>IF(N169="","",VLOOKUP(N169,'G-7 WaterC'' Data'!$B$4:$G$8,5,FALSE))</f>
        <v/>
      </c>
      <c r="AF169" s="298" t="str">
        <f t="shared" si="23"/>
        <v/>
      </c>
      <c r="AG169" s="328" t="str">
        <f t="shared" si="24"/>
        <v/>
      </c>
      <c r="AH169" s="291" t="str">
        <f t="shared" si="18"/>
        <v/>
      </c>
      <c r="AI169" s="103"/>
      <c r="AJ169" s="291" t="str">
        <f>IF(AI169="","",IF(AND(AI169="N/A - Culvert",N169&lt;&gt;"Culvert"),"Not possible ▲",IF(VLOOKUP(AI169,'G-7 WaterC'' Data'!$AA$4:$AB$7,2,FALSE)=0,"Spatial Data Missing ⚠",VLOOKUP(AI169,'G-7 WaterC'' Data'!$AA$4:$AB$7,2,FALSE))))</f>
        <v/>
      </c>
      <c r="AK169" s="104"/>
      <c r="AL169" s="291" t="str">
        <f>IF(AK169="","",IF(AND(AK169="N/A - Culvert",N169&lt;&gt;"Culvert"),"Not possible ▲",IF(VLOOKUP(AK169,'G-7 WaterC'' Data'!$AD$4:$AE$14,2,FALSE)=0,"Spatial Data Missing ⚠",VLOOKUP(AK169,'G-7 WaterC'' Data'!$AD$4:$AE$14,2,FALSE))))</f>
        <v/>
      </c>
      <c r="AM169" s="332" t="str">
        <f t="shared" si="25"/>
        <v/>
      </c>
      <c r="AN169" s="98"/>
      <c r="AO169" s="99"/>
      <c r="AP169" s="101"/>
      <c r="AS169" s="15" t="str">
        <f>IF(B169="","",IF(ISNA(VLOOKUP($B169,'C-1 On-Site WaterC'' Baseline'!$C$8:$AD$257,17,FALSE)),"",(VLOOKUP($B169,'C-1 On-Site WaterC'' Baseline'!$C$8:$AD$257,17,FALSE))))</f>
        <v/>
      </c>
      <c r="AT169" s="15" t="str">
        <f>IF(B169="","",VLOOKUP($B169,'C-1 On-Site WaterC'' Baseline'!$C$9:$Z$257,12,FALSE))</f>
        <v/>
      </c>
      <c r="AU169" s="15" t="str">
        <f>IF(B169="","",VLOOKUP($B169,'C-1 On-Site WaterC'' Baseline'!$C$9:$Z$257,14,FALSE))</f>
        <v/>
      </c>
      <c r="AV169" s="15" t="str">
        <f>IFERROR(INDEX('G-7 WaterC'' Data'!$AZ$3:$AZ$7,MATCH(N169,'G-7 WaterC'' Data'!$AY$3:$AY$7,0)),"")</f>
        <v/>
      </c>
      <c r="AX169" s="15" t="str">
        <f>IF(B169="","",VLOOKUP($B169,'C-1 On-Site WaterC'' Baseline'!$C$9:$Y$257,22,FALSE))</f>
        <v/>
      </c>
      <c r="AY169" s="15" t="str">
        <f t="shared" si="26"/>
        <v/>
      </c>
      <c r="AZ169" s="15" t="str">
        <f>IF(B169="","",VLOOKUP($B169,'C-1 On-Site WaterC'' Baseline'!$C$9:$Y$257,21,FALSE))</f>
        <v/>
      </c>
      <c r="BA169" s="15" t="str">
        <f>IF(B169="","",VLOOKUP($B169,'C-1 On-Site WaterC'' Baseline'!$C$9:$Y$257,19,FALSE))</f>
        <v/>
      </c>
    </row>
    <row r="170" spans="2:53" ht="14" x14ac:dyDescent="0.3">
      <c r="B170" s="319" t="str">
        <f>'C-1 On-Site WaterC'' Baseline'!AP168</f>
        <v/>
      </c>
      <c r="C170" s="310" t="str">
        <f>IF(B170="","",VLOOKUP($B170,'C-1 On-Site WaterC'' Baseline'!$C$9:$R$257,2,FALSE))</f>
        <v/>
      </c>
      <c r="D170" s="310" t="str">
        <f>IF(C170="","",VLOOKUP($B170,'C-1 On-Site WaterC'' Baseline'!$C$9:$R$257,3,FALSE))</f>
        <v/>
      </c>
      <c r="E170" s="310" t="str">
        <f>IF(D170="","",VLOOKUP($B170,'C-1 On-Site WaterC'' Baseline'!$C$9:$R$257,4,FALSE))</f>
        <v/>
      </c>
      <c r="F170" s="310" t="str">
        <f>IF(E170="","",VLOOKUP($B170,'C-1 On-Site WaterC'' Baseline'!$C$9:$R$257,5,FALSE))</f>
        <v/>
      </c>
      <c r="G170" s="310" t="str">
        <f>IF(F170="","",VLOOKUP($B170,'C-1 On-Site WaterC'' Baseline'!$C$9:$R$257,6,FALSE))</f>
        <v/>
      </c>
      <c r="H170" s="310" t="str">
        <f>IF(G170="","",VLOOKUP($B170,'C-1 On-Site WaterC'' Baseline'!$C$9:$R$257,7,FALSE))</f>
        <v/>
      </c>
      <c r="I170" s="310" t="str">
        <f>IF(H170="","",VLOOKUP($B170,'C-1 On-Site WaterC'' Baseline'!$C$9:$R$257,8,FALSE))</f>
        <v/>
      </c>
      <c r="J170" s="310" t="str">
        <f>IF(I170="","",VLOOKUP($B170,'C-1 On-Site WaterC'' Baseline'!$C$9:$R$257,9,FALSE))</f>
        <v/>
      </c>
      <c r="K170" s="310" t="str">
        <f>IF(J170="","",VLOOKUP($B170,'C-1 On-Site WaterC'' Baseline'!$C$9:$R$257,10,FALSE))</f>
        <v/>
      </c>
      <c r="L170" s="310" t="str">
        <f>IF(B170="","",VLOOKUP($B170,'C-1 On-Site WaterC'' Baseline'!$C$9:$R$257,15,FALSE))</f>
        <v/>
      </c>
      <c r="M170" s="314" t="str">
        <f>IF(L170="","",VLOOKUP($B170,'C-1 On-Site WaterC'' Baseline'!$C$9:$R$257,16,FALSE))</f>
        <v/>
      </c>
      <c r="N170" s="259"/>
      <c r="O170" s="290" t="str">
        <f t="shared" si="19"/>
        <v/>
      </c>
      <c r="P170" s="291" t="str">
        <f t="shared" si="20"/>
        <v/>
      </c>
      <c r="Q170" s="346" t="str">
        <f>IF(N170="","",VLOOKUP(B170,'C-1 On-Site WaterC'' Baseline'!$C$10:$AC$257,20,FALSE))</f>
        <v/>
      </c>
      <c r="R170" s="290" t="str">
        <f>IF(N170="","",VLOOKUP(N170,'G-7 WaterC'' Data'!$B$2:$G$8,2,FALSE))</f>
        <v/>
      </c>
      <c r="S170" s="291" t="str">
        <f>IFERROR(VLOOKUP(R170,'G-7 WaterC'' Data'!$C$4:$D$8,2,FALSE),"")</f>
        <v/>
      </c>
      <c r="T170" s="95"/>
      <c r="U170" s="291" t="str">
        <f>IFERROR(INDEX('G-7 WaterC'' Data'!$H$4:$L$8,MATCH(N170,'G-7 WaterC'' Data'!$B$4:$B$8,0),MATCH(T170,'G-7 WaterC'' Data'!$H$3:$L$3,0)),"")</f>
        <v/>
      </c>
      <c r="V170" s="95"/>
      <c r="W170" s="298" t="str">
        <f>IF(V170="","",IF(VLOOKUP(V170,'G-7 WaterC'' Data'!$AK$4:$AM$6,2,FALSE)=0,"Spatial Data Missing ⚠",VLOOKUP(V170,'G-7 WaterC'' Data'!$AK$4:$AM$6,2,FALSE)))</f>
        <v/>
      </c>
      <c r="X170" s="291" t="str">
        <f>IF(V170="","",IF(VLOOKUP(V170,'G-7 WaterC'' Data'!$AK$4:$AM$6,3,FALSE)=0,"Spatial Data Missing ⚠",VLOOKUP(V170,'G-7 WaterC'' Data'!$AK$4:$AM$6,3,FALSE)))</f>
        <v/>
      </c>
      <c r="Y170" s="290" t="str">
        <f>IFERROR(IF(OR(LEFT(P170,5)="Error",LEFT(O170,5)="Error ▲"),"Check Data ⚠",IF(F170&lt;S170,'G-7 WaterC'' Data'!$R$3,INDEX('G-7 WaterC'' Data'!$U$5:$Y$9,MATCH(G170,'G-7 WaterC'' Data'!$T$5:$T$9,0),MATCH(T170,'G-7 WaterC'' Data'!$U$4:$Y$4,0)))),"")</f>
        <v/>
      </c>
      <c r="Z170" s="138"/>
      <c r="AA170" s="138"/>
      <c r="AB170" s="298" t="str">
        <f t="shared" si="21"/>
        <v/>
      </c>
      <c r="AC170" s="311" t="str">
        <f t="shared" si="22"/>
        <v/>
      </c>
      <c r="AD170" s="344" t="str">
        <f>IFERROR(IF(AC170="Check Data ⚠","Check Data ⚠",VLOOKUP(AC170,'G-4 Temporal multipliers'!$A$4:$C$37,3,FALSE)),"")</f>
        <v/>
      </c>
      <c r="AE170" s="290" t="str">
        <f>IF(N170="","",VLOOKUP(N170,'G-7 WaterC'' Data'!$B$4:$G$8,5,FALSE))</f>
        <v/>
      </c>
      <c r="AF170" s="298" t="str">
        <f t="shared" si="23"/>
        <v/>
      </c>
      <c r="AG170" s="328" t="str">
        <f t="shared" si="24"/>
        <v/>
      </c>
      <c r="AH170" s="291" t="str">
        <f t="shared" si="18"/>
        <v/>
      </c>
      <c r="AI170" s="103"/>
      <c r="AJ170" s="291" t="str">
        <f>IF(AI170="","",IF(AND(AI170="N/A - Culvert",N170&lt;&gt;"Culvert"),"Not possible ▲",IF(VLOOKUP(AI170,'G-7 WaterC'' Data'!$AA$4:$AB$7,2,FALSE)=0,"Spatial Data Missing ⚠",VLOOKUP(AI170,'G-7 WaterC'' Data'!$AA$4:$AB$7,2,FALSE))))</f>
        <v/>
      </c>
      <c r="AK170" s="104"/>
      <c r="AL170" s="291" t="str">
        <f>IF(AK170="","",IF(AND(AK170="N/A - Culvert",N170&lt;&gt;"Culvert"),"Not possible ▲",IF(VLOOKUP(AK170,'G-7 WaterC'' Data'!$AD$4:$AE$14,2,FALSE)=0,"Spatial Data Missing ⚠",VLOOKUP(AK170,'G-7 WaterC'' Data'!$AD$4:$AE$14,2,FALSE))))</f>
        <v/>
      </c>
      <c r="AM170" s="332" t="str">
        <f t="shared" si="25"/>
        <v/>
      </c>
      <c r="AN170" s="98"/>
      <c r="AO170" s="99"/>
      <c r="AP170" s="101"/>
      <c r="AS170" s="15" t="str">
        <f>IF(B170="","",IF(ISNA(VLOOKUP($B170,'C-1 On-Site WaterC'' Baseline'!$C$8:$AD$257,17,FALSE)),"",(VLOOKUP($B170,'C-1 On-Site WaterC'' Baseline'!$C$8:$AD$257,17,FALSE))))</f>
        <v/>
      </c>
      <c r="AT170" s="15" t="str">
        <f>IF(B170="","",VLOOKUP($B170,'C-1 On-Site WaterC'' Baseline'!$C$9:$Z$257,12,FALSE))</f>
        <v/>
      </c>
      <c r="AU170" s="15" t="str">
        <f>IF(B170="","",VLOOKUP($B170,'C-1 On-Site WaterC'' Baseline'!$C$9:$Z$257,14,FALSE))</f>
        <v/>
      </c>
      <c r="AV170" s="15" t="str">
        <f>IFERROR(INDEX('G-7 WaterC'' Data'!$AZ$3:$AZ$7,MATCH(N170,'G-7 WaterC'' Data'!$AY$3:$AY$7,0)),"")</f>
        <v/>
      </c>
      <c r="AX170" s="15" t="str">
        <f>IF(B170="","",VLOOKUP($B170,'C-1 On-Site WaterC'' Baseline'!$C$9:$Y$257,22,FALSE))</f>
        <v/>
      </c>
      <c r="AY170" s="15" t="str">
        <f t="shared" si="26"/>
        <v/>
      </c>
      <c r="AZ170" s="15" t="str">
        <f>IF(B170="","",VLOOKUP($B170,'C-1 On-Site WaterC'' Baseline'!$C$9:$Y$257,21,FALSE))</f>
        <v/>
      </c>
      <c r="BA170" s="15" t="str">
        <f>IF(B170="","",VLOOKUP($B170,'C-1 On-Site WaterC'' Baseline'!$C$9:$Y$257,19,FALSE))</f>
        <v/>
      </c>
    </row>
    <row r="171" spans="2:53" ht="14" x14ac:dyDescent="0.3">
      <c r="B171" s="319" t="str">
        <f>'C-1 On-Site WaterC'' Baseline'!AP169</f>
        <v/>
      </c>
      <c r="C171" s="310" t="str">
        <f>IF(B171="","",VLOOKUP($B171,'C-1 On-Site WaterC'' Baseline'!$C$9:$R$257,2,FALSE))</f>
        <v/>
      </c>
      <c r="D171" s="310" t="str">
        <f>IF(C171="","",VLOOKUP($B171,'C-1 On-Site WaterC'' Baseline'!$C$9:$R$257,3,FALSE))</f>
        <v/>
      </c>
      <c r="E171" s="310" t="str">
        <f>IF(D171="","",VLOOKUP($B171,'C-1 On-Site WaterC'' Baseline'!$C$9:$R$257,4,FALSE))</f>
        <v/>
      </c>
      <c r="F171" s="310" t="str">
        <f>IF(E171="","",VLOOKUP($B171,'C-1 On-Site WaterC'' Baseline'!$C$9:$R$257,5,FALSE))</f>
        <v/>
      </c>
      <c r="G171" s="310" t="str">
        <f>IF(F171="","",VLOOKUP($B171,'C-1 On-Site WaterC'' Baseline'!$C$9:$R$257,6,FALSE))</f>
        <v/>
      </c>
      <c r="H171" s="310" t="str">
        <f>IF(G171="","",VLOOKUP($B171,'C-1 On-Site WaterC'' Baseline'!$C$9:$R$257,7,FALSE))</f>
        <v/>
      </c>
      <c r="I171" s="310" t="str">
        <f>IF(H171="","",VLOOKUP($B171,'C-1 On-Site WaterC'' Baseline'!$C$9:$R$257,8,FALSE))</f>
        <v/>
      </c>
      <c r="J171" s="310" t="str">
        <f>IF(I171="","",VLOOKUP($B171,'C-1 On-Site WaterC'' Baseline'!$C$9:$R$257,9,FALSE))</f>
        <v/>
      </c>
      <c r="K171" s="310" t="str">
        <f>IF(J171="","",VLOOKUP($B171,'C-1 On-Site WaterC'' Baseline'!$C$9:$R$257,10,FALSE))</f>
        <v/>
      </c>
      <c r="L171" s="310" t="str">
        <f>IF(B171="","",VLOOKUP($B171,'C-1 On-Site WaterC'' Baseline'!$C$9:$R$257,15,FALSE))</f>
        <v/>
      </c>
      <c r="M171" s="314" t="str">
        <f>IF(L171="","",VLOOKUP($B171,'C-1 On-Site WaterC'' Baseline'!$C$9:$R$257,16,FALSE))</f>
        <v/>
      </c>
      <c r="N171" s="259"/>
      <c r="O171" s="290" t="str">
        <f t="shared" si="19"/>
        <v/>
      </c>
      <c r="P171" s="291" t="str">
        <f t="shared" si="20"/>
        <v/>
      </c>
      <c r="Q171" s="346" t="str">
        <f>IF(N171="","",VLOOKUP(B171,'C-1 On-Site WaterC'' Baseline'!$C$10:$AC$257,20,FALSE))</f>
        <v/>
      </c>
      <c r="R171" s="290" t="str">
        <f>IF(N171="","",VLOOKUP(N171,'G-7 WaterC'' Data'!$B$2:$G$8,2,FALSE))</f>
        <v/>
      </c>
      <c r="S171" s="291" t="str">
        <f>IFERROR(VLOOKUP(R171,'G-7 WaterC'' Data'!$C$4:$D$8,2,FALSE),"")</f>
        <v/>
      </c>
      <c r="T171" s="95"/>
      <c r="U171" s="291" t="str">
        <f>IFERROR(INDEX('G-7 WaterC'' Data'!$H$4:$L$8,MATCH(N171,'G-7 WaterC'' Data'!$B$4:$B$8,0),MATCH(T171,'G-7 WaterC'' Data'!$H$3:$L$3,0)),"")</f>
        <v/>
      </c>
      <c r="V171" s="95"/>
      <c r="W171" s="298" t="str">
        <f>IF(V171="","",IF(VLOOKUP(V171,'G-7 WaterC'' Data'!$AK$4:$AM$6,2,FALSE)=0,"Spatial Data Missing ⚠",VLOOKUP(V171,'G-7 WaterC'' Data'!$AK$4:$AM$6,2,FALSE)))</f>
        <v/>
      </c>
      <c r="X171" s="291" t="str">
        <f>IF(V171="","",IF(VLOOKUP(V171,'G-7 WaterC'' Data'!$AK$4:$AM$6,3,FALSE)=0,"Spatial Data Missing ⚠",VLOOKUP(V171,'G-7 WaterC'' Data'!$AK$4:$AM$6,3,FALSE)))</f>
        <v/>
      </c>
      <c r="Y171" s="290" t="str">
        <f>IFERROR(IF(OR(LEFT(P171,5)="Error",LEFT(O171,5)="Error ▲"),"Check Data ⚠",IF(F171&lt;S171,'G-7 WaterC'' Data'!$R$3,INDEX('G-7 WaterC'' Data'!$U$5:$Y$9,MATCH(G171,'G-7 WaterC'' Data'!$T$5:$T$9,0),MATCH(T171,'G-7 WaterC'' Data'!$U$4:$Y$4,0)))),"")</f>
        <v/>
      </c>
      <c r="Z171" s="138"/>
      <c r="AA171" s="138"/>
      <c r="AB171" s="298" t="str">
        <f t="shared" si="21"/>
        <v/>
      </c>
      <c r="AC171" s="311" t="str">
        <f t="shared" si="22"/>
        <v/>
      </c>
      <c r="AD171" s="344" t="str">
        <f>IFERROR(IF(AC171="Check Data ⚠","Check Data ⚠",VLOOKUP(AC171,'G-4 Temporal multipliers'!$A$4:$C$37,3,FALSE)),"")</f>
        <v/>
      </c>
      <c r="AE171" s="290" t="str">
        <f>IF(N171="","",VLOOKUP(N171,'G-7 WaterC'' Data'!$B$4:$G$8,5,FALSE))</f>
        <v/>
      </c>
      <c r="AF171" s="298" t="str">
        <f t="shared" si="23"/>
        <v/>
      </c>
      <c r="AG171" s="328" t="str">
        <f t="shared" si="24"/>
        <v/>
      </c>
      <c r="AH171" s="291" t="str">
        <f t="shared" si="18"/>
        <v/>
      </c>
      <c r="AI171" s="103"/>
      <c r="AJ171" s="291" t="str">
        <f>IF(AI171="","",IF(AND(AI171="N/A - Culvert",N171&lt;&gt;"Culvert"),"Not possible ▲",IF(VLOOKUP(AI171,'G-7 WaterC'' Data'!$AA$4:$AB$7,2,FALSE)=0,"Spatial Data Missing ⚠",VLOOKUP(AI171,'G-7 WaterC'' Data'!$AA$4:$AB$7,2,FALSE))))</f>
        <v/>
      </c>
      <c r="AK171" s="104"/>
      <c r="AL171" s="291" t="str">
        <f>IF(AK171="","",IF(AND(AK171="N/A - Culvert",N171&lt;&gt;"Culvert"),"Not possible ▲",IF(VLOOKUP(AK171,'G-7 WaterC'' Data'!$AD$4:$AE$14,2,FALSE)=0,"Spatial Data Missing ⚠",VLOOKUP(AK171,'G-7 WaterC'' Data'!$AD$4:$AE$14,2,FALSE))))</f>
        <v/>
      </c>
      <c r="AM171" s="332" t="str">
        <f t="shared" si="25"/>
        <v/>
      </c>
      <c r="AN171" s="98"/>
      <c r="AO171" s="99"/>
      <c r="AP171" s="101"/>
      <c r="AS171" s="15" t="str">
        <f>IF(B171="","",IF(ISNA(VLOOKUP($B171,'C-1 On-Site WaterC'' Baseline'!$C$8:$AD$257,17,FALSE)),"",(VLOOKUP($B171,'C-1 On-Site WaterC'' Baseline'!$C$8:$AD$257,17,FALSE))))</f>
        <v/>
      </c>
      <c r="AT171" s="15" t="str">
        <f>IF(B171="","",VLOOKUP($B171,'C-1 On-Site WaterC'' Baseline'!$C$9:$Z$257,12,FALSE))</f>
        <v/>
      </c>
      <c r="AU171" s="15" t="str">
        <f>IF(B171="","",VLOOKUP($B171,'C-1 On-Site WaterC'' Baseline'!$C$9:$Z$257,14,FALSE))</f>
        <v/>
      </c>
      <c r="AV171" s="15" t="str">
        <f>IFERROR(INDEX('G-7 WaterC'' Data'!$AZ$3:$AZ$7,MATCH(N171,'G-7 WaterC'' Data'!$AY$3:$AY$7,0)),"")</f>
        <v/>
      </c>
      <c r="AX171" s="15" t="str">
        <f>IF(B171="","",VLOOKUP($B171,'C-1 On-Site WaterC'' Baseline'!$C$9:$Y$257,22,FALSE))</f>
        <v/>
      </c>
      <c r="AY171" s="15" t="str">
        <f t="shared" si="26"/>
        <v/>
      </c>
      <c r="AZ171" s="15" t="str">
        <f>IF(B171="","",VLOOKUP($B171,'C-1 On-Site WaterC'' Baseline'!$C$9:$Y$257,21,FALSE))</f>
        <v/>
      </c>
      <c r="BA171" s="15" t="str">
        <f>IF(B171="","",VLOOKUP($B171,'C-1 On-Site WaterC'' Baseline'!$C$9:$Y$257,19,FALSE))</f>
        <v/>
      </c>
    </row>
    <row r="172" spans="2:53" ht="14" x14ac:dyDescent="0.3">
      <c r="B172" s="319" t="str">
        <f>'C-1 On-Site WaterC'' Baseline'!AP170</f>
        <v/>
      </c>
      <c r="C172" s="310" t="str">
        <f>IF(B172="","",VLOOKUP($B172,'C-1 On-Site WaterC'' Baseline'!$C$9:$R$257,2,FALSE))</f>
        <v/>
      </c>
      <c r="D172" s="310" t="str">
        <f>IF(C172="","",VLOOKUP($B172,'C-1 On-Site WaterC'' Baseline'!$C$9:$R$257,3,FALSE))</f>
        <v/>
      </c>
      <c r="E172" s="310" t="str">
        <f>IF(D172="","",VLOOKUP($B172,'C-1 On-Site WaterC'' Baseline'!$C$9:$R$257,4,FALSE))</f>
        <v/>
      </c>
      <c r="F172" s="310" t="str">
        <f>IF(E172="","",VLOOKUP($B172,'C-1 On-Site WaterC'' Baseline'!$C$9:$R$257,5,FALSE))</f>
        <v/>
      </c>
      <c r="G172" s="310" t="str">
        <f>IF(F172="","",VLOOKUP($B172,'C-1 On-Site WaterC'' Baseline'!$C$9:$R$257,6,FALSE))</f>
        <v/>
      </c>
      <c r="H172" s="310" t="str">
        <f>IF(G172="","",VLOOKUP($B172,'C-1 On-Site WaterC'' Baseline'!$C$9:$R$257,7,FALSE))</f>
        <v/>
      </c>
      <c r="I172" s="310" t="str">
        <f>IF(H172="","",VLOOKUP($B172,'C-1 On-Site WaterC'' Baseline'!$C$9:$R$257,8,FALSE))</f>
        <v/>
      </c>
      <c r="J172" s="310" t="str">
        <f>IF(I172="","",VLOOKUP($B172,'C-1 On-Site WaterC'' Baseline'!$C$9:$R$257,9,FALSE))</f>
        <v/>
      </c>
      <c r="K172" s="310" t="str">
        <f>IF(J172="","",VLOOKUP($B172,'C-1 On-Site WaterC'' Baseline'!$C$9:$R$257,10,FALSE))</f>
        <v/>
      </c>
      <c r="L172" s="310" t="str">
        <f>IF(B172="","",VLOOKUP($B172,'C-1 On-Site WaterC'' Baseline'!$C$9:$R$257,15,FALSE))</f>
        <v/>
      </c>
      <c r="M172" s="314" t="str">
        <f>IF(L172="","",VLOOKUP($B172,'C-1 On-Site WaterC'' Baseline'!$C$9:$R$257,16,FALSE))</f>
        <v/>
      </c>
      <c r="N172" s="259"/>
      <c r="O172" s="290" t="str">
        <f t="shared" si="19"/>
        <v/>
      </c>
      <c r="P172" s="291" t="str">
        <f t="shared" si="20"/>
        <v/>
      </c>
      <c r="Q172" s="346" t="str">
        <f>IF(N172="","",VLOOKUP(B172,'C-1 On-Site WaterC'' Baseline'!$C$10:$AC$257,20,FALSE))</f>
        <v/>
      </c>
      <c r="R172" s="290" t="str">
        <f>IF(N172="","",VLOOKUP(N172,'G-7 WaterC'' Data'!$B$2:$G$8,2,FALSE))</f>
        <v/>
      </c>
      <c r="S172" s="291" t="str">
        <f>IFERROR(VLOOKUP(R172,'G-7 WaterC'' Data'!$C$4:$D$8,2,FALSE),"")</f>
        <v/>
      </c>
      <c r="T172" s="95"/>
      <c r="U172" s="291" t="str">
        <f>IFERROR(INDEX('G-7 WaterC'' Data'!$H$4:$L$8,MATCH(N172,'G-7 WaterC'' Data'!$B$4:$B$8,0),MATCH(T172,'G-7 WaterC'' Data'!$H$3:$L$3,0)),"")</f>
        <v/>
      </c>
      <c r="V172" s="95"/>
      <c r="W172" s="298" t="str">
        <f>IF(V172="","",IF(VLOOKUP(V172,'G-7 WaterC'' Data'!$AK$4:$AM$6,2,FALSE)=0,"Spatial Data Missing ⚠",VLOOKUP(V172,'G-7 WaterC'' Data'!$AK$4:$AM$6,2,FALSE)))</f>
        <v/>
      </c>
      <c r="X172" s="291" t="str">
        <f>IF(V172="","",IF(VLOOKUP(V172,'G-7 WaterC'' Data'!$AK$4:$AM$6,3,FALSE)=0,"Spatial Data Missing ⚠",VLOOKUP(V172,'G-7 WaterC'' Data'!$AK$4:$AM$6,3,FALSE)))</f>
        <v/>
      </c>
      <c r="Y172" s="290" t="str">
        <f>IFERROR(IF(OR(LEFT(P172,5)="Error",LEFT(O172,5)="Error ▲"),"Check Data ⚠",IF(F172&lt;S172,'G-7 WaterC'' Data'!$R$3,INDEX('G-7 WaterC'' Data'!$U$5:$Y$9,MATCH(G172,'G-7 WaterC'' Data'!$T$5:$T$9,0),MATCH(T172,'G-7 WaterC'' Data'!$U$4:$Y$4,0)))),"")</f>
        <v/>
      </c>
      <c r="Z172" s="138"/>
      <c r="AA172" s="138"/>
      <c r="AB172" s="298" t="str">
        <f t="shared" si="21"/>
        <v/>
      </c>
      <c r="AC172" s="311" t="str">
        <f t="shared" si="22"/>
        <v/>
      </c>
      <c r="AD172" s="344" t="str">
        <f>IFERROR(IF(AC172="Check Data ⚠","Check Data ⚠",VLOOKUP(AC172,'G-4 Temporal multipliers'!$A$4:$C$37,3,FALSE)),"")</f>
        <v/>
      </c>
      <c r="AE172" s="290" t="str">
        <f>IF(N172="","",VLOOKUP(N172,'G-7 WaterC'' Data'!$B$4:$G$8,5,FALSE))</f>
        <v/>
      </c>
      <c r="AF172" s="298" t="str">
        <f t="shared" si="23"/>
        <v/>
      </c>
      <c r="AG172" s="328" t="str">
        <f t="shared" si="24"/>
        <v/>
      </c>
      <c r="AH172" s="291" t="str">
        <f t="shared" si="18"/>
        <v/>
      </c>
      <c r="AI172" s="103"/>
      <c r="AJ172" s="291" t="str">
        <f>IF(AI172="","",IF(AND(AI172="N/A - Culvert",N172&lt;&gt;"Culvert"),"Not possible ▲",IF(VLOOKUP(AI172,'G-7 WaterC'' Data'!$AA$4:$AB$7,2,FALSE)=0,"Spatial Data Missing ⚠",VLOOKUP(AI172,'G-7 WaterC'' Data'!$AA$4:$AB$7,2,FALSE))))</f>
        <v/>
      </c>
      <c r="AK172" s="104"/>
      <c r="AL172" s="291" t="str">
        <f>IF(AK172="","",IF(AND(AK172="N/A - Culvert",N172&lt;&gt;"Culvert"),"Not possible ▲",IF(VLOOKUP(AK172,'G-7 WaterC'' Data'!$AD$4:$AE$14,2,FALSE)=0,"Spatial Data Missing ⚠",VLOOKUP(AK172,'G-7 WaterC'' Data'!$AD$4:$AE$14,2,FALSE))))</f>
        <v/>
      </c>
      <c r="AM172" s="332" t="str">
        <f t="shared" si="25"/>
        <v/>
      </c>
      <c r="AN172" s="98"/>
      <c r="AO172" s="99"/>
      <c r="AP172" s="101"/>
      <c r="AS172" s="15" t="str">
        <f>IF(B172="","",IF(ISNA(VLOOKUP($B172,'C-1 On-Site WaterC'' Baseline'!$C$8:$AD$257,17,FALSE)),"",(VLOOKUP($B172,'C-1 On-Site WaterC'' Baseline'!$C$8:$AD$257,17,FALSE))))</f>
        <v/>
      </c>
      <c r="AT172" s="15" t="str">
        <f>IF(B172="","",VLOOKUP($B172,'C-1 On-Site WaterC'' Baseline'!$C$9:$Z$257,12,FALSE))</f>
        <v/>
      </c>
      <c r="AU172" s="15" t="str">
        <f>IF(B172="","",VLOOKUP($B172,'C-1 On-Site WaterC'' Baseline'!$C$9:$Z$257,14,FALSE))</f>
        <v/>
      </c>
      <c r="AV172" s="15" t="str">
        <f>IFERROR(INDEX('G-7 WaterC'' Data'!$AZ$3:$AZ$7,MATCH(N172,'G-7 WaterC'' Data'!$AY$3:$AY$7,0)),"")</f>
        <v/>
      </c>
      <c r="AX172" s="15" t="str">
        <f>IF(B172="","",VLOOKUP($B172,'C-1 On-Site WaterC'' Baseline'!$C$9:$Y$257,22,FALSE))</f>
        <v/>
      </c>
      <c r="AY172" s="15" t="str">
        <f t="shared" si="26"/>
        <v/>
      </c>
      <c r="AZ172" s="15" t="str">
        <f>IF(B172="","",VLOOKUP($B172,'C-1 On-Site WaterC'' Baseline'!$C$9:$Y$257,21,FALSE))</f>
        <v/>
      </c>
      <c r="BA172" s="15" t="str">
        <f>IF(B172="","",VLOOKUP($B172,'C-1 On-Site WaterC'' Baseline'!$C$9:$Y$257,19,FALSE))</f>
        <v/>
      </c>
    </row>
    <row r="173" spans="2:53" ht="14" x14ac:dyDescent="0.3">
      <c r="B173" s="319" t="str">
        <f>'C-1 On-Site WaterC'' Baseline'!AP171</f>
        <v/>
      </c>
      <c r="C173" s="310" t="str">
        <f>IF(B173="","",VLOOKUP($B173,'C-1 On-Site WaterC'' Baseline'!$C$9:$R$257,2,FALSE))</f>
        <v/>
      </c>
      <c r="D173" s="310" t="str">
        <f>IF(C173="","",VLOOKUP($B173,'C-1 On-Site WaterC'' Baseline'!$C$9:$R$257,3,FALSE))</f>
        <v/>
      </c>
      <c r="E173" s="310" t="str">
        <f>IF(D173="","",VLOOKUP($B173,'C-1 On-Site WaterC'' Baseline'!$C$9:$R$257,4,FALSE))</f>
        <v/>
      </c>
      <c r="F173" s="310" t="str">
        <f>IF(E173="","",VLOOKUP($B173,'C-1 On-Site WaterC'' Baseline'!$C$9:$R$257,5,FALSE))</f>
        <v/>
      </c>
      <c r="G173" s="310" t="str">
        <f>IF(F173="","",VLOOKUP($B173,'C-1 On-Site WaterC'' Baseline'!$C$9:$R$257,6,FALSE))</f>
        <v/>
      </c>
      <c r="H173" s="310" t="str">
        <f>IF(G173="","",VLOOKUP($B173,'C-1 On-Site WaterC'' Baseline'!$C$9:$R$257,7,FALSE))</f>
        <v/>
      </c>
      <c r="I173" s="310" t="str">
        <f>IF(H173="","",VLOOKUP($B173,'C-1 On-Site WaterC'' Baseline'!$C$9:$R$257,8,FALSE))</f>
        <v/>
      </c>
      <c r="J173" s="310" t="str">
        <f>IF(I173="","",VLOOKUP($B173,'C-1 On-Site WaterC'' Baseline'!$C$9:$R$257,9,FALSE))</f>
        <v/>
      </c>
      <c r="K173" s="310" t="str">
        <f>IF(J173="","",VLOOKUP($B173,'C-1 On-Site WaterC'' Baseline'!$C$9:$R$257,10,FALSE))</f>
        <v/>
      </c>
      <c r="L173" s="310" t="str">
        <f>IF(B173="","",VLOOKUP($B173,'C-1 On-Site WaterC'' Baseline'!$C$9:$R$257,15,FALSE))</f>
        <v/>
      </c>
      <c r="M173" s="314" t="str">
        <f>IF(L173="","",VLOOKUP($B173,'C-1 On-Site WaterC'' Baseline'!$C$9:$R$257,16,FALSE))</f>
        <v/>
      </c>
      <c r="N173" s="259"/>
      <c r="O173" s="290" t="str">
        <f t="shared" si="19"/>
        <v/>
      </c>
      <c r="P173" s="291" t="str">
        <f t="shared" si="20"/>
        <v/>
      </c>
      <c r="Q173" s="346" t="str">
        <f>IF(N173="","",VLOOKUP(B173,'C-1 On-Site WaterC'' Baseline'!$C$10:$AC$257,20,FALSE))</f>
        <v/>
      </c>
      <c r="R173" s="290" t="str">
        <f>IF(N173="","",VLOOKUP(N173,'G-7 WaterC'' Data'!$B$2:$G$8,2,FALSE))</f>
        <v/>
      </c>
      <c r="S173" s="291" t="str">
        <f>IFERROR(VLOOKUP(R173,'G-7 WaterC'' Data'!$C$4:$D$8,2,FALSE),"")</f>
        <v/>
      </c>
      <c r="T173" s="95"/>
      <c r="U173" s="291" t="str">
        <f>IFERROR(INDEX('G-7 WaterC'' Data'!$H$4:$L$8,MATCH(N173,'G-7 WaterC'' Data'!$B$4:$B$8,0),MATCH(T173,'G-7 WaterC'' Data'!$H$3:$L$3,0)),"")</f>
        <v/>
      </c>
      <c r="V173" s="95"/>
      <c r="W173" s="298" t="str">
        <f>IF(V173="","",IF(VLOOKUP(V173,'G-7 WaterC'' Data'!$AK$4:$AM$6,2,FALSE)=0,"Spatial Data Missing ⚠",VLOOKUP(V173,'G-7 WaterC'' Data'!$AK$4:$AM$6,2,FALSE)))</f>
        <v/>
      </c>
      <c r="X173" s="291" t="str">
        <f>IF(V173="","",IF(VLOOKUP(V173,'G-7 WaterC'' Data'!$AK$4:$AM$6,3,FALSE)=0,"Spatial Data Missing ⚠",VLOOKUP(V173,'G-7 WaterC'' Data'!$AK$4:$AM$6,3,FALSE)))</f>
        <v/>
      </c>
      <c r="Y173" s="290" t="str">
        <f>IFERROR(IF(OR(LEFT(P173,5)="Error",LEFT(O173,5)="Error ▲"),"Check Data ⚠",IF(F173&lt;S173,'G-7 WaterC'' Data'!$R$3,INDEX('G-7 WaterC'' Data'!$U$5:$Y$9,MATCH(G173,'G-7 WaterC'' Data'!$T$5:$T$9,0),MATCH(T173,'G-7 WaterC'' Data'!$U$4:$Y$4,0)))),"")</f>
        <v/>
      </c>
      <c r="Z173" s="138"/>
      <c r="AA173" s="138"/>
      <c r="AB173" s="298" t="str">
        <f t="shared" si="21"/>
        <v/>
      </c>
      <c r="AC173" s="311" t="str">
        <f t="shared" si="22"/>
        <v/>
      </c>
      <c r="AD173" s="344" t="str">
        <f>IFERROR(IF(AC173="Check Data ⚠","Check Data ⚠",VLOOKUP(AC173,'G-4 Temporal multipliers'!$A$4:$C$37,3,FALSE)),"")</f>
        <v/>
      </c>
      <c r="AE173" s="290" t="str">
        <f>IF(N173="","",VLOOKUP(N173,'G-7 WaterC'' Data'!$B$4:$G$8,5,FALSE))</f>
        <v/>
      </c>
      <c r="AF173" s="298" t="str">
        <f t="shared" si="23"/>
        <v/>
      </c>
      <c r="AG173" s="328" t="str">
        <f t="shared" si="24"/>
        <v/>
      </c>
      <c r="AH173" s="291" t="str">
        <f t="shared" si="18"/>
        <v/>
      </c>
      <c r="AI173" s="103"/>
      <c r="AJ173" s="291" t="str">
        <f>IF(AI173="","",IF(AND(AI173="N/A - Culvert",N173&lt;&gt;"Culvert"),"Not possible ▲",IF(VLOOKUP(AI173,'G-7 WaterC'' Data'!$AA$4:$AB$7,2,FALSE)=0,"Spatial Data Missing ⚠",VLOOKUP(AI173,'G-7 WaterC'' Data'!$AA$4:$AB$7,2,FALSE))))</f>
        <v/>
      </c>
      <c r="AK173" s="104"/>
      <c r="AL173" s="291" t="str">
        <f>IF(AK173="","",IF(AND(AK173="N/A - Culvert",N173&lt;&gt;"Culvert"),"Not possible ▲",IF(VLOOKUP(AK173,'G-7 WaterC'' Data'!$AD$4:$AE$14,2,FALSE)=0,"Spatial Data Missing ⚠",VLOOKUP(AK173,'G-7 WaterC'' Data'!$AD$4:$AE$14,2,FALSE))))</f>
        <v/>
      </c>
      <c r="AM173" s="332" t="str">
        <f t="shared" si="25"/>
        <v/>
      </c>
      <c r="AN173" s="98"/>
      <c r="AO173" s="99"/>
      <c r="AP173" s="101"/>
      <c r="AS173" s="15" t="str">
        <f>IF(B173="","",IF(ISNA(VLOOKUP($B173,'C-1 On-Site WaterC'' Baseline'!$C$8:$AD$257,17,FALSE)),"",(VLOOKUP($B173,'C-1 On-Site WaterC'' Baseline'!$C$8:$AD$257,17,FALSE))))</f>
        <v/>
      </c>
      <c r="AT173" s="15" t="str">
        <f>IF(B173="","",VLOOKUP($B173,'C-1 On-Site WaterC'' Baseline'!$C$9:$Z$257,12,FALSE))</f>
        <v/>
      </c>
      <c r="AU173" s="15" t="str">
        <f>IF(B173="","",VLOOKUP($B173,'C-1 On-Site WaterC'' Baseline'!$C$9:$Z$257,14,FALSE))</f>
        <v/>
      </c>
      <c r="AV173" s="15" t="str">
        <f>IFERROR(INDEX('G-7 WaterC'' Data'!$AZ$3:$AZ$7,MATCH(N173,'G-7 WaterC'' Data'!$AY$3:$AY$7,0)),"")</f>
        <v/>
      </c>
      <c r="AX173" s="15" t="str">
        <f>IF(B173="","",VLOOKUP($B173,'C-1 On-Site WaterC'' Baseline'!$C$9:$Y$257,22,FALSE))</f>
        <v/>
      </c>
      <c r="AY173" s="15" t="str">
        <f t="shared" si="26"/>
        <v/>
      </c>
      <c r="AZ173" s="15" t="str">
        <f>IF(B173="","",VLOOKUP($B173,'C-1 On-Site WaterC'' Baseline'!$C$9:$Y$257,21,FALSE))</f>
        <v/>
      </c>
      <c r="BA173" s="15" t="str">
        <f>IF(B173="","",VLOOKUP($B173,'C-1 On-Site WaterC'' Baseline'!$C$9:$Y$257,19,FALSE))</f>
        <v/>
      </c>
    </row>
    <row r="174" spans="2:53" ht="14" x14ac:dyDescent="0.3">
      <c r="B174" s="319" t="str">
        <f>'C-1 On-Site WaterC'' Baseline'!AP172</f>
        <v/>
      </c>
      <c r="C174" s="310" t="str">
        <f>IF(B174="","",VLOOKUP($B174,'C-1 On-Site WaterC'' Baseline'!$C$9:$R$257,2,FALSE))</f>
        <v/>
      </c>
      <c r="D174" s="310" t="str">
        <f>IF(C174="","",VLOOKUP($B174,'C-1 On-Site WaterC'' Baseline'!$C$9:$R$257,3,FALSE))</f>
        <v/>
      </c>
      <c r="E174" s="310" t="str">
        <f>IF(D174="","",VLOOKUP($B174,'C-1 On-Site WaterC'' Baseline'!$C$9:$R$257,4,FALSE))</f>
        <v/>
      </c>
      <c r="F174" s="310" t="str">
        <f>IF(E174="","",VLOOKUP($B174,'C-1 On-Site WaterC'' Baseline'!$C$9:$R$257,5,FALSE))</f>
        <v/>
      </c>
      <c r="G174" s="310" t="str">
        <f>IF(F174="","",VLOOKUP($B174,'C-1 On-Site WaterC'' Baseline'!$C$9:$R$257,6,FALSE))</f>
        <v/>
      </c>
      <c r="H174" s="310" t="str">
        <f>IF(G174="","",VLOOKUP($B174,'C-1 On-Site WaterC'' Baseline'!$C$9:$R$257,7,FALSE))</f>
        <v/>
      </c>
      <c r="I174" s="310" t="str">
        <f>IF(H174="","",VLOOKUP($B174,'C-1 On-Site WaterC'' Baseline'!$C$9:$R$257,8,FALSE))</f>
        <v/>
      </c>
      <c r="J174" s="310" t="str">
        <f>IF(I174="","",VLOOKUP($B174,'C-1 On-Site WaterC'' Baseline'!$C$9:$R$257,9,FALSE))</f>
        <v/>
      </c>
      <c r="K174" s="310" t="str">
        <f>IF(J174="","",VLOOKUP($B174,'C-1 On-Site WaterC'' Baseline'!$C$9:$R$257,10,FALSE))</f>
        <v/>
      </c>
      <c r="L174" s="310" t="str">
        <f>IF(B174="","",VLOOKUP($B174,'C-1 On-Site WaterC'' Baseline'!$C$9:$R$257,15,FALSE))</f>
        <v/>
      </c>
      <c r="M174" s="314" t="str">
        <f>IF(L174="","",VLOOKUP($B174,'C-1 On-Site WaterC'' Baseline'!$C$9:$R$257,16,FALSE))</f>
        <v/>
      </c>
      <c r="N174" s="259"/>
      <c r="O174" s="290" t="str">
        <f t="shared" si="19"/>
        <v/>
      </c>
      <c r="P174" s="291" t="str">
        <f t="shared" si="20"/>
        <v/>
      </c>
      <c r="Q174" s="346" t="str">
        <f>IF(N174="","",VLOOKUP(B174,'C-1 On-Site WaterC'' Baseline'!$C$10:$AC$257,20,FALSE))</f>
        <v/>
      </c>
      <c r="R174" s="290" t="str">
        <f>IF(N174="","",VLOOKUP(N174,'G-7 WaterC'' Data'!$B$2:$G$8,2,FALSE))</f>
        <v/>
      </c>
      <c r="S174" s="291" t="str">
        <f>IFERROR(VLOOKUP(R174,'G-7 WaterC'' Data'!$C$4:$D$8,2,FALSE),"")</f>
        <v/>
      </c>
      <c r="T174" s="95"/>
      <c r="U174" s="291" t="str">
        <f>IFERROR(INDEX('G-7 WaterC'' Data'!$H$4:$L$8,MATCH(N174,'G-7 WaterC'' Data'!$B$4:$B$8,0),MATCH(T174,'G-7 WaterC'' Data'!$H$3:$L$3,0)),"")</f>
        <v/>
      </c>
      <c r="V174" s="95"/>
      <c r="W174" s="298" t="str">
        <f>IF(V174="","",IF(VLOOKUP(V174,'G-7 WaterC'' Data'!$AK$4:$AM$6,2,FALSE)=0,"Spatial Data Missing ⚠",VLOOKUP(V174,'G-7 WaterC'' Data'!$AK$4:$AM$6,2,FALSE)))</f>
        <v/>
      </c>
      <c r="X174" s="291" t="str">
        <f>IF(V174="","",IF(VLOOKUP(V174,'G-7 WaterC'' Data'!$AK$4:$AM$6,3,FALSE)=0,"Spatial Data Missing ⚠",VLOOKUP(V174,'G-7 WaterC'' Data'!$AK$4:$AM$6,3,FALSE)))</f>
        <v/>
      </c>
      <c r="Y174" s="290" t="str">
        <f>IFERROR(IF(OR(LEFT(P174,5)="Error",LEFT(O174,5)="Error ▲"),"Check Data ⚠",IF(F174&lt;S174,'G-7 WaterC'' Data'!$R$3,INDEX('G-7 WaterC'' Data'!$U$5:$Y$9,MATCH(G174,'G-7 WaterC'' Data'!$T$5:$T$9,0),MATCH(T174,'G-7 WaterC'' Data'!$U$4:$Y$4,0)))),"")</f>
        <v/>
      </c>
      <c r="Z174" s="138"/>
      <c r="AA174" s="138"/>
      <c r="AB174" s="298" t="str">
        <f t="shared" si="21"/>
        <v/>
      </c>
      <c r="AC174" s="311" t="str">
        <f t="shared" si="22"/>
        <v/>
      </c>
      <c r="AD174" s="344" t="str">
        <f>IFERROR(IF(AC174="Check Data ⚠","Check Data ⚠",VLOOKUP(AC174,'G-4 Temporal multipliers'!$A$4:$C$37,3,FALSE)),"")</f>
        <v/>
      </c>
      <c r="AE174" s="290" t="str">
        <f>IF(N174="","",VLOOKUP(N174,'G-7 WaterC'' Data'!$B$4:$G$8,5,FALSE))</f>
        <v/>
      </c>
      <c r="AF174" s="298" t="str">
        <f t="shared" si="23"/>
        <v/>
      </c>
      <c r="AG174" s="328" t="str">
        <f t="shared" si="24"/>
        <v/>
      </c>
      <c r="AH174" s="291" t="str">
        <f t="shared" si="18"/>
        <v/>
      </c>
      <c r="AI174" s="103"/>
      <c r="AJ174" s="291" t="str">
        <f>IF(AI174="","",IF(AND(AI174="N/A - Culvert",N174&lt;&gt;"Culvert"),"Not possible ▲",IF(VLOOKUP(AI174,'G-7 WaterC'' Data'!$AA$4:$AB$7,2,FALSE)=0,"Spatial Data Missing ⚠",VLOOKUP(AI174,'G-7 WaterC'' Data'!$AA$4:$AB$7,2,FALSE))))</f>
        <v/>
      </c>
      <c r="AK174" s="104"/>
      <c r="AL174" s="291" t="str">
        <f>IF(AK174="","",IF(AND(AK174="N/A - Culvert",N174&lt;&gt;"Culvert"),"Not possible ▲",IF(VLOOKUP(AK174,'G-7 WaterC'' Data'!$AD$4:$AE$14,2,FALSE)=0,"Spatial Data Missing ⚠",VLOOKUP(AK174,'G-7 WaterC'' Data'!$AD$4:$AE$14,2,FALSE))))</f>
        <v/>
      </c>
      <c r="AM174" s="332" t="str">
        <f t="shared" si="25"/>
        <v/>
      </c>
      <c r="AN174" s="98"/>
      <c r="AO174" s="99"/>
      <c r="AP174" s="101"/>
      <c r="AS174" s="15" t="str">
        <f>IF(B174="","",IF(ISNA(VLOOKUP($B174,'C-1 On-Site WaterC'' Baseline'!$C$8:$AD$257,17,FALSE)),"",(VLOOKUP($B174,'C-1 On-Site WaterC'' Baseline'!$C$8:$AD$257,17,FALSE))))</f>
        <v/>
      </c>
      <c r="AT174" s="15" t="str">
        <f>IF(B174="","",VLOOKUP($B174,'C-1 On-Site WaterC'' Baseline'!$C$9:$Z$257,12,FALSE))</f>
        <v/>
      </c>
      <c r="AU174" s="15" t="str">
        <f>IF(B174="","",VLOOKUP($B174,'C-1 On-Site WaterC'' Baseline'!$C$9:$Z$257,14,FALSE))</f>
        <v/>
      </c>
      <c r="AV174" s="15" t="str">
        <f>IFERROR(INDEX('G-7 WaterC'' Data'!$AZ$3:$AZ$7,MATCH(N174,'G-7 WaterC'' Data'!$AY$3:$AY$7,0)),"")</f>
        <v/>
      </c>
      <c r="AX174" s="15" t="str">
        <f>IF(B174="","",VLOOKUP($B174,'C-1 On-Site WaterC'' Baseline'!$C$9:$Y$257,22,FALSE))</f>
        <v/>
      </c>
      <c r="AY174" s="15" t="str">
        <f t="shared" si="26"/>
        <v/>
      </c>
      <c r="AZ174" s="15" t="str">
        <f>IF(B174="","",VLOOKUP($B174,'C-1 On-Site WaterC'' Baseline'!$C$9:$Y$257,21,FALSE))</f>
        <v/>
      </c>
      <c r="BA174" s="15" t="str">
        <f>IF(B174="","",VLOOKUP($B174,'C-1 On-Site WaterC'' Baseline'!$C$9:$Y$257,19,FALSE))</f>
        <v/>
      </c>
    </row>
    <row r="175" spans="2:53" ht="14" x14ac:dyDescent="0.3">
      <c r="B175" s="319" t="str">
        <f>'C-1 On-Site WaterC'' Baseline'!AP173</f>
        <v/>
      </c>
      <c r="C175" s="310" t="str">
        <f>IF(B175="","",VLOOKUP($B175,'C-1 On-Site WaterC'' Baseline'!$C$9:$R$257,2,FALSE))</f>
        <v/>
      </c>
      <c r="D175" s="310" t="str">
        <f>IF(C175="","",VLOOKUP($B175,'C-1 On-Site WaterC'' Baseline'!$C$9:$R$257,3,FALSE))</f>
        <v/>
      </c>
      <c r="E175" s="310" t="str">
        <f>IF(D175="","",VLOOKUP($B175,'C-1 On-Site WaterC'' Baseline'!$C$9:$R$257,4,FALSE))</f>
        <v/>
      </c>
      <c r="F175" s="310" t="str">
        <f>IF(E175="","",VLOOKUP($B175,'C-1 On-Site WaterC'' Baseline'!$C$9:$R$257,5,FALSE))</f>
        <v/>
      </c>
      <c r="G175" s="310" t="str">
        <f>IF(F175="","",VLOOKUP($B175,'C-1 On-Site WaterC'' Baseline'!$C$9:$R$257,6,FALSE))</f>
        <v/>
      </c>
      <c r="H175" s="310" t="str">
        <f>IF(G175="","",VLOOKUP($B175,'C-1 On-Site WaterC'' Baseline'!$C$9:$R$257,7,FALSE))</f>
        <v/>
      </c>
      <c r="I175" s="310" t="str">
        <f>IF(H175="","",VLOOKUP($B175,'C-1 On-Site WaterC'' Baseline'!$C$9:$R$257,8,FALSE))</f>
        <v/>
      </c>
      <c r="J175" s="310" t="str">
        <f>IF(I175="","",VLOOKUP($B175,'C-1 On-Site WaterC'' Baseline'!$C$9:$R$257,9,FALSE))</f>
        <v/>
      </c>
      <c r="K175" s="310" t="str">
        <f>IF(J175="","",VLOOKUP($B175,'C-1 On-Site WaterC'' Baseline'!$C$9:$R$257,10,FALSE))</f>
        <v/>
      </c>
      <c r="L175" s="310" t="str">
        <f>IF(B175="","",VLOOKUP($B175,'C-1 On-Site WaterC'' Baseline'!$C$9:$R$257,15,FALSE))</f>
        <v/>
      </c>
      <c r="M175" s="314" t="str">
        <f>IF(L175="","",VLOOKUP($B175,'C-1 On-Site WaterC'' Baseline'!$C$9:$R$257,16,FALSE))</f>
        <v/>
      </c>
      <c r="N175" s="259"/>
      <c r="O175" s="290" t="str">
        <f t="shared" si="19"/>
        <v/>
      </c>
      <c r="P175" s="291" t="str">
        <f t="shared" si="20"/>
        <v/>
      </c>
      <c r="Q175" s="346" t="str">
        <f>IF(N175="","",VLOOKUP(B175,'C-1 On-Site WaterC'' Baseline'!$C$10:$AC$257,20,FALSE))</f>
        <v/>
      </c>
      <c r="R175" s="290" t="str">
        <f>IF(N175="","",VLOOKUP(N175,'G-7 WaterC'' Data'!$B$2:$G$8,2,FALSE))</f>
        <v/>
      </c>
      <c r="S175" s="291" t="str">
        <f>IFERROR(VLOOKUP(R175,'G-7 WaterC'' Data'!$C$4:$D$8,2,FALSE),"")</f>
        <v/>
      </c>
      <c r="T175" s="95"/>
      <c r="U175" s="291" t="str">
        <f>IFERROR(INDEX('G-7 WaterC'' Data'!$H$4:$L$8,MATCH(N175,'G-7 WaterC'' Data'!$B$4:$B$8,0),MATCH(T175,'G-7 WaterC'' Data'!$H$3:$L$3,0)),"")</f>
        <v/>
      </c>
      <c r="V175" s="95"/>
      <c r="W175" s="298" t="str">
        <f>IF(V175="","",IF(VLOOKUP(V175,'G-7 WaterC'' Data'!$AK$4:$AM$6,2,FALSE)=0,"Spatial Data Missing ⚠",VLOOKUP(V175,'G-7 WaterC'' Data'!$AK$4:$AM$6,2,FALSE)))</f>
        <v/>
      </c>
      <c r="X175" s="291" t="str">
        <f>IF(V175="","",IF(VLOOKUP(V175,'G-7 WaterC'' Data'!$AK$4:$AM$6,3,FALSE)=0,"Spatial Data Missing ⚠",VLOOKUP(V175,'G-7 WaterC'' Data'!$AK$4:$AM$6,3,FALSE)))</f>
        <v/>
      </c>
      <c r="Y175" s="290" t="str">
        <f>IFERROR(IF(OR(LEFT(P175,5)="Error",LEFT(O175,5)="Error ▲"),"Check Data ⚠",IF(F175&lt;S175,'G-7 WaterC'' Data'!$R$3,INDEX('G-7 WaterC'' Data'!$U$5:$Y$9,MATCH(G175,'G-7 WaterC'' Data'!$T$5:$T$9,0),MATCH(T175,'G-7 WaterC'' Data'!$U$4:$Y$4,0)))),"")</f>
        <v/>
      </c>
      <c r="Z175" s="138"/>
      <c r="AA175" s="138"/>
      <c r="AB175" s="298" t="str">
        <f t="shared" si="21"/>
        <v/>
      </c>
      <c r="AC175" s="311" t="str">
        <f t="shared" si="22"/>
        <v/>
      </c>
      <c r="AD175" s="344" t="str">
        <f>IFERROR(IF(AC175="Check Data ⚠","Check Data ⚠",VLOOKUP(AC175,'G-4 Temporal multipliers'!$A$4:$C$37,3,FALSE)),"")</f>
        <v/>
      </c>
      <c r="AE175" s="290" t="str">
        <f>IF(N175="","",VLOOKUP(N175,'G-7 WaterC'' Data'!$B$4:$G$8,5,FALSE))</f>
        <v/>
      </c>
      <c r="AF175" s="298" t="str">
        <f t="shared" si="23"/>
        <v/>
      </c>
      <c r="AG175" s="328" t="str">
        <f t="shared" si="24"/>
        <v/>
      </c>
      <c r="AH175" s="291" t="str">
        <f t="shared" si="18"/>
        <v/>
      </c>
      <c r="AI175" s="103"/>
      <c r="AJ175" s="291" t="str">
        <f>IF(AI175="","",IF(AND(AI175="N/A - Culvert",N175&lt;&gt;"Culvert"),"Not possible ▲",IF(VLOOKUP(AI175,'G-7 WaterC'' Data'!$AA$4:$AB$7,2,FALSE)=0,"Spatial Data Missing ⚠",VLOOKUP(AI175,'G-7 WaterC'' Data'!$AA$4:$AB$7,2,FALSE))))</f>
        <v/>
      </c>
      <c r="AK175" s="104"/>
      <c r="AL175" s="291" t="str">
        <f>IF(AK175="","",IF(AND(AK175="N/A - Culvert",N175&lt;&gt;"Culvert"),"Not possible ▲",IF(VLOOKUP(AK175,'G-7 WaterC'' Data'!$AD$4:$AE$14,2,FALSE)=0,"Spatial Data Missing ⚠",VLOOKUP(AK175,'G-7 WaterC'' Data'!$AD$4:$AE$14,2,FALSE))))</f>
        <v/>
      </c>
      <c r="AM175" s="332" t="str">
        <f t="shared" si="25"/>
        <v/>
      </c>
      <c r="AN175" s="98"/>
      <c r="AO175" s="99"/>
      <c r="AP175" s="101"/>
      <c r="AS175" s="15" t="str">
        <f>IF(B175="","",IF(ISNA(VLOOKUP($B175,'C-1 On-Site WaterC'' Baseline'!$C$8:$AD$257,17,FALSE)),"",(VLOOKUP($B175,'C-1 On-Site WaterC'' Baseline'!$C$8:$AD$257,17,FALSE))))</f>
        <v/>
      </c>
      <c r="AT175" s="15" t="str">
        <f>IF(B175="","",VLOOKUP($B175,'C-1 On-Site WaterC'' Baseline'!$C$9:$Z$257,12,FALSE))</f>
        <v/>
      </c>
      <c r="AU175" s="15" t="str">
        <f>IF(B175="","",VLOOKUP($B175,'C-1 On-Site WaterC'' Baseline'!$C$9:$Z$257,14,FALSE))</f>
        <v/>
      </c>
      <c r="AV175" s="15" t="str">
        <f>IFERROR(INDEX('G-7 WaterC'' Data'!$AZ$3:$AZ$7,MATCH(N175,'G-7 WaterC'' Data'!$AY$3:$AY$7,0)),"")</f>
        <v/>
      </c>
      <c r="AX175" s="15" t="str">
        <f>IF(B175="","",VLOOKUP($B175,'C-1 On-Site WaterC'' Baseline'!$C$9:$Y$257,22,FALSE))</f>
        <v/>
      </c>
      <c r="AY175" s="15" t="str">
        <f t="shared" si="26"/>
        <v/>
      </c>
      <c r="AZ175" s="15" t="str">
        <f>IF(B175="","",VLOOKUP($B175,'C-1 On-Site WaterC'' Baseline'!$C$9:$Y$257,21,FALSE))</f>
        <v/>
      </c>
      <c r="BA175" s="15" t="str">
        <f>IF(B175="","",VLOOKUP($B175,'C-1 On-Site WaterC'' Baseline'!$C$9:$Y$257,19,FALSE))</f>
        <v/>
      </c>
    </row>
    <row r="176" spans="2:53" ht="14" x14ac:dyDescent="0.3">
      <c r="B176" s="319" t="str">
        <f>'C-1 On-Site WaterC'' Baseline'!AP174</f>
        <v/>
      </c>
      <c r="C176" s="310" t="str">
        <f>IF(B176="","",VLOOKUP($B176,'C-1 On-Site WaterC'' Baseline'!$C$9:$R$257,2,FALSE))</f>
        <v/>
      </c>
      <c r="D176" s="310" t="str">
        <f>IF(C176="","",VLOOKUP($B176,'C-1 On-Site WaterC'' Baseline'!$C$9:$R$257,3,FALSE))</f>
        <v/>
      </c>
      <c r="E176" s="310" t="str">
        <f>IF(D176="","",VLOOKUP($B176,'C-1 On-Site WaterC'' Baseline'!$C$9:$R$257,4,FALSE))</f>
        <v/>
      </c>
      <c r="F176" s="310" t="str">
        <f>IF(E176="","",VLOOKUP($B176,'C-1 On-Site WaterC'' Baseline'!$C$9:$R$257,5,FALSE))</f>
        <v/>
      </c>
      <c r="G176" s="310" t="str">
        <f>IF(F176="","",VLOOKUP($B176,'C-1 On-Site WaterC'' Baseline'!$C$9:$R$257,6,FALSE))</f>
        <v/>
      </c>
      <c r="H176" s="310" t="str">
        <f>IF(G176="","",VLOOKUP($B176,'C-1 On-Site WaterC'' Baseline'!$C$9:$R$257,7,FALSE))</f>
        <v/>
      </c>
      <c r="I176" s="310" t="str">
        <f>IF(H176="","",VLOOKUP($B176,'C-1 On-Site WaterC'' Baseline'!$C$9:$R$257,8,FALSE))</f>
        <v/>
      </c>
      <c r="J176" s="310" t="str">
        <f>IF(I176="","",VLOOKUP($B176,'C-1 On-Site WaterC'' Baseline'!$C$9:$R$257,9,FALSE))</f>
        <v/>
      </c>
      <c r="K176" s="310" t="str">
        <f>IF(J176="","",VLOOKUP($B176,'C-1 On-Site WaterC'' Baseline'!$C$9:$R$257,10,FALSE))</f>
        <v/>
      </c>
      <c r="L176" s="310" t="str">
        <f>IF(B176="","",VLOOKUP($B176,'C-1 On-Site WaterC'' Baseline'!$C$9:$R$257,15,FALSE))</f>
        <v/>
      </c>
      <c r="M176" s="314" t="str">
        <f>IF(L176="","",VLOOKUP($B176,'C-1 On-Site WaterC'' Baseline'!$C$9:$R$257,16,FALSE))</f>
        <v/>
      </c>
      <c r="N176" s="259"/>
      <c r="O176" s="290" t="str">
        <f t="shared" si="19"/>
        <v/>
      </c>
      <c r="P176" s="291" t="str">
        <f t="shared" si="20"/>
        <v/>
      </c>
      <c r="Q176" s="346" t="str">
        <f>IF(N176="","",VLOOKUP(B176,'C-1 On-Site WaterC'' Baseline'!$C$10:$AC$257,20,FALSE))</f>
        <v/>
      </c>
      <c r="R176" s="290" t="str">
        <f>IF(N176="","",VLOOKUP(N176,'G-7 WaterC'' Data'!$B$2:$G$8,2,FALSE))</f>
        <v/>
      </c>
      <c r="S176" s="291" t="str">
        <f>IFERROR(VLOOKUP(R176,'G-7 WaterC'' Data'!$C$4:$D$8,2,FALSE),"")</f>
        <v/>
      </c>
      <c r="T176" s="95"/>
      <c r="U176" s="291" t="str">
        <f>IFERROR(INDEX('G-7 WaterC'' Data'!$H$4:$L$8,MATCH(N176,'G-7 WaterC'' Data'!$B$4:$B$8,0),MATCH(T176,'G-7 WaterC'' Data'!$H$3:$L$3,0)),"")</f>
        <v/>
      </c>
      <c r="V176" s="95"/>
      <c r="W176" s="298" t="str">
        <f>IF(V176="","",IF(VLOOKUP(V176,'G-7 WaterC'' Data'!$AK$4:$AM$6,2,FALSE)=0,"Spatial Data Missing ⚠",VLOOKUP(V176,'G-7 WaterC'' Data'!$AK$4:$AM$6,2,FALSE)))</f>
        <v/>
      </c>
      <c r="X176" s="291" t="str">
        <f>IF(V176="","",IF(VLOOKUP(V176,'G-7 WaterC'' Data'!$AK$4:$AM$6,3,FALSE)=0,"Spatial Data Missing ⚠",VLOOKUP(V176,'G-7 WaterC'' Data'!$AK$4:$AM$6,3,FALSE)))</f>
        <v/>
      </c>
      <c r="Y176" s="290" t="str">
        <f>IFERROR(IF(OR(LEFT(P176,5)="Error",LEFT(O176,5)="Error ▲"),"Check Data ⚠",IF(F176&lt;S176,'G-7 WaterC'' Data'!$R$3,INDEX('G-7 WaterC'' Data'!$U$5:$Y$9,MATCH(G176,'G-7 WaterC'' Data'!$T$5:$T$9,0),MATCH(T176,'G-7 WaterC'' Data'!$U$4:$Y$4,0)))),"")</f>
        <v/>
      </c>
      <c r="Z176" s="138"/>
      <c r="AA176" s="138"/>
      <c r="AB176" s="298" t="str">
        <f t="shared" si="21"/>
        <v/>
      </c>
      <c r="AC176" s="311" t="str">
        <f t="shared" si="22"/>
        <v/>
      </c>
      <c r="AD176" s="344" t="str">
        <f>IFERROR(IF(AC176="Check Data ⚠","Check Data ⚠",VLOOKUP(AC176,'G-4 Temporal multipliers'!$A$4:$C$37,3,FALSE)),"")</f>
        <v/>
      </c>
      <c r="AE176" s="290" t="str">
        <f>IF(N176="","",VLOOKUP(N176,'G-7 WaterC'' Data'!$B$4:$G$8,5,FALSE))</f>
        <v/>
      </c>
      <c r="AF176" s="298" t="str">
        <f t="shared" si="23"/>
        <v/>
      </c>
      <c r="AG176" s="328" t="str">
        <f t="shared" si="24"/>
        <v/>
      </c>
      <c r="AH176" s="291" t="str">
        <f t="shared" si="18"/>
        <v/>
      </c>
      <c r="AI176" s="103"/>
      <c r="AJ176" s="291" t="str">
        <f>IF(AI176="","",IF(AND(AI176="N/A - Culvert",N176&lt;&gt;"Culvert"),"Not possible ▲",IF(VLOOKUP(AI176,'G-7 WaterC'' Data'!$AA$4:$AB$7,2,FALSE)=0,"Spatial Data Missing ⚠",VLOOKUP(AI176,'G-7 WaterC'' Data'!$AA$4:$AB$7,2,FALSE))))</f>
        <v/>
      </c>
      <c r="AK176" s="104"/>
      <c r="AL176" s="291" t="str">
        <f>IF(AK176="","",IF(AND(AK176="N/A - Culvert",N176&lt;&gt;"Culvert"),"Not possible ▲",IF(VLOOKUP(AK176,'G-7 WaterC'' Data'!$AD$4:$AE$14,2,FALSE)=0,"Spatial Data Missing ⚠",VLOOKUP(AK176,'G-7 WaterC'' Data'!$AD$4:$AE$14,2,FALSE))))</f>
        <v/>
      </c>
      <c r="AM176" s="332" t="str">
        <f t="shared" si="25"/>
        <v/>
      </c>
      <c r="AN176" s="98"/>
      <c r="AO176" s="99"/>
      <c r="AP176" s="101"/>
      <c r="AS176" s="15" t="str">
        <f>IF(B176="","",IF(ISNA(VLOOKUP($B176,'C-1 On-Site WaterC'' Baseline'!$C$8:$AD$257,17,FALSE)),"",(VLOOKUP($B176,'C-1 On-Site WaterC'' Baseline'!$C$8:$AD$257,17,FALSE))))</f>
        <v/>
      </c>
      <c r="AT176" s="15" t="str">
        <f>IF(B176="","",VLOOKUP($B176,'C-1 On-Site WaterC'' Baseline'!$C$9:$Z$257,12,FALSE))</f>
        <v/>
      </c>
      <c r="AU176" s="15" t="str">
        <f>IF(B176="","",VLOOKUP($B176,'C-1 On-Site WaterC'' Baseline'!$C$9:$Z$257,14,FALSE))</f>
        <v/>
      </c>
      <c r="AV176" s="15" t="str">
        <f>IFERROR(INDEX('G-7 WaterC'' Data'!$AZ$3:$AZ$7,MATCH(N176,'G-7 WaterC'' Data'!$AY$3:$AY$7,0)),"")</f>
        <v/>
      </c>
      <c r="AX176" s="15" t="str">
        <f>IF(B176="","",VLOOKUP($B176,'C-1 On-Site WaterC'' Baseline'!$C$9:$Y$257,22,FALSE))</f>
        <v/>
      </c>
      <c r="AY176" s="15" t="str">
        <f t="shared" si="26"/>
        <v/>
      </c>
      <c r="AZ176" s="15" t="str">
        <f>IF(B176="","",VLOOKUP($B176,'C-1 On-Site WaterC'' Baseline'!$C$9:$Y$257,21,FALSE))</f>
        <v/>
      </c>
      <c r="BA176" s="15" t="str">
        <f>IF(B176="","",VLOOKUP($B176,'C-1 On-Site WaterC'' Baseline'!$C$9:$Y$257,19,FALSE))</f>
        <v/>
      </c>
    </row>
    <row r="177" spans="2:53" ht="14" x14ac:dyDescent="0.3">
      <c r="B177" s="319" t="str">
        <f>'C-1 On-Site WaterC'' Baseline'!AP175</f>
        <v/>
      </c>
      <c r="C177" s="310" t="str">
        <f>IF(B177="","",VLOOKUP($B177,'C-1 On-Site WaterC'' Baseline'!$C$9:$R$257,2,FALSE))</f>
        <v/>
      </c>
      <c r="D177" s="310" t="str">
        <f>IF(C177="","",VLOOKUP($B177,'C-1 On-Site WaterC'' Baseline'!$C$9:$R$257,3,FALSE))</f>
        <v/>
      </c>
      <c r="E177" s="310" t="str">
        <f>IF(D177="","",VLOOKUP($B177,'C-1 On-Site WaterC'' Baseline'!$C$9:$R$257,4,FALSE))</f>
        <v/>
      </c>
      <c r="F177" s="310" t="str">
        <f>IF(E177="","",VLOOKUP($B177,'C-1 On-Site WaterC'' Baseline'!$C$9:$R$257,5,FALSE))</f>
        <v/>
      </c>
      <c r="G177" s="310" t="str">
        <f>IF(F177="","",VLOOKUP($B177,'C-1 On-Site WaterC'' Baseline'!$C$9:$R$257,6,FALSE))</f>
        <v/>
      </c>
      <c r="H177" s="310" t="str">
        <f>IF(G177="","",VLOOKUP($B177,'C-1 On-Site WaterC'' Baseline'!$C$9:$R$257,7,FALSE))</f>
        <v/>
      </c>
      <c r="I177" s="310" t="str">
        <f>IF(H177="","",VLOOKUP($B177,'C-1 On-Site WaterC'' Baseline'!$C$9:$R$257,8,FALSE))</f>
        <v/>
      </c>
      <c r="J177" s="310" t="str">
        <f>IF(I177="","",VLOOKUP($B177,'C-1 On-Site WaterC'' Baseline'!$C$9:$R$257,9,FALSE))</f>
        <v/>
      </c>
      <c r="K177" s="310" t="str">
        <f>IF(J177="","",VLOOKUP($B177,'C-1 On-Site WaterC'' Baseline'!$C$9:$R$257,10,FALSE))</f>
        <v/>
      </c>
      <c r="L177" s="310" t="str">
        <f>IF(B177="","",VLOOKUP($B177,'C-1 On-Site WaterC'' Baseline'!$C$9:$R$257,15,FALSE))</f>
        <v/>
      </c>
      <c r="M177" s="314" t="str">
        <f>IF(L177="","",VLOOKUP($B177,'C-1 On-Site WaterC'' Baseline'!$C$9:$R$257,16,FALSE))</f>
        <v/>
      </c>
      <c r="N177" s="259"/>
      <c r="O177" s="290" t="str">
        <f t="shared" si="19"/>
        <v/>
      </c>
      <c r="P177" s="291" t="str">
        <f t="shared" si="20"/>
        <v/>
      </c>
      <c r="Q177" s="346" t="str">
        <f>IF(N177="","",VLOOKUP(B177,'C-1 On-Site WaterC'' Baseline'!$C$10:$AC$257,20,FALSE))</f>
        <v/>
      </c>
      <c r="R177" s="290" t="str">
        <f>IF(N177="","",VLOOKUP(N177,'G-7 WaterC'' Data'!$B$2:$G$8,2,FALSE))</f>
        <v/>
      </c>
      <c r="S177" s="291" t="str">
        <f>IFERROR(VLOOKUP(R177,'G-7 WaterC'' Data'!$C$4:$D$8,2,FALSE),"")</f>
        <v/>
      </c>
      <c r="T177" s="95"/>
      <c r="U177" s="291" t="str">
        <f>IFERROR(INDEX('G-7 WaterC'' Data'!$H$4:$L$8,MATCH(N177,'G-7 WaterC'' Data'!$B$4:$B$8,0),MATCH(T177,'G-7 WaterC'' Data'!$H$3:$L$3,0)),"")</f>
        <v/>
      </c>
      <c r="V177" s="95"/>
      <c r="W177" s="298" t="str">
        <f>IF(V177="","",IF(VLOOKUP(V177,'G-7 WaterC'' Data'!$AK$4:$AM$6,2,FALSE)=0,"Spatial Data Missing ⚠",VLOOKUP(V177,'G-7 WaterC'' Data'!$AK$4:$AM$6,2,FALSE)))</f>
        <v/>
      </c>
      <c r="X177" s="291" t="str">
        <f>IF(V177="","",IF(VLOOKUP(V177,'G-7 WaterC'' Data'!$AK$4:$AM$6,3,FALSE)=0,"Spatial Data Missing ⚠",VLOOKUP(V177,'G-7 WaterC'' Data'!$AK$4:$AM$6,3,FALSE)))</f>
        <v/>
      </c>
      <c r="Y177" s="290" t="str">
        <f>IFERROR(IF(OR(LEFT(P177,5)="Error",LEFT(O177,5)="Error ▲"),"Check Data ⚠",IF(F177&lt;S177,'G-7 WaterC'' Data'!$R$3,INDEX('G-7 WaterC'' Data'!$U$5:$Y$9,MATCH(G177,'G-7 WaterC'' Data'!$T$5:$T$9,0),MATCH(T177,'G-7 WaterC'' Data'!$U$4:$Y$4,0)))),"")</f>
        <v/>
      </c>
      <c r="Z177" s="138"/>
      <c r="AA177" s="138"/>
      <c r="AB177" s="298" t="str">
        <f t="shared" si="21"/>
        <v/>
      </c>
      <c r="AC177" s="311" t="str">
        <f t="shared" si="22"/>
        <v/>
      </c>
      <c r="AD177" s="344" t="str">
        <f>IFERROR(IF(AC177="Check Data ⚠","Check Data ⚠",VLOOKUP(AC177,'G-4 Temporal multipliers'!$A$4:$C$37,3,FALSE)),"")</f>
        <v/>
      </c>
      <c r="AE177" s="290" t="str">
        <f>IF(N177="","",VLOOKUP(N177,'G-7 WaterC'' Data'!$B$4:$G$8,5,FALSE))</f>
        <v/>
      </c>
      <c r="AF177" s="298" t="str">
        <f t="shared" si="23"/>
        <v/>
      </c>
      <c r="AG177" s="328" t="str">
        <f t="shared" si="24"/>
        <v/>
      </c>
      <c r="AH177" s="291" t="str">
        <f t="shared" si="18"/>
        <v/>
      </c>
      <c r="AI177" s="103"/>
      <c r="AJ177" s="291" t="str">
        <f>IF(AI177="","",IF(AND(AI177="N/A - Culvert",N177&lt;&gt;"Culvert"),"Not possible ▲",IF(VLOOKUP(AI177,'G-7 WaterC'' Data'!$AA$4:$AB$7,2,FALSE)=0,"Spatial Data Missing ⚠",VLOOKUP(AI177,'G-7 WaterC'' Data'!$AA$4:$AB$7,2,FALSE))))</f>
        <v/>
      </c>
      <c r="AK177" s="104"/>
      <c r="AL177" s="291" t="str">
        <f>IF(AK177="","",IF(AND(AK177="N/A - Culvert",N177&lt;&gt;"Culvert"),"Not possible ▲",IF(VLOOKUP(AK177,'G-7 WaterC'' Data'!$AD$4:$AE$14,2,FALSE)=0,"Spatial Data Missing ⚠",VLOOKUP(AK177,'G-7 WaterC'' Data'!$AD$4:$AE$14,2,FALSE))))</f>
        <v/>
      </c>
      <c r="AM177" s="332" t="str">
        <f t="shared" si="25"/>
        <v/>
      </c>
      <c r="AN177" s="98"/>
      <c r="AO177" s="99"/>
      <c r="AP177" s="101"/>
      <c r="AS177" s="15" t="str">
        <f>IF(B177="","",IF(ISNA(VLOOKUP($B177,'C-1 On-Site WaterC'' Baseline'!$C$8:$AD$257,17,FALSE)),"",(VLOOKUP($B177,'C-1 On-Site WaterC'' Baseline'!$C$8:$AD$257,17,FALSE))))</f>
        <v/>
      </c>
      <c r="AT177" s="15" t="str">
        <f>IF(B177="","",VLOOKUP($B177,'C-1 On-Site WaterC'' Baseline'!$C$9:$Z$257,12,FALSE))</f>
        <v/>
      </c>
      <c r="AU177" s="15" t="str">
        <f>IF(B177="","",VLOOKUP($B177,'C-1 On-Site WaterC'' Baseline'!$C$9:$Z$257,14,FALSE))</f>
        <v/>
      </c>
      <c r="AV177" s="15" t="str">
        <f>IFERROR(INDEX('G-7 WaterC'' Data'!$AZ$3:$AZ$7,MATCH(N177,'G-7 WaterC'' Data'!$AY$3:$AY$7,0)),"")</f>
        <v/>
      </c>
      <c r="AX177" s="15" t="str">
        <f>IF(B177="","",VLOOKUP($B177,'C-1 On-Site WaterC'' Baseline'!$C$9:$Y$257,22,FALSE))</f>
        <v/>
      </c>
      <c r="AY177" s="15" t="str">
        <f t="shared" si="26"/>
        <v/>
      </c>
      <c r="AZ177" s="15" t="str">
        <f>IF(B177="","",VLOOKUP($B177,'C-1 On-Site WaterC'' Baseline'!$C$9:$Y$257,21,FALSE))</f>
        <v/>
      </c>
      <c r="BA177" s="15" t="str">
        <f>IF(B177="","",VLOOKUP($B177,'C-1 On-Site WaterC'' Baseline'!$C$9:$Y$257,19,FALSE))</f>
        <v/>
      </c>
    </row>
    <row r="178" spans="2:53" ht="14" x14ac:dyDescent="0.3">
      <c r="B178" s="319" t="str">
        <f>'C-1 On-Site WaterC'' Baseline'!AP176</f>
        <v/>
      </c>
      <c r="C178" s="310" t="str">
        <f>IF(B178="","",VLOOKUP($B178,'C-1 On-Site WaterC'' Baseline'!$C$9:$R$257,2,FALSE))</f>
        <v/>
      </c>
      <c r="D178" s="310" t="str">
        <f>IF(C178="","",VLOOKUP($B178,'C-1 On-Site WaterC'' Baseline'!$C$9:$R$257,3,FALSE))</f>
        <v/>
      </c>
      <c r="E178" s="310" t="str">
        <f>IF(D178="","",VLOOKUP($B178,'C-1 On-Site WaterC'' Baseline'!$C$9:$R$257,4,FALSE))</f>
        <v/>
      </c>
      <c r="F178" s="310" t="str">
        <f>IF(E178="","",VLOOKUP($B178,'C-1 On-Site WaterC'' Baseline'!$C$9:$R$257,5,FALSE))</f>
        <v/>
      </c>
      <c r="G178" s="310" t="str">
        <f>IF(F178="","",VLOOKUP($B178,'C-1 On-Site WaterC'' Baseline'!$C$9:$R$257,6,FALSE))</f>
        <v/>
      </c>
      <c r="H178" s="310" t="str">
        <f>IF(G178="","",VLOOKUP($B178,'C-1 On-Site WaterC'' Baseline'!$C$9:$R$257,7,FALSE))</f>
        <v/>
      </c>
      <c r="I178" s="310" t="str">
        <f>IF(H178="","",VLOOKUP($B178,'C-1 On-Site WaterC'' Baseline'!$C$9:$R$257,8,FALSE))</f>
        <v/>
      </c>
      <c r="J178" s="310" t="str">
        <f>IF(I178="","",VLOOKUP($B178,'C-1 On-Site WaterC'' Baseline'!$C$9:$R$257,9,FALSE))</f>
        <v/>
      </c>
      <c r="K178" s="310" t="str">
        <f>IF(J178="","",VLOOKUP($B178,'C-1 On-Site WaterC'' Baseline'!$C$9:$R$257,10,FALSE))</f>
        <v/>
      </c>
      <c r="L178" s="310" t="str">
        <f>IF(B178="","",VLOOKUP($B178,'C-1 On-Site WaterC'' Baseline'!$C$9:$R$257,15,FALSE))</f>
        <v/>
      </c>
      <c r="M178" s="314" t="str">
        <f>IF(L178="","",VLOOKUP($B178,'C-1 On-Site WaterC'' Baseline'!$C$9:$R$257,16,FALSE))</f>
        <v/>
      </c>
      <c r="N178" s="259"/>
      <c r="O178" s="290" t="str">
        <f t="shared" si="19"/>
        <v/>
      </c>
      <c r="P178" s="291" t="str">
        <f t="shared" si="20"/>
        <v/>
      </c>
      <c r="Q178" s="346" t="str">
        <f>IF(N178="","",VLOOKUP(B178,'C-1 On-Site WaterC'' Baseline'!$C$10:$AC$257,20,FALSE))</f>
        <v/>
      </c>
      <c r="R178" s="290" t="str">
        <f>IF(N178="","",VLOOKUP(N178,'G-7 WaterC'' Data'!$B$2:$G$8,2,FALSE))</f>
        <v/>
      </c>
      <c r="S178" s="291" t="str">
        <f>IFERROR(VLOOKUP(R178,'G-7 WaterC'' Data'!$C$4:$D$8,2,FALSE),"")</f>
        <v/>
      </c>
      <c r="T178" s="95"/>
      <c r="U178" s="291" t="str">
        <f>IFERROR(INDEX('G-7 WaterC'' Data'!$H$4:$L$8,MATCH(N178,'G-7 WaterC'' Data'!$B$4:$B$8,0),MATCH(T178,'G-7 WaterC'' Data'!$H$3:$L$3,0)),"")</f>
        <v/>
      </c>
      <c r="V178" s="95"/>
      <c r="W178" s="298" t="str">
        <f>IF(V178="","",IF(VLOOKUP(V178,'G-7 WaterC'' Data'!$AK$4:$AM$6,2,FALSE)=0,"Spatial Data Missing ⚠",VLOOKUP(V178,'G-7 WaterC'' Data'!$AK$4:$AM$6,2,FALSE)))</f>
        <v/>
      </c>
      <c r="X178" s="291" t="str">
        <f>IF(V178="","",IF(VLOOKUP(V178,'G-7 WaterC'' Data'!$AK$4:$AM$6,3,FALSE)=0,"Spatial Data Missing ⚠",VLOOKUP(V178,'G-7 WaterC'' Data'!$AK$4:$AM$6,3,FALSE)))</f>
        <v/>
      </c>
      <c r="Y178" s="290" t="str">
        <f>IFERROR(IF(OR(LEFT(P178,5)="Error",LEFT(O178,5)="Error ▲"),"Check Data ⚠",IF(F178&lt;S178,'G-7 WaterC'' Data'!$R$3,INDEX('G-7 WaterC'' Data'!$U$5:$Y$9,MATCH(G178,'G-7 WaterC'' Data'!$T$5:$T$9,0),MATCH(T178,'G-7 WaterC'' Data'!$U$4:$Y$4,0)))),"")</f>
        <v/>
      </c>
      <c r="Z178" s="138"/>
      <c r="AA178" s="138"/>
      <c r="AB178" s="298" t="str">
        <f t="shared" si="21"/>
        <v/>
      </c>
      <c r="AC178" s="311" t="str">
        <f t="shared" si="22"/>
        <v/>
      </c>
      <c r="AD178" s="344" t="str">
        <f>IFERROR(IF(AC178="Check Data ⚠","Check Data ⚠",VLOOKUP(AC178,'G-4 Temporal multipliers'!$A$4:$C$37,3,FALSE)),"")</f>
        <v/>
      </c>
      <c r="AE178" s="290" t="str">
        <f>IF(N178="","",VLOOKUP(N178,'G-7 WaterC'' Data'!$B$4:$G$8,5,FALSE))</f>
        <v/>
      </c>
      <c r="AF178" s="298" t="str">
        <f t="shared" si="23"/>
        <v/>
      </c>
      <c r="AG178" s="328" t="str">
        <f t="shared" si="24"/>
        <v/>
      </c>
      <c r="AH178" s="291" t="str">
        <f t="shared" si="18"/>
        <v/>
      </c>
      <c r="AI178" s="103"/>
      <c r="AJ178" s="291" t="str">
        <f>IF(AI178="","",IF(AND(AI178="N/A - Culvert",N178&lt;&gt;"Culvert"),"Not possible ▲",IF(VLOOKUP(AI178,'G-7 WaterC'' Data'!$AA$4:$AB$7,2,FALSE)=0,"Spatial Data Missing ⚠",VLOOKUP(AI178,'G-7 WaterC'' Data'!$AA$4:$AB$7,2,FALSE))))</f>
        <v/>
      </c>
      <c r="AK178" s="104"/>
      <c r="AL178" s="291" t="str">
        <f>IF(AK178="","",IF(AND(AK178="N/A - Culvert",N178&lt;&gt;"Culvert"),"Not possible ▲",IF(VLOOKUP(AK178,'G-7 WaterC'' Data'!$AD$4:$AE$14,2,FALSE)=0,"Spatial Data Missing ⚠",VLOOKUP(AK178,'G-7 WaterC'' Data'!$AD$4:$AE$14,2,FALSE))))</f>
        <v/>
      </c>
      <c r="AM178" s="332" t="str">
        <f t="shared" si="25"/>
        <v/>
      </c>
      <c r="AN178" s="98"/>
      <c r="AO178" s="99"/>
      <c r="AP178" s="101"/>
      <c r="AS178" s="15" t="str">
        <f>IF(B178="","",IF(ISNA(VLOOKUP($B178,'C-1 On-Site WaterC'' Baseline'!$C$8:$AD$257,17,FALSE)),"",(VLOOKUP($B178,'C-1 On-Site WaterC'' Baseline'!$C$8:$AD$257,17,FALSE))))</f>
        <v/>
      </c>
      <c r="AT178" s="15" t="str">
        <f>IF(B178="","",VLOOKUP($B178,'C-1 On-Site WaterC'' Baseline'!$C$9:$Z$257,12,FALSE))</f>
        <v/>
      </c>
      <c r="AU178" s="15" t="str">
        <f>IF(B178="","",VLOOKUP($B178,'C-1 On-Site WaterC'' Baseline'!$C$9:$Z$257,14,FALSE))</f>
        <v/>
      </c>
      <c r="AV178" s="15" t="str">
        <f>IFERROR(INDEX('G-7 WaterC'' Data'!$AZ$3:$AZ$7,MATCH(N178,'G-7 WaterC'' Data'!$AY$3:$AY$7,0)),"")</f>
        <v/>
      </c>
      <c r="AX178" s="15" t="str">
        <f>IF(B178="","",VLOOKUP($B178,'C-1 On-Site WaterC'' Baseline'!$C$9:$Y$257,22,FALSE))</f>
        <v/>
      </c>
      <c r="AY178" s="15" t="str">
        <f t="shared" si="26"/>
        <v/>
      </c>
      <c r="AZ178" s="15" t="str">
        <f>IF(B178="","",VLOOKUP($B178,'C-1 On-Site WaterC'' Baseline'!$C$9:$Y$257,21,FALSE))</f>
        <v/>
      </c>
      <c r="BA178" s="15" t="str">
        <f>IF(B178="","",VLOOKUP($B178,'C-1 On-Site WaterC'' Baseline'!$C$9:$Y$257,19,FALSE))</f>
        <v/>
      </c>
    </row>
    <row r="179" spans="2:53" ht="14" x14ac:dyDescent="0.3">
      <c r="B179" s="319" t="str">
        <f>'C-1 On-Site WaterC'' Baseline'!AP177</f>
        <v/>
      </c>
      <c r="C179" s="310" t="str">
        <f>IF(B179="","",VLOOKUP($B179,'C-1 On-Site WaterC'' Baseline'!$C$9:$R$257,2,FALSE))</f>
        <v/>
      </c>
      <c r="D179" s="310" t="str">
        <f>IF(C179="","",VLOOKUP($B179,'C-1 On-Site WaterC'' Baseline'!$C$9:$R$257,3,FALSE))</f>
        <v/>
      </c>
      <c r="E179" s="310" t="str">
        <f>IF(D179="","",VLOOKUP($B179,'C-1 On-Site WaterC'' Baseline'!$C$9:$R$257,4,FALSE))</f>
        <v/>
      </c>
      <c r="F179" s="310" t="str">
        <f>IF(E179="","",VLOOKUP($B179,'C-1 On-Site WaterC'' Baseline'!$C$9:$R$257,5,FALSE))</f>
        <v/>
      </c>
      <c r="G179" s="310" t="str">
        <f>IF(F179="","",VLOOKUP($B179,'C-1 On-Site WaterC'' Baseline'!$C$9:$R$257,6,FALSE))</f>
        <v/>
      </c>
      <c r="H179" s="310" t="str">
        <f>IF(G179="","",VLOOKUP($B179,'C-1 On-Site WaterC'' Baseline'!$C$9:$R$257,7,FALSE))</f>
        <v/>
      </c>
      <c r="I179" s="310" t="str">
        <f>IF(H179="","",VLOOKUP($B179,'C-1 On-Site WaterC'' Baseline'!$C$9:$R$257,8,FALSE))</f>
        <v/>
      </c>
      <c r="J179" s="310" t="str">
        <f>IF(I179="","",VLOOKUP($B179,'C-1 On-Site WaterC'' Baseline'!$C$9:$R$257,9,FALSE))</f>
        <v/>
      </c>
      <c r="K179" s="310" t="str">
        <f>IF(J179="","",VLOOKUP($B179,'C-1 On-Site WaterC'' Baseline'!$C$9:$R$257,10,FALSE))</f>
        <v/>
      </c>
      <c r="L179" s="310" t="str">
        <f>IF(B179="","",VLOOKUP($B179,'C-1 On-Site WaterC'' Baseline'!$C$9:$R$257,15,FALSE))</f>
        <v/>
      </c>
      <c r="M179" s="314" t="str">
        <f>IF(L179="","",VLOOKUP($B179,'C-1 On-Site WaterC'' Baseline'!$C$9:$R$257,16,FALSE))</f>
        <v/>
      </c>
      <c r="N179" s="259"/>
      <c r="O179" s="290" t="str">
        <f t="shared" si="19"/>
        <v/>
      </c>
      <c r="P179" s="291" t="str">
        <f t="shared" si="20"/>
        <v/>
      </c>
      <c r="Q179" s="346" t="str">
        <f>IF(N179="","",VLOOKUP(B179,'C-1 On-Site WaterC'' Baseline'!$C$10:$AC$257,20,FALSE))</f>
        <v/>
      </c>
      <c r="R179" s="290" t="str">
        <f>IF(N179="","",VLOOKUP(N179,'G-7 WaterC'' Data'!$B$2:$G$8,2,FALSE))</f>
        <v/>
      </c>
      <c r="S179" s="291" t="str">
        <f>IFERROR(VLOOKUP(R179,'G-7 WaterC'' Data'!$C$4:$D$8,2,FALSE),"")</f>
        <v/>
      </c>
      <c r="T179" s="95"/>
      <c r="U179" s="291" t="str">
        <f>IFERROR(INDEX('G-7 WaterC'' Data'!$H$4:$L$8,MATCH(N179,'G-7 WaterC'' Data'!$B$4:$B$8,0),MATCH(T179,'G-7 WaterC'' Data'!$H$3:$L$3,0)),"")</f>
        <v/>
      </c>
      <c r="V179" s="95"/>
      <c r="W179" s="298" t="str">
        <f>IF(V179="","",IF(VLOOKUP(V179,'G-7 WaterC'' Data'!$AK$4:$AM$6,2,FALSE)=0,"Spatial Data Missing ⚠",VLOOKUP(V179,'G-7 WaterC'' Data'!$AK$4:$AM$6,2,FALSE)))</f>
        <v/>
      </c>
      <c r="X179" s="291" t="str">
        <f>IF(V179="","",IF(VLOOKUP(V179,'G-7 WaterC'' Data'!$AK$4:$AM$6,3,FALSE)=0,"Spatial Data Missing ⚠",VLOOKUP(V179,'G-7 WaterC'' Data'!$AK$4:$AM$6,3,FALSE)))</f>
        <v/>
      </c>
      <c r="Y179" s="290" t="str">
        <f>IFERROR(IF(OR(LEFT(P179,5)="Error",LEFT(O179,5)="Error ▲"),"Check Data ⚠",IF(F179&lt;S179,'G-7 WaterC'' Data'!$R$3,INDEX('G-7 WaterC'' Data'!$U$5:$Y$9,MATCH(G179,'G-7 WaterC'' Data'!$T$5:$T$9,0),MATCH(T179,'G-7 WaterC'' Data'!$U$4:$Y$4,0)))),"")</f>
        <v/>
      </c>
      <c r="Z179" s="138"/>
      <c r="AA179" s="138"/>
      <c r="AB179" s="298" t="str">
        <f t="shared" si="21"/>
        <v/>
      </c>
      <c r="AC179" s="311" t="str">
        <f t="shared" si="22"/>
        <v/>
      </c>
      <c r="AD179" s="344" t="str">
        <f>IFERROR(IF(AC179="Check Data ⚠","Check Data ⚠",VLOOKUP(AC179,'G-4 Temporal multipliers'!$A$4:$C$37,3,FALSE)),"")</f>
        <v/>
      </c>
      <c r="AE179" s="290" t="str">
        <f>IF(N179="","",VLOOKUP(N179,'G-7 WaterC'' Data'!$B$4:$G$8,5,FALSE))</f>
        <v/>
      </c>
      <c r="AF179" s="298" t="str">
        <f t="shared" si="23"/>
        <v/>
      </c>
      <c r="AG179" s="328" t="str">
        <f t="shared" si="24"/>
        <v/>
      </c>
      <c r="AH179" s="291" t="str">
        <f t="shared" si="18"/>
        <v/>
      </c>
      <c r="AI179" s="103"/>
      <c r="AJ179" s="291" t="str">
        <f>IF(AI179="","",IF(AND(AI179="N/A - Culvert",N179&lt;&gt;"Culvert"),"Not possible ▲",IF(VLOOKUP(AI179,'G-7 WaterC'' Data'!$AA$4:$AB$7,2,FALSE)=0,"Spatial Data Missing ⚠",VLOOKUP(AI179,'G-7 WaterC'' Data'!$AA$4:$AB$7,2,FALSE))))</f>
        <v/>
      </c>
      <c r="AK179" s="104"/>
      <c r="AL179" s="291" t="str">
        <f>IF(AK179="","",IF(AND(AK179="N/A - Culvert",N179&lt;&gt;"Culvert"),"Not possible ▲",IF(VLOOKUP(AK179,'G-7 WaterC'' Data'!$AD$4:$AE$14,2,FALSE)=0,"Spatial Data Missing ⚠",VLOOKUP(AK179,'G-7 WaterC'' Data'!$AD$4:$AE$14,2,FALSE))))</f>
        <v/>
      </c>
      <c r="AM179" s="332" t="str">
        <f t="shared" si="25"/>
        <v/>
      </c>
      <c r="AN179" s="98"/>
      <c r="AO179" s="99"/>
      <c r="AP179" s="101"/>
      <c r="AS179" s="15" t="str">
        <f>IF(B179="","",IF(ISNA(VLOOKUP($B179,'C-1 On-Site WaterC'' Baseline'!$C$8:$AD$257,17,FALSE)),"",(VLOOKUP($B179,'C-1 On-Site WaterC'' Baseline'!$C$8:$AD$257,17,FALSE))))</f>
        <v/>
      </c>
      <c r="AT179" s="15" t="str">
        <f>IF(B179="","",VLOOKUP($B179,'C-1 On-Site WaterC'' Baseline'!$C$9:$Z$257,12,FALSE))</f>
        <v/>
      </c>
      <c r="AU179" s="15" t="str">
        <f>IF(B179="","",VLOOKUP($B179,'C-1 On-Site WaterC'' Baseline'!$C$9:$Z$257,14,FALSE))</f>
        <v/>
      </c>
      <c r="AV179" s="15" t="str">
        <f>IFERROR(INDEX('G-7 WaterC'' Data'!$AZ$3:$AZ$7,MATCH(N179,'G-7 WaterC'' Data'!$AY$3:$AY$7,0)),"")</f>
        <v/>
      </c>
      <c r="AX179" s="15" t="str">
        <f>IF(B179="","",VLOOKUP($B179,'C-1 On-Site WaterC'' Baseline'!$C$9:$Y$257,22,FALSE))</f>
        <v/>
      </c>
      <c r="AY179" s="15" t="str">
        <f t="shared" si="26"/>
        <v/>
      </c>
      <c r="AZ179" s="15" t="str">
        <f>IF(B179="","",VLOOKUP($B179,'C-1 On-Site WaterC'' Baseline'!$C$9:$Y$257,21,FALSE))</f>
        <v/>
      </c>
      <c r="BA179" s="15" t="str">
        <f>IF(B179="","",VLOOKUP($B179,'C-1 On-Site WaterC'' Baseline'!$C$9:$Y$257,19,FALSE))</f>
        <v/>
      </c>
    </row>
    <row r="180" spans="2:53" ht="14" x14ac:dyDescent="0.3">
      <c r="B180" s="319" t="str">
        <f>'C-1 On-Site WaterC'' Baseline'!AP178</f>
        <v/>
      </c>
      <c r="C180" s="310" t="str">
        <f>IF(B180="","",VLOOKUP($B180,'C-1 On-Site WaterC'' Baseline'!$C$9:$R$257,2,FALSE))</f>
        <v/>
      </c>
      <c r="D180" s="310" t="str">
        <f>IF(C180="","",VLOOKUP($B180,'C-1 On-Site WaterC'' Baseline'!$C$9:$R$257,3,FALSE))</f>
        <v/>
      </c>
      <c r="E180" s="310" t="str">
        <f>IF(D180="","",VLOOKUP($B180,'C-1 On-Site WaterC'' Baseline'!$C$9:$R$257,4,FALSE))</f>
        <v/>
      </c>
      <c r="F180" s="310" t="str">
        <f>IF(E180="","",VLOOKUP($B180,'C-1 On-Site WaterC'' Baseline'!$C$9:$R$257,5,FALSE))</f>
        <v/>
      </c>
      <c r="G180" s="310" t="str">
        <f>IF(F180="","",VLOOKUP($B180,'C-1 On-Site WaterC'' Baseline'!$C$9:$R$257,6,FALSE))</f>
        <v/>
      </c>
      <c r="H180" s="310" t="str">
        <f>IF(G180="","",VLOOKUP($B180,'C-1 On-Site WaterC'' Baseline'!$C$9:$R$257,7,FALSE))</f>
        <v/>
      </c>
      <c r="I180" s="310" t="str">
        <f>IF(H180="","",VLOOKUP($B180,'C-1 On-Site WaterC'' Baseline'!$C$9:$R$257,8,FALSE))</f>
        <v/>
      </c>
      <c r="J180" s="310" t="str">
        <f>IF(I180="","",VLOOKUP($B180,'C-1 On-Site WaterC'' Baseline'!$C$9:$R$257,9,FALSE))</f>
        <v/>
      </c>
      <c r="K180" s="310" t="str">
        <f>IF(J180="","",VLOOKUP($B180,'C-1 On-Site WaterC'' Baseline'!$C$9:$R$257,10,FALSE))</f>
        <v/>
      </c>
      <c r="L180" s="310" t="str">
        <f>IF(B180="","",VLOOKUP($B180,'C-1 On-Site WaterC'' Baseline'!$C$9:$R$257,15,FALSE))</f>
        <v/>
      </c>
      <c r="M180" s="314" t="str">
        <f>IF(L180="","",VLOOKUP($B180,'C-1 On-Site WaterC'' Baseline'!$C$9:$R$257,16,FALSE))</f>
        <v/>
      </c>
      <c r="N180" s="259"/>
      <c r="O180" s="290" t="str">
        <f t="shared" si="19"/>
        <v/>
      </c>
      <c r="P180" s="291" t="str">
        <f t="shared" si="20"/>
        <v/>
      </c>
      <c r="Q180" s="346" t="str">
        <f>IF(N180="","",VLOOKUP(B180,'C-1 On-Site WaterC'' Baseline'!$C$10:$AC$257,20,FALSE))</f>
        <v/>
      </c>
      <c r="R180" s="290" t="str">
        <f>IF(N180="","",VLOOKUP(N180,'G-7 WaterC'' Data'!$B$2:$G$8,2,FALSE))</f>
        <v/>
      </c>
      <c r="S180" s="291" t="str">
        <f>IFERROR(VLOOKUP(R180,'G-7 WaterC'' Data'!$C$4:$D$8,2,FALSE),"")</f>
        <v/>
      </c>
      <c r="T180" s="95"/>
      <c r="U180" s="291" t="str">
        <f>IFERROR(INDEX('G-7 WaterC'' Data'!$H$4:$L$8,MATCH(N180,'G-7 WaterC'' Data'!$B$4:$B$8,0),MATCH(T180,'G-7 WaterC'' Data'!$H$3:$L$3,0)),"")</f>
        <v/>
      </c>
      <c r="V180" s="95"/>
      <c r="W180" s="298" t="str">
        <f>IF(V180="","",IF(VLOOKUP(V180,'G-7 WaterC'' Data'!$AK$4:$AM$6,2,FALSE)=0,"Spatial Data Missing ⚠",VLOOKUP(V180,'G-7 WaterC'' Data'!$AK$4:$AM$6,2,FALSE)))</f>
        <v/>
      </c>
      <c r="X180" s="291" t="str">
        <f>IF(V180="","",IF(VLOOKUP(V180,'G-7 WaterC'' Data'!$AK$4:$AM$6,3,FALSE)=0,"Spatial Data Missing ⚠",VLOOKUP(V180,'G-7 WaterC'' Data'!$AK$4:$AM$6,3,FALSE)))</f>
        <v/>
      </c>
      <c r="Y180" s="290" t="str">
        <f>IFERROR(IF(OR(LEFT(P180,5)="Error",LEFT(O180,5)="Error ▲"),"Check Data ⚠",IF(F180&lt;S180,'G-7 WaterC'' Data'!$R$3,INDEX('G-7 WaterC'' Data'!$U$5:$Y$9,MATCH(G180,'G-7 WaterC'' Data'!$T$5:$T$9,0),MATCH(T180,'G-7 WaterC'' Data'!$U$4:$Y$4,0)))),"")</f>
        <v/>
      </c>
      <c r="Z180" s="138"/>
      <c r="AA180" s="138"/>
      <c r="AB180" s="298" t="str">
        <f t="shared" si="21"/>
        <v/>
      </c>
      <c r="AC180" s="311" t="str">
        <f t="shared" si="22"/>
        <v/>
      </c>
      <c r="AD180" s="344" t="str">
        <f>IFERROR(IF(AC180="Check Data ⚠","Check Data ⚠",VLOOKUP(AC180,'G-4 Temporal multipliers'!$A$4:$C$37,3,FALSE)),"")</f>
        <v/>
      </c>
      <c r="AE180" s="290" t="str">
        <f>IF(N180="","",VLOOKUP(N180,'G-7 WaterC'' Data'!$B$4:$G$8,5,FALSE))</f>
        <v/>
      </c>
      <c r="AF180" s="298" t="str">
        <f t="shared" si="23"/>
        <v/>
      </c>
      <c r="AG180" s="328" t="str">
        <f t="shared" si="24"/>
        <v/>
      </c>
      <c r="AH180" s="291" t="str">
        <f t="shared" si="18"/>
        <v/>
      </c>
      <c r="AI180" s="103"/>
      <c r="AJ180" s="291" t="str">
        <f>IF(AI180="","",IF(AND(AI180="N/A - Culvert",N180&lt;&gt;"Culvert"),"Not possible ▲",IF(VLOOKUP(AI180,'G-7 WaterC'' Data'!$AA$4:$AB$7,2,FALSE)=0,"Spatial Data Missing ⚠",VLOOKUP(AI180,'G-7 WaterC'' Data'!$AA$4:$AB$7,2,FALSE))))</f>
        <v/>
      </c>
      <c r="AK180" s="104"/>
      <c r="AL180" s="291" t="str">
        <f>IF(AK180="","",IF(AND(AK180="N/A - Culvert",N180&lt;&gt;"Culvert"),"Not possible ▲",IF(VLOOKUP(AK180,'G-7 WaterC'' Data'!$AD$4:$AE$14,2,FALSE)=0,"Spatial Data Missing ⚠",VLOOKUP(AK180,'G-7 WaterC'' Data'!$AD$4:$AE$14,2,FALSE))))</f>
        <v/>
      </c>
      <c r="AM180" s="332" t="str">
        <f t="shared" si="25"/>
        <v/>
      </c>
      <c r="AN180" s="98"/>
      <c r="AO180" s="99"/>
      <c r="AP180" s="101"/>
      <c r="AS180" s="15" t="str">
        <f>IF(B180="","",IF(ISNA(VLOOKUP($B180,'C-1 On-Site WaterC'' Baseline'!$C$8:$AD$257,17,FALSE)),"",(VLOOKUP($B180,'C-1 On-Site WaterC'' Baseline'!$C$8:$AD$257,17,FALSE))))</f>
        <v/>
      </c>
      <c r="AT180" s="15" t="str">
        <f>IF(B180="","",VLOOKUP($B180,'C-1 On-Site WaterC'' Baseline'!$C$9:$Z$257,12,FALSE))</f>
        <v/>
      </c>
      <c r="AU180" s="15" t="str">
        <f>IF(B180="","",VLOOKUP($B180,'C-1 On-Site WaterC'' Baseline'!$C$9:$Z$257,14,FALSE))</f>
        <v/>
      </c>
      <c r="AV180" s="15" t="str">
        <f>IFERROR(INDEX('G-7 WaterC'' Data'!$AZ$3:$AZ$7,MATCH(N180,'G-7 WaterC'' Data'!$AY$3:$AY$7,0)),"")</f>
        <v/>
      </c>
      <c r="AX180" s="15" t="str">
        <f>IF(B180="","",VLOOKUP($B180,'C-1 On-Site WaterC'' Baseline'!$C$9:$Y$257,22,FALSE))</f>
        <v/>
      </c>
      <c r="AY180" s="15" t="str">
        <f t="shared" si="26"/>
        <v/>
      </c>
      <c r="AZ180" s="15" t="str">
        <f>IF(B180="","",VLOOKUP($B180,'C-1 On-Site WaterC'' Baseline'!$C$9:$Y$257,21,FALSE))</f>
        <v/>
      </c>
      <c r="BA180" s="15" t="str">
        <f>IF(B180="","",VLOOKUP($B180,'C-1 On-Site WaterC'' Baseline'!$C$9:$Y$257,19,FALSE))</f>
        <v/>
      </c>
    </row>
    <row r="181" spans="2:53" ht="14" x14ac:dyDescent="0.3">
      <c r="B181" s="319" t="str">
        <f>'C-1 On-Site WaterC'' Baseline'!AP179</f>
        <v/>
      </c>
      <c r="C181" s="310" t="str">
        <f>IF(B181="","",VLOOKUP($B181,'C-1 On-Site WaterC'' Baseline'!$C$9:$R$257,2,FALSE))</f>
        <v/>
      </c>
      <c r="D181" s="310" t="str">
        <f>IF(C181="","",VLOOKUP($B181,'C-1 On-Site WaterC'' Baseline'!$C$9:$R$257,3,FALSE))</f>
        <v/>
      </c>
      <c r="E181" s="310" t="str">
        <f>IF(D181="","",VLOOKUP($B181,'C-1 On-Site WaterC'' Baseline'!$C$9:$R$257,4,FALSE))</f>
        <v/>
      </c>
      <c r="F181" s="310" t="str">
        <f>IF(E181="","",VLOOKUP($B181,'C-1 On-Site WaterC'' Baseline'!$C$9:$R$257,5,FALSE))</f>
        <v/>
      </c>
      <c r="G181" s="310" t="str">
        <f>IF(F181="","",VLOOKUP($B181,'C-1 On-Site WaterC'' Baseline'!$C$9:$R$257,6,FALSE))</f>
        <v/>
      </c>
      <c r="H181" s="310" t="str">
        <f>IF(G181="","",VLOOKUP($B181,'C-1 On-Site WaterC'' Baseline'!$C$9:$R$257,7,FALSE))</f>
        <v/>
      </c>
      <c r="I181" s="310" t="str">
        <f>IF(H181="","",VLOOKUP($B181,'C-1 On-Site WaterC'' Baseline'!$C$9:$R$257,8,FALSE))</f>
        <v/>
      </c>
      <c r="J181" s="310" t="str">
        <f>IF(I181="","",VLOOKUP($B181,'C-1 On-Site WaterC'' Baseline'!$C$9:$R$257,9,FALSE))</f>
        <v/>
      </c>
      <c r="K181" s="310" t="str">
        <f>IF(J181="","",VLOOKUP($B181,'C-1 On-Site WaterC'' Baseline'!$C$9:$R$257,10,FALSE))</f>
        <v/>
      </c>
      <c r="L181" s="310" t="str">
        <f>IF(B181="","",VLOOKUP($B181,'C-1 On-Site WaterC'' Baseline'!$C$9:$R$257,15,FALSE))</f>
        <v/>
      </c>
      <c r="M181" s="314" t="str">
        <f>IF(L181="","",VLOOKUP($B181,'C-1 On-Site WaterC'' Baseline'!$C$9:$R$257,16,FALSE))</f>
        <v/>
      </c>
      <c r="N181" s="259"/>
      <c r="O181" s="290" t="str">
        <f t="shared" si="19"/>
        <v/>
      </c>
      <c r="P181" s="291" t="str">
        <f t="shared" si="20"/>
        <v/>
      </c>
      <c r="Q181" s="346" t="str">
        <f>IF(N181="","",VLOOKUP(B181,'C-1 On-Site WaterC'' Baseline'!$C$10:$AC$257,20,FALSE))</f>
        <v/>
      </c>
      <c r="R181" s="290" t="str">
        <f>IF(N181="","",VLOOKUP(N181,'G-7 WaterC'' Data'!$B$2:$G$8,2,FALSE))</f>
        <v/>
      </c>
      <c r="S181" s="291" t="str">
        <f>IFERROR(VLOOKUP(R181,'G-7 WaterC'' Data'!$C$4:$D$8,2,FALSE),"")</f>
        <v/>
      </c>
      <c r="T181" s="95"/>
      <c r="U181" s="291" t="str">
        <f>IFERROR(INDEX('G-7 WaterC'' Data'!$H$4:$L$8,MATCH(N181,'G-7 WaterC'' Data'!$B$4:$B$8,0),MATCH(T181,'G-7 WaterC'' Data'!$H$3:$L$3,0)),"")</f>
        <v/>
      </c>
      <c r="V181" s="95"/>
      <c r="W181" s="298" t="str">
        <f>IF(V181="","",IF(VLOOKUP(V181,'G-7 WaterC'' Data'!$AK$4:$AM$6,2,FALSE)=0,"Spatial Data Missing ⚠",VLOOKUP(V181,'G-7 WaterC'' Data'!$AK$4:$AM$6,2,FALSE)))</f>
        <v/>
      </c>
      <c r="X181" s="291" t="str">
        <f>IF(V181="","",IF(VLOOKUP(V181,'G-7 WaterC'' Data'!$AK$4:$AM$6,3,FALSE)=0,"Spatial Data Missing ⚠",VLOOKUP(V181,'G-7 WaterC'' Data'!$AK$4:$AM$6,3,FALSE)))</f>
        <v/>
      </c>
      <c r="Y181" s="290" t="str">
        <f>IFERROR(IF(OR(LEFT(P181,5)="Error",LEFT(O181,5)="Error ▲"),"Check Data ⚠",IF(F181&lt;S181,'G-7 WaterC'' Data'!$R$3,INDEX('G-7 WaterC'' Data'!$U$5:$Y$9,MATCH(G181,'G-7 WaterC'' Data'!$T$5:$T$9,0),MATCH(T181,'G-7 WaterC'' Data'!$U$4:$Y$4,0)))),"")</f>
        <v/>
      </c>
      <c r="Z181" s="138"/>
      <c r="AA181" s="138"/>
      <c r="AB181" s="298" t="str">
        <f t="shared" si="21"/>
        <v/>
      </c>
      <c r="AC181" s="311" t="str">
        <f t="shared" si="22"/>
        <v/>
      </c>
      <c r="AD181" s="344" t="str">
        <f>IFERROR(IF(AC181="Check Data ⚠","Check Data ⚠",VLOOKUP(AC181,'G-4 Temporal multipliers'!$A$4:$C$37,3,FALSE)),"")</f>
        <v/>
      </c>
      <c r="AE181" s="290" t="str">
        <f>IF(N181="","",VLOOKUP(N181,'G-7 WaterC'' Data'!$B$4:$G$8,5,FALSE))</f>
        <v/>
      </c>
      <c r="AF181" s="298" t="str">
        <f t="shared" si="23"/>
        <v/>
      </c>
      <c r="AG181" s="328" t="str">
        <f t="shared" si="24"/>
        <v/>
      </c>
      <c r="AH181" s="291" t="str">
        <f t="shared" si="18"/>
        <v/>
      </c>
      <c r="AI181" s="103"/>
      <c r="AJ181" s="291" t="str">
        <f>IF(AI181="","",IF(AND(AI181="N/A - Culvert",N181&lt;&gt;"Culvert"),"Not possible ▲",IF(VLOOKUP(AI181,'G-7 WaterC'' Data'!$AA$4:$AB$7,2,FALSE)=0,"Spatial Data Missing ⚠",VLOOKUP(AI181,'G-7 WaterC'' Data'!$AA$4:$AB$7,2,FALSE))))</f>
        <v/>
      </c>
      <c r="AK181" s="104"/>
      <c r="AL181" s="291" t="str">
        <f>IF(AK181="","",IF(AND(AK181="N/A - Culvert",N181&lt;&gt;"Culvert"),"Not possible ▲",IF(VLOOKUP(AK181,'G-7 WaterC'' Data'!$AD$4:$AE$14,2,FALSE)=0,"Spatial Data Missing ⚠",VLOOKUP(AK181,'G-7 WaterC'' Data'!$AD$4:$AE$14,2,FALSE))))</f>
        <v/>
      </c>
      <c r="AM181" s="332" t="str">
        <f t="shared" si="25"/>
        <v/>
      </c>
      <c r="AN181" s="98"/>
      <c r="AO181" s="99"/>
      <c r="AP181" s="101"/>
      <c r="AS181" s="15" t="str">
        <f>IF(B181="","",IF(ISNA(VLOOKUP($B181,'C-1 On-Site WaterC'' Baseline'!$C$8:$AD$257,17,FALSE)),"",(VLOOKUP($B181,'C-1 On-Site WaterC'' Baseline'!$C$8:$AD$257,17,FALSE))))</f>
        <v/>
      </c>
      <c r="AT181" s="15" t="str">
        <f>IF(B181="","",VLOOKUP($B181,'C-1 On-Site WaterC'' Baseline'!$C$9:$Z$257,12,FALSE))</f>
        <v/>
      </c>
      <c r="AU181" s="15" t="str">
        <f>IF(B181="","",VLOOKUP($B181,'C-1 On-Site WaterC'' Baseline'!$C$9:$Z$257,14,FALSE))</f>
        <v/>
      </c>
      <c r="AV181" s="15" t="str">
        <f>IFERROR(INDEX('G-7 WaterC'' Data'!$AZ$3:$AZ$7,MATCH(N181,'G-7 WaterC'' Data'!$AY$3:$AY$7,0)),"")</f>
        <v/>
      </c>
      <c r="AX181" s="15" t="str">
        <f>IF(B181="","",VLOOKUP($B181,'C-1 On-Site WaterC'' Baseline'!$C$9:$Y$257,22,FALSE))</f>
        <v/>
      </c>
      <c r="AY181" s="15" t="str">
        <f t="shared" si="26"/>
        <v/>
      </c>
      <c r="AZ181" s="15" t="str">
        <f>IF(B181="","",VLOOKUP($B181,'C-1 On-Site WaterC'' Baseline'!$C$9:$Y$257,21,FALSE))</f>
        <v/>
      </c>
      <c r="BA181" s="15" t="str">
        <f>IF(B181="","",VLOOKUP($B181,'C-1 On-Site WaterC'' Baseline'!$C$9:$Y$257,19,FALSE))</f>
        <v/>
      </c>
    </row>
    <row r="182" spans="2:53" ht="14" x14ac:dyDescent="0.3">
      <c r="B182" s="319" t="str">
        <f>'C-1 On-Site WaterC'' Baseline'!AP180</f>
        <v/>
      </c>
      <c r="C182" s="310" t="str">
        <f>IF(B182="","",VLOOKUP($B182,'C-1 On-Site WaterC'' Baseline'!$C$9:$R$257,2,FALSE))</f>
        <v/>
      </c>
      <c r="D182" s="310" t="str">
        <f>IF(C182="","",VLOOKUP($B182,'C-1 On-Site WaterC'' Baseline'!$C$9:$R$257,3,FALSE))</f>
        <v/>
      </c>
      <c r="E182" s="310" t="str">
        <f>IF(D182="","",VLOOKUP($B182,'C-1 On-Site WaterC'' Baseline'!$C$9:$R$257,4,FALSE))</f>
        <v/>
      </c>
      <c r="F182" s="310" t="str">
        <f>IF(E182="","",VLOOKUP($B182,'C-1 On-Site WaterC'' Baseline'!$C$9:$R$257,5,FALSE))</f>
        <v/>
      </c>
      <c r="G182" s="310" t="str">
        <f>IF(F182="","",VLOOKUP($B182,'C-1 On-Site WaterC'' Baseline'!$C$9:$R$257,6,FALSE))</f>
        <v/>
      </c>
      <c r="H182" s="310" t="str">
        <f>IF(G182="","",VLOOKUP($B182,'C-1 On-Site WaterC'' Baseline'!$C$9:$R$257,7,FALSE))</f>
        <v/>
      </c>
      <c r="I182" s="310" t="str">
        <f>IF(H182="","",VLOOKUP($B182,'C-1 On-Site WaterC'' Baseline'!$C$9:$R$257,8,FALSE))</f>
        <v/>
      </c>
      <c r="J182" s="310" t="str">
        <f>IF(I182="","",VLOOKUP($B182,'C-1 On-Site WaterC'' Baseline'!$C$9:$R$257,9,FALSE))</f>
        <v/>
      </c>
      <c r="K182" s="310" t="str">
        <f>IF(J182="","",VLOOKUP($B182,'C-1 On-Site WaterC'' Baseline'!$C$9:$R$257,10,FALSE))</f>
        <v/>
      </c>
      <c r="L182" s="310" t="str">
        <f>IF(B182="","",VLOOKUP($B182,'C-1 On-Site WaterC'' Baseline'!$C$9:$R$257,15,FALSE))</f>
        <v/>
      </c>
      <c r="M182" s="314" t="str">
        <f>IF(L182="","",VLOOKUP($B182,'C-1 On-Site WaterC'' Baseline'!$C$9:$R$257,16,FALSE))</f>
        <v/>
      </c>
      <c r="N182" s="259"/>
      <c r="O182" s="290" t="str">
        <f t="shared" si="19"/>
        <v/>
      </c>
      <c r="P182" s="291" t="str">
        <f t="shared" si="20"/>
        <v/>
      </c>
      <c r="Q182" s="346" t="str">
        <f>IF(N182="","",VLOOKUP(B182,'C-1 On-Site WaterC'' Baseline'!$C$10:$AC$257,20,FALSE))</f>
        <v/>
      </c>
      <c r="R182" s="290" t="str">
        <f>IF(N182="","",VLOOKUP(N182,'G-7 WaterC'' Data'!$B$2:$G$8,2,FALSE))</f>
        <v/>
      </c>
      <c r="S182" s="291" t="str">
        <f>IFERROR(VLOOKUP(R182,'G-7 WaterC'' Data'!$C$4:$D$8,2,FALSE),"")</f>
        <v/>
      </c>
      <c r="T182" s="95"/>
      <c r="U182" s="291" t="str">
        <f>IFERROR(INDEX('G-7 WaterC'' Data'!$H$4:$L$8,MATCH(N182,'G-7 WaterC'' Data'!$B$4:$B$8,0),MATCH(T182,'G-7 WaterC'' Data'!$H$3:$L$3,0)),"")</f>
        <v/>
      </c>
      <c r="V182" s="95"/>
      <c r="W182" s="298" t="str">
        <f>IF(V182="","",IF(VLOOKUP(V182,'G-7 WaterC'' Data'!$AK$4:$AM$6,2,FALSE)=0,"Spatial Data Missing ⚠",VLOOKUP(V182,'G-7 WaterC'' Data'!$AK$4:$AM$6,2,FALSE)))</f>
        <v/>
      </c>
      <c r="X182" s="291" t="str">
        <f>IF(V182="","",IF(VLOOKUP(V182,'G-7 WaterC'' Data'!$AK$4:$AM$6,3,FALSE)=0,"Spatial Data Missing ⚠",VLOOKUP(V182,'G-7 WaterC'' Data'!$AK$4:$AM$6,3,FALSE)))</f>
        <v/>
      </c>
      <c r="Y182" s="290" t="str">
        <f>IFERROR(IF(OR(LEFT(P182,5)="Error",LEFT(O182,5)="Error ▲"),"Check Data ⚠",IF(F182&lt;S182,'G-7 WaterC'' Data'!$R$3,INDEX('G-7 WaterC'' Data'!$U$5:$Y$9,MATCH(G182,'G-7 WaterC'' Data'!$T$5:$T$9,0),MATCH(T182,'G-7 WaterC'' Data'!$U$4:$Y$4,0)))),"")</f>
        <v/>
      </c>
      <c r="Z182" s="138"/>
      <c r="AA182" s="138"/>
      <c r="AB182" s="298" t="str">
        <f t="shared" si="21"/>
        <v/>
      </c>
      <c r="AC182" s="311" t="str">
        <f t="shared" si="22"/>
        <v/>
      </c>
      <c r="AD182" s="344" t="str">
        <f>IFERROR(IF(AC182="Check Data ⚠","Check Data ⚠",VLOOKUP(AC182,'G-4 Temporal multipliers'!$A$4:$C$37,3,FALSE)),"")</f>
        <v/>
      </c>
      <c r="AE182" s="290" t="str">
        <f>IF(N182="","",VLOOKUP(N182,'G-7 WaterC'' Data'!$B$4:$G$8,5,FALSE))</f>
        <v/>
      </c>
      <c r="AF182" s="298" t="str">
        <f t="shared" si="23"/>
        <v/>
      </c>
      <c r="AG182" s="328" t="str">
        <f t="shared" si="24"/>
        <v/>
      </c>
      <c r="AH182" s="291" t="str">
        <f t="shared" si="18"/>
        <v/>
      </c>
      <c r="AI182" s="103"/>
      <c r="AJ182" s="291" t="str">
        <f>IF(AI182="","",IF(AND(AI182="N/A - Culvert",N182&lt;&gt;"Culvert"),"Not possible ▲",IF(VLOOKUP(AI182,'G-7 WaterC'' Data'!$AA$4:$AB$7,2,FALSE)=0,"Spatial Data Missing ⚠",VLOOKUP(AI182,'G-7 WaterC'' Data'!$AA$4:$AB$7,2,FALSE))))</f>
        <v/>
      </c>
      <c r="AK182" s="104"/>
      <c r="AL182" s="291" t="str">
        <f>IF(AK182="","",IF(AND(AK182="N/A - Culvert",N182&lt;&gt;"Culvert"),"Not possible ▲",IF(VLOOKUP(AK182,'G-7 WaterC'' Data'!$AD$4:$AE$14,2,FALSE)=0,"Spatial Data Missing ⚠",VLOOKUP(AK182,'G-7 WaterC'' Data'!$AD$4:$AE$14,2,FALSE))))</f>
        <v/>
      </c>
      <c r="AM182" s="332" t="str">
        <f t="shared" si="25"/>
        <v/>
      </c>
      <c r="AN182" s="98"/>
      <c r="AO182" s="99"/>
      <c r="AP182" s="101"/>
      <c r="AS182" s="15" t="str">
        <f>IF(B182="","",IF(ISNA(VLOOKUP($B182,'C-1 On-Site WaterC'' Baseline'!$C$8:$AD$257,17,FALSE)),"",(VLOOKUP($B182,'C-1 On-Site WaterC'' Baseline'!$C$8:$AD$257,17,FALSE))))</f>
        <v/>
      </c>
      <c r="AT182" s="15" t="str">
        <f>IF(B182="","",VLOOKUP($B182,'C-1 On-Site WaterC'' Baseline'!$C$9:$Z$257,12,FALSE))</f>
        <v/>
      </c>
      <c r="AU182" s="15" t="str">
        <f>IF(B182="","",VLOOKUP($B182,'C-1 On-Site WaterC'' Baseline'!$C$9:$Z$257,14,FALSE))</f>
        <v/>
      </c>
      <c r="AV182" s="15" t="str">
        <f>IFERROR(INDEX('G-7 WaterC'' Data'!$AZ$3:$AZ$7,MATCH(N182,'G-7 WaterC'' Data'!$AY$3:$AY$7,0)),"")</f>
        <v/>
      </c>
      <c r="AX182" s="15" t="str">
        <f>IF(B182="","",VLOOKUP($B182,'C-1 On-Site WaterC'' Baseline'!$C$9:$Y$257,22,FALSE))</f>
        <v/>
      </c>
      <c r="AY182" s="15" t="str">
        <f t="shared" si="26"/>
        <v/>
      </c>
      <c r="AZ182" s="15" t="str">
        <f>IF(B182="","",VLOOKUP($B182,'C-1 On-Site WaterC'' Baseline'!$C$9:$Y$257,21,FALSE))</f>
        <v/>
      </c>
      <c r="BA182" s="15" t="str">
        <f>IF(B182="","",VLOOKUP($B182,'C-1 On-Site WaterC'' Baseline'!$C$9:$Y$257,19,FALSE))</f>
        <v/>
      </c>
    </row>
    <row r="183" spans="2:53" ht="14" x14ac:dyDescent="0.3">
      <c r="B183" s="319" t="str">
        <f>'C-1 On-Site WaterC'' Baseline'!AP181</f>
        <v/>
      </c>
      <c r="C183" s="310" t="str">
        <f>IF(B183="","",VLOOKUP($B183,'C-1 On-Site WaterC'' Baseline'!$C$9:$R$257,2,FALSE))</f>
        <v/>
      </c>
      <c r="D183" s="310" t="str">
        <f>IF(C183="","",VLOOKUP($B183,'C-1 On-Site WaterC'' Baseline'!$C$9:$R$257,3,FALSE))</f>
        <v/>
      </c>
      <c r="E183" s="310" t="str">
        <f>IF(D183="","",VLOOKUP($B183,'C-1 On-Site WaterC'' Baseline'!$C$9:$R$257,4,FALSE))</f>
        <v/>
      </c>
      <c r="F183" s="310" t="str">
        <f>IF(E183="","",VLOOKUP($B183,'C-1 On-Site WaterC'' Baseline'!$C$9:$R$257,5,FALSE))</f>
        <v/>
      </c>
      <c r="G183" s="310" t="str">
        <f>IF(F183="","",VLOOKUP($B183,'C-1 On-Site WaterC'' Baseline'!$C$9:$R$257,6,FALSE))</f>
        <v/>
      </c>
      <c r="H183" s="310" t="str">
        <f>IF(G183="","",VLOOKUP($B183,'C-1 On-Site WaterC'' Baseline'!$C$9:$R$257,7,FALSE))</f>
        <v/>
      </c>
      <c r="I183" s="310" t="str">
        <f>IF(H183="","",VLOOKUP($B183,'C-1 On-Site WaterC'' Baseline'!$C$9:$R$257,8,FALSE))</f>
        <v/>
      </c>
      <c r="J183" s="310" t="str">
        <f>IF(I183="","",VLOOKUP($B183,'C-1 On-Site WaterC'' Baseline'!$C$9:$R$257,9,FALSE))</f>
        <v/>
      </c>
      <c r="K183" s="310" t="str">
        <f>IF(J183="","",VLOOKUP($B183,'C-1 On-Site WaterC'' Baseline'!$C$9:$R$257,10,FALSE))</f>
        <v/>
      </c>
      <c r="L183" s="310" t="str">
        <f>IF(B183="","",VLOOKUP($B183,'C-1 On-Site WaterC'' Baseline'!$C$9:$R$257,15,FALSE))</f>
        <v/>
      </c>
      <c r="M183" s="314" t="str">
        <f>IF(L183="","",VLOOKUP($B183,'C-1 On-Site WaterC'' Baseline'!$C$9:$R$257,16,FALSE))</f>
        <v/>
      </c>
      <c r="N183" s="259"/>
      <c r="O183" s="290" t="str">
        <f t="shared" si="19"/>
        <v/>
      </c>
      <c r="P183" s="291" t="str">
        <f t="shared" si="20"/>
        <v/>
      </c>
      <c r="Q183" s="346" t="str">
        <f>IF(N183="","",VLOOKUP(B183,'C-1 On-Site WaterC'' Baseline'!$C$10:$AC$257,20,FALSE))</f>
        <v/>
      </c>
      <c r="R183" s="290" t="str">
        <f>IF(N183="","",VLOOKUP(N183,'G-7 WaterC'' Data'!$B$2:$G$8,2,FALSE))</f>
        <v/>
      </c>
      <c r="S183" s="291" t="str">
        <f>IFERROR(VLOOKUP(R183,'G-7 WaterC'' Data'!$C$4:$D$8,2,FALSE),"")</f>
        <v/>
      </c>
      <c r="T183" s="95"/>
      <c r="U183" s="291" t="str">
        <f>IFERROR(INDEX('G-7 WaterC'' Data'!$H$4:$L$8,MATCH(N183,'G-7 WaterC'' Data'!$B$4:$B$8,0),MATCH(T183,'G-7 WaterC'' Data'!$H$3:$L$3,0)),"")</f>
        <v/>
      </c>
      <c r="V183" s="95"/>
      <c r="W183" s="298" t="str">
        <f>IF(V183="","",IF(VLOOKUP(V183,'G-7 WaterC'' Data'!$AK$4:$AM$6,2,FALSE)=0,"Spatial Data Missing ⚠",VLOOKUP(V183,'G-7 WaterC'' Data'!$AK$4:$AM$6,2,FALSE)))</f>
        <v/>
      </c>
      <c r="X183" s="291" t="str">
        <f>IF(V183="","",IF(VLOOKUP(V183,'G-7 WaterC'' Data'!$AK$4:$AM$6,3,FALSE)=0,"Spatial Data Missing ⚠",VLOOKUP(V183,'G-7 WaterC'' Data'!$AK$4:$AM$6,3,FALSE)))</f>
        <v/>
      </c>
      <c r="Y183" s="290" t="str">
        <f>IFERROR(IF(OR(LEFT(P183,5)="Error",LEFT(O183,5)="Error ▲"),"Check Data ⚠",IF(F183&lt;S183,'G-7 WaterC'' Data'!$R$3,INDEX('G-7 WaterC'' Data'!$U$5:$Y$9,MATCH(G183,'G-7 WaterC'' Data'!$T$5:$T$9,0),MATCH(T183,'G-7 WaterC'' Data'!$U$4:$Y$4,0)))),"")</f>
        <v/>
      </c>
      <c r="Z183" s="138"/>
      <c r="AA183" s="138"/>
      <c r="AB183" s="298" t="str">
        <f t="shared" si="21"/>
        <v/>
      </c>
      <c r="AC183" s="311" t="str">
        <f t="shared" si="22"/>
        <v/>
      </c>
      <c r="AD183" s="344" t="str">
        <f>IFERROR(IF(AC183="Check Data ⚠","Check Data ⚠",VLOOKUP(AC183,'G-4 Temporal multipliers'!$A$4:$C$37,3,FALSE)),"")</f>
        <v/>
      </c>
      <c r="AE183" s="290" t="str">
        <f>IF(N183="","",VLOOKUP(N183,'G-7 WaterC'' Data'!$B$4:$G$8,5,FALSE))</f>
        <v/>
      </c>
      <c r="AF183" s="298" t="str">
        <f t="shared" si="23"/>
        <v/>
      </c>
      <c r="AG183" s="328" t="str">
        <f t="shared" si="24"/>
        <v/>
      </c>
      <c r="AH183" s="291" t="str">
        <f t="shared" si="18"/>
        <v/>
      </c>
      <c r="AI183" s="103"/>
      <c r="AJ183" s="291" t="str">
        <f>IF(AI183="","",IF(AND(AI183="N/A - Culvert",N183&lt;&gt;"Culvert"),"Not possible ▲",IF(VLOOKUP(AI183,'G-7 WaterC'' Data'!$AA$4:$AB$7,2,FALSE)=0,"Spatial Data Missing ⚠",VLOOKUP(AI183,'G-7 WaterC'' Data'!$AA$4:$AB$7,2,FALSE))))</f>
        <v/>
      </c>
      <c r="AK183" s="104"/>
      <c r="AL183" s="291" t="str">
        <f>IF(AK183="","",IF(AND(AK183="N/A - Culvert",N183&lt;&gt;"Culvert"),"Not possible ▲",IF(VLOOKUP(AK183,'G-7 WaterC'' Data'!$AD$4:$AE$14,2,FALSE)=0,"Spatial Data Missing ⚠",VLOOKUP(AK183,'G-7 WaterC'' Data'!$AD$4:$AE$14,2,FALSE))))</f>
        <v/>
      </c>
      <c r="AM183" s="332" t="str">
        <f t="shared" si="25"/>
        <v/>
      </c>
      <c r="AN183" s="98"/>
      <c r="AO183" s="99"/>
      <c r="AP183" s="101"/>
      <c r="AS183" s="15" t="str">
        <f>IF(B183="","",IF(ISNA(VLOOKUP($B183,'C-1 On-Site WaterC'' Baseline'!$C$8:$AD$257,17,FALSE)),"",(VLOOKUP($B183,'C-1 On-Site WaterC'' Baseline'!$C$8:$AD$257,17,FALSE))))</f>
        <v/>
      </c>
      <c r="AT183" s="15" t="str">
        <f>IF(B183="","",VLOOKUP($B183,'C-1 On-Site WaterC'' Baseline'!$C$9:$Z$257,12,FALSE))</f>
        <v/>
      </c>
      <c r="AU183" s="15" t="str">
        <f>IF(B183="","",VLOOKUP($B183,'C-1 On-Site WaterC'' Baseline'!$C$9:$Z$257,14,FALSE))</f>
        <v/>
      </c>
      <c r="AV183" s="15" t="str">
        <f>IFERROR(INDEX('G-7 WaterC'' Data'!$AZ$3:$AZ$7,MATCH(N183,'G-7 WaterC'' Data'!$AY$3:$AY$7,0)),"")</f>
        <v/>
      </c>
      <c r="AX183" s="15" t="str">
        <f>IF(B183="","",VLOOKUP($B183,'C-1 On-Site WaterC'' Baseline'!$C$9:$Y$257,22,FALSE))</f>
        <v/>
      </c>
      <c r="AY183" s="15" t="str">
        <f t="shared" si="26"/>
        <v/>
      </c>
      <c r="AZ183" s="15" t="str">
        <f>IF(B183="","",VLOOKUP($B183,'C-1 On-Site WaterC'' Baseline'!$C$9:$Y$257,21,FALSE))</f>
        <v/>
      </c>
      <c r="BA183" s="15" t="str">
        <f>IF(B183="","",VLOOKUP($B183,'C-1 On-Site WaterC'' Baseline'!$C$9:$Y$257,19,FALSE))</f>
        <v/>
      </c>
    </row>
    <row r="184" spans="2:53" ht="14" x14ac:dyDescent="0.3">
      <c r="B184" s="319" t="str">
        <f>'C-1 On-Site WaterC'' Baseline'!AP182</f>
        <v/>
      </c>
      <c r="C184" s="310" t="str">
        <f>IF(B184="","",VLOOKUP($B184,'C-1 On-Site WaterC'' Baseline'!$C$9:$R$257,2,FALSE))</f>
        <v/>
      </c>
      <c r="D184" s="310" t="str">
        <f>IF(C184="","",VLOOKUP($B184,'C-1 On-Site WaterC'' Baseline'!$C$9:$R$257,3,FALSE))</f>
        <v/>
      </c>
      <c r="E184" s="310" t="str">
        <f>IF(D184="","",VLOOKUP($B184,'C-1 On-Site WaterC'' Baseline'!$C$9:$R$257,4,FALSE))</f>
        <v/>
      </c>
      <c r="F184" s="310" t="str">
        <f>IF(E184="","",VLOOKUP($B184,'C-1 On-Site WaterC'' Baseline'!$C$9:$R$257,5,FALSE))</f>
        <v/>
      </c>
      <c r="G184" s="310" t="str">
        <f>IF(F184="","",VLOOKUP($B184,'C-1 On-Site WaterC'' Baseline'!$C$9:$R$257,6,FALSE))</f>
        <v/>
      </c>
      <c r="H184" s="310" t="str">
        <f>IF(G184="","",VLOOKUP($B184,'C-1 On-Site WaterC'' Baseline'!$C$9:$R$257,7,FALSE))</f>
        <v/>
      </c>
      <c r="I184" s="310" t="str">
        <f>IF(H184="","",VLOOKUP($B184,'C-1 On-Site WaterC'' Baseline'!$C$9:$R$257,8,FALSE))</f>
        <v/>
      </c>
      <c r="J184" s="310" t="str">
        <f>IF(I184="","",VLOOKUP($B184,'C-1 On-Site WaterC'' Baseline'!$C$9:$R$257,9,FALSE))</f>
        <v/>
      </c>
      <c r="K184" s="310" t="str">
        <f>IF(J184="","",VLOOKUP($B184,'C-1 On-Site WaterC'' Baseline'!$C$9:$R$257,10,FALSE))</f>
        <v/>
      </c>
      <c r="L184" s="310" t="str">
        <f>IF(B184="","",VLOOKUP($B184,'C-1 On-Site WaterC'' Baseline'!$C$9:$R$257,15,FALSE))</f>
        <v/>
      </c>
      <c r="M184" s="314" t="str">
        <f>IF(L184="","",VLOOKUP($B184,'C-1 On-Site WaterC'' Baseline'!$C$9:$R$257,16,FALSE))</f>
        <v/>
      </c>
      <c r="N184" s="259"/>
      <c r="O184" s="290" t="str">
        <f t="shared" si="19"/>
        <v/>
      </c>
      <c r="P184" s="291" t="str">
        <f t="shared" si="20"/>
        <v/>
      </c>
      <c r="Q184" s="346" t="str">
        <f>IF(N184="","",VLOOKUP(B184,'C-1 On-Site WaterC'' Baseline'!$C$10:$AC$257,20,FALSE))</f>
        <v/>
      </c>
      <c r="R184" s="290" t="str">
        <f>IF(N184="","",VLOOKUP(N184,'G-7 WaterC'' Data'!$B$2:$G$8,2,FALSE))</f>
        <v/>
      </c>
      <c r="S184" s="291" t="str">
        <f>IFERROR(VLOOKUP(R184,'G-7 WaterC'' Data'!$C$4:$D$8,2,FALSE),"")</f>
        <v/>
      </c>
      <c r="T184" s="95"/>
      <c r="U184" s="291" t="str">
        <f>IFERROR(INDEX('G-7 WaterC'' Data'!$H$4:$L$8,MATCH(N184,'G-7 WaterC'' Data'!$B$4:$B$8,0),MATCH(T184,'G-7 WaterC'' Data'!$H$3:$L$3,0)),"")</f>
        <v/>
      </c>
      <c r="V184" s="95"/>
      <c r="W184" s="298" t="str">
        <f>IF(V184="","",IF(VLOOKUP(V184,'G-7 WaterC'' Data'!$AK$4:$AM$6,2,FALSE)=0,"Spatial Data Missing ⚠",VLOOKUP(V184,'G-7 WaterC'' Data'!$AK$4:$AM$6,2,FALSE)))</f>
        <v/>
      </c>
      <c r="X184" s="291" t="str">
        <f>IF(V184="","",IF(VLOOKUP(V184,'G-7 WaterC'' Data'!$AK$4:$AM$6,3,FALSE)=0,"Spatial Data Missing ⚠",VLOOKUP(V184,'G-7 WaterC'' Data'!$AK$4:$AM$6,3,FALSE)))</f>
        <v/>
      </c>
      <c r="Y184" s="290" t="str">
        <f>IFERROR(IF(OR(LEFT(P184,5)="Error",LEFT(O184,5)="Error ▲"),"Check Data ⚠",IF(F184&lt;S184,'G-7 WaterC'' Data'!$R$3,INDEX('G-7 WaterC'' Data'!$U$5:$Y$9,MATCH(G184,'G-7 WaterC'' Data'!$T$5:$T$9,0),MATCH(T184,'G-7 WaterC'' Data'!$U$4:$Y$4,0)))),"")</f>
        <v/>
      </c>
      <c r="Z184" s="138"/>
      <c r="AA184" s="138"/>
      <c r="AB184" s="298" t="str">
        <f t="shared" si="21"/>
        <v/>
      </c>
      <c r="AC184" s="311" t="str">
        <f t="shared" si="22"/>
        <v/>
      </c>
      <c r="AD184" s="344" t="str">
        <f>IFERROR(IF(AC184="Check Data ⚠","Check Data ⚠",VLOOKUP(AC184,'G-4 Temporal multipliers'!$A$4:$C$37,3,FALSE)),"")</f>
        <v/>
      </c>
      <c r="AE184" s="290" t="str">
        <f>IF(N184="","",VLOOKUP(N184,'G-7 WaterC'' Data'!$B$4:$G$8,5,FALSE))</f>
        <v/>
      </c>
      <c r="AF184" s="298" t="str">
        <f t="shared" si="23"/>
        <v/>
      </c>
      <c r="AG184" s="328" t="str">
        <f t="shared" si="24"/>
        <v/>
      </c>
      <c r="AH184" s="291" t="str">
        <f t="shared" si="18"/>
        <v/>
      </c>
      <c r="AI184" s="103"/>
      <c r="AJ184" s="291" t="str">
        <f>IF(AI184="","",IF(AND(AI184="N/A - Culvert",N184&lt;&gt;"Culvert"),"Not possible ▲",IF(VLOOKUP(AI184,'G-7 WaterC'' Data'!$AA$4:$AB$7,2,FALSE)=0,"Spatial Data Missing ⚠",VLOOKUP(AI184,'G-7 WaterC'' Data'!$AA$4:$AB$7,2,FALSE))))</f>
        <v/>
      </c>
      <c r="AK184" s="104"/>
      <c r="AL184" s="291" t="str">
        <f>IF(AK184="","",IF(AND(AK184="N/A - Culvert",N184&lt;&gt;"Culvert"),"Not possible ▲",IF(VLOOKUP(AK184,'G-7 WaterC'' Data'!$AD$4:$AE$14,2,FALSE)=0,"Spatial Data Missing ⚠",VLOOKUP(AK184,'G-7 WaterC'' Data'!$AD$4:$AE$14,2,FALSE))))</f>
        <v/>
      </c>
      <c r="AM184" s="332" t="str">
        <f t="shared" si="25"/>
        <v/>
      </c>
      <c r="AN184" s="98"/>
      <c r="AO184" s="99"/>
      <c r="AP184" s="101"/>
      <c r="AS184" s="15" t="str">
        <f>IF(B184="","",IF(ISNA(VLOOKUP($B184,'C-1 On-Site WaterC'' Baseline'!$C$8:$AD$257,17,FALSE)),"",(VLOOKUP($B184,'C-1 On-Site WaterC'' Baseline'!$C$8:$AD$257,17,FALSE))))</f>
        <v/>
      </c>
      <c r="AT184" s="15" t="str">
        <f>IF(B184="","",VLOOKUP($B184,'C-1 On-Site WaterC'' Baseline'!$C$9:$Z$257,12,FALSE))</f>
        <v/>
      </c>
      <c r="AU184" s="15" t="str">
        <f>IF(B184="","",VLOOKUP($B184,'C-1 On-Site WaterC'' Baseline'!$C$9:$Z$257,14,FALSE))</f>
        <v/>
      </c>
      <c r="AV184" s="15" t="str">
        <f>IFERROR(INDEX('G-7 WaterC'' Data'!$AZ$3:$AZ$7,MATCH(N184,'G-7 WaterC'' Data'!$AY$3:$AY$7,0)),"")</f>
        <v/>
      </c>
      <c r="AX184" s="15" t="str">
        <f>IF(B184="","",VLOOKUP($B184,'C-1 On-Site WaterC'' Baseline'!$C$9:$Y$257,22,FALSE))</f>
        <v/>
      </c>
      <c r="AY184" s="15" t="str">
        <f t="shared" si="26"/>
        <v/>
      </c>
      <c r="AZ184" s="15" t="str">
        <f>IF(B184="","",VLOOKUP($B184,'C-1 On-Site WaterC'' Baseline'!$C$9:$Y$257,21,FALSE))</f>
        <v/>
      </c>
      <c r="BA184" s="15" t="str">
        <f>IF(B184="","",VLOOKUP($B184,'C-1 On-Site WaterC'' Baseline'!$C$9:$Y$257,19,FALSE))</f>
        <v/>
      </c>
    </row>
    <row r="185" spans="2:53" ht="14" x14ac:dyDescent="0.3">
      <c r="B185" s="319" t="str">
        <f>'C-1 On-Site WaterC'' Baseline'!AP183</f>
        <v/>
      </c>
      <c r="C185" s="310" t="str">
        <f>IF(B185="","",VLOOKUP($B185,'C-1 On-Site WaterC'' Baseline'!$C$9:$R$257,2,FALSE))</f>
        <v/>
      </c>
      <c r="D185" s="310" t="str">
        <f>IF(C185="","",VLOOKUP($B185,'C-1 On-Site WaterC'' Baseline'!$C$9:$R$257,3,FALSE))</f>
        <v/>
      </c>
      <c r="E185" s="310" t="str">
        <f>IF(D185="","",VLOOKUP($B185,'C-1 On-Site WaterC'' Baseline'!$C$9:$R$257,4,FALSE))</f>
        <v/>
      </c>
      <c r="F185" s="310" t="str">
        <f>IF(E185="","",VLOOKUP($B185,'C-1 On-Site WaterC'' Baseline'!$C$9:$R$257,5,FALSE))</f>
        <v/>
      </c>
      <c r="G185" s="310" t="str">
        <f>IF(F185="","",VLOOKUP($B185,'C-1 On-Site WaterC'' Baseline'!$C$9:$R$257,6,FALSE))</f>
        <v/>
      </c>
      <c r="H185" s="310" t="str">
        <f>IF(G185="","",VLOOKUP($B185,'C-1 On-Site WaterC'' Baseline'!$C$9:$R$257,7,FALSE))</f>
        <v/>
      </c>
      <c r="I185" s="310" t="str">
        <f>IF(H185="","",VLOOKUP($B185,'C-1 On-Site WaterC'' Baseline'!$C$9:$R$257,8,FALSE))</f>
        <v/>
      </c>
      <c r="J185" s="310" t="str">
        <f>IF(I185="","",VLOOKUP($B185,'C-1 On-Site WaterC'' Baseline'!$C$9:$R$257,9,FALSE))</f>
        <v/>
      </c>
      <c r="K185" s="310" t="str">
        <f>IF(J185="","",VLOOKUP($B185,'C-1 On-Site WaterC'' Baseline'!$C$9:$R$257,10,FALSE))</f>
        <v/>
      </c>
      <c r="L185" s="310" t="str">
        <f>IF(B185="","",VLOOKUP($B185,'C-1 On-Site WaterC'' Baseline'!$C$9:$R$257,15,FALSE))</f>
        <v/>
      </c>
      <c r="M185" s="314" t="str">
        <f>IF(L185="","",VLOOKUP($B185,'C-1 On-Site WaterC'' Baseline'!$C$9:$R$257,16,FALSE))</f>
        <v/>
      </c>
      <c r="N185" s="259"/>
      <c r="O185" s="290" t="str">
        <f t="shared" si="19"/>
        <v/>
      </c>
      <c r="P185" s="291" t="str">
        <f t="shared" si="20"/>
        <v/>
      </c>
      <c r="Q185" s="346" t="str">
        <f>IF(N185="","",VLOOKUP(B185,'C-1 On-Site WaterC'' Baseline'!$C$10:$AC$257,20,FALSE))</f>
        <v/>
      </c>
      <c r="R185" s="290" t="str">
        <f>IF(N185="","",VLOOKUP(N185,'G-7 WaterC'' Data'!$B$2:$G$8,2,FALSE))</f>
        <v/>
      </c>
      <c r="S185" s="291" t="str">
        <f>IFERROR(VLOOKUP(R185,'G-7 WaterC'' Data'!$C$4:$D$8,2,FALSE),"")</f>
        <v/>
      </c>
      <c r="T185" s="95"/>
      <c r="U185" s="291" t="str">
        <f>IFERROR(INDEX('G-7 WaterC'' Data'!$H$4:$L$8,MATCH(N185,'G-7 WaterC'' Data'!$B$4:$B$8,0),MATCH(T185,'G-7 WaterC'' Data'!$H$3:$L$3,0)),"")</f>
        <v/>
      </c>
      <c r="V185" s="95"/>
      <c r="W185" s="298" t="str">
        <f>IF(V185="","",IF(VLOOKUP(V185,'G-7 WaterC'' Data'!$AK$4:$AM$6,2,FALSE)=0,"Spatial Data Missing ⚠",VLOOKUP(V185,'G-7 WaterC'' Data'!$AK$4:$AM$6,2,FALSE)))</f>
        <v/>
      </c>
      <c r="X185" s="291" t="str">
        <f>IF(V185="","",IF(VLOOKUP(V185,'G-7 WaterC'' Data'!$AK$4:$AM$6,3,FALSE)=0,"Spatial Data Missing ⚠",VLOOKUP(V185,'G-7 WaterC'' Data'!$AK$4:$AM$6,3,FALSE)))</f>
        <v/>
      </c>
      <c r="Y185" s="290" t="str">
        <f>IFERROR(IF(OR(LEFT(P185,5)="Error",LEFT(O185,5)="Error ▲"),"Check Data ⚠",IF(F185&lt;S185,'G-7 WaterC'' Data'!$R$3,INDEX('G-7 WaterC'' Data'!$U$5:$Y$9,MATCH(G185,'G-7 WaterC'' Data'!$T$5:$T$9,0),MATCH(T185,'G-7 WaterC'' Data'!$U$4:$Y$4,0)))),"")</f>
        <v/>
      </c>
      <c r="Z185" s="138"/>
      <c r="AA185" s="138"/>
      <c r="AB185" s="298" t="str">
        <f t="shared" si="21"/>
        <v/>
      </c>
      <c r="AC185" s="311" t="str">
        <f t="shared" si="22"/>
        <v/>
      </c>
      <c r="AD185" s="344" t="str">
        <f>IFERROR(IF(AC185="Check Data ⚠","Check Data ⚠",VLOOKUP(AC185,'G-4 Temporal multipliers'!$A$4:$C$37,3,FALSE)),"")</f>
        <v/>
      </c>
      <c r="AE185" s="290" t="str">
        <f>IF(N185="","",VLOOKUP(N185,'G-7 WaterC'' Data'!$B$4:$G$8,5,FALSE))</f>
        <v/>
      </c>
      <c r="AF185" s="298" t="str">
        <f t="shared" si="23"/>
        <v/>
      </c>
      <c r="AG185" s="328" t="str">
        <f t="shared" si="24"/>
        <v/>
      </c>
      <c r="AH185" s="291" t="str">
        <f t="shared" si="18"/>
        <v/>
      </c>
      <c r="AI185" s="103"/>
      <c r="AJ185" s="291" t="str">
        <f>IF(AI185="","",IF(AND(AI185="N/A - Culvert",N185&lt;&gt;"Culvert"),"Not possible ▲",IF(VLOOKUP(AI185,'G-7 WaterC'' Data'!$AA$4:$AB$7,2,FALSE)=0,"Spatial Data Missing ⚠",VLOOKUP(AI185,'G-7 WaterC'' Data'!$AA$4:$AB$7,2,FALSE))))</f>
        <v/>
      </c>
      <c r="AK185" s="104"/>
      <c r="AL185" s="291" t="str">
        <f>IF(AK185="","",IF(AND(AK185="N/A - Culvert",N185&lt;&gt;"Culvert"),"Not possible ▲",IF(VLOOKUP(AK185,'G-7 WaterC'' Data'!$AD$4:$AE$14,2,FALSE)=0,"Spatial Data Missing ⚠",VLOOKUP(AK185,'G-7 WaterC'' Data'!$AD$4:$AE$14,2,FALSE))))</f>
        <v/>
      </c>
      <c r="AM185" s="332" t="str">
        <f t="shared" si="25"/>
        <v/>
      </c>
      <c r="AN185" s="98"/>
      <c r="AO185" s="99"/>
      <c r="AP185" s="101"/>
      <c r="AS185" s="15" t="str">
        <f>IF(B185="","",IF(ISNA(VLOOKUP($B185,'C-1 On-Site WaterC'' Baseline'!$C$8:$AD$257,17,FALSE)),"",(VLOOKUP($B185,'C-1 On-Site WaterC'' Baseline'!$C$8:$AD$257,17,FALSE))))</f>
        <v/>
      </c>
      <c r="AT185" s="15" t="str">
        <f>IF(B185="","",VLOOKUP($B185,'C-1 On-Site WaterC'' Baseline'!$C$9:$Z$257,12,FALSE))</f>
        <v/>
      </c>
      <c r="AU185" s="15" t="str">
        <f>IF(B185="","",VLOOKUP($B185,'C-1 On-Site WaterC'' Baseline'!$C$9:$Z$257,14,FALSE))</f>
        <v/>
      </c>
      <c r="AV185" s="15" t="str">
        <f>IFERROR(INDEX('G-7 WaterC'' Data'!$AZ$3:$AZ$7,MATCH(N185,'G-7 WaterC'' Data'!$AY$3:$AY$7,0)),"")</f>
        <v/>
      </c>
      <c r="AX185" s="15" t="str">
        <f>IF(B185="","",VLOOKUP($B185,'C-1 On-Site WaterC'' Baseline'!$C$9:$Y$257,22,FALSE))</f>
        <v/>
      </c>
      <c r="AY185" s="15" t="str">
        <f t="shared" si="26"/>
        <v/>
      </c>
      <c r="AZ185" s="15" t="str">
        <f>IF(B185="","",VLOOKUP($B185,'C-1 On-Site WaterC'' Baseline'!$C$9:$Y$257,21,FALSE))</f>
        <v/>
      </c>
      <c r="BA185" s="15" t="str">
        <f>IF(B185="","",VLOOKUP($B185,'C-1 On-Site WaterC'' Baseline'!$C$9:$Y$257,19,FALSE))</f>
        <v/>
      </c>
    </row>
    <row r="186" spans="2:53" ht="14" x14ac:dyDescent="0.3">
      <c r="B186" s="319" t="str">
        <f>'C-1 On-Site WaterC'' Baseline'!AP184</f>
        <v/>
      </c>
      <c r="C186" s="310" t="str">
        <f>IF(B186="","",VLOOKUP($B186,'C-1 On-Site WaterC'' Baseline'!$C$9:$R$257,2,FALSE))</f>
        <v/>
      </c>
      <c r="D186" s="310" t="str">
        <f>IF(C186="","",VLOOKUP($B186,'C-1 On-Site WaterC'' Baseline'!$C$9:$R$257,3,FALSE))</f>
        <v/>
      </c>
      <c r="E186" s="310" t="str">
        <f>IF(D186="","",VLOOKUP($B186,'C-1 On-Site WaterC'' Baseline'!$C$9:$R$257,4,FALSE))</f>
        <v/>
      </c>
      <c r="F186" s="310" t="str">
        <f>IF(E186="","",VLOOKUP($B186,'C-1 On-Site WaterC'' Baseline'!$C$9:$R$257,5,FALSE))</f>
        <v/>
      </c>
      <c r="G186" s="310" t="str">
        <f>IF(F186="","",VLOOKUP($B186,'C-1 On-Site WaterC'' Baseline'!$C$9:$R$257,6,FALSE))</f>
        <v/>
      </c>
      <c r="H186" s="310" t="str">
        <f>IF(G186="","",VLOOKUP($B186,'C-1 On-Site WaterC'' Baseline'!$C$9:$R$257,7,FALSE))</f>
        <v/>
      </c>
      <c r="I186" s="310" t="str">
        <f>IF(H186="","",VLOOKUP($B186,'C-1 On-Site WaterC'' Baseline'!$C$9:$R$257,8,FALSE))</f>
        <v/>
      </c>
      <c r="J186" s="310" t="str">
        <f>IF(I186="","",VLOOKUP($B186,'C-1 On-Site WaterC'' Baseline'!$C$9:$R$257,9,FALSE))</f>
        <v/>
      </c>
      <c r="K186" s="310" t="str">
        <f>IF(J186="","",VLOOKUP($B186,'C-1 On-Site WaterC'' Baseline'!$C$9:$R$257,10,FALSE))</f>
        <v/>
      </c>
      <c r="L186" s="310" t="str">
        <f>IF(B186="","",VLOOKUP($B186,'C-1 On-Site WaterC'' Baseline'!$C$9:$R$257,15,FALSE))</f>
        <v/>
      </c>
      <c r="M186" s="314" t="str">
        <f>IF(L186="","",VLOOKUP($B186,'C-1 On-Site WaterC'' Baseline'!$C$9:$R$257,16,FALSE))</f>
        <v/>
      </c>
      <c r="N186" s="259"/>
      <c r="O186" s="290" t="str">
        <f t="shared" si="19"/>
        <v/>
      </c>
      <c r="P186" s="291" t="str">
        <f t="shared" si="20"/>
        <v/>
      </c>
      <c r="Q186" s="346" t="str">
        <f>IF(N186="","",VLOOKUP(B186,'C-1 On-Site WaterC'' Baseline'!$C$10:$AC$257,20,FALSE))</f>
        <v/>
      </c>
      <c r="R186" s="290" t="str">
        <f>IF(N186="","",VLOOKUP(N186,'G-7 WaterC'' Data'!$B$2:$G$8,2,FALSE))</f>
        <v/>
      </c>
      <c r="S186" s="291" t="str">
        <f>IFERROR(VLOOKUP(R186,'G-7 WaterC'' Data'!$C$4:$D$8,2,FALSE),"")</f>
        <v/>
      </c>
      <c r="T186" s="95"/>
      <c r="U186" s="291" t="str">
        <f>IFERROR(INDEX('G-7 WaterC'' Data'!$H$4:$L$8,MATCH(N186,'G-7 WaterC'' Data'!$B$4:$B$8,0),MATCH(T186,'G-7 WaterC'' Data'!$H$3:$L$3,0)),"")</f>
        <v/>
      </c>
      <c r="V186" s="95"/>
      <c r="W186" s="298" t="str">
        <f>IF(V186="","",IF(VLOOKUP(V186,'G-7 WaterC'' Data'!$AK$4:$AM$6,2,FALSE)=0,"Spatial Data Missing ⚠",VLOOKUP(V186,'G-7 WaterC'' Data'!$AK$4:$AM$6,2,FALSE)))</f>
        <v/>
      </c>
      <c r="X186" s="291" t="str">
        <f>IF(V186="","",IF(VLOOKUP(V186,'G-7 WaterC'' Data'!$AK$4:$AM$6,3,FALSE)=0,"Spatial Data Missing ⚠",VLOOKUP(V186,'G-7 WaterC'' Data'!$AK$4:$AM$6,3,FALSE)))</f>
        <v/>
      </c>
      <c r="Y186" s="290" t="str">
        <f>IFERROR(IF(OR(LEFT(P186,5)="Error",LEFT(O186,5)="Error ▲"),"Check Data ⚠",IF(F186&lt;S186,'G-7 WaterC'' Data'!$R$3,INDEX('G-7 WaterC'' Data'!$U$5:$Y$9,MATCH(G186,'G-7 WaterC'' Data'!$T$5:$T$9,0),MATCH(T186,'G-7 WaterC'' Data'!$U$4:$Y$4,0)))),"")</f>
        <v/>
      </c>
      <c r="Z186" s="138"/>
      <c r="AA186" s="138"/>
      <c r="AB186" s="298" t="str">
        <f t="shared" si="21"/>
        <v/>
      </c>
      <c r="AC186" s="311" t="str">
        <f t="shared" si="22"/>
        <v/>
      </c>
      <c r="AD186" s="344" t="str">
        <f>IFERROR(IF(AC186="Check Data ⚠","Check Data ⚠",VLOOKUP(AC186,'G-4 Temporal multipliers'!$A$4:$C$37,3,FALSE)),"")</f>
        <v/>
      </c>
      <c r="AE186" s="290" t="str">
        <f>IF(N186="","",VLOOKUP(N186,'G-7 WaterC'' Data'!$B$4:$G$8,5,FALSE))</f>
        <v/>
      </c>
      <c r="AF186" s="298" t="str">
        <f t="shared" si="23"/>
        <v/>
      </c>
      <c r="AG186" s="328" t="str">
        <f t="shared" si="24"/>
        <v/>
      </c>
      <c r="AH186" s="291" t="str">
        <f t="shared" si="18"/>
        <v/>
      </c>
      <c r="AI186" s="103"/>
      <c r="AJ186" s="291" t="str">
        <f>IF(AI186="","",IF(AND(AI186="N/A - Culvert",N186&lt;&gt;"Culvert"),"Not possible ▲",IF(VLOOKUP(AI186,'G-7 WaterC'' Data'!$AA$4:$AB$7,2,FALSE)=0,"Spatial Data Missing ⚠",VLOOKUP(AI186,'G-7 WaterC'' Data'!$AA$4:$AB$7,2,FALSE))))</f>
        <v/>
      </c>
      <c r="AK186" s="104"/>
      <c r="AL186" s="291" t="str">
        <f>IF(AK186="","",IF(AND(AK186="N/A - Culvert",N186&lt;&gt;"Culvert"),"Not possible ▲",IF(VLOOKUP(AK186,'G-7 WaterC'' Data'!$AD$4:$AE$14,2,FALSE)=0,"Spatial Data Missing ⚠",VLOOKUP(AK186,'G-7 WaterC'' Data'!$AD$4:$AE$14,2,FALSE))))</f>
        <v/>
      </c>
      <c r="AM186" s="332" t="str">
        <f t="shared" si="25"/>
        <v/>
      </c>
      <c r="AN186" s="98"/>
      <c r="AO186" s="99"/>
      <c r="AP186" s="101"/>
      <c r="AS186" s="15" t="str">
        <f>IF(B186="","",IF(ISNA(VLOOKUP($B186,'C-1 On-Site WaterC'' Baseline'!$C$8:$AD$257,17,FALSE)),"",(VLOOKUP($B186,'C-1 On-Site WaterC'' Baseline'!$C$8:$AD$257,17,FALSE))))</f>
        <v/>
      </c>
      <c r="AT186" s="15" t="str">
        <f>IF(B186="","",VLOOKUP($B186,'C-1 On-Site WaterC'' Baseline'!$C$9:$Z$257,12,FALSE))</f>
        <v/>
      </c>
      <c r="AU186" s="15" t="str">
        <f>IF(B186="","",VLOOKUP($B186,'C-1 On-Site WaterC'' Baseline'!$C$9:$Z$257,14,FALSE))</f>
        <v/>
      </c>
      <c r="AV186" s="15" t="str">
        <f>IFERROR(INDEX('G-7 WaterC'' Data'!$AZ$3:$AZ$7,MATCH(N186,'G-7 WaterC'' Data'!$AY$3:$AY$7,0)),"")</f>
        <v/>
      </c>
      <c r="AX186" s="15" t="str">
        <f>IF(B186="","",VLOOKUP($B186,'C-1 On-Site WaterC'' Baseline'!$C$9:$Y$257,22,FALSE))</f>
        <v/>
      </c>
      <c r="AY186" s="15" t="str">
        <f t="shared" si="26"/>
        <v/>
      </c>
      <c r="AZ186" s="15" t="str">
        <f>IF(B186="","",VLOOKUP($B186,'C-1 On-Site WaterC'' Baseline'!$C$9:$Y$257,21,FALSE))</f>
        <v/>
      </c>
      <c r="BA186" s="15" t="str">
        <f>IF(B186="","",VLOOKUP($B186,'C-1 On-Site WaterC'' Baseline'!$C$9:$Y$257,19,FALSE))</f>
        <v/>
      </c>
    </row>
    <row r="187" spans="2:53" ht="14" x14ac:dyDescent="0.3">
      <c r="B187" s="319" t="str">
        <f>'C-1 On-Site WaterC'' Baseline'!AP185</f>
        <v/>
      </c>
      <c r="C187" s="310" t="str">
        <f>IF(B187="","",VLOOKUP($B187,'C-1 On-Site WaterC'' Baseline'!$C$9:$R$257,2,FALSE))</f>
        <v/>
      </c>
      <c r="D187" s="310" t="str">
        <f>IF(C187="","",VLOOKUP($B187,'C-1 On-Site WaterC'' Baseline'!$C$9:$R$257,3,FALSE))</f>
        <v/>
      </c>
      <c r="E187" s="310" t="str">
        <f>IF(D187="","",VLOOKUP($B187,'C-1 On-Site WaterC'' Baseline'!$C$9:$R$257,4,FALSE))</f>
        <v/>
      </c>
      <c r="F187" s="310" t="str">
        <f>IF(E187="","",VLOOKUP($B187,'C-1 On-Site WaterC'' Baseline'!$C$9:$R$257,5,FALSE))</f>
        <v/>
      </c>
      <c r="G187" s="310" t="str">
        <f>IF(F187="","",VLOOKUP($B187,'C-1 On-Site WaterC'' Baseline'!$C$9:$R$257,6,FALSE))</f>
        <v/>
      </c>
      <c r="H187" s="310" t="str">
        <f>IF(G187="","",VLOOKUP($B187,'C-1 On-Site WaterC'' Baseline'!$C$9:$R$257,7,FALSE))</f>
        <v/>
      </c>
      <c r="I187" s="310" t="str">
        <f>IF(H187="","",VLOOKUP($B187,'C-1 On-Site WaterC'' Baseline'!$C$9:$R$257,8,FALSE))</f>
        <v/>
      </c>
      <c r="J187" s="310" t="str">
        <f>IF(I187="","",VLOOKUP($B187,'C-1 On-Site WaterC'' Baseline'!$C$9:$R$257,9,FALSE))</f>
        <v/>
      </c>
      <c r="K187" s="310" t="str">
        <f>IF(J187="","",VLOOKUP($B187,'C-1 On-Site WaterC'' Baseline'!$C$9:$R$257,10,FALSE))</f>
        <v/>
      </c>
      <c r="L187" s="310" t="str">
        <f>IF(B187="","",VLOOKUP($B187,'C-1 On-Site WaterC'' Baseline'!$C$9:$R$257,15,FALSE))</f>
        <v/>
      </c>
      <c r="M187" s="314" t="str">
        <f>IF(L187="","",VLOOKUP($B187,'C-1 On-Site WaterC'' Baseline'!$C$9:$R$257,16,FALSE))</f>
        <v/>
      </c>
      <c r="N187" s="259"/>
      <c r="O187" s="290" t="str">
        <f t="shared" si="19"/>
        <v/>
      </c>
      <c r="P187" s="291" t="str">
        <f t="shared" si="20"/>
        <v/>
      </c>
      <c r="Q187" s="346" t="str">
        <f>IF(N187="","",VLOOKUP(B187,'C-1 On-Site WaterC'' Baseline'!$C$10:$AC$257,20,FALSE))</f>
        <v/>
      </c>
      <c r="R187" s="290" t="str">
        <f>IF(N187="","",VLOOKUP(N187,'G-7 WaterC'' Data'!$B$2:$G$8,2,FALSE))</f>
        <v/>
      </c>
      <c r="S187" s="291" t="str">
        <f>IFERROR(VLOOKUP(R187,'G-7 WaterC'' Data'!$C$4:$D$8,2,FALSE),"")</f>
        <v/>
      </c>
      <c r="T187" s="95"/>
      <c r="U187" s="291" t="str">
        <f>IFERROR(INDEX('G-7 WaterC'' Data'!$H$4:$L$8,MATCH(N187,'G-7 WaterC'' Data'!$B$4:$B$8,0),MATCH(T187,'G-7 WaterC'' Data'!$H$3:$L$3,0)),"")</f>
        <v/>
      </c>
      <c r="V187" s="95"/>
      <c r="W187" s="298" t="str">
        <f>IF(V187="","",IF(VLOOKUP(V187,'G-7 WaterC'' Data'!$AK$4:$AM$6,2,FALSE)=0,"Spatial Data Missing ⚠",VLOOKUP(V187,'G-7 WaterC'' Data'!$AK$4:$AM$6,2,FALSE)))</f>
        <v/>
      </c>
      <c r="X187" s="291" t="str">
        <f>IF(V187="","",IF(VLOOKUP(V187,'G-7 WaterC'' Data'!$AK$4:$AM$6,3,FALSE)=0,"Spatial Data Missing ⚠",VLOOKUP(V187,'G-7 WaterC'' Data'!$AK$4:$AM$6,3,FALSE)))</f>
        <v/>
      </c>
      <c r="Y187" s="290" t="str">
        <f>IFERROR(IF(OR(LEFT(P187,5)="Error",LEFT(O187,5)="Error ▲"),"Check Data ⚠",IF(F187&lt;S187,'G-7 WaterC'' Data'!$R$3,INDEX('G-7 WaterC'' Data'!$U$5:$Y$9,MATCH(G187,'G-7 WaterC'' Data'!$T$5:$T$9,0),MATCH(T187,'G-7 WaterC'' Data'!$U$4:$Y$4,0)))),"")</f>
        <v/>
      </c>
      <c r="Z187" s="138"/>
      <c r="AA187" s="138"/>
      <c r="AB187" s="298" t="str">
        <f t="shared" si="21"/>
        <v/>
      </c>
      <c r="AC187" s="311" t="str">
        <f t="shared" si="22"/>
        <v/>
      </c>
      <c r="AD187" s="344" t="str">
        <f>IFERROR(IF(AC187="Check Data ⚠","Check Data ⚠",VLOOKUP(AC187,'G-4 Temporal multipliers'!$A$4:$C$37,3,FALSE)),"")</f>
        <v/>
      </c>
      <c r="AE187" s="290" t="str">
        <f>IF(N187="","",VLOOKUP(N187,'G-7 WaterC'' Data'!$B$4:$G$8,5,FALSE))</f>
        <v/>
      </c>
      <c r="AF187" s="298" t="str">
        <f t="shared" si="23"/>
        <v/>
      </c>
      <c r="AG187" s="328" t="str">
        <f t="shared" si="24"/>
        <v/>
      </c>
      <c r="AH187" s="291" t="str">
        <f t="shared" si="18"/>
        <v/>
      </c>
      <c r="AI187" s="103"/>
      <c r="AJ187" s="291" t="str">
        <f>IF(AI187="","",IF(AND(AI187="N/A - Culvert",N187&lt;&gt;"Culvert"),"Not possible ▲",IF(VLOOKUP(AI187,'G-7 WaterC'' Data'!$AA$4:$AB$7,2,FALSE)=0,"Spatial Data Missing ⚠",VLOOKUP(AI187,'G-7 WaterC'' Data'!$AA$4:$AB$7,2,FALSE))))</f>
        <v/>
      </c>
      <c r="AK187" s="104"/>
      <c r="AL187" s="291" t="str">
        <f>IF(AK187="","",IF(AND(AK187="N/A - Culvert",N187&lt;&gt;"Culvert"),"Not possible ▲",IF(VLOOKUP(AK187,'G-7 WaterC'' Data'!$AD$4:$AE$14,2,FALSE)=0,"Spatial Data Missing ⚠",VLOOKUP(AK187,'G-7 WaterC'' Data'!$AD$4:$AE$14,2,FALSE))))</f>
        <v/>
      </c>
      <c r="AM187" s="332" t="str">
        <f t="shared" si="25"/>
        <v/>
      </c>
      <c r="AN187" s="98"/>
      <c r="AO187" s="99"/>
      <c r="AP187" s="101"/>
      <c r="AS187" s="15" t="str">
        <f>IF(B187="","",IF(ISNA(VLOOKUP($B187,'C-1 On-Site WaterC'' Baseline'!$C$8:$AD$257,17,FALSE)),"",(VLOOKUP($B187,'C-1 On-Site WaterC'' Baseline'!$C$8:$AD$257,17,FALSE))))</f>
        <v/>
      </c>
      <c r="AT187" s="15" t="str">
        <f>IF(B187="","",VLOOKUP($B187,'C-1 On-Site WaterC'' Baseline'!$C$9:$Z$257,12,FALSE))</f>
        <v/>
      </c>
      <c r="AU187" s="15" t="str">
        <f>IF(B187="","",VLOOKUP($B187,'C-1 On-Site WaterC'' Baseline'!$C$9:$Z$257,14,FALSE))</f>
        <v/>
      </c>
      <c r="AV187" s="15" t="str">
        <f>IFERROR(INDEX('G-7 WaterC'' Data'!$AZ$3:$AZ$7,MATCH(N187,'G-7 WaterC'' Data'!$AY$3:$AY$7,0)),"")</f>
        <v/>
      </c>
      <c r="AX187" s="15" t="str">
        <f>IF(B187="","",VLOOKUP($B187,'C-1 On-Site WaterC'' Baseline'!$C$9:$Y$257,22,FALSE))</f>
        <v/>
      </c>
      <c r="AY187" s="15" t="str">
        <f t="shared" si="26"/>
        <v/>
      </c>
      <c r="AZ187" s="15" t="str">
        <f>IF(B187="","",VLOOKUP($B187,'C-1 On-Site WaterC'' Baseline'!$C$9:$Y$257,21,FALSE))</f>
        <v/>
      </c>
      <c r="BA187" s="15" t="str">
        <f>IF(B187="","",VLOOKUP($B187,'C-1 On-Site WaterC'' Baseline'!$C$9:$Y$257,19,FALSE))</f>
        <v/>
      </c>
    </row>
    <row r="188" spans="2:53" ht="14" x14ac:dyDescent="0.3">
      <c r="B188" s="319" t="str">
        <f>'C-1 On-Site WaterC'' Baseline'!AP186</f>
        <v/>
      </c>
      <c r="C188" s="310" t="str">
        <f>IF(B188="","",VLOOKUP($B188,'C-1 On-Site WaterC'' Baseline'!$C$9:$R$257,2,FALSE))</f>
        <v/>
      </c>
      <c r="D188" s="310" t="str">
        <f>IF(C188="","",VLOOKUP($B188,'C-1 On-Site WaterC'' Baseline'!$C$9:$R$257,3,FALSE))</f>
        <v/>
      </c>
      <c r="E188" s="310" t="str">
        <f>IF(D188="","",VLOOKUP($B188,'C-1 On-Site WaterC'' Baseline'!$C$9:$R$257,4,FALSE))</f>
        <v/>
      </c>
      <c r="F188" s="310" t="str">
        <f>IF(E188="","",VLOOKUP($B188,'C-1 On-Site WaterC'' Baseline'!$C$9:$R$257,5,FALSE))</f>
        <v/>
      </c>
      <c r="G188" s="310" t="str">
        <f>IF(F188="","",VLOOKUP($B188,'C-1 On-Site WaterC'' Baseline'!$C$9:$R$257,6,FALSE))</f>
        <v/>
      </c>
      <c r="H188" s="310" t="str">
        <f>IF(G188="","",VLOOKUP($B188,'C-1 On-Site WaterC'' Baseline'!$C$9:$R$257,7,FALSE))</f>
        <v/>
      </c>
      <c r="I188" s="310" t="str">
        <f>IF(H188="","",VLOOKUP($B188,'C-1 On-Site WaterC'' Baseline'!$C$9:$R$257,8,FALSE))</f>
        <v/>
      </c>
      <c r="J188" s="310" t="str">
        <f>IF(I188="","",VLOOKUP($B188,'C-1 On-Site WaterC'' Baseline'!$C$9:$R$257,9,FALSE))</f>
        <v/>
      </c>
      <c r="K188" s="310" t="str">
        <f>IF(J188="","",VLOOKUP($B188,'C-1 On-Site WaterC'' Baseline'!$C$9:$R$257,10,FALSE))</f>
        <v/>
      </c>
      <c r="L188" s="310" t="str">
        <f>IF(B188="","",VLOOKUP($B188,'C-1 On-Site WaterC'' Baseline'!$C$9:$R$257,15,FALSE))</f>
        <v/>
      </c>
      <c r="M188" s="314" t="str">
        <f>IF(L188="","",VLOOKUP($B188,'C-1 On-Site WaterC'' Baseline'!$C$9:$R$257,16,FALSE))</f>
        <v/>
      </c>
      <c r="N188" s="259"/>
      <c r="O188" s="290" t="str">
        <f t="shared" si="19"/>
        <v/>
      </c>
      <c r="P188" s="291" t="str">
        <f t="shared" si="20"/>
        <v/>
      </c>
      <c r="Q188" s="346" t="str">
        <f>IF(N188="","",VLOOKUP(B188,'C-1 On-Site WaterC'' Baseline'!$C$10:$AC$257,20,FALSE))</f>
        <v/>
      </c>
      <c r="R188" s="290" t="str">
        <f>IF(N188="","",VLOOKUP(N188,'G-7 WaterC'' Data'!$B$2:$G$8,2,FALSE))</f>
        <v/>
      </c>
      <c r="S188" s="291" t="str">
        <f>IFERROR(VLOOKUP(R188,'G-7 WaterC'' Data'!$C$4:$D$8,2,FALSE),"")</f>
        <v/>
      </c>
      <c r="T188" s="95"/>
      <c r="U188" s="291" t="str">
        <f>IFERROR(INDEX('G-7 WaterC'' Data'!$H$4:$L$8,MATCH(N188,'G-7 WaterC'' Data'!$B$4:$B$8,0),MATCH(T188,'G-7 WaterC'' Data'!$H$3:$L$3,0)),"")</f>
        <v/>
      </c>
      <c r="V188" s="95"/>
      <c r="W188" s="298" t="str">
        <f>IF(V188="","",IF(VLOOKUP(V188,'G-7 WaterC'' Data'!$AK$4:$AM$6,2,FALSE)=0,"Spatial Data Missing ⚠",VLOOKUP(V188,'G-7 WaterC'' Data'!$AK$4:$AM$6,2,FALSE)))</f>
        <v/>
      </c>
      <c r="X188" s="291" t="str">
        <f>IF(V188="","",IF(VLOOKUP(V188,'G-7 WaterC'' Data'!$AK$4:$AM$6,3,FALSE)=0,"Spatial Data Missing ⚠",VLOOKUP(V188,'G-7 WaterC'' Data'!$AK$4:$AM$6,3,FALSE)))</f>
        <v/>
      </c>
      <c r="Y188" s="290" t="str">
        <f>IFERROR(IF(OR(LEFT(P188,5)="Error",LEFT(O188,5)="Error ▲"),"Check Data ⚠",IF(F188&lt;S188,'G-7 WaterC'' Data'!$R$3,INDEX('G-7 WaterC'' Data'!$U$5:$Y$9,MATCH(G188,'G-7 WaterC'' Data'!$T$5:$T$9,0),MATCH(T188,'G-7 WaterC'' Data'!$U$4:$Y$4,0)))),"")</f>
        <v/>
      </c>
      <c r="Z188" s="138"/>
      <c r="AA188" s="138"/>
      <c r="AB188" s="298" t="str">
        <f t="shared" si="21"/>
        <v/>
      </c>
      <c r="AC188" s="311" t="str">
        <f t="shared" si="22"/>
        <v/>
      </c>
      <c r="AD188" s="344" t="str">
        <f>IFERROR(IF(AC188="Check Data ⚠","Check Data ⚠",VLOOKUP(AC188,'G-4 Temporal multipliers'!$A$4:$C$37,3,FALSE)),"")</f>
        <v/>
      </c>
      <c r="AE188" s="290" t="str">
        <f>IF(N188="","",VLOOKUP(N188,'G-7 WaterC'' Data'!$B$4:$G$8,5,FALSE))</f>
        <v/>
      </c>
      <c r="AF188" s="298" t="str">
        <f t="shared" si="23"/>
        <v/>
      </c>
      <c r="AG188" s="328" t="str">
        <f t="shared" si="24"/>
        <v/>
      </c>
      <c r="AH188" s="291" t="str">
        <f t="shared" si="18"/>
        <v/>
      </c>
      <c r="AI188" s="103"/>
      <c r="AJ188" s="291" t="str">
        <f>IF(AI188="","",IF(AND(AI188="N/A - Culvert",N188&lt;&gt;"Culvert"),"Not possible ▲",IF(VLOOKUP(AI188,'G-7 WaterC'' Data'!$AA$4:$AB$7,2,FALSE)=0,"Spatial Data Missing ⚠",VLOOKUP(AI188,'G-7 WaterC'' Data'!$AA$4:$AB$7,2,FALSE))))</f>
        <v/>
      </c>
      <c r="AK188" s="104"/>
      <c r="AL188" s="291" t="str">
        <f>IF(AK188="","",IF(AND(AK188="N/A - Culvert",N188&lt;&gt;"Culvert"),"Not possible ▲",IF(VLOOKUP(AK188,'G-7 WaterC'' Data'!$AD$4:$AE$14,2,FALSE)=0,"Spatial Data Missing ⚠",VLOOKUP(AK188,'G-7 WaterC'' Data'!$AD$4:$AE$14,2,FALSE))))</f>
        <v/>
      </c>
      <c r="AM188" s="332" t="str">
        <f t="shared" si="25"/>
        <v/>
      </c>
      <c r="AN188" s="98"/>
      <c r="AO188" s="99"/>
      <c r="AP188" s="101"/>
      <c r="AS188" s="15" t="str">
        <f>IF(B188="","",IF(ISNA(VLOOKUP($B188,'C-1 On-Site WaterC'' Baseline'!$C$8:$AD$257,17,FALSE)),"",(VLOOKUP($B188,'C-1 On-Site WaterC'' Baseline'!$C$8:$AD$257,17,FALSE))))</f>
        <v/>
      </c>
      <c r="AT188" s="15" t="str">
        <f>IF(B188="","",VLOOKUP($B188,'C-1 On-Site WaterC'' Baseline'!$C$9:$Z$257,12,FALSE))</f>
        <v/>
      </c>
      <c r="AU188" s="15" t="str">
        <f>IF(B188="","",VLOOKUP($B188,'C-1 On-Site WaterC'' Baseline'!$C$9:$Z$257,14,FALSE))</f>
        <v/>
      </c>
      <c r="AV188" s="15" t="str">
        <f>IFERROR(INDEX('G-7 WaterC'' Data'!$AZ$3:$AZ$7,MATCH(N188,'G-7 WaterC'' Data'!$AY$3:$AY$7,0)),"")</f>
        <v/>
      </c>
      <c r="AX188" s="15" t="str">
        <f>IF(B188="","",VLOOKUP($B188,'C-1 On-Site WaterC'' Baseline'!$C$9:$Y$257,22,FALSE))</f>
        <v/>
      </c>
      <c r="AY188" s="15" t="str">
        <f t="shared" si="26"/>
        <v/>
      </c>
      <c r="AZ188" s="15" t="str">
        <f>IF(B188="","",VLOOKUP($B188,'C-1 On-Site WaterC'' Baseline'!$C$9:$Y$257,21,FALSE))</f>
        <v/>
      </c>
      <c r="BA188" s="15" t="str">
        <f>IF(B188="","",VLOOKUP($B188,'C-1 On-Site WaterC'' Baseline'!$C$9:$Y$257,19,FALSE))</f>
        <v/>
      </c>
    </row>
    <row r="189" spans="2:53" ht="14" x14ac:dyDescent="0.3">
      <c r="B189" s="319" t="str">
        <f>'C-1 On-Site WaterC'' Baseline'!AP187</f>
        <v/>
      </c>
      <c r="C189" s="310" t="str">
        <f>IF(B189="","",VLOOKUP($B189,'C-1 On-Site WaterC'' Baseline'!$C$9:$R$257,2,FALSE))</f>
        <v/>
      </c>
      <c r="D189" s="310" t="str">
        <f>IF(C189="","",VLOOKUP($B189,'C-1 On-Site WaterC'' Baseline'!$C$9:$R$257,3,FALSE))</f>
        <v/>
      </c>
      <c r="E189" s="310" t="str">
        <f>IF(D189="","",VLOOKUP($B189,'C-1 On-Site WaterC'' Baseline'!$C$9:$R$257,4,FALSE))</f>
        <v/>
      </c>
      <c r="F189" s="310" t="str">
        <f>IF(E189="","",VLOOKUP($B189,'C-1 On-Site WaterC'' Baseline'!$C$9:$R$257,5,FALSE))</f>
        <v/>
      </c>
      <c r="G189" s="310" t="str">
        <f>IF(F189="","",VLOOKUP($B189,'C-1 On-Site WaterC'' Baseline'!$C$9:$R$257,6,FALSE))</f>
        <v/>
      </c>
      <c r="H189" s="310" t="str">
        <f>IF(G189="","",VLOOKUP($B189,'C-1 On-Site WaterC'' Baseline'!$C$9:$R$257,7,FALSE))</f>
        <v/>
      </c>
      <c r="I189" s="310" t="str">
        <f>IF(H189="","",VLOOKUP($B189,'C-1 On-Site WaterC'' Baseline'!$C$9:$R$257,8,FALSE))</f>
        <v/>
      </c>
      <c r="J189" s="310" t="str">
        <f>IF(I189="","",VLOOKUP($B189,'C-1 On-Site WaterC'' Baseline'!$C$9:$R$257,9,FALSE))</f>
        <v/>
      </c>
      <c r="K189" s="310" t="str">
        <f>IF(J189="","",VLOOKUP($B189,'C-1 On-Site WaterC'' Baseline'!$C$9:$R$257,10,FALSE))</f>
        <v/>
      </c>
      <c r="L189" s="310" t="str">
        <f>IF(B189="","",VLOOKUP($B189,'C-1 On-Site WaterC'' Baseline'!$C$9:$R$257,15,FALSE))</f>
        <v/>
      </c>
      <c r="M189" s="314" t="str">
        <f>IF(L189="","",VLOOKUP($B189,'C-1 On-Site WaterC'' Baseline'!$C$9:$R$257,16,FALSE))</f>
        <v/>
      </c>
      <c r="N189" s="259"/>
      <c r="O189" s="290" t="str">
        <f t="shared" si="19"/>
        <v/>
      </c>
      <c r="P189" s="291" t="str">
        <f t="shared" si="20"/>
        <v/>
      </c>
      <c r="Q189" s="346" t="str">
        <f>IF(N189="","",VLOOKUP(B189,'C-1 On-Site WaterC'' Baseline'!$C$10:$AC$257,20,FALSE))</f>
        <v/>
      </c>
      <c r="R189" s="290" t="str">
        <f>IF(N189="","",VLOOKUP(N189,'G-7 WaterC'' Data'!$B$2:$G$8,2,FALSE))</f>
        <v/>
      </c>
      <c r="S189" s="291" t="str">
        <f>IFERROR(VLOOKUP(R189,'G-7 WaterC'' Data'!$C$4:$D$8,2,FALSE),"")</f>
        <v/>
      </c>
      <c r="T189" s="95"/>
      <c r="U189" s="291" t="str">
        <f>IFERROR(INDEX('G-7 WaterC'' Data'!$H$4:$L$8,MATCH(N189,'G-7 WaterC'' Data'!$B$4:$B$8,0),MATCH(T189,'G-7 WaterC'' Data'!$H$3:$L$3,0)),"")</f>
        <v/>
      </c>
      <c r="V189" s="95"/>
      <c r="W189" s="298" t="str">
        <f>IF(V189="","",IF(VLOOKUP(V189,'G-7 WaterC'' Data'!$AK$4:$AM$6,2,FALSE)=0,"Spatial Data Missing ⚠",VLOOKUP(V189,'G-7 WaterC'' Data'!$AK$4:$AM$6,2,FALSE)))</f>
        <v/>
      </c>
      <c r="X189" s="291" t="str">
        <f>IF(V189="","",IF(VLOOKUP(V189,'G-7 WaterC'' Data'!$AK$4:$AM$6,3,FALSE)=0,"Spatial Data Missing ⚠",VLOOKUP(V189,'G-7 WaterC'' Data'!$AK$4:$AM$6,3,FALSE)))</f>
        <v/>
      </c>
      <c r="Y189" s="290" t="str">
        <f>IFERROR(IF(OR(LEFT(P189,5)="Error",LEFT(O189,5)="Error ▲"),"Check Data ⚠",IF(F189&lt;S189,'G-7 WaterC'' Data'!$R$3,INDEX('G-7 WaterC'' Data'!$U$5:$Y$9,MATCH(G189,'G-7 WaterC'' Data'!$T$5:$T$9,0),MATCH(T189,'G-7 WaterC'' Data'!$U$4:$Y$4,0)))),"")</f>
        <v/>
      </c>
      <c r="Z189" s="138"/>
      <c r="AA189" s="138"/>
      <c r="AB189" s="298" t="str">
        <f t="shared" si="21"/>
        <v/>
      </c>
      <c r="AC189" s="311" t="str">
        <f t="shared" si="22"/>
        <v/>
      </c>
      <c r="AD189" s="344" t="str">
        <f>IFERROR(IF(AC189="Check Data ⚠","Check Data ⚠",VLOOKUP(AC189,'G-4 Temporal multipliers'!$A$4:$C$37,3,FALSE)),"")</f>
        <v/>
      </c>
      <c r="AE189" s="290" t="str">
        <f>IF(N189="","",VLOOKUP(N189,'G-7 WaterC'' Data'!$B$4:$G$8,5,FALSE))</f>
        <v/>
      </c>
      <c r="AF189" s="298" t="str">
        <f t="shared" si="23"/>
        <v/>
      </c>
      <c r="AG189" s="328" t="str">
        <f t="shared" si="24"/>
        <v/>
      </c>
      <c r="AH189" s="291" t="str">
        <f t="shared" si="18"/>
        <v/>
      </c>
      <c r="AI189" s="103"/>
      <c r="AJ189" s="291" t="str">
        <f>IF(AI189="","",IF(AND(AI189="N/A - Culvert",N189&lt;&gt;"Culvert"),"Not possible ▲",IF(VLOOKUP(AI189,'G-7 WaterC'' Data'!$AA$4:$AB$7,2,FALSE)=0,"Spatial Data Missing ⚠",VLOOKUP(AI189,'G-7 WaterC'' Data'!$AA$4:$AB$7,2,FALSE))))</f>
        <v/>
      </c>
      <c r="AK189" s="104"/>
      <c r="AL189" s="291" t="str">
        <f>IF(AK189="","",IF(AND(AK189="N/A - Culvert",N189&lt;&gt;"Culvert"),"Not possible ▲",IF(VLOOKUP(AK189,'G-7 WaterC'' Data'!$AD$4:$AE$14,2,FALSE)=0,"Spatial Data Missing ⚠",VLOOKUP(AK189,'G-7 WaterC'' Data'!$AD$4:$AE$14,2,FALSE))))</f>
        <v/>
      </c>
      <c r="AM189" s="332" t="str">
        <f t="shared" si="25"/>
        <v/>
      </c>
      <c r="AN189" s="98"/>
      <c r="AO189" s="99"/>
      <c r="AP189" s="101"/>
      <c r="AS189" s="15" t="str">
        <f>IF(B189="","",IF(ISNA(VLOOKUP($B189,'C-1 On-Site WaterC'' Baseline'!$C$8:$AD$257,17,FALSE)),"",(VLOOKUP($B189,'C-1 On-Site WaterC'' Baseline'!$C$8:$AD$257,17,FALSE))))</f>
        <v/>
      </c>
      <c r="AT189" s="15" t="str">
        <f>IF(B189="","",VLOOKUP($B189,'C-1 On-Site WaterC'' Baseline'!$C$9:$Z$257,12,FALSE))</f>
        <v/>
      </c>
      <c r="AU189" s="15" t="str">
        <f>IF(B189="","",VLOOKUP($B189,'C-1 On-Site WaterC'' Baseline'!$C$9:$Z$257,14,FALSE))</f>
        <v/>
      </c>
      <c r="AV189" s="15" t="str">
        <f>IFERROR(INDEX('G-7 WaterC'' Data'!$AZ$3:$AZ$7,MATCH(N189,'G-7 WaterC'' Data'!$AY$3:$AY$7,0)),"")</f>
        <v/>
      </c>
      <c r="AX189" s="15" t="str">
        <f>IF(B189="","",VLOOKUP($B189,'C-1 On-Site WaterC'' Baseline'!$C$9:$Y$257,22,FALSE))</f>
        <v/>
      </c>
      <c r="AY189" s="15" t="str">
        <f t="shared" si="26"/>
        <v/>
      </c>
      <c r="AZ189" s="15" t="str">
        <f>IF(B189="","",VLOOKUP($B189,'C-1 On-Site WaterC'' Baseline'!$C$9:$Y$257,21,FALSE))</f>
        <v/>
      </c>
      <c r="BA189" s="15" t="str">
        <f>IF(B189="","",VLOOKUP($B189,'C-1 On-Site WaterC'' Baseline'!$C$9:$Y$257,19,FALSE))</f>
        <v/>
      </c>
    </row>
    <row r="190" spans="2:53" ht="14" x14ac:dyDescent="0.3">
      <c r="B190" s="319" t="str">
        <f>'C-1 On-Site WaterC'' Baseline'!AP188</f>
        <v/>
      </c>
      <c r="C190" s="310" t="str">
        <f>IF(B190="","",VLOOKUP($B190,'C-1 On-Site WaterC'' Baseline'!$C$9:$R$257,2,FALSE))</f>
        <v/>
      </c>
      <c r="D190" s="310" t="str">
        <f>IF(C190="","",VLOOKUP($B190,'C-1 On-Site WaterC'' Baseline'!$C$9:$R$257,3,FALSE))</f>
        <v/>
      </c>
      <c r="E190" s="310" t="str">
        <f>IF(D190="","",VLOOKUP($B190,'C-1 On-Site WaterC'' Baseline'!$C$9:$R$257,4,FALSE))</f>
        <v/>
      </c>
      <c r="F190" s="310" t="str">
        <f>IF(E190="","",VLOOKUP($B190,'C-1 On-Site WaterC'' Baseline'!$C$9:$R$257,5,FALSE))</f>
        <v/>
      </c>
      <c r="G190" s="310" t="str">
        <f>IF(F190="","",VLOOKUP($B190,'C-1 On-Site WaterC'' Baseline'!$C$9:$R$257,6,FALSE))</f>
        <v/>
      </c>
      <c r="H190" s="310" t="str">
        <f>IF(G190="","",VLOOKUP($B190,'C-1 On-Site WaterC'' Baseline'!$C$9:$R$257,7,FALSE))</f>
        <v/>
      </c>
      <c r="I190" s="310" t="str">
        <f>IF(H190="","",VLOOKUP($B190,'C-1 On-Site WaterC'' Baseline'!$C$9:$R$257,8,FALSE))</f>
        <v/>
      </c>
      <c r="J190" s="310" t="str">
        <f>IF(I190="","",VLOOKUP($B190,'C-1 On-Site WaterC'' Baseline'!$C$9:$R$257,9,FALSE))</f>
        <v/>
      </c>
      <c r="K190" s="310" t="str">
        <f>IF(J190="","",VLOOKUP($B190,'C-1 On-Site WaterC'' Baseline'!$C$9:$R$257,10,FALSE))</f>
        <v/>
      </c>
      <c r="L190" s="310" t="str">
        <f>IF(B190="","",VLOOKUP($B190,'C-1 On-Site WaterC'' Baseline'!$C$9:$R$257,15,FALSE))</f>
        <v/>
      </c>
      <c r="M190" s="314" t="str">
        <f>IF(L190="","",VLOOKUP($B190,'C-1 On-Site WaterC'' Baseline'!$C$9:$R$257,16,FALSE))</f>
        <v/>
      </c>
      <c r="N190" s="259"/>
      <c r="O190" s="290" t="str">
        <f t="shared" si="19"/>
        <v/>
      </c>
      <c r="P190" s="291" t="str">
        <f t="shared" si="20"/>
        <v/>
      </c>
      <c r="Q190" s="346" t="str">
        <f>IF(N190="","",VLOOKUP(B190,'C-1 On-Site WaterC'' Baseline'!$C$10:$AC$257,20,FALSE))</f>
        <v/>
      </c>
      <c r="R190" s="290" t="str">
        <f>IF(N190="","",VLOOKUP(N190,'G-7 WaterC'' Data'!$B$2:$G$8,2,FALSE))</f>
        <v/>
      </c>
      <c r="S190" s="291" t="str">
        <f>IFERROR(VLOOKUP(R190,'G-7 WaterC'' Data'!$C$4:$D$8,2,FALSE),"")</f>
        <v/>
      </c>
      <c r="T190" s="95"/>
      <c r="U190" s="291" t="str">
        <f>IFERROR(INDEX('G-7 WaterC'' Data'!$H$4:$L$8,MATCH(N190,'G-7 WaterC'' Data'!$B$4:$B$8,0),MATCH(T190,'G-7 WaterC'' Data'!$H$3:$L$3,0)),"")</f>
        <v/>
      </c>
      <c r="V190" s="95"/>
      <c r="W190" s="298" t="str">
        <f>IF(V190="","",IF(VLOOKUP(V190,'G-7 WaterC'' Data'!$AK$4:$AM$6,2,FALSE)=0,"Spatial Data Missing ⚠",VLOOKUP(V190,'G-7 WaterC'' Data'!$AK$4:$AM$6,2,FALSE)))</f>
        <v/>
      </c>
      <c r="X190" s="291" t="str">
        <f>IF(V190="","",IF(VLOOKUP(V190,'G-7 WaterC'' Data'!$AK$4:$AM$6,3,FALSE)=0,"Spatial Data Missing ⚠",VLOOKUP(V190,'G-7 WaterC'' Data'!$AK$4:$AM$6,3,FALSE)))</f>
        <v/>
      </c>
      <c r="Y190" s="290" t="str">
        <f>IFERROR(IF(OR(LEFT(P190,5)="Error",LEFT(O190,5)="Error ▲"),"Check Data ⚠",IF(F190&lt;S190,'G-7 WaterC'' Data'!$R$3,INDEX('G-7 WaterC'' Data'!$U$5:$Y$9,MATCH(G190,'G-7 WaterC'' Data'!$T$5:$T$9,0),MATCH(T190,'G-7 WaterC'' Data'!$U$4:$Y$4,0)))),"")</f>
        <v/>
      </c>
      <c r="Z190" s="138"/>
      <c r="AA190" s="138"/>
      <c r="AB190" s="298" t="str">
        <f t="shared" si="21"/>
        <v/>
      </c>
      <c r="AC190" s="311" t="str">
        <f t="shared" si="22"/>
        <v/>
      </c>
      <c r="AD190" s="344" t="str">
        <f>IFERROR(IF(AC190="Check Data ⚠","Check Data ⚠",VLOOKUP(AC190,'G-4 Temporal multipliers'!$A$4:$C$37,3,FALSE)),"")</f>
        <v/>
      </c>
      <c r="AE190" s="290" t="str">
        <f>IF(N190="","",VLOOKUP(N190,'G-7 WaterC'' Data'!$B$4:$G$8,5,FALSE))</f>
        <v/>
      </c>
      <c r="AF190" s="298" t="str">
        <f t="shared" si="23"/>
        <v/>
      </c>
      <c r="AG190" s="328" t="str">
        <f t="shared" si="24"/>
        <v/>
      </c>
      <c r="AH190" s="291" t="str">
        <f t="shared" si="18"/>
        <v/>
      </c>
      <c r="AI190" s="103"/>
      <c r="AJ190" s="291" t="str">
        <f>IF(AI190="","",IF(AND(AI190="N/A - Culvert",N190&lt;&gt;"Culvert"),"Not possible ▲",IF(VLOOKUP(AI190,'G-7 WaterC'' Data'!$AA$4:$AB$7,2,FALSE)=0,"Spatial Data Missing ⚠",VLOOKUP(AI190,'G-7 WaterC'' Data'!$AA$4:$AB$7,2,FALSE))))</f>
        <v/>
      </c>
      <c r="AK190" s="104"/>
      <c r="AL190" s="291" t="str">
        <f>IF(AK190="","",IF(AND(AK190="N/A - Culvert",N190&lt;&gt;"Culvert"),"Not possible ▲",IF(VLOOKUP(AK190,'G-7 WaterC'' Data'!$AD$4:$AE$14,2,FALSE)=0,"Spatial Data Missing ⚠",VLOOKUP(AK190,'G-7 WaterC'' Data'!$AD$4:$AE$14,2,FALSE))))</f>
        <v/>
      </c>
      <c r="AM190" s="332" t="str">
        <f t="shared" si="25"/>
        <v/>
      </c>
      <c r="AN190" s="98"/>
      <c r="AO190" s="99"/>
      <c r="AP190" s="101"/>
      <c r="AS190" s="15" t="str">
        <f>IF(B190="","",IF(ISNA(VLOOKUP($B190,'C-1 On-Site WaterC'' Baseline'!$C$8:$AD$257,17,FALSE)),"",(VLOOKUP($B190,'C-1 On-Site WaterC'' Baseline'!$C$8:$AD$257,17,FALSE))))</f>
        <v/>
      </c>
      <c r="AT190" s="15" t="str">
        <f>IF(B190="","",VLOOKUP($B190,'C-1 On-Site WaterC'' Baseline'!$C$9:$Z$257,12,FALSE))</f>
        <v/>
      </c>
      <c r="AU190" s="15" t="str">
        <f>IF(B190="","",VLOOKUP($B190,'C-1 On-Site WaterC'' Baseline'!$C$9:$Z$257,14,FALSE))</f>
        <v/>
      </c>
      <c r="AV190" s="15" t="str">
        <f>IFERROR(INDEX('G-7 WaterC'' Data'!$AZ$3:$AZ$7,MATCH(N190,'G-7 WaterC'' Data'!$AY$3:$AY$7,0)),"")</f>
        <v/>
      </c>
      <c r="AX190" s="15" t="str">
        <f>IF(B190="","",VLOOKUP($B190,'C-1 On-Site WaterC'' Baseline'!$C$9:$Y$257,22,FALSE))</f>
        <v/>
      </c>
      <c r="AY190" s="15" t="str">
        <f t="shared" si="26"/>
        <v/>
      </c>
      <c r="AZ190" s="15" t="str">
        <f>IF(B190="","",VLOOKUP($B190,'C-1 On-Site WaterC'' Baseline'!$C$9:$Y$257,21,FALSE))</f>
        <v/>
      </c>
      <c r="BA190" s="15" t="str">
        <f>IF(B190="","",VLOOKUP($B190,'C-1 On-Site WaterC'' Baseline'!$C$9:$Y$257,19,FALSE))</f>
        <v/>
      </c>
    </row>
    <row r="191" spans="2:53" ht="14" x14ac:dyDescent="0.3">
      <c r="B191" s="319" t="str">
        <f>'C-1 On-Site WaterC'' Baseline'!AP189</f>
        <v/>
      </c>
      <c r="C191" s="310" t="str">
        <f>IF(B191="","",VLOOKUP($B191,'C-1 On-Site WaterC'' Baseline'!$C$9:$R$257,2,FALSE))</f>
        <v/>
      </c>
      <c r="D191" s="310" t="str">
        <f>IF(C191="","",VLOOKUP($B191,'C-1 On-Site WaterC'' Baseline'!$C$9:$R$257,3,FALSE))</f>
        <v/>
      </c>
      <c r="E191" s="310" t="str">
        <f>IF(D191="","",VLOOKUP($B191,'C-1 On-Site WaterC'' Baseline'!$C$9:$R$257,4,FALSE))</f>
        <v/>
      </c>
      <c r="F191" s="310" t="str">
        <f>IF(E191="","",VLOOKUP($B191,'C-1 On-Site WaterC'' Baseline'!$C$9:$R$257,5,FALSE))</f>
        <v/>
      </c>
      <c r="G191" s="310" t="str">
        <f>IF(F191="","",VLOOKUP($B191,'C-1 On-Site WaterC'' Baseline'!$C$9:$R$257,6,FALSE))</f>
        <v/>
      </c>
      <c r="H191" s="310" t="str">
        <f>IF(G191="","",VLOOKUP($B191,'C-1 On-Site WaterC'' Baseline'!$C$9:$R$257,7,FALSE))</f>
        <v/>
      </c>
      <c r="I191" s="310" t="str">
        <f>IF(H191="","",VLOOKUP($B191,'C-1 On-Site WaterC'' Baseline'!$C$9:$R$257,8,FALSE))</f>
        <v/>
      </c>
      <c r="J191" s="310" t="str">
        <f>IF(I191="","",VLOOKUP($B191,'C-1 On-Site WaterC'' Baseline'!$C$9:$R$257,9,FALSE))</f>
        <v/>
      </c>
      <c r="K191" s="310" t="str">
        <f>IF(J191="","",VLOOKUP($B191,'C-1 On-Site WaterC'' Baseline'!$C$9:$R$257,10,FALSE))</f>
        <v/>
      </c>
      <c r="L191" s="310" t="str">
        <f>IF(B191="","",VLOOKUP($B191,'C-1 On-Site WaterC'' Baseline'!$C$9:$R$257,15,FALSE))</f>
        <v/>
      </c>
      <c r="M191" s="314" t="str">
        <f>IF(L191="","",VLOOKUP($B191,'C-1 On-Site WaterC'' Baseline'!$C$9:$R$257,16,FALSE))</f>
        <v/>
      </c>
      <c r="N191" s="259"/>
      <c r="O191" s="290" t="str">
        <f t="shared" si="19"/>
        <v/>
      </c>
      <c r="P191" s="291" t="str">
        <f t="shared" si="20"/>
        <v/>
      </c>
      <c r="Q191" s="346" t="str">
        <f>IF(N191="","",VLOOKUP(B191,'C-1 On-Site WaterC'' Baseline'!$C$10:$AC$257,20,FALSE))</f>
        <v/>
      </c>
      <c r="R191" s="290" t="str">
        <f>IF(N191="","",VLOOKUP(N191,'G-7 WaterC'' Data'!$B$2:$G$8,2,FALSE))</f>
        <v/>
      </c>
      <c r="S191" s="291" t="str">
        <f>IFERROR(VLOOKUP(R191,'G-7 WaterC'' Data'!$C$4:$D$8,2,FALSE),"")</f>
        <v/>
      </c>
      <c r="T191" s="95"/>
      <c r="U191" s="291" t="str">
        <f>IFERROR(INDEX('G-7 WaterC'' Data'!$H$4:$L$8,MATCH(N191,'G-7 WaterC'' Data'!$B$4:$B$8,0),MATCH(T191,'G-7 WaterC'' Data'!$H$3:$L$3,0)),"")</f>
        <v/>
      </c>
      <c r="V191" s="95"/>
      <c r="W191" s="298" t="str">
        <f>IF(V191="","",IF(VLOOKUP(V191,'G-7 WaterC'' Data'!$AK$4:$AM$6,2,FALSE)=0,"Spatial Data Missing ⚠",VLOOKUP(V191,'G-7 WaterC'' Data'!$AK$4:$AM$6,2,FALSE)))</f>
        <v/>
      </c>
      <c r="X191" s="291" t="str">
        <f>IF(V191="","",IF(VLOOKUP(V191,'G-7 WaterC'' Data'!$AK$4:$AM$6,3,FALSE)=0,"Spatial Data Missing ⚠",VLOOKUP(V191,'G-7 WaterC'' Data'!$AK$4:$AM$6,3,FALSE)))</f>
        <v/>
      </c>
      <c r="Y191" s="290" t="str">
        <f>IFERROR(IF(OR(LEFT(P191,5)="Error",LEFT(O191,5)="Error ▲"),"Check Data ⚠",IF(F191&lt;S191,'G-7 WaterC'' Data'!$R$3,INDEX('G-7 WaterC'' Data'!$U$5:$Y$9,MATCH(G191,'G-7 WaterC'' Data'!$T$5:$T$9,0),MATCH(T191,'G-7 WaterC'' Data'!$U$4:$Y$4,0)))),"")</f>
        <v/>
      </c>
      <c r="Z191" s="138"/>
      <c r="AA191" s="138"/>
      <c r="AB191" s="298" t="str">
        <f t="shared" si="21"/>
        <v/>
      </c>
      <c r="AC191" s="311" t="str">
        <f t="shared" si="22"/>
        <v/>
      </c>
      <c r="AD191" s="344" t="str">
        <f>IFERROR(IF(AC191="Check Data ⚠","Check Data ⚠",VLOOKUP(AC191,'G-4 Temporal multipliers'!$A$4:$C$37,3,FALSE)),"")</f>
        <v/>
      </c>
      <c r="AE191" s="290" t="str">
        <f>IF(N191="","",VLOOKUP(N191,'G-7 WaterC'' Data'!$B$4:$G$8,5,FALSE))</f>
        <v/>
      </c>
      <c r="AF191" s="298" t="str">
        <f t="shared" si="23"/>
        <v/>
      </c>
      <c r="AG191" s="328" t="str">
        <f t="shared" si="24"/>
        <v/>
      </c>
      <c r="AH191" s="291" t="str">
        <f t="shared" si="18"/>
        <v/>
      </c>
      <c r="AI191" s="103"/>
      <c r="AJ191" s="291" t="str">
        <f>IF(AI191="","",IF(AND(AI191="N/A - Culvert",N191&lt;&gt;"Culvert"),"Not possible ▲",IF(VLOOKUP(AI191,'G-7 WaterC'' Data'!$AA$4:$AB$7,2,FALSE)=0,"Spatial Data Missing ⚠",VLOOKUP(AI191,'G-7 WaterC'' Data'!$AA$4:$AB$7,2,FALSE))))</f>
        <v/>
      </c>
      <c r="AK191" s="104"/>
      <c r="AL191" s="291" t="str">
        <f>IF(AK191="","",IF(AND(AK191="N/A - Culvert",N191&lt;&gt;"Culvert"),"Not possible ▲",IF(VLOOKUP(AK191,'G-7 WaterC'' Data'!$AD$4:$AE$14,2,FALSE)=0,"Spatial Data Missing ⚠",VLOOKUP(AK191,'G-7 WaterC'' Data'!$AD$4:$AE$14,2,FALSE))))</f>
        <v/>
      </c>
      <c r="AM191" s="332" t="str">
        <f t="shared" si="25"/>
        <v/>
      </c>
      <c r="AN191" s="98"/>
      <c r="AO191" s="99"/>
      <c r="AP191" s="101"/>
      <c r="AS191" s="15" t="str">
        <f>IF(B191="","",IF(ISNA(VLOOKUP($B191,'C-1 On-Site WaterC'' Baseline'!$C$8:$AD$257,17,FALSE)),"",(VLOOKUP($B191,'C-1 On-Site WaterC'' Baseline'!$C$8:$AD$257,17,FALSE))))</f>
        <v/>
      </c>
      <c r="AT191" s="15" t="str">
        <f>IF(B191="","",VLOOKUP($B191,'C-1 On-Site WaterC'' Baseline'!$C$9:$Z$257,12,FALSE))</f>
        <v/>
      </c>
      <c r="AU191" s="15" t="str">
        <f>IF(B191="","",VLOOKUP($B191,'C-1 On-Site WaterC'' Baseline'!$C$9:$Z$257,14,FALSE))</f>
        <v/>
      </c>
      <c r="AV191" s="15" t="str">
        <f>IFERROR(INDEX('G-7 WaterC'' Data'!$AZ$3:$AZ$7,MATCH(N191,'G-7 WaterC'' Data'!$AY$3:$AY$7,0)),"")</f>
        <v/>
      </c>
      <c r="AX191" s="15" t="str">
        <f>IF(B191="","",VLOOKUP($B191,'C-1 On-Site WaterC'' Baseline'!$C$9:$Y$257,22,FALSE))</f>
        <v/>
      </c>
      <c r="AY191" s="15" t="str">
        <f t="shared" si="26"/>
        <v/>
      </c>
      <c r="AZ191" s="15" t="str">
        <f>IF(B191="","",VLOOKUP($B191,'C-1 On-Site WaterC'' Baseline'!$C$9:$Y$257,21,FALSE))</f>
        <v/>
      </c>
      <c r="BA191" s="15" t="str">
        <f>IF(B191="","",VLOOKUP($B191,'C-1 On-Site WaterC'' Baseline'!$C$9:$Y$257,19,FALSE))</f>
        <v/>
      </c>
    </row>
    <row r="192" spans="2:53" ht="14" x14ac:dyDescent="0.3">
      <c r="B192" s="319" t="str">
        <f>'C-1 On-Site WaterC'' Baseline'!AP190</f>
        <v/>
      </c>
      <c r="C192" s="310" t="str">
        <f>IF(B192="","",VLOOKUP($B192,'C-1 On-Site WaterC'' Baseline'!$C$9:$R$257,2,FALSE))</f>
        <v/>
      </c>
      <c r="D192" s="310" t="str">
        <f>IF(C192="","",VLOOKUP($B192,'C-1 On-Site WaterC'' Baseline'!$C$9:$R$257,3,FALSE))</f>
        <v/>
      </c>
      <c r="E192" s="310" t="str">
        <f>IF(D192="","",VLOOKUP($B192,'C-1 On-Site WaterC'' Baseline'!$C$9:$R$257,4,FALSE))</f>
        <v/>
      </c>
      <c r="F192" s="310" t="str">
        <f>IF(E192="","",VLOOKUP($B192,'C-1 On-Site WaterC'' Baseline'!$C$9:$R$257,5,FALSE))</f>
        <v/>
      </c>
      <c r="G192" s="310" t="str">
        <f>IF(F192="","",VLOOKUP($B192,'C-1 On-Site WaterC'' Baseline'!$C$9:$R$257,6,FALSE))</f>
        <v/>
      </c>
      <c r="H192" s="310" t="str">
        <f>IF(G192="","",VLOOKUP($B192,'C-1 On-Site WaterC'' Baseline'!$C$9:$R$257,7,FALSE))</f>
        <v/>
      </c>
      <c r="I192" s="310" t="str">
        <f>IF(H192="","",VLOOKUP($B192,'C-1 On-Site WaterC'' Baseline'!$C$9:$R$257,8,FALSE))</f>
        <v/>
      </c>
      <c r="J192" s="310" t="str">
        <f>IF(I192="","",VLOOKUP($B192,'C-1 On-Site WaterC'' Baseline'!$C$9:$R$257,9,FALSE))</f>
        <v/>
      </c>
      <c r="K192" s="310" t="str">
        <f>IF(J192="","",VLOOKUP($B192,'C-1 On-Site WaterC'' Baseline'!$C$9:$R$257,10,FALSE))</f>
        <v/>
      </c>
      <c r="L192" s="310" t="str">
        <f>IF(B192="","",VLOOKUP($B192,'C-1 On-Site WaterC'' Baseline'!$C$9:$R$257,15,FALSE))</f>
        <v/>
      </c>
      <c r="M192" s="314" t="str">
        <f>IF(L192="","",VLOOKUP($B192,'C-1 On-Site WaterC'' Baseline'!$C$9:$R$257,16,FALSE))</f>
        <v/>
      </c>
      <c r="N192" s="259"/>
      <c r="O192" s="290" t="str">
        <f t="shared" si="19"/>
        <v/>
      </c>
      <c r="P192" s="291" t="str">
        <f t="shared" si="20"/>
        <v/>
      </c>
      <c r="Q192" s="346" t="str">
        <f>IF(N192="","",VLOOKUP(B192,'C-1 On-Site WaterC'' Baseline'!$C$10:$AC$257,20,FALSE))</f>
        <v/>
      </c>
      <c r="R192" s="290" t="str">
        <f>IF(N192="","",VLOOKUP(N192,'G-7 WaterC'' Data'!$B$2:$G$8,2,FALSE))</f>
        <v/>
      </c>
      <c r="S192" s="291" t="str">
        <f>IFERROR(VLOOKUP(R192,'G-7 WaterC'' Data'!$C$4:$D$8,2,FALSE),"")</f>
        <v/>
      </c>
      <c r="T192" s="95"/>
      <c r="U192" s="291" t="str">
        <f>IFERROR(INDEX('G-7 WaterC'' Data'!$H$4:$L$8,MATCH(N192,'G-7 WaterC'' Data'!$B$4:$B$8,0),MATCH(T192,'G-7 WaterC'' Data'!$H$3:$L$3,0)),"")</f>
        <v/>
      </c>
      <c r="V192" s="95"/>
      <c r="W192" s="298" t="str">
        <f>IF(V192="","",IF(VLOOKUP(V192,'G-7 WaterC'' Data'!$AK$4:$AM$6,2,FALSE)=0,"Spatial Data Missing ⚠",VLOOKUP(V192,'G-7 WaterC'' Data'!$AK$4:$AM$6,2,FALSE)))</f>
        <v/>
      </c>
      <c r="X192" s="291" t="str">
        <f>IF(V192="","",IF(VLOOKUP(V192,'G-7 WaterC'' Data'!$AK$4:$AM$6,3,FALSE)=0,"Spatial Data Missing ⚠",VLOOKUP(V192,'G-7 WaterC'' Data'!$AK$4:$AM$6,3,FALSE)))</f>
        <v/>
      </c>
      <c r="Y192" s="290" t="str">
        <f>IFERROR(IF(OR(LEFT(P192,5)="Error",LEFT(O192,5)="Error ▲"),"Check Data ⚠",IF(F192&lt;S192,'G-7 WaterC'' Data'!$R$3,INDEX('G-7 WaterC'' Data'!$U$5:$Y$9,MATCH(G192,'G-7 WaterC'' Data'!$T$5:$T$9,0),MATCH(T192,'G-7 WaterC'' Data'!$U$4:$Y$4,0)))),"")</f>
        <v/>
      </c>
      <c r="Z192" s="138"/>
      <c r="AA192" s="138"/>
      <c r="AB192" s="298" t="str">
        <f t="shared" si="21"/>
        <v/>
      </c>
      <c r="AC192" s="311" t="str">
        <f t="shared" si="22"/>
        <v/>
      </c>
      <c r="AD192" s="344" t="str">
        <f>IFERROR(IF(AC192="Check Data ⚠","Check Data ⚠",VLOOKUP(AC192,'G-4 Temporal multipliers'!$A$4:$C$37,3,FALSE)),"")</f>
        <v/>
      </c>
      <c r="AE192" s="290" t="str">
        <f>IF(N192="","",VLOOKUP(N192,'G-7 WaterC'' Data'!$B$4:$G$8,5,FALSE))</f>
        <v/>
      </c>
      <c r="AF192" s="298" t="str">
        <f t="shared" si="23"/>
        <v/>
      </c>
      <c r="AG192" s="328" t="str">
        <f t="shared" si="24"/>
        <v/>
      </c>
      <c r="AH192" s="291" t="str">
        <f t="shared" si="18"/>
        <v/>
      </c>
      <c r="AI192" s="103"/>
      <c r="AJ192" s="291" t="str">
        <f>IF(AI192="","",IF(AND(AI192="N/A - Culvert",N192&lt;&gt;"Culvert"),"Not possible ▲",IF(VLOOKUP(AI192,'G-7 WaterC'' Data'!$AA$4:$AB$7,2,FALSE)=0,"Spatial Data Missing ⚠",VLOOKUP(AI192,'G-7 WaterC'' Data'!$AA$4:$AB$7,2,FALSE))))</f>
        <v/>
      </c>
      <c r="AK192" s="104"/>
      <c r="AL192" s="291" t="str">
        <f>IF(AK192="","",IF(AND(AK192="N/A - Culvert",N192&lt;&gt;"Culvert"),"Not possible ▲",IF(VLOOKUP(AK192,'G-7 WaterC'' Data'!$AD$4:$AE$14,2,FALSE)=0,"Spatial Data Missing ⚠",VLOOKUP(AK192,'G-7 WaterC'' Data'!$AD$4:$AE$14,2,FALSE))))</f>
        <v/>
      </c>
      <c r="AM192" s="332" t="str">
        <f t="shared" si="25"/>
        <v/>
      </c>
      <c r="AN192" s="98"/>
      <c r="AO192" s="99"/>
      <c r="AP192" s="101"/>
      <c r="AS192" s="15" t="str">
        <f>IF(B192="","",IF(ISNA(VLOOKUP($B192,'C-1 On-Site WaterC'' Baseline'!$C$8:$AD$257,17,FALSE)),"",(VLOOKUP($B192,'C-1 On-Site WaterC'' Baseline'!$C$8:$AD$257,17,FALSE))))</f>
        <v/>
      </c>
      <c r="AT192" s="15" t="str">
        <f>IF(B192="","",VLOOKUP($B192,'C-1 On-Site WaterC'' Baseline'!$C$9:$Z$257,12,FALSE))</f>
        <v/>
      </c>
      <c r="AU192" s="15" t="str">
        <f>IF(B192="","",VLOOKUP($B192,'C-1 On-Site WaterC'' Baseline'!$C$9:$Z$257,14,FALSE))</f>
        <v/>
      </c>
      <c r="AV192" s="15" t="str">
        <f>IFERROR(INDEX('G-7 WaterC'' Data'!$AZ$3:$AZ$7,MATCH(N192,'G-7 WaterC'' Data'!$AY$3:$AY$7,0)),"")</f>
        <v/>
      </c>
      <c r="AX192" s="15" t="str">
        <f>IF(B192="","",VLOOKUP($B192,'C-1 On-Site WaterC'' Baseline'!$C$9:$Y$257,22,FALSE))</f>
        <v/>
      </c>
      <c r="AY192" s="15" t="str">
        <f t="shared" si="26"/>
        <v/>
      </c>
      <c r="AZ192" s="15" t="str">
        <f>IF(B192="","",VLOOKUP($B192,'C-1 On-Site WaterC'' Baseline'!$C$9:$Y$257,21,FALSE))</f>
        <v/>
      </c>
      <c r="BA192" s="15" t="str">
        <f>IF(B192="","",VLOOKUP($B192,'C-1 On-Site WaterC'' Baseline'!$C$9:$Y$257,19,FALSE))</f>
        <v/>
      </c>
    </row>
    <row r="193" spans="2:53" ht="14" x14ac:dyDescent="0.3">
      <c r="B193" s="319" t="str">
        <f>'C-1 On-Site WaterC'' Baseline'!AP191</f>
        <v/>
      </c>
      <c r="C193" s="310" t="str">
        <f>IF(B193="","",VLOOKUP($B193,'C-1 On-Site WaterC'' Baseline'!$C$9:$R$257,2,FALSE))</f>
        <v/>
      </c>
      <c r="D193" s="310" t="str">
        <f>IF(C193="","",VLOOKUP($B193,'C-1 On-Site WaterC'' Baseline'!$C$9:$R$257,3,FALSE))</f>
        <v/>
      </c>
      <c r="E193" s="310" t="str">
        <f>IF(D193="","",VLOOKUP($B193,'C-1 On-Site WaterC'' Baseline'!$C$9:$R$257,4,FALSE))</f>
        <v/>
      </c>
      <c r="F193" s="310" t="str">
        <f>IF(E193="","",VLOOKUP($B193,'C-1 On-Site WaterC'' Baseline'!$C$9:$R$257,5,FALSE))</f>
        <v/>
      </c>
      <c r="G193" s="310" t="str">
        <f>IF(F193="","",VLOOKUP($B193,'C-1 On-Site WaterC'' Baseline'!$C$9:$R$257,6,FALSE))</f>
        <v/>
      </c>
      <c r="H193" s="310" t="str">
        <f>IF(G193="","",VLOOKUP($B193,'C-1 On-Site WaterC'' Baseline'!$C$9:$R$257,7,FALSE))</f>
        <v/>
      </c>
      <c r="I193" s="310" t="str">
        <f>IF(H193="","",VLOOKUP($B193,'C-1 On-Site WaterC'' Baseline'!$C$9:$R$257,8,FALSE))</f>
        <v/>
      </c>
      <c r="J193" s="310" t="str">
        <f>IF(I193="","",VLOOKUP($B193,'C-1 On-Site WaterC'' Baseline'!$C$9:$R$257,9,FALSE))</f>
        <v/>
      </c>
      <c r="K193" s="310" t="str">
        <f>IF(J193="","",VLOOKUP($B193,'C-1 On-Site WaterC'' Baseline'!$C$9:$R$257,10,FALSE))</f>
        <v/>
      </c>
      <c r="L193" s="310" t="str">
        <f>IF(B193="","",VLOOKUP($B193,'C-1 On-Site WaterC'' Baseline'!$C$9:$R$257,15,FALSE))</f>
        <v/>
      </c>
      <c r="M193" s="314" t="str">
        <f>IF(L193="","",VLOOKUP($B193,'C-1 On-Site WaterC'' Baseline'!$C$9:$R$257,16,FALSE))</f>
        <v/>
      </c>
      <c r="N193" s="259"/>
      <c r="O193" s="290" t="str">
        <f t="shared" si="19"/>
        <v/>
      </c>
      <c r="P193" s="291" t="str">
        <f t="shared" si="20"/>
        <v/>
      </c>
      <c r="Q193" s="346" t="str">
        <f>IF(N193="","",VLOOKUP(B193,'C-1 On-Site WaterC'' Baseline'!$C$10:$AC$257,20,FALSE))</f>
        <v/>
      </c>
      <c r="R193" s="290" t="str">
        <f>IF(N193="","",VLOOKUP(N193,'G-7 WaterC'' Data'!$B$2:$G$8,2,FALSE))</f>
        <v/>
      </c>
      <c r="S193" s="291" t="str">
        <f>IFERROR(VLOOKUP(R193,'G-7 WaterC'' Data'!$C$4:$D$8,2,FALSE),"")</f>
        <v/>
      </c>
      <c r="T193" s="95"/>
      <c r="U193" s="291" t="str">
        <f>IFERROR(INDEX('G-7 WaterC'' Data'!$H$4:$L$8,MATCH(N193,'G-7 WaterC'' Data'!$B$4:$B$8,0),MATCH(T193,'G-7 WaterC'' Data'!$H$3:$L$3,0)),"")</f>
        <v/>
      </c>
      <c r="V193" s="95"/>
      <c r="W193" s="298" t="str">
        <f>IF(V193="","",IF(VLOOKUP(V193,'G-7 WaterC'' Data'!$AK$4:$AM$6,2,FALSE)=0,"Spatial Data Missing ⚠",VLOOKUP(V193,'G-7 WaterC'' Data'!$AK$4:$AM$6,2,FALSE)))</f>
        <v/>
      </c>
      <c r="X193" s="291" t="str">
        <f>IF(V193="","",IF(VLOOKUP(V193,'G-7 WaterC'' Data'!$AK$4:$AM$6,3,FALSE)=0,"Spatial Data Missing ⚠",VLOOKUP(V193,'G-7 WaterC'' Data'!$AK$4:$AM$6,3,FALSE)))</f>
        <v/>
      </c>
      <c r="Y193" s="290" t="str">
        <f>IFERROR(IF(OR(LEFT(P193,5)="Error",LEFT(O193,5)="Error ▲"),"Check Data ⚠",IF(F193&lt;S193,'G-7 WaterC'' Data'!$R$3,INDEX('G-7 WaterC'' Data'!$U$5:$Y$9,MATCH(G193,'G-7 WaterC'' Data'!$T$5:$T$9,0),MATCH(T193,'G-7 WaterC'' Data'!$U$4:$Y$4,0)))),"")</f>
        <v/>
      </c>
      <c r="Z193" s="138"/>
      <c r="AA193" s="138"/>
      <c r="AB193" s="298" t="str">
        <f t="shared" si="21"/>
        <v/>
      </c>
      <c r="AC193" s="311" t="str">
        <f t="shared" si="22"/>
        <v/>
      </c>
      <c r="AD193" s="344" t="str">
        <f>IFERROR(IF(AC193="Check Data ⚠","Check Data ⚠",VLOOKUP(AC193,'G-4 Temporal multipliers'!$A$4:$C$37,3,FALSE)),"")</f>
        <v/>
      </c>
      <c r="AE193" s="290" t="str">
        <f>IF(N193="","",VLOOKUP(N193,'G-7 WaterC'' Data'!$B$4:$G$8,5,FALSE))</f>
        <v/>
      </c>
      <c r="AF193" s="298" t="str">
        <f t="shared" si="23"/>
        <v/>
      </c>
      <c r="AG193" s="328" t="str">
        <f t="shared" si="24"/>
        <v/>
      </c>
      <c r="AH193" s="291" t="str">
        <f t="shared" si="18"/>
        <v/>
      </c>
      <c r="AI193" s="103"/>
      <c r="AJ193" s="291" t="str">
        <f>IF(AI193="","",IF(AND(AI193="N/A - Culvert",N193&lt;&gt;"Culvert"),"Not possible ▲",IF(VLOOKUP(AI193,'G-7 WaterC'' Data'!$AA$4:$AB$7,2,FALSE)=0,"Spatial Data Missing ⚠",VLOOKUP(AI193,'G-7 WaterC'' Data'!$AA$4:$AB$7,2,FALSE))))</f>
        <v/>
      </c>
      <c r="AK193" s="104"/>
      <c r="AL193" s="291" t="str">
        <f>IF(AK193="","",IF(AND(AK193="N/A - Culvert",N193&lt;&gt;"Culvert"),"Not possible ▲",IF(VLOOKUP(AK193,'G-7 WaterC'' Data'!$AD$4:$AE$14,2,FALSE)=0,"Spatial Data Missing ⚠",VLOOKUP(AK193,'G-7 WaterC'' Data'!$AD$4:$AE$14,2,FALSE))))</f>
        <v/>
      </c>
      <c r="AM193" s="332" t="str">
        <f t="shared" si="25"/>
        <v/>
      </c>
      <c r="AN193" s="98"/>
      <c r="AO193" s="99"/>
      <c r="AP193" s="101"/>
      <c r="AS193" s="15" t="str">
        <f>IF(B193="","",IF(ISNA(VLOOKUP($B193,'C-1 On-Site WaterC'' Baseline'!$C$8:$AD$257,17,FALSE)),"",(VLOOKUP($B193,'C-1 On-Site WaterC'' Baseline'!$C$8:$AD$257,17,FALSE))))</f>
        <v/>
      </c>
      <c r="AT193" s="15" t="str">
        <f>IF(B193="","",VLOOKUP($B193,'C-1 On-Site WaterC'' Baseline'!$C$9:$Z$257,12,FALSE))</f>
        <v/>
      </c>
      <c r="AU193" s="15" t="str">
        <f>IF(B193="","",VLOOKUP($B193,'C-1 On-Site WaterC'' Baseline'!$C$9:$Z$257,14,FALSE))</f>
        <v/>
      </c>
      <c r="AV193" s="15" t="str">
        <f>IFERROR(INDEX('G-7 WaterC'' Data'!$AZ$3:$AZ$7,MATCH(N193,'G-7 WaterC'' Data'!$AY$3:$AY$7,0)),"")</f>
        <v/>
      </c>
      <c r="AX193" s="15" t="str">
        <f>IF(B193="","",VLOOKUP($B193,'C-1 On-Site WaterC'' Baseline'!$C$9:$Y$257,22,FALSE))</f>
        <v/>
      </c>
      <c r="AY193" s="15" t="str">
        <f t="shared" si="26"/>
        <v/>
      </c>
      <c r="AZ193" s="15" t="str">
        <f>IF(B193="","",VLOOKUP($B193,'C-1 On-Site WaterC'' Baseline'!$C$9:$Y$257,21,FALSE))</f>
        <v/>
      </c>
      <c r="BA193" s="15" t="str">
        <f>IF(B193="","",VLOOKUP($B193,'C-1 On-Site WaterC'' Baseline'!$C$9:$Y$257,19,FALSE))</f>
        <v/>
      </c>
    </row>
    <row r="194" spans="2:53" ht="14" x14ac:dyDescent="0.3">
      <c r="B194" s="319" t="str">
        <f>'C-1 On-Site WaterC'' Baseline'!AP192</f>
        <v/>
      </c>
      <c r="C194" s="310" t="str">
        <f>IF(B194="","",VLOOKUP($B194,'C-1 On-Site WaterC'' Baseline'!$C$9:$R$257,2,FALSE))</f>
        <v/>
      </c>
      <c r="D194" s="310" t="str">
        <f>IF(C194="","",VLOOKUP($B194,'C-1 On-Site WaterC'' Baseline'!$C$9:$R$257,3,FALSE))</f>
        <v/>
      </c>
      <c r="E194" s="310" t="str">
        <f>IF(D194="","",VLOOKUP($B194,'C-1 On-Site WaterC'' Baseline'!$C$9:$R$257,4,FALSE))</f>
        <v/>
      </c>
      <c r="F194" s="310" t="str">
        <f>IF(E194="","",VLOOKUP($B194,'C-1 On-Site WaterC'' Baseline'!$C$9:$R$257,5,FALSE))</f>
        <v/>
      </c>
      <c r="G194" s="310" t="str">
        <f>IF(F194="","",VLOOKUP($B194,'C-1 On-Site WaterC'' Baseline'!$C$9:$R$257,6,FALSE))</f>
        <v/>
      </c>
      <c r="H194" s="310" t="str">
        <f>IF(G194="","",VLOOKUP($B194,'C-1 On-Site WaterC'' Baseline'!$C$9:$R$257,7,FALSE))</f>
        <v/>
      </c>
      <c r="I194" s="310" t="str">
        <f>IF(H194="","",VLOOKUP($B194,'C-1 On-Site WaterC'' Baseline'!$C$9:$R$257,8,FALSE))</f>
        <v/>
      </c>
      <c r="J194" s="310" t="str">
        <f>IF(I194="","",VLOOKUP($B194,'C-1 On-Site WaterC'' Baseline'!$C$9:$R$257,9,FALSE))</f>
        <v/>
      </c>
      <c r="K194" s="310" t="str">
        <f>IF(J194="","",VLOOKUP($B194,'C-1 On-Site WaterC'' Baseline'!$C$9:$R$257,10,FALSE))</f>
        <v/>
      </c>
      <c r="L194" s="310" t="str">
        <f>IF(B194="","",VLOOKUP($B194,'C-1 On-Site WaterC'' Baseline'!$C$9:$R$257,15,FALSE))</f>
        <v/>
      </c>
      <c r="M194" s="314" t="str">
        <f>IF(L194="","",VLOOKUP($B194,'C-1 On-Site WaterC'' Baseline'!$C$9:$R$257,16,FALSE))</f>
        <v/>
      </c>
      <c r="N194" s="259"/>
      <c r="O194" s="290" t="str">
        <f t="shared" si="19"/>
        <v/>
      </c>
      <c r="P194" s="291" t="str">
        <f t="shared" si="20"/>
        <v/>
      </c>
      <c r="Q194" s="346" t="str">
        <f>IF(N194="","",VLOOKUP(B194,'C-1 On-Site WaterC'' Baseline'!$C$10:$AC$257,20,FALSE))</f>
        <v/>
      </c>
      <c r="R194" s="290" t="str">
        <f>IF(N194="","",VLOOKUP(N194,'G-7 WaterC'' Data'!$B$2:$G$8,2,FALSE))</f>
        <v/>
      </c>
      <c r="S194" s="291" t="str">
        <f>IFERROR(VLOOKUP(R194,'G-7 WaterC'' Data'!$C$4:$D$8,2,FALSE),"")</f>
        <v/>
      </c>
      <c r="T194" s="95"/>
      <c r="U194" s="291" t="str">
        <f>IFERROR(INDEX('G-7 WaterC'' Data'!$H$4:$L$8,MATCH(N194,'G-7 WaterC'' Data'!$B$4:$B$8,0),MATCH(T194,'G-7 WaterC'' Data'!$H$3:$L$3,0)),"")</f>
        <v/>
      </c>
      <c r="V194" s="95"/>
      <c r="W194" s="298" t="str">
        <f>IF(V194="","",IF(VLOOKUP(V194,'G-7 WaterC'' Data'!$AK$4:$AM$6,2,FALSE)=0,"Spatial Data Missing ⚠",VLOOKUP(V194,'G-7 WaterC'' Data'!$AK$4:$AM$6,2,FALSE)))</f>
        <v/>
      </c>
      <c r="X194" s="291" t="str">
        <f>IF(V194="","",IF(VLOOKUP(V194,'G-7 WaterC'' Data'!$AK$4:$AM$6,3,FALSE)=0,"Spatial Data Missing ⚠",VLOOKUP(V194,'G-7 WaterC'' Data'!$AK$4:$AM$6,3,FALSE)))</f>
        <v/>
      </c>
      <c r="Y194" s="290" t="str">
        <f>IFERROR(IF(OR(LEFT(P194,5)="Error",LEFT(O194,5)="Error ▲"),"Check Data ⚠",IF(F194&lt;S194,'G-7 WaterC'' Data'!$R$3,INDEX('G-7 WaterC'' Data'!$U$5:$Y$9,MATCH(G194,'G-7 WaterC'' Data'!$T$5:$T$9,0),MATCH(T194,'G-7 WaterC'' Data'!$U$4:$Y$4,0)))),"")</f>
        <v/>
      </c>
      <c r="Z194" s="138"/>
      <c r="AA194" s="138"/>
      <c r="AB194" s="298" t="str">
        <f t="shared" si="21"/>
        <v/>
      </c>
      <c r="AC194" s="311" t="str">
        <f t="shared" si="22"/>
        <v/>
      </c>
      <c r="AD194" s="344" t="str">
        <f>IFERROR(IF(AC194="Check Data ⚠","Check Data ⚠",VLOOKUP(AC194,'G-4 Temporal multipliers'!$A$4:$C$37,3,FALSE)),"")</f>
        <v/>
      </c>
      <c r="AE194" s="290" t="str">
        <f>IF(N194="","",VLOOKUP(N194,'G-7 WaterC'' Data'!$B$4:$G$8,5,FALSE))</f>
        <v/>
      </c>
      <c r="AF194" s="298" t="str">
        <f t="shared" si="23"/>
        <v/>
      </c>
      <c r="AG194" s="328" t="str">
        <f t="shared" si="24"/>
        <v/>
      </c>
      <c r="AH194" s="291" t="str">
        <f t="shared" si="18"/>
        <v/>
      </c>
      <c r="AI194" s="103"/>
      <c r="AJ194" s="291" t="str">
        <f>IF(AI194="","",IF(AND(AI194="N/A - Culvert",N194&lt;&gt;"Culvert"),"Not possible ▲",IF(VLOOKUP(AI194,'G-7 WaterC'' Data'!$AA$4:$AB$7,2,FALSE)=0,"Spatial Data Missing ⚠",VLOOKUP(AI194,'G-7 WaterC'' Data'!$AA$4:$AB$7,2,FALSE))))</f>
        <v/>
      </c>
      <c r="AK194" s="104"/>
      <c r="AL194" s="291" t="str">
        <f>IF(AK194="","",IF(AND(AK194="N/A - Culvert",N194&lt;&gt;"Culvert"),"Not possible ▲",IF(VLOOKUP(AK194,'G-7 WaterC'' Data'!$AD$4:$AE$14,2,FALSE)=0,"Spatial Data Missing ⚠",VLOOKUP(AK194,'G-7 WaterC'' Data'!$AD$4:$AE$14,2,FALSE))))</f>
        <v/>
      </c>
      <c r="AM194" s="332" t="str">
        <f t="shared" si="25"/>
        <v/>
      </c>
      <c r="AN194" s="98"/>
      <c r="AO194" s="99"/>
      <c r="AP194" s="101"/>
      <c r="AS194" s="15" t="str">
        <f>IF(B194="","",IF(ISNA(VLOOKUP($B194,'C-1 On-Site WaterC'' Baseline'!$C$8:$AD$257,17,FALSE)),"",(VLOOKUP($B194,'C-1 On-Site WaterC'' Baseline'!$C$8:$AD$257,17,FALSE))))</f>
        <v/>
      </c>
      <c r="AT194" s="15" t="str">
        <f>IF(B194="","",VLOOKUP($B194,'C-1 On-Site WaterC'' Baseline'!$C$9:$Z$257,12,FALSE))</f>
        <v/>
      </c>
      <c r="AU194" s="15" t="str">
        <f>IF(B194="","",VLOOKUP($B194,'C-1 On-Site WaterC'' Baseline'!$C$9:$Z$257,14,FALSE))</f>
        <v/>
      </c>
      <c r="AV194" s="15" t="str">
        <f>IFERROR(INDEX('G-7 WaterC'' Data'!$AZ$3:$AZ$7,MATCH(N194,'G-7 WaterC'' Data'!$AY$3:$AY$7,0)),"")</f>
        <v/>
      </c>
      <c r="AX194" s="15" t="str">
        <f>IF(B194="","",VLOOKUP($B194,'C-1 On-Site WaterC'' Baseline'!$C$9:$Y$257,22,FALSE))</f>
        <v/>
      </c>
      <c r="AY194" s="15" t="str">
        <f t="shared" si="26"/>
        <v/>
      </c>
      <c r="AZ194" s="15" t="str">
        <f>IF(B194="","",VLOOKUP($B194,'C-1 On-Site WaterC'' Baseline'!$C$9:$Y$257,21,FALSE))</f>
        <v/>
      </c>
      <c r="BA194" s="15" t="str">
        <f>IF(B194="","",VLOOKUP($B194,'C-1 On-Site WaterC'' Baseline'!$C$9:$Y$257,19,FALSE))</f>
        <v/>
      </c>
    </row>
    <row r="195" spans="2:53" ht="14" x14ac:dyDescent="0.3">
      <c r="B195" s="319" t="str">
        <f>'C-1 On-Site WaterC'' Baseline'!AP193</f>
        <v/>
      </c>
      <c r="C195" s="310" t="str">
        <f>IF(B195="","",VLOOKUP($B195,'C-1 On-Site WaterC'' Baseline'!$C$9:$R$257,2,FALSE))</f>
        <v/>
      </c>
      <c r="D195" s="310" t="str">
        <f>IF(C195="","",VLOOKUP($B195,'C-1 On-Site WaterC'' Baseline'!$C$9:$R$257,3,FALSE))</f>
        <v/>
      </c>
      <c r="E195" s="310" t="str">
        <f>IF(D195="","",VLOOKUP($B195,'C-1 On-Site WaterC'' Baseline'!$C$9:$R$257,4,FALSE))</f>
        <v/>
      </c>
      <c r="F195" s="310" t="str">
        <f>IF(E195="","",VLOOKUP($B195,'C-1 On-Site WaterC'' Baseline'!$C$9:$R$257,5,FALSE))</f>
        <v/>
      </c>
      <c r="G195" s="310" t="str">
        <f>IF(F195="","",VLOOKUP($B195,'C-1 On-Site WaterC'' Baseline'!$C$9:$R$257,6,FALSE))</f>
        <v/>
      </c>
      <c r="H195" s="310" t="str">
        <f>IF(G195="","",VLOOKUP($B195,'C-1 On-Site WaterC'' Baseline'!$C$9:$R$257,7,FALSE))</f>
        <v/>
      </c>
      <c r="I195" s="310" t="str">
        <f>IF(H195="","",VLOOKUP($B195,'C-1 On-Site WaterC'' Baseline'!$C$9:$R$257,8,FALSE))</f>
        <v/>
      </c>
      <c r="J195" s="310" t="str">
        <f>IF(I195="","",VLOOKUP($B195,'C-1 On-Site WaterC'' Baseline'!$C$9:$R$257,9,FALSE))</f>
        <v/>
      </c>
      <c r="K195" s="310" t="str">
        <f>IF(J195="","",VLOOKUP($B195,'C-1 On-Site WaterC'' Baseline'!$C$9:$R$257,10,FALSE))</f>
        <v/>
      </c>
      <c r="L195" s="310" t="str">
        <f>IF(B195="","",VLOOKUP($B195,'C-1 On-Site WaterC'' Baseline'!$C$9:$R$257,15,FALSE))</f>
        <v/>
      </c>
      <c r="M195" s="314" t="str">
        <f>IF(L195="","",VLOOKUP($B195,'C-1 On-Site WaterC'' Baseline'!$C$9:$R$257,16,FALSE))</f>
        <v/>
      </c>
      <c r="N195" s="259"/>
      <c r="O195" s="290" t="str">
        <f t="shared" si="19"/>
        <v/>
      </c>
      <c r="P195" s="291" t="str">
        <f t="shared" si="20"/>
        <v/>
      </c>
      <c r="Q195" s="346" t="str">
        <f>IF(N195="","",VLOOKUP(B195,'C-1 On-Site WaterC'' Baseline'!$C$10:$AC$257,20,FALSE))</f>
        <v/>
      </c>
      <c r="R195" s="290" t="str">
        <f>IF(N195="","",VLOOKUP(N195,'G-7 WaterC'' Data'!$B$2:$G$8,2,FALSE))</f>
        <v/>
      </c>
      <c r="S195" s="291" t="str">
        <f>IFERROR(VLOOKUP(R195,'G-7 WaterC'' Data'!$C$4:$D$8,2,FALSE),"")</f>
        <v/>
      </c>
      <c r="T195" s="95"/>
      <c r="U195" s="291" t="str">
        <f>IFERROR(INDEX('G-7 WaterC'' Data'!$H$4:$L$8,MATCH(N195,'G-7 WaterC'' Data'!$B$4:$B$8,0),MATCH(T195,'G-7 WaterC'' Data'!$H$3:$L$3,0)),"")</f>
        <v/>
      </c>
      <c r="V195" s="95"/>
      <c r="W195" s="298" t="str">
        <f>IF(V195="","",IF(VLOOKUP(V195,'G-7 WaterC'' Data'!$AK$4:$AM$6,2,FALSE)=0,"Spatial Data Missing ⚠",VLOOKUP(V195,'G-7 WaterC'' Data'!$AK$4:$AM$6,2,FALSE)))</f>
        <v/>
      </c>
      <c r="X195" s="291" t="str">
        <f>IF(V195="","",IF(VLOOKUP(V195,'G-7 WaterC'' Data'!$AK$4:$AM$6,3,FALSE)=0,"Spatial Data Missing ⚠",VLOOKUP(V195,'G-7 WaterC'' Data'!$AK$4:$AM$6,3,FALSE)))</f>
        <v/>
      </c>
      <c r="Y195" s="290" t="str">
        <f>IFERROR(IF(OR(LEFT(P195,5)="Error",LEFT(O195,5)="Error ▲"),"Check Data ⚠",IF(F195&lt;S195,'G-7 WaterC'' Data'!$R$3,INDEX('G-7 WaterC'' Data'!$U$5:$Y$9,MATCH(G195,'G-7 WaterC'' Data'!$T$5:$T$9,0),MATCH(T195,'G-7 WaterC'' Data'!$U$4:$Y$4,0)))),"")</f>
        <v/>
      </c>
      <c r="Z195" s="138"/>
      <c r="AA195" s="138"/>
      <c r="AB195" s="298" t="str">
        <f t="shared" si="21"/>
        <v/>
      </c>
      <c r="AC195" s="311" t="str">
        <f t="shared" si="22"/>
        <v/>
      </c>
      <c r="AD195" s="344" t="str">
        <f>IFERROR(IF(AC195="Check Data ⚠","Check Data ⚠",VLOOKUP(AC195,'G-4 Temporal multipliers'!$A$4:$C$37,3,FALSE)),"")</f>
        <v/>
      </c>
      <c r="AE195" s="290" t="str">
        <f>IF(N195="","",VLOOKUP(N195,'G-7 WaterC'' Data'!$B$4:$G$8,5,FALSE))</f>
        <v/>
      </c>
      <c r="AF195" s="298" t="str">
        <f t="shared" si="23"/>
        <v/>
      </c>
      <c r="AG195" s="328" t="str">
        <f t="shared" si="24"/>
        <v/>
      </c>
      <c r="AH195" s="291" t="str">
        <f t="shared" si="18"/>
        <v/>
      </c>
      <c r="AI195" s="103"/>
      <c r="AJ195" s="291" t="str">
        <f>IF(AI195="","",IF(AND(AI195="N/A - Culvert",N195&lt;&gt;"Culvert"),"Not possible ▲",IF(VLOOKUP(AI195,'G-7 WaterC'' Data'!$AA$4:$AB$7,2,FALSE)=0,"Spatial Data Missing ⚠",VLOOKUP(AI195,'G-7 WaterC'' Data'!$AA$4:$AB$7,2,FALSE))))</f>
        <v/>
      </c>
      <c r="AK195" s="104"/>
      <c r="AL195" s="291" t="str">
        <f>IF(AK195="","",IF(AND(AK195="N/A - Culvert",N195&lt;&gt;"Culvert"),"Not possible ▲",IF(VLOOKUP(AK195,'G-7 WaterC'' Data'!$AD$4:$AE$14,2,FALSE)=0,"Spatial Data Missing ⚠",VLOOKUP(AK195,'G-7 WaterC'' Data'!$AD$4:$AE$14,2,FALSE))))</f>
        <v/>
      </c>
      <c r="AM195" s="332" t="str">
        <f t="shared" si="25"/>
        <v/>
      </c>
      <c r="AN195" s="98"/>
      <c r="AO195" s="99"/>
      <c r="AP195" s="101"/>
      <c r="AS195" s="15" t="str">
        <f>IF(B195="","",IF(ISNA(VLOOKUP($B195,'C-1 On-Site WaterC'' Baseline'!$C$8:$AD$257,17,FALSE)),"",(VLOOKUP($B195,'C-1 On-Site WaterC'' Baseline'!$C$8:$AD$257,17,FALSE))))</f>
        <v/>
      </c>
      <c r="AT195" s="15" t="str">
        <f>IF(B195="","",VLOOKUP($B195,'C-1 On-Site WaterC'' Baseline'!$C$9:$Z$257,12,FALSE))</f>
        <v/>
      </c>
      <c r="AU195" s="15" t="str">
        <f>IF(B195="","",VLOOKUP($B195,'C-1 On-Site WaterC'' Baseline'!$C$9:$Z$257,14,FALSE))</f>
        <v/>
      </c>
      <c r="AV195" s="15" t="str">
        <f>IFERROR(INDEX('G-7 WaterC'' Data'!$AZ$3:$AZ$7,MATCH(N195,'G-7 WaterC'' Data'!$AY$3:$AY$7,0)),"")</f>
        <v/>
      </c>
      <c r="AX195" s="15" t="str">
        <f>IF(B195="","",VLOOKUP($B195,'C-1 On-Site WaterC'' Baseline'!$C$9:$Y$257,22,FALSE))</f>
        <v/>
      </c>
      <c r="AY195" s="15" t="str">
        <f t="shared" si="26"/>
        <v/>
      </c>
      <c r="AZ195" s="15" t="str">
        <f>IF(B195="","",VLOOKUP($B195,'C-1 On-Site WaterC'' Baseline'!$C$9:$Y$257,21,FALSE))</f>
        <v/>
      </c>
      <c r="BA195" s="15" t="str">
        <f>IF(B195="","",VLOOKUP($B195,'C-1 On-Site WaterC'' Baseline'!$C$9:$Y$257,19,FALSE))</f>
        <v/>
      </c>
    </row>
    <row r="196" spans="2:53" ht="14" x14ac:dyDescent="0.3">
      <c r="B196" s="319" t="str">
        <f>'C-1 On-Site WaterC'' Baseline'!AP194</f>
        <v/>
      </c>
      <c r="C196" s="310" t="str">
        <f>IF(B196="","",VLOOKUP($B196,'C-1 On-Site WaterC'' Baseline'!$C$9:$R$257,2,FALSE))</f>
        <v/>
      </c>
      <c r="D196" s="310" t="str">
        <f>IF(C196="","",VLOOKUP($B196,'C-1 On-Site WaterC'' Baseline'!$C$9:$R$257,3,FALSE))</f>
        <v/>
      </c>
      <c r="E196" s="310" t="str">
        <f>IF(D196="","",VLOOKUP($B196,'C-1 On-Site WaterC'' Baseline'!$C$9:$R$257,4,FALSE))</f>
        <v/>
      </c>
      <c r="F196" s="310" t="str">
        <f>IF(E196="","",VLOOKUP($B196,'C-1 On-Site WaterC'' Baseline'!$C$9:$R$257,5,FALSE))</f>
        <v/>
      </c>
      <c r="G196" s="310" t="str">
        <f>IF(F196="","",VLOOKUP($B196,'C-1 On-Site WaterC'' Baseline'!$C$9:$R$257,6,FALSE))</f>
        <v/>
      </c>
      <c r="H196" s="310" t="str">
        <f>IF(G196="","",VLOOKUP($B196,'C-1 On-Site WaterC'' Baseline'!$C$9:$R$257,7,FALSE))</f>
        <v/>
      </c>
      <c r="I196" s="310" t="str">
        <f>IF(H196="","",VLOOKUP($B196,'C-1 On-Site WaterC'' Baseline'!$C$9:$R$257,8,FALSE))</f>
        <v/>
      </c>
      <c r="J196" s="310" t="str">
        <f>IF(I196="","",VLOOKUP($B196,'C-1 On-Site WaterC'' Baseline'!$C$9:$R$257,9,FALSE))</f>
        <v/>
      </c>
      <c r="K196" s="310" t="str">
        <f>IF(J196="","",VLOOKUP($B196,'C-1 On-Site WaterC'' Baseline'!$C$9:$R$257,10,FALSE))</f>
        <v/>
      </c>
      <c r="L196" s="310" t="str">
        <f>IF(B196="","",VLOOKUP($B196,'C-1 On-Site WaterC'' Baseline'!$C$9:$R$257,15,FALSE))</f>
        <v/>
      </c>
      <c r="M196" s="314" t="str">
        <f>IF(L196="","",VLOOKUP($B196,'C-1 On-Site WaterC'' Baseline'!$C$9:$R$257,16,FALSE))</f>
        <v/>
      </c>
      <c r="N196" s="259"/>
      <c r="O196" s="290" t="str">
        <f t="shared" si="19"/>
        <v/>
      </c>
      <c r="P196" s="291" t="str">
        <f t="shared" si="20"/>
        <v/>
      </c>
      <c r="Q196" s="346" t="str">
        <f>IF(N196="","",VLOOKUP(B196,'C-1 On-Site WaterC'' Baseline'!$C$10:$AC$257,20,FALSE))</f>
        <v/>
      </c>
      <c r="R196" s="290" t="str">
        <f>IF(N196="","",VLOOKUP(N196,'G-7 WaterC'' Data'!$B$2:$G$8,2,FALSE))</f>
        <v/>
      </c>
      <c r="S196" s="291" t="str">
        <f>IFERROR(VLOOKUP(R196,'G-7 WaterC'' Data'!$C$4:$D$8,2,FALSE),"")</f>
        <v/>
      </c>
      <c r="T196" s="95"/>
      <c r="U196" s="291" t="str">
        <f>IFERROR(INDEX('G-7 WaterC'' Data'!$H$4:$L$8,MATCH(N196,'G-7 WaterC'' Data'!$B$4:$B$8,0),MATCH(T196,'G-7 WaterC'' Data'!$H$3:$L$3,0)),"")</f>
        <v/>
      </c>
      <c r="V196" s="95"/>
      <c r="W196" s="298" t="str">
        <f>IF(V196="","",IF(VLOOKUP(V196,'G-7 WaterC'' Data'!$AK$4:$AM$6,2,FALSE)=0,"Spatial Data Missing ⚠",VLOOKUP(V196,'G-7 WaterC'' Data'!$AK$4:$AM$6,2,FALSE)))</f>
        <v/>
      </c>
      <c r="X196" s="291" t="str">
        <f>IF(V196="","",IF(VLOOKUP(V196,'G-7 WaterC'' Data'!$AK$4:$AM$6,3,FALSE)=0,"Spatial Data Missing ⚠",VLOOKUP(V196,'G-7 WaterC'' Data'!$AK$4:$AM$6,3,FALSE)))</f>
        <v/>
      </c>
      <c r="Y196" s="290" t="str">
        <f>IFERROR(IF(OR(LEFT(P196,5)="Error",LEFT(O196,5)="Error ▲"),"Check Data ⚠",IF(F196&lt;S196,'G-7 WaterC'' Data'!$R$3,INDEX('G-7 WaterC'' Data'!$U$5:$Y$9,MATCH(G196,'G-7 WaterC'' Data'!$T$5:$T$9,0),MATCH(T196,'G-7 WaterC'' Data'!$U$4:$Y$4,0)))),"")</f>
        <v/>
      </c>
      <c r="Z196" s="138"/>
      <c r="AA196" s="138"/>
      <c r="AB196" s="298" t="str">
        <f t="shared" si="21"/>
        <v/>
      </c>
      <c r="AC196" s="311" t="str">
        <f t="shared" si="22"/>
        <v/>
      </c>
      <c r="AD196" s="344" t="str">
        <f>IFERROR(IF(AC196="Check Data ⚠","Check Data ⚠",VLOOKUP(AC196,'G-4 Temporal multipliers'!$A$4:$C$37,3,FALSE)),"")</f>
        <v/>
      </c>
      <c r="AE196" s="290" t="str">
        <f>IF(N196="","",VLOOKUP(N196,'G-7 WaterC'' Data'!$B$4:$G$8,5,FALSE))</f>
        <v/>
      </c>
      <c r="AF196" s="298" t="str">
        <f t="shared" si="23"/>
        <v/>
      </c>
      <c r="AG196" s="328" t="str">
        <f t="shared" si="24"/>
        <v/>
      </c>
      <c r="AH196" s="291" t="str">
        <f t="shared" si="18"/>
        <v/>
      </c>
      <c r="AI196" s="103"/>
      <c r="AJ196" s="291" t="str">
        <f>IF(AI196="","",IF(AND(AI196="N/A - Culvert",N196&lt;&gt;"Culvert"),"Not possible ▲",IF(VLOOKUP(AI196,'G-7 WaterC'' Data'!$AA$4:$AB$7,2,FALSE)=0,"Spatial Data Missing ⚠",VLOOKUP(AI196,'G-7 WaterC'' Data'!$AA$4:$AB$7,2,FALSE))))</f>
        <v/>
      </c>
      <c r="AK196" s="104"/>
      <c r="AL196" s="291" t="str">
        <f>IF(AK196="","",IF(AND(AK196="N/A - Culvert",N196&lt;&gt;"Culvert"),"Not possible ▲",IF(VLOOKUP(AK196,'G-7 WaterC'' Data'!$AD$4:$AE$14,2,FALSE)=0,"Spatial Data Missing ⚠",VLOOKUP(AK196,'G-7 WaterC'' Data'!$AD$4:$AE$14,2,FALSE))))</f>
        <v/>
      </c>
      <c r="AM196" s="332" t="str">
        <f t="shared" si="25"/>
        <v/>
      </c>
      <c r="AN196" s="98"/>
      <c r="AO196" s="99"/>
      <c r="AP196" s="101"/>
      <c r="AS196" s="15" t="str">
        <f>IF(B196="","",IF(ISNA(VLOOKUP($B196,'C-1 On-Site WaterC'' Baseline'!$C$8:$AD$257,17,FALSE)),"",(VLOOKUP($B196,'C-1 On-Site WaterC'' Baseline'!$C$8:$AD$257,17,FALSE))))</f>
        <v/>
      </c>
      <c r="AT196" s="15" t="str">
        <f>IF(B196="","",VLOOKUP($B196,'C-1 On-Site WaterC'' Baseline'!$C$9:$Z$257,12,FALSE))</f>
        <v/>
      </c>
      <c r="AU196" s="15" t="str">
        <f>IF(B196="","",VLOOKUP($B196,'C-1 On-Site WaterC'' Baseline'!$C$9:$Z$257,14,FALSE))</f>
        <v/>
      </c>
      <c r="AV196" s="15" t="str">
        <f>IFERROR(INDEX('G-7 WaterC'' Data'!$AZ$3:$AZ$7,MATCH(N196,'G-7 WaterC'' Data'!$AY$3:$AY$7,0)),"")</f>
        <v/>
      </c>
      <c r="AX196" s="15" t="str">
        <f>IF(B196="","",VLOOKUP($B196,'C-1 On-Site WaterC'' Baseline'!$C$9:$Y$257,22,FALSE))</f>
        <v/>
      </c>
      <c r="AY196" s="15" t="str">
        <f t="shared" si="26"/>
        <v/>
      </c>
      <c r="AZ196" s="15" t="str">
        <f>IF(B196="","",VLOOKUP($B196,'C-1 On-Site WaterC'' Baseline'!$C$9:$Y$257,21,FALSE))</f>
        <v/>
      </c>
      <c r="BA196" s="15" t="str">
        <f>IF(B196="","",VLOOKUP($B196,'C-1 On-Site WaterC'' Baseline'!$C$9:$Y$257,19,FALSE))</f>
        <v/>
      </c>
    </row>
    <row r="197" spans="2:53" ht="14" x14ac:dyDescent="0.3">
      <c r="B197" s="319" t="str">
        <f>'C-1 On-Site WaterC'' Baseline'!AP195</f>
        <v/>
      </c>
      <c r="C197" s="310" t="str">
        <f>IF(B197="","",VLOOKUP($B197,'C-1 On-Site WaterC'' Baseline'!$C$9:$R$257,2,FALSE))</f>
        <v/>
      </c>
      <c r="D197" s="310" t="str">
        <f>IF(C197="","",VLOOKUP($B197,'C-1 On-Site WaterC'' Baseline'!$C$9:$R$257,3,FALSE))</f>
        <v/>
      </c>
      <c r="E197" s="310" t="str">
        <f>IF(D197="","",VLOOKUP($B197,'C-1 On-Site WaterC'' Baseline'!$C$9:$R$257,4,FALSE))</f>
        <v/>
      </c>
      <c r="F197" s="310" t="str">
        <f>IF(E197="","",VLOOKUP($B197,'C-1 On-Site WaterC'' Baseline'!$C$9:$R$257,5,FALSE))</f>
        <v/>
      </c>
      <c r="G197" s="310" t="str">
        <f>IF(F197="","",VLOOKUP($B197,'C-1 On-Site WaterC'' Baseline'!$C$9:$R$257,6,FALSE))</f>
        <v/>
      </c>
      <c r="H197" s="310" t="str">
        <f>IF(G197="","",VLOOKUP($B197,'C-1 On-Site WaterC'' Baseline'!$C$9:$R$257,7,FALSE))</f>
        <v/>
      </c>
      <c r="I197" s="310" t="str">
        <f>IF(H197="","",VLOOKUP($B197,'C-1 On-Site WaterC'' Baseline'!$C$9:$R$257,8,FALSE))</f>
        <v/>
      </c>
      <c r="J197" s="310" t="str">
        <f>IF(I197="","",VLOOKUP($B197,'C-1 On-Site WaterC'' Baseline'!$C$9:$R$257,9,FALSE))</f>
        <v/>
      </c>
      <c r="K197" s="310" t="str">
        <f>IF(J197="","",VLOOKUP($B197,'C-1 On-Site WaterC'' Baseline'!$C$9:$R$257,10,FALSE))</f>
        <v/>
      </c>
      <c r="L197" s="310" t="str">
        <f>IF(B197="","",VLOOKUP($B197,'C-1 On-Site WaterC'' Baseline'!$C$9:$R$257,15,FALSE))</f>
        <v/>
      </c>
      <c r="M197" s="314" t="str">
        <f>IF(L197="","",VLOOKUP($B197,'C-1 On-Site WaterC'' Baseline'!$C$9:$R$257,16,FALSE))</f>
        <v/>
      </c>
      <c r="N197" s="259"/>
      <c r="O197" s="290" t="str">
        <f t="shared" si="19"/>
        <v/>
      </c>
      <c r="P197" s="291" t="str">
        <f t="shared" si="20"/>
        <v/>
      </c>
      <c r="Q197" s="346" t="str">
        <f>IF(N197="","",VLOOKUP(B197,'C-1 On-Site WaterC'' Baseline'!$C$10:$AC$257,20,FALSE))</f>
        <v/>
      </c>
      <c r="R197" s="290" t="str">
        <f>IF(N197="","",VLOOKUP(N197,'G-7 WaterC'' Data'!$B$2:$G$8,2,FALSE))</f>
        <v/>
      </c>
      <c r="S197" s="291" t="str">
        <f>IFERROR(VLOOKUP(R197,'G-7 WaterC'' Data'!$C$4:$D$8,2,FALSE),"")</f>
        <v/>
      </c>
      <c r="T197" s="95"/>
      <c r="U197" s="291" t="str">
        <f>IFERROR(INDEX('G-7 WaterC'' Data'!$H$4:$L$8,MATCH(N197,'G-7 WaterC'' Data'!$B$4:$B$8,0),MATCH(T197,'G-7 WaterC'' Data'!$H$3:$L$3,0)),"")</f>
        <v/>
      </c>
      <c r="V197" s="95"/>
      <c r="W197" s="298" t="str">
        <f>IF(V197="","",IF(VLOOKUP(V197,'G-7 WaterC'' Data'!$AK$4:$AM$6,2,FALSE)=0,"Spatial Data Missing ⚠",VLOOKUP(V197,'G-7 WaterC'' Data'!$AK$4:$AM$6,2,FALSE)))</f>
        <v/>
      </c>
      <c r="X197" s="291" t="str">
        <f>IF(V197="","",IF(VLOOKUP(V197,'G-7 WaterC'' Data'!$AK$4:$AM$6,3,FALSE)=0,"Spatial Data Missing ⚠",VLOOKUP(V197,'G-7 WaterC'' Data'!$AK$4:$AM$6,3,FALSE)))</f>
        <v/>
      </c>
      <c r="Y197" s="290" t="str">
        <f>IFERROR(IF(OR(LEFT(P197,5)="Error",LEFT(O197,5)="Error ▲"),"Check Data ⚠",IF(F197&lt;S197,'G-7 WaterC'' Data'!$R$3,INDEX('G-7 WaterC'' Data'!$U$5:$Y$9,MATCH(G197,'G-7 WaterC'' Data'!$T$5:$T$9,0),MATCH(T197,'G-7 WaterC'' Data'!$U$4:$Y$4,0)))),"")</f>
        <v/>
      </c>
      <c r="Z197" s="138"/>
      <c r="AA197" s="138"/>
      <c r="AB197" s="298" t="str">
        <f t="shared" si="21"/>
        <v/>
      </c>
      <c r="AC197" s="311" t="str">
        <f t="shared" si="22"/>
        <v/>
      </c>
      <c r="AD197" s="344" t="str">
        <f>IFERROR(IF(AC197="Check Data ⚠","Check Data ⚠",VLOOKUP(AC197,'G-4 Temporal multipliers'!$A$4:$C$37,3,FALSE)),"")</f>
        <v/>
      </c>
      <c r="AE197" s="290" t="str">
        <f>IF(N197="","",VLOOKUP(N197,'G-7 WaterC'' Data'!$B$4:$G$8,5,FALSE))</f>
        <v/>
      </c>
      <c r="AF197" s="298" t="str">
        <f t="shared" si="23"/>
        <v/>
      </c>
      <c r="AG197" s="328" t="str">
        <f t="shared" si="24"/>
        <v/>
      </c>
      <c r="AH197" s="291" t="str">
        <f t="shared" si="18"/>
        <v/>
      </c>
      <c r="AI197" s="103"/>
      <c r="AJ197" s="291" t="str">
        <f>IF(AI197="","",IF(AND(AI197="N/A - Culvert",N197&lt;&gt;"Culvert"),"Not possible ▲",IF(VLOOKUP(AI197,'G-7 WaterC'' Data'!$AA$4:$AB$7,2,FALSE)=0,"Spatial Data Missing ⚠",VLOOKUP(AI197,'G-7 WaterC'' Data'!$AA$4:$AB$7,2,FALSE))))</f>
        <v/>
      </c>
      <c r="AK197" s="104"/>
      <c r="AL197" s="291" t="str">
        <f>IF(AK197="","",IF(AND(AK197="N/A - Culvert",N197&lt;&gt;"Culvert"),"Not possible ▲",IF(VLOOKUP(AK197,'G-7 WaterC'' Data'!$AD$4:$AE$14,2,FALSE)=0,"Spatial Data Missing ⚠",VLOOKUP(AK197,'G-7 WaterC'' Data'!$AD$4:$AE$14,2,FALSE))))</f>
        <v/>
      </c>
      <c r="AM197" s="332" t="str">
        <f t="shared" si="25"/>
        <v/>
      </c>
      <c r="AN197" s="98"/>
      <c r="AO197" s="99"/>
      <c r="AP197" s="101"/>
      <c r="AS197" s="15" t="str">
        <f>IF(B197="","",IF(ISNA(VLOOKUP($B197,'C-1 On-Site WaterC'' Baseline'!$C$8:$AD$257,17,FALSE)),"",(VLOOKUP($B197,'C-1 On-Site WaterC'' Baseline'!$C$8:$AD$257,17,FALSE))))</f>
        <v/>
      </c>
      <c r="AT197" s="15" t="str">
        <f>IF(B197="","",VLOOKUP($B197,'C-1 On-Site WaterC'' Baseline'!$C$9:$Z$257,12,FALSE))</f>
        <v/>
      </c>
      <c r="AU197" s="15" t="str">
        <f>IF(B197="","",VLOOKUP($B197,'C-1 On-Site WaterC'' Baseline'!$C$9:$Z$257,14,FALSE))</f>
        <v/>
      </c>
      <c r="AV197" s="15" t="str">
        <f>IFERROR(INDEX('G-7 WaterC'' Data'!$AZ$3:$AZ$7,MATCH(N197,'G-7 WaterC'' Data'!$AY$3:$AY$7,0)),"")</f>
        <v/>
      </c>
      <c r="AX197" s="15" t="str">
        <f>IF(B197="","",VLOOKUP($B197,'C-1 On-Site WaterC'' Baseline'!$C$9:$Y$257,22,FALSE))</f>
        <v/>
      </c>
      <c r="AY197" s="15" t="str">
        <f t="shared" si="26"/>
        <v/>
      </c>
      <c r="AZ197" s="15" t="str">
        <f>IF(B197="","",VLOOKUP($B197,'C-1 On-Site WaterC'' Baseline'!$C$9:$Y$257,21,FALSE))</f>
        <v/>
      </c>
      <c r="BA197" s="15" t="str">
        <f>IF(B197="","",VLOOKUP($B197,'C-1 On-Site WaterC'' Baseline'!$C$9:$Y$257,19,FALSE))</f>
        <v/>
      </c>
    </row>
    <row r="198" spans="2:53" ht="14" x14ac:dyDescent="0.3">
      <c r="B198" s="319" t="str">
        <f>'C-1 On-Site WaterC'' Baseline'!AP196</f>
        <v/>
      </c>
      <c r="C198" s="310" t="str">
        <f>IF(B198="","",VLOOKUP($B198,'C-1 On-Site WaterC'' Baseline'!$C$9:$R$257,2,FALSE))</f>
        <v/>
      </c>
      <c r="D198" s="310" t="str">
        <f>IF(C198="","",VLOOKUP($B198,'C-1 On-Site WaterC'' Baseline'!$C$9:$R$257,3,FALSE))</f>
        <v/>
      </c>
      <c r="E198" s="310" t="str">
        <f>IF(D198="","",VLOOKUP($B198,'C-1 On-Site WaterC'' Baseline'!$C$9:$R$257,4,FALSE))</f>
        <v/>
      </c>
      <c r="F198" s="310" t="str">
        <f>IF(E198="","",VLOOKUP($B198,'C-1 On-Site WaterC'' Baseline'!$C$9:$R$257,5,FALSE))</f>
        <v/>
      </c>
      <c r="G198" s="310" t="str">
        <f>IF(F198="","",VLOOKUP($B198,'C-1 On-Site WaterC'' Baseline'!$C$9:$R$257,6,FALSE))</f>
        <v/>
      </c>
      <c r="H198" s="310" t="str">
        <f>IF(G198="","",VLOOKUP($B198,'C-1 On-Site WaterC'' Baseline'!$C$9:$R$257,7,FALSE))</f>
        <v/>
      </c>
      <c r="I198" s="310" t="str">
        <f>IF(H198="","",VLOOKUP($B198,'C-1 On-Site WaterC'' Baseline'!$C$9:$R$257,8,FALSE))</f>
        <v/>
      </c>
      <c r="J198" s="310" t="str">
        <f>IF(I198="","",VLOOKUP($B198,'C-1 On-Site WaterC'' Baseline'!$C$9:$R$257,9,FALSE))</f>
        <v/>
      </c>
      <c r="K198" s="310" t="str">
        <f>IF(J198="","",VLOOKUP($B198,'C-1 On-Site WaterC'' Baseline'!$C$9:$R$257,10,FALSE))</f>
        <v/>
      </c>
      <c r="L198" s="310" t="str">
        <f>IF(B198="","",VLOOKUP($B198,'C-1 On-Site WaterC'' Baseline'!$C$9:$R$257,15,FALSE))</f>
        <v/>
      </c>
      <c r="M198" s="314" t="str">
        <f>IF(L198="","",VLOOKUP($B198,'C-1 On-Site WaterC'' Baseline'!$C$9:$R$257,16,FALSE))</f>
        <v/>
      </c>
      <c r="N198" s="259"/>
      <c r="O198" s="290" t="str">
        <f t="shared" si="19"/>
        <v/>
      </c>
      <c r="P198" s="291" t="str">
        <f t="shared" si="20"/>
        <v/>
      </c>
      <c r="Q198" s="346" t="str">
        <f>IF(N198="","",VLOOKUP(B198,'C-1 On-Site WaterC'' Baseline'!$C$10:$AC$257,20,FALSE))</f>
        <v/>
      </c>
      <c r="R198" s="290" t="str">
        <f>IF(N198="","",VLOOKUP(N198,'G-7 WaterC'' Data'!$B$2:$G$8,2,FALSE))</f>
        <v/>
      </c>
      <c r="S198" s="291" t="str">
        <f>IFERROR(VLOOKUP(R198,'G-7 WaterC'' Data'!$C$4:$D$8,2,FALSE),"")</f>
        <v/>
      </c>
      <c r="T198" s="95"/>
      <c r="U198" s="291" t="str">
        <f>IFERROR(INDEX('G-7 WaterC'' Data'!$H$4:$L$8,MATCH(N198,'G-7 WaterC'' Data'!$B$4:$B$8,0),MATCH(T198,'G-7 WaterC'' Data'!$H$3:$L$3,0)),"")</f>
        <v/>
      </c>
      <c r="V198" s="95"/>
      <c r="W198" s="298" t="str">
        <f>IF(V198="","",IF(VLOOKUP(V198,'G-7 WaterC'' Data'!$AK$4:$AM$6,2,FALSE)=0,"Spatial Data Missing ⚠",VLOOKUP(V198,'G-7 WaterC'' Data'!$AK$4:$AM$6,2,FALSE)))</f>
        <v/>
      </c>
      <c r="X198" s="291" t="str">
        <f>IF(V198="","",IF(VLOOKUP(V198,'G-7 WaterC'' Data'!$AK$4:$AM$6,3,FALSE)=0,"Spatial Data Missing ⚠",VLOOKUP(V198,'G-7 WaterC'' Data'!$AK$4:$AM$6,3,FALSE)))</f>
        <v/>
      </c>
      <c r="Y198" s="290" t="str">
        <f>IFERROR(IF(OR(LEFT(P198,5)="Error",LEFT(O198,5)="Error ▲"),"Check Data ⚠",IF(F198&lt;S198,'G-7 WaterC'' Data'!$R$3,INDEX('G-7 WaterC'' Data'!$U$5:$Y$9,MATCH(G198,'G-7 WaterC'' Data'!$T$5:$T$9,0),MATCH(T198,'G-7 WaterC'' Data'!$U$4:$Y$4,0)))),"")</f>
        <v/>
      </c>
      <c r="Z198" s="138"/>
      <c r="AA198" s="138"/>
      <c r="AB198" s="298" t="str">
        <f t="shared" si="21"/>
        <v/>
      </c>
      <c r="AC198" s="311" t="str">
        <f t="shared" si="22"/>
        <v/>
      </c>
      <c r="AD198" s="344" t="str">
        <f>IFERROR(IF(AC198="Check Data ⚠","Check Data ⚠",VLOOKUP(AC198,'G-4 Temporal multipliers'!$A$4:$C$37,3,FALSE)),"")</f>
        <v/>
      </c>
      <c r="AE198" s="290" t="str">
        <f>IF(N198="","",VLOOKUP(N198,'G-7 WaterC'' Data'!$B$4:$G$8,5,FALSE))</f>
        <v/>
      </c>
      <c r="AF198" s="298" t="str">
        <f t="shared" si="23"/>
        <v/>
      </c>
      <c r="AG198" s="328" t="str">
        <f t="shared" si="24"/>
        <v/>
      </c>
      <c r="AH198" s="291" t="str">
        <f t="shared" si="18"/>
        <v/>
      </c>
      <c r="AI198" s="103"/>
      <c r="AJ198" s="291" t="str">
        <f>IF(AI198="","",IF(AND(AI198="N/A - Culvert",N198&lt;&gt;"Culvert"),"Not possible ▲",IF(VLOOKUP(AI198,'G-7 WaterC'' Data'!$AA$4:$AB$7,2,FALSE)=0,"Spatial Data Missing ⚠",VLOOKUP(AI198,'G-7 WaterC'' Data'!$AA$4:$AB$7,2,FALSE))))</f>
        <v/>
      </c>
      <c r="AK198" s="104"/>
      <c r="AL198" s="291" t="str">
        <f>IF(AK198="","",IF(AND(AK198="N/A - Culvert",N198&lt;&gt;"Culvert"),"Not possible ▲",IF(VLOOKUP(AK198,'G-7 WaterC'' Data'!$AD$4:$AE$14,2,FALSE)=0,"Spatial Data Missing ⚠",VLOOKUP(AK198,'G-7 WaterC'' Data'!$AD$4:$AE$14,2,FALSE))))</f>
        <v/>
      </c>
      <c r="AM198" s="332" t="str">
        <f t="shared" si="25"/>
        <v/>
      </c>
      <c r="AN198" s="98"/>
      <c r="AO198" s="99"/>
      <c r="AP198" s="101"/>
      <c r="AS198" s="15" t="str">
        <f>IF(B198="","",IF(ISNA(VLOOKUP($B198,'C-1 On-Site WaterC'' Baseline'!$C$8:$AD$257,17,FALSE)),"",(VLOOKUP($B198,'C-1 On-Site WaterC'' Baseline'!$C$8:$AD$257,17,FALSE))))</f>
        <v/>
      </c>
      <c r="AT198" s="15" t="str">
        <f>IF(B198="","",VLOOKUP($B198,'C-1 On-Site WaterC'' Baseline'!$C$9:$Z$257,12,FALSE))</f>
        <v/>
      </c>
      <c r="AU198" s="15" t="str">
        <f>IF(B198="","",VLOOKUP($B198,'C-1 On-Site WaterC'' Baseline'!$C$9:$Z$257,14,FALSE))</f>
        <v/>
      </c>
      <c r="AV198" s="15" t="str">
        <f>IFERROR(INDEX('G-7 WaterC'' Data'!$AZ$3:$AZ$7,MATCH(N198,'G-7 WaterC'' Data'!$AY$3:$AY$7,0)),"")</f>
        <v/>
      </c>
      <c r="AX198" s="15" t="str">
        <f>IF(B198="","",VLOOKUP($B198,'C-1 On-Site WaterC'' Baseline'!$C$9:$Y$257,22,FALSE))</f>
        <v/>
      </c>
      <c r="AY198" s="15" t="str">
        <f t="shared" si="26"/>
        <v/>
      </c>
      <c r="AZ198" s="15" t="str">
        <f>IF(B198="","",VLOOKUP($B198,'C-1 On-Site WaterC'' Baseline'!$C$9:$Y$257,21,FALSE))</f>
        <v/>
      </c>
      <c r="BA198" s="15" t="str">
        <f>IF(B198="","",VLOOKUP($B198,'C-1 On-Site WaterC'' Baseline'!$C$9:$Y$257,19,FALSE))</f>
        <v/>
      </c>
    </row>
    <row r="199" spans="2:53" ht="14" x14ac:dyDescent="0.3">
      <c r="B199" s="319" t="str">
        <f>'C-1 On-Site WaterC'' Baseline'!AP197</f>
        <v/>
      </c>
      <c r="C199" s="310" t="str">
        <f>IF(B199="","",VLOOKUP($B199,'C-1 On-Site WaterC'' Baseline'!$C$9:$R$257,2,FALSE))</f>
        <v/>
      </c>
      <c r="D199" s="310" t="str">
        <f>IF(C199="","",VLOOKUP($B199,'C-1 On-Site WaterC'' Baseline'!$C$9:$R$257,3,FALSE))</f>
        <v/>
      </c>
      <c r="E199" s="310" t="str">
        <f>IF(D199="","",VLOOKUP($B199,'C-1 On-Site WaterC'' Baseline'!$C$9:$R$257,4,FALSE))</f>
        <v/>
      </c>
      <c r="F199" s="310" t="str">
        <f>IF(E199="","",VLOOKUP($B199,'C-1 On-Site WaterC'' Baseline'!$C$9:$R$257,5,FALSE))</f>
        <v/>
      </c>
      <c r="G199" s="310" t="str">
        <f>IF(F199="","",VLOOKUP($B199,'C-1 On-Site WaterC'' Baseline'!$C$9:$R$257,6,FALSE))</f>
        <v/>
      </c>
      <c r="H199" s="310" t="str">
        <f>IF(G199="","",VLOOKUP($B199,'C-1 On-Site WaterC'' Baseline'!$C$9:$R$257,7,FALSE))</f>
        <v/>
      </c>
      <c r="I199" s="310" t="str">
        <f>IF(H199="","",VLOOKUP($B199,'C-1 On-Site WaterC'' Baseline'!$C$9:$R$257,8,FALSE))</f>
        <v/>
      </c>
      <c r="J199" s="310" t="str">
        <f>IF(I199="","",VLOOKUP($B199,'C-1 On-Site WaterC'' Baseline'!$C$9:$R$257,9,FALSE))</f>
        <v/>
      </c>
      <c r="K199" s="310" t="str">
        <f>IF(J199="","",VLOOKUP($B199,'C-1 On-Site WaterC'' Baseline'!$C$9:$R$257,10,FALSE))</f>
        <v/>
      </c>
      <c r="L199" s="310" t="str">
        <f>IF(B199="","",VLOOKUP($B199,'C-1 On-Site WaterC'' Baseline'!$C$9:$R$257,15,FALSE))</f>
        <v/>
      </c>
      <c r="M199" s="314" t="str">
        <f>IF(L199="","",VLOOKUP($B199,'C-1 On-Site WaterC'' Baseline'!$C$9:$R$257,16,FALSE))</f>
        <v/>
      </c>
      <c r="N199" s="259"/>
      <c r="O199" s="290" t="str">
        <f t="shared" si="19"/>
        <v/>
      </c>
      <c r="P199" s="291" t="str">
        <f t="shared" si="20"/>
        <v/>
      </c>
      <c r="Q199" s="346" t="str">
        <f>IF(N199="","",VLOOKUP(B199,'C-1 On-Site WaterC'' Baseline'!$C$10:$AC$257,20,FALSE))</f>
        <v/>
      </c>
      <c r="R199" s="290" t="str">
        <f>IF(N199="","",VLOOKUP(N199,'G-7 WaterC'' Data'!$B$2:$G$8,2,FALSE))</f>
        <v/>
      </c>
      <c r="S199" s="291" t="str">
        <f>IFERROR(VLOOKUP(R199,'G-7 WaterC'' Data'!$C$4:$D$8,2,FALSE),"")</f>
        <v/>
      </c>
      <c r="T199" s="95"/>
      <c r="U199" s="291" t="str">
        <f>IFERROR(INDEX('G-7 WaterC'' Data'!$H$4:$L$8,MATCH(N199,'G-7 WaterC'' Data'!$B$4:$B$8,0),MATCH(T199,'G-7 WaterC'' Data'!$H$3:$L$3,0)),"")</f>
        <v/>
      </c>
      <c r="V199" s="95"/>
      <c r="W199" s="298" t="str">
        <f>IF(V199="","",IF(VLOOKUP(V199,'G-7 WaterC'' Data'!$AK$4:$AM$6,2,FALSE)=0,"Spatial Data Missing ⚠",VLOOKUP(V199,'G-7 WaterC'' Data'!$AK$4:$AM$6,2,FALSE)))</f>
        <v/>
      </c>
      <c r="X199" s="291" t="str">
        <f>IF(V199="","",IF(VLOOKUP(V199,'G-7 WaterC'' Data'!$AK$4:$AM$6,3,FALSE)=0,"Spatial Data Missing ⚠",VLOOKUP(V199,'G-7 WaterC'' Data'!$AK$4:$AM$6,3,FALSE)))</f>
        <v/>
      </c>
      <c r="Y199" s="290" t="str">
        <f>IFERROR(IF(OR(LEFT(P199,5)="Error",LEFT(O199,5)="Error ▲"),"Check Data ⚠",IF(F199&lt;S199,'G-7 WaterC'' Data'!$R$3,INDEX('G-7 WaterC'' Data'!$U$5:$Y$9,MATCH(G199,'G-7 WaterC'' Data'!$T$5:$T$9,0),MATCH(T199,'G-7 WaterC'' Data'!$U$4:$Y$4,0)))),"")</f>
        <v/>
      </c>
      <c r="Z199" s="138"/>
      <c r="AA199" s="138"/>
      <c r="AB199" s="298" t="str">
        <f t="shared" si="21"/>
        <v/>
      </c>
      <c r="AC199" s="311" t="str">
        <f t="shared" si="22"/>
        <v/>
      </c>
      <c r="AD199" s="344" t="str">
        <f>IFERROR(IF(AC199="Check Data ⚠","Check Data ⚠",VLOOKUP(AC199,'G-4 Temporal multipliers'!$A$4:$C$37,3,FALSE)),"")</f>
        <v/>
      </c>
      <c r="AE199" s="290" t="str">
        <f>IF(N199="","",VLOOKUP(N199,'G-7 WaterC'' Data'!$B$4:$G$8,5,FALSE))</f>
        <v/>
      </c>
      <c r="AF199" s="298" t="str">
        <f t="shared" si="23"/>
        <v/>
      </c>
      <c r="AG199" s="328" t="str">
        <f t="shared" si="24"/>
        <v/>
      </c>
      <c r="AH199" s="291" t="str">
        <f t="shared" si="18"/>
        <v/>
      </c>
      <c r="AI199" s="103"/>
      <c r="AJ199" s="291" t="str">
        <f>IF(AI199="","",IF(AND(AI199="N/A - Culvert",N199&lt;&gt;"Culvert"),"Not possible ▲",IF(VLOOKUP(AI199,'G-7 WaterC'' Data'!$AA$4:$AB$7,2,FALSE)=0,"Spatial Data Missing ⚠",VLOOKUP(AI199,'G-7 WaterC'' Data'!$AA$4:$AB$7,2,FALSE))))</f>
        <v/>
      </c>
      <c r="AK199" s="104"/>
      <c r="AL199" s="291" t="str">
        <f>IF(AK199="","",IF(AND(AK199="N/A - Culvert",N199&lt;&gt;"Culvert"),"Not possible ▲",IF(VLOOKUP(AK199,'G-7 WaterC'' Data'!$AD$4:$AE$14,2,FALSE)=0,"Spatial Data Missing ⚠",VLOOKUP(AK199,'G-7 WaterC'' Data'!$AD$4:$AE$14,2,FALSE))))</f>
        <v/>
      </c>
      <c r="AM199" s="332" t="str">
        <f t="shared" si="25"/>
        <v/>
      </c>
      <c r="AN199" s="98"/>
      <c r="AO199" s="99"/>
      <c r="AP199" s="101"/>
      <c r="AS199" s="15" t="str">
        <f>IF(B199="","",IF(ISNA(VLOOKUP($B199,'C-1 On-Site WaterC'' Baseline'!$C$8:$AD$257,17,FALSE)),"",(VLOOKUP($B199,'C-1 On-Site WaterC'' Baseline'!$C$8:$AD$257,17,FALSE))))</f>
        <v/>
      </c>
      <c r="AT199" s="15" t="str">
        <f>IF(B199="","",VLOOKUP($B199,'C-1 On-Site WaterC'' Baseline'!$C$9:$Z$257,12,FALSE))</f>
        <v/>
      </c>
      <c r="AU199" s="15" t="str">
        <f>IF(B199="","",VLOOKUP($B199,'C-1 On-Site WaterC'' Baseline'!$C$9:$Z$257,14,FALSE))</f>
        <v/>
      </c>
      <c r="AV199" s="15" t="str">
        <f>IFERROR(INDEX('G-7 WaterC'' Data'!$AZ$3:$AZ$7,MATCH(N199,'G-7 WaterC'' Data'!$AY$3:$AY$7,0)),"")</f>
        <v/>
      </c>
      <c r="AX199" s="15" t="str">
        <f>IF(B199="","",VLOOKUP($B199,'C-1 On-Site WaterC'' Baseline'!$C$9:$Y$257,22,FALSE))</f>
        <v/>
      </c>
      <c r="AY199" s="15" t="str">
        <f t="shared" si="26"/>
        <v/>
      </c>
      <c r="AZ199" s="15" t="str">
        <f>IF(B199="","",VLOOKUP($B199,'C-1 On-Site WaterC'' Baseline'!$C$9:$Y$257,21,FALSE))</f>
        <v/>
      </c>
      <c r="BA199" s="15" t="str">
        <f>IF(B199="","",VLOOKUP($B199,'C-1 On-Site WaterC'' Baseline'!$C$9:$Y$257,19,FALSE))</f>
        <v/>
      </c>
    </row>
    <row r="200" spans="2:53" ht="14" x14ac:dyDescent="0.3">
      <c r="B200" s="319" t="str">
        <f>'C-1 On-Site WaterC'' Baseline'!AP198</f>
        <v/>
      </c>
      <c r="C200" s="310" t="str">
        <f>IF(B200="","",VLOOKUP($B200,'C-1 On-Site WaterC'' Baseline'!$C$9:$R$257,2,FALSE))</f>
        <v/>
      </c>
      <c r="D200" s="310" t="str">
        <f>IF(C200="","",VLOOKUP($B200,'C-1 On-Site WaterC'' Baseline'!$C$9:$R$257,3,FALSE))</f>
        <v/>
      </c>
      <c r="E200" s="310" t="str">
        <f>IF(D200="","",VLOOKUP($B200,'C-1 On-Site WaterC'' Baseline'!$C$9:$R$257,4,FALSE))</f>
        <v/>
      </c>
      <c r="F200" s="310" t="str">
        <f>IF(E200="","",VLOOKUP($B200,'C-1 On-Site WaterC'' Baseline'!$C$9:$R$257,5,FALSE))</f>
        <v/>
      </c>
      <c r="G200" s="310" t="str">
        <f>IF(F200="","",VLOOKUP($B200,'C-1 On-Site WaterC'' Baseline'!$C$9:$R$257,6,FALSE))</f>
        <v/>
      </c>
      <c r="H200" s="310" t="str">
        <f>IF(G200="","",VLOOKUP($B200,'C-1 On-Site WaterC'' Baseline'!$C$9:$R$257,7,FALSE))</f>
        <v/>
      </c>
      <c r="I200" s="310" t="str">
        <f>IF(H200="","",VLOOKUP($B200,'C-1 On-Site WaterC'' Baseline'!$C$9:$R$257,8,FALSE))</f>
        <v/>
      </c>
      <c r="J200" s="310" t="str">
        <f>IF(I200="","",VLOOKUP($B200,'C-1 On-Site WaterC'' Baseline'!$C$9:$R$257,9,FALSE))</f>
        <v/>
      </c>
      <c r="K200" s="310" t="str">
        <f>IF(J200="","",VLOOKUP($B200,'C-1 On-Site WaterC'' Baseline'!$C$9:$R$257,10,FALSE))</f>
        <v/>
      </c>
      <c r="L200" s="310" t="str">
        <f>IF(B200="","",VLOOKUP($B200,'C-1 On-Site WaterC'' Baseline'!$C$9:$R$257,15,FALSE))</f>
        <v/>
      </c>
      <c r="M200" s="314" t="str">
        <f>IF(L200="","",VLOOKUP($B200,'C-1 On-Site WaterC'' Baseline'!$C$9:$R$257,16,FALSE))</f>
        <v/>
      </c>
      <c r="N200" s="259"/>
      <c r="O200" s="290" t="str">
        <f t="shared" si="19"/>
        <v/>
      </c>
      <c r="P200" s="291" t="str">
        <f t="shared" si="20"/>
        <v/>
      </c>
      <c r="Q200" s="346" t="str">
        <f>IF(N200="","",VLOOKUP(B200,'C-1 On-Site WaterC'' Baseline'!$C$10:$AC$257,20,FALSE))</f>
        <v/>
      </c>
      <c r="R200" s="290" t="str">
        <f>IF(N200="","",VLOOKUP(N200,'G-7 WaterC'' Data'!$B$2:$G$8,2,FALSE))</f>
        <v/>
      </c>
      <c r="S200" s="291" t="str">
        <f>IFERROR(VLOOKUP(R200,'G-7 WaterC'' Data'!$C$4:$D$8,2,FALSE),"")</f>
        <v/>
      </c>
      <c r="T200" s="95"/>
      <c r="U200" s="291" t="str">
        <f>IFERROR(INDEX('G-7 WaterC'' Data'!$H$4:$L$8,MATCH(N200,'G-7 WaterC'' Data'!$B$4:$B$8,0),MATCH(T200,'G-7 WaterC'' Data'!$H$3:$L$3,0)),"")</f>
        <v/>
      </c>
      <c r="V200" s="95"/>
      <c r="W200" s="298" t="str">
        <f>IF(V200="","",IF(VLOOKUP(V200,'G-7 WaterC'' Data'!$AK$4:$AM$6,2,FALSE)=0,"Spatial Data Missing ⚠",VLOOKUP(V200,'G-7 WaterC'' Data'!$AK$4:$AM$6,2,FALSE)))</f>
        <v/>
      </c>
      <c r="X200" s="291" t="str">
        <f>IF(V200="","",IF(VLOOKUP(V200,'G-7 WaterC'' Data'!$AK$4:$AM$6,3,FALSE)=0,"Spatial Data Missing ⚠",VLOOKUP(V200,'G-7 WaterC'' Data'!$AK$4:$AM$6,3,FALSE)))</f>
        <v/>
      </c>
      <c r="Y200" s="290" t="str">
        <f>IFERROR(IF(OR(LEFT(P200,5)="Error",LEFT(O200,5)="Error ▲"),"Check Data ⚠",IF(F200&lt;S200,'G-7 WaterC'' Data'!$R$3,INDEX('G-7 WaterC'' Data'!$U$5:$Y$9,MATCH(G200,'G-7 WaterC'' Data'!$T$5:$T$9,0),MATCH(T200,'G-7 WaterC'' Data'!$U$4:$Y$4,0)))),"")</f>
        <v/>
      </c>
      <c r="Z200" s="138"/>
      <c r="AA200" s="138"/>
      <c r="AB200" s="298" t="str">
        <f t="shared" si="21"/>
        <v/>
      </c>
      <c r="AC200" s="311" t="str">
        <f t="shared" si="22"/>
        <v/>
      </c>
      <c r="AD200" s="344" t="str">
        <f>IFERROR(IF(AC200="Check Data ⚠","Check Data ⚠",VLOOKUP(AC200,'G-4 Temporal multipliers'!$A$4:$C$37,3,FALSE)),"")</f>
        <v/>
      </c>
      <c r="AE200" s="290" t="str">
        <f>IF(N200="","",VLOOKUP(N200,'G-7 WaterC'' Data'!$B$4:$G$8,5,FALSE))</f>
        <v/>
      </c>
      <c r="AF200" s="298" t="str">
        <f t="shared" si="23"/>
        <v/>
      </c>
      <c r="AG200" s="328" t="str">
        <f t="shared" si="24"/>
        <v/>
      </c>
      <c r="AH200" s="291" t="str">
        <f t="shared" si="18"/>
        <v/>
      </c>
      <c r="AI200" s="103"/>
      <c r="AJ200" s="291" t="str">
        <f>IF(AI200="","",IF(AND(AI200="N/A - Culvert",N200&lt;&gt;"Culvert"),"Not possible ▲",IF(VLOOKUP(AI200,'G-7 WaterC'' Data'!$AA$4:$AB$7,2,FALSE)=0,"Spatial Data Missing ⚠",VLOOKUP(AI200,'G-7 WaterC'' Data'!$AA$4:$AB$7,2,FALSE))))</f>
        <v/>
      </c>
      <c r="AK200" s="104"/>
      <c r="AL200" s="291" t="str">
        <f>IF(AK200="","",IF(AND(AK200="N/A - Culvert",N200&lt;&gt;"Culvert"),"Not possible ▲",IF(VLOOKUP(AK200,'G-7 WaterC'' Data'!$AD$4:$AE$14,2,FALSE)=0,"Spatial Data Missing ⚠",VLOOKUP(AK200,'G-7 WaterC'' Data'!$AD$4:$AE$14,2,FALSE))))</f>
        <v/>
      </c>
      <c r="AM200" s="332" t="str">
        <f t="shared" si="25"/>
        <v/>
      </c>
      <c r="AN200" s="98"/>
      <c r="AO200" s="99"/>
      <c r="AP200" s="101"/>
      <c r="AS200" s="15" t="str">
        <f>IF(B200="","",IF(ISNA(VLOOKUP($B200,'C-1 On-Site WaterC'' Baseline'!$C$8:$AD$257,17,FALSE)),"",(VLOOKUP($B200,'C-1 On-Site WaterC'' Baseline'!$C$8:$AD$257,17,FALSE))))</f>
        <v/>
      </c>
      <c r="AT200" s="15" t="str">
        <f>IF(B200="","",VLOOKUP($B200,'C-1 On-Site WaterC'' Baseline'!$C$9:$Z$257,12,FALSE))</f>
        <v/>
      </c>
      <c r="AU200" s="15" t="str">
        <f>IF(B200="","",VLOOKUP($B200,'C-1 On-Site WaterC'' Baseline'!$C$9:$Z$257,14,FALSE))</f>
        <v/>
      </c>
      <c r="AV200" s="15" t="str">
        <f>IFERROR(INDEX('G-7 WaterC'' Data'!$AZ$3:$AZ$7,MATCH(N200,'G-7 WaterC'' Data'!$AY$3:$AY$7,0)),"")</f>
        <v/>
      </c>
      <c r="AX200" s="15" t="str">
        <f>IF(B200="","",VLOOKUP($B200,'C-1 On-Site WaterC'' Baseline'!$C$9:$Y$257,22,FALSE))</f>
        <v/>
      </c>
      <c r="AY200" s="15" t="str">
        <f t="shared" si="26"/>
        <v/>
      </c>
      <c r="AZ200" s="15" t="str">
        <f>IF(B200="","",VLOOKUP($B200,'C-1 On-Site WaterC'' Baseline'!$C$9:$Y$257,21,FALSE))</f>
        <v/>
      </c>
      <c r="BA200" s="15" t="str">
        <f>IF(B200="","",VLOOKUP($B200,'C-1 On-Site WaterC'' Baseline'!$C$9:$Y$257,19,FALSE))</f>
        <v/>
      </c>
    </row>
    <row r="201" spans="2:53" ht="14" x14ac:dyDescent="0.3">
      <c r="B201" s="319" t="str">
        <f>'C-1 On-Site WaterC'' Baseline'!AP199</f>
        <v/>
      </c>
      <c r="C201" s="310" t="str">
        <f>IF(B201="","",VLOOKUP($B201,'C-1 On-Site WaterC'' Baseline'!$C$9:$R$257,2,FALSE))</f>
        <v/>
      </c>
      <c r="D201" s="310" t="str">
        <f>IF(C201="","",VLOOKUP($B201,'C-1 On-Site WaterC'' Baseline'!$C$9:$R$257,3,FALSE))</f>
        <v/>
      </c>
      <c r="E201" s="310" t="str">
        <f>IF(D201="","",VLOOKUP($B201,'C-1 On-Site WaterC'' Baseline'!$C$9:$R$257,4,FALSE))</f>
        <v/>
      </c>
      <c r="F201" s="310" t="str">
        <f>IF(E201="","",VLOOKUP($B201,'C-1 On-Site WaterC'' Baseline'!$C$9:$R$257,5,FALSE))</f>
        <v/>
      </c>
      <c r="G201" s="310" t="str">
        <f>IF(F201="","",VLOOKUP($B201,'C-1 On-Site WaterC'' Baseline'!$C$9:$R$257,6,FALSE))</f>
        <v/>
      </c>
      <c r="H201" s="310" t="str">
        <f>IF(G201="","",VLOOKUP($B201,'C-1 On-Site WaterC'' Baseline'!$C$9:$R$257,7,FALSE))</f>
        <v/>
      </c>
      <c r="I201" s="310" t="str">
        <f>IF(H201="","",VLOOKUP($B201,'C-1 On-Site WaterC'' Baseline'!$C$9:$R$257,8,FALSE))</f>
        <v/>
      </c>
      <c r="J201" s="310" t="str">
        <f>IF(I201="","",VLOOKUP($B201,'C-1 On-Site WaterC'' Baseline'!$C$9:$R$257,9,FALSE))</f>
        <v/>
      </c>
      <c r="K201" s="310" t="str">
        <f>IF(J201="","",VLOOKUP($B201,'C-1 On-Site WaterC'' Baseline'!$C$9:$R$257,10,FALSE))</f>
        <v/>
      </c>
      <c r="L201" s="310" t="str">
        <f>IF(B201="","",VLOOKUP($B201,'C-1 On-Site WaterC'' Baseline'!$C$9:$R$257,15,FALSE))</f>
        <v/>
      </c>
      <c r="M201" s="314" t="str">
        <f>IF(L201="","",VLOOKUP($B201,'C-1 On-Site WaterC'' Baseline'!$C$9:$R$257,16,FALSE))</f>
        <v/>
      </c>
      <c r="N201" s="259"/>
      <c r="O201" s="290" t="str">
        <f t="shared" si="19"/>
        <v/>
      </c>
      <c r="P201" s="291" t="str">
        <f t="shared" si="20"/>
        <v/>
      </c>
      <c r="Q201" s="346" t="str">
        <f>IF(N201="","",VLOOKUP(B201,'C-1 On-Site WaterC'' Baseline'!$C$10:$AC$257,20,FALSE))</f>
        <v/>
      </c>
      <c r="R201" s="290" t="str">
        <f>IF(N201="","",VLOOKUP(N201,'G-7 WaterC'' Data'!$B$2:$G$8,2,FALSE))</f>
        <v/>
      </c>
      <c r="S201" s="291" t="str">
        <f>IFERROR(VLOOKUP(R201,'G-7 WaterC'' Data'!$C$4:$D$8,2,FALSE),"")</f>
        <v/>
      </c>
      <c r="T201" s="95"/>
      <c r="U201" s="291" t="str">
        <f>IFERROR(INDEX('G-7 WaterC'' Data'!$H$4:$L$8,MATCH(N201,'G-7 WaterC'' Data'!$B$4:$B$8,0),MATCH(T201,'G-7 WaterC'' Data'!$H$3:$L$3,0)),"")</f>
        <v/>
      </c>
      <c r="V201" s="95"/>
      <c r="W201" s="298" t="str">
        <f>IF(V201="","",IF(VLOOKUP(V201,'G-7 WaterC'' Data'!$AK$4:$AM$6,2,FALSE)=0,"Spatial Data Missing ⚠",VLOOKUP(V201,'G-7 WaterC'' Data'!$AK$4:$AM$6,2,FALSE)))</f>
        <v/>
      </c>
      <c r="X201" s="291" t="str">
        <f>IF(V201="","",IF(VLOOKUP(V201,'G-7 WaterC'' Data'!$AK$4:$AM$6,3,FALSE)=0,"Spatial Data Missing ⚠",VLOOKUP(V201,'G-7 WaterC'' Data'!$AK$4:$AM$6,3,FALSE)))</f>
        <v/>
      </c>
      <c r="Y201" s="290" t="str">
        <f>IFERROR(IF(OR(LEFT(P201,5)="Error",LEFT(O201,5)="Error ▲"),"Check Data ⚠",IF(F201&lt;S201,'G-7 WaterC'' Data'!$R$3,INDEX('G-7 WaterC'' Data'!$U$5:$Y$9,MATCH(G201,'G-7 WaterC'' Data'!$T$5:$T$9,0),MATCH(T201,'G-7 WaterC'' Data'!$U$4:$Y$4,0)))),"")</f>
        <v/>
      </c>
      <c r="Z201" s="138"/>
      <c r="AA201" s="138"/>
      <c r="AB201" s="298" t="str">
        <f t="shared" si="21"/>
        <v/>
      </c>
      <c r="AC201" s="311" t="str">
        <f t="shared" si="22"/>
        <v/>
      </c>
      <c r="AD201" s="344" t="str">
        <f>IFERROR(IF(AC201="Check Data ⚠","Check Data ⚠",VLOOKUP(AC201,'G-4 Temporal multipliers'!$A$4:$C$37,3,FALSE)),"")</f>
        <v/>
      </c>
      <c r="AE201" s="290" t="str">
        <f>IF(N201="","",VLOOKUP(N201,'G-7 WaterC'' Data'!$B$4:$G$8,5,FALSE))</f>
        <v/>
      </c>
      <c r="AF201" s="298" t="str">
        <f t="shared" si="23"/>
        <v/>
      </c>
      <c r="AG201" s="328" t="str">
        <f t="shared" si="24"/>
        <v/>
      </c>
      <c r="AH201" s="291" t="str">
        <f t="shared" si="18"/>
        <v/>
      </c>
      <c r="AI201" s="103"/>
      <c r="AJ201" s="291" t="str">
        <f>IF(AI201="","",IF(AND(AI201="N/A - Culvert",N201&lt;&gt;"Culvert"),"Not possible ▲",IF(VLOOKUP(AI201,'G-7 WaterC'' Data'!$AA$4:$AB$7,2,FALSE)=0,"Spatial Data Missing ⚠",VLOOKUP(AI201,'G-7 WaterC'' Data'!$AA$4:$AB$7,2,FALSE))))</f>
        <v/>
      </c>
      <c r="AK201" s="104"/>
      <c r="AL201" s="291" t="str">
        <f>IF(AK201="","",IF(AND(AK201="N/A - Culvert",N201&lt;&gt;"Culvert"),"Not possible ▲",IF(VLOOKUP(AK201,'G-7 WaterC'' Data'!$AD$4:$AE$14,2,FALSE)=0,"Spatial Data Missing ⚠",VLOOKUP(AK201,'G-7 WaterC'' Data'!$AD$4:$AE$14,2,FALSE))))</f>
        <v/>
      </c>
      <c r="AM201" s="332" t="str">
        <f t="shared" si="25"/>
        <v/>
      </c>
      <c r="AN201" s="98"/>
      <c r="AO201" s="99"/>
      <c r="AP201" s="101"/>
      <c r="AS201" s="15" t="str">
        <f>IF(B201="","",IF(ISNA(VLOOKUP($B201,'C-1 On-Site WaterC'' Baseline'!$C$8:$AD$257,17,FALSE)),"",(VLOOKUP($B201,'C-1 On-Site WaterC'' Baseline'!$C$8:$AD$257,17,FALSE))))</f>
        <v/>
      </c>
      <c r="AT201" s="15" t="str">
        <f>IF(B201="","",VLOOKUP($B201,'C-1 On-Site WaterC'' Baseline'!$C$9:$Z$257,12,FALSE))</f>
        <v/>
      </c>
      <c r="AU201" s="15" t="str">
        <f>IF(B201="","",VLOOKUP($B201,'C-1 On-Site WaterC'' Baseline'!$C$9:$Z$257,14,FALSE))</f>
        <v/>
      </c>
      <c r="AV201" s="15" t="str">
        <f>IFERROR(INDEX('G-7 WaterC'' Data'!$AZ$3:$AZ$7,MATCH(N201,'G-7 WaterC'' Data'!$AY$3:$AY$7,0)),"")</f>
        <v/>
      </c>
      <c r="AX201" s="15" t="str">
        <f>IF(B201="","",VLOOKUP($B201,'C-1 On-Site WaterC'' Baseline'!$C$9:$Y$257,22,FALSE))</f>
        <v/>
      </c>
      <c r="AY201" s="15" t="str">
        <f t="shared" si="26"/>
        <v/>
      </c>
      <c r="AZ201" s="15" t="str">
        <f>IF(B201="","",VLOOKUP($B201,'C-1 On-Site WaterC'' Baseline'!$C$9:$Y$257,21,FALSE))</f>
        <v/>
      </c>
      <c r="BA201" s="15" t="str">
        <f>IF(B201="","",VLOOKUP($B201,'C-1 On-Site WaterC'' Baseline'!$C$9:$Y$257,19,FALSE))</f>
        <v/>
      </c>
    </row>
    <row r="202" spans="2:53" ht="14" x14ac:dyDescent="0.3">
      <c r="B202" s="319" t="str">
        <f>'C-1 On-Site WaterC'' Baseline'!AP200</f>
        <v/>
      </c>
      <c r="C202" s="310" t="str">
        <f>IF(B202="","",VLOOKUP($B202,'C-1 On-Site WaterC'' Baseline'!$C$9:$R$257,2,FALSE))</f>
        <v/>
      </c>
      <c r="D202" s="310" t="str">
        <f>IF(C202="","",VLOOKUP($B202,'C-1 On-Site WaterC'' Baseline'!$C$9:$R$257,3,FALSE))</f>
        <v/>
      </c>
      <c r="E202" s="310" t="str">
        <f>IF(D202="","",VLOOKUP($B202,'C-1 On-Site WaterC'' Baseline'!$C$9:$R$257,4,FALSE))</f>
        <v/>
      </c>
      <c r="F202" s="310" t="str">
        <f>IF(E202="","",VLOOKUP($B202,'C-1 On-Site WaterC'' Baseline'!$C$9:$R$257,5,FALSE))</f>
        <v/>
      </c>
      <c r="G202" s="310" t="str">
        <f>IF(F202="","",VLOOKUP($B202,'C-1 On-Site WaterC'' Baseline'!$C$9:$R$257,6,FALSE))</f>
        <v/>
      </c>
      <c r="H202" s="310" t="str">
        <f>IF(G202="","",VLOOKUP($B202,'C-1 On-Site WaterC'' Baseline'!$C$9:$R$257,7,FALSE))</f>
        <v/>
      </c>
      <c r="I202" s="310" t="str">
        <f>IF(H202="","",VLOOKUP($B202,'C-1 On-Site WaterC'' Baseline'!$C$9:$R$257,8,FALSE))</f>
        <v/>
      </c>
      <c r="J202" s="310" t="str">
        <f>IF(I202="","",VLOOKUP($B202,'C-1 On-Site WaterC'' Baseline'!$C$9:$R$257,9,FALSE))</f>
        <v/>
      </c>
      <c r="K202" s="310" t="str">
        <f>IF(J202="","",VLOOKUP($B202,'C-1 On-Site WaterC'' Baseline'!$C$9:$R$257,10,FALSE))</f>
        <v/>
      </c>
      <c r="L202" s="310" t="str">
        <f>IF(B202="","",VLOOKUP($B202,'C-1 On-Site WaterC'' Baseline'!$C$9:$R$257,15,FALSE))</f>
        <v/>
      </c>
      <c r="M202" s="314" t="str">
        <f>IF(L202="","",VLOOKUP($B202,'C-1 On-Site WaterC'' Baseline'!$C$9:$R$257,16,FALSE))</f>
        <v/>
      </c>
      <c r="N202" s="259"/>
      <c r="O202" s="290" t="str">
        <f t="shared" si="19"/>
        <v/>
      </c>
      <c r="P202" s="291" t="str">
        <f t="shared" si="20"/>
        <v/>
      </c>
      <c r="Q202" s="346" t="str">
        <f>IF(N202="","",VLOOKUP(B202,'C-1 On-Site WaterC'' Baseline'!$C$10:$AC$257,20,FALSE))</f>
        <v/>
      </c>
      <c r="R202" s="290" t="str">
        <f>IF(N202="","",VLOOKUP(N202,'G-7 WaterC'' Data'!$B$2:$G$8,2,FALSE))</f>
        <v/>
      </c>
      <c r="S202" s="291" t="str">
        <f>IFERROR(VLOOKUP(R202,'G-7 WaterC'' Data'!$C$4:$D$8,2,FALSE),"")</f>
        <v/>
      </c>
      <c r="T202" s="95"/>
      <c r="U202" s="291" t="str">
        <f>IFERROR(INDEX('G-7 WaterC'' Data'!$H$4:$L$8,MATCH(N202,'G-7 WaterC'' Data'!$B$4:$B$8,0),MATCH(T202,'G-7 WaterC'' Data'!$H$3:$L$3,0)),"")</f>
        <v/>
      </c>
      <c r="V202" s="95"/>
      <c r="W202" s="298" t="str">
        <f>IF(V202="","",IF(VLOOKUP(V202,'G-7 WaterC'' Data'!$AK$4:$AM$6,2,FALSE)=0,"Spatial Data Missing ⚠",VLOOKUP(V202,'G-7 WaterC'' Data'!$AK$4:$AM$6,2,FALSE)))</f>
        <v/>
      </c>
      <c r="X202" s="291" t="str">
        <f>IF(V202="","",IF(VLOOKUP(V202,'G-7 WaterC'' Data'!$AK$4:$AM$6,3,FALSE)=0,"Spatial Data Missing ⚠",VLOOKUP(V202,'G-7 WaterC'' Data'!$AK$4:$AM$6,3,FALSE)))</f>
        <v/>
      </c>
      <c r="Y202" s="290" t="str">
        <f>IFERROR(IF(OR(LEFT(P202,5)="Error",LEFT(O202,5)="Error ▲"),"Check Data ⚠",IF(F202&lt;S202,'G-7 WaterC'' Data'!$R$3,INDEX('G-7 WaterC'' Data'!$U$5:$Y$9,MATCH(G202,'G-7 WaterC'' Data'!$T$5:$T$9,0),MATCH(T202,'G-7 WaterC'' Data'!$U$4:$Y$4,0)))),"")</f>
        <v/>
      </c>
      <c r="Z202" s="138"/>
      <c r="AA202" s="138"/>
      <c r="AB202" s="298" t="str">
        <f t="shared" si="21"/>
        <v/>
      </c>
      <c r="AC202" s="311" t="str">
        <f t="shared" si="22"/>
        <v/>
      </c>
      <c r="AD202" s="344" t="str">
        <f>IFERROR(IF(AC202="Check Data ⚠","Check Data ⚠",VLOOKUP(AC202,'G-4 Temporal multipliers'!$A$4:$C$37,3,FALSE)),"")</f>
        <v/>
      </c>
      <c r="AE202" s="290" t="str">
        <f>IF(N202="","",VLOOKUP(N202,'G-7 WaterC'' Data'!$B$4:$G$8,5,FALSE))</f>
        <v/>
      </c>
      <c r="AF202" s="298" t="str">
        <f t="shared" si="23"/>
        <v/>
      </c>
      <c r="AG202" s="328" t="str">
        <f t="shared" si="24"/>
        <v/>
      </c>
      <c r="AH202" s="291" t="str">
        <f t="shared" si="18"/>
        <v/>
      </c>
      <c r="AI202" s="103"/>
      <c r="AJ202" s="291" t="str">
        <f>IF(AI202="","",IF(AND(AI202="N/A - Culvert",N202&lt;&gt;"Culvert"),"Not possible ▲",IF(VLOOKUP(AI202,'G-7 WaterC'' Data'!$AA$4:$AB$7,2,FALSE)=0,"Spatial Data Missing ⚠",VLOOKUP(AI202,'G-7 WaterC'' Data'!$AA$4:$AB$7,2,FALSE))))</f>
        <v/>
      </c>
      <c r="AK202" s="104"/>
      <c r="AL202" s="291" t="str">
        <f>IF(AK202="","",IF(AND(AK202="N/A - Culvert",N202&lt;&gt;"Culvert"),"Not possible ▲",IF(VLOOKUP(AK202,'G-7 WaterC'' Data'!$AD$4:$AE$14,2,FALSE)=0,"Spatial Data Missing ⚠",VLOOKUP(AK202,'G-7 WaterC'' Data'!$AD$4:$AE$14,2,FALSE))))</f>
        <v/>
      </c>
      <c r="AM202" s="332" t="str">
        <f t="shared" si="25"/>
        <v/>
      </c>
      <c r="AN202" s="98"/>
      <c r="AO202" s="99"/>
      <c r="AP202" s="101"/>
      <c r="AS202" s="15" t="str">
        <f>IF(B202="","",IF(ISNA(VLOOKUP($B202,'C-1 On-Site WaterC'' Baseline'!$C$8:$AD$257,17,FALSE)),"",(VLOOKUP($B202,'C-1 On-Site WaterC'' Baseline'!$C$8:$AD$257,17,FALSE))))</f>
        <v/>
      </c>
      <c r="AT202" s="15" t="str">
        <f>IF(B202="","",VLOOKUP($B202,'C-1 On-Site WaterC'' Baseline'!$C$9:$Z$257,12,FALSE))</f>
        <v/>
      </c>
      <c r="AU202" s="15" t="str">
        <f>IF(B202="","",VLOOKUP($B202,'C-1 On-Site WaterC'' Baseline'!$C$9:$Z$257,14,FALSE))</f>
        <v/>
      </c>
      <c r="AV202" s="15" t="str">
        <f>IFERROR(INDEX('G-7 WaterC'' Data'!$AZ$3:$AZ$7,MATCH(N202,'G-7 WaterC'' Data'!$AY$3:$AY$7,0)),"")</f>
        <v/>
      </c>
      <c r="AX202" s="15" t="str">
        <f>IF(B202="","",VLOOKUP($B202,'C-1 On-Site WaterC'' Baseline'!$C$9:$Y$257,22,FALSE))</f>
        <v/>
      </c>
      <c r="AY202" s="15" t="str">
        <f t="shared" si="26"/>
        <v/>
      </c>
      <c r="AZ202" s="15" t="str">
        <f>IF(B202="","",VLOOKUP($B202,'C-1 On-Site WaterC'' Baseline'!$C$9:$Y$257,21,FALSE))</f>
        <v/>
      </c>
      <c r="BA202" s="15" t="str">
        <f>IF(B202="","",VLOOKUP($B202,'C-1 On-Site WaterC'' Baseline'!$C$9:$Y$257,19,FALSE))</f>
        <v/>
      </c>
    </row>
    <row r="203" spans="2:53" ht="14" x14ac:dyDescent="0.3">
      <c r="B203" s="319" t="str">
        <f>'C-1 On-Site WaterC'' Baseline'!AP201</f>
        <v/>
      </c>
      <c r="C203" s="310" t="str">
        <f>IF(B203="","",VLOOKUP($B203,'C-1 On-Site WaterC'' Baseline'!$C$9:$R$257,2,FALSE))</f>
        <v/>
      </c>
      <c r="D203" s="310" t="str">
        <f>IF(C203="","",VLOOKUP($B203,'C-1 On-Site WaterC'' Baseline'!$C$9:$R$257,3,FALSE))</f>
        <v/>
      </c>
      <c r="E203" s="310" t="str">
        <f>IF(D203="","",VLOOKUP($B203,'C-1 On-Site WaterC'' Baseline'!$C$9:$R$257,4,FALSE))</f>
        <v/>
      </c>
      <c r="F203" s="310" t="str">
        <f>IF(E203="","",VLOOKUP($B203,'C-1 On-Site WaterC'' Baseline'!$C$9:$R$257,5,FALSE))</f>
        <v/>
      </c>
      <c r="G203" s="310" t="str">
        <f>IF(F203="","",VLOOKUP($B203,'C-1 On-Site WaterC'' Baseline'!$C$9:$R$257,6,FALSE))</f>
        <v/>
      </c>
      <c r="H203" s="310" t="str">
        <f>IF(G203="","",VLOOKUP($B203,'C-1 On-Site WaterC'' Baseline'!$C$9:$R$257,7,FALSE))</f>
        <v/>
      </c>
      <c r="I203" s="310" t="str">
        <f>IF(H203="","",VLOOKUP($B203,'C-1 On-Site WaterC'' Baseline'!$C$9:$R$257,8,FALSE))</f>
        <v/>
      </c>
      <c r="J203" s="310" t="str">
        <f>IF(I203="","",VLOOKUP($B203,'C-1 On-Site WaterC'' Baseline'!$C$9:$R$257,9,FALSE))</f>
        <v/>
      </c>
      <c r="K203" s="310" t="str">
        <f>IF(J203="","",VLOOKUP($B203,'C-1 On-Site WaterC'' Baseline'!$C$9:$R$257,10,FALSE))</f>
        <v/>
      </c>
      <c r="L203" s="310" t="str">
        <f>IF(B203="","",VLOOKUP($B203,'C-1 On-Site WaterC'' Baseline'!$C$9:$R$257,15,FALSE))</f>
        <v/>
      </c>
      <c r="M203" s="314" t="str">
        <f>IF(L203="","",VLOOKUP($B203,'C-1 On-Site WaterC'' Baseline'!$C$9:$R$257,16,FALSE))</f>
        <v/>
      </c>
      <c r="N203" s="259"/>
      <c r="O203" s="290" t="str">
        <f t="shared" si="19"/>
        <v/>
      </c>
      <c r="P203" s="291" t="str">
        <f t="shared" si="20"/>
        <v/>
      </c>
      <c r="Q203" s="346" t="str">
        <f>IF(N203="","",VLOOKUP(B203,'C-1 On-Site WaterC'' Baseline'!$C$10:$AC$257,20,FALSE))</f>
        <v/>
      </c>
      <c r="R203" s="290" t="str">
        <f>IF(N203="","",VLOOKUP(N203,'G-7 WaterC'' Data'!$B$2:$G$8,2,FALSE))</f>
        <v/>
      </c>
      <c r="S203" s="291" t="str">
        <f>IFERROR(VLOOKUP(R203,'G-7 WaterC'' Data'!$C$4:$D$8,2,FALSE),"")</f>
        <v/>
      </c>
      <c r="T203" s="95"/>
      <c r="U203" s="291" t="str">
        <f>IFERROR(INDEX('G-7 WaterC'' Data'!$H$4:$L$8,MATCH(N203,'G-7 WaterC'' Data'!$B$4:$B$8,0),MATCH(T203,'G-7 WaterC'' Data'!$H$3:$L$3,0)),"")</f>
        <v/>
      </c>
      <c r="V203" s="95"/>
      <c r="W203" s="298" t="str">
        <f>IF(V203="","",IF(VLOOKUP(V203,'G-7 WaterC'' Data'!$AK$4:$AM$6,2,FALSE)=0,"Spatial Data Missing ⚠",VLOOKUP(V203,'G-7 WaterC'' Data'!$AK$4:$AM$6,2,FALSE)))</f>
        <v/>
      </c>
      <c r="X203" s="291" t="str">
        <f>IF(V203="","",IF(VLOOKUP(V203,'G-7 WaterC'' Data'!$AK$4:$AM$6,3,FALSE)=0,"Spatial Data Missing ⚠",VLOOKUP(V203,'G-7 WaterC'' Data'!$AK$4:$AM$6,3,FALSE)))</f>
        <v/>
      </c>
      <c r="Y203" s="290" t="str">
        <f>IFERROR(IF(OR(LEFT(P203,5)="Error",LEFT(O203,5)="Error ▲"),"Check Data ⚠",IF(F203&lt;S203,'G-7 WaterC'' Data'!$R$3,INDEX('G-7 WaterC'' Data'!$U$5:$Y$9,MATCH(G203,'G-7 WaterC'' Data'!$T$5:$T$9,0),MATCH(T203,'G-7 WaterC'' Data'!$U$4:$Y$4,0)))),"")</f>
        <v/>
      </c>
      <c r="Z203" s="138"/>
      <c r="AA203" s="138"/>
      <c r="AB203" s="298" t="str">
        <f t="shared" si="21"/>
        <v/>
      </c>
      <c r="AC203" s="311" t="str">
        <f t="shared" si="22"/>
        <v/>
      </c>
      <c r="AD203" s="344" t="str">
        <f>IFERROR(IF(AC203="Check Data ⚠","Check Data ⚠",VLOOKUP(AC203,'G-4 Temporal multipliers'!$A$4:$C$37,3,FALSE)),"")</f>
        <v/>
      </c>
      <c r="AE203" s="290" t="str">
        <f>IF(N203="","",VLOOKUP(N203,'G-7 WaterC'' Data'!$B$4:$G$8,5,FALSE))</f>
        <v/>
      </c>
      <c r="AF203" s="298" t="str">
        <f t="shared" si="23"/>
        <v/>
      </c>
      <c r="AG203" s="328" t="str">
        <f t="shared" si="24"/>
        <v/>
      </c>
      <c r="AH203" s="291" t="str">
        <f t="shared" si="18"/>
        <v/>
      </c>
      <c r="AI203" s="103"/>
      <c r="AJ203" s="291" t="str">
        <f>IF(AI203="","",IF(AND(AI203="N/A - Culvert",N203&lt;&gt;"Culvert"),"Not possible ▲",IF(VLOOKUP(AI203,'G-7 WaterC'' Data'!$AA$4:$AB$7,2,FALSE)=0,"Spatial Data Missing ⚠",VLOOKUP(AI203,'G-7 WaterC'' Data'!$AA$4:$AB$7,2,FALSE))))</f>
        <v/>
      </c>
      <c r="AK203" s="104"/>
      <c r="AL203" s="291" t="str">
        <f>IF(AK203="","",IF(AND(AK203="N/A - Culvert",N203&lt;&gt;"Culvert"),"Not possible ▲",IF(VLOOKUP(AK203,'G-7 WaterC'' Data'!$AD$4:$AE$14,2,FALSE)=0,"Spatial Data Missing ⚠",VLOOKUP(AK203,'G-7 WaterC'' Data'!$AD$4:$AE$14,2,FALSE))))</f>
        <v/>
      </c>
      <c r="AM203" s="332" t="str">
        <f t="shared" si="25"/>
        <v/>
      </c>
      <c r="AN203" s="98"/>
      <c r="AO203" s="99"/>
      <c r="AP203" s="101"/>
      <c r="AS203" s="15" t="str">
        <f>IF(B203="","",IF(ISNA(VLOOKUP($B203,'C-1 On-Site WaterC'' Baseline'!$C$8:$AD$257,17,FALSE)),"",(VLOOKUP($B203,'C-1 On-Site WaterC'' Baseline'!$C$8:$AD$257,17,FALSE))))</f>
        <v/>
      </c>
      <c r="AT203" s="15" t="str">
        <f>IF(B203="","",VLOOKUP($B203,'C-1 On-Site WaterC'' Baseline'!$C$9:$Z$257,12,FALSE))</f>
        <v/>
      </c>
      <c r="AU203" s="15" t="str">
        <f>IF(B203="","",VLOOKUP($B203,'C-1 On-Site WaterC'' Baseline'!$C$9:$Z$257,14,FALSE))</f>
        <v/>
      </c>
      <c r="AV203" s="15" t="str">
        <f>IFERROR(INDEX('G-7 WaterC'' Data'!$AZ$3:$AZ$7,MATCH(N203,'G-7 WaterC'' Data'!$AY$3:$AY$7,0)),"")</f>
        <v/>
      </c>
      <c r="AX203" s="15" t="str">
        <f>IF(B203="","",VLOOKUP($B203,'C-1 On-Site WaterC'' Baseline'!$C$9:$Y$257,22,FALSE))</f>
        <v/>
      </c>
      <c r="AY203" s="15" t="str">
        <f t="shared" si="26"/>
        <v/>
      </c>
      <c r="AZ203" s="15" t="str">
        <f>IF(B203="","",VLOOKUP($B203,'C-1 On-Site WaterC'' Baseline'!$C$9:$Y$257,21,FALSE))</f>
        <v/>
      </c>
      <c r="BA203" s="15" t="str">
        <f>IF(B203="","",VLOOKUP($B203,'C-1 On-Site WaterC'' Baseline'!$C$9:$Y$257,19,FALSE))</f>
        <v/>
      </c>
    </row>
    <row r="204" spans="2:53" ht="14" x14ac:dyDescent="0.3">
      <c r="B204" s="319" t="str">
        <f>'C-1 On-Site WaterC'' Baseline'!AP202</f>
        <v/>
      </c>
      <c r="C204" s="310" t="str">
        <f>IF(B204="","",VLOOKUP($B204,'C-1 On-Site WaterC'' Baseline'!$C$9:$R$257,2,FALSE))</f>
        <v/>
      </c>
      <c r="D204" s="310" t="str">
        <f>IF(C204="","",VLOOKUP($B204,'C-1 On-Site WaterC'' Baseline'!$C$9:$R$257,3,FALSE))</f>
        <v/>
      </c>
      <c r="E204" s="310" t="str">
        <f>IF(D204="","",VLOOKUP($B204,'C-1 On-Site WaterC'' Baseline'!$C$9:$R$257,4,FALSE))</f>
        <v/>
      </c>
      <c r="F204" s="310" t="str">
        <f>IF(E204="","",VLOOKUP($B204,'C-1 On-Site WaterC'' Baseline'!$C$9:$R$257,5,FALSE))</f>
        <v/>
      </c>
      <c r="G204" s="310" t="str">
        <f>IF(F204="","",VLOOKUP($B204,'C-1 On-Site WaterC'' Baseline'!$C$9:$R$257,6,FALSE))</f>
        <v/>
      </c>
      <c r="H204" s="310" t="str">
        <f>IF(G204="","",VLOOKUP($B204,'C-1 On-Site WaterC'' Baseline'!$C$9:$R$257,7,FALSE))</f>
        <v/>
      </c>
      <c r="I204" s="310" t="str">
        <f>IF(H204="","",VLOOKUP($B204,'C-1 On-Site WaterC'' Baseline'!$C$9:$R$257,8,FALSE))</f>
        <v/>
      </c>
      <c r="J204" s="310" t="str">
        <f>IF(I204="","",VLOOKUP($B204,'C-1 On-Site WaterC'' Baseline'!$C$9:$R$257,9,FALSE))</f>
        <v/>
      </c>
      <c r="K204" s="310" t="str">
        <f>IF(J204="","",VLOOKUP($B204,'C-1 On-Site WaterC'' Baseline'!$C$9:$R$257,10,FALSE))</f>
        <v/>
      </c>
      <c r="L204" s="310" t="str">
        <f>IF(B204="","",VLOOKUP($B204,'C-1 On-Site WaterC'' Baseline'!$C$9:$R$257,15,FALSE))</f>
        <v/>
      </c>
      <c r="M204" s="314" t="str">
        <f>IF(L204="","",VLOOKUP($B204,'C-1 On-Site WaterC'' Baseline'!$C$9:$R$257,16,FALSE))</f>
        <v/>
      </c>
      <c r="N204" s="259"/>
      <c r="O204" s="290" t="str">
        <f t="shared" si="19"/>
        <v/>
      </c>
      <c r="P204" s="291" t="str">
        <f t="shared" si="20"/>
        <v/>
      </c>
      <c r="Q204" s="346" t="str">
        <f>IF(N204="","",VLOOKUP(B204,'C-1 On-Site WaterC'' Baseline'!$C$10:$AC$257,20,FALSE))</f>
        <v/>
      </c>
      <c r="R204" s="290" t="str">
        <f>IF(N204="","",VLOOKUP(N204,'G-7 WaterC'' Data'!$B$2:$G$8,2,FALSE))</f>
        <v/>
      </c>
      <c r="S204" s="291" t="str">
        <f>IFERROR(VLOOKUP(R204,'G-7 WaterC'' Data'!$C$4:$D$8,2,FALSE),"")</f>
        <v/>
      </c>
      <c r="T204" s="95"/>
      <c r="U204" s="291" t="str">
        <f>IFERROR(INDEX('G-7 WaterC'' Data'!$H$4:$L$8,MATCH(N204,'G-7 WaterC'' Data'!$B$4:$B$8,0),MATCH(T204,'G-7 WaterC'' Data'!$H$3:$L$3,0)),"")</f>
        <v/>
      </c>
      <c r="V204" s="95"/>
      <c r="W204" s="298" t="str">
        <f>IF(V204="","",IF(VLOOKUP(V204,'G-7 WaterC'' Data'!$AK$4:$AM$6,2,FALSE)=0,"Spatial Data Missing ⚠",VLOOKUP(V204,'G-7 WaterC'' Data'!$AK$4:$AM$6,2,FALSE)))</f>
        <v/>
      </c>
      <c r="X204" s="291" t="str">
        <f>IF(V204="","",IF(VLOOKUP(V204,'G-7 WaterC'' Data'!$AK$4:$AM$6,3,FALSE)=0,"Spatial Data Missing ⚠",VLOOKUP(V204,'G-7 WaterC'' Data'!$AK$4:$AM$6,3,FALSE)))</f>
        <v/>
      </c>
      <c r="Y204" s="290" t="str">
        <f>IFERROR(IF(OR(LEFT(P204,5)="Error",LEFT(O204,5)="Error ▲"),"Check Data ⚠",IF(F204&lt;S204,'G-7 WaterC'' Data'!$R$3,INDEX('G-7 WaterC'' Data'!$U$5:$Y$9,MATCH(G204,'G-7 WaterC'' Data'!$T$5:$T$9,0),MATCH(T204,'G-7 WaterC'' Data'!$U$4:$Y$4,0)))),"")</f>
        <v/>
      </c>
      <c r="Z204" s="138"/>
      <c r="AA204" s="138"/>
      <c r="AB204" s="298" t="str">
        <f t="shared" si="21"/>
        <v/>
      </c>
      <c r="AC204" s="311" t="str">
        <f t="shared" si="22"/>
        <v/>
      </c>
      <c r="AD204" s="344" t="str">
        <f>IFERROR(IF(AC204="Check Data ⚠","Check Data ⚠",VLOOKUP(AC204,'G-4 Temporal multipliers'!$A$4:$C$37,3,FALSE)),"")</f>
        <v/>
      </c>
      <c r="AE204" s="290" t="str">
        <f>IF(N204="","",VLOOKUP(N204,'G-7 WaterC'' Data'!$B$4:$G$8,5,FALSE))</f>
        <v/>
      </c>
      <c r="AF204" s="298" t="str">
        <f t="shared" si="23"/>
        <v/>
      </c>
      <c r="AG204" s="328" t="str">
        <f t="shared" si="24"/>
        <v/>
      </c>
      <c r="AH204" s="291" t="str">
        <f t="shared" ref="AH204:AH257" si="27">IF(N204="","",VLOOKUP(AG204,Difficulty,2,FALSE))</f>
        <v/>
      </c>
      <c r="AI204" s="103"/>
      <c r="AJ204" s="291" t="str">
        <f>IF(AI204="","",IF(AND(AI204="N/A - Culvert",N204&lt;&gt;"Culvert"),"Not possible ▲",IF(VLOOKUP(AI204,'G-7 WaterC'' Data'!$AA$4:$AB$7,2,FALSE)=0,"Spatial Data Missing ⚠",VLOOKUP(AI204,'G-7 WaterC'' Data'!$AA$4:$AB$7,2,FALSE))))</f>
        <v/>
      </c>
      <c r="AK204" s="104"/>
      <c r="AL204" s="291" t="str">
        <f>IF(AK204="","",IF(AND(AK204="N/A - Culvert",N204&lt;&gt;"Culvert"),"Not possible ▲",IF(VLOOKUP(AK204,'G-7 WaterC'' Data'!$AD$4:$AE$14,2,FALSE)=0,"Spatial Data Missing ⚠",VLOOKUP(AK204,'G-7 WaterC'' Data'!$AD$4:$AE$14,2,FALSE))))</f>
        <v/>
      </c>
      <c r="AM204" s="332" t="str">
        <f t="shared" si="25"/>
        <v/>
      </c>
      <c r="AN204" s="98"/>
      <c r="AO204" s="99"/>
      <c r="AP204" s="101"/>
      <c r="AS204" s="15" t="str">
        <f>IF(B204="","",IF(ISNA(VLOOKUP($B204,'C-1 On-Site WaterC'' Baseline'!$C$8:$AD$257,17,FALSE)),"",(VLOOKUP($B204,'C-1 On-Site WaterC'' Baseline'!$C$8:$AD$257,17,FALSE))))</f>
        <v/>
      </c>
      <c r="AT204" s="15" t="str">
        <f>IF(B204="","",VLOOKUP($B204,'C-1 On-Site WaterC'' Baseline'!$C$9:$Z$257,12,FALSE))</f>
        <v/>
      </c>
      <c r="AU204" s="15" t="str">
        <f>IF(B204="","",VLOOKUP($B204,'C-1 On-Site WaterC'' Baseline'!$C$9:$Z$257,14,FALSE))</f>
        <v/>
      </c>
      <c r="AV204" s="15" t="str">
        <f>IFERROR(INDEX('G-7 WaterC'' Data'!$AZ$3:$AZ$7,MATCH(N204,'G-7 WaterC'' Data'!$AY$3:$AY$7,0)),"")</f>
        <v/>
      </c>
      <c r="AX204" s="15" t="str">
        <f>IF(B204="","",VLOOKUP($B204,'C-1 On-Site WaterC'' Baseline'!$C$9:$Y$257,22,FALSE))</f>
        <v/>
      </c>
      <c r="AY204" s="15" t="str">
        <f t="shared" si="26"/>
        <v/>
      </c>
      <c r="AZ204" s="15" t="str">
        <f>IF(B204="","",VLOOKUP($B204,'C-1 On-Site WaterC'' Baseline'!$C$9:$Y$257,21,FALSE))</f>
        <v/>
      </c>
      <c r="BA204" s="15" t="str">
        <f>IF(B204="","",VLOOKUP($B204,'C-1 On-Site WaterC'' Baseline'!$C$9:$Y$257,19,FALSE))</f>
        <v/>
      </c>
    </row>
    <row r="205" spans="2:53" ht="14" x14ac:dyDescent="0.3">
      <c r="B205" s="319" t="str">
        <f>'C-1 On-Site WaterC'' Baseline'!AP203</f>
        <v/>
      </c>
      <c r="C205" s="310" t="str">
        <f>IF(B205="","",VLOOKUP($B205,'C-1 On-Site WaterC'' Baseline'!$C$9:$R$257,2,FALSE))</f>
        <v/>
      </c>
      <c r="D205" s="310" t="str">
        <f>IF(C205="","",VLOOKUP($B205,'C-1 On-Site WaterC'' Baseline'!$C$9:$R$257,3,FALSE))</f>
        <v/>
      </c>
      <c r="E205" s="310" t="str">
        <f>IF(D205="","",VLOOKUP($B205,'C-1 On-Site WaterC'' Baseline'!$C$9:$R$257,4,FALSE))</f>
        <v/>
      </c>
      <c r="F205" s="310" t="str">
        <f>IF(E205="","",VLOOKUP($B205,'C-1 On-Site WaterC'' Baseline'!$C$9:$R$257,5,FALSE))</f>
        <v/>
      </c>
      <c r="G205" s="310" t="str">
        <f>IF(F205="","",VLOOKUP($B205,'C-1 On-Site WaterC'' Baseline'!$C$9:$R$257,6,FALSE))</f>
        <v/>
      </c>
      <c r="H205" s="310" t="str">
        <f>IF(G205="","",VLOOKUP($B205,'C-1 On-Site WaterC'' Baseline'!$C$9:$R$257,7,FALSE))</f>
        <v/>
      </c>
      <c r="I205" s="310" t="str">
        <f>IF(H205="","",VLOOKUP($B205,'C-1 On-Site WaterC'' Baseline'!$C$9:$R$257,8,FALSE))</f>
        <v/>
      </c>
      <c r="J205" s="310" t="str">
        <f>IF(I205="","",VLOOKUP($B205,'C-1 On-Site WaterC'' Baseline'!$C$9:$R$257,9,FALSE))</f>
        <v/>
      </c>
      <c r="K205" s="310" t="str">
        <f>IF(J205="","",VLOOKUP($B205,'C-1 On-Site WaterC'' Baseline'!$C$9:$R$257,10,FALSE))</f>
        <v/>
      </c>
      <c r="L205" s="310" t="str">
        <f>IF(B205="","",VLOOKUP($B205,'C-1 On-Site WaterC'' Baseline'!$C$9:$R$257,15,FALSE))</f>
        <v/>
      </c>
      <c r="M205" s="314" t="str">
        <f>IF(L205="","",VLOOKUP($B205,'C-1 On-Site WaterC'' Baseline'!$C$9:$R$257,16,FALSE))</f>
        <v/>
      </c>
      <c r="N205" s="259"/>
      <c r="O205" s="290" t="str">
        <f t="shared" ref="O205:O257" si="28">IF(B205="","",IF(S205&lt;F205,"Error Trading Down ▲",E205&amp;" - "&amp;R205))</f>
        <v/>
      </c>
      <c r="P205" s="291" t="str">
        <f t="shared" ref="P205:P257" si="29">IF(C205="","",IF(AND(N205&lt;&gt;C205,AS205="Yes"),"Error you cannot replace and irreplaceable habitat ▲",IF(AND(LEFT(C205,55)&lt;&gt;LEFT(N205,55),O205="High - High"),"Error - Not like for like ▲",IF(H205&gt;U205,"Error - Can not reduce condition ▲",IF(AND(C205&lt;&gt;N205,F205&lt;S205),"Lower Distinctiveness Habitat"&amp;" - "&amp;T205,G205&amp;" - "&amp;T205)))))</f>
        <v/>
      </c>
      <c r="Q205" s="346" t="str">
        <f>IF(N205="","",VLOOKUP(B205,'C-1 On-Site WaterC'' Baseline'!$C$10:$AC$257,20,FALSE))</f>
        <v/>
      </c>
      <c r="R205" s="290" t="str">
        <f>IF(N205="","",VLOOKUP(N205,'G-7 WaterC'' Data'!$B$2:$G$8,2,FALSE))</f>
        <v/>
      </c>
      <c r="S205" s="291" t="str">
        <f>IFERROR(VLOOKUP(R205,'G-7 WaterC'' Data'!$C$4:$D$8,2,FALSE),"")</f>
        <v/>
      </c>
      <c r="T205" s="95"/>
      <c r="U205" s="291" t="str">
        <f>IFERROR(INDEX('G-7 WaterC'' Data'!$H$4:$L$8,MATCH(N205,'G-7 WaterC'' Data'!$B$4:$B$8,0),MATCH(T205,'G-7 WaterC'' Data'!$H$3:$L$3,0)),"")</f>
        <v/>
      </c>
      <c r="V205" s="95"/>
      <c r="W205" s="298" t="str">
        <f>IF(V205="","",IF(VLOOKUP(V205,'G-7 WaterC'' Data'!$AK$4:$AM$6,2,FALSE)=0,"Spatial Data Missing ⚠",VLOOKUP(V205,'G-7 WaterC'' Data'!$AK$4:$AM$6,2,FALSE)))</f>
        <v/>
      </c>
      <c r="X205" s="291" t="str">
        <f>IF(V205="","",IF(VLOOKUP(V205,'G-7 WaterC'' Data'!$AK$4:$AM$6,3,FALSE)=0,"Spatial Data Missing ⚠",VLOOKUP(V205,'G-7 WaterC'' Data'!$AK$4:$AM$6,3,FALSE)))</f>
        <v/>
      </c>
      <c r="Y205" s="290" t="str">
        <f>IFERROR(IF(OR(LEFT(P205,5)="Error",LEFT(O205,5)="Error ▲"),"Check Data ⚠",IF(F205&lt;S205,'G-7 WaterC'' Data'!$R$3,INDEX('G-7 WaterC'' Data'!$U$5:$Y$9,MATCH(G205,'G-7 WaterC'' Data'!$T$5:$T$9,0),MATCH(T205,'G-7 WaterC'' Data'!$U$4:$Y$4,0)))),"")</f>
        <v/>
      </c>
      <c r="Z205" s="138"/>
      <c r="AA205" s="138"/>
      <c r="AB205" s="298" t="str">
        <f t="shared" ref="AB205:AB257" si="30">IF(Y205="","",IF(Y205="Check Data ⚠","Check Data ⚠",IF(AND(Z205&gt;0,AA205&gt;0),"Error -both advance and delayed habitat creation ▲",IF(AND(OR(Z205="Habitat already in target condition",Y205&lt;=Z205),AA205=0),"Check details - Is there evidence that habitat has reached target condition? ⚠",IF(Z205&gt;0,"Check details - Is there evidence habitat creation started/in place? ⚠",IF(AA205&gt;0,"Check details- Delay in starting habitat in required condition? ⚠","Standard time to target condition applied"))))))</f>
        <v/>
      </c>
      <c r="AC205" s="311" t="str">
        <f t="shared" ref="AC205:AC257" si="31">IF(AB205="Error -both advance and delayed habitat creation ▲","Check Data ⚠",IF(AB205="Check Data ⚠","Check Data ⚠",IF(Y205="","",IF(Z205="30+",0,IF(AA205="30+","30+",IF(Y205+AA205&gt;30,"30+",IF(Y205+AA205-Z205&gt;0,Y205+AA205-Z205,IF(Y205-Z205&lt;0,0,Y205+AA205-Z205))))))))</f>
        <v/>
      </c>
      <c r="AD205" s="344" t="str">
        <f>IFERROR(IF(AC205="Check Data ⚠","Check Data ⚠",VLOOKUP(AC205,'G-4 Temporal multipliers'!$A$4:$C$37,3,FALSE)),"")</f>
        <v/>
      </c>
      <c r="AE205" s="290" t="str">
        <f>IF(N205="","",VLOOKUP(N205,'G-7 WaterC'' Data'!$B$4:$G$8,5,FALSE))</f>
        <v/>
      </c>
      <c r="AF205" s="298" t="str">
        <f t="shared" ref="AF205:AF257" si="32">IF(N205="","",IF(AC205="Check Data ⚠","Check Data ⚠",IF(T205="","",IF($AB205="Check details - Is there evidence that habitat has reached target condition? ⚠","Low Difficulty - only applicable if all habitat created before losses ⚠","Standard difficulty applied"))))</f>
        <v/>
      </c>
      <c r="AG205" s="328" t="str">
        <f t="shared" ref="AG205:AG257" si="33">(IF(AND(AF205="Standard difficulty applied",Y205&gt;Z205),AE205,IF(AND(AF205="Low Difficulty - only applicable if all habitat created before losses ⚠",Z205&gt;=Y205),"Low",AE205)))</f>
        <v/>
      </c>
      <c r="AH205" s="291" t="str">
        <f t="shared" si="27"/>
        <v/>
      </c>
      <c r="AI205" s="103"/>
      <c r="AJ205" s="291" t="str">
        <f>IF(AI205="","",IF(AND(AI205="N/A - Culvert",N205&lt;&gt;"Culvert"),"Not possible ▲",IF(VLOOKUP(AI205,'G-7 WaterC'' Data'!$AA$4:$AB$7,2,FALSE)=0,"Spatial Data Missing ⚠",VLOOKUP(AI205,'G-7 WaterC'' Data'!$AA$4:$AB$7,2,FALSE))))</f>
        <v/>
      </c>
      <c r="AK205" s="104"/>
      <c r="AL205" s="291" t="str">
        <f>IF(AK205="","",IF(AND(AK205="N/A - Culvert",N205&lt;&gt;"Culvert"),"Not possible ▲",IF(VLOOKUP(AK205,'G-7 WaterC'' Data'!$AD$4:$AE$14,2,FALSE)=0,"Spatial Data Missing ⚠",VLOOKUP(AK205,'G-7 WaterC'' Data'!$AD$4:$AE$14,2,FALSE))))</f>
        <v/>
      </c>
      <c r="AM205" s="332" t="str">
        <f t="shared" ref="AM205:AM257" si="34">IFERROR(IF(C205="","",IF(AND(N205&lt;&gt;"",M205=""),"Check Data ⚠",IF(Q205&gt;D205,((((Q205*S205*U205)-(D205*F205*H205))*(AH205*AD205))+(D205*F205*H205))*(AL205*X205*AJ205),((((Q205*S205*U205)-(Q205*F205*H205))*(AH205*AD205))+(Q205*F205*H205))*(AL205*X205*AJ205)))),"")</f>
        <v/>
      </c>
      <c r="AN205" s="98"/>
      <c r="AO205" s="99"/>
      <c r="AP205" s="101"/>
      <c r="AS205" s="15" t="str">
        <f>IF(B205="","",IF(ISNA(VLOOKUP($B205,'C-1 On-Site WaterC'' Baseline'!$C$8:$AD$257,17,FALSE)),"",(VLOOKUP($B205,'C-1 On-Site WaterC'' Baseline'!$C$8:$AD$257,17,FALSE))))</f>
        <v/>
      </c>
      <c r="AT205" s="15" t="str">
        <f>IF(B205="","",VLOOKUP($B205,'C-1 On-Site WaterC'' Baseline'!$C$9:$Z$257,12,FALSE))</f>
        <v/>
      </c>
      <c r="AU205" s="15" t="str">
        <f>IF(B205="","",VLOOKUP($B205,'C-1 On-Site WaterC'' Baseline'!$C$9:$Z$257,14,FALSE))</f>
        <v/>
      </c>
      <c r="AV205" s="15" t="str">
        <f>IFERROR(INDEX('G-7 WaterC'' Data'!$AZ$3:$AZ$7,MATCH(N205,'G-7 WaterC'' Data'!$AY$3:$AY$7,0)),"")</f>
        <v/>
      </c>
      <c r="AX205" s="15" t="str">
        <f>IF(B205="","",VLOOKUP($B205,'C-1 On-Site WaterC'' Baseline'!$C$9:$Y$257,22,FALSE))</f>
        <v/>
      </c>
      <c r="AY205" s="15" t="str">
        <f t="shared" ref="AY205:AY257" si="35">IF(B205="","", IF(AX205&gt;M205, M205, IF((BA205+Q205)&gt;D205, M205 - AZ205, AX205)))</f>
        <v/>
      </c>
      <c r="AZ205" s="15" t="str">
        <f>IF(B205="","",VLOOKUP($B205,'C-1 On-Site WaterC'' Baseline'!$C$9:$Y$257,21,FALSE))</f>
        <v/>
      </c>
      <c r="BA205" s="15" t="str">
        <f>IF(B205="","",VLOOKUP($B205,'C-1 On-Site WaterC'' Baseline'!$C$9:$Y$257,19,FALSE))</f>
        <v/>
      </c>
    </row>
    <row r="206" spans="2:53" ht="14" x14ac:dyDescent="0.3">
      <c r="B206" s="319" t="str">
        <f>'C-1 On-Site WaterC'' Baseline'!AP204</f>
        <v/>
      </c>
      <c r="C206" s="310" t="str">
        <f>IF(B206="","",VLOOKUP($B206,'C-1 On-Site WaterC'' Baseline'!$C$9:$R$257,2,FALSE))</f>
        <v/>
      </c>
      <c r="D206" s="310" t="str">
        <f>IF(C206="","",VLOOKUP($B206,'C-1 On-Site WaterC'' Baseline'!$C$9:$R$257,3,FALSE))</f>
        <v/>
      </c>
      <c r="E206" s="310" t="str">
        <f>IF(D206="","",VLOOKUP($B206,'C-1 On-Site WaterC'' Baseline'!$C$9:$R$257,4,FALSE))</f>
        <v/>
      </c>
      <c r="F206" s="310" t="str">
        <f>IF(E206="","",VLOOKUP($B206,'C-1 On-Site WaterC'' Baseline'!$C$9:$R$257,5,FALSE))</f>
        <v/>
      </c>
      <c r="G206" s="310" t="str">
        <f>IF(F206="","",VLOOKUP($B206,'C-1 On-Site WaterC'' Baseline'!$C$9:$R$257,6,FALSE))</f>
        <v/>
      </c>
      <c r="H206" s="310" t="str">
        <f>IF(G206="","",VLOOKUP($B206,'C-1 On-Site WaterC'' Baseline'!$C$9:$R$257,7,FALSE))</f>
        <v/>
      </c>
      <c r="I206" s="310" t="str">
        <f>IF(H206="","",VLOOKUP($B206,'C-1 On-Site WaterC'' Baseline'!$C$9:$R$257,8,FALSE))</f>
        <v/>
      </c>
      <c r="J206" s="310" t="str">
        <f>IF(I206="","",VLOOKUP($B206,'C-1 On-Site WaterC'' Baseline'!$C$9:$R$257,9,FALSE))</f>
        <v/>
      </c>
      <c r="K206" s="310" t="str">
        <f>IF(J206="","",VLOOKUP($B206,'C-1 On-Site WaterC'' Baseline'!$C$9:$R$257,10,FALSE))</f>
        <v/>
      </c>
      <c r="L206" s="310" t="str">
        <f>IF(B206="","",VLOOKUP($B206,'C-1 On-Site WaterC'' Baseline'!$C$9:$R$257,15,FALSE))</f>
        <v/>
      </c>
      <c r="M206" s="314" t="str">
        <f>IF(L206="","",VLOOKUP($B206,'C-1 On-Site WaterC'' Baseline'!$C$9:$R$257,16,FALSE))</f>
        <v/>
      </c>
      <c r="N206" s="259"/>
      <c r="O206" s="290" t="str">
        <f t="shared" si="28"/>
        <v/>
      </c>
      <c r="P206" s="291" t="str">
        <f t="shared" si="29"/>
        <v/>
      </c>
      <c r="Q206" s="346" t="str">
        <f>IF(N206="","",VLOOKUP(B206,'C-1 On-Site WaterC'' Baseline'!$C$10:$AC$257,20,FALSE))</f>
        <v/>
      </c>
      <c r="R206" s="290" t="str">
        <f>IF(N206="","",VLOOKUP(N206,'G-7 WaterC'' Data'!$B$2:$G$8,2,FALSE))</f>
        <v/>
      </c>
      <c r="S206" s="291" t="str">
        <f>IFERROR(VLOOKUP(R206,'G-7 WaterC'' Data'!$C$4:$D$8,2,FALSE),"")</f>
        <v/>
      </c>
      <c r="T206" s="95"/>
      <c r="U206" s="291" t="str">
        <f>IFERROR(INDEX('G-7 WaterC'' Data'!$H$4:$L$8,MATCH(N206,'G-7 WaterC'' Data'!$B$4:$B$8,0),MATCH(T206,'G-7 WaterC'' Data'!$H$3:$L$3,0)),"")</f>
        <v/>
      </c>
      <c r="V206" s="95"/>
      <c r="W206" s="298" t="str">
        <f>IF(V206="","",IF(VLOOKUP(V206,'G-7 WaterC'' Data'!$AK$4:$AM$6,2,FALSE)=0,"Spatial Data Missing ⚠",VLOOKUP(V206,'G-7 WaterC'' Data'!$AK$4:$AM$6,2,FALSE)))</f>
        <v/>
      </c>
      <c r="X206" s="291" t="str">
        <f>IF(V206="","",IF(VLOOKUP(V206,'G-7 WaterC'' Data'!$AK$4:$AM$6,3,FALSE)=0,"Spatial Data Missing ⚠",VLOOKUP(V206,'G-7 WaterC'' Data'!$AK$4:$AM$6,3,FALSE)))</f>
        <v/>
      </c>
      <c r="Y206" s="290" t="str">
        <f>IFERROR(IF(OR(LEFT(P206,5)="Error",LEFT(O206,5)="Error ▲"),"Check Data ⚠",IF(F206&lt;S206,'G-7 WaterC'' Data'!$R$3,INDEX('G-7 WaterC'' Data'!$U$5:$Y$9,MATCH(G206,'G-7 WaterC'' Data'!$T$5:$T$9,0),MATCH(T206,'G-7 WaterC'' Data'!$U$4:$Y$4,0)))),"")</f>
        <v/>
      </c>
      <c r="Z206" s="138"/>
      <c r="AA206" s="138"/>
      <c r="AB206" s="298" t="str">
        <f t="shared" si="30"/>
        <v/>
      </c>
      <c r="AC206" s="311" t="str">
        <f t="shared" si="31"/>
        <v/>
      </c>
      <c r="AD206" s="344" t="str">
        <f>IFERROR(IF(AC206="Check Data ⚠","Check Data ⚠",VLOOKUP(AC206,'G-4 Temporal multipliers'!$A$4:$C$37,3,FALSE)),"")</f>
        <v/>
      </c>
      <c r="AE206" s="290" t="str">
        <f>IF(N206="","",VLOOKUP(N206,'G-7 WaterC'' Data'!$B$4:$G$8,5,FALSE))</f>
        <v/>
      </c>
      <c r="AF206" s="298" t="str">
        <f t="shared" si="32"/>
        <v/>
      </c>
      <c r="AG206" s="328" t="str">
        <f t="shared" si="33"/>
        <v/>
      </c>
      <c r="AH206" s="291" t="str">
        <f t="shared" si="27"/>
        <v/>
      </c>
      <c r="AI206" s="103"/>
      <c r="AJ206" s="291" t="str">
        <f>IF(AI206="","",IF(AND(AI206="N/A - Culvert",N206&lt;&gt;"Culvert"),"Not possible ▲",IF(VLOOKUP(AI206,'G-7 WaterC'' Data'!$AA$4:$AB$7,2,FALSE)=0,"Spatial Data Missing ⚠",VLOOKUP(AI206,'G-7 WaterC'' Data'!$AA$4:$AB$7,2,FALSE))))</f>
        <v/>
      </c>
      <c r="AK206" s="104"/>
      <c r="AL206" s="291" t="str">
        <f>IF(AK206="","",IF(AND(AK206="N/A - Culvert",N206&lt;&gt;"Culvert"),"Not possible ▲",IF(VLOOKUP(AK206,'G-7 WaterC'' Data'!$AD$4:$AE$14,2,FALSE)=0,"Spatial Data Missing ⚠",VLOOKUP(AK206,'G-7 WaterC'' Data'!$AD$4:$AE$14,2,FALSE))))</f>
        <v/>
      </c>
      <c r="AM206" s="332" t="str">
        <f t="shared" si="34"/>
        <v/>
      </c>
      <c r="AN206" s="98"/>
      <c r="AO206" s="99"/>
      <c r="AP206" s="101"/>
      <c r="AS206" s="15" t="str">
        <f>IF(B206="","",IF(ISNA(VLOOKUP($B206,'C-1 On-Site WaterC'' Baseline'!$C$8:$AD$257,17,FALSE)),"",(VLOOKUP($B206,'C-1 On-Site WaterC'' Baseline'!$C$8:$AD$257,17,FALSE))))</f>
        <v/>
      </c>
      <c r="AT206" s="15" t="str">
        <f>IF(B206="","",VLOOKUP($B206,'C-1 On-Site WaterC'' Baseline'!$C$9:$Z$257,12,FALSE))</f>
        <v/>
      </c>
      <c r="AU206" s="15" t="str">
        <f>IF(B206="","",VLOOKUP($B206,'C-1 On-Site WaterC'' Baseline'!$C$9:$Z$257,14,FALSE))</f>
        <v/>
      </c>
      <c r="AV206" s="15" t="str">
        <f>IFERROR(INDEX('G-7 WaterC'' Data'!$AZ$3:$AZ$7,MATCH(N206,'G-7 WaterC'' Data'!$AY$3:$AY$7,0)),"")</f>
        <v/>
      </c>
      <c r="AX206" s="15" t="str">
        <f>IF(B206="","",VLOOKUP($B206,'C-1 On-Site WaterC'' Baseline'!$C$9:$Y$257,22,FALSE))</f>
        <v/>
      </c>
      <c r="AY206" s="15" t="str">
        <f t="shared" si="35"/>
        <v/>
      </c>
      <c r="AZ206" s="15" t="str">
        <f>IF(B206="","",VLOOKUP($B206,'C-1 On-Site WaterC'' Baseline'!$C$9:$Y$257,21,FALSE))</f>
        <v/>
      </c>
      <c r="BA206" s="15" t="str">
        <f>IF(B206="","",VLOOKUP($B206,'C-1 On-Site WaterC'' Baseline'!$C$9:$Y$257,19,FALSE))</f>
        <v/>
      </c>
    </row>
    <row r="207" spans="2:53" ht="14" x14ac:dyDescent="0.3">
      <c r="B207" s="319" t="str">
        <f>'C-1 On-Site WaterC'' Baseline'!AP205</f>
        <v/>
      </c>
      <c r="C207" s="310" t="str">
        <f>IF(B207="","",VLOOKUP($B207,'C-1 On-Site WaterC'' Baseline'!$C$9:$R$257,2,FALSE))</f>
        <v/>
      </c>
      <c r="D207" s="310" t="str">
        <f>IF(C207="","",VLOOKUP($B207,'C-1 On-Site WaterC'' Baseline'!$C$9:$R$257,3,FALSE))</f>
        <v/>
      </c>
      <c r="E207" s="310" t="str">
        <f>IF(D207="","",VLOOKUP($B207,'C-1 On-Site WaterC'' Baseline'!$C$9:$R$257,4,FALSE))</f>
        <v/>
      </c>
      <c r="F207" s="310" t="str">
        <f>IF(E207="","",VLOOKUP($B207,'C-1 On-Site WaterC'' Baseline'!$C$9:$R$257,5,FALSE))</f>
        <v/>
      </c>
      <c r="G207" s="310" t="str">
        <f>IF(F207="","",VLOOKUP($B207,'C-1 On-Site WaterC'' Baseline'!$C$9:$R$257,6,FALSE))</f>
        <v/>
      </c>
      <c r="H207" s="310" t="str">
        <f>IF(G207="","",VLOOKUP($B207,'C-1 On-Site WaterC'' Baseline'!$C$9:$R$257,7,FALSE))</f>
        <v/>
      </c>
      <c r="I207" s="310" t="str">
        <f>IF(H207="","",VLOOKUP($B207,'C-1 On-Site WaterC'' Baseline'!$C$9:$R$257,8,FALSE))</f>
        <v/>
      </c>
      <c r="J207" s="310" t="str">
        <f>IF(I207="","",VLOOKUP($B207,'C-1 On-Site WaterC'' Baseline'!$C$9:$R$257,9,FALSE))</f>
        <v/>
      </c>
      <c r="K207" s="310" t="str">
        <f>IF(J207="","",VLOOKUP($B207,'C-1 On-Site WaterC'' Baseline'!$C$9:$R$257,10,FALSE))</f>
        <v/>
      </c>
      <c r="L207" s="310" t="str">
        <f>IF(B207="","",VLOOKUP($B207,'C-1 On-Site WaterC'' Baseline'!$C$9:$R$257,15,FALSE))</f>
        <v/>
      </c>
      <c r="M207" s="314" t="str">
        <f>IF(L207="","",VLOOKUP($B207,'C-1 On-Site WaterC'' Baseline'!$C$9:$R$257,16,FALSE))</f>
        <v/>
      </c>
      <c r="N207" s="259"/>
      <c r="O207" s="290" t="str">
        <f t="shared" si="28"/>
        <v/>
      </c>
      <c r="P207" s="291" t="str">
        <f t="shared" si="29"/>
        <v/>
      </c>
      <c r="Q207" s="346" t="str">
        <f>IF(N207="","",VLOOKUP(B207,'C-1 On-Site WaterC'' Baseline'!$C$10:$AC$257,20,FALSE))</f>
        <v/>
      </c>
      <c r="R207" s="290" t="str">
        <f>IF(N207="","",VLOOKUP(N207,'G-7 WaterC'' Data'!$B$2:$G$8,2,FALSE))</f>
        <v/>
      </c>
      <c r="S207" s="291" t="str">
        <f>IFERROR(VLOOKUP(R207,'G-7 WaterC'' Data'!$C$4:$D$8,2,FALSE),"")</f>
        <v/>
      </c>
      <c r="T207" s="95"/>
      <c r="U207" s="291" t="str">
        <f>IFERROR(INDEX('G-7 WaterC'' Data'!$H$4:$L$8,MATCH(N207,'G-7 WaterC'' Data'!$B$4:$B$8,0),MATCH(T207,'G-7 WaterC'' Data'!$H$3:$L$3,0)),"")</f>
        <v/>
      </c>
      <c r="V207" s="95"/>
      <c r="W207" s="298" t="str">
        <f>IF(V207="","",IF(VLOOKUP(V207,'G-7 WaterC'' Data'!$AK$4:$AM$6,2,FALSE)=0,"Spatial Data Missing ⚠",VLOOKUP(V207,'G-7 WaterC'' Data'!$AK$4:$AM$6,2,FALSE)))</f>
        <v/>
      </c>
      <c r="X207" s="291" t="str">
        <f>IF(V207="","",IF(VLOOKUP(V207,'G-7 WaterC'' Data'!$AK$4:$AM$6,3,FALSE)=0,"Spatial Data Missing ⚠",VLOOKUP(V207,'G-7 WaterC'' Data'!$AK$4:$AM$6,3,FALSE)))</f>
        <v/>
      </c>
      <c r="Y207" s="290" t="str">
        <f>IFERROR(IF(OR(LEFT(P207,5)="Error",LEFT(O207,5)="Error ▲"),"Check Data ⚠",IF(F207&lt;S207,'G-7 WaterC'' Data'!$R$3,INDEX('G-7 WaterC'' Data'!$U$5:$Y$9,MATCH(G207,'G-7 WaterC'' Data'!$T$5:$T$9,0),MATCH(T207,'G-7 WaterC'' Data'!$U$4:$Y$4,0)))),"")</f>
        <v/>
      </c>
      <c r="Z207" s="138"/>
      <c r="AA207" s="138"/>
      <c r="AB207" s="298" t="str">
        <f t="shared" si="30"/>
        <v/>
      </c>
      <c r="AC207" s="311" t="str">
        <f t="shared" si="31"/>
        <v/>
      </c>
      <c r="AD207" s="344" t="str">
        <f>IFERROR(IF(AC207="Check Data ⚠","Check Data ⚠",VLOOKUP(AC207,'G-4 Temporal multipliers'!$A$4:$C$37,3,FALSE)),"")</f>
        <v/>
      </c>
      <c r="AE207" s="290" t="str">
        <f>IF(N207="","",VLOOKUP(N207,'G-7 WaterC'' Data'!$B$4:$G$8,5,FALSE))</f>
        <v/>
      </c>
      <c r="AF207" s="298" t="str">
        <f t="shared" si="32"/>
        <v/>
      </c>
      <c r="AG207" s="328" t="str">
        <f t="shared" si="33"/>
        <v/>
      </c>
      <c r="AH207" s="291" t="str">
        <f t="shared" si="27"/>
        <v/>
      </c>
      <c r="AI207" s="103"/>
      <c r="AJ207" s="291" t="str">
        <f>IF(AI207="","",IF(AND(AI207="N/A - Culvert",N207&lt;&gt;"Culvert"),"Not possible ▲",IF(VLOOKUP(AI207,'G-7 WaterC'' Data'!$AA$4:$AB$7,2,FALSE)=0,"Spatial Data Missing ⚠",VLOOKUP(AI207,'G-7 WaterC'' Data'!$AA$4:$AB$7,2,FALSE))))</f>
        <v/>
      </c>
      <c r="AK207" s="104"/>
      <c r="AL207" s="291" t="str">
        <f>IF(AK207="","",IF(AND(AK207="N/A - Culvert",N207&lt;&gt;"Culvert"),"Not possible ▲",IF(VLOOKUP(AK207,'G-7 WaterC'' Data'!$AD$4:$AE$14,2,FALSE)=0,"Spatial Data Missing ⚠",VLOOKUP(AK207,'G-7 WaterC'' Data'!$AD$4:$AE$14,2,FALSE))))</f>
        <v/>
      </c>
      <c r="AM207" s="332" t="str">
        <f t="shared" si="34"/>
        <v/>
      </c>
      <c r="AN207" s="98"/>
      <c r="AO207" s="99"/>
      <c r="AP207" s="101"/>
      <c r="AS207" s="15" t="str">
        <f>IF(B207="","",IF(ISNA(VLOOKUP($B207,'C-1 On-Site WaterC'' Baseline'!$C$8:$AD$257,17,FALSE)),"",(VLOOKUP($B207,'C-1 On-Site WaterC'' Baseline'!$C$8:$AD$257,17,FALSE))))</f>
        <v/>
      </c>
      <c r="AT207" s="15" t="str">
        <f>IF(B207="","",VLOOKUP($B207,'C-1 On-Site WaterC'' Baseline'!$C$9:$Z$257,12,FALSE))</f>
        <v/>
      </c>
      <c r="AU207" s="15" t="str">
        <f>IF(B207="","",VLOOKUP($B207,'C-1 On-Site WaterC'' Baseline'!$C$9:$Z$257,14,FALSE))</f>
        <v/>
      </c>
      <c r="AV207" s="15" t="str">
        <f>IFERROR(INDEX('G-7 WaterC'' Data'!$AZ$3:$AZ$7,MATCH(N207,'G-7 WaterC'' Data'!$AY$3:$AY$7,0)),"")</f>
        <v/>
      </c>
      <c r="AX207" s="15" t="str">
        <f>IF(B207="","",VLOOKUP($B207,'C-1 On-Site WaterC'' Baseline'!$C$9:$Y$257,22,FALSE))</f>
        <v/>
      </c>
      <c r="AY207" s="15" t="str">
        <f t="shared" si="35"/>
        <v/>
      </c>
      <c r="AZ207" s="15" t="str">
        <f>IF(B207="","",VLOOKUP($B207,'C-1 On-Site WaterC'' Baseline'!$C$9:$Y$257,21,FALSE))</f>
        <v/>
      </c>
      <c r="BA207" s="15" t="str">
        <f>IF(B207="","",VLOOKUP($B207,'C-1 On-Site WaterC'' Baseline'!$C$9:$Y$257,19,FALSE))</f>
        <v/>
      </c>
    </row>
    <row r="208" spans="2:53" ht="14" x14ac:dyDescent="0.3">
      <c r="B208" s="319" t="str">
        <f>'C-1 On-Site WaterC'' Baseline'!AP206</f>
        <v/>
      </c>
      <c r="C208" s="310" t="str">
        <f>IF(B208="","",VLOOKUP($B208,'C-1 On-Site WaterC'' Baseline'!$C$9:$R$257,2,FALSE))</f>
        <v/>
      </c>
      <c r="D208" s="310" t="str">
        <f>IF(C208="","",VLOOKUP($B208,'C-1 On-Site WaterC'' Baseline'!$C$9:$R$257,3,FALSE))</f>
        <v/>
      </c>
      <c r="E208" s="310" t="str">
        <f>IF(D208="","",VLOOKUP($B208,'C-1 On-Site WaterC'' Baseline'!$C$9:$R$257,4,FALSE))</f>
        <v/>
      </c>
      <c r="F208" s="310" t="str">
        <f>IF(E208="","",VLOOKUP($B208,'C-1 On-Site WaterC'' Baseline'!$C$9:$R$257,5,FALSE))</f>
        <v/>
      </c>
      <c r="G208" s="310" t="str">
        <f>IF(F208="","",VLOOKUP($B208,'C-1 On-Site WaterC'' Baseline'!$C$9:$R$257,6,FALSE))</f>
        <v/>
      </c>
      <c r="H208" s="310" t="str">
        <f>IF(G208="","",VLOOKUP($B208,'C-1 On-Site WaterC'' Baseline'!$C$9:$R$257,7,FALSE))</f>
        <v/>
      </c>
      <c r="I208" s="310" t="str">
        <f>IF(H208="","",VLOOKUP($B208,'C-1 On-Site WaterC'' Baseline'!$C$9:$R$257,8,FALSE))</f>
        <v/>
      </c>
      <c r="J208" s="310" t="str">
        <f>IF(I208="","",VLOOKUP($B208,'C-1 On-Site WaterC'' Baseline'!$C$9:$R$257,9,FALSE))</f>
        <v/>
      </c>
      <c r="K208" s="310" t="str">
        <f>IF(J208="","",VLOOKUP($B208,'C-1 On-Site WaterC'' Baseline'!$C$9:$R$257,10,FALSE))</f>
        <v/>
      </c>
      <c r="L208" s="310" t="str">
        <f>IF(B208="","",VLOOKUP($B208,'C-1 On-Site WaterC'' Baseline'!$C$9:$R$257,15,FALSE))</f>
        <v/>
      </c>
      <c r="M208" s="314" t="str">
        <f>IF(L208="","",VLOOKUP($B208,'C-1 On-Site WaterC'' Baseline'!$C$9:$R$257,16,FALSE))</f>
        <v/>
      </c>
      <c r="N208" s="259"/>
      <c r="O208" s="290" t="str">
        <f t="shared" si="28"/>
        <v/>
      </c>
      <c r="P208" s="291" t="str">
        <f t="shared" si="29"/>
        <v/>
      </c>
      <c r="Q208" s="346" t="str">
        <f>IF(N208="","",VLOOKUP(B208,'C-1 On-Site WaterC'' Baseline'!$C$10:$AC$257,20,FALSE))</f>
        <v/>
      </c>
      <c r="R208" s="290" t="str">
        <f>IF(N208="","",VLOOKUP(N208,'G-7 WaterC'' Data'!$B$2:$G$8,2,FALSE))</f>
        <v/>
      </c>
      <c r="S208" s="291" t="str">
        <f>IFERROR(VLOOKUP(R208,'G-7 WaterC'' Data'!$C$4:$D$8,2,FALSE),"")</f>
        <v/>
      </c>
      <c r="T208" s="95"/>
      <c r="U208" s="291" t="str">
        <f>IFERROR(INDEX('G-7 WaterC'' Data'!$H$4:$L$8,MATCH(N208,'G-7 WaterC'' Data'!$B$4:$B$8,0),MATCH(T208,'G-7 WaterC'' Data'!$H$3:$L$3,0)),"")</f>
        <v/>
      </c>
      <c r="V208" s="95"/>
      <c r="W208" s="298" t="str">
        <f>IF(V208="","",IF(VLOOKUP(V208,'G-7 WaterC'' Data'!$AK$4:$AM$6,2,FALSE)=0,"Spatial Data Missing ⚠",VLOOKUP(V208,'G-7 WaterC'' Data'!$AK$4:$AM$6,2,FALSE)))</f>
        <v/>
      </c>
      <c r="X208" s="291" t="str">
        <f>IF(V208="","",IF(VLOOKUP(V208,'G-7 WaterC'' Data'!$AK$4:$AM$6,3,FALSE)=0,"Spatial Data Missing ⚠",VLOOKUP(V208,'G-7 WaterC'' Data'!$AK$4:$AM$6,3,FALSE)))</f>
        <v/>
      </c>
      <c r="Y208" s="290" t="str">
        <f>IFERROR(IF(OR(LEFT(P208,5)="Error",LEFT(O208,5)="Error ▲"),"Check Data ⚠",IF(F208&lt;S208,'G-7 WaterC'' Data'!$R$3,INDEX('G-7 WaterC'' Data'!$U$5:$Y$9,MATCH(G208,'G-7 WaterC'' Data'!$T$5:$T$9,0),MATCH(T208,'G-7 WaterC'' Data'!$U$4:$Y$4,0)))),"")</f>
        <v/>
      </c>
      <c r="Z208" s="138"/>
      <c r="AA208" s="138"/>
      <c r="AB208" s="298" t="str">
        <f t="shared" si="30"/>
        <v/>
      </c>
      <c r="AC208" s="311" t="str">
        <f t="shared" si="31"/>
        <v/>
      </c>
      <c r="AD208" s="344" t="str">
        <f>IFERROR(IF(AC208="Check Data ⚠","Check Data ⚠",VLOOKUP(AC208,'G-4 Temporal multipliers'!$A$4:$C$37,3,FALSE)),"")</f>
        <v/>
      </c>
      <c r="AE208" s="290" t="str">
        <f>IF(N208="","",VLOOKUP(N208,'G-7 WaterC'' Data'!$B$4:$G$8,5,FALSE))</f>
        <v/>
      </c>
      <c r="AF208" s="298" t="str">
        <f t="shared" si="32"/>
        <v/>
      </c>
      <c r="AG208" s="328" t="str">
        <f t="shared" si="33"/>
        <v/>
      </c>
      <c r="AH208" s="291" t="str">
        <f t="shared" si="27"/>
        <v/>
      </c>
      <c r="AI208" s="103"/>
      <c r="AJ208" s="291" t="str">
        <f>IF(AI208="","",IF(AND(AI208="N/A - Culvert",N208&lt;&gt;"Culvert"),"Not possible ▲",IF(VLOOKUP(AI208,'G-7 WaterC'' Data'!$AA$4:$AB$7,2,FALSE)=0,"Spatial Data Missing ⚠",VLOOKUP(AI208,'G-7 WaterC'' Data'!$AA$4:$AB$7,2,FALSE))))</f>
        <v/>
      </c>
      <c r="AK208" s="104"/>
      <c r="AL208" s="291" t="str">
        <f>IF(AK208="","",IF(AND(AK208="N/A - Culvert",N208&lt;&gt;"Culvert"),"Not possible ▲",IF(VLOOKUP(AK208,'G-7 WaterC'' Data'!$AD$4:$AE$14,2,FALSE)=0,"Spatial Data Missing ⚠",VLOOKUP(AK208,'G-7 WaterC'' Data'!$AD$4:$AE$14,2,FALSE))))</f>
        <v/>
      </c>
      <c r="AM208" s="332" t="str">
        <f t="shared" si="34"/>
        <v/>
      </c>
      <c r="AN208" s="98"/>
      <c r="AO208" s="99"/>
      <c r="AP208" s="101"/>
      <c r="AS208" s="15" t="str">
        <f>IF(B208="","",IF(ISNA(VLOOKUP($B208,'C-1 On-Site WaterC'' Baseline'!$C$8:$AD$257,17,FALSE)),"",(VLOOKUP($B208,'C-1 On-Site WaterC'' Baseline'!$C$8:$AD$257,17,FALSE))))</f>
        <v/>
      </c>
      <c r="AT208" s="15" t="str">
        <f>IF(B208="","",VLOOKUP($B208,'C-1 On-Site WaterC'' Baseline'!$C$9:$Z$257,12,FALSE))</f>
        <v/>
      </c>
      <c r="AU208" s="15" t="str">
        <f>IF(B208="","",VLOOKUP($B208,'C-1 On-Site WaterC'' Baseline'!$C$9:$Z$257,14,FALSE))</f>
        <v/>
      </c>
      <c r="AV208" s="15" t="str">
        <f>IFERROR(INDEX('G-7 WaterC'' Data'!$AZ$3:$AZ$7,MATCH(N208,'G-7 WaterC'' Data'!$AY$3:$AY$7,0)),"")</f>
        <v/>
      </c>
      <c r="AX208" s="15" t="str">
        <f>IF(B208="","",VLOOKUP($B208,'C-1 On-Site WaterC'' Baseline'!$C$9:$Y$257,22,FALSE))</f>
        <v/>
      </c>
      <c r="AY208" s="15" t="str">
        <f t="shared" si="35"/>
        <v/>
      </c>
      <c r="AZ208" s="15" t="str">
        <f>IF(B208="","",VLOOKUP($B208,'C-1 On-Site WaterC'' Baseline'!$C$9:$Y$257,21,FALSE))</f>
        <v/>
      </c>
      <c r="BA208" s="15" t="str">
        <f>IF(B208="","",VLOOKUP($B208,'C-1 On-Site WaterC'' Baseline'!$C$9:$Y$257,19,FALSE))</f>
        <v/>
      </c>
    </row>
    <row r="209" spans="2:53" ht="14" x14ac:dyDescent="0.3">
      <c r="B209" s="319" t="str">
        <f>'C-1 On-Site WaterC'' Baseline'!AP207</f>
        <v/>
      </c>
      <c r="C209" s="310" t="str">
        <f>IF(B209="","",VLOOKUP($B209,'C-1 On-Site WaterC'' Baseline'!$C$9:$R$257,2,FALSE))</f>
        <v/>
      </c>
      <c r="D209" s="310" t="str">
        <f>IF(C209="","",VLOOKUP($B209,'C-1 On-Site WaterC'' Baseline'!$C$9:$R$257,3,FALSE))</f>
        <v/>
      </c>
      <c r="E209" s="310" t="str">
        <f>IF(D209="","",VLOOKUP($B209,'C-1 On-Site WaterC'' Baseline'!$C$9:$R$257,4,FALSE))</f>
        <v/>
      </c>
      <c r="F209" s="310" t="str">
        <f>IF(E209="","",VLOOKUP($B209,'C-1 On-Site WaterC'' Baseline'!$C$9:$R$257,5,FALSE))</f>
        <v/>
      </c>
      <c r="G209" s="310" t="str">
        <f>IF(F209="","",VLOOKUP($B209,'C-1 On-Site WaterC'' Baseline'!$C$9:$R$257,6,FALSE))</f>
        <v/>
      </c>
      <c r="H209" s="310" t="str">
        <f>IF(G209="","",VLOOKUP($B209,'C-1 On-Site WaterC'' Baseline'!$C$9:$R$257,7,FALSE))</f>
        <v/>
      </c>
      <c r="I209" s="310" t="str">
        <f>IF(H209="","",VLOOKUP($B209,'C-1 On-Site WaterC'' Baseline'!$C$9:$R$257,8,FALSE))</f>
        <v/>
      </c>
      <c r="J209" s="310" t="str">
        <f>IF(I209="","",VLOOKUP($B209,'C-1 On-Site WaterC'' Baseline'!$C$9:$R$257,9,FALSE))</f>
        <v/>
      </c>
      <c r="K209" s="310" t="str">
        <f>IF(J209="","",VLOOKUP($B209,'C-1 On-Site WaterC'' Baseline'!$C$9:$R$257,10,FALSE))</f>
        <v/>
      </c>
      <c r="L209" s="310" t="str">
        <f>IF(B209="","",VLOOKUP($B209,'C-1 On-Site WaterC'' Baseline'!$C$9:$R$257,15,FALSE))</f>
        <v/>
      </c>
      <c r="M209" s="314" t="str">
        <f>IF(L209="","",VLOOKUP($B209,'C-1 On-Site WaterC'' Baseline'!$C$9:$R$257,16,FALSE))</f>
        <v/>
      </c>
      <c r="N209" s="259"/>
      <c r="O209" s="290" t="str">
        <f t="shared" si="28"/>
        <v/>
      </c>
      <c r="P209" s="291" t="str">
        <f t="shared" si="29"/>
        <v/>
      </c>
      <c r="Q209" s="346" t="str">
        <f>IF(N209="","",VLOOKUP(B209,'C-1 On-Site WaterC'' Baseline'!$C$10:$AC$257,20,FALSE))</f>
        <v/>
      </c>
      <c r="R209" s="290" t="str">
        <f>IF(N209="","",VLOOKUP(N209,'G-7 WaterC'' Data'!$B$2:$G$8,2,FALSE))</f>
        <v/>
      </c>
      <c r="S209" s="291" t="str">
        <f>IFERROR(VLOOKUP(R209,'G-7 WaterC'' Data'!$C$4:$D$8,2,FALSE),"")</f>
        <v/>
      </c>
      <c r="T209" s="95"/>
      <c r="U209" s="291" t="str">
        <f>IFERROR(INDEX('G-7 WaterC'' Data'!$H$4:$L$8,MATCH(N209,'G-7 WaterC'' Data'!$B$4:$B$8,0),MATCH(T209,'G-7 WaterC'' Data'!$H$3:$L$3,0)),"")</f>
        <v/>
      </c>
      <c r="V209" s="95"/>
      <c r="W209" s="298" t="str">
        <f>IF(V209="","",IF(VLOOKUP(V209,'G-7 WaterC'' Data'!$AK$4:$AM$6,2,FALSE)=0,"Spatial Data Missing ⚠",VLOOKUP(V209,'G-7 WaterC'' Data'!$AK$4:$AM$6,2,FALSE)))</f>
        <v/>
      </c>
      <c r="X209" s="291" t="str">
        <f>IF(V209="","",IF(VLOOKUP(V209,'G-7 WaterC'' Data'!$AK$4:$AM$6,3,FALSE)=0,"Spatial Data Missing ⚠",VLOOKUP(V209,'G-7 WaterC'' Data'!$AK$4:$AM$6,3,FALSE)))</f>
        <v/>
      </c>
      <c r="Y209" s="290" t="str">
        <f>IFERROR(IF(OR(LEFT(P209,5)="Error",LEFT(O209,5)="Error ▲"),"Check Data ⚠",IF(F209&lt;S209,'G-7 WaterC'' Data'!$R$3,INDEX('G-7 WaterC'' Data'!$U$5:$Y$9,MATCH(G209,'G-7 WaterC'' Data'!$T$5:$T$9,0),MATCH(T209,'G-7 WaterC'' Data'!$U$4:$Y$4,0)))),"")</f>
        <v/>
      </c>
      <c r="Z209" s="138"/>
      <c r="AA209" s="138"/>
      <c r="AB209" s="298" t="str">
        <f t="shared" si="30"/>
        <v/>
      </c>
      <c r="AC209" s="311" t="str">
        <f t="shared" si="31"/>
        <v/>
      </c>
      <c r="AD209" s="344" t="str">
        <f>IFERROR(IF(AC209="Check Data ⚠","Check Data ⚠",VLOOKUP(AC209,'G-4 Temporal multipliers'!$A$4:$C$37,3,FALSE)),"")</f>
        <v/>
      </c>
      <c r="AE209" s="290" t="str">
        <f>IF(N209="","",VLOOKUP(N209,'G-7 WaterC'' Data'!$B$4:$G$8,5,FALSE))</f>
        <v/>
      </c>
      <c r="AF209" s="298" t="str">
        <f t="shared" si="32"/>
        <v/>
      </c>
      <c r="AG209" s="328" t="str">
        <f t="shared" si="33"/>
        <v/>
      </c>
      <c r="AH209" s="291" t="str">
        <f t="shared" si="27"/>
        <v/>
      </c>
      <c r="AI209" s="103"/>
      <c r="AJ209" s="291" t="str">
        <f>IF(AI209="","",IF(AND(AI209="N/A - Culvert",N209&lt;&gt;"Culvert"),"Not possible ▲",IF(VLOOKUP(AI209,'G-7 WaterC'' Data'!$AA$4:$AB$7,2,FALSE)=0,"Spatial Data Missing ⚠",VLOOKUP(AI209,'G-7 WaterC'' Data'!$AA$4:$AB$7,2,FALSE))))</f>
        <v/>
      </c>
      <c r="AK209" s="104"/>
      <c r="AL209" s="291" t="str">
        <f>IF(AK209="","",IF(AND(AK209="N/A - Culvert",N209&lt;&gt;"Culvert"),"Not possible ▲",IF(VLOOKUP(AK209,'G-7 WaterC'' Data'!$AD$4:$AE$14,2,FALSE)=0,"Spatial Data Missing ⚠",VLOOKUP(AK209,'G-7 WaterC'' Data'!$AD$4:$AE$14,2,FALSE))))</f>
        <v/>
      </c>
      <c r="AM209" s="332" t="str">
        <f t="shared" si="34"/>
        <v/>
      </c>
      <c r="AN209" s="98"/>
      <c r="AO209" s="99"/>
      <c r="AP209" s="101"/>
      <c r="AS209" s="15" t="str">
        <f>IF(B209="","",IF(ISNA(VLOOKUP($B209,'C-1 On-Site WaterC'' Baseline'!$C$8:$AD$257,17,FALSE)),"",(VLOOKUP($B209,'C-1 On-Site WaterC'' Baseline'!$C$8:$AD$257,17,FALSE))))</f>
        <v/>
      </c>
      <c r="AT209" s="15" t="str">
        <f>IF(B209="","",VLOOKUP($B209,'C-1 On-Site WaterC'' Baseline'!$C$9:$Z$257,12,FALSE))</f>
        <v/>
      </c>
      <c r="AU209" s="15" t="str">
        <f>IF(B209="","",VLOOKUP($B209,'C-1 On-Site WaterC'' Baseline'!$C$9:$Z$257,14,FALSE))</f>
        <v/>
      </c>
      <c r="AV209" s="15" t="str">
        <f>IFERROR(INDEX('G-7 WaterC'' Data'!$AZ$3:$AZ$7,MATCH(N209,'G-7 WaterC'' Data'!$AY$3:$AY$7,0)),"")</f>
        <v/>
      </c>
      <c r="AX209" s="15" t="str">
        <f>IF(B209="","",VLOOKUP($B209,'C-1 On-Site WaterC'' Baseline'!$C$9:$Y$257,22,FALSE))</f>
        <v/>
      </c>
      <c r="AY209" s="15" t="str">
        <f t="shared" si="35"/>
        <v/>
      </c>
      <c r="AZ209" s="15" t="str">
        <f>IF(B209="","",VLOOKUP($B209,'C-1 On-Site WaterC'' Baseline'!$C$9:$Y$257,21,FALSE))</f>
        <v/>
      </c>
      <c r="BA209" s="15" t="str">
        <f>IF(B209="","",VLOOKUP($B209,'C-1 On-Site WaterC'' Baseline'!$C$9:$Y$257,19,FALSE))</f>
        <v/>
      </c>
    </row>
    <row r="210" spans="2:53" ht="14" x14ac:dyDescent="0.3">
      <c r="B210" s="319" t="str">
        <f>'C-1 On-Site WaterC'' Baseline'!AP208</f>
        <v/>
      </c>
      <c r="C210" s="310" t="str">
        <f>IF(B210="","",VLOOKUP($B210,'C-1 On-Site WaterC'' Baseline'!$C$9:$R$257,2,FALSE))</f>
        <v/>
      </c>
      <c r="D210" s="310" t="str">
        <f>IF(C210="","",VLOOKUP($B210,'C-1 On-Site WaterC'' Baseline'!$C$9:$R$257,3,FALSE))</f>
        <v/>
      </c>
      <c r="E210" s="310" t="str">
        <f>IF(D210="","",VLOOKUP($B210,'C-1 On-Site WaterC'' Baseline'!$C$9:$R$257,4,FALSE))</f>
        <v/>
      </c>
      <c r="F210" s="310" t="str">
        <f>IF(E210="","",VLOOKUP($B210,'C-1 On-Site WaterC'' Baseline'!$C$9:$R$257,5,FALSE))</f>
        <v/>
      </c>
      <c r="G210" s="310" t="str">
        <f>IF(F210="","",VLOOKUP($B210,'C-1 On-Site WaterC'' Baseline'!$C$9:$R$257,6,FALSE))</f>
        <v/>
      </c>
      <c r="H210" s="310" t="str">
        <f>IF(G210="","",VLOOKUP($B210,'C-1 On-Site WaterC'' Baseline'!$C$9:$R$257,7,FALSE))</f>
        <v/>
      </c>
      <c r="I210" s="310" t="str">
        <f>IF(H210="","",VLOOKUP($B210,'C-1 On-Site WaterC'' Baseline'!$C$9:$R$257,8,FALSE))</f>
        <v/>
      </c>
      <c r="J210" s="310" t="str">
        <f>IF(I210="","",VLOOKUP($B210,'C-1 On-Site WaterC'' Baseline'!$C$9:$R$257,9,FALSE))</f>
        <v/>
      </c>
      <c r="K210" s="310" t="str">
        <f>IF(J210="","",VLOOKUP($B210,'C-1 On-Site WaterC'' Baseline'!$C$9:$R$257,10,FALSE))</f>
        <v/>
      </c>
      <c r="L210" s="310" t="str">
        <f>IF(B210="","",VLOOKUP($B210,'C-1 On-Site WaterC'' Baseline'!$C$9:$R$257,15,FALSE))</f>
        <v/>
      </c>
      <c r="M210" s="314" t="str">
        <f>IF(L210="","",VLOOKUP($B210,'C-1 On-Site WaterC'' Baseline'!$C$9:$R$257,16,FALSE))</f>
        <v/>
      </c>
      <c r="N210" s="259"/>
      <c r="O210" s="290" t="str">
        <f t="shared" si="28"/>
        <v/>
      </c>
      <c r="P210" s="291" t="str">
        <f t="shared" si="29"/>
        <v/>
      </c>
      <c r="Q210" s="346" t="str">
        <f>IF(N210="","",VLOOKUP(B210,'C-1 On-Site WaterC'' Baseline'!$C$10:$AC$257,20,FALSE))</f>
        <v/>
      </c>
      <c r="R210" s="290" t="str">
        <f>IF(N210="","",VLOOKUP(N210,'G-7 WaterC'' Data'!$B$2:$G$8,2,FALSE))</f>
        <v/>
      </c>
      <c r="S210" s="291" t="str">
        <f>IFERROR(VLOOKUP(R210,'G-7 WaterC'' Data'!$C$4:$D$8,2,FALSE),"")</f>
        <v/>
      </c>
      <c r="T210" s="95"/>
      <c r="U210" s="291" t="str">
        <f>IFERROR(INDEX('G-7 WaterC'' Data'!$H$4:$L$8,MATCH(N210,'G-7 WaterC'' Data'!$B$4:$B$8,0),MATCH(T210,'G-7 WaterC'' Data'!$H$3:$L$3,0)),"")</f>
        <v/>
      </c>
      <c r="V210" s="95"/>
      <c r="W210" s="298" t="str">
        <f>IF(V210="","",IF(VLOOKUP(V210,'G-7 WaterC'' Data'!$AK$4:$AM$6,2,FALSE)=0,"Spatial Data Missing ⚠",VLOOKUP(V210,'G-7 WaterC'' Data'!$AK$4:$AM$6,2,FALSE)))</f>
        <v/>
      </c>
      <c r="X210" s="291" t="str">
        <f>IF(V210="","",IF(VLOOKUP(V210,'G-7 WaterC'' Data'!$AK$4:$AM$6,3,FALSE)=0,"Spatial Data Missing ⚠",VLOOKUP(V210,'G-7 WaterC'' Data'!$AK$4:$AM$6,3,FALSE)))</f>
        <v/>
      </c>
      <c r="Y210" s="290" t="str">
        <f>IFERROR(IF(OR(LEFT(P210,5)="Error",LEFT(O210,5)="Error ▲"),"Check Data ⚠",IF(F210&lt;S210,'G-7 WaterC'' Data'!$R$3,INDEX('G-7 WaterC'' Data'!$U$5:$Y$9,MATCH(G210,'G-7 WaterC'' Data'!$T$5:$T$9,0),MATCH(T210,'G-7 WaterC'' Data'!$U$4:$Y$4,0)))),"")</f>
        <v/>
      </c>
      <c r="Z210" s="138"/>
      <c r="AA210" s="138"/>
      <c r="AB210" s="298" t="str">
        <f t="shared" si="30"/>
        <v/>
      </c>
      <c r="AC210" s="311" t="str">
        <f t="shared" si="31"/>
        <v/>
      </c>
      <c r="AD210" s="344" t="str">
        <f>IFERROR(IF(AC210="Check Data ⚠","Check Data ⚠",VLOOKUP(AC210,'G-4 Temporal multipliers'!$A$4:$C$37,3,FALSE)),"")</f>
        <v/>
      </c>
      <c r="AE210" s="290" t="str">
        <f>IF(N210="","",VLOOKUP(N210,'G-7 WaterC'' Data'!$B$4:$G$8,5,FALSE))</f>
        <v/>
      </c>
      <c r="AF210" s="298" t="str">
        <f t="shared" si="32"/>
        <v/>
      </c>
      <c r="AG210" s="328" t="str">
        <f t="shared" si="33"/>
        <v/>
      </c>
      <c r="AH210" s="291" t="str">
        <f t="shared" si="27"/>
        <v/>
      </c>
      <c r="AI210" s="103"/>
      <c r="AJ210" s="291" t="str">
        <f>IF(AI210="","",IF(AND(AI210="N/A - Culvert",N210&lt;&gt;"Culvert"),"Not possible ▲",IF(VLOOKUP(AI210,'G-7 WaterC'' Data'!$AA$4:$AB$7,2,FALSE)=0,"Spatial Data Missing ⚠",VLOOKUP(AI210,'G-7 WaterC'' Data'!$AA$4:$AB$7,2,FALSE))))</f>
        <v/>
      </c>
      <c r="AK210" s="104"/>
      <c r="AL210" s="291" t="str">
        <f>IF(AK210="","",IF(AND(AK210="N/A - Culvert",N210&lt;&gt;"Culvert"),"Not possible ▲",IF(VLOOKUP(AK210,'G-7 WaterC'' Data'!$AD$4:$AE$14,2,FALSE)=0,"Spatial Data Missing ⚠",VLOOKUP(AK210,'G-7 WaterC'' Data'!$AD$4:$AE$14,2,FALSE))))</f>
        <v/>
      </c>
      <c r="AM210" s="332" t="str">
        <f t="shared" si="34"/>
        <v/>
      </c>
      <c r="AN210" s="98"/>
      <c r="AO210" s="99"/>
      <c r="AP210" s="101"/>
      <c r="AS210" s="15" t="str">
        <f>IF(B210="","",IF(ISNA(VLOOKUP($B210,'C-1 On-Site WaterC'' Baseline'!$C$8:$AD$257,17,FALSE)),"",(VLOOKUP($B210,'C-1 On-Site WaterC'' Baseline'!$C$8:$AD$257,17,FALSE))))</f>
        <v/>
      </c>
      <c r="AT210" s="15" t="str">
        <f>IF(B210="","",VLOOKUP($B210,'C-1 On-Site WaterC'' Baseline'!$C$9:$Z$257,12,FALSE))</f>
        <v/>
      </c>
      <c r="AU210" s="15" t="str">
        <f>IF(B210="","",VLOOKUP($B210,'C-1 On-Site WaterC'' Baseline'!$C$9:$Z$257,14,FALSE))</f>
        <v/>
      </c>
      <c r="AV210" s="15" t="str">
        <f>IFERROR(INDEX('G-7 WaterC'' Data'!$AZ$3:$AZ$7,MATCH(N210,'G-7 WaterC'' Data'!$AY$3:$AY$7,0)),"")</f>
        <v/>
      </c>
      <c r="AX210" s="15" t="str">
        <f>IF(B210="","",VLOOKUP($B210,'C-1 On-Site WaterC'' Baseline'!$C$9:$Y$257,22,FALSE))</f>
        <v/>
      </c>
      <c r="AY210" s="15" t="str">
        <f t="shared" si="35"/>
        <v/>
      </c>
      <c r="AZ210" s="15" t="str">
        <f>IF(B210="","",VLOOKUP($B210,'C-1 On-Site WaterC'' Baseline'!$C$9:$Y$257,21,FALSE))</f>
        <v/>
      </c>
      <c r="BA210" s="15" t="str">
        <f>IF(B210="","",VLOOKUP($B210,'C-1 On-Site WaterC'' Baseline'!$C$9:$Y$257,19,FALSE))</f>
        <v/>
      </c>
    </row>
    <row r="211" spans="2:53" ht="14" x14ac:dyDescent="0.3">
      <c r="B211" s="319" t="str">
        <f>'C-1 On-Site WaterC'' Baseline'!AP209</f>
        <v/>
      </c>
      <c r="C211" s="310" t="str">
        <f>IF(B211="","",VLOOKUP($B211,'C-1 On-Site WaterC'' Baseline'!$C$9:$R$257,2,FALSE))</f>
        <v/>
      </c>
      <c r="D211" s="310" t="str">
        <f>IF(C211="","",VLOOKUP($B211,'C-1 On-Site WaterC'' Baseline'!$C$9:$R$257,3,FALSE))</f>
        <v/>
      </c>
      <c r="E211" s="310" t="str">
        <f>IF(D211="","",VLOOKUP($B211,'C-1 On-Site WaterC'' Baseline'!$C$9:$R$257,4,FALSE))</f>
        <v/>
      </c>
      <c r="F211" s="310" t="str">
        <f>IF(E211="","",VLOOKUP($B211,'C-1 On-Site WaterC'' Baseline'!$C$9:$R$257,5,FALSE))</f>
        <v/>
      </c>
      <c r="G211" s="310" t="str">
        <f>IF(F211="","",VLOOKUP($B211,'C-1 On-Site WaterC'' Baseline'!$C$9:$R$257,6,FALSE))</f>
        <v/>
      </c>
      <c r="H211" s="310" t="str">
        <f>IF(G211="","",VLOOKUP($B211,'C-1 On-Site WaterC'' Baseline'!$C$9:$R$257,7,FALSE))</f>
        <v/>
      </c>
      <c r="I211" s="310" t="str">
        <f>IF(H211="","",VLOOKUP($B211,'C-1 On-Site WaterC'' Baseline'!$C$9:$R$257,8,FALSE))</f>
        <v/>
      </c>
      <c r="J211" s="310" t="str">
        <f>IF(I211="","",VLOOKUP($B211,'C-1 On-Site WaterC'' Baseline'!$C$9:$R$257,9,FALSE))</f>
        <v/>
      </c>
      <c r="K211" s="310" t="str">
        <f>IF(J211="","",VLOOKUP($B211,'C-1 On-Site WaterC'' Baseline'!$C$9:$R$257,10,FALSE))</f>
        <v/>
      </c>
      <c r="L211" s="310" t="str">
        <f>IF(B211="","",VLOOKUP($B211,'C-1 On-Site WaterC'' Baseline'!$C$9:$R$257,15,FALSE))</f>
        <v/>
      </c>
      <c r="M211" s="314" t="str">
        <f>IF(L211="","",VLOOKUP($B211,'C-1 On-Site WaterC'' Baseline'!$C$9:$R$257,16,FALSE))</f>
        <v/>
      </c>
      <c r="N211" s="259"/>
      <c r="O211" s="290" t="str">
        <f t="shared" si="28"/>
        <v/>
      </c>
      <c r="P211" s="291" t="str">
        <f t="shared" si="29"/>
        <v/>
      </c>
      <c r="Q211" s="346" t="str">
        <f>IF(N211="","",VLOOKUP(B211,'C-1 On-Site WaterC'' Baseline'!$C$10:$AC$257,20,FALSE))</f>
        <v/>
      </c>
      <c r="R211" s="290" t="str">
        <f>IF(N211="","",VLOOKUP(N211,'G-7 WaterC'' Data'!$B$2:$G$8,2,FALSE))</f>
        <v/>
      </c>
      <c r="S211" s="291" t="str">
        <f>IFERROR(VLOOKUP(R211,'G-7 WaterC'' Data'!$C$4:$D$8,2,FALSE),"")</f>
        <v/>
      </c>
      <c r="T211" s="95"/>
      <c r="U211" s="291" t="str">
        <f>IFERROR(INDEX('G-7 WaterC'' Data'!$H$4:$L$8,MATCH(N211,'G-7 WaterC'' Data'!$B$4:$B$8,0),MATCH(T211,'G-7 WaterC'' Data'!$H$3:$L$3,0)),"")</f>
        <v/>
      </c>
      <c r="V211" s="95"/>
      <c r="W211" s="298" t="str">
        <f>IF(V211="","",IF(VLOOKUP(V211,'G-7 WaterC'' Data'!$AK$4:$AM$6,2,FALSE)=0,"Spatial Data Missing ⚠",VLOOKUP(V211,'G-7 WaterC'' Data'!$AK$4:$AM$6,2,FALSE)))</f>
        <v/>
      </c>
      <c r="X211" s="291" t="str">
        <f>IF(V211="","",IF(VLOOKUP(V211,'G-7 WaterC'' Data'!$AK$4:$AM$6,3,FALSE)=0,"Spatial Data Missing ⚠",VLOOKUP(V211,'G-7 WaterC'' Data'!$AK$4:$AM$6,3,FALSE)))</f>
        <v/>
      </c>
      <c r="Y211" s="290" t="str">
        <f>IFERROR(IF(OR(LEFT(P211,5)="Error",LEFT(O211,5)="Error ▲"),"Check Data ⚠",IF(F211&lt;S211,'G-7 WaterC'' Data'!$R$3,INDEX('G-7 WaterC'' Data'!$U$5:$Y$9,MATCH(G211,'G-7 WaterC'' Data'!$T$5:$T$9,0),MATCH(T211,'G-7 WaterC'' Data'!$U$4:$Y$4,0)))),"")</f>
        <v/>
      </c>
      <c r="Z211" s="138"/>
      <c r="AA211" s="138"/>
      <c r="AB211" s="298" t="str">
        <f t="shared" si="30"/>
        <v/>
      </c>
      <c r="AC211" s="311" t="str">
        <f t="shared" si="31"/>
        <v/>
      </c>
      <c r="AD211" s="344" t="str">
        <f>IFERROR(IF(AC211="Check Data ⚠","Check Data ⚠",VLOOKUP(AC211,'G-4 Temporal multipliers'!$A$4:$C$37,3,FALSE)),"")</f>
        <v/>
      </c>
      <c r="AE211" s="290" t="str">
        <f>IF(N211="","",VLOOKUP(N211,'G-7 WaterC'' Data'!$B$4:$G$8,5,FALSE))</f>
        <v/>
      </c>
      <c r="AF211" s="298" t="str">
        <f t="shared" si="32"/>
        <v/>
      </c>
      <c r="AG211" s="328" t="str">
        <f t="shared" si="33"/>
        <v/>
      </c>
      <c r="AH211" s="291" t="str">
        <f t="shared" si="27"/>
        <v/>
      </c>
      <c r="AI211" s="103"/>
      <c r="AJ211" s="291" t="str">
        <f>IF(AI211="","",IF(AND(AI211="N/A - Culvert",N211&lt;&gt;"Culvert"),"Not possible ▲",IF(VLOOKUP(AI211,'G-7 WaterC'' Data'!$AA$4:$AB$7,2,FALSE)=0,"Spatial Data Missing ⚠",VLOOKUP(AI211,'G-7 WaterC'' Data'!$AA$4:$AB$7,2,FALSE))))</f>
        <v/>
      </c>
      <c r="AK211" s="104"/>
      <c r="AL211" s="291" t="str">
        <f>IF(AK211="","",IF(AND(AK211="N/A - Culvert",N211&lt;&gt;"Culvert"),"Not possible ▲",IF(VLOOKUP(AK211,'G-7 WaterC'' Data'!$AD$4:$AE$14,2,FALSE)=0,"Spatial Data Missing ⚠",VLOOKUP(AK211,'G-7 WaterC'' Data'!$AD$4:$AE$14,2,FALSE))))</f>
        <v/>
      </c>
      <c r="AM211" s="332" t="str">
        <f t="shared" si="34"/>
        <v/>
      </c>
      <c r="AN211" s="98"/>
      <c r="AO211" s="99"/>
      <c r="AP211" s="101"/>
      <c r="AS211" s="15" t="str">
        <f>IF(B211="","",IF(ISNA(VLOOKUP($B211,'C-1 On-Site WaterC'' Baseline'!$C$8:$AD$257,17,FALSE)),"",(VLOOKUP($B211,'C-1 On-Site WaterC'' Baseline'!$C$8:$AD$257,17,FALSE))))</f>
        <v/>
      </c>
      <c r="AT211" s="15" t="str">
        <f>IF(B211="","",VLOOKUP($B211,'C-1 On-Site WaterC'' Baseline'!$C$9:$Z$257,12,FALSE))</f>
        <v/>
      </c>
      <c r="AU211" s="15" t="str">
        <f>IF(B211="","",VLOOKUP($B211,'C-1 On-Site WaterC'' Baseline'!$C$9:$Z$257,14,FALSE))</f>
        <v/>
      </c>
      <c r="AV211" s="15" t="str">
        <f>IFERROR(INDEX('G-7 WaterC'' Data'!$AZ$3:$AZ$7,MATCH(N211,'G-7 WaterC'' Data'!$AY$3:$AY$7,0)),"")</f>
        <v/>
      </c>
      <c r="AX211" s="15" t="str">
        <f>IF(B211="","",VLOOKUP($B211,'C-1 On-Site WaterC'' Baseline'!$C$9:$Y$257,22,FALSE))</f>
        <v/>
      </c>
      <c r="AY211" s="15" t="str">
        <f t="shared" si="35"/>
        <v/>
      </c>
      <c r="AZ211" s="15" t="str">
        <f>IF(B211="","",VLOOKUP($B211,'C-1 On-Site WaterC'' Baseline'!$C$9:$Y$257,21,FALSE))</f>
        <v/>
      </c>
      <c r="BA211" s="15" t="str">
        <f>IF(B211="","",VLOOKUP($B211,'C-1 On-Site WaterC'' Baseline'!$C$9:$Y$257,19,FALSE))</f>
        <v/>
      </c>
    </row>
    <row r="212" spans="2:53" ht="14" x14ac:dyDescent="0.3">
      <c r="B212" s="319" t="str">
        <f>'C-1 On-Site WaterC'' Baseline'!AP210</f>
        <v/>
      </c>
      <c r="C212" s="310" t="str">
        <f>IF(B212="","",VLOOKUP($B212,'C-1 On-Site WaterC'' Baseline'!$C$9:$R$257,2,FALSE))</f>
        <v/>
      </c>
      <c r="D212" s="310" t="str">
        <f>IF(C212="","",VLOOKUP($B212,'C-1 On-Site WaterC'' Baseline'!$C$9:$R$257,3,FALSE))</f>
        <v/>
      </c>
      <c r="E212" s="310" t="str">
        <f>IF(D212="","",VLOOKUP($B212,'C-1 On-Site WaterC'' Baseline'!$C$9:$R$257,4,FALSE))</f>
        <v/>
      </c>
      <c r="F212" s="310" t="str">
        <f>IF(E212="","",VLOOKUP($B212,'C-1 On-Site WaterC'' Baseline'!$C$9:$R$257,5,FALSE))</f>
        <v/>
      </c>
      <c r="G212" s="310" t="str">
        <f>IF(F212="","",VLOOKUP($B212,'C-1 On-Site WaterC'' Baseline'!$C$9:$R$257,6,FALSE))</f>
        <v/>
      </c>
      <c r="H212" s="310" t="str">
        <f>IF(G212="","",VLOOKUP($B212,'C-1 On-Site WaterC'' Baseline'!$C$9:$R$257,7,FALSE))</f>
        <v/>
      </c>
      <c r="I212" s="310" t="str">
        <f>IF(H212="","",VLOOKUP($B212,'C-1 On-Site WaterC'' Baseline'!$C$9:$R$257,8,FALSE))</f>
        <v/>
      </c>
      <c r="J212" s="310" t="str">
        <f>IF(I212="","",VLOOKUP($B212,'C-1 On-Site WaterC'' Baseline'!$C$9:$R$257,9,FALSE))</f>
        <v/>
      </c>
      <c r="K212" s="310" t="str">
        <f>IF(J212="","",VLOOKUP($B212,'C-1 On-Site WaterC'' Baseline'!$C$9:$R$257,10,FALSE))</f>
        <v/>
      </c>
      <c r="L212" s="310" t="str">
        <f>IF(B212="","",VLOOKUP($B212,'C-1 On-Site WaterC'' Baseline'!$C$9:$R$257,15,FALSE))</f>
        <v/>
      </c>
      <c r="M212" s="314" t="str">
        <f>IF(L212="","",VLOOKUP($B212,'C-1 On-Site WaterC'' Baseline'!$C$9:$R$257,16,FALSE))</f>
        <v/>
      </c>
      <c r="N212" s="259"/>
      <c r="O212" s="290" t="str">
        <f t="shared" si="28"/>
        <v/>
      </c>
      <c r="P212" s="291" t="str">
        <f t="shared" si="29"/>
        <v/>
      </c>
      <c r="Q212" s="346" t="str">
        <f>IF(N212="","",VLOOKUP(B212,'C-1 On-Site WaterC'' Baseline'!$C$10:$AC$257,20,FALSE))</f>
        <v/>
      </c>
      <c r="R212" s="290" t="str">
        <f>IF(N212="","",VLOOKUP(N212,'G-7 WaterC'' Data'!$B$2:$G$8,2,FALSE))</f>
        <v/>
      </c>
      <c r="S212" s="291" t="str">
        <f>IFERROR(VLOOKUP(R212,'G-7 WaterC'' Data'!$C$4:$D$8,2,FALSE),"")</f>
        <v/>
      </c>
      <c r="T212" s="95"/>
      <c r="U212" s="291" t="str">
        <f>IFERROR(INDEX('G-7 WaterC'' Data'!$H$4:$L$8,MATCH(N212,'G-7 WaterC'' Data'!$B$4:$B$8,0),MATCH(T212,'G-7 WaterC'' Data'!$H$3:$L$3,0)),"")</f>
        <v/>
      </c>
      <c r="V212" s="95"/>
      <c r="W212" s="298" t="str">
        <f>IF(V212="","",IF(VLOOKUP(V212,'G-7 WaterC'' Data'!$AK$4:$AM$6,2,FALSE)=0,"Spatial Data Missing ⚠",VLOOKUP(V212,'G-7 WaterC'' Data'!$AK$4:$AM$6,2,FALSE)))</f>
        <v/>
      </c>
      <c r="X212" s="291" t="str">
        <f>IF(V212="","",IF(VLOOKUP(V212,'G-7 WaterC'' Data'!$AK$4:$AM$6,3,FALSE)=0,"Spatial Data Missing ⚠",VLOOKUP(V212,'G-7 WaterC'' Data'!$AK$4:$AM$6,3,FALSE)))</f>
        <v/>
      </c>
      <c r="Y212" s="290" t="str">
        <f>IFERROR(IF(OR(LEFT(P212,5)="Error",LEFT(O212,5)="Error ▲"),"Check Data ⚠",IF(F212&lt;S212,'G-7 WaterC'' Data'!$R$3,INDEX('G-7 WaterC'' Data'!$U$5:$Y$9,MATCH(G212,'G-7 WaterC'' Data'!$T$5:$T$9,0),MATCH(T212,'G-7 WaterC'' Data'!$U$4:$Y$4,0)))),"")</f>
        <v/>
      </c>
      <c r="Z212" s="138"/>
      <c r="AA212" s="138"/>
      <c r="AB212" s="298" t="str">
        <f t="shared" si="30"/>
        <v/>
      </c>
      <c r="AC212" s="311" t="str">
        <f t="shared" si="31"/>
        <v/>
      </c>
      <c r="AD212" s="344" t="str">
        <f>IFERROR(IF(AC212="Check Data ⚠","Check Data ⚠",VLOOKUP(AC212,'G-4 Temporal multipliers'!$A$4:$C$37,3,FALSE)),"")</f>
        <v/>
      </c>
      <c r="AE212" s="290" t="str">
        <f>IF(N212="","",VLOOKUP(N212,'G-7 WaterC'' Data'!$B$4:$G$8,5,FALSE))</f>
        <v/>
      </c>
      <c r="AF212" s="298" t="str">
        <f t="shared" si="32"/>
        <v/>
      </c>
      <c r="AG212" s="328" t="str">
        <f t="shared" si="33"/>
        <v/>
      </c>
      <c r="AH212" s="291" t="str">
        <f t="shared" si="27"/>
        <v/>
      </c>
      <c r="AI212" s="103"/>
      <c r="AJ212" s="291" t="str">
        <f>IF(AI212="","",IF(AND(AI212="N/A - Culvert",N212&lt;&gt;"Culvert"),"Not possible ▲",IF(VLOOKUP(AI212,'G-7 WaterC'' Data'!$AA$4:$AB$7,2,FALSE)=0,"Spatial Data Missing ⚠",VLOOKUP(AI212,'G-7 WaterC'' Data'!$AA$4:$AB$7,2,FALSE))))</f>
        <v/>
      </c>
      <c r="AK212" s="104"/>
      <c r="AL212" s="291" t="str">
        <f>IF(AK212="","",IF(AND(AK212="N/A - Culvert",N212&lt;&gt;"Culvert"),"Not possible ▲",IF(VLOOKUP(AK212,'G-7 WaterC'' Data'!$AD$4:$AE$14,2,FALSE)=0,"Spatial Data Missing ⚠",VLOOKUP(AK212,'G-7 WaterC'' Data'!$AD$4:$AE$14,2,FALSE))))</f>
        <v/>
      </c>
      <c r="AM212" s="332" t="str">
        <f t="shared" si="34"/>
        <v/>
      </c>
      <c r="AN212" s="98"/>
      <c r="AO212" s="99"/>
      <c r="AP212" s="101"/>
      <c r="AS212" s="15" t="str">
        <f>IF(B212="","",IF(ISNA(VLOOKUP($B212,'C-1 On-Site WaterC'' Baseline'!$C$8:$AD$257,17,FALSE)),"",(VLOOKUP($B212,'C-1 On-Site WaterC'' Baseline'!$C$8:$AD$257,17,FALSE))))</f>
        <v/>
      </c>
      <c r="AT212" s="15" t="str">
        <f>IF(B212="","",VLOOKUP($B212,'C-1 On-Site WaterC'' Baseline'!$C$9:$Z$257,12,FALSE))</f>
        <v/>
      </c>
      <c r="AU212" s="15" t="str">
        <f>IF(B212="","",VLOOKUP($B212,'C-1 On-Site WaterC'' Baseline'!$C$9:$Z$257,14,FALSE))</f>
        <v/>
      </c>
      <c r="AV212" s="15" t="str">
        <f>IFERROR(INDEX('G-7 WaterC'' Data'!$AZ$3:$AZ$7,MATCH(N212,'G-7 WaterC'' Data'!$AY$3:$AY$7,0)),"")</f>
        <v/>
      </c>
      <c r="AX212" s="15" t="str">
        <f>IF(B212="","",VLOOKUP($B212,'C-1 On-Site WaterC'' Baseline'!$C$9:$Y$257,22,FALSE))</f>
        <v/>
      </c>
      <c r="AY212" s="15" t="str">
        <f t="shared" si="35"/>
        <v/>
      </c>
      <c r="AZ212" s="15" t="str">
        <f>IF(B212="","",VLOOKUP($B212,'C-1 On-Site WaterC'' Baseline'!$C$9:$Y$257,21,FALSE))</f>
        <v/>
      </c>
      <c r="BA212" s="15" t="str">
        <f>IF(B212="","",VLOOKUP($B212,'C-1 On-Site WaterC'' Baseline'!$C$9:$Y$257,19,FALSE))</f>
        <v/>
      </c>
    </row>
    <row r="213" spans="2:53" ht="14" x14ac:dyDescent="0.3">
      <c r="B213" s="319" t="str">
        <f>'C-1 On-Site WaterC'' Baseline'!AP211</f>
        <v/>
      </c>
      <c r="C213" s="310" t="str">
        <f>IF(B213="","",VLOOKUP($B213,'C-1 On-Site WaterC'' Baseline'!$C$9:$R$257,2,FALSE))</f>
        <v/>
      </c>
      <c r="D213" s="310" t="str">
        <f>IF(C213="","",VLOOKUP($B213,'C-1 On-Site WaterC'' Baseline'!$C$9:$R$257,3,FALSE))</f>
        <v/>
      </c>
      <c r="E213" s="310" t="str">
        <f>IF(D213="","",VLOOKUP($B213,'C-1 On-Site WaterC'' Baseline'!$C$9:$R$257,4,FALSE))</f>
        <v/>
      </c>
      <c r="F213" s="310" t="str">
        <f>IF(E213="","",VLOOKUP($B213,'C-1 On-Site WaterC'' Baseline'!$C$9:$R$257,5,FALSE))</f>
        <v/>
      </c>
      <c r="G213" s="310" t="str">
        <f>IF(F213="","",VLOOKUP($B213,'C-1 On-Site WaterC'' Baseline'!$C$9:$R$257,6,FALSE))</f>
        <v/>
      </c>
      <c r="H213" s="310" t="str">
        <f>IF(G213="","",VLOOKUP($B213,'C-1 On-Site WaterC'' Baseline'!$C$9:$R$257,7,FALSE))</f>
        <v/>
      </c>
      <c r="I213" s="310" t="str">
        <f>IF(H213="","",VLOOKUP($B213,'C-1 On-Site WaterC'' Baseline'!$C$9:$R$257,8,FALSE))</f>
        <v/>
      </c>
      <c r="J213" s="310" t="str">
        <f>IF(I213="","",VLOOKUP($B213,'C-1 On-Site WaterC'' Baseline'!$C$9:$R$257,9,FALSE))</f>
        <v/>
      </c>
      <c r="K213" s="310" t="str">
        <f>IF(J213="","",VLOOKUP($B213,'C-1 On-Site WaterC'' Baseline'!$C$9:$R$257,10,FALSE))</f>
        <v/>
      </c>
      <c r="L213" s="310" t="str">
        <f>IF(B213="","",VLOOKUP($B213,'C-1 On-Site WaterC'' Baseline'!$C$9:$R$257,15,FALSE))</f>
        <v/>
      </c>
      <c r="M213" s="314" t="str">
        <f>IF(L213="","",VLOOKUP($B213,'C-1 On-Site WaterC'' Baseline'!$C$9:$R$257,16,FALSE))</f>
        <v/>
      </c>
      <c r="N213" s="259"/>
      <c r="O213" s="290" t="str">
        <f t="shared" si="28"/>
        <v/>
      </c>
      <c r="P213" s="291" t="str">
        <f t="shared" si="29"/>
        <v/>
      </c>
      <c r="Q213" s="346" t="str">
        <f>IF(N213="","",VLOOKUP(B213,'C-1 On-Site WaterC'' Baseline'!$C$10:$AC$257,20,FALSE))</f>
        <v/>
      </c>
      <c r="R213" s="290" t="str">
        <f>IF(N213="","",VLOOKUP(N213,'G-7 WaterC'' Data'!$B$2:$G$8,2,FALSE))</f>
        <v/>
      </c>
      <c r="S213" s="291" t="str">
        <f>IFERROR(VLOOKUP(R213,'G-7 WaterC'' Data'!$C$4:$D$8,2,FALSE),"")</f>
        <v/>
      </c>
      <c r="T213" s="95"/>
      <c r="U213" s="291" t="str">
        <f>IFERROR(INDEX('G-7 WaterC'' Data'!$H$4:$L$8,MATCH(N213,'G-7 WaterC'' Data'!$B$4:$B$8,0),MATCH(T213,'G-7 WaterC'' Data'!$H$3:$L$3,0)),"")</f>
        <v/>
      </c>
      <c r="V213" s="95"/>
      <c r="W213" s="298" t="str">
        <f>IF(V213="","",IF(VLOOKUP(V213,'G-7 WaterC'' Data'!$AK$4:$AM$6,2,FALSE)=0,"Spatial Data Missing ⚠",VLOOKUP(V213,'G-7 WaterC'' Data'!$AK$4:$AM$6,2,FALSE)))</f>
        <v/>
      </c>
      <c r="X213" s="291" t="str">
        <f>IF(V213="","",IF(VLOOKUP(V213,'G-7 WaterC'' Data'!$AK$4:$AM$6,3,FALSE)=0,"Spatial Data Missing ⚠",VLOOKUP(V213,'G-7 WaterC'' Data'!$AK$4:$AM$6,3,FALSE)))</f>
        <v/>
      </c>
      <c r="Y213" s="290" t="str">
        <f>IFERROR(IF(OR(LEFT(P213,5)="Error",LEFT(O213,5)="Error ▲"),"Check Data ⚠",IF(F213&lt;S213,'G-7 WaterC'' Data'!$R$3,INDEX('G-7 WaterC'' Data'!$U$5:$Y$9,MATCH(G213,'G-7 WaterC'' Data'!$T$5:$T$9,0),MATCH(T213,'G-7 WaterC'' Data'!$U$4:$Y$4,0)))),"")</f>
        <v/>
      </c>
      <c r="Z213" s="138"/>
      <c r="AA213" s="138"/>
      <c r="AB213" s="298" t="str">
        <f t="shared" si="30"/>
        <v/>
      </c>
      <c r="AC213" s="311" t="str">
        <f t="shared" si="31"/>
        <v/>
      </c>
      <c r="AD213" s="344" t="str">
        <f>IFERROR(IF(AC213="Check Data ⚠","Check Data ⚠",VLOOKUP(AC213,'G-4 Temporal multipliers'!$A$4:$C$37,3,FALSE)),"")</f>
        <v/>
      </c>
      <c r="AE213" s="290" t="str">
        <f>IF(N213="","",VLOOKUP(N213,'G-7 WaterC'' Data'!$B$4:$G$8,5,FALSE))</f>
        <v/>
      </c>
      <c r="AF213" s="298" t="str">
        <f t="shared" si="32"/>
        <v/>
      </c>
      <c r="AG213" s="328" t="str">
        <f t="shared" si="33"/>
        <v/>
      </c>
      <c r="AH213" s="291" t="str">
        <f t="shared" si="27"/>
        <v/>
      </c>
      <c r="AI213" s="103"/>
      <c r="AJ213" s="291" t="str">
        <f>IF(AI213="","",IF(AND(AI213="N/A - Culvert",N213&lt;&gt;"Culvert"),"Not possible ▲",IF(VLOOKUP(AI213,'G-7 WaterC'' Data'!$AA$4:$AB$7,2,FALSE)=0,"Spatial Data Missing ⚠",VLOOKUP(AI213,'G-7 WaterC'' Data'!$AA$4:$AB$7,2,FALSE))))</f>
        <v/>
      </c>
      <c r="AK213" s="104"/>
      <c r="AL213" s="291" t="str">
        <f>IF(AK213="","",IF(AND(AK213="N/A - Culvert",N213&lt;&gt;"Culvert"),"Not possible ▲",IF(VLOOKUP(AK213,'G-7 WaterC'' Data'!$AD$4:$AE$14,2,FALSE)=0,"Spatial Data Missing ⚠",VLOOKUP(AK213,'G-7 WaterC'' Data'!$AD$4:$AE$14,2,FALSE))))</f>
        <v/>
      </c>
      <c r="AM213" s="332" t="str">
        <f t="shared" si="34"/>
        <v/>
      </c>
      <c r="AN213" s="98"/>
      <c r="AO213" s="99"/>
      <c r="AP213" s="101"/>
      <c r="AS213" s="15" t="str">
        <f>IF(B213="","",IF(ISNA(VLOOKUP($B213,'C-1 On-Site WaterC'' Baseline'!$C$8:$AD$257,17,FALSE)),"",(VLOOKUP($B213,'C-1 On-Site WaterC'' Baseline'!$C$8:$AD$257,17,FALSE))))</f>
        <v/>
      </c>
      <c r="AT213" s="15" t="str">
        <f>IF(B213="","",VLOOKUP($B213,'C-1 On-Site WaterC'' Baseline'!$C$9:$Z$257,12,FALSE))</f>
        <v/>
      </c>
      <c r="AU213" s="15" t="str">
        <f>IF(B213="","",VLOOKUP($B213,'C-1 On-Site WaterC'' Baseline'!$C$9:$Z$257,14,FALSE))</f>
        <v/>
      </c>
      <c r="AV213" s="15" t="str">
        <f>IFERROR(INDEX('G-7 WaterC'' Data'!$AZ$3:$AZ$7,MATCH(N213,'G-7 WaterC'' Data'!$AY$3:$AY$7,0)),"")</f>
        <v/>
      </c>
      <c r="AX213" s="15" t="str">
        <f>IF(B213="","",VLOOKUP($B213,'C-1 On-Site WaterC'' Baseline'!$C$9:$Y$257,22,FALSE))</f>
        <v/>
      </c>
      <c r="AY213" s="15" t="str">
        <f t="shared" si="35"/>
        <v/>
      </c>
      <c r="AZ213" s="15" t="str">
        <f>IF(B213="","",VLOOKUP($B213,'C-1 On-Site WaterC'' Baseline'!$C$9:$Y$257,21,FALSE))</f>
        <v/>
      </c>
      <c r="BA213" s="15" t="str">
        <f>IF(B213="","",VLOOKUP($B213,'C-1 On-Site WaterC'' Baseline'!$C$9:$Y$257,19,FALSE))</f>
        <v/>
      </c>
    </row>
    <row r="214" spans="2:53" ht="14" x14ac:dyDescent="0.3">
      <c r="B214" s="319" t="str">
        <f>'C-1 On-Site WaterC'' Baseline'!AP212</f>
        <v/>
      </c>
      <c r="C214" s="310" t="str">
        <f>IF(B214="","",VLOOKUP($B214,'C-1 On-Site WaterC'' Baseline'!$C$9:$R$257,2,FALSE))</f>
        <v/>
      </c>
      <c r="D214" s="310" t="str">
        <f>IF(C214="","",VLOOKUP($B214,'C-1 On-Site WaterC'' Baseline'!$C$9:$R$257,3,FALSE))</f>
        <v/>
      </c>
      <c r="E214" s="310" t="str">
        <f>IF(D214="","",VLOOKUP($B214,'C-1 On-Site WaterC'' Baseline'!$C$9:$R$257,4,FALSE))</f>
        <v/>
      </c>
      <c r="F214" s="310" t="str">
        <f>IF(E214="","",VLOOKUP($B214,'C-1 On-Site WaterC'' Baseline'!$C$9:$R$257,5,FALSE))</f>
        <v/>
      </c>
      <c r="G214" s="310" t="str">
        <f>IF(F214="","",VLOOKUP($B214,'C-1 On-Site WaterC'' Baseline'!$C$9:$R$257,6,FALSE))</f>
        <v/>
      </c>
      <c r="H214" s="310" t="str">
        <f>IF(G214="","",VLOOKUP($B214,'C-1 On-Site WaterC'' Baseline'!$C$9:$R$257,7,FALSE))</f>
        <v/>
      </c>
      <c r="I214" s="310" t="str">
        <f>IF(H214="","",VLOOKUP($B214,'C-1 On-Site WaterC'' Baseline'!$C$9:$R$257,8,FALSE))</f>
        <v/>
      </c>
      <c r="J214" s="310" t="str">
        <f>IF(I214="","",VLOOKUP($B214,'C-1 On-Site WaterC'' Baseline'!$C$9:$R$257,9,FALSE))</f>
        <v/>
      </c>
      <c r="K214" s="310" t="str">
        <f>IF(J214="","",VLOOKUP($B214,'C-1 On-Site WaterC'' Baseline'!$C$9:$R$257,10,FALSE))</f>
        <v/>
      </c>
      <c r="L214" s="310" t="str">
        <f>IF(B214="","",VLOOKUP($B214,'C-1 On-Site WaterC'' Baseline'!$C$9:$R$257,15,FALSE))</f>
        <v/>
      </c>
      <c r="M214" s="314" t="str">
        <f>IF(L214="","",VLOOKUP($B214,'C-1 On-Site WaterC'' Baseline'!$C$9:$R$257,16,FALSE))</f>
        <v/>
      </c>
      <c r="N214" s="259"/>
      <c r="O214" s="290" t="str">
        <f t="shared" si="28"/>
        <v/>
      </c>
      <c r="P214" s="291" t="str">
        <f t="shared" si="29"/>
        <v/>
      </c>
      <c r="Q214" s="346" t="str">
        <f>IF(N214="","",VLOOKUP(B214,'C-1 On-Site WaterC'' Baseline'!$C$10:$AC$257,20,FALSE))</f>
        <v/>
      </c>
      <c r="R214" s="290" t="str">
        <f>IF(N214="","",VLOOKUP(N214,'G-7 WaterC'' Data'!$B$2:$G$8,2,FALSE))</f>
        <v/>
      </c>
      <c r="S214" s="291" t="str">
        <f>IFERROR(VLOOKUP(R214,'G-7 WaterC'' Data'!$C$4:$D$8,2,FALSE),"")</f>
        <v/>
      </c>
      <c r="T214" s="95"/>
      <c r="U214" s="291" t="str">
        <f>IFERROR(INDEX('G-7 WaterC'' Data'!$H$4:$L$8,MATCH(N214,'G-7 WaterC'' Data'!$B$4:$B$8,0),MATCH(T214,'G-7 WaterC'' Data'!$H$3:$L$3,0)),"")</f>
        <v/>
      </c>
      <c r="V214" s="95"/>
      <c r="W214" s="298" t="str">
        <f>IF(V214="","",IF(VLOOKUP(V214,'G-7 WaterC'' Data'!$AK$4:$AM$6,2,FALSE)=0,"Spatial Data Missing ⚠",VLOOKUP(V214,'G-7 WaterC'' Data'!$AK$4:$AM$6,2,FALSE)))</f>
        <v/>
      </c>
      <c r="X214" s="291" t="str">
        <f>IF(V214="","",IF(VLOOKUP(V214,'G-7 WaterC'' Data'!$AK$4:$AM$6,3,FALSE)=0,"Spatial Data Missing ⚠",VLOOKUP(V214,'G-7 WaterC'' Data'!$AK$4:$AM$6,3,FALSE)))</f>
        <v/>
      </c>
      <c r="Y214" s="290" t="str">
        <f>IFERROR(IF(OR(LEFT(P214,5)="Error",LEFT(O214,5)="Error ▲"),"Check Data ⚠",IF(F214&lt;S214,'G-7 WaterC'' Data'!$R$3,INDEX('G-7 WaterC'' Data'!$U$5:$Y$9,MATCH(G214,'G-7 WaterC'' Data'!$T$5:$T$9,0),MATCH(T214,'G-7 WaterC'' Data'!$U$4:$Y$4,0)))),"")</f>
        <v/>
      </c>
      <c r="Z214" s="138"/>
      <c r="AA214" s="138"/>
      <c r="AB214" s="298" t="str">
        <f t="shared" si="30"/>
        <v/>
      </c>
      <c r="AC214" s="311" t="str">
        <f t="shared" si="31"/>
        <v/>
      </c>
      <c r="AD214" s="344" t="str">
        <f>IFERROR(IF(AC214="Check Data ⚠","Check Data ⚠",VLOOKUP(AC214,'G-4 Temporal multipliers'!$A$4:$C$37,3,FALSE)),"")</f>
        <v/>
      </c>
      <c r="AE214" s="290" t="str">
        <f>IF(N214="","",VLOOKUP(N214,'G-7 WaterC'' Data'!$B$4:$G$8,5,FALSE))</f>
        <v/>
      </c>
      <c r="AF214" s="298" t="str">
        <f t="shared" si="32"/>
        <v/>
      </c>
      <c r="AG214" s="328" t="str">
        <f t="shared" si="33"/>
        <v/>
      </c>
      <c r="AH214" s="291" t="str">
        <f t="shared" si="27"/>
        <v/>
      </c>
      <c r="AI214" s="103"/>
      <c r="AJ214" s="291" t="str">
        <f>IF(AI214="","",IF(AND(AI214="N/A - Culvert",N214&lt;&gt;"Culvert"),"Not possible ▲",IF(VLOOKUP(AI214,'G-7 WaterC'' Data'!$AA$4:$AB$7,2,FALSE)=0,"Spatial Data Missing ⚠",VLOOKUP(AI214,'G-7 WaterC'' Data'!$AA$4:$AB$7,2,FALSE))))</f>
        <v/>
      </c>
      <c r="AK214" s="104"/>
      <c r="AL214" s="291" t="str">
        <f>IF(AK214="","",IF(AND(AK214="N/A - Culvert",N214&lt;&gt;"Culvert"),"Not possible ▲",IF(VLOOKUP(AK214,'G-7 WaterC'' Data'!$AD$4:$AE$14,2,FALSE)=0,"Spatial Data Missing ⚠",VLOOKUP(AK214,'G-7 WaterC'' Data'!$AD$4:$AE$14,2,FALSE))))</f>
        <v/>
      </c>
      <c r="AM214" s="332" t="str">
        <f t="shared" si="34"/>
        <v/>
      </c>
      <c r="AN214" s="98"/>
      <c r="AO214" s="99"/>
      <c r="AP214" s="101"/>
      <c r="AS214" s="15" t="str">
        <f>IF(B214="","",IF(ISNA(VLOOKUP($B214,'C-1 On-Site WaterC'' Baseline'!$C$8:$AD$257,17,FALSE)),"",(VLOOKUP($B214,'C-1 On-Site WaterC'' Baseline'!$C$8:$AD$257,17,FALSE))))</f>
        <v/>
      </c>
      <c r="AT214" s="15" t="str">
        <f>IF(B214="","",VLOOKUP($B214,'C-1 On-Site WaterC'' Baseline'!$C$9:$Z$257,12,FALSE))</f>
        <v/>
      </c>
      <c r="AU214" s="15" t="str">
        <f>IF(B214="","",VLOOKUP($B214,'C-1 On-Site WaterC'' Baseline'!$C$9:$Z$257,14,FALSE))</f>
        <v/>
      </c>
      <c r="AV214" s="15" t="str">
        <f>IFERROR(INDEX('G-7 WaterC'' Data'!$AZ$3:$AZ$7,MATCH(N214,'G-7 WaterC'' Data'!$AY$3:$AY$7,0)),"")</f>
        <v/>
      </c>
      <c r="AX214" s="15" t="str">
        <f>IF(B214="","",VLOOKUP($B214,'C-1 On-Site WaterC'' Baseline'!$C$9:$Y$257,22,FALSE))</f>
        <v/>
      </c>
      <c r="AY214" s="15" t="str">
        <f t="shared" si="35"/>
        <v/>
      </c>
      <c r="AZ214" s="15" t="str">
        <f>IF(B214="","",VLOOKUP($B214,'C-1 On-Site WaterC'' Baseline'!$C$9:$Y$257,21,FALSE))</f>
        <v/>
      </c>
      <c r="BA214" s="15" t="str">
        <f>IF(B214="","",VLOOKUP($B214,'C-1 On-Site WaterC'' Baseline'!$C$9:$Y$257,19,FALSE))</f>
        <v/>
      </c>
    </row>
    <row r="215" spans="2:53" ht="14" x14ac:dyDescent="0.3">
      <c r="B215" s="319" t="str">
        <f>'C-1 On-Site WaterC'' Baseline'!AP213</f>
        <v/>
      </c>
      <c r="C215" s="310" t="str">
        <f>IF(B215="","",VLOOKUP($B215,'C-1 On-Site WaterC'' Baseline'!$C$9:$R$257,2,FALSE))</f>
        <v/>
      </c>
      <c r="D215" s="310" t="str">
        <f>IF(C215="","",VLOOKUP($B215,'C-1 On-Site WaterC'' Baseline'!$C$9:$R$257,3,FALSE))</f>
        <v/>
      </c>
      <c r="E215" s="310" t="str">
        <f>IF(D215="","",VLOOKUP($B215,'C-1 On-Site WaterC'' Baseline'!$C$9:$R$257,4,FALSE))</f>
        <v/>
      </c>
      <c r="F215" s="310" t="str">
        <f>IF(E215="","",VLOOKUP($B215,'C-1 On-Site WaterC'' Baseline'!$C$9:$R$257,5,FALSE))</f>
        <v/>
      </c>
      <c r="G215" s="310" t="str">
        <f>IF(F215="","",VLOOKUP($B215,'C-1 On-Site WaterC'' Baseline'!$C$9:$R$257,6,FALSE))</f>
        <v/>
      </c>
      <c r="H215" s="310" t="str">
        <f>IF(G215="","",VLOOKUP($B215,'C-1 On-Site WaterC'' Baseline'!$C$9:$R$257,7,FALSE))</f>
        <v/>
      </c>
      <c r="I215" s="310" t="str">
        <f>IF(H215="","",VLOOKUP($B215,'C-1 On-Site WaterC'' Baseline'!$C$9:$R$257,8,FALSE))</f>
        <v/>
      </c>
      <c r="J215" s="310" t="str">
        <f>IF(I215="","",VLOOKUP($B215,'C-1 On-Site WaterC'' Baseline'!$C$9:$R$257,9,FALSE))</f>
        <v/>
      </c>
      <c r="K215" s="310" t="str">
        <f>IF(J215="","",VLOOKUP($B215,'C-1 On-Site WaterC'' Baseline'!$C$9:$R$257,10,FALSE))</f>
        <v/>
      </c>
      <c r="L215" s="310" t="str">
        <f>IF(B215="","",VLOOKUP($B215,'C-1 On-Site WaterC'' Baseline'!$C$9:$R$257,15,FALSE))</f>
        <v/>
      </c>
      <c r="M215" s="314" t="str">
        <f>IF(L215="","",VLOOKUP($B215,'C-1 On-Site WaterC'' Baseline'!$C$9:$R$257,16,FALSE))</f>
        <v/>
      </c>
      <c r="N215" s="259"/>
      <c r="O215" s="290" t="str">
        <f t="shared" si="28"/>
        <v/>
      </c>
      <c r="P215" s="291" t="str">
        <f t="shared" si="29"/>
        <v/>
      </c>
      <c r="Q215" s="346" t="str">
        <f>IF(N215="","",VLOOKUP(B215,'C-1 On-Site WaterC'' Baseline'!$C$10:$AC$257,20,FALSE))</f>
        <v/>
      </c>
      <c r="R215" s="290" t="str">
        <f>IF(N215="","",VLOOKUP(N215,'G-7 WaterC'' Data'!$B$2:$G$8,2,FALSE))</f>
        <v/>
      </c>
      <c r="S215" s="291" t="str">
        <f>IFERROR(VLOOKUP(R215,'G-7 WaterC'' Data'!$C$4:$D$8,2,FALSE),"")</f>
        <v/>
      </c>
      <c r="T215" s="95"/>
      <c r="U215" s="291" t="str">
        <f>IFERROR(INDEX('G-7 WaterC'' Data'!$H$4:$L$8,MATCH(N215,'G-7 WaterC'' Data'!$B$4:$B$8,0),MATCH(T215,'G-7 WaterC'' Data'!$H$3:$L$3,0)),"")</f>
        <v/>
      </c>
      <c r="V215" s="95"/>
      <c r="W215" s="298" t="str">
        <f>IF(V215="","",IF(VLOOKUP(V215,'G-7 WaterC'' Data'!$AK$4:$AM$6,2,FALSE)=0,"Spatial Data Missing ⚠",VLOOKUP(V215,'G-7 WaterC'' Data'!$AK$4:$AM$6,2,FALSE)))</f>
        <v/>
      </c>
      <c r="X215" s="291" t="str">
        <f>IF(V215="","",IF(VLOOKUP(V215,'G-7 WaterC'' Data'!$AK$4:$AM$6,3,FALSE)=0,"Spatial Data Missing ⚠",VLOOKUP(V215,'G-7 WaterC'' Data'!$AK$4:$AM$6,3,FALSE)))</f>
        <v/>
      </c>
      <c r="Y215" s="290" t="str">
        <f>IFERROR(IF(OR(LEFT(P215,5)="Error",LEFT(O215,5)="Error ▲"),"Check Data ⚠",IF(F215&lt;S215,'G-7 WaterC'' Data'!$R$3,INDEX('G-7 WaterC'' Data'!$U$5:$Y$9,MATCH(G215,'G-7 WaterC'' Data'!$T$5:$T$9,0),MATCH(T215,'G-7 WaterC'' Data'!$U$4:$Y$4,0)))),"")</f>
        <v/>
      </c>
      <c r="Z215" s="138"/>
      <c r="AA215" s="138"/>
      <c r="AB215" s="298" t="str">
        <f t="shared" si="30"/>
        <v/>
      </c>
      <c r="AC215" s="311" t="str">
        <f t="shared" si="31"/>
        <v/>
      </c>
      <c r="AD215" s="344" t="str">
        <f>IFERROR(IF(AC215="Check Data ⚠","Check Data ⚠",VLOOKUP(AC215,'G-4 Temporal multipliers'!$A$4:$C$37,3,FALSE)),"")</f>
        <v/>
      </c>
      <c r="AE215" s="290" t="str">
        <f>IF(N215="","",VLOOKUP(N215,'G-7 WaterC'' Data'!$B$4:$G$8,5,FALSE))</f>
        <v/>
      </c>
      <c r="AF215" s="298" t="str">
        <f t="shared" si="32"/>
        <v/>
      </c>
      <c r="AG215" s="328" t="str">
        <f t="shared" si="33"/>
        <v/>
      </c>
      <c r="AH215" s="291" t="str">
        <f t="shared" si="27"/>
        <v/>
      </c>
      <c r="AI215" s="103"/>
      <c r="AJ215" s="291" t="str">
        <f>IF(AI215="","",IF(AND(AI215="N/A - Culvert",N215&lt;&gt;"Culvert"),"Not possible ▲",IF(VLOOKUP(AI215,'G-7 WaterC'' Data'!$AA$4:$AB$7,2,FALSE)=0,"Spatial Data Missing ⚠",VLOOKUP(AI215,'G-7 WaterC'' Data'!$AA$4:$AB$7,2,FALSE))))</f>
        <v/>
      </c>
      <c r="AK215" s="104"/>
      <c r="AL215" s="291" t="str">
        <f>IF(AK215="","",IF(AND(AK215="N/A - Culvert",N215&lt;&gt;"Culvert"),"Not possible ▲",IF(VLOOKUP(AK215,'G-7 WaterC'' Data'!$AD$4:$AE$14,2,FALSE)=0,"Spatial Data Missing ⚠",VLOOKUP(AK215,'G-7 WaterC'' Data'!$AD$4:$AE$14,2,FALSE))))</f>
        <v/>
      </c>
      <c r="AM215" s="332" t="str">
        <f t="shared" si="34"/>
        <v/>
      </c>
      <c r="AN215" s="98"/>
      <c r="AO215" s="99"/>
      <c r="AP215" s="101"/>
      <c r="AS215" s="15" t="str">
        <f>IF(B215="","",IF(ISNA(VLOOKUP($B215,'C-1 On-Site WaterC'' Baseline'!$C$8:$AD$257,17,FALSE)),"",(VLOOKUP($B215,'C-1 On-Site WaterC'' Baseline'!$C$8:$AD$257,17,FALSE))))</f>
        <v/>
      </c>
      <c r="AT215" s="15" t="str">
        <f>IF(B215="","",VLOOKUP($B215,'C-1 On-Site WaterC'' Baseline'!$C$9:$Z$257,12,FALSE))</f>
        <v/>
      </c>
      <c r="AU215" s="15" t="str">
        <f>IF(B215="","",VLOOKUP($B215,'C-1 On-Site WaterC'' Baseline'!$C$9:$Z$257,14,FALSE))</f>
        <v/>
      </c>
      <c r="AV215" s="15" t="str">
        <f>IFERROR(INDEX('G-7 WaterC'' Data'!$AZ$3:$AZ$7,MATCH(N215,'G-7 WaterC'' Data'!$AY$3:$AY$7,0)),"")</f>
        <v/>
      </c>
      <c r="AX215" s="15" t="str">
        <f>IF(B215="","",VLOOKUP($B215,'C-1 On-Site WaterC'' Baseline'!$C$9:$Y$257,22,FALSE))</f>
        <v/>
      </c>
      <c r="AY215" s="15" t="str">
        <f t="shared" si="35"/>
        <v/>
      </c>
      <c r="AZ215" s="15" t="str">
        <f>IF(B215="","",VLOOKUP($B215,'C-1 On-Site WaterC'' Baseline'!$C$9:$Y$257,21,FALSE))</f>
        <v/>
      </c>
      <c r="BA215" s="15" t="str">
        <f>IF(B215="","",VLOOKUP($B215,'C-1 On-Site WaterC'' Baseline'!$C$9:$Y$257,19,FALSE))</f>
        <v/>
      </c>
    </row>
    <row r="216" spans="2:53" ht="14" x14ac:dyDescent="0.3">
      <c r="B216" s="319" t="str">
        <f>'C-1 On-Site WaterC'' Baseline'!AP214</f>
        <v/>
      </c>
      <c r="C216" s="310" t="str">
        <f>IF(B216="","",VLOOKUP($B216,'C-1 On-Site WaterC'' Baseline'!$C$9:$R$257,2,FALSE))</f>
        <v/>
      </c>
      <c r="D216" s="310" t="str">
        <f>IF(C216="","",VLOOKUP($B216,'C-1 On-Site WaterC'' Baseline'!$C$9:$R$257,3,FALSE))</f>
        <v/>
      </c>
      <c r="E216" s="310" t="str">
        <f>IF(D216="","",VLOOKUP($B216,'C-1 On-Site WaterC'' Baseline'!$C$9:$R$257,4,FALSE))</f>
        <v/>
      </c>
      <c r="F216" s="310" t="str">
        <f>IF(E216="","",VLOOKUP($B216,'C-1 On-Site WaterC'' Baseline'!$C$9:$R$257,5,FALSE))</f>
        <v/>
      </c>
      <c r="G216" s="310" t="str">
        <f>IF(F216="","",VLOOKUP($B216,'C-1 On-Site WaterC'' Baseline'!$C$9:$R$257,6,FALSE))</f>
        <v/>
      </c>
      <c r="H216" s="310" t="str">
        <f>IF(G216="","",VLOOKUP($B216,'C-1 On-Site WaterC'' Baseline'!$C$9:$R$257,7,FALSE))</f>
        <v/>
      </c>
      <c r="I216" s="310" t="str">
        <f>IF(H216="","",VLOOKUP($B216,'C-1 On-Site WaterC'' Baseline'!$C$9:$R$257,8,FALSE))</f>
        <v/>
      </c>
      <c r="J216" s="310" t="str">
        <f>IF(I216="","",VLOOKUP($B216,'C-1 On-Site WaterC'' Baseline'!$C$9:$R$257,9,FALSE))</f>
        <v/>
      </c>
      <c r="K216" s="310" t="str">
        <f>IF(J216="","",VLOOKUP($B216,'C-1 On-Site WaterC'' Baseline'!$C$9:$R$257,10,FALSE))</f>
        <v/>
      </c>
      <c r="L216" s="310" t="str">
        <f>IF(B216="","",VLOOKUP($B216,'C-1 On-Site WaterC'' Baseline'!$C$9:$R$257,15,FALSE))</f>
        <v/>
      </c>
      <c r="M216" s="314" t="str">
        <f>IF(L216="","",VLOOKUP($B216,'C-1 On-Site WaterC'' Baseline'!$C$9:$R$257,16,FALSE))</f>
        <v/>
      </c>
      <c r="N216" s="259"/>
      <c r="O216" s="290" t="str">
        <f t="shared" si="28"/>
        <v/>
      </c>
      <c r="P216" s="291" t="str">
        <f t="shared" si="29"/>
        <v/>
      </c>
      <c r="Q216" s="346" t="str">
        <f>IF(N216="","",VLOOKUP(B216,'C-1 On-Site WaterC'' Baseline'!$C$10:$AC$257,20,FALSE))</f>
        <v/>
      </c>
      <c r="R216" s="290" t="str">
        <f>IF(N216="","",VLOOKUP(N216,'G-7 WaterC'' Data'!$B$2:$G$8,2,FALSE))</f>
        <v/>
      </c>
      <c r="S216" s="291" t="str">
        <f>IFERROR(VLOOKUP(R216,'G-7 WaterC'' Data'!$C$4:$D$8,2,FALSE),"")</f>
        <v/>
      </c>
      <c r="T216" s="95"/>
      <c r="U216" s="291" t="str">
        <f>IFERROR(INDEX('G-7 WaterC'' Data'!$H$4:$L$8,MATCH(N216,'G-7 WaterC'' Data'!$B$4:$B$8,0),MATCH(T216,'G-7 WaterC'' Data'!$H$3:$L$3,0)),"")</f>
        <v/>
      </c>
      <c r="V216" s="95"/>
      <c r="W216" s="298" t="str">
        <f>IF(V216="","",IF(VLOOKUP(V216,'G-7 WaterC'' Data'!$AK$4:$AM$6,2,FALSE)=0,"Spatial Data Missing ⚠",VLOOKUP(V216,'G-7 WaterC'' Data'!$AK$4:$AM$6,2,FALSE)))</f>
        <v/>
      </c>
      <c r="X216" s="291" t="str">
        <f>IF(V216="","",IF(VLOOKUP(V216,'G-7 WaterC'' Data'!$AK$4:$AM$6,3,FALSE)=0,"Spatial Data Missing ⚠",VLOOKUP(V216,'G-7 WaterC'' Data'!$AK$4:$AM$6,3,FALSE)))</f>
        <v/>
      </c>
      <c r="Y216" s="290" t="str">
        <f>IFERROR(IF(OR(LEFT(P216,5)="Error",LEFT(O216,5)="Error ▲"),"Check Data ⚠",IF(F216&lt;S216,'G-7 WaterC'' Data'!$R$3,INDEX('G-7 WaterC'' Data'!$U$5:$Y$9,MATCH(G216,'G-7 WaterC'' Data'!$T$5:$T$9,0),MATCH(T216,'G-7 WaterC'' Data'!$U$4:$Y$4,0)))),"")</f>
        <v/>
      </c>
      <c r="Z216" s="138"/>
      <c r="AA216" s="138"/>
      <c r="AB216" s="298" t="str">
        <f t="shared" si="30"/>
        <v/>
      </c>
      <c r="AC216" s="311" t="str">
        <f t="shared" si="31"/>
        <v/>
      </c>
      <c r="AD216" s="344" t="str">
        <f>IFERROR(IF(AC216="Check Data ⚠","Check Data ⚠",VLOOKUP(AC216,'G-4 Temporal multipliers'!$A$4:$C$37,3,FALSE)),"")</f>
        <v/>
      </c>
      <c r="AE216" s="290" t="str">
        <f>IF(N216="","",VLOOKUP(N216,'G-7 WaterC'' Data'!$B$4:$G$8,5,FALSE))</f>
        <v/>
      </c>
      <c r="AF216" s="298" t="str">
        <f t="shared" si="32"/>
        <v/>
      </c>
      <c r="AG216" s="328" t="str">
        <f t="shared" si="33"/>
        <v/>
      </c>
      <c r="AH216" s="291" t="str">
        <f t="shared" si="27"/>
        <v/>
      </c>
      <c r="AI216" s="103"/>
      <c r="AJ216" s="291" t="str">
        <f>IF(AI216="","",IF(AND(AI216="N/A - Culvert",N216&lt;&gt;"Culvert"),"Not possible ▲",IF(VLOOKUP(AI216,'G-7 WaterC'' Data'!$AA$4:$AB$7,2,FALSE)=0,"Spatial Data Missing ⚠",VLOOKUP(AI216,'G-7 WaterC'' Data'!$AA$4:$AB$7,2,FALSE))))</f>
        <v/>
      </c>
      <c r="AK216" s="104"/>
      <c r="AL216" s="291" t="str">
        <f>IF(AK216="","",IF(AND(AK216="N/A - Culvert",N216&lt;&gt;"Culvert"),"Not possible ▲",IF(VLOOKUP(AK216,'G-7 WaterC'' Data'!$AD$4:$AE$14,2,FALSE)=0,"Spatial Data Missing ⚠",VLOOKUP(AK216,'G-7 WaterC'' Data'!$AD$4:$AE$14,2,FALSE))))</f>
        <v/>
      </c>
      <c r="AM216" s="332" t="str">
        <f t="shared" si="34"/>
        <v/>
      </c>
      <c r="AN216" s="98"/>
      <c r="AO216" s="99"/>
      <c r="AP216" s="101"/>
      <c r="AS216" s="15" t="str">
        <f>IF(B216="","",IF(ISNA(VLOOKUP($B216,'C-1 On-Site WaterC'' Baseline'!$C$8:$AD$257,17,FALSE)),"",(VLOOKUP($B216,'C-1 On-Site WaterC'' Baseline'!$C$8:$AD$257,17,FALSE))))</f>
        <v/>
      </c>
      <c r="AT216" s="15" t="str">
        <f>IF(B216="","",VLOOKUP($B216,'C-1 On-Site WaterC'' Baseline'!$C$9:$Z$257,12,FALSE))</f>
        <v/>
      </c>
      <c r="AU216" s="15" t="str">
        <f>IF(B216="","",VLOOKUP($B216,'C-1 On-Site WaterC'' Baseline'!$C$9:$Z$257,14,FALSE))</f>
        <v/>
      </c>
      <c r="AV216" s="15" t="str">
        <f>IFERROR(INDEX('G-7 WaterC'' Data'!$AZ$3:$AZ$7,MATCH(N216,'G-7 WaterC'' Data'!$AY$3:$AY$7,0)),"")</f>
        <v/>
      </c>
      <c r="AX216" s="15" t="str">
        <f>IF(B216="","",VLOOKUP($B216,'C-1 On-Site WaterC'' Baseline'!$C$9:$Y$257,22,FALSE))</f>
        <v/>
      </c>
      <c r="AY216" s="15" t="str">
        <f t="shared" si="35"/>
        <v/>
      </c>
      <c r="AZ216" s="15" t="str">
        <f>IF(B216="","",VLOOKUP($B216,'C-1 On-Site WaterC'' Baseline'!$C$9:$Y$257,21,FALSE))</f>
        <v/>
      </c>
      <c r="BA216" s="15" t="str">
        <f>IF(B216="","",VLOOKUP($B216,'C-1 On-Site WaterC'' Baseline'!$C$9:$Y$257,19,FALSE))</f>
        <v/>
      </c>
    </row>
    <row r="217" spans="2:53" ht="14" x14ac:dyDescent="0.3">
      <c r="B217" s="319" t="str">
        <f>'C-1 On-Site WaterC'' Baseline'!AP215</f>
        <v/>
      </c>
      <c r="C217" s="310" t="str">
        <f>IF(B217="","",VLOOKUP($B217,'C-1 On-Site WaterC'' Baseline'!$C$9:$R$257,2,FALSE))</f>
        <v/>
      </c>
      <c r="D217" s="310" t="str">
        <f>IF(C217="","",VLOOKUP($B217,'C-1 On-Site WaterC'' Baseline'!$C$9:$R$257,3,FALSE))</f>
        <v/>
      </c>
      <c r="E217" s="310" t="str">
        <f>IF(D217="","",VLOOKUP($B217,'C-1 On-Site WaterC'' Baseline'!$C$9:$R$257,4,FALSE))</f>
        <v/>
      </c>
      <c r="F217" s="310" t="str">
        <f>IF(E217="","",VLOOKUP($B217,'C-1 On-Site WaterC'' Baseline'!$C$9:$R$257,5,FALSE))</f>
        <v/>
      </c>
      <c r="G217" s="310" t="str">
        <f>IF(F217="","",VLOOKUP($B217,'C-1 On-Site WaterC'' Baseline'!$C$9:$R$257,6,FALSE))</f>
        <v/>
      </c>
      <c r="H217" s="310" t="str">
        <f>IF(G217="","",VLOOKUP($B217,'C-1 On-Site WaterC'' Baseline'!$C$9:$R$257,7,FALSE))</f>
        <v/>
      </c>
      <c r="I217" s="310" t="str">
        <f>IF(H217="","",VLOOKUP($B217,'C-1 On-Site WaterC'' Baseline'!$C$9:$R$257,8,FALSE))</f>
        <v/>
      </c>
      <c r="J217" s="310" t="str">
        <f>IF(I217="","",VLOOKUP($B217,'C-1 On-Site WaterC'' Baseline'!$C$9:$R$257,9,FALSE))</f>
        <v/>
      </c>
      <c r="K217" s="310" t="str">
        <f>IF(J217="","",VLOOKUP($B217,'C-1 On-Site WaterC'' Baseline'!$C$9:$R$257,10,FALSE))</f>
        <v/>
      </c>
      <c r="L217" s="310" t="str">
        <f>IF(B217="","",VLOOKUP($B217,'C-1 On-Site WaterC'' Baseline'!$C$9:$R$257,15,FALSE))</f>
        <v/>
      </c>
      <c r="M217" s="314" t="str">
        <f>IF(L217="","",VLOOKUP($B217,'C-1 On-Site WaterC'' Baseline'!$C$9:$R$257,16,FALSE))</f>
        <v/>
      </c>
      <c r="N217" s="259"/>
      <c r="O217" s="290" t="str">
        <f t="shared" si="28"/>
        <v/>
      </c>
      <c r="P217" s="291" t="str">
        <f t="shared" si="29"/>
        <v/>
      </c>
      <c r="Q217" s="346" t="str">
        <f>IF(N217="","",VLOOKUP(B217,'C-1 On-Site WaterC'' Baseline'!$C$10:$AC$257,20,FALSE))</f>
        <v/>
      </c>
      <c r="R217" s="290" t="str">
        <f>IF(N217="","",VLOOKUP(N217,'G-7 WaterC'' Data'!$B$2:$G$8,2,FALSE))</f>
        <v/>
      </c>
      <c r="S217" s="291" t="str">
        <f>IFERROR(VLOOKUP(R217,'G-7 WaterC'' Data'!$C$4:$D$8,2,FALSE),"")</f>
        <v/>
      </c>
      <c r="T217" s="95"/>
      <c r="U217" s="291" t="str">
        <f>IFERROR(INDEX('G-7 WaterC'' Data'!$H$4:$L$8,MATCH(N217,'G-7 WaterC'' Data'!$B$4:$B$8,0),MATCH(T217,'G-7 WaterC'' Data'!$H$3:$L$3,0)),"")</f>
        <v/>
      </c>
      <c r="V217" s="95"/>
      <c r="W217" s="298" t="str">
        <f>IF(V217="","",IF(VLOOKUP(V217,'G-7 WaterC'' Data'!$AK$4:$AM$6,2,FALSE)=0,"Spatial Data Missing ⚠",VLOOKUP(V217,'G-7 WaterC'' Data'!$AK$4:$AM$6,2,FALSE)))</f>
        <v/>
      </c>
      <c r="X217" s="291" t="str">
        <f>IF(V217="","",IF(VLOOKUP(V217,'G-7 WaterC'' Data'!$AK$4:$AM$6,3,FALSE)=0,"Spatial Data Missing ⚠",VLOOKUP(V217,'G-7 WaterC'' Data'!$AK$4:$AM$6,3,FALSE)))</f>
        <v/>
      </c>
      <c r="Y217" s="290" t="str">
        <f>IFERROR(IF(OR(LEFT(P217,5)="Error",LEFT(O217,5)="Error ▲"),"Check Data ⚠",IF(F217&lt;S217,'G-7 WaterC'' Data'!$R$3,INDEX('G-7 WaterC'' Data'!$U$5:$Y$9,MATCH(G217,'G-7 WaterC'' Data'!$T$5:$T$9,0),MATCH(T217,'G-7 WaterC'' Data'!$U$4:$Y$4,0)))),"")</f>
        <v/>
      </c>
      <c r="Z217" s="138"/>
      <c r="AA217" s="138"/>
      <c r="AB217" s="298" t="str">
        <f t="shared" si="30"/>
        <v/>
      </c>
      <c r="AC217" s="311" t="str">
        <f t="shared" si="31"/>
        <v/>
      </c>
      <c r="AD217" s="344" t="str">
        <f>IFERROR(IF(AC217="Check Data ⚠","Check Data ⚠",VLOOKUP(AC217,'G-4 Temporal multipliers'!$A$4:$C$37,3,FALSE)),"")</f>
        <v/>
      </c>
      <c r="AE217" s="290" t="str">
        <f>IF(N217="","",VLOOKUP(N217,'G-7 WaterC'' Data'!$B$4:$G$8,5,FALSE))</f>
        <v/>
      </c>
      <c r="AF217" s="298" t="str">
        <f t="shared" si="32"/>
        <v/>
      </c>
      <c r="AG217" s="328" t="str">
        <f t="shared" si="33"/>
        <v/>
      </c>
      <c r="AH217" s="291" t="str">
        <f t="shared" si="27"/>
        <v/>
      </c>
      <c r="AI217" s="103"/>
      <c r="AJ217" s="291" t="str">
        <f>IF(AI217="","",IF(AND(AI217="N/A - Culvert",N217&lt;&gt;"Culvert"),"Not possible ▲",IF(VLOOKUP(AI217,'G-7 WaterC'' Data'!$AA$4:$AB$7,2,FALSE)=0,"Spatial Data Missing ⚠",VLOOKUP(AI217,'G-7 WaterC'' Data'!$AA$4:$AB$7,2,FALSE))))</f>
        <v/>
      </c>
      <c r="AK217" s="104"/>
      <c r="AL217" s="291" t="str">
        <f>IF(AK217="","",IF(AND(AK217="N/A - Culvert",N217&lt;&gt;"Culvert"),"Not possible ▲",IF(VLOOKUP(AK217,'G-7 WaterC'' Data'!$AD$4:$AE$14,2,FALSE)=0,"Spatial Data Missing ⚠",VLOOKUP(AK217,'G-7 WaterC'' Data'!$AD$4:$AE$14,2,FALSE))))</f>
        <v/>
      </c>
      <c r="AM217" s="332" t="str">
        <f t="shared" si="34"/>
        <v/>
      </c>
      <c r="AN217" s="98"/>
      <c r="AO217" s="99"/>
      <c r="AP217" s="101"/>
      <c r="AS217" s="15" t="str">
        <f>IF(B217="","",IF(ISNA(VLOOKUP($B217,'C-1 On-Site WaterC'' Baseline'!$C$8:$AD$257,17,FALSE)),"",(VLOOKUP($B217,'C-1 On-Site WaterC'' Baseline'!$C$8:$AD$257,17,FALSE))))</f>
        <v/>
      </c>
      <c r="AT217" s="15" t="str">
        <f>IF(B217="","",VLOOKUP($B217,'C-1 On-Site WaterC'' Baseline'!$C$9:$Z$257,12,FALSE))</f>
        <v/>
      </c>
      <c r="AU217" s="15" t="str">
        <f>IF(B217="","",VLOOKUP($B217,'C-1 On-Site WaterC'' Baseline'!$C$9:$Z$257,14,FALSE))</f>
        <v/>
      </c>
      <c r="AV217" s="15" t="str">
        <f>IFERROR(INDEX('G-7 WaterC'' Data'!$AZ$3:$AZ$7,MATCH(N217,'G-7 WaterC'' Data'!$AY$3:$AY$7,0)),"")</f>
        <v/>
      </c>
      <c r="AX217" s="15" t="str">
        <f>IF(B217="","",VLOOKUP($B217,'C-1 On-Site WaterC'' Baseline'!$C$9:$Y$257,22,FALSE))</f>
        <v/>
      </c>
      <c r="AY217" s="15" t="str">
        <f t="shared" si="35"/>
        <v/>
      </c>
      <c r="AZ217" s="15" t="str">
        <f>IF(B217="","",VLOOKUP($B217,'C-1 On-Site WaterC'' Baseline'!$C$9:$Y$257,21,FALSE))</f>
        <v/>
      </c>
      <c r="BA217" s="15" t="str">
        <f>IF(B217="","",VLOOKUP($B217,'C-1 On-Site WaterC'' Baseline'!$C$9:$Y$257,19,FALSE))</f>
        <v/>
      </c>
    </row>
    <row r="218" spans="2:53" ht="14" x14ac:dyDescent="0.3">
      <c r="B218" s="319" t="str">
        <f>'C-1 On-Site WaterC'' Baseline'!AP216</f>
        <v/>
      </c>
      <c r="C218" s="310" t="str">
        <f>IF(B218="","",VLOOKUP($B218,'C-1 On-Site WaterC'' Baseline'!$C$9:$R$257,2,FALSE))</f>
        <v/>
      </c>
      <c r="D218" s="310" t="str">
        <f>IF(C218="","",VLOOKUP($B218,'C-1 On-Site WaterC'' Baseline'!$C$9:$R$257,3,FALSE))</f>
        <v/>
      </c>
      <c r="E218" s="310" t="str">
        <f>IF(D218="","",VLOOKUP($B218,'C-1 On-Site WaterC'' Baseline'!$C$9:$R$257,4,FALSE))</f>
        <v/>
      </c>
      <c r="F218" s="310" t="str">
        <f>IF(E218="","",VLOOKUP($B218,'C-1 On-Site WaterC'' Baseline'!$C$9:$R$257,5,FALSE))</f>
        <v/>
      </c>
      <c r="G218" s="310" t="str">
        <f>IF(F218="","",VLOOKUP($B218,'C-1 On-Site WaterC'' Baseline'!$C$9:$R$257,6,FALSE))</f>
        <v/>
      </c>
      <c r="H218" s="310" t="str">
        <f>IF(G218="","",VLOOKUP($B218,'C-1 On-Site WaterC'' Baseline'!$C$9:$R$257,7,FALSE))</f>
        <v/>
      </c>
      <c r="I218" s="310" t="str">
        <f>IF(H218="","",VLOOKUP($B218,'C-1 On-Site WaterC'' Baseline'!$C$9:$R$257,8,FALSE))</f>
        <v/>
      </c>
      <c r="J218" s="310" t="str">
        <f>IF(I218="","",VLOOKUP($B218,'C-1 On-Site WaterC'' Baseline'!$C$9:$R$257,9,FALSE))</f>
        <v/>
      </c>
      <c r="K218" s="310" t="str">
        <f>IF(J218="","",VLOOKUP($B218,'C-1 On-Site WaterC'' Baseline'!$C$9:$R$257,10,FALSE))</f>
        <v/>
      </c>
      <c r="L218" s="310" t="str">
        <f>IF(B218="","",VLOOKUP($B218,'C-1 On-Site WaterC'' Baseline'!$C$9:$R$257,15,FALSE))</f>
        <v/>
      </c>
      <c r="M218" s="314" t="str">
        <f>IF(L218="","",VLOOKUP($B218,'C-1 On-Site WaterC'' Baseline'!$C$9:$R$257,16,FALSE))</f>
        <v/>
      </c>
      <c r="N218" s="259"/>
      <c r="O218" s="290" t="str">
        <f t="shared" si="28"/>
        <v/>
      </c>
      <c r="P218" s="291" t="str">
        <f t="shared" si="29"/>
        <v/>
      </c>
      <c r="Q218" s="346" t="str">
        <f>IF(N218="","",VLOOKUP(B218,'C-1 On-Site WaterC'' Baseline'!$C$10:$AC$257,20,FALSE))</f>
        <v/>
      </c>
      <c r="R218" s="290" t="str">
        <f>IF(N218="","",VLOOKUP(N218,'G-7 WaterC'' Data'!$B$2:$G$8,2,FALSE))</f>
        <v/>
      </c>
      <c r="S218" s="291" t="str">
        <f>IFERROR(VLOOKUP(R218,'G-7 WaterC'' Data'!$C$4:$D$8,2,FALSE),"")</f>
        <v/>
      </c>
      <c r="T218" s="95"/>
      <c r="U218" s="291" t="str">
        <f>IFERROR(INDEX('G-7 WaterC'' Data'!$H$4:$L$8,MATCH(N218,'G-7 WaterC'' Data'!$B$4:$B$8,0),MATCH(T218,'G-7 WaterC'' Data'!$H$3:$L$3,0)),"")</f>
        <v/>
      </c>
      <c r="V218" s="95"/>
      <c r="W218" s="298" t="str">
        <f>IF(V218="","",IF(VLOOKUP(V218,'G-7 WaterC'' Data'!$AK$4:$AM$6,2,FALSE)=0,"Spatial Data Missing ⚠",VLOOKUP(V218,'G-7 WaterC'' Data'!$AK$4:$AM$6,2,FALSE)))</f>
        <v/>
      </c>
      <c r="X218" s="291" t="str">
        <f>IF(V218="","",IF(VLOOKUP(V218,'G-7 WaterC'' Data'!$AK$4:$AM$6,3,FALSE)=0,"Spatial Data Missing ⚠",VLOOKUP(V218,'G-7 WaterC'' Data'!$AK$4:$AM$6,3,FALSE)))</f>
        <v/>
      </c>
      <c r="Y218" s="290" t="str">
        <f>IFERROR(IF(OR(LEFT(P218,5)="Error",LEFT(O218,5)="Error ▲"),"Check Data ⚠",IF(F218&lt;S218,'G-7 WaterC'' Data'!$R$3,INDEX('G-7 WaterC'' Data'!$U$5:$Y$9,MATCH(G218,'G-7 WaterC'' Data'!$T$5:$T$9,0),MATCH(T218,'G-7 WaterC'' Data'!$U$4:$Y$4,0)))),"")</f>
        <v/>
      </c>
      <c r="Z218" s="138"/>
      <c r="AA218" s="138"/>
      <c r="AB218" s="298" t="str">
        <f t="shared" si="30"/>
        <v/>
      </c>
      <c r="AC218" s="311" t="str">
        <f t="shared" si="31"/>
        <v/>
      </c>
      <c r="AD218" s="344" t="str">
        <f>IFERROR(IF(AC218="Check Data ⚠","Check Data ⚠",VLOOKUP(AC218,'G-4 Temporal multipliers'!$A$4:$C$37,3,FALSE)),"")</f>
        <v/>
      </c>
      <c r="AE218" s="290" t="str">
        <f>IF(N218="","",VLOOKUP(N218,'G-7 WaterC'' Data'!$B$4:$G$8,5,FALSE))</f>
        <v/>
      </c>
      <c r="AF218" s="298" t="str">
        <f t="shared" si="32"/>
        <v/>
      </c>
      <c r="AG218" s="328" t="str">
        <f t="shared" si="33"/>
        <v/>
      </c>
      <c r="AH218" s="291" t="str">
        <f t="shared" si="27"/>
        <v/>
      </c>
      <c r="AI218" s="103"/>
      <c r="AJ218" s="291" t="str">
        <f>IF(AI218="","",IF(AND(AI218="N/A - Culvert",N218&lt;&gt;"Culvert"),"Not possible ▲",IF(VLOOKUP(AI218,'G-7 WaterC'' Data'!$AA$4:$AB$7,2,FALSE)=0,"Spatial Data Missing ⚠",VLOOKUP(AI218,'G-7 WaterC'' Data'!$AA$4:$AB$7,2,FALSE))))</f>
        <v/>
      </c>
      <c r="AK218" s="104"/>
      <c r="AL218" s="291" t="str">
        <f>IF(AK218="","",IF(AND(AK218="N/A - Culvert",N218&lt;&gt;"Culvert"),"Not possible ▲",IF(VLOOKUP(AK218,'G-7 WaterC'' Data'!$AD$4:$AE$14,2,FALSE)=0,"Spatial Data Missing ⚠",VLOOKUP(AK218,'G-7 WaterC'' Data'!$AD$4:$AE$14,2,FALSE))))</f>
        <v/>
      </c>
      <c r="AM218" s="332" t="str">
        <f t="shared" si="34"/>
        <v/>
      </c>
      <c r="AN218" s="98"/>
      <c r="AO218" s="99"/>
      <c r="AP218" s="101"/>
      <c r="AS218" s="15" t="str">
        <f>IF(B218="","",IF(ISNA(VLOOKUP($B218,'C-1 On-Site WaterC'' Baseline'!$C$8:$AD$257,17,FALSE)),"",(VLOOKUP($B218,'C-1 On-Site WaterC'' Baseline'!$C$8:$AD$257,17,FALSE))))</f>
        <v/>
      </c>
      <c r="AT218" s="15" t="str">
        <f>IF(B218="","",VLOOKUP($B218,'C-1 On-Site WaterC'' Baseline'!$C$9:$Z$257,12,FALSE))</f>
        <v/>
      </c>
      <c r="AU218" s="15" t="str">
        <f>IF(B218="","",VLOOKUP($B218,'C-1 On-Site WaterC'' Baseline'!$C$9:$Z$257,14,FALSE))</f>
        <v/>
      </c>
      <c r="AV218" s="15" t="str">
        <f>IFERROR(INDEX('G-7 WaterC'' Data'!$AZ$3:$AZ$7,MATCH(N218,'G-7 WaterC'' Data'!$AY$3:$AY$7,0)),"")</f>
        <v/>
      </c>
      <c r="AX218" s="15" t="str">
        <f>IF(B218="","",VLOOKUP($B218,'C-1 On-Site WaterC'' Baseline'!$C$9:$Y$257,22,FALSE))</f>
        <v/>
      </c>
      <c r="AY218" s="15" t="str">
        <f t="shared" si="35"/>
        <v/>
      </c>
      <c r="AZ218" s="15" t="str">
        <f>IF(B218="","",VLOOKUP($B218,'C-1 On-Site WaterC'' Baseline'!$C$9:$Y$257,21,FALSE))</f>
        <v/>
      </c>
      <c r="BA218" s="15" t="str">
        <f>IF(B218="","",VLOOKUP($B218,'C-1 On-Site WaterC'' Baseline'!$C$9:$Y$257,19,FALSE))</f>
        <v/>
      </c>
    </row>
    <row r="219" spans="2:53" ht="14" x14ac:dyDescent="0.3">
      <c r="B219" s="319" t="str">
        <f>'C-1 On-Site WaterC'' Baseline'!AP217</f>
        <v/>
      </c>
      <c r="C219" s="310" t="str">
        <f>IF(B219="","",VLOOKUP($B219,'C-1 On-Site WaterC'' Baseline'!$C$9:$R$257,2,FALSE))</f>
        <v/>
      </c>
      <c r="D219" s="310" t="str">
        <f>IF(C219="","",VLOOKUP($B219,'C-1 On-Site WaterC'' Baseline'!$C$9:$R$257,3,FALSE))</f>
        <v/>
      </c>
      <c r="E219" s="310" t="str">
        <f>IF(D219="","",VLOOKUP($B219,'C-1 On-Site WaterC'' Baseline'!$C$9:$R$257,4,FALSE))</f>
        <v/>
      </c>
      <c r="F219" s="310" t="str">
        <f>IF(E219="","",VLOOKUP($B219,'C-1 On-Site WaterC'' Baseline'!$C$9:$R$257,5,FALSE))</f>
        <v/>
      </c>
      <c r="G219" s="310" t="str">
        <f>IF(F219="","",VLOOKUP($B219,'C-1 On-Site WaterC'' Baseline'!$C$9:$R$257,6,FALSE))</f>
        <v/>
      </c>
      <c r="H219" s="310" t="str">
        <f>IF(G219="","",VLOOKUP($B219,'C-1 On-Site WaterC'' Baseline'!$C$9:$R$257,7,FALSE))</f>
        <v/>
      </c>
      <c r="I219" s="310" t="str">
        <f>IF(H219="","",VLOOKUP($B219,'C-1 On-Site WaterC'' Baseline'!$C$9:$R$257,8,FALSE))</f>
        <v/>
      </c>
      <c r="J219" s="310" t="str">
        <f>IF(I219="","",VLOOKUP($B219,'C-1 On-Site WaterC'' Baseline'!$C$9:$R$257,9,FALSE))</f>
        <v/>
      </c>
      <c r="K219" s="310" t="str">
        <f>IF(J219="","",VLOOKUP($B219,'C-1 On-Site WaterC'' Baseline'!$C$9:$R$257,10,FALSE))</f>
        <v/>
      </c>
      <c r="L219" s="310" t="str">
        <f>IF(B219="","",VLOOKUP($B219,'C-1 On-Site WaterC'' Baseline'!$C$9:$R$257,15,FALSE))</f>
        <v/>
      </c>
      <c r="M219" s="314" t="str">
        <f>IF(L219="","",VLOOKUP($B219,'C-1 On-Site WaterC'' Baseline'!$C$9:$R$257,16,FALSE))</f>
        <v/>
      </c>
      <c r="N219" s="259"/>
      <c r="O219" s="290" t="str">
        <f t="shared" si="28"/>
        <v/>
      </c>
      <c r="P219" s="291" t="str">
        <f t="shared" si="29"/>
        <v/>
      </c>
      <c r="Q219" s="346" t="str">
        <f>IF(N219="","",VLOOKUP(B219,'C-1 On-Site WaterC'' Baseline'!$C$10:$AC$257,20,FALSE))</f>
        <v/>
      </c>
      <c r="R219" s="290" t="str">
        <f>IF(N219="","",VLOOKUP(N219,'G-7 WaterC'' Data'!$B$2:$G$8,2,FALSE))</f>
        <v/>
      </c>
      <c r="S219" s="291" t="str">
        <f>IFERROR(VLOOKUP(R219,'G-7 WaterC'' Data'!$C$4:$D$8,2,FALSE),"")</f>
        <v/>
      </c>
      <c r="T219" s="95"/>
      <c r="U219" s="291" t="str">
        <f>IFERROR(INDEX('G-7 WaterC'' Data'!$H$4:$L$8,MATCH(N219,'G-7 WaterC'' Data'!$B$4:$B$8,0),MATCH(T219,'G-7 WaterC'' Data'!$H$3:$L$3,0)),"")</f>
        <v/>
      </c>
      <c r="V219" s="95"/>
      <c r="W219" s="298" t="str">
        <f>IF(V219="","",IF(VLOOKUP(V219,'G-7 WaterC'' Data'!$AK$4:$AM$6,2,FALSE)=0,"Spatial Data Missing ⚠",VLOOKUP(V219,'G-7 WaterC'' Data'!$AK$4:$AM$6,2,FALSE)))</f>
        <v/>
      </c>
      <c r="X219" s="291" t="str">
        <f>IF(V219="","",IF(VLOOKUP(V219,'G-7 WaterC'' Data'!$AK$4:$AM$6,3,FALSE)=0,"Spatial Data Missing ⚠",VLOOKUP(V219,'G-7 WaterC'' Data'!$AK$4:$AM$6,3,FALSE)))</f>
        <v/>
      </c>
      <c r="Y219" s="290" t="str">
        <f>IFERROR(IF(OR(LEFT(P219,5)="Error",LEFT(O219,5)="Error ▲"),"Check Data ⚠",IF(F219&lt;S219,'G-7 WaterC'' Data'!$R$3,INDEX('G-7 WaterC'' Data'!$U$5:$Y$9,MATCH(G219,'G-7 WaterC'' Data'!$T$5:$T$9,0),MATCH(T219,'G-7 WaterC'' Data'!$U$4:$Y$4,0)))),"")</f>
        <v/>
      </c>
      <c r="Z219" s="138"/>
      <c r="AA219" s="138"/>
      <c r="AB219" s="298" t="str">
        <f t="shared" si="30"/>
        <v/>
      </c>
      <c r="AC219" s="311" t="str">
        <f t="shared" si="31"/>
        <v/>
      </c>
      <c r="AD219" s="344" t="str">
        <f>IFERROR(IF(AC219="Check Data ⚠","Check Data ⚠",VLOOKUP(AC219,'G-4 Temporal multipliers'!$A$4:$C$37,3,FALSE)),"")</f>
        <v/>
      </c>
      <c r="AE219" s="290" t="str">
        <f>IF(N219="","",VLOOKUP(N219,'G-7 WaterC'' Data'!$B$4:$G$8,5,FALSE))</f>
        <v/>
      </c>
      <c r="AF219" s="298" t="str">
        <f t="shared" si="32"/>
        <v/>
      </c>
      <c r="AG219" s="328" t="str">
        <f t="shared" si="33"/>
        <v/>
      </c>
      <c r="AH219" s="291" t="str">
        <f t="shared" si="27"/>
        <v/>
      </c>
      <c r="AI219" s="103"/>
      <c r="AJ219" s="291" t="str">
        <f>IF(AI219="","",IF(AND(AI219="N/A - Culvert",N219&lt;&gt;"Culvert"),"Not possible ▲",IF(VLOOKUP(AI219,'G-7 WaterC'' Data'!$AA$4:$AB$7,2,FALSE)=0,"Spatial Data Missing ⚠",VLOOKUP(AI219,'G-7 WaterC'' Data'!$AA$4:$AB$7,2,FALSE))))</f>
        <v/>
      </c>
      <c r="AK219" s="104"/>
      <c r="AL219" s="291" t="str">
        <f>IF(AK219="","",IF(AND(AK219="N/A - Culvert",N219&lt;&gt;"Culvert"),"Not possible ▲",IF(VLOOKUP(AK219,'G-7 WaterC'' Data'!$AD$4:$AE$14,2,FALSE)=0,"Spatial Data Missing ⚠",VLOOKUP(AK219,'G-7 WaterC'' Data'!$AD$4:$AE$14,2,FALSE))))</f>
        <v/>
      </c>
      <c r="AM219" s="332" t="str">
        <f t="shared" si="34"/>
        <v/>
      </c>
      <c r="AN219" s="98"/>
      <c r="AO219" s="99"/>
      <c r="AP219" s="101"/>
      <c r="AS219" s="15" t="str">
        <f>IF(B219="","",IF(ISNA(VLOOKUP($B219,'C-1 On-Site WaterC'' Baseline'!$C$8:$AD$257,17,FALSE)),"",(VLOOKUP($B219,'C-1 On-Site WaterC'' Baseline'!$C$8:$AD$257,17,FALSE))))</f>
        <v/>
      </c>
      <c r="AT219" s="15" t="str">
        <f>IF(B219="","",VLOOKUP($B219,'C-1 On-Site WaterC'' Baseline'!$C$9:$Z$257,12,FALSE))</f>
        <v/>
      </c>
      <c r="AU219" s="15" t="str">
        <f>IF(B219="","",VLOOKUP($B219,'C-1 On-Site WaterC'' Baseline'!$C$9:$Z$257,14,FALSE))</f>
        <v/>
      </c>
      <c r="AV219" s="15" t="str">
        <f>IFERROR(INDEX('G-7 WaterC'' Data'!$AZ$3:$AZ$7,MATCH(N219,'G-7 WaterC'' Data'!$AY$3:$AY$7,0)),"")</f>
        <v/>
      </c>
      <c r="AX219" s="15" t="str">
        <f>IF(B219="","",VLOOKUP($B219,'C-1 On-Site WaterC'' Baseline'!$C$9:$Y$257,22,FALSE))</f>
        <v/>
      </c>
      <c r="AY219" s="15" t="str">
        <f t="shared" si="35"/>
        <v/>
      </c>
      <c r="AZ219" s="15" t="str">
        <f>IF(B219="","",VLOOKUP($B219,'C-1 On-Site WaterC'' Baseline'!$C$9:$Y$257,21,FALSE))</f>
        <v/>
      </c>
      <c r="BA219" s="15" t="str">
        <f>IF(B219="","",VLOOKUP($B219,'C-1 On-Site WaterC'' Baseline'!$C$9:$Y$257,19,FALSE))</f>
        <v/>
      </c>
    </row>
    <row r="220" spans="2:53" ht="14" x14ac:dyDescent="0.3">
      <c r="B220" s="319" t="str">
        <f>'C-1 On-Site WaterC'' Baseline'!AP218</f>
        <v/>
      </c>
      <c r="C220" s="310" t="str">
        <f>IF(B220="","",VLOOKUP($B220,'C-1 On-Site WaterC'' Baseline'!$C$9:$R$257,2,FALSE))</f>
        <v/>
      </c>
      <c r="D220" s="310" t="str">
        <f>IF(C220="","",VLOOKUP($B220,'C-1 On-Site WaterC'' Baseline'!$C$9:$R$257,3,FALSE))</f>
        <v/>
      </c>
      <c r="E220" s="310" t="str">
        <f>IF(D220="","",VLOOKUP($B220,'C-1 On-Site WaterC'' Baseline'!$C$9:$R$257,4,FALSE))</f>
        <v/>
      </c>
      <c r="F220" s="310" t="str">
        <f>IF(E220="","",VLOOKUP($B220,'C-1 On-Site WaterC'' Baseline'!$C$9:$R$257,5,FALSE))</f>
        <v/>
      </c>
      <c r="G220" s="310" t="str">
        <f>IF(F220="","",VLOOKUP($B220,'C-1 On-Site WaterC'' Baseline'!$C$9:$R$257,6,FALSE))</f>
        <v/>
      </c>
      <c r="H220" s="310" t="str">
        <f>IF(G220="","",VLOOKUP($B220,'C-1 On-Site WaterC'' Baseline'!$C$9:$R$257,7,FALSE))</f>
        <v/>
      </c>
      <c r="I220" s="310" t="str">
        <f>IF(H220="","",VLOOKUP($B220,'C-1 On-Site WaterC'' Baseline'!$C$9:$R$257,8,FALSE))</f>
        <v/>
      </c>
      <c r="J220" s="310" t="str">
        <f>IF(I220="","",VLOOKUP($B220,'C-1 On-Site WaterC'' Baseline'!$C$9:$R$257,9,FALSE))</f>
        <v/>
      </c>
      <c r="K220" s="310" t="str">
        <f>IF(J220="","",VLOOKUP($B220,'C-1 On-Site WaterC'' Baseline'!$C$9:$R$257,10,FALSE))</f>
        <v/>
      </c>
      <c r="L220" s="310" t="str">
        <f>IF(B220="","",VLOOKUP($B220,'C-1 On-Site WaterC'' Baseline'!$C$9:$R$257,15,FALSE))</f>
        <v/>
      </c>
      <c r="M220" s="314" t="str">
        <f>IF(L220="","",VLOOKUP($B220,'C-1 On-Site WaterC'' Baseline'!$C$9:$R$257,16,FALSE))</f>
        <v/>
      </c>
      <c r="N220" s="259"/>
      <c r="O220" s="290" t="str">
        <f t="shared" si="28"/>
        <v/>
      </c>
      <c r="P220" s="291" t="str">
        <f t="shared" si="29"/>
        <v/>
      </c>
      <c r="Q220" s="346" t="str">
        <f>IF(N220="","",VLOOKUP(B220,'C-1 On-Site WaterC'' Baseline'!$C$10:$AC$257,20,FALSE))</f>
        <v/>
      </c>
      <c r="R220" s="290" t="str">
        <f>IF(N220="","",VLOOKUP(N220,'G-7 WaterC'' Data'!$B$2:$G$8,2,FALSE))</f>
        <v/>
      </c>
      <c r="S220" s="291" t="str">
        <f>IFERROR(VLOOKUP(R220,'G-7 WaterC'' Data'!$C$4:$D$8,2,FALSE),"")</f>
        <v/>
      </c>
      <c r="T220" s="95"/>
      <c r="U220" s="291" t="str">
        <f>IFERROR(INDEX('G-7 WaterC'' Data'!$H$4:$L$8,MATCH(N220,'G-7 WaterC'' Data'!$B$4:$B$8,0),MATCH(T220,'G-7 WaterC'' Data'!$H$3:$L$3,0)),"")</f>
        <v/>
      </c>
      <c r="V220" s="95"/>
      <c r="W220" s="298" t="str">
        <f>IF(V220="","",IF(VLOOKUP(V220,'G-7 WaterC'' Data'!$AK$4:$AM$6,2,FALSE)=0,"Spatial Data Missing ⚠",VLOOKUP(V220,'G-7 WaterC'' Data'!$AK$4:$AM$6,2,FALSE)))</f>
        <v/>
      </c>
      <c r="X220" s="291" t="str">
        <f>IF(V220="","",IF(VLOOKUP(V220,'G-7 WaterC'' Data'!$AK$4:$AM$6,3,FALSE)=0,"Spatial Data Missing ⚠",VLOOKUP(V220,'G-7 WaterC'' Data'!$AK$4:$AM$6,3,FALSE)))</f>
        <v/>
      </c>
      <c r="Y220" s="290" t="str">
        <f>IFERROR(IF(OR(LEFT(P220,5)="Error",LEFT(O220,5)="Error ▲"),"Check Data ⚠",IF(F220&lt;S220,'G-7 WaterC'' Data'!$R$3,INDEX('G-7 WaterC'' Data'!$U$5:$Y$9,MATCH(G220,'G-7 WaterC'' Data'!$T$5:$T$9,0),MATCH(T220,'G-7 WaterC'' Data'!$U$4:$Y$4,0)))),"")</f>
        <v/>
      </c>
      <c r="Z220" s="138"/>
      <c r="AA220" s="138"/>
      <c r="AB220" s="298" t="str">
        <f t="shared" si="30"/>
        <v/>
      </c>
      <c r="AC220" s="311" t="str">
        <f t="shared" si="31"/>
        <v/>
      </c>
      <c r="AD220" s="344" t="str">
        <f>IFERROR(IF(AC220="Check Data ⚠","Check Data ⚠",VLOOKUP(AC220,'G-4 Temporal multipliers'!$A$4:$C$37,3,FALSE)),"")</f>
        <v/>
      </c>
      <c r="AE220" s="290" t="str">
        <f>IF(N220="","",VLOOKUP(N220,'G-7 WaterC'' Data'!$B$4:$G$8,5,FALSE))</f>
        <v/>
      </c>
      <c r="AF220" s="298" t="str">
        <f t="shared" si="32"/>
        <v/>
      </c>
      <c r="AG220" s="328" t="str">
        <f t="shared" si="33"/>
        <v/>
      </c>
      <c r="AH220" s="291" t="str">
        <f t="shared" si="27"/>
        <v/>
      </c>
      <c r="AI220" s="103"/>
      <c r="AJ220" s="291" t="str">
        <f>IF(AI220="","",IF(AND(AI220="N/A - Culvert",N220&lt;&gt;"Culvert"),"Not possible ▲",IF(VLOOKUP(AI220,'G-7 WaterC'' Data'!$AA$4:$AB$7,2,FALSE)=0,"Spatial Data Missing ⚠",VLOOKUP(AI220,'G-7 WaterC'' Data'!$AA$4:$AB$7,2,FALSE))))</f>
        <v/>
      </c>
      <c r="AK220" s="104"/>
      <c r="AL220" s="291" t="str">
        <f>IF(AK220="","",IF(AND(AK220="N/A - Culvert",N220&lt;&gt;"Culvert"),"Not possible ▲",IF(VLOOKUP(AK220,'G-7 WaterC'' Data'!$AD$4:$AE$14,2,FALSE)=0,"Spatial Data Missing ⚠",VLOOKUP(AK220,'G-7 WaterC'' Data'!$AD$4:$AE$14,2,FALSE))))</f>
        <v/>
      </c>
      <c r="AM220" s="332" t="str">
        <f t="shared" si="34"/>
        <v/>
      </c>
      <c r="AN220" s="98"/>
      <c r="AO220" s="99"/>
      <c r="AP220" s="101"/>
      <c r="AS220" s="15" t="str">
        <f>IF(B220="","",IF(ISNA(VLOOKUP($B220,'C-1 On-Site WaterC'' Baseline'!$C$8:$AD$257,17,FALSE)),"",(VLOOKUP($B220,'C-1 On-Site WaterC'' Baseline'!$C$8:$AD$257,17,FALSE))))</f>
        <v/>
      </c>
      <c r="AT220" s="15" t="str">
        <f>IF(B220="","",VLOOKUP($B220,'C-1 On-Site WaterC'' Baseline'!$C$9:$Z$257,12,FALSE))</f>
        <v/>
      </c>
      <c r="AU220" s="15" t="str">
        <f>IF(B220="","",VLOOKUP($B220,'C-1 On-Site WaterC'' Baseline'!$C$9:$Z$257,14,FALSE))</f>
        <v/>
      </c>
      <c r="AV220" s="15" t="str">
        <f>IFERROR(INDEX('G-7 WaterC'' Data'!$AZ$3:$AZ$7,MATCH(N220,'G-7 WaterC'' Data'!$AY$3:$AY$7,0)),"")</f>
        <v/>
      </c>
      <c r="AX220" s="15" t="str">
        <f>IF(B220="","",VLOOKUP($B220,'C-1 On-Site WaterC'' Baseline'!$C$9:$Y$257,22,FALSE))</f>
        <v/>
      </c>
      <c r="AY220" s="15" t="str">
        <f t="shared" si="35"/>
        <v/>
      </c>
      <c r="AZ220" s="15" t="str">
        <f>IF(B220="","",VLOOKUP($B220,'C-1 On-Site WaterC'' Baseline'!$C$9:$Y$257,21,FALSE))</f>
        <v/>
      </c>
      <c r="BA220" s="15" t="str">
        <f>IF(B220="","",VLOOKUP($B220,'C-1 On-Site WaterC'' Baseline'!$C$9:$Y$257,19,FALSE))</f>
        <v/>
      </c>
    </row>
    <row r="221" spans="2:53" ht="14" x14ac:dyDescent="0.3">
      <c r="B221" s="319" t="str">
        <f>'C-1 On-Site WaterC'' Baseline'!AP219</f>
        <v/>
      </c>
      <c r="C221" s="310" t="str">
        <f>IF(B221="","",VLOOKUP($B221,'C-1 On-Site WaterC'' Baseline'!$C$9:$R$257,2,FALSE))</f>
        <v/>
      </c>
      <c r="D221" s="310" t="str">
        <f>IF(C221="","",VLOOKUP($B221,'C-1 On-Site WaterC'' Baseline'!$C$9:$R$257,3,FALSE))</f>
        <v/>
      </c>
      <c r="E221" s="310" t="str">
        <f>IF(D221="","",VLOOKUP($B221,'C-1 On-Site WaterC'' Baseline'!$C$9:$R$257,4,FALSE))</f>
        <v/>
      </c>
      <c r="F221" s="310" t="str">
        <f>IF(E221="","",VLOOKUP($B221,'C-1 On-Site WaterC'' Baseline'!$C$9:$R$257,5,FALSE))</f>
        <v/>
      </c>
      <c r="G221" s="310" t="str">
        <f>IF(F221="","",VLOOKUP($B221,'C-1 On-Site WaterC'' Baseline'!$C$9:$R$257,6,FALSE))</f>
        <v/>
      </c>
      <c r="H221" s="310" t="str">
        <f>IF(G221="","",VLOOKUP($B221,'C-1 On-Site WaterC'' Baseline'!$C$9:$R$257,7,FALSE))</f>
        <v/>
      </c>
      <c r="I221" s="310" t="str">
        <f>IF(H221="","",VLOOKUP($B221,'C-1 On-Site WaterC'' Baseline'!$C$9:$R$257,8,FALSE))</f>
        <v/>
      </c>
      <c r="J221" s="310" t="str">
        <f>IF(I221="","",VLOOKUP($B221,'C-1 On-Site WaterC'' Baseline'!$C$9:$R$257,9,FALSE))</f>
        <v/>
      </c>
      <c r="K221" s="310" t="str">
        <f>IF(J221="","",VLOOKUP($B221,'C-1 On-Site WaterC'' Baseline'!$C$9:$R$257,10,FALSE))</f>
        <v/>
      </c>
      <c r="L221" s="310" t="str">
        <f>IF(B221="","",VLOOKUP($B221,'C-1 On-Site WaterC'' Baseline'!$C$9:$R$257,15,FALSE))</f>
        <v/>
      </c>
      <c r="M221" s="314" t="str">
        <f>IF(L221="","",VLOOKUP($B221,'C-1 On-Site WaterC'' Baseline'!$C$9:$R$257,16,FALSE))</f>
        <v/>
      </c>
      <c r="N221" s="259"/>
      <c r="O221" s="290" t="str">
        <f t="shared" si="28"/>
        <v/>
      </c>
      <c r="P221" s="291" t="str">
        <f t="shared" si="29"/>
        <v/>
      </c>
      <c r="Q221" s="346" t="str">
        <f>IF(N221="","",VLOOKUP(B221,'C-1 On-Site WaterC'' Baseline'!$C$10:$AC$257,20,FALSE))</f>
        <v/>
      </c>
      <c r="R221" s="290" t="str">
        <f>IF(N221="","",VLOOKUP(N221,'G-7 WaterC'' Data'!$B$2:$G$8,2,FALSE))</f>
        <v/>
      </c>
      <c r="S221" s="291" t="str">
        <f>IFERROR(VLOOKUP(R221,'G-7 WaterC'' Data'!$C$4:$D$8,2,FALSE),"")</f>
        <v/>
      </c>
      <c r="T221" s="95"/>
      <c r="U221" s="291" t="str">
        <f>IFERROR(INDEX('G-7 WaterC'' Data'!$H$4:$L$8,MATCH(N221,'G-7 WaterC'' Data'!$B$4:$B$8,0),MATCH(T221,'G-7 WaterC'' Data'!$H$3:$L$3,0)),"")</f>
        <v/>
      </c>
      <c r="V221" s="95"/>
      <c r="W221" s="298" t="str">
        <f>IF(V221="","",IF(VLOOKUP(V221,'G-7 WaterC'' Data'!$AK$4:$AM$6,2,FALSE)=0,"Spatial Data Missing ⚠",VLOOKUP(V221,'G-7 WaterC'' Data'!$AK$4:$AM$6,2,FALSE)))</f>
        <v/>
      </c>
      <c r="X221" s="291" t="str">
        <f>IF(V221="","",IF(VLOOKUP(V221,'G-7 WaterC'' Data'!$AK$4:$AM$6,3,FALSE)=0,"Spatial Data Missing ⚠",VLOOKUP(V221,'G-7 WaterC'' Data'!$AK$4:$AM$6,3,FALSE)))</f>
        <v/>
      </c>
      <c r="Y221" s="290" t="str">
        <f>IFERROR(IF(OR(LEFT(P221,5)="Error",LEFT(O221,5)="Error ▲"),"Check Data ⚠",IF(F221&lt;S221,'G-7 WaterC'' Data'!$R$3,INDEX('G-7 WaterC'' Data'!$U$5:$Y$9,MATCH(G221,'G-7 WaterC'' Data'!$T$5:$T$9,0),MATCH(T221,'G-7 WaterC'' Data'!$U$4:$Y$4,0)))),"")</f>
        <v/>
      </c>
      <c r="Z221" s="138"/>
      <c r="AA221" s="138"/>
      <c r="AB221" s="298" t="str">
        <f t="shared" si="30"/>
        <v/>
      </c>
      <c r="AC221" s="311" t="str">
        <f t="shared" si="31"/>
        <v/>
      </c>
      <c r="AD221" s="344" t="str">
        <f>IFERROR(IF(AC221="Check Data ⚠","Check Data ⚠",VLOOKUP(AC221,'G-4 Temporal multipliers'!$A$4:$C$37,3,FALSE)),"")</f>
        <v/>
      </c>
      <c r="AE221" s="290" t="str">
        <f>IF(N221="","",VLOOKUP(N221,'G-7 WaterC'' Data'!$B$4:$G$8,5,FALSE))</f>
        <v/>
      </c>
      <c r="AF221" s="298" t="str">
        <f t="shared" si="32"/>
        <v/>
      </c>
      <c r="AG221" s="328" t="str">
        <f t="shared" si="33"/>
        <v/>
      </c>
      <c r="AH221" s="291" t="str">
        <f t="shared" si="27"/>
        <v/>
      </c>
      <c r="AI221" s="103"/>
      <c r="AJ221" s="291" t="str">
        <f>IF(AI221="","",IF(AND(AI221="N/A - Culvert",N221&lt;&gt;"Culvert"),"Not possible ▲",IF(VLOOKUP(AI221,'G-7 WaterC'' Data'!$AA$4:$AB$7,2,FALSE)=0,"Spatial Data Missing ⚠",VLOOKUP(AI221,'G-7 WaterC'' Data'!$AA$4:$AB$7,2,FALSE))))</f>
        <v/>
      </c>
      <c r="AK221" s="104"/>
      <c r="AL221" s="291" t="str">
        <f>IF(AK221="","",IF(AND(AK221="N/A - Culvert",N221&lt;&gt;"Culvert"),"Not possible ▲",IF(VLOOKUP(AK221,'G-7 WaterC'' Data'!$AD$4:$AE$14,2,FALSE)=0,"Spatial Data Missing ⚠",VLOOKUP(AK221,'G-7 WaterC'' Data'!$AD$4:$AE$14,2,FALSE))))</f>
        <v/>
      </c>
      <c r="AM221" s="332" t="str">
        <f t="shared" si="34"/>
        <v/>
      </c>
      <c r="AN221" s="98"/>
      <c r="AO221" s="99"/>
      <c r="AP221" s="101"/>
      <c r="AS221" s="15" t="str">
        <f>IF(B221="","",IF(ISNA(VLOOKUP($B221,'C-1 On-Site WaterC'' Baseline'!$C$8:$AD$257,17,FALSE)),"",(VLOOKUP($B221,'C-1 On-Site WaterC'' Baseline'!$C$8:$AD$257,17,FALSE))))</f>
        <v/>
      </c>
      <c r="AT221" s="15" t="str">
        <f>IF(B221="","",VLOOKUP($B221,'C-1 On-Site WaterC'' Baseline'!$C$9:$Z$257,12,FALSE))</f>
        <v/>
      </c>
      <c r="AU221" s="15" t="str">
        <f>IF(B221="","",VLOOKUP($B221,'C-1 On-Site WaterC'' Baseline'!$C$9:$Z$257,14,FALSE))</f>
        <v/>
      </c>
      <c r="AV221" s="15" t="str">
        <f>IFERROR(INDEX('G-7 WaterC'' Data'!$AZ$3:$AZ$7,MATCH(N221,'G-7 WaterC'' Data'!$AY$3:$AY$7,0)),"")</f>
        <v/>
      </c>
      <c r="AX221" s="15" t="str">
        <f>IF(B221="","",VLOOKUP($B221,'C-1 On-Site WaterC'' Baseline'!$C$9:$Y$257,22,FALSE))</f>
        <v/>
      </c>
      <c r="AY221" s="15" t="str">
        <f t="shared" si="35"/>
        <v/>
      </c>
      <c r="AZ221" s="15" t="str">
        <f>IF(B221="","",VLOOKUP($B221,'C-1 On-Site WaterC'' Baseline'!$C$9:$Y$257,21,FALSE))</f>
        <v/>
      </c>
      <c r="BA221" s="15" t="str">
        <f>IF(B221="","",VLOOKUP($B221,'C-1 On-Site WaterC'' Baseline'!$C$9:$Y$257,19,FALSE))</f>
        <v/>
      </c>
    </row>
    <row r="222" spans="2:53" ht="14" x14ac:dyDescent="0.3">
      <c r="B222" s="319" t="str">
        <f>'C-1 On-Site WaterC'' Baseline'!AP220</f>
        <v/>
      </c>
      <c r="C222" s="310" t="str">
        <f>IF(B222="","",VLOOKUP($B222,'C-1 On-Site WaterC'' Baseline'!$C$9:$R$257,2,FALSE))</f>
        <v/>
      </c>
      <c r="D222" s="310" t="str">
        <f>IF(C222="","",VLOOKUP($B222,'C-1 On-Site WaterC'' Baseline'!$C$9:$R$257,3,FALSE))</f>
        <v/>
      </c>
      <c r="E222" s="310" t="str">
        <f>IF(D222="","",VLOOKUP($B222,'C-1 On-Site WaterC'' Baseline'!$C$9:$R$257,4,FALSE))</f>
        <v/>
      </c>
      <c r="F222" s="310" t="str">
        <f>IF(E222="","",VLOOKUP($B222,'C-1 On-Site WaterC'' Baseline'!$C$9:$R$257,5,FALSE))</f>
        <v/>
      </c>
      <c r="G222" s="310" t="str">
        <f>IF(F222="","",VLOOKUP($B222,'C-1 On-Site WaterC'' Baseline'!$C$9:$R$257,6,FALSE))</f>
        <v/>
      </c>
      <c r="H222" s="310" t="str">
        <f>IF(G222="","",VLOOKUP($B222,'C-1 On-Site WaterC'' Baseline'!$C$9:$R$257,7,FALSE))</f>
        <v/>
      </c>
      <c r="I222" s="310" t="str">
        <f>IF(H222="","",VLOOKUP($B222,'C-1 On-Site WaterC'' Baseline'!$C$9:$R$257,8,FALSE))</f>
        <v/>
      </c>
      <c r="J222" s="310" t="str">
        <f>IF(I222="","",VLOOKUP($B222,'C-1 On-Site WaterC'' Baseline'!$C$9:$R$257,9,FALSE))</f>
        <v/>
      </c>
      <c r="K222" s="310" t="str">
        <f>IF(J222="","",VLOOKUP($B222,'C-1 On-Site WaterC'' Baseline'!$C$9:$R$257,10,FALSE))</f>
        <v/>
      </c>
      <c r="L222" s="310" t="str">
        <f>IF(B222="","",VLOOKUP($B222,'C-1 On-Site WaterC'' Baseline'!$C$9:$R$257,15,FALSE))</f>
        <v/>
      </c>
      <c r="M222" s="314" t="str">
        <f>IF(L222="","",VLOOKUP($B222,'C-1 On-Site WaterC'' Baseline'!$C$9:$R$257,16,FALSE))</f>
        <v/>
      </c>
      <c r="N222" s="259"/>
      <c r="O222" s="290" t="str">
        <f t="shared" si="28"/>
        <v/>
      </c>
      <c r="P222" s="291" t="str">
        <f t="shared" si="29"/>
        <v/>
      </c>
      <c r="Q222" s="346" t="str">
        <f>IF(N222="","",VLOOKUP(B222,'C-1 On-Site WaterC'' Baseline'!$C$10:$AC$257,20,FALSE))</f>
        <v/>
      </c>
      <c r="R222" s="290" t="str">
        <f>IF(N222="","",VLOOKUP(N222,'G-7 WaterC'' Data'!$B$2:$G$8,2,FALSE))</f>
        <v/>
      </c>
      <c r="S222" s="291" t="str">
        <f>IFERROR(VLOOKUP(R222,'G-7 WaterC'' Data'!$C$4:$D$8,2,FALSE),"")</f>
        <v/>
      </c>
      <c r="T222" s="95"/>
      <c r="U222" s="291" t="str">
        <f>IFERROR(INDEX('G-7 WaterC'' Data'!$H$4:$L$8,MATCH(N222,'G-7 WaterC'' Data'!$B$4:$B$8,0),MATCH(T222,'G-7 WaterC'' Data'!$H$3:$L$3,0)),"")</f>
        <v/>
      </c>
      <c r="V222" s="95"/>
      <c r="W222" s="298" t="str">
        <f>IF(V222="","",IF(VLOOKUP(V222,'G-7 WaterC'' Data'!$AK$4:$AM$6,2,FALSE)=0,"Spatial Data Missing ⚠",VLOOKUP(V222,'G-7 WaterC'' Data'!$AK$4:$AM$6,2,FALSE)))</f>
        <v/>
      </c>
      <c r="X222" s="291" t="str">
        <f>IF(V222="","",IF(VLOOKUP(V222,'G-7 WaterC'' Data'!$AK$4:$AM$6,3,FALSE)=0,"Spatial Data Missing ⚠",VLOOKUP(V222,'G-7 WaterC'' Data'!$AK$4:$AM$6,3,FALSE)))</f>
        <v/>
      </c>
      <c r="Y222" s="290" t="str">
        <f>IFERROR(IF(OR(LEFT(P222,5)="Error",LEFT(O222,5)="Error ▲"),"Check Data ⚠",IF(F222&lt;S222,'G-7 WaterC'' Data'!$R$3,INDEX('G-7 WaterC'' Data'!$U$5:$Y$9,MATCH(G222,'G-7 WaterC'' Data'!$T$5:$T$9,0),MATCH(T222,'G-7 WaterC'' Data'!$U$4:$Y$4,0)))),"")</f>
        <v/>
      </c>
      <c r="Z222" s="138"/>
      <c r="AA222" s="138"/>
      <c r="AB222" s="298" t="str">
        <f t="shared" si="30"/>
        <v/>
      </c>
      <c r="AC222" s="311" t="str">
        <f t="shared" si="31"/>
        <v/>
      </c>
      <c r="AD222" s="344" t="str">
        <f>IFERROR(IF(AC222="Check Data ⚠","Check Data ⚠",VLOOKUP(AC222,'G-4 Temporal multipliers'!$A$4:$C$37,3,FALSE)),"")</f>
        <v/>
      </c>
      <c r="AE222" s="290" t="str">
        <f>IF(N222="","",VLOOKUP(N222,'G-7 WaterC'' Data'!$B$4:$G$8,5,FALSE))</f>
        <v/>
      </c>
      <c r="AF222" s="298" t="str">
        <f t="shared" si="32"/>
        <v/>
      </c>
      <c r="AG222" s="328" t="str">
        <f t="shared" si="33"/>
        <v/>
      </c>
      <c r="AH222" s="291" t="str">
        <f t="shared" si="27"/>
        <v/>
      </c>
      <c r="AI222" s="103"/>
      <c r="AJ222" s="291" t="str">
        <f>IF(AI222="","",IF(AND(AI222="N/A - Culvert",N222&lt;&gt;"Culvert"),"Not possible ▲",IF(VLOOKUP(AI222,'G-7 WaterC'' Data'!$AA$4:$AB$7,2,FALSE)=0,"Spatial Data Missing ⚠",VLOOKUP(AI222,'G-7 WaterC'' Data'!$AA$4:$AB$7,2,FALSE))))</f>
        <v/>
      </c>
      <c r="AK222" s="104"/>
      <c r="AL222" s="291" t="str">
        <f>IF(AK222="","",IF(AND(AK222="N/A - Culvert",N222&lt;&gt;"Culvert"),"Not possible ▲",IF(VLOOKUP(AK222,'G-7 WaterC'' Data'!$AD$4:$AE$14,2,FALSE)=0,"Spatial Data Missing ⚠",VLOOKUP(AK222,'G-7 WaterC'' Data'!$AD$4:$AE$14,2,FALSE))))</f>
        <v/>
      </c>
      <c r="AM222" s="332" t="str">
        <f t="shared" si="34"/>
        <v/>
      </c>
      <c r="AN222" s="98"/>
      <c r="AO222" s="99"/>
      <c r="AP222" s="101"/>
      <c r="AS222" s="15" t="str">
        <f>IF(B222="","",IF(ISNA(VLOOKUP($B222,'C-1 On-Site WaterC'' Baseline'!$C$8:$AD$257,17,FALSE)),"",(VLOOKUP($B222,'C-1 On-Site WaterC'' Baseline'!$C$8:$AD$257,17,FALSE))))</f>
        <v/>
      </c>
      <c r="AT222" s="15" t="str">
        <f>IF(B222="","",VLOOKUP($B222,'C-1 On-Site WaterC'' Baseline'!$C$9:$Z$257,12,FALSE))</f>
        <v/>
      </c>
      <c r="AU222" s="15" t="str">
        <f>IF(B222="","",VLOOKUP($B222,'C-1 On-Site WaterC'' Baseline'!$C$9:$Z$257,14,FALSE))</f>
        <v/>
      </c>
      <c r="AV222" s="15" t="str">
        <f>IFERROR(INDEX('G-7 WaterC'' Data'!$AZ$3:$AZ$7,MATCH(N222,'G-7 WaterC'' Data'!$AY$3:$AY$7,0)),"")</f>
        <v/>
      </c>
      <c r="AX222" s="15" t="str">
        <f>IF(B222="","",VLOOKUP($B222,'C-1 On-Site WaterC'' Baseline'!$C$9:$Y$257,22,FALSE))</f>
        <v/>
      </c>
      <c r="AY222" s="15" t="str">
        <f t="shared" si="35"/>
        <v/>
      </c>
      <c r="AZ222" s="15" t="str">
        <f>IF(B222="","",VLOOKUP($B222,'C-1 On-Site WaterC'' Baseline'!$C$9:$Y$257,21,FALSE))</f>
        <v/>
      </c>
      <c r="BA222" s="15" t="str">
        <f>IF(B222="","",VLOOKUP($B222,'C-1 On-Site WaterC'' Baseline'!$C$9:$Y$257,19,FALSE))</f>
        <v/>
      </c>
    </row>
    <row r="223" spans="2:53" ht="14" x14ac:dyDescent="0.3">
      <c r="B223" s="319" t="str">
        <f>'C-1 On-Site WaterC'' Baseline'!AP221</f>
        <v/>
      </c>
      <c r="C223" s="310" t="str">
        <f>IF(B223="","",VLOOKUP($B223,'C-1 On-Site WaterC'' Baseline'!$C$9:$R$257,2,FALSE))</f>
        <v/>
      </c>
      <c r="D223" s="310" t="str">
        <f>IF(C223="","",VLOOKUP($B223,'C-1 On-Site WaterC'' Baseline'!$C$9:$R$257,3,FALSE))</f>
        <v/>
      </c>
      <c r="E223" s="310" t="str">
        <f>IF(D223="","",VLOOKUP($B223,'C-1 On-Site WaterC'' Baseline'!$C$9:$R$257,4,FALSE))</f>
        <v/>
      </c>
      <c r="F223" s="310" t="str">
        <f>IF(E223="","",VLOOKUP($B223,'C-1 On-Site WaterC'' Baseline'!$C$9:$R$257,5,FALSE))</f>
        <v/>
      </c>
      <c r="G223" s="310" t="str">
        <f>IF(F223="","",VLOOKUP($B223,'C-1 On-Site WaterC'' Baseline'!$C$9:$R$257,6,FALSE))</f>
        <v/>
      </c>
      <c r="H223" s="310" t="str">
        <f>IF(G223="","",VLOOKUP($B223,'C-1 On-Site WaterC'' Baseline'!$C$9:$R$257,7,FALSE))</f>
        <v/>
      </c>
      <c r="I223" s="310" t="str">
        <f>IF(H223="","",VLOOKUP($B223,'C-1 On-Site WaterC'' Baseline'!$C$9:$R$257,8,FALSE))</f>
        <v/>
      </c>
      <c r="J223" s="310" t="str">
        <f>IF(I223="","",VLOOKUP($B223,'C-1 On-Site WaterC'' Baseline'!$C$9:$R$257,9,FALSE))</f>
        <v/>
      </c>
      <c r="K223" s="310" t="str">
        <f>IF(J223="","",VLOOKUP($B223,'C-1 On-Site WaterC'' Baseline'!$C$9:$R$257,10,FALSE))</f>
        <v/>
      </c>
      <c r="L223" s="310" t="str">
        <f>IF(B223="","",VLOOKUP($B223,'C-1 On-Site WaterC'' Baseline'!$C$9:$R$257,15,FALSE))</f>
        <v/>
      </c>
      <c r="M223" s="314" t="str">
        <f>IF(L223="","",VLOOKUP($B223,'C-1 On-Site WaterC'' Baseline'!$C$9:$R$257,16,FALSE))</f>
        <v/>
      </c>
      <c r="N223" s="259"/>
      <c r="O223" s="290" t="str">
        <f t="shared" si="28"/>
        <v/>
      </c>
      <c r="P223" s="291" t="str">
        <f t="shared" si="29"/>
        <v/>
      </c>
      <c r="Q223" s="346" t="str">
        <f>IF(N223="","",VLOOKUP(B223,'C-1 On-Site WaterC'' Baseline'!$C$10:$AC$257,20,FALSE))</f>
        <v/>
      </c>
      <c r="R223" s="290" t="str">
        <f>IF(N223="","",VLOOKUP(N223,'G-7 WaterC'' Data'!$B$2:$G$8,2,FALSE))</f>
        <v/>
      </c>
      <c r="S223" s="291" t="str">
        <f>IFERROR(VLOOKUP(R223,'G-7 WaterC'' Data'!$C$4:$D$8,2,FALSE),"")</f>
        <v/>
      </c>
      <c r="T223" s="95"/>
      <c r="U223" s="291" t="str">
        <f>IFERROR(INDEX('G-7 WaterC'' Data'!$H$4:$L$8,MATCH(N223,'G-7 WaterC'' Data'!$B$4:$B$8,0),MATCH(T223,'G-7 WaterC'' Data'!$H$3:$L$3,0)),"")</f>
        <v/>
      </c>
      <c r="V223" s="95"/>
      <c r="W223" s="298" t="str">
        <f>IF(V223="","",IF(VLOOKUP(V223,'G-7 WaterC'' Data'!$AK$4:$AM$6,2,FALSE)=0,"Spatial Data Missing ⚠",VLOOKUP(V223,'G-7 WaterC'' Data'!$AK$4:$AM$6,2,FALSE)))</f>
        <v/>
      </c>
      <c r="X223" s="291" t="str">
        <f>IF(V223="","",IF(VLOOKUP(V223,'G-7 WaterC'' Data'!$AK$4:$AM$6,3,FALSE)=0,"Spatial Data Missing ⚠",VLOOKUP(V223,'G-7 WaterC'' Data'!$AK$4:$AM$6,3,FALSE)))</f>
        <v/>
      </c>
      <c r="Y223" s="290" t="str">
        <f>IFERROR(IF(OR(LEFT(P223,5)="Error",LEFT(O223,5)="Error ▲"),"Check Data ⚠",IF(F223&lt;S223,'G-7 WaterC'' Data'!$R$3,INDEX('G-7 WaterC'' Data'!$U$5:$Y$9,MATCH(G223,'G-7 WaterC'' Data'!$T$5:$T$9,0),MATCH(T223,'G-7 WaterC'' Data'!$U$4:$Y$4,0)))),"")</f>
        <v/>
      </c>
      <c r="Z223" s="138"/>
      <c r="AA223" s="138"/>
      <c r="AB223" s="298" t="str">
        <f t="shared" si="30"/>
        <v/>
      </c>
      <c r="AC223" s="311" t="str">
        <f t="shared" si="31"/>
        <v/>
      </c>
      <c r="AD223" s="344" t="str">
        <f>IFERROR(IF(AC223="Check Data ⚠","Check Data ⚠",VLOOKUP(AC223,'G-4 Temporal multipliers'!$A$4:$C$37,3,FALSE)),"")</f>
        <v/>
      </c>
      <c r="AE223" s="290" t="str">
        <f>IF(N223="","",VLOOKUP(N223,'G-7 WaterC'' Data'!$B$4:$G$8,5,FALSE))</f>
        <v/>
      </c>
      <c r="AF223" s="298" t="str">
        <f t="shared" si="32"/>
        <v/>
      </c>
      <c r="AG223" s="328" t="str">
        <f t="shared" si="33"/>
        <v/>
      </c>
      <c r="AH223" s="291" t="str">
        <f t="shared" si="27"/>
        <v/>
      </c>
      <c r="AI223" s="103"/>
      <c r="AJ223" s="291" t="str">
        <f>IF(AI223="","",IF(AND(AI223="N/A - Culvert",N223&lt;&gt;"Culvert"),"Not possible ▲",IF(VLOOKUP(AI223,'G-7 WaterC'' Data'!$AA$4:$AB$7,2,FALSE)=0,"Spatial Data Missing ⚠",VLOOKUP(AI223,'G-7 WaterC'' Data'!$AA$4:$AB$7,2,FALSE))))</f>
        <v/>
      </c>
      <c r="AK223" s="104"/>
      <c r="AL223" s="291" t="str">
        <f>IF(AK223="","",IF(AND(AK223="N/A - Culvert",N223&lt;&gt;"Culvert"),"Not possible ▲",IF(VLOOKUP(AK223,'G-7 WaterC'' Data'!$AD$4:$AE$14,2,FALSE)=0,"Spatial Data Missing ⚠",VLOOKUP(AK223,'G-7 WaterC'' Data'!$AD$4:$AE$14,2,FALSE))))</f>
        <v/>
      </c>
      <c r="AM223" s="332" t="str">
        <f t="shared" si="34"/>
        <v/>
      </c>
      <c r="AN223" s="98"/>
      <c r="AO223" s="99"/>
      <c r="AP223" s="101"/>
      <c r="AS223" s="15" t="str">
        <f>IF(B223="","",IF(ISNA(VLOOKUP($B223,'C-1 On-Site WaterC'' Baseline'!$C$8:$AD$257,17,FALSE)),"",(VLOOKUP($B223,'C-1 On-Site WaterC'' Baseline'!$C$8:$AD$257,17,FALSE))))</f>
        <v/>
      </c>
      <c r="AT223" s="15" t="str">
        <f>IF(B223="","",VLOOKUP($B223,'C-1 On-Site WaterC'' Baseline'!$C$9:$Z$257,12,FALSE))</f>
        <v/>
      </c>
      <c r="AU223" s="15" t="str">
        <f>IF(B223="","",VLOOKUP($B223,'C-1 On-Site WaterC'' Baseline'!$C$9:$Z$257,14,FALSE))</f>
        <v/>
      </c>
      <c r="AV223" s="15" t="str">
        <f>IFERROR(INDEX('G-7 WaterC'' Data'!$AZ$3:$AZ$7,MATCH(N223,'G-7 WaterC'' Data'!$AY$3:$AY$7,0)),"")</f>
        <v/>
      </c>
      <c r="AX223" s="15" t="str">
        <f>IF(B223="","",VLOOKUP($B223,'C-1 On-Site WaterC'' Baseline'!$C$9:$Y$257,22,FALSE))</f>
        <v/>
      </c>
      <c r="AY223" s="15" t="str">
        <f t="shared" si="35"/>
        <v/>
      </c>
      <c r="AZ223" s="15" t="str">
        <f>IF(B223="","",VLOOKUP($B223,'C-1 On-Site WaterC'' Baseline'!$C$9:$Y$257,21,FALSE))</f>
        <v/>
      </c>
      <c r="BA223" s="15" t="str">
        <f>IF(B223="","",VLOOKUP($B223,'C-1 On-Site WaterC'' Baseline'!$C$9:$Y$257,19,FALSE))</f>
        <v/>
      </c>
    </row>
    <row r="224" spans="2:53" ht="14" x14ac:dyDescent="0.3">
      <c r="B224" s="319" t="str">
        <f>'C-1 On-Site WaterC'' Baseline'!AP222</f>
        <v/>
      </c>
      <c r="C224" s="310" t="str">
        <f>IF(B224="","",VLOOKUP($B224,'C-1 On-Site WaterC'' Baseline'!$C$9:$R$257,2,FALSE))</f>
        <v/>
      </c>
      <c r="D224" s="310" t="str">
        <f>IF(C224="","",VLOOKUP($B224,'C-1 On-Site WaterC'' Baseline'!$C$9:$R$257,3,FALSE))</f>
        <v/>
      </c>
      <c r="E224" s="310" t="str">
        <f>IF(D224="","",VLOOKUP($B224,'C-1 On-Site WaterC'' Baseline'!$C$9:$R$257,4,FALSE))</f>
        <v/>
      </c>
      <c r="F224" s="310" t="str">
        <f>IF(E224="","",VLOOKUP($B224,'C-1 On-Site WaterC'' Baseline'!$C$9:$R$257,5,FALSE))</f>
        <v/>
      </c>
      <c r="G224" s="310" t="str">
        <f>IF(F224="","",VLOOKUP($B224,'C-1 On-Site WaterC'' Baseline'!$C$9:$R$257,6,FALSE))</f>
        <v/>
      </c>
      <c r="H224" s="310" t="str">
        <f>IF(G224="","",VLOOKUP($B224,'C-1 On-Site WaterC'' Baseline'!$C$9:$R$257,7,FALSE))</f>
        <v/>
      </c>
      <c r="I224" s="310" t="str">
        <f>IF(H224="","",VLOOKUP($B224,'C-1 On-Site WaterC'' Baseline'!$C$9:$R$257,8,FALSE))</f>
        <v/>
      </c>
      <c r="J224" s="310" t="str">
        <f>IF(I224="","",VLOOKUP($B224,'C-1 On-Site WaterC'' Baseline'!$C$9:$R$257,9,FALSE))</f>
        <v/>
      </c>
      <c r="K224" s="310" t="str">
        <f>IF(J224="","",VLOOKUP($B224,'C-1 On-Site WaterC'' Baseline'!$C$9:$R$257,10,FALSE))</f>
        <v/>
      </c>
      <c r="L224" s="310" t="str">
        <f>IF(B224="","",VLOOKUP($B224,'C-1 On-Site WaterC'' Baseline'!$C$9:$R$257,15,FALSE))</f>
        <v/>
      </c>
      <c r="M224" s="314" t="str">
        <f>IF(L224="","",VLOOKUP($B224,'C-1 On-Site WaterC'' Baseline'!$C$9:$R$257,16,FALSE))</f>
        <v/>
      </c>
      <c r="N224" s="259"/>
      <c r="O224" s="290" t="str">
        <f t="shared" si="28"/>
        <v/>
      </c>
      <c r="P224" s="291" t="str">
        <f t="shared" si="29"/>
        <v/>
      </c>
      <c r="Q224" s="346" t="str">
        <f>IF(N224="","",VLOOKUP(B224,'C-1 On-Site WaterC'' Baseline'!$C$10:$AC$257,20,FALSE))</f>
        <v/>
      </c>
      <c r="R224" s="290" t="str">
        <f>IF(N224="","",VLOOKUP(N224,'G-7 WaterC'' Data'!$B$2:$G$8,2,FALSE))</f>
        <v/>
      </c>
      <c r="S224" s="291" t="str">
        <f>IFERROR(VLOOKUP(R224,'G-7 WaterC'' Data'!$C$4:$D$8,2,FALSE),"")</f>
        <v/>
      </c>
      <c r="T224" s="95"/>
      <c r="U224" s="291" t="str">
        <f>IFERROR(INDEX('G-7 WaterC'' Data'!$H$4:$L$8,MATCH(N224,'G-7 WaterC'' Data'!$B$4:$B$8,0),MATCH(T224,'G-7 WaterC'' Data'!$H$3:$L$3,0)),"")</f>
        <v/>
      </c>
      <c r="V224" s="95"/>
      <c r="W224" s="298" t="str">
        <f>IF(V224="","",IF(VLOOKUP(V224,'G-7 WaterC'' Data'!$AK$4:$AM$6,2,FALSE)=0,"Spatial Data Missing ⚠",VLOOKUP(V224,'G-7 WaterC'' Data'!$AK$4:$AM$6,2,FALSE)))</f>
        <v/>
      </c>
      <c r="X224" s="291" t="str">
        <f>IF(V224="","",IF(VLOOKUP(V224,'G-7 WaterC'' Data'!$AK$4:$AM$6,3,FALSE)=0,"Spatial Data Missing ⚠",VLOOKUP(V224,'G-7 WaterC'' Data'!$AK$4:$AM$6,3,FALSE)))</f>
        <v/>
      </c>
      <c r="Y224" s="290" t="str">
        <f>IFERROR(IF(OR(LEFT(P224,5)="Error",LEFT(O224,5)="Error ▲"),"Check Data ⚠",IF(F224&lt;S224,'G-7 WaterC'' Data'!$R$3,INDEX('G-7 WaterC'' Data'!$U$5:$Y$9,MATCH(G224,'G-7 WaterC'' Data'!$T$5:$T$9,0),MATCH(T224,'G-7 WaterC'' Data'!$U$4:$Y$4,0)))),"")</f>
        <v/>
      </c>
      <c r="Z224" s="138"/>
      <c r="AA224" s="138"/>
      <c r="AB224" s="298" t="str">
        <f t="shared" si="30"/>
        <v/>
      </c>
      <c r="AC224" s="311" t="str">
        <f t="shared" si="31"/>
        <v/>
      </c>
      <c r="AD224" s="344" t="str">
        <f>IFERROR(IF(AC224="Check Data ⚠","Check Data ⚠",VLOOKUP(AC224,'G-4 Temporal multipliers'!$A$4:$C$37,3,FALSE)),"")</f>
        <v/>
      </c>
      <c r="AE224" s="290" t="str">
        <f>IF(N224="","",VLOOKUP(N224,'G-7 WaterC'' Data'!$B$4:$G$8,5,FALSE))</f>
        <v/>
      </c>
      <c r="AF224" s="298" t="str">
        <f t="shared" si="32"/>
        <v/>
      </c>
      <c r="AG224" s="328" t="str">
        <f t="shared" si="33"/>
        <v/>
      </c>
      <c r="AH224" s="291" t="str">
        <f t="shared" si="27"/>
        <v/>
      </c>
      <c r="AI224" s="103"/>
      <c r="AJ224" s="291" t="str">
        <f>IF(AI224="","",IF(AND(AI224="N/A - Culvert",N224&lt;&gt;"Culvert"),"Not possible ▲",IF(VLOOKUP(AI224,'G-7 WaterC'' Data'!$AA$4:$AB$7,2,FALSE)=0,"Spatial Data Missing ⚠",VLOOKUP(AI224,'G-7 WaterC'' Data'!$AA$4:$AB$7,2,FALSE))))</f>
        <v/>
      </c>
      <c r="AK224" s="104"/>
      <c r="AL224" s="291" t="str">
        <f>IF(AK224="","",IF(AND(AK224="N/A - Culvert",N224&lt;&gt;"Culvert"),"Not possible ▲",IF(VLOOKUP(AK224,'G-7 WaterC'' Data'!$AD$4:$AE$14,2,FALSE)=0,"Spatial Data Missing ⚠",VLOOKUP(AK224,'G-7 WaterC'' Data'!$AD$4:$AE$14,2,FALSE))))</f>
        <v/>
      </c>
      <c r="AM224" s="332" t="str">
        <f t="shared" si="34"/>
        <v/>
      </c>
      <c r="AN224" s="98"/>
      <c r="AO224" s="99"/>
      <c r="AP224" s="101"/>
      <c r="AS224" s="15" t="str">
        <f>IF(B224="","",IF(ISNA(VLOOKUP($B224,'C-1 On-Site WaterC'' Baseline'!$C$8:$AD$257,17,FALSE)),"",(VLOOKUP($B224,'C-1 On-Site WaterC'' Baseline'!$C$8:$AD$257,17,FALSE))))</f>
        <v/>
      </c>
      <c r="AT224" s="15" t="str">
        <f>IF(B224="","",VLOOKUP($B224,'C-1 On-Site WaterC'' Baseline'!$C$9:$Z$257,12,FALSE))</f>
        <v/>
      </c>
      <c r="AU224" s="15" t="str">
        <f>IF(B224="","",VLOOKUP($B224,'C-1 On-Site WaterC'' Baseline'!$C$9:$Z$257,14,FALSE))</f>
        <v/>
      </c>
      <c r="AV224" s="15" t="str">
        <f>IFERROR(INDEX('G-7 WaterC'' Data'!$AZ$3:$AZ$7,MATCH(N224,'G-7 WaterC'' Data'!$AY$3:$AY$7,0)),"")</f>
        <v/>
      </c>
      <c r="AX224" s="15" t="str">
        <f>IF(B224="","",VLOOKUP($B224,'C-1 On-Site WaterC'' Baseline'!$C$9:$Y$257,22,FALSE))</f>
        <v/>
      </c>
      <c r="AY224" s="15" t="str">
        <f t="shared" si="35"/>
        <v/>
      </c>
      <c r="AZ224" s="15" t="str">
        <f>IF(B224="","",VLOOKUP($B224,'C-1 On-Site WaterC'' Baseline'!$C$9:$Y$257,21,FALSE))</f>
        <v/>
      </c>
      <c r="BA224" s="15" t="str">
        <f>IF(B224="","",VLOOKUP($B224,'C-1 On-Site WaterC'' Baseline'!$C$9:$Y$257,19,FALSE))</f>
        <v/>
      </c>
    </row>
    <row r="225" spans="2:53" ht="14" x14ac:dyDescent="0.3">
      <c r="B225" s="319" t="str">
        <f>'C-1 On-Site WaterC'' Baseline'!AP223</f>
        <v/>
      </c>
      <c r="C225" s="310" t="str">
        <f>IF(B225="","",VLOOKUP($B225,'C-1 On-Site WaterC'' Baseline'!$C$9:$R$257,2,FALSE))</f>
        <v/>
      </c>
      <c r="D225" s="310" t="str">
        <f>IF(C225="","",VLOOKUP($B225,'C-1 On-Site WaterC'' Baseline'!$C$9:$R$257,3,FALSE))</f>
        <v/>
      </c>
      <c r="E225" s="310" t="str">
        <f>IF(D225="","",VLOOKUP($B225,'C-1 On-Site WaterC'' Baseline'!$C$9:$R$257,4,FALSE))</f>
        <v/>
      </c>
      <c r="F225" s="310" t="str">
        <f>IF(E225="","",VLOOKUP($B225,'C-1 On-Site WaterC'' Baseline'!$C$9:$R$257,5,FALSE))</f>
        <v/>
      </c>
      <c r="G225" s="310" t="str">
        <f>IF(F225="","",VLOOKUP($B225,'C-1 On-Site WaterC'' Baseline'!$C$9:$R$257,6,FALSE))</f>
        <v/>
      </c>
      <c r="H225" s="310" t="str">
        <f>IF(G225="","",VLOOKUP($B225,'C-1 On-Site WaterC'' Baseline'!$C$9:$R$257,7,FALSE))</f>
        <v/>
      </c>
      <c r="I225" s="310" t="str">
        <f>IF(H225="","",VLOOKUP($B225,'C-1 On-Site WaterC'' Baseline'!$C$9:$R$257,8,FALSE))</f>
        <v/>
      </c>
      <c r="J225" s="310" t="str">
        <f>IF(I225="","",VLOOKUP($B225,'C-1 On-Site WaterC'' Baseline'!$C$9:$R$257,9,FALSE))</f>
        <v/>
      </c>
      <c r="K225" s="310" t="str">
        <f>IF(J225="","",VLOOKUP($B225,'C-1 On-Site WaterC'' Baseline'!$C$9:$R$257,10,FALSE))</f>
        <v/>
      </c>
      <c r="L225" s="310" t="str">
        <f>IF(B225="","",VLOOKUP($B225,'C-1 On-Site WaterC'' Baseline'!$C$9:$R$257,15,FALSE))</f>
        <v/>
      </c>
      <c r="M225" s="314" t="str">
        <f>IF(L225="","",VLOOKUP($B225,'C-1 On-Site WaterC'' Baseline'!$C$9:$R$257,16,FALSE))</f>
        <v/>
      </c>
      <c r="N225" s="259"/>
      <c r="O225" s="290" t="str">
        <f t="shared" si="28"/>
        <v/>
      </c>
      <c r="P225" s="291" t="str">
        <f t="shared" si="29"/>
        <v/>
      </c>
      <c r="Q225" s="346" t="str">
        <f>IF(N225="","",VLOOKUP(B225,'C-1 On-Site WaterC'' Baseline'!$C$10:$AC$257,20,FALSE))</f>
        <v/>
      </c>
      <c r="R225" s="290" t="str">
        <f>IF(N225="","",VLOOKUP(N225,'G-7 WaterC'' Data'!$B$2:$G$8,2,FALSE))</f>
        <v/>
      </c>
      <c r="S225" s="291" t="str">
        <f>IFERROR(VLOOKUP(R225,'G-7 WaterC'' Data'!$C$4:$D$8,2,FALSE),"")</f>
        <v/>
      </c>
      <c r="T225" s="95"/>
      <c r="U225" s="291" t="str">
        <f>IFERROR(INDEX('G-7 WaterC'' Data'!$H$4:$L$8,MATCH(N225,'G-7 WaterC'' Data'!$B$4:$B$8,0),MATCH(T225,'G-7 WaterC'' Data'!$H$3:$L$3,0)),"")</f>
        <v/>
      </c>
      <c r="V225" s="95"/>
      <c r="W225" s="298" t="str">
        <f>IF(V225="","",IF(VLOOKUP(V225,'G-7 WaterC'' Data'!$AK$4:$AM$6,2,FALSE)=0,"Spatial Data Missing ⚠",VLOOKUP(V225,'G-7 WaterC'' Data'!$AK$4:$AM$6,2,FALSE)))</f>
        <v/>
      </c>
      <c r="X225" s="291" t="str">
        <f>IF(V225="","",IF(VLOOKUP(V225,'G-7 WaterC'' Data'!$AK$4:$AM$6,3,FALSE)=0,"Spatial Data Missing ⚠",VLOOKUP(V225,'G-7 WaterC'' Data'!$AK$4:$AM$6,3,FALSE)))</f>
        <v/>
      </c>
      <c r="Y225" s="290" t="str">
        <f>IFERROR(IF(OR(LEFT(P225,5)="Error",LEFT(O225,5)="Error ▲"),"Check Data ⚠",IF(F225&lt;S225,'G-7 WaterC'' Data'!$R$3,INDEX('G-7 WaterC'' Data'!$U$5:$Y$9,MATCH(G225,'G-7 WaterC'' Data'!$T$5:$T$9,0),MATCH(T225,'G-7 WaterC'' Data'!$U$4:$Y$4,0)))),"")</f>
        <v/>
      </c>
      <c r="Z225" s="138"/>
      <c r="AA225" s="138"/>
      <c r="AB225" s="298" t="str">
        <f t="shared" si="30"/>
        <v/>
      </c>
      <c r="AC225" s="311" t="str">
        <f t="shared" si="31"/>
        <v/>
      </c>
      <c r="AD225" s="344" t="str">
        <f>IFERROR(IF(AC225="Check Data ⚠","Check Data ⚠",VLOOKUP(AC225,'G-4 Temporal multipliers'!$A$4:$C$37,3,FALSE)),"")</f>
        <v/>
      </c>
      <c r="AE225" s="290" t="str">
        <f>IF(N225="","",VLOOKUP(N225,'G-7 WaterC'' Data'!$B$4:$G$8,5,FALSE))</f>
        <v/>
      </c>
      <c r="AF225" s="298" t="str">
        <f t="shared" si="32"/>
        <v/>
      </c>
      <c r="AG225" s="328" t="str">
        <f t="shared" si="33"/>
        <v/>
      </c>
      <c r="AH225" s="291" t="str">
        <f t="shared" si="27"/>
        <v/>
      </c>
      <c r="AI225" s="103"/>
      <c r="AJ225" s="291" t="str">
        <f>IF(AI225="","",IF(AND(AI225="N/A - Culvert",N225&lt;&gt;"Culvert"),"Not possible ▲",IF(VLOOKUP(AI225,'G-7 WaterC'' Data'!$AA$4:$AB$7,2,FALSE)=0,"Spatial Data Missing ⚠",VLOOKUP(AI225,'G-7 WaterC'' Data'!$AA$4:$AB$7,2,FALSE))))</f>
        <v/>
      </c>
      <c r="AK225" s="104"/>
      <c r="AL225" s="291" t="str">
        <f>IF(AK225="","",IF(AND(AK225="N/A - Culvert",N225&lt;&gt;"Culvert"),"Not possible ▲",IF(VLOOKUP(AK225,'G-7 WaterC'' Data'!$AD$4:$AE$14,2,FALSE)=0,"Spatial Data Missing ⚠",VLOOKUP(AK225,'G-7 WaterC'' Data'!$AD$4:$AE$14,2,FALSE))))</f>
        <v/>
      </c>
      <c r="AM225" s="332" t="str">
        <f t="shared" si="34"/>
        <v/>
      </c>
      <c r="AN225" s="98"/>
      <c r="AO225" s="99"/>
      <c r="AP225" s="101"/>
      <c r="AS225" s="15" t="str">
        <f>IF(B225="","",IF(ISNA(VLOOKUP($B225,'C-1 On-Site WaterC'' Baseline'!$C$8:$AD$257,17,FALSE)),"",(VLOOKUP($B225,'C-1 On-Site WaterC'' Baseline'!$C$8:$AD$257,17,FALSE))))</f>
        <v/>
      </c>
      <c r="AT225" s="15" t="str">
        <f>IF(B225="","",VLOOKUP($B225,'C-1 On-Site WaterC'' Baseline'!$C$9:$Z$257,12,FALSE))</f>
        <v/>
      </c>
      <c r="AU225" s="15" t="str">
        <f>IF(B225="","",VLOOKUP($B225,'C-1 On-Site WaterC'' Baseline'!$C$9:$Z$257,14,FALSE))</f>
        <v/>
      </c>
      <c r="AV225" s="15" t="str">
        <f>IFERROR(INDEX('G-7 WaterC'' Data'!$AZ$3:$AZ$7,MATCH(N225,'G-7 WaterC'' Data'!$AY$3:$AY$7,0)),"")</f>
        <v/>
      </c>
      <c r="AX225" s="15" t="str">
        <f>IF(B225="","",VLOOKUP($B225,'C-1 On-Site WaterC'' Baseline'!$C$9:$Y$257,22,FALSE))</f>
        <v/>
      </c>
      <c r="AY225" s="15" t="str">
        <f t="shared" si="35"/>
        <v/>
      </c>
      <c r="AZ225" s="15" t="str">
        <f>IF(B225="","",VLOOKUP($B225,'C-1 On-Site WaterC'' Baseline'!$C$9:$Y$257,21,FALSE))</f>
        <v/>
      </c>
      <c r="BA225" s="15" t="str">
        <f>IF(B225="","",VLOOKUP($B225,'C-1 On-Site WaterC'' Baseline'!$C$9:$Y$257,19,FALSE))</f>
        <v/>
      </c>
    </row>
    <row r="226" spans="2:53" ht="14" x14ac:dyDescent="0.3">
      <c r="B226" s="319" t="str">
        <f>'C-1 On-Site WaterC'' Baseline'!AP224</f>
        <v/>
      </c>
      <c r="C226" s="310" t="str">
        <f>IF(B226="","",VLOOKUP($B226,'C-1 On-Site WaterC'' Baseline'!$C$9:$R$257,2,FALSE))</f>
        <v/>
      </c>
      <c r="D226" s="310" t="str">
        <f>IF(C226="","",VLOOKUP($B226,'C-1 On-Site WaterC'' Baseline'!$C$9:$R$257,3,FALSE))</f>
        <v/>
      </c>
      <c r="E226" s="310" t="str">
        <f>IF(D226="","",VLOOKUP($B226,'C-1 On-Site WaterC'' Baseline'!$C$9:$R$257,4,FALSE))</f>
        <v/>
      </c>
      <c r="F226" s="310" t="str">
        <f>IF(E226="","",VLOOKUP($B226,'C-1 On-Site WaterC'' Baseline'!$C$9:$R$257,5,FALSE))</f>
        <v/>
      </c>
      <c r="G226" s="310" t="str">
        <f>IF(F226="","",VLOOKUP($B226,'C-1 On-Site WaterC'' Baseline'!$C$9:$R$257,6,FALSE))</f>
        <v/>
      </c>
      <c r="H226" s="310" t="str">
        <f>IF(G226="","",VLOOKUP($B226,'C-1 On-Site WaterC'' Baseline'!$C$9:$R$257,7,FALSE))</f>
        <v/>
      </c>
      <c r="I226" s="310" t="str">
        <f>IF(H226="","",VLOOKUP($B226,'C-1 On-Site WaterC'' Baseline'!$C$9:$R$257,8,FALSE))</f>
        <v/>
      </c>
      <c r="J226" s="310" t="str">
        <f>IF(I226="","",VLOOKUP($B226,'C-1 On-Site WaterC'' Baseline'!$C$9:$R$257,9,FALSE))</f>
        <v/>
      </c>
      <c r="K226" s="310" t="str">
        <f>IF(J226="","",VLOOKUP($B226,'C-1 On-Site WaterC'' Baseline'!$C$9:$R$257,10,FALSE))</f>
        <v/>
      </c>
      <c r="L226" s="310" t="str">
        <f>IF(B226="","",VLOOKUP($B226,'C-1 On-Site WaterC'' Baseline'!$C$9:$R$257,15,FALSE))</f>
        <v/>
      </c>
      <c r="M226" s="314" t="str">
        <f>IF(L226="","",VLOOKUP($B226,'C-1 On-Site WaterC'' Baseline'!$C$9:$R$257,16,FALSE))</f>
        <v/>
      </c>
      <c r="N226" s="259"/>
      <c r="O226" s="290" t="str">
        <f t="shared" si="28"/>
        <v/>
      </c>
      <c r="P226" s="291" t="str">
        <f t="shared" si="29"/>
        <v/>
      </c>
      <c r="Q226" s="346" t="str">
        <f>IF(N226="","",VLOOKUP(B226,'C-1 On-Site WaterC'' Baseline'!$C$10:$AC$257,20,FALSE))</f>
        <v/>
      </c>
      <c r="R226" s="290" t="str">
        <f>IF(N226="","",VLOOKUP(N226,'G-7 WaterC'' Data'!$B$2:$G$8,2,FALSE))</f>
        <v/>
      </c>
      <c r="S226" s="291" t="str">
        <f>IFERROR(VLOOKUP(R226,'G-7 WaterC'' Data'!$C$4:$D$8,2,FALSE),"")</f>
        <v/>
      </c>
      <c r="T226" s="95"/>
      <c r="U226" s="291" t="str">
        <f>IFERROR(INDEX('G-7 WaterC'' Data'!$H$4:$L$8,MATCH(N226,'G-7 WaterC'' Data'!$B$4:$B$8,0),MATCH(T226,'G-7 WaterC'' Data'!$H$3:$L$3,0)),"")</f>
        <v/>
      </c>
      <c r="V226" s="95"/>
      <c r="W226" s="298" t="str">
        <f>IF(V226="","",IF(VLOOKUP(V226,'G-7 WaterC'' Data'!$AK$4:$AM$6,2,FALSE)=0,"Spatial Data Missing ⚠",VLOOKUP(V226,'G-7 WaterC'' Data'!$AK$4:$AM$6,2,FALSE)))</f>
        <v/>
      </c>
      <c r="X226" s="291" t="str">
        <f>IF(V226="","",IF(VLOOKUP(V226,'G-7 WaterC'' Data'!$AK$4:$AM$6,3,FALSE)=0,"Spatial Data Missing ⚠",VLOOKUP(V226,'G-7 WaterC'' Data'!$AK$4:$AM$6,3,FALSE)))</f>
        <v/>
      </c>
      <c r="Y226" s="290" t="str">
        <f>IFERROR(IF(OR(LEFT(P226,5)="Error",LEFT(O226,5)="Error ▲"),"Check Data ⚠",IF(F226&lt;S226,'G-7 WaterC'' Data'!$R$3,INDEX('G-7 WaterC'' Data'!$U$5:$Y$9,MATCH(G226,'G-7 WaterC'' Data'!$T$5:$T$9,0),MATCH(T226,'G-7 WaterC'' Data'!$U$4:$Y$4,0)))),"")</f>
        <v/>
      </c>
      <c r="Z226" s="138"/>
      <c r="AA226" s="138"/>
      <c r="AB226" s="298" t="str">
        <f t="shared" si="30"/>
        <v/>
      </c>
      <c r="AC226" s="311" t="str">
        <f t="shared" si="31"/>
        <v/>
      </c>
      <c r="AD226" s="344" t="str">
        <f>IFERROR(IF(AC226="Check Data ⚠","Check Data ⚠",VLOOKUP(AC226,'G-4 Temporal multipliers'!$A$4:$C$37,3,FALSE)),"")</f>
        <v/>
      </c>
      <c r="AE226" s="290" t="str">
        <f>IF(N226="","",VLOOKUP(N226,'G-7 WaterC'' Data'!$B$4:$G$8,5,FALSE))</f>
        <v/>
      </c>
      <c r="AF226" s="298" t="str">
        <f t="shared" si="32"/>
        <v/>
      </c>
      <c r="AG226" s="328" t="str">
        <f t="shared" si="33"/>
        <v/>
      </c>
      <c r="AH226" s="291" t="str">
        <f t="shared" si="27"/>
        <v/>
      </c>
      <c r="AI226" s="103"/>
      <c r="AJ226" s="291" t="str">
        <f>IF(AI226="","",IF(AND(AI226="N/A - Culvert",N226&lt;&gt;"Culvert"),"Not possible ▲",IF(VLOOKUP(AI226,'G-7 WaterC'' Data'!$AA$4:$AB$7,2,FALSE)=0,"Spatial Data Missing ⚠",VLOOKUP(AI226,'G-7 WaterC'' Data'!$AA$4:$AB$7,2,FALSE))))</f>
        <v/>
      </c>
      <c r="AK226" s="104"/>
      <c r="AL226" s="291" t="str">
        <f>IF(AK226="","",IF(AND(AK226="N/A - Culvert",N226&lt;&gt;"Culvert"),"Not possible ▲",IF(VLOOKUP(AK226,'G-7 WaterC'' Data'!$AD$4:$AE$14,2,FALSE)=0,"Spatial Data Missing ⚠",VLOOKUP(AK226,'G-7 WaterC'' Data'!$AD$4:$AE$14,2,FALSE))))</f>
        <v/>
      </c>
      <c r="AM226" s="332" t="str">
        <f t="shared" si="34"/>
        <v/>
      </c>
      <c r="AN226" s="98"/>
      <c r="AO226" s="99"/>
      <c r="AP226" s="101"/>
      <c r="AS226" s="15" t="str">
        <f>IF(B226="","",IF(ISNA(VLOOKUP($B226,'C-1 On-Site WaterC'' Baseline'!$C$8:$AD$257,17,FALSE)),"",(VLOOKUP($B226,'C-1 On-Site WaterC'' Baseline'!$C$8:$AD$257,17,FALSE))))</f>
        <v/>
      </c>
      <c r="AT226" s="15" t="str">
        <f>IF(B226="","",VLOOKUP($B226,'C-1 On-Site WaterC'' Baseline'!$C$9:$Z$257,12,FALSE))</f>
        <v/>
      </c>
      <c r="AU226" s="15" t="str">
        <f>IF(B226="","",VLOOKUP($B226,'C-1 On-Site WaterC'' Baseline'!$C$9:$Z$257,14,FALSE))</f>
        <v/>
      </c>
      <c r="AV226" s="15" t="str">
        <f>IFERROR(INDEX('G-7 WaterC'' Data'!$AZ$3:$AZ$7,MATCH(N226,'G-7 WaterC'' Data'!$AY$3:$AY$7,0)),"")</f>
        <v/>
      </c>
      <c r="AX226" s="15" t="str">
        <f>IF(B226="","",VLOOKUP($B226,'C-1 On-Site WaterC'' Baseline'!$C$9:$Y$257,22,FALSE))</f>
        <v/>
      </c>
      <c r="AY226" s="15" t="str">
        <f t="shared" si="35"/>
        <v/>
      </c>
      <c r="AZ226" s="15" t="str">
        <f>IF(B226="","",VLOOKUP($B226,'C-1 On-Site WaterC'' Baseline'!$C$9:$Y$257,21,FALSE))</f>
        <v/>
      </c>
      <c r="BA226" s="15" t="str">
        <f>IF(B226="","",VLOOKUP($B226,'C-1 On-Site WaterC'' Baseline'!$C$9:$Y$257,19,FALSE))</f>
        <v/>
      </c>
    </row>
    <row r="227" spans="2:53" ht="14" x14ac:dyDescent="0.3">
      <c r="B227" s="319" t="str">
        <f>'C-1 On-Site WaterC'' Baseline'!AP225</f>
        <v/>
      </c>
      <c r="C227" s="310" t="str">
        <f>IF(B227="","",VLOOKUP($B227,'C-1 On-Site WaterC'' Baseline'!$C$9:$R$257,2,FALSE))</f>
        <v/>
      </c>
      <c r="D227" s="310" t="str">
        <f>IF(C227="","",VLOOKUP($B227,'C-1 On-Site WaterC'' Baseline'!$C$9:$R$257,3,FALSE))</f>
        <v/>
      </c>
      <c r="E227" s="310" t="str">
        <f>IF(D227="","",VLOOKUP($B227,'C-1 On-Site WaterC'' Baseline'!$C$9:$R$257,4,FALSE))</f>
        <v/>
      </c>
      <c r="F227" s="310" t="str">
        <f>IF(E227="","",VLOOKUP($B227,'C-1 On-Site WaterC'' Baseline'!$C$9:$R$257,5,FALSE))</f>
        <v/>
      </c>
      <c r="G227" s="310" t="str">
        <f>IF(F227="","",VLOOKUP($B227,'C-1 On-Site WaterC'' Baseline'!$C$9:$R$257,6,FALSE))</f>
        <v/>
      </c>
      <c r="H227" s="310" t="str">
        <f>IF(G227="","",VLOOKUP($B227,'C-1 On-Site WaterC'' Baseline'!$C$9:$R$257,7,FALSE))</f>
        <v/>
      </c>
      <c r="I227" s="310" t="str">
        <f>IF(H227="","",VLOOKUP($B227,'C-1 On-Site WaterC'' Baseline'!$C$9:$R$257,8,FALSE))</f>
        <v/>
      </c>
      <c r="J227" s="310" t="str">
        <f>IF(I227="","",VLOOKUP($B227,'C-1 On-Site WaterC'' Baseline'!$C$9:$R$257,9,FALSE))</f>
        <v/>
      </c>
      <c r="K227" s="310" t="str">
        <f>IF(J227="","",VLOOKUP($B227,'C-1 On-Site WaterC'' Baseline'!$C$9:$R$257,10,FALSE))</f>
        <v/>
      </c>
      <c r="L227" s="310" t="str">
        <f>IF(B227="","",VLOOKUP($B227,'C-1 On-Site WaterC'' Baseline'!$C$9:$R$257,15,FALSE))</f>
        <v/>
      </c>
      <c r="M227" s="314" t="str">
        <f>IF(L227="","",VLOOKUP($B227,'C-1 On-Site WaterC'' Baseline'!$C$9:$R$257,16,FALSE))</f>
        <v/>
      </c>
      <c r="N227" s="259"/>
      <c r="O227" s="290" t="str">
        <f t="shared" si="28"/>
        <v/>
      </c>
      <c r="P227" s="291" t="str">
        <f t="shared" si="29"/>
        <v/>
      </c>
      <c r="Q227" s="346" t="str">
        <f>IF(N227="","",VLOOKUP(B227,'C-1 On-Site WaterC'' Baseline'!$C$10:$AC$257,20,FALSE))</f>
        <v/>
      </c>
      <c r="R227" s="290" t="str">
        <f>IF(N227="","",VLOOKUP(N227,'G-7 WaterC'' Data'!$B$2:$G$8,2,FALSE))</f>
        <v/>
      </c>
      <c r="S227" s="291" t="str">
        <f>IFERROR(VLOOKUP(R227,'G-7 WaterC'' Data'!$C$4:$D$8,2,FALSE),"")</f>
        <v/>
      </c>
      <c r="T227" s="95"/>
      <c r="U227" s="291" t="str">
        <f>IFERROR(INDEX('G-7 WaterC'' Data'!$H$4:$L$8,MATCH(N227,'G-7 WaterC'' Data'!$B$4:$B$8,0),MATCH(T227,'G-7 WaterC'' Data'!$H$3:$L$3,0)),"")</f>
        <v/>
      </c>
      <c r="V227" s="95"/>
      <c r="W227" s="298" t="str">
        <f>IF(V227="","",IF(VLOOKUP(V227,'G-7 WaterC'' Data'!$AK$4:$AM$6,2,FALSE)=0,"Spatial Data Missing ⚠",VLOOKUP(V227,'G-7 WaterC'' Data'!$AK$4:$AM$6,2,FALSE)))</f>
        <v/>
      </c>
      <c r="X227" s="291" t="str">
        <f>IF(V227="","",IF(VLOOKUP(V227,'G-7 WaterC'' Data'!$AK$4:$AM$6,3,FALSE)=0,"Spatial Data Missing ⚠",VLOOKUP(V227,'G-7 WaterC'' Data'!$AK$4:$AM$6,3,FALSE)))</f>
        <v/>
      </c>
      <c r="Y227" s="290" t="str">
        <f>IFERROR(IF(OR(LEFT(P227,5)="Error",LEFT(O227,5)="Error ▲"),"Check Data ⚠",IF(F227&lt;S227,'G-7 WaterC'' Data'!$R$3,INDEX('G-7 WaterC'' Data'!$U$5:$Y$9,MATCH(G227,'G-7 WaterC'' Data'!$T$5:$T$9,0),MATCH(T227,'G-7 WaterC'' Data'!$U$4:$Y$4,0)))),"")</f>
        <v/>
      </c>
      <c r="Z227" s="138"/>
      <c r="AA227" s="138"/>
      <c r="AB227" s="298" t="str">
        <f t="shared" si="30"/>
        <v/>
      </c>
      <c r="AC227" s="311" t="str">
        <f t="shared" si="31"/>
        <v/>
      </c>
      <c r="AD227" s="344" t="str">
        <f>IFERROR(IF(AC227="Check Data ⚠","Check Data ⚠",VLOOKUP(AC227,'G-4 Temporal multipliers'!$A$4:$C$37,3,FALSE)),"")</f>
        <v/>
      </c>
      <c r="AE227" s="290" t="str">
        <f>IF(N227="","",VLOOKUP(N227,'G-7 WaterC'' Data'!$B$4:$G$8,5,FALSE))</f>
        <v/>
      </c>
      <c r="AF227" s="298" t="str">
        <f t="shared" si="32"/>
        <v/>
      </c>
      <c r="AG227" s="328" t="str">
        <f t="shared" si="33"/>
        <v/>
      </c>
      <c r="AH227" s="291" t="str">
        <f t="shared" si="27"/>
        <v/>
      </c>
      <c r="AI227" s="103"/>
      <c r="AJ227" s="291" t="str">
        <f>IF(AI227="","",IF(AND(AI227="N/A - Culvert",N227&lt;&gt;"Culvert"),"Not possible ▲",IF(VLOOKUP(AI227,'G-7 WaterC'' Data'!$AA$4:$AB$7,2,FALSE)=0,"Spatial Data Missing ⚠",VLOOKUP(AI227,'G-7 WaterC'' Data'!$AA$4:$AB$7,2,FALSE))))</f>
        <v/>
      </c>
      <c r="AK227" s="104"/>
      <c r="AL227" s="291" t="str">
        <f>IF(AK227="","",IF(AND(AK227="N/A - Culvert",N227&lt;&gt;"Culvert"),"Not possible ▲",IF(VLOOKUP(AK227,'G-7 WaterC'' Data'!$AD$4:$AE$14,2,FALSE)=0,"Spatial Data Missing ⚠",VLOOKUP(AK227,'G-7 WaterC'' Data'!$AD$4:$AE$14,2,FALSE))))</f>
        <v/>
      </c>
      <c r="AM227" s="332" t="str">
        <f t="shared" si="34"/>
        <v/>
      </c>
      <c r="AN227" s="98"/>
      <c r="AO227" s="99"/>
      <c r="AP227" s="101"/>
      <c r="AS227" s="15" t="str">
        <f>IF(B227="","",IF(ISNA(VLOOKUP($B227,'C-1 On-Site WaterC'' Baseline'!$C$8:$AD$257,17,FALSE)),"",(VLOOKUP($B227,'C-1 On-Site WaterC'' Baseline'!$C$8:$AD$257,17,FALSE))))</f>
        <v/>
      </c>
      <c r="AT227" s="15" t="str">
        <f>IF(B227="","",VLOOKUP($B227,'C-1 On-Site WaterC'' Baseline'!$C$9:$Z$257,12,FALSE))</f>
        <v/>
      </c>
      <c r="AU227" s="15" t="str">
        <f>IF(B227="","",VLOOKUP($B227,'C-1 On-Site WaterC'' Baseline'!$C$9:$Z$257,14,FALSE))</f>
        <v/>
      </c>
      <c r="AV227" s="15" t="str">
        <f>IFERROR(INDEX('G-7 WaterC'' Data'!$AZ$3:$AZ$7,MATCH(N227,'G-7 WaterC'' Data'!$AY$3:$AY$7,0)),"")</f>
        <v/>
      </c>
      <c r="AX227" s="15" t="str">
        <f>IF(B227="","",VLOOKUP($B227,'C-1 On-Site WaterC'' Baseline'!$C$9:$Y$257,22,FALSE))</f>
        <v/>
      </c>
      <c r="AY227" s="15" t="str">
        <f t="shared" si="35"/>
        <v/>
      </c>
      <c r="AZ227" s="15" t="str">
        <f>IF(B227="","",VLOOKUP($B227,'C-1 On-Site WaterC'' Baseline'!$C$9:$Y$257,21,FALSE))</f>
        <v/>
      </c>
      <c r="BA227" s="15" t="str">
        <f>IF(B227="","",VLOOKUP($B227,'C-1 On-Site WaterC'' Baseline'!$C$9:$Y$257,19,FALSE))</f>
        <v/>
      </c>
    </row>
    <row r="228" spans="2:53" ht="14" x14ac:dyDescent="0.3">
      <c r="B228" s="319" t="str">
        <f>'C-1 On-Site WaterC'' Baseline'!AP226</f>
        <v/>
      </c>
      <c r="C228" s="310" t="str">
        <f>IF(B228="","",VLOOKUP($B228,'C-1 On-Site WaterC'' Baseline'!$C$9:$R$257,2,FALSE))</f>
        <v/>
      </c>
      <c r="D228" s="310" t="str">
        <f>IF(C228="","",VLOOKUP($B228,'C-1 On-Site WaterC'' Baseline'!$C$9:$R$257,3,FALSE))</f>
        <v/>
      </c>
      <c r="E228" s="310" t="str">
        <f>IF(D228="","",VLOOKUP($B228,'C-1 On-Site WaterC'' Baseline'!$C$9:$R$257,4,FALSE))</f>
        <v/>
      </c>
      <c r="F228" s="310" t="str">
        <f>IF(E228="","",VLOOKUP($B228,'C-1 On-Site WaterC'' Baseline'!$C$9:$R$257,5,FALSE))</f>
        <v/>
      </c>
      <c r="G228" s="310" t="str">
        <f>IF(F228="","",VLOOKUP($B228,'C-1 On-Site WaterC'' Baseline'!$C$9:$R$257,6,FALSE))</f>
        <v/>
      </c>
      <c r="H228" s="310" t="str">
        <f>IF(G228="","",VLOOKUP($B228,'C-1 On-Site WaterC'' Baseline'!$C$9:$R$257,7,FALSE))</f>
        <v/>
      </c>
      <c r="I228" s="310" t="str">
        <f>IF(H228="","",VLOOKUP($B228,'C-1 On-Site WaterC'' Baseline'!$C$9:$R$257,8,FALSE))</f>
        <v/>
      </c>
      <c r="J228" s="310" t="str">
        <f>IF(I228="","",VLOOKUP($B228,'C-1 On-Site WaterC'' Baseline'!$C$9:$R$257,9,FALSE))</f>
        <v/>
      </c>
      <c r="K228" s="310" t="str">
        <f>IF(J228="","",VLOOKUP($B228,'C-1 On-Site WaterC'' Baseline'!$C$9:$R$257,10,FALSE))</f>
        <v/>
      </c>
      <c r="L228" s="310" t="str">
        <f>IF(B228="","",VLOOKUP($B228,'C-1 On-Site WaterC'' Baseline'!$C$9:$R$257,15,FALSE))</f>
        <v/>
      </c>
      <c r="M228" s="314" t="str">
        <f>IF(L228="","",VLOOKUP($B228,'C-1 On-Site WaterC'' Baseline'!$C$9:$R$257,16,FALSE))</f>
        <v/>
      </c>
      <c r="N228" s="259"/>
      <c r="O228" s="290" t="str">
        <f t="shared" si="28"/>
        <v/>
      </c>
      <c r="P228" s="291" t="str">
        <f t="shared" si="29"/>
        <v/>
      </c>
      <c r="Q228" s="346" t="str">
        <f>IF(N228="","",VLOOKUP(B228,'C-1 On-Site WaterC'' Baseline'!$C$10:$AC$257,20,FALSE))</f>
        <v/>
      </c>
      <c r="R228" s="290" t="str">
        <f>IF(N228="","",VLOOKUP(N228,'G-7 WaterC'' Data'!$B$2:$G$8,2,FALSE))</f>
        <v/>
      </c>
      <c r="S228" s="291" t="str">
        <f>IFERROR(VLOOKUP(R228,'G-7 WaterC'' Data'!$C$4:$D$8,2,FALSE),"")</f>
        <v/>
      </c>
      <c r="T228" s="95"/>
      <c r="U228" s="291" t="str">
        <f>IFERROR(INDEX('G-7 WaterC'' Data'!$H$4:$L$8,MATCH(N228,'G-7 WaterC'' Data'!$B$4:$B$8,0),MATCH(T228,'G-7 WaterC'' Data'!$H$3:$L$3,0)),"")</f>
        <v/>
      </c>
      <c r="V228" s="95"/>
      <c r="W228" s="298" t="str">
        <f>IF(V228="","",IF(VLOOKUP(V228,'G-7 WaterC'' Data'!$AK$4:$AM$6,2,FALSE)=0,"Spatial Data Missing ⚠",VLOOKUP(V228,'G-7 WaterC'' Data'!$AK$4:$AM$6,2,FALSE)))</f>
        <v/>
      </c>
      <c r="X228" s="291" t="str">
        <f>IF(V228="","",IF(VLOOKUP(V228,'G-7 WaterC'' Data'!$AK$4:$AM$6,3,FALSE)=0,"Spatial Data Missing ⚠",VLOOKUP(V228,'G-7 WaterC'' Data'!$AK$4:$AM$6,3,FALSE)))</f>
        <v/>
      </c>
      <c r="Y228" s="290" t="str">
        <f>IFERROR(IF(OR(LEFT(P228,5)="Error",LEFT(O228,5)="Error ▲"),"Check Data ⚠",IF(F228&lt;S228,'G-7 WaterC'' Data'!$R$3,INDEX('G-7 WaterC'' Data'!$U$5:$Y$9,MATCH(G228,'G-7 WaterC'' Data'!$T$5:$T$9,0),MATCH(T228,'G-7 WaterC'' Data'!$U$4:$Y$4,0)))),"")</f>
        <v/>
      </c>
      <c r="Z228" s="138"/>
      <c r="AA228" s="138"/>
      <c r="AB228" s="298" t="str">
        <f t="shared" si="30"/>
        <v/>
      </c>
      <c r="AC228" s="311" t="str">
        <f t="shared" si="31"/>
        <v/>
      </c>
      <c r="AD228" s="344" t="str">
        <f>IFERROR(IF(AC228="Check Data ⚠","Check Data ⚠",VLOOKUP(AC228,'G-4 Temporal multipliers'!$A$4:$C$37,3,FALSE)),"")</f>
        <v/>
      </c>
      <c r="AE228" s="290" t="str">
        <f>IF(N228="","",VLOOKUP(N228,'G-7 WaterC'' Data'!$B$4:$G$8,5,FALSE))</f>
        <v/>
      </c>
      <c r="AF228" s="298" t="str">
        <f t="shared" si="32"/>
        <v/>
      </c>
      <c r="AG228" s="328" t="str">
        <f t="shared" si="33"/>
        <v/>
      </c>
      <c r="AH228" s="291" t="str">
        <f t="shared" si="27"/>
        <v/>
      </c>
      <c r="AI228" s="103"/>
      <c r="AJ228" s="291" t="str">
        <f>IF(AI228="","",IF(AND(AI228="N/A - Culvert",N228&lt;&gt;"Culvert"),"Not possible ▲",IF(VLOOKUP(AI228,'G-7 WaterC'' Data'!$AA$4:$AB$7,2,FALSE)=0,"Spatial Data Missing ⚠",VLOOKUP(AI228,'G-7 WaterC'' Data'!$AA$4:$AB$7,2,FALSE))))</f>
        <v/>
      </c>
      <c r="AK228" s="104"/>
      <c r="AL228" s="291" t="str">
        <f>IF(AK228="","",IF(AND(AK228="N/A - Culvert",N228&lt;&gt;"Culvert"),"Not possible ▲",IF(VLOOKUP(AK228,'G-7 WaterC'' Data'!$AD$4:$AE$14,2,FALSE)=0,"Spatial Data Missing ⚠",VLOOKUP(AK228,'G-7 WaterC'' Data'!$AD$4:$AE$14,2,FALSE))))</f>
        <v/>
      </c>
      <c r="AM228" s="332" t="str">
        <f t="shared" si="34"/>
        <v/>
      </c>
      <c r="AN228" s="98"/>
      <c r="AO228" s="99"/>
      <c r="AP228" s="101"/>
      <c r="AS228" s="15" t="str">
        <f>IF(B228="","",IF(ISNA(VLOOKUP($B228,'C-1 On-Site WaterC'' Baseline'!$C$8:$AD$257,17,FALSE)),"",(VLOOKUP($B228,'C-1 On-Site WaterC'' Baseline'!$C$8:$AD$257,17,FALSE))))</f>
        <v/>
      </c>
      <c r="AT228" s="15" t="str">
        <f>IF(B228="","",VLOOKUP($B228,'C-1 On-Site WaterC'' Baseline'!$C$9:$Z$257,12,FALSE))</f>
        <v/>
      </c>
      <c r="AU228" s="15" t="str">
        <f>IF(B228="","",VLOOKUP($B228,'C-1 On-Site WaterC'' Baseline'!$C$9:$Z$257,14,FALSE))</f>
        <v/>
      </c>
      <c r="AV228" s="15" t="str">
        <f>IFERROR(INDEX('G-7 WaterC'' Data'!$AZ$3:$AZ$7,MATCH(N228,'G-7 WaterC'' Data'!$AY$3:$AY$7,0)),"")</f>
        <v/>
      </c>
      <c r="AX228" s="15" t="str">
        <f>IF(B228="","",VLOOKUP($B228,'C-1 On-Site WaterC'' Baseline'!$C$9:$Y$257,22,FALSE))</f>
        <v/>
      </c>
      <c r="AY228" s="15" t="str">
        <f t="shared" si="35"/>
        <v/>
      </c>
      <c r="AZ228" s="15" t="str">
        <f>IF(B228="","",VLOOKUP($B228,'C-1 On-Site WaterC'' Baseline'!$C$9:$Y$257,21,FALSE))</f>
        <v/>
      </c>
      <c r="BA228" s="15" t="str">
        <f>IF(B228="","",VLOOKUP($B228,'C-1 On-Site WaterC'' Baseline'!$C$9:$Y$257,19,FALSE))</f>
        <v/>
      </c>
    </row>
    <row r="229" spans="2:53" ht="14" x14ac:dyDescent="0.3">
      <c r="B229" s="319" t="str">
        <f>'C-1 On-Site WaterC'' Baseline'!AP227</f>
        <v/>
      </c>
      <c r="C229" s="310" t="str">
        <f>IF(B229="","",VLOOKUP($B229,'C-1 On-Site WaterC'' Baseline'!$C$9:$R$257,2,FALSE))</f>
        <v/>
      </c>
      <c r="D229" s="310" t="str">
        <f>IF(C229="","",VLOOKUP($B229,'C-1 On-Site WaterC'' Baseline'!$C$9:$R$257,3,FALSE))</f>
        <v/>
      </c>
      <c r="E229" s="310" t="str">
        <f>IF(D229="","",VLOOKUP($B229,'C-1 On-Site WaterC'' Baseline'!$C$9:$R$257,4,FALSE))</f>
        <v/>
      </c>
      <c r="F229" s="310" t="str">
        <f>IF(E229="","",VLOOKUP($B229,'C-1 On-Site WaterC'' Baseline'!$C$9:$R$257,5,FALSE))</f>
        <v/>
      </c>
      <c r="G229" s="310" t="str">
        <f>IF(F229="","",VLOOKUP($B229,'C-1 On-Site WaterC'' Baseline'!$C$9:$R$257,6,FALSE))</f>
        <v/>
      </c>
      <c r="H229" s="310" t="str">
        <f>IF(G229="","",VLOOKUP($B229,'C-1 On-Site WaterC'' Baseline'!$C$9:$R$257,7,FALSE))</f>
        <v/>
      </c>
      <c r="I229" s="310" t="str">
        <f>IF(H229="","",VLOOKUP($B229,'C-1 On-Site WaterC'' Baseline'!$C$9:$R$257,8,FALSE))</f>
        <v/>
      </c>
      <c r="J229" s="310" t="str">
        <f>IF(I229="","",VLOOKUP($B229,'C-1 On-Site WaterC'' Baseline'!$C$9:$R$257,9,FALSE))</f>
        <v/>
      </c>
      <c r="K229" s="310" t="str">
        <f>IF(J229="","",VLOOKUP($B229,'C-1 On-Site WaterC'' Baseline'!$C$9:$R$257,10,FALSE))</f>
        <v/>
      </c>
      <c r="L229" s="310" t="str">
        <f>IF(B229="","",VLOOKUP($B229,'C-1 On-Site WaterC'' Baseline'!$C$9:$R$257,15,FALSE))</f>
        <v/>
      </c>
      <c r="M229" s="314" t="str">
        <f>IF(L229="","",VLOOKUP($B229,'C-1 On-Site WaterC'' Baseline'!$C$9:$R$257,16,FALSE))</f>
        <v/>
      </c>
      <c r="N229" s="259"/>
      <c r="O229" s="290" t="str">
        <f t="shared" si="28"/>
        <v/>
      </c>
      <c r="P229" s="291" t="str">
        <f t="shared" si="29"/>
        <v/>
      </c>
      <c r="Q229" s="346" t="str">
        <f>IF(N229="","",VLOOKUP(B229,'C-1 On-Site WaterC'' Baseline'!$C$10:$AC$257,20,FALSE))</f>
        <v/>
      </c>
      <c r="R229" s="290" t="str">
        <f>IF(N229="","",VLOOKUP(N229,'G-7 WaterC'' Data'!$B$2:$G$8,2,FALSE))</f>
        <v/>
      </c>
      <c r="S229" s="291" t="str">
        <f>IFERROR(VLOOKUP(R229,'G-7 WaterC'' Data'!$C$4:$D$8,2,FALSE),"")</f>
        <v/>
      </c>
      <c r="T229" s="95"/>
      <c r="U229" s="291" t="str">
        <f>IFERROR(INDEX('G-7 WaterC'' Data'!$H$4:$L$8,MATCH(N229,'G-7 WaterC'' Data'!$B$4:$B$8,0),MATCH(T229,'G-7 WaterC'' Data'!$H$3:$L$3,0)),"")</f>
        <v/>
      </c>
      <c r="V229" s="95"/>
      <c r="W229" s="298" t="str">
        <f>IF(V229="","",IF(VLOOKUP(V229,'G-7 WaterC'' Data'!$AK$4:$AM$6,2,FALSE)=0,"Spatial Data Missing ⚠",VLOOKUP(V229,'G-7 WaterC'' Data'!$AK$4:$AM$6,2,FALSE)))</f>
        <v/>
      </c>
      <c r="X229" s="291" t="str">
        <f>IF(V229="","",IF(VLOOKUP(V229,'G-7 WaterC'' Data'!$AK$4:$AM$6,3,FALSE)=0,"Spatial Data Missing ⚠",VLOOKUP(V229,'G-7 WaterC'' Data'!$AK$4:$AM$6,3,FALSE)))</f>
        <v/>
      </c>
      <c r="Y229" s="290" t="str">
        <f>IFERROR(IF(OR(LEFT(P229,5)="Error",LEFT(O229,5)="Error ▲"),"Check Data ⚠",IF(F229&lt;S229,'G-7 WaterC'' Data'!$R$3,INDEX('G-7 WaterC'' Data'!$U$5:$Y$9,MATCH(G229,'G-7 WaterC'' Data'!$T$5:$T$9,0),MATCH(T229,'G-7 WaterC'' Data'!$U$4:$Y$4,0)))),"")</f>
        <v/>
      </c>
      <c r="Z229" s="138"/>
      <c r="AA229" s="138"/>
      <c r="AB229" s="298" t="str">
        <f t="shared" si="30"/>
        <v/>
      </c>
      <c r="AC229" s="311" t="str">
        <f t="shared" si="31"/>
        <v/>
      </c>
      <c r="AD229" s="344" t="str">
        <f>IFERROR(IF(AC229="Check Data ⚠","Check Data ⚠",VLOOKUP(AC229,'G-4 Temporal multipliers'!$A$4:$C$37,3,FALSE)),"")</f>
        <v/>
      </c>
      <c r="AE229" s="290" t="str">
        <f>IF(N229="","",VLOOKUP(N229,'G-7 WaterC'' Data'!$B$4:$G$8,5,FALSE))</f>
        <v/>
      </c>
      <c r="AF229" s="298" t="str">
        <f t="shared" si="32"/>
        <v/>
      </c>
      <c r="AG229" s="328" t="str">
        <f t="shared" si="33"/>
        <v/>
      </c>
      <c r="AH229" s="291" t="str">
        <f t="shared" si="27"/>
        <v/>
      </c>
      <c r="AI229" s="103"/>
      <c r="AJ229" s="291" t="str">
        <f>IF(AI229="","",IF(AND(AI229="N/A - Culvert",N229&lt;&gt;"Culvert"),"Not possible ▲",IF(VLOOKUP(AI229,'G-7 WaterC'' Data'!$AA$4:$AB$7,2,FALSE)=0,"Spatial Data Missing ⚠",VLOOKUP(AI229,'G-7 WaterC'' Data'!$AA$4:$AB$7,2,FALSE))))</f>
        <v/>
      </c>
      <c r="AK229" s="104"/>
      <c r="AL229" s="291" t="str">
        <f>IF(AK229="","",IF(AND(AK229="N/A - Culvert",N229&lt;&gt;"Culvert"),"Not possible ▲",IF(VLOOKUP(AK229,'G-7 WaterC'' Data'!$AD$4:$AE$14,2,FALSE)=0,"Spatial Data Missing ⚠",VLOOKUP(AK229,'G-7 WaterC'' Data'!$AD$4:$AE$14,2,FALSE))))</f>
        <v/>
      </c>
      <c r="AM229" s="332" t="str">
        <f t="shared" si="34"/>
        <v/>
      </c>
      <c r="AN229" s="98"/>
      <c r="AO229" s="99"/>
      <c r="AP229" s="101"/>
      <c r="AS229" s="15" t="str">
        <f>IF(B229="","",IF(ISNA(VLOOKUP($B229,'C-1 On-Site WaterC'' Baseline'!$C$8:$AD$257,17,FALSE)),"",(VLOOKUP($B229,'C-1 On-Site WaterC'' Baseline'!$C$8:$AD$257,17,FALSE))))</f>
        <v/>
      </c>
      <c r="AT229" s="15" t="str">
        <f>IF(B229="","",VLOOKUP($B229,'C-1 On-Site WaterC'' Baseline'!$C$9:$Z$257,12,FALSE))</f>
        <v/>
      </c>
      <c r="AU229" s="15" t="str">
        <f>IF(B229="","",VLOOKUP($B229,'C-1 On-Site WaterC'' Baseline'!$C$9:$Z$257,14,FALSE))</f>
        <v/>
      </c>
      <c r="AV229" s="15" t="str">
        <f>IFERROR(INDEX('G-7 WaterC'' Data'!$AZ$3:$AZ$7,MATCH(N229,'G-7 WaterC'' Data'!$AY$3:$AY$7,0)),"")</f>
        <v/>
      </c>
      <c r="AX229" s="15" t="str">
        <f>IF(B229="","",VLOOKUP($B229,'C-1 On-Site WaterC'' Baseline'!$C$9:$Y$257,22,FALSE))</f>
        <v/>
      </c>
      <c r="AY229" s="15" t="str">
        <f t="shared" si="35"/>
        <v/>
      </c>
      <c r="AZ229" s="15" t="str">
        <f>IF(B229="","",VLOOKUP($B229,'C-1 On-Site WaterC'' Baseline'!$C$9:$Y$257,21,FALSE))</f>
        <v/>
      </c>
      <c r="BA229" s="15" t="str">
        <f>IF(B229="","",VLOOKUP($B229,'C-1 On-Site WaterC'' Baseline'!$C$9:$Y$257,19,FALSE))</f>
        <v/>
      </c>
    </row>
    <row r="230" spans="2:53" ht="14" x14ac:dyDescent="0.3">
      <c r="B230" s="319" t="str">
        <f>'C-1 On-Site WaterC'' Baseline'!AP228</f>
        <v/>
      </c>
      <c r="C230" s="310" t="str">
        <f>IF(B230="","",VLOOKUP($B230,'C-1 On-Site WaterC'' Baseline'!$C$9:$R$257,2,FALSE))</f>
        <v/>
      </c>
      <c r="D230" s="310" t="str">
        <f>IF(C230="","",VLOOKUP($B230,'C-1 On-Site WaterC'' Baseline'!$C$9:$R$257,3,FALSE))</f>
        <v/>
      </c>
      <c r="E230" s="310" t="str">
        <f>IF(D230="","",VLOOKUP($B230,'C-1 On-Site WaterC'' Baseline'!$C$9:$R$257,4,FALSE))</f>
        <v/>
      </c>
      <c r="F230" s="310" t="str">
        <f>IF(E230="","",VLOOKUP($B230,'C-1 On-Site WaterC'' Baseline'!$C$9:$R$257,5,FALSE))</f>
        <v/>
      </c>
      <c r="G230" s="310" t="str">
        <f>IF(F230="","",VLOOKUP($B230,'C-1 On-Site WaterC'' Baseline'!$C$9:$R$257,6,FALSE))</f>
        <v/>
      </c>
      <c r="H230" s="310" t="str">
        <f>IF(G230="","",VLOOKUP($B230,'C-1 On-Site WaterC'' Baseline'!$C$9:$R$257,7,FALSE))</f>
        <v/>
      </c>
      <c r="I230" s="310" t="str">
        <f>IF(H230="","",VLOOKUP($B230,'C-1 On-Site WaterC'' Baseline'!$C$9:$R$257,8,FALSE))</f>
        <v/>
      </c>
      <c r="J230" s="310" t="str">
        <f>IF(I230="","",VLOOKUP($B230,'C-1 On-Site WaterC'' Baseline'!$C$9:$R$257,9,FALSE))</f>
        <v/>
      </c>
      <c r="K230" s="310" t="str">
        <f>IF(J230="","",VLOOKUP($B230,'C-1 On-Site WaterC'' Baseline'!$C$9:$R$257,10,FALSE))</f>
        <v/>
      </c>
      <c r="L230" s="310" t="str">
        <f>IF(B230="","",VLOOKUP($B230,'C-1 On-Site WaterC'' Baseline'!$C$9:$R$257,15,FALSE))</f>
        <v/>
      </c>
      <c r="M230" s="314" t="str">
        <f>IF(L230="","",VLOOKUP($B230,'C-1 On-Site WaterC'' Baseline'!$C$9:$R$257,16,FALSE))</f>
        <v/>
      </c>
      <c r="N230" s="259"/>
      <c r="O230" s="290" t="str">
        <f t="shared" si="28"/>
        <v/>
      </c>
      <c r="P230" s="291" t="str">
        <f t="shared" si="29"/>
        <v/>
      </c>
      <c r="Q230" s="346" t="str">
        <f>IF(N230="","",VLOOKUP(B230,'C-1 On-Site WaterC'' Baseline'!$C$10:$AC$257,20,FALSE))</f>
        <v/>
      </c>
      <c r="R230" s="290" t="str">
        <f>IF(N230="","",VLOOKUP(N230,'G-7 WaterC'' Data'!$B$2:$G$8,2,FALSE))</f>
        <v/>
      </c>
      <c r="S230" s="291" t="str">
        <f>IFERROR(VLOOKUP(R230,'G-7 WaterC'' Data'!$C$4:$D$8,2,FALSE),"")</f>
        <v/>
      </c>
      <c r="T230" s="95"/>
      <c r="U230" s="291" t="str">
        <f>IFERROR(INDEX('G-7 WaterC'' Data'!$H$4:$L$8,MATCH(N230,'G-7 WaterC'' Data'!$B$4:$B$8,0),MATCH(T230,'G-7 WaterC'' Data'!$H$3:$L$3,0)),"")</f>
        <v/>
      </c>
      <c r="V230" s="95"/>
      <c r="W230" s="298" t="str">
        <f>IF(V230="","",IF(VLOOKUP(V230,'G-7 WaterC'' Data'!$AK$4:$AM$6,2,FALSE)=0,"Spatial Data Missing ⚠",VLOOKUP(V230,'G-7 WaterC'' Data'!$AK$4:$AM$6,2,FALSE)))</f>
        <v/>
      </c>
      <c r="X230" s="291" t="str">
        <f>IF(V230="","",IF(VLOOKUP(V230,'G-7 WaterC'' Data'!$AK$4:$AM$6,3,FALSE)=0,"Spatial Data Missing ⚠",VLOOKUP(V230,'G-7 WaterC'' Data'!$AK$4:$AM$6,3,FALSE)))</f>
        <v/>
      </c>
      <c r="Y230" s="290" t="str">
        <f>IFERROR(IF(OR(LEFT(P230,5)="Error",LEFT(O230,5)="Error ▲"),"Check Data ⚠",IF(F230&lt;S230,'G-7 WaterC'' Data'!$R$3,INDEX('G-7 WaterC'' Data'!$U$5:$Y$9,MATCH(G230,'G-7 WaterC'' Data'!$T$5:$T$9,0),MATCH(T230,'G-7 WaterC'' Data'!$U$4:$Y$4,0)))),"")</f>
        <v/>
      </c>
      <c r="Z230" s="138"/>
      <c r="AA230" s="138"/>
      <c r="AB230" s="298" t="str">
        <f t="shared" si="30"/>
        <v/>
      </c>
      <c r="AC230" s="311" t="str">
        <f t="shared" si="31"/>
        <v/>
      </c>
      <c r="AD230" s="344" t="str">
        <f>IFERROR(IF(AC230="Check Data ⚠","Check Data ⚠",VLOOKUP(AC230,'G-4 Temporal multipliers'!$A$4:$C$37,3,FALSE)),"")</f>
        <v/>
      </c>
      <c r="AE230" s="290" t="str">
        <f>IF(N230="","",VLOOKUP(N230,'G-7 WaterC'' Data'!$B$4:$G$8,5,FALSE))</f>
        <v/>
      </c>
      <c r="AF230" s="298" t="str">
        <f t="shared" si="32"/>
        <v/>
      </c>
      <c r="AG230" s="328" t="str">
        <f t="shared" si="33"/>
        <v/>
      </c>
      <c r="AH230" s="291" t="str">
        <f t="shared" si="27"/>
        <v/>
      </c>
      <c r="AI230" s="103"/>
      <c r="AJ230" s="291" t="str">
        <f>IF(AI230="","",IF(AND(AI230="N/A - Culvert",N230&lt;&gt;"Culvert"),"Not possible ▲",IF(VLOOKUP(AI230,'G-7 WaterC'' Data'!$AA$4:$AB$7,2,FALSE)=0,"Spatial Data Missing ⚠",VLOOKUP(AI230,'G-7 WaterC'' Data'!$AA$4:$AB$7,2,FALSE))))</f>
        <v/>
      </c>
      <c r="AK230" s="104"/>
      <c r="AL230" s="291" t="str">
        <f>IF(AK230="","",IF(AND(AK230="N/A - Culvert",N230&lt;&gt;"Culvert"),"Not possible ▲",IF(VLOOKUP(AK230,'G-7 WaterC'' Data'!$AD$4:$AE$14,2,FALSE)=0,"Spatial Data Missing ⚠",VLOOKUP(AK230,'G-7 WaterC'' Data'!$AD$4:$AE$14,2,FALSE))))</f>
        <v/>
      </c>
      <c r="AM230" s="332" t="str">
        <f t="shared" si="34"/>
        <v/>
      </c>
      <c r="AN230" s="98"/>
      <c r="AO230" s="99"/>
      <c r="AP230" s="101"/>
      <c r="AS230" s="15" t="str">
        <f>IF(B230="","",IF(ISNA(VLOOKUP($B230,'C-1 On-Site WaterC'' Baseline'!$C$8:$AD$257,17,FALSE)),"",(VLOOKUP($B230,'C-1 On-Site WaterC'' Baseline'!$C$8:$AD$257,17,FALSE))))</f>
        <v/>
      </c>
      <c r="AT230" s="15" t="str">
        <f>IF(B230="","",VLOOKUP($B230,'C-1 On-Site WaterC'' Baseline'!$C$9:$Z$257,12,FALSE))</f>
        <v/>
      </c>
      <c r="AU230" s="15" t="str">
        <f>IF(B230="","",VLOOKUP($B230,'C-1 On-Site WaterC'' Baseline'!$C$9:$Z$257,14,FALSE))</f>
        <v/>
      </c>
      <c r="AV230" s="15" t="str">
        <f>IFERROR(INDEX('G-7 WaterC'' Data'!$AZ$3:$AZ$7,MATCH(N230,'G-7 WaterC'' Data'!$AY$3:$AY$7,0)),"")</f>
        <v/>
      </c>
      <c r="AX230" s="15" t="str">
        <f>IF(B230="","",VLOOKUP($B230,'C-1 On-Site WaterC'' Baseline'!$C$9:$Y$257,22,FALSE))</f>
        <v/>
      </c>
      <c r="AY230" s="15" t="str">
        <f t="shared" si="35"/>
        <v/>
      </c>
      <c r="AZ230" s="15" t="str">
        <f>IF(B230="","",VLOOKUP($B230,'C-1 On-Site WaterC'' Baseline'!$C$9:$Y$257,21,FALSE))</f>
        <v/>
      </c>
      <c r="BA230" s="15" t="str">
        <f>IF(B230="","",VLOOKUP($B230,'C-1 On-Site WaterC'' Baseline'!$C$9:$Y$257,19,FALSE))</f>
        <v/>
      </c>
    </row>
    <row r="231" spans="2:53" ht="14" x14ac:dyDescent="0.3">
      <c r="B231" s="319" t="str">
        <f>'C-1 On-Site WaterC'' Baseline'!AP229</f>
        <v/>
      </c>
      <c r="C231" s="310" t="str">
        <f>IF(B231="","",VLOOKUP($B231,'C-1 On-Site WaterC'' Baseline'!$C$9:$R$257,2,FALSE))</f>
        <v/>
      </c>
      <c r="D231" s="310" t="str">
        <f>IF(C231="","",VLOOKUP($B231,'C-1 On-Site WaterC'' Baseline'!$C$9:$R$257,3,FALSE))</f>
        <v/>
      </c>
      <c r="E231" s="310" t="str">
        <f>IF(D231="","",VLOOKUP($B231,'C-1 On-Site WaterC'' Baseline'!$C$9:$R$257,4,FALSE))</f>
        <v/>
      </c>
      <c r="F231" s="310" t="str">
        <f>IF(E231="","",VLOOKUP($B231,'C-1 On-Site WaterC'' Baseline'!$C$9:$R$257,5,FALSE))</f>
        <v/>
      </c>
      <c r="G231" s="310" t="str">
        <f>IF(F231="","",VLOOKUP($B231,'C-1 On-Site WaterC'' Baseline'!$C$9:$R$257,6,FALSE))</f>
        <v/>
      </c>
      <c r="H231" s="310" t="str">
        <f>IF(G231="","",VLOOKUP($B231,'C-1 On-Site WaterC'' Baseline'!$C$9:$R$257,7,FALSE))</f>
        <v/>
      </c>
      <c r="I231" s="310" t="str">
        <f>IF(H231="","",VLOOKUP($B231,'C-1 On-Site WaterC'' Baseline'!$C$9:$R$257,8,FALSE))</f>
        <v/>
      </c>
      <c r="J231" s="310" t="str">
        <f>IF(I231="","",VLOOKUP($B231,'C-1 On-Site WaterC'' Baseline'!$C$9:$R$257,9,FALSE))</f>
        <v/>
      </c>
      <c r="K231" s="310" t="str">
        <f>IF(J231="","",VLOOKUP($B231,'C-1 On-Site WaterC'' Baseline'!$C$9:$R$257,10,FALSE))</f>
        <v/>
      </c>
      <c r="L231" s="310" t="str">
        <f>IF(B231="","",VLOOKUP($B231,'C-1 On-Site WaterC'' Baseline'!$C$9:$R$257,15,FALSE))</f>
        <v/>
      </c>
      <c r="M231" s="314" t="str">
        <f>IF(L231="","",VLOOKUP($B231,'C-1 On-Site WaterC'' Baseline'!$C$9:$R$257,16,FALSE))</f>
        <v/>
      </c>
      <c r="N231" s="259"/>
      <c r="O231" s="290" t="str">
        <f t="shared" si="28"/>
        <v/>
      </c>
      <c r="P231" s="291" t="str">
        <f t="shared" si="29"/>
        <v/>
      </c>
      <c r="Q231" s="346" t="str">
        <f>IF(N231="","",VLOOKUP(B231,'C-1 On-Site WaterC'' Baseline'!$C$10:$AC$257,20,FALSE))</f>
        <v/>
      </c>
      <c r="R231" s="290" t="str">
        <f>IF(N231="","",VLOOKUP(N231,'G-7 WaterC'' Data'!$B$2:$G$8,2,FALSE))</f>
        <v/>
      </c>
      <c r="S231" s="291" t="str">
        <f>IFERROR(VLOOKUP(R231,'G-7 WaterC'' Data'!$C$4:$D$8,2,FALSE),"")</f>
        <v/>
      </c>
      <c r="T231" s="95"/>
      <c r="U231" s="291" t="str">
        <f>IFERROR(INDEX('G-7 WaterC'' Data'!$H$4:$L$8,MATCH(N231,'G-7 WaterC'' Data'!$B$4:$B$8,0),MATCH(T231,'G-7 WaterC'' Data'!$H$3:$L$3,0)),"")</f>
        <v/>
      </c>
      <c r="V231" s="95"/>
      <c r="W231" s="298" t="str">
        <f>IF(V231="","",IF(VLOOKUP(V231,'G-7 WaterC'' Data'!$AK$4:$AM$6,2,FALSE)=0,"Spatial Data Missing ⚠",VLOOKUP(V231,'G-7 WaterC'' Data'!$AK$4:$AM$6,2,FALSE)))</f>
        <v/>
      </c>
      <c r="X231" s="291" t="str">
        <f>IF(V231="","",IF(VLOOKUP(V231,'G-7 WaterC'' Data'!$AK$4:$AM$6,3,FALSE)=0,"Spatial Data Missing ⚠",VLOOKUP(V231,'G-7 WaterC'' Data'!$AK$4:$AM$6,3,FALSE)))</f>
        <v/>
      </c>
      <c r="Y231" s="290" t="str">
        <f>IFERROR(IF(OR(LEFT(P231,5)="Error",LEFT(O231,5)="Error ▲"),"Check Data ⚠",IF(F231&lt;S231,'G-7 WaterC'' Data'!$R$3,INDEX('G-7 WaterC'' Data'!$U$5:$Y$9,MATCH(G231,'G-7 WaterC'' Data'!$T$5:$T$9,0),MATCH(T231,'G-7 WaterC'' Data'!$U$4:$Y$4,0)))),"")</f>
        <v/>
      </c>
      <c r="Z231" s="138"/>
      <c r="AA231" s="138"/>
      <c r="AB231" s="298" t="str">
        <f t="shared" si="30"/>
        <v/>
      </c>
      <c r="AC231" s="311" t="str">
        <f t="shared" si="31"/>
        <v/>
      </c>
      <c r="AD231" s="344" t="str">
        <f>IFERROR(IF(AC231="Check Data ⚠","Check Data ⚠",VLOOKUP(AC231,'G-4 Temporal multipliers'!$A$4:$C$37,3,FALSE)),"")</f>
        <v/>
      </c>
      <c r="AE231" s="290" t="str">
        <f>IF(N231="","",VLOOKUP(N231,'G-7 WaterC'' Data'!$B$4:$G$8,5,FALSE))</f>
        <v/>
      </c>
      <c r="AF231" s="298" t="str">
        <f t="shared" si="32"/>
        <v/>
      </c>
      <c r="AG231" s="328" t="str">
        <f t="shared" si="33"/>
        <v/>
      </c>
      <c r="AH231" s="291" t="str">
        <f t="shared" si="27"/>
        <v/>
      </c>
      <c r="AI231" s="103"/>
      <c r="AJ231" s="291" t="str">
        <f>IF(AI231="","",IF(AND(AI231="N/A - Culvert",N231&lt;&gt;"Culvert"),"Not possible ▲",IF(VLOOKUP(AI231,'G-7 WaterC'' Data'!$AA$4:$AB$7,2,FALSE)=0,"Spatial Data Missing ⚠",VLOOKUP(AI231,'G-7 WaterC'' Data'!$AA$4:$AB$7,2,FALSE))))</f>
        <v/>
      </c>
      <c r="AK231" s="104"/>
      <c r="AL231" s="291" t="str">
        <f>IF(AK231="","",IF(AND(AK231="N/A - Culvert",N231&lt;&gt;"Culvert"),"Not possible ▲",IF(VLOOKUP(AK231,'G-7 WaterC'' Data'!$AD$4:$AE$14,2,FALSE)=0,"Spatial Data Missing ⚠",VLOOKUP(AK231,'G-7 WaterC'' Data'!$AD$4:$AE$14,2,FALSE))))</f>
        <v/>
      </c>
      <c r="AM231" s="332" t="str">
        <f t="shared" si="34"/>
        <v/>
      </c>
      <c r="AN231" s="98"/>
      <c r="AO231" s="99"/>
      <c r="AP231" s="101"/>
      <c r="AS231" s="15" t="str">
        <f>IF(B231="","",IF(ISNA(VLOOKUP($B231,'C-1 On-Site WaterC'' Baseline'!$C$8:$AD$257,17,FALSE)),"",(VLOOKUP($B231,'C-1 On-Site WaterC'' Baseline'!$C$8:$AD$257,17,FALSE))))</f>
        <v/>
      </c>
      <c r="AT231" s="15" t="str">
        <f>IF(B231="","",VLOOKUP($B231,'C-1 On-Site WaterC'' Baseline'!$C$9:$Z$257,12,FALSE))</f>
        <v/>
      </c>
      <c r="AU231" s="15" t="str">
        <f>IF(B231="","",VLOOKUP($B231,'C-1 On-Site WaterC'' Baseline'!$C$9:$Z$257,14,FALSE))</f>
        <v/>
      </c>
      <c r="AV231" s="15" t="str">
        <f>IFERROR(INDEX('G-7 WaterC'' Data'!$AZ$3:$AZ$7,MATCH(N231,'G-7 WaterC'' Data'!$AY$3:$AY$7,0)),"")</f>
        <v/>
      </c>
      <c r="AX231" s="15" t="str">
        <f>IF(B231="","",VLOOKUP($B231,'C-1 On-Site WaterC'' Baseline'!$C$9:$Y$257,22,FALSE))</f>
        <v/>
      </c>
      <c r="AY231" s="15" t="str">
        <f t="shared" si="35"/>
        <v/>
      </c>
      <c r="AZ231" s="15" t="str">
        <f>IF(B231="","",VLOOKUP($B231,'C-1 On-Site WaterC'' Baseline'!$C$9:$Y$257,21,FALSE))</f>
        <v/>
      </c>
      <c r="BA231" s="15" t="str">
        <f>IF(B231="","",VLOOKUP($B231,'C-1 On-Site WaterC'' Baseline'!$C$9:$Y$257,19,FALSE))</f>
        <v/>
      </c>
    </row>
    <row r="232" spans="2:53" ht="14" x14ac:dyDescent="0.3">
      <c r="B232" s="319" t="str">
        <f>'C-1 On-Site WaterC'' Baseline'!AP230</f>
        <v/>
      </c>
      <c r="C232" s="310" t="str">
        <f>IF(B232="","",VLOOKUP($B232,'C-1 On-Site WaterC'' Baseline'!$C$9:$R$257,2,FALSE))</f>
        <v/>
      </c>
      <c r="D232" s="310" t="str">
        <f>IF(C232="","",VLOOKUP($B232,'C-1 On-Site WaterC'' Baseline'!$C$9:$R$257,3,FALSE))</f>
        <v/>
      </c>
      <c r="E232" s="310" t="str">
        <f>IF(D232="","",VLOOKUP($B232,'C-1 On-Site WaterC'' Baseline'!$C$9:$R$257,4,FALSE))</f>
        <v/>
      </c>
      <c r="F232" s="310" t="str">
        <f>IF(E232="","",VLOOKUP($B232,'C-1 On-Site WaterC'' Baseline'!$C$9:$R$257,5,FALSE))</f>
        <v/>
      </c>
      <c r="G232" s="310" t="str">
        <f>IF(F232="","",VLOOKUP($B232,'C-1 On-Site WaterC'' Baseline'!$C$9:$R$257,6,FALSE))</f>
        <v/>
      </c>
      <c r="H232" s="310" t="str">
        <f>IF(G232="","",VLOOKUP($B232,'C-1 On-Site WaterC'' Baseline'!$C$9:$R$257,7,FALSE))</f>
        <v/>
      </c>
      <c r="I232" s="310" t="str">
        <f>IF(H232="","",VLOOKUP($B232,'C-1 On-Site WaterC'' Baseline'!$C$9:$R$257,8,FALSE))</f>
        <v/>
      </c>
      <c r="J232" s="310" t="str">
        <f>IF(I232="","",VLOOKUP($B232,'C-1 On-Site WaterC'' Baseline'!$C$9:$R$257,9,FALSE))</f>
        <v/>
      </c>
      <c r="K232" s="310" t="str">
        <f>IF(J232="","",VLOOKUP($B232,'C-1 On-Site WaterC'' Baseline'!$C$9:$R$257,10,FALSE))</f>
        <v/>
      </c>
      <c r="L232" s="310" t="str">
        <f>IF(B232="","",VLOOKUP($B232,'C-1 On-Site WaterC'' Baseline'!$C$9:$R$257,15,FALSE))</f>
        <v/>
      </c>
      <c r="M232" s="314" t="str">
        <f>IF(L232="","",VLOOKUP($B232,'C-1 On-Site WaterC'' Baseline'!$C$9:$R$257,16,FALSE))</f>
        <v/>
      </c>
      <c r="N232" s="259"/>
      <c r="O232" s="290" t="str">
        <f t="shared" si="28"/>
        <v/>
      </c>
      <c r="P232" s="291" t="str">
        <f t="shared" si="29"/>
        <v/>
      </c>
      <c r="Q232" s="346" t="str">
        <f>IF(N232="","",VLOOKUP(B232,'C-1 On-Site WaterC'' Baseline'!$C$10:$AC$257,20,FALSE))</f>
        <v/>
      </c>
      <c r="R232" s="290" t="str">
        <f>IF(N232="","",VLOOKUP(N232,'G-7 WaterC'' Data'!$B$2:$G$8,2,FALSE))</f>
        <v/>
      </c>
      <c r="S232" s="291" t="str">
        <f>IFERROR(VLOOKUP(R232,'G-7 WaterC'' Data'!$C$4:$D$8,2,FALSE),"")</f>
        <v/>
      </c>
      <c r="T232" s="95"/>
      <c r="U232" s="291" t="str">
        <f>IFERROR(INDEX('G-7 WaterC'' Data'!$H$4:$L$8,MATCH(N232,'G-7 WaterC'' Data'!$B$4:$B$8,0),MATCH(T232,'G-7 WaterC'' Data'!$H$3:$L$3,0)),"")</f>
        <v/>
      </c>
      <c r="V232" s="95"/>
      <c r="W232" s="298" t="str">
        <f>IF(V232="","",IF(VLOOKUP(V232,'G-7 WaterC'' Data'!$AK$4:$AM$6,2,FALSE)=0,"Spatial Data Missing ⚠",VLOOKUP(V232,'G-7 WaterC'' Data'!$AK$4:$AM$6,2,FALSE)))</f>
        <v/>
      </c>
      <c r="X232" s="291" t="str">
        <f>IF(V232="","",IF(VLOOKUP(V232,'G-7 WaterC'' Data'!$AK$4:$AM$6,3,FALSE)=0,"Spatial Data Missing ⚠",VLOOKUP(V232,'G-7 WaterC'' Data'!$AK$4:$AM$6,3,FALSE)))</f>
        <v/>
      </c>
      <c r="Y232" s="290" t="str">
        <f>IFERROR(IF(OR(LEFT(P232,5)="Error",LEFT(O232,5)="Error ▲"),"Check Data ⚠",IF(F232&lt;S232,'G-7 WaterC'' Data'!$R$3,INDEX('G-7 WaterC'' Data'!$U$5:$Y$9,MATCH(G232,'G-7 WaterC'' Data'!$T$5:$T$9,0),MATCH(T232,'G-7 WaterC'' Data'!$U$4:$Y$4,0)))),"")</f>
        <v/>
      </c>
      <c r="Z232" s="138"/>
      <c r="AA232" s="138"/>
      <c r="AB232" s="298" t="str">
        <f t="shared" si="30"/>
        <v/>
      </c>
      <c r="AC232" s="311" t="str">
        <f t="shared" si="31"/>
        <v/>
      </c>
      <c r="AD232" s="344" t="str">
        <f>IFERROR(IF(AC232="Check Data ⚠","Check Data ⚠",VLOOKUP(AC232,'G-4 Temporal multipliers'!$A$4:$C$37,3,FALSE)),"")</f>
        <v/>
      </c>
      <c r="AE232" s="290" t="str">
        <f>IF(N232="","",VLOOKUP(N232,'G-7 WaterC'' Data'!$B$4:$G$8,5,FALSE))</f>
        <v/>
      </c>
      <c r="AF232" s="298" t="str">
        <f t="shared" si="32"/>
        <v/>
      </c>
      <c r="AG232" s="328" t="str">
        <f t="shared" si="33"/>
        <v/>
      </c>
      <c r="AH232" s="291" t="str">
        <f t="shared" si="27"/>
        <v/>
      </c>
      <c r="AI232" s="103"/>
      <c r="AJ232" s="291" t="str">
        <f>IF(AI232="","",IF(AND(AI232="N/A - Culvert",N232&lt;&gt;"Culvert"),"Not possible ▲",IF(VLOOKUP(AI232,'G-7 WaterC'' Data'!$AA$4:$AB$7,2,FALSE)=0,"Spatial Data Missing ⚠",VLOOKUP(AI232,'G-7 WaterC'' Data'!$AA$4:$AB$7,2,FALSE))))</f>
        <v/>
      </c>
      <c r="AK232" s="104"/>
      <c r="AL232" s="291" t="str">
        <f>IF(AK232="","",IF(AND(AK232="N/A - Culvert",N232&lt;&gt;"Culvert"),"Not possible ▲",IF(VLOOKUP(AK232,'G-7 WaterC'' Data'!$AD$4:$AE$14,2,FALSE)=0,"Spatial Data Missing ⚠",VLOOKUP(AK232,'G-7 WaterC'' Data'!$AD$4:$AE$14,2,FALSE))))</f>
        <v/>
      </c>
      <c r="AM232" s="332" t="str">
        <f t="shared" si="34"/>
        <v/>
      </c>
      <c r="AN232" s="98"/>
      <c r="AO232" s="99"/>
      <c r="AP232" s="101"/>
      <c r="AS232" s="15" t="str">
        <f>IF(B232="","",IF(ISNA(VLOOKUP($B232,'C-1 On-Site WaterC'' Baseline'!$C$8:$AD$257,17,FALSE)),"",(VLOOKUP($B232,'C-1 On-Site WaterC'' Baseline'!$C$8:$AD$257,17,FALSE))))</f>
        <v/>
      </c>
      <c r="AT232" s="15" t="str">
        <f>IF(B232="","",VLOOKUP($B232,'C-1 On-Site WaterC'' Baseline'!$C$9:$Z$257,12,FALSE))</f>
        <v/>
      </c>
      <c r="AU232" s="15" t="str">
        <f>IF(B232="","",VLOOKUP($B232,'C-1 On-Site WaterC'' Baseline'!$C$9:$Z$257,14,FALSE))</f>
        <v/>
      </c>
      <c r="AV232" s="15" t="str">
        <f>IFERROR(INDEX('G-7 WaterC'' Data'!$AZ$3:$AZ$7,MATCH(N232,'G-7 WaterC'' Data'!$AY$3:$AY$7,0)),"")</f>
        <v/>
      </c>
      <c r="AX232" s="15" t="str">
        <f>IF(B232="","",VLOOKUP($B232,'C-1 On-Site WaterC'' Baseline'!$C$9:$Y$257,22,FALSE))</f>
        <v/>
      </c>
      <c r="AY232" s="15" t="str">
        <f t="shared" si="35"/>
        <v/>
      </c>
      <c r="AZ232" s="15" t="str">
        <f>IF(B232="","",VLOOKUP($B232,'C-1 On-Site WaterC'' Baseline'!$C$9:$Y$257,21,FALSE))</f>
        <v/>
      </c>
      <c r="BA232" s="15" t="str">
        <f>IF(B232="","",VLOOKUP($B232,'C-1 On-Site WaterC'' Baseline'!$C$9:$Y$257,19,FALSE))</f>
        <v/>
      </c>
    </row>
    <row r="233" spans="2:53" ht="14" x14ac:dyDescent="0.3">
      <c r="B233" s="319" t="str">
        <f>'C-1 On-Site WaterC'' Baseline'!AP231</f>
        <v/>
      </c>
      <c r="C233" s="310" t="str">
        <f>IF(B233="","",VLOOKUP($B233,'C-1 On-Site WaterC'' Baseline'!$C$9:$R$257,2,FALSE))</f>
        <v/>
      </c>
      <c r="D233" s="310" t="str">
        <f>IF(C233="","",VLOOKUP($B233,'C-1 On-Site WaterC'' Baseline'!$C$9:$R$257,3,FALSE))</f>
        <v/>
      </c>
      <c r="E233" s="310" t="str">
        <f>IF(D233="","",VLOOKUP($B233,'C-1 On-Site WaterC'' Baseline'!$C$9:$R$257,4,FALSE))</f>
        <v/>
      </c>
      <c r="F233" s="310" t="str">
        <f>IF(E233="","",VLOOKUP($B233,'C-1 On-Site WaterC'' Baseline'!$C$9:$R$257,5,FALSE))</f>
        <v/>
      </c>
      <c r="G233" s="310" t="str">
        <f>IF(F233="","",VLOOKUP($B233,'C-1 On-Site WaterC'' Baseline'!$C$9:$R$257,6,FALSE))</f>
        <v/>
      </c>
      <c r="H233" s="310" t="str">
        <f>IF(G233="","",VLOOKUP($B233,'C-1 On-Site WaterC'' Baseline'!$C$9:$R$257,7,FALSE))</f>
        <v/>
      </c>
      <c r="I233" s="310" t="str">
        <f>IF(H233="","",VLOOKUP($B233,'C-1 On-Site WaterC'' Baseline'!$C$9:$R$257,8,FALSE))</f>
        <v/>
      </c>
      <c r="J233" s="310" t="str">
        <f>IF(I233="","",VLOOKUP($B233,'C-1 On-Site WaterC'' Baseline'!$C$9:$R$257,9,FALSE))</f>
        <v/>
      </c>
      <c r="K233" s="310" t="str">
        <f>IF(J233="","",VLOOKUP($B233,'C-1 On-Site WaterC'' Baseline'!$C$9:$R$257,10,FALSE))</f>
        <v/>
      </c>
      <c r="L233" s="310" t="str">
        <f>IF(B233="","",VLOOKUP($B233,'C-1 On-Site WaterC'' Baseline'!$C$9:$R$257,15,FALSE))</f>
        <v/>
      </c>
      <c r="M233" s="314" t="str">
        <f>IF(L233="","",VLOOKUP($B233,'C-1 On-Site WaterC'' Baseline'!$C$9:$R$257,16,FALSE))</f>
        <v/>
      </c>
      <c r="N233" s="259"/>
      <c r="O233" s="290" t="str">
        <f t="shared" si="28"/>
        <v/>
      </c>
      <c r="P233" s="291" t="str">
        <f t="shared" si="29"/>
        <v/>
      </c>
      <c r="Q233" s="346" t="str">
        <f>IF(N233="","",VLOOKUP(B233,'C-1 On-Site WaterC'' Baseline'!$C$10:$AC$257,20,FALSE))</f>
        <v/>
      </c>
      <c r="R233" s="290" t="str">
        <f>IF(N233="","",VLOOKUP(N233,'G-7 WaterC'' Data'!$B$2:$G$8,2,FALSE))</f>
        <v/>
      </c>
      <c r="S233" s="291" t="str">
        <f>IFERROR(VLOOKUP(R233,'G-7 WaterC'' Data'!$C$4:$D$8,2,FALSE),"")</f>
        <v/>
      </c>
      <c r="T233" s="95"/>
      <c r="U233" s="291" t="str">
        <f>IFERROR(INDEX('G-7 WaterC'' Data'!$H$4:$L$8,MATCH(N233,'G-7 WaterC'' Data'!$B$4:$B$8,0),MATCH(T233,'G-7 WaterC'' Data'!$H$3:$L$3,0)),"")</f>
        <v/>
      </c>
      <c r="V233" s="95"/>
      <c r="W233" s="298" t="str">
        <f>IF(V233="","",IF(VLOOKUP(V233,'G-7 WaterC'' Data'!$AK$4:$AM$6,2,FALSE)=0,"Spatial Data Missing ⚠",VLOOKUP(V233,'G-7 WaterC'' Data'!$AK$4:$AM$6,2,FALSE)))</f>
        <v/>
      </c>
      <c r="X233" s="291" t="str">
        <f>IF(V233="","",IF(VLOOKUP(V233,'G-7 WaterC'' Data'!$AK$4:$AM$6,3,FALSE)=0,"Spatial Data Missing ⚠",VLOOKUP(V233,'G-7 WaterC'' Data'!$AK$4:$AM$6,3,FALSE)))</f>
        <v/>
      </c>
      <c r="Y233" s="290" t="str">
        <f>IFERROR(IF(OR(LEFT(P233,5)="Error",LEFT(O233,5)="Error ▲"),"Check Data ⚠",IF(F233&lt;S233,'G-7 WaterC'' Data'!$R$3,INDEX('G-7 WaterC'' Data'!$U$5:$Y$9,MATCH(G233,'G-7 WaterC'' Data'!$T$5:$T$9,0),MATCH(T233,'G-7 WaterC'' Data'!$U$4:$Y$4,0)))),"")</f>
        <v/>
      </c>
      <c r="Z233" s="138"/>
      <c r="AA233" s="138"/>
      <c r="AB233" s="298" t="str">
        <f t="shared" si="30"/>
        <v/>
      </c>
      <c r="AC233" s="311" t="str">
        <f t="shared" si="31"/>
        <v/>
      </c>
      <c r="AD233" s="344" t="str">
        <f>IFERROR(IF(AC233="Check Data ⚠","Check Data ⚠",VLOOKUP(AC233,'G-4 Temporal multipliers'!$A$4:$C$37,3,FALSE)),"")</f>
        <v/>
      </c>
      <c r="AE233" s="290" t="str">
        <f>IF(N233="","",VLOOKUP(N233,'G-7 WaterC'' Data'!$B$4:$G$8,5,FALSE))</f>
        <v/>
      </c>
      <c r="AF233" s="298" t="str">
        <f t="shared" si="32"/>
        <v/>
      </c>
      <c r="AG233" s="328" t="str">
        <f t="shared" si="33"/>
        <v/>
      </c>
      <c r="AH233" s="291" t="str">
        <f t="shared" si="27"/>
        <v/>
      </c>
      <c r="AI233" s="103"/>
      <c r="AJ233" s="291" t="str">
        <f>IF(AI233="","",IF(AND(AI233="N/A - Culvert",N233&lt;&gt;"Culvert"),"Not possible ▲",IF(VLOOKUP(AI233,'G-7 WaterC'' Data'!$AA$4:$AB$7,2,FALSE)=0,"Spatial Data Missing ⚠",VLOOKUP(AI233,'G-7 WaterC'' Data'!$AA$4:$AB$7,2,FALSE))))</f>
        <v/>
      </c>
      <c r="AK233" s="104"/>
      <c r="AL233" s="291" t="str">
        <f>IF(AK233="","",IF(AND(AK233="N/A - Culvert",N233&lt;&gt;"Culvert"),"Not possible ▲",IF(VLOOKUP(AK233,'G-7 WaterC'' Data'!$AD$4:$AE$14,2,FALSE)=0,"Spatial Data Missing ⚠",VLOOKUP(AK233,'G-7 WaterC'' Data'!$AD$4:$AE$14,2,FALSE))))</f>
        <v/>
      </c>
      <c r="AM233" s="332" t="str">
        <f t="shared" si="34"/>
        <v/>
      </c>
      <c r="AN233" s="98"/>
      <c r="AO233" s="99"/>
      <c r="AP233" s="101"/>
      <c r="AS233" s="15" t="str">
        <f>IF(B233="","",IF(ISNA(VLOOKUP($B233,'C-1 On-Site WaterC'' Baseline'!$C$8:$AD$257,17,FALSE)),"",(VLOOKUP($B233,'C-1 On-Site WaterC'' Baseline'!$C$8:$AD$257,17,FALSE))))</f>
        <v/>
      </c>
      <c r="AT233" s="15" t="str">
        <f>IF(B233="","",VLOOKUP($B233,'C-1 On-Site WaterC'' Baseline'!$C$9:$Z$257,12,FALSE))</f>
        <v/>
      </c>
      <c r="AU233" s="15" t="str">
        <f>IF(B233="","",VLOOKUP($B233,'C-1 On-Site WaterC'' Baseline'!$C$9:$Z$257,14,FALSE))</f>
        <v/>
      </c>
      <c r="AV233" s="15" t="str">
        <f>IFERROR(INDEX('G-7 WaterC'' Data'!$AZ$3:$AZ$7,MATCH(N233,'G-7 WaterC'' Data'!$AY$3:$AY$7,0)),"")</f>
        <v/>
      </c>
      <c r="AX233" s="15" t="str">
        <f>IF(B233="","",VLOOKUP($B233,'C-1 On-Site WaterC'' Baseline'!$C$9:$Y$257,22,FALSE))</f>
        <v/>
      </c>
      <c r="AY233" s="15" t="str">
        <f t="shared" si="35"/>
        <v/>
      </c>
      <c r="AZ233" s="15" t="str">
        <f>IF(B233="","",VLOOKUP($B233,'C-1 On-Site WaterC'' Baseline'!$C$9:$Y$257,21,FALSE))</f>
        <v/>
      </c>
      <c r="BA233" s="15" t="str">
        <f>IF(B233="","",VLOOKUP($B233,'C-1 On-Site WaterC'' Baseline'!$C$9:$Y$257,19,FALSE))</f>
        <v/>
      </c>
    </row>
    <row r="234" spans="2:53" ht="14" x14ac:dyDescent="0.3">
      <c r="B234" s="319" t="str">
        <f>'C-1 On-Site WaterC'' Baseline'!AP232</f>
        <v/>
      </c>
      <c r="C234" s="310" t="str">
        <f>IF(B234="","",VLOOKUP($B234,'C-1 On-Site WaterC'' Baseline'!$C$9:$R$257,2,FALSE))</f>
        <v/>
      </c>
      <c r="D234" s="310" t="str">
        <f>IF(C234="","",VLOOKUP($B234,'C-1 On-Site WaterC'' Baseline'!$C$9:$R$257,3,FALSE))</f>
        <v/>
      </c>
      <c r="E234" s="310" t="str">
        <f>IF(D234="","",VLOOKUP($B234,'C-1 On-Site WaterC'' Baseline'!$C$9:$R$257,4,FALSE))</f>
        <v/>
      </c>
      <c r="F234" s="310" t="str">
        <f>IF(E234="","",VLOOKUP($B234,'C-1 On-Site WaterC'' Baseline'!$C$9:$R$257,5,FALSE))</f>
        <v/>
      </c>
      <c r="G234" s="310" t="str">
        <f>IF(F234="","",VLOOKUP($B234,'C-1 On-Site WaterC'' Baseline'!$C$9:$R$257,6,FALSE))</f>
        <v/>
      </c>
      <c r="H234" s="310" t="str">
        <f>IF(G234="","",VLOOKUP($B234,'C-1 On-Site WaterC'' Baseline'!$C$9:$R$257,7,FALSE))</f>
        <v/>
      </c>
      <c r="I234" s="310" t="str">
        <f>IF(H234="","",VLOOKUP($B234,'C-1 On-Site WaterC'' Baseline'!$C$9:$R$257,8,FALSE))</f>
        <v/>
      </c>
      <c r="J234" s="310" t="str">
        <f>IF(I234="","",VLOOKUP($B234,'C-1 On-Site WaterC'' Baseline'!$C$9:$R$257,9,FALSE))</f>
        <v/>
      </c>
      <c r="K234" s="310" t="str">
        <f>IF(J234="","",VLOOKUP($B234,'C-1 On-Site WaterC'' Baseline'!$C$9:$R$257,10,FALSE))</f>
        <v/>
      </c>
      <c r="L234" s="310" t="str">
        <f>IF(B234="","",VLOOKUP($B234,'C-1 On-Site WaterC'' Baseline'!$C$9:$R$257,15,FALSE))</f>
        <v/>
      </c>
      <c r="M234" s="314" t="str">
        <f>IF(L234="","",VLOOKUP($B234,'C-1 On-Site WaterC'' Baseline'!$C$9:$R$257,16,FALSE))</f>
        <v/>
      </c>
      <c r="N234" s="259"/>
      <c r="O234" s="290" t="str">
        <f t="shared" si="28"/>
        <v/>
      </c>
      <c r="P234" s="291" t="str">
        <f t="shared" si="29"/>
        <v/>
      </c>
      <c r="Q234" s="346" t="str">
        <f>IF(N234="","",VLOOKUP(B234,'C-1 On-Site WaterC'' Baseline'!$C$10:$AC$257,20,FALSE))</f>
        <v/>
      </c>
      <c r="R234" s="290" t="str">
        <f>IF(N234="","",VLOOKUP(N234,'G-7 WaterC'' Data'!$B$2:$G$8,2,FALSE))</f>
        <v/>
      </c>
      <c r="S234" s="291" t="str">
        <f>IFERROR(VLOOKUP(R234,'G-7 WaterC'' Data'!$C$4:$D$8,2,FALSE),"")</f>
        <v/>
      </c>
      <c r="T234" s="95"/>
      <c r="U234" s="291" t="str">
        <f>IFERROR(INDEX('G-7 WaterC'' Data'!$H$4:$L$8,MATCH(N234,'G-7 WaterC'' Data'!$B$4:$B$8,0),MATCH(T234,'G-7 WaterC'' Data'!$H$3:$L$3,0)),"")</f>
        <v/>
      </c>
      <c r="V234" s="95"/>
      <c r="W234" s="298" t="str">
        <f>IF(V234="","",IF(VLOOKUP(V234,'G-7 WaterC'' Data'!$AK$4:$AM$6,2,FALSE)=0,"Spatial Data Missing ⚠",VLOOKUP(V234,'G-7 WaterC'' Data'!$AK$4:$AM$6,2,FALSE)))</f>
        <v/>
      </c>
      <c r="X234" s="291" t="str">
        <f>IF(V234="","",IF(VLOOKUP(V234,'G-7 WaterC'' Data'!$AK$4:$AM$6,3,FALSE)=0,"Spatial Data Missing ⚠",VLOOKUP(V234,'G-7 WaterC'' Data'!$AK$4:$AM$6,3,FALSE)))</f>
        <v/>
      </c>
      <c r="Y234" s="290" t="str">
        <f>IFERROR(IF(OR(LEFT(P234,5)="Error",LEFT(O234,5)="Error ▲"),"Check Data ⚠",IF(F234&lt;S234,'G-7 WaterC'' Data'!$R$3,INDEX('G-7 WaterC'' Data'!$U$5:$Y$9,MATCH(G234,'G-7 WaterC'' Data'!$T$5:$T$9,0),MATCH(T234,'G-7 WaterC'' Data'!$U$4:$Y$4,0)))),"")</f>
        <v/>
      </c>
      <c r="Z234" s="138"/>
      <c r="AA234" s="138"/>
      <c r="AB234" s="298" t="str">
        <f t="shared" si="30"/>
        <v/>
      </c>
      <c r="AC234" s="311" t="str">
        <f t="shared" si="31"/>
        <v/>
      </c>
      <c r="AD234" s="344" t="str">
        <f>IFERROR(IF(AC234="Check Data ⚠","Check Data ⚠",VLOOKUP(AC234,'G-4 Temporal multipliers'!$A$4:$C$37,3,FALSE)),"")</f>
        <v/>
      </c>
      <c r="AE234" s="290" t="str">
        <f>IF(N234="","",VLOOKUP(N234,'G-7 WaterC'' Data'!$B$4:$G$8,5,FALSE))</f>
        <v/>
      </c>
      <c r="AF234" s="298" t="str">
        <f t="shared" si="32"/>
        <v/>
      </c>
      <c r="AG234" s="328" t="str">
        <f t="shared" si="33"/>
        <v/>
      </c>
      <c r="AH234" s="291" t="str">
        <f t="shared" si="27"/>
        <v/>
      </c>
      <c r="AI234" s="103"/>
      <c r="AJ234" s="291" t="str">
        <f>IF(AI234="","",IF(AND(AI234="N/A - Culvert",N234&lt;&gt;"Culvert"),"Not possible ▲",IF(VLOOKUP(AI234,'G-7 WaterC'' Data'!$AA$4:$AB$7,2,FALSE)=0,"Spatial Data Missing ⚠",VLOOKUP(AI234,'G-7 WaterC'' Data'!$AA$4:$AB$7,2,FALSE))))</f>
        <v/>
      </c>
      <c r="AK234" s="104"/>
      <c r="AL234" s="291" t="str">
        <f>IF(AK234="","",IF(AND(AK234="N/A - Culvert",N234&lt;&gt;"Culvert"),"Not possible ▲",IF(VLOOKUP(AK234,'G-7 WaterC'' Data'!$AD$4:$AE$14,2,FALSE)=0,"Spatial Data Missing ⚠",VLOOKUP(AK234,'G-7 WaterC'' Data'!$AD$4:$AE$14,2,FALSE))))</f>
        <v/>
      </c>
      <c r="AM234" s="332" t="str">
        <f t="shared" si="34"/>
        <v/>
      </c>
      <c r="AN234" s="98"/>
      <c r="AO234" s="99"/>
      <c r="AP234" s="101"/>
      <c r="AS234" s="15" t="str">
        <f>IF(B234="","",IF(ISNA(VLOOKUP($B234,'C-1 On-Site WaterC'' Baseline'!$C$8:$AD$257,17,FALSE)),"",(VLOOKUP($B234,'C-1 On-Site WaterC'' Baseline'!$C$8:$AD$257,17,FALSE))))</f>
        <v/>
      </c>
      <c r="AT234" s="15" t="str">
        <f>IF(B234="","",VLOOKUP($B234,'C-1 On-Site WaterC'' Baseline'!$C$9:$Z$257,12,FALSE))</f>
        <v/>
      </c>
      <c r="AU234" s="15" t="str">
        <f>IF(B234="","",VLOOKUP($B234,'C-1 On-Site WaterC'' Baseline'!$C$9:$Z$257,14,FALSE))</f>
        <v/>
      </c>
      <c r="AV234" s="15" t="str">
        <f>IFERROR(INDEX('G-7 WaterC'' Data'!$AZ$3:$AZ$7,MATCH(N234,'G-7 WaterC'' Data'!$AY$3:$AY$7,0)),"")</f>
        <v/>
      </c>
      <c r="AX234" s="15" t="str">
        <f>IF(B234="","",VLOOKUP($B234,'C-1 On-Site WaterC'' Baseline'!$C$9:$Y$257,22,FALSE))</f>
        <v/>
      </c>
      <c r="AY234" s="15" t="str">
        <f t="shared" si="35"/>
        <v/>
      </c>
      <c r="AZ234" s="15" t="str">
        <f>IF(B234="","",VLOOKUP($B234,'C-1 On-Site WaterC'' Baseline'!$C$9:$Y$257,21,FALSE))</f>
        <v/>
      </c>
      <c r="BA234" s="15" t="str">
        <f>IF(B234="","",VLOOKUP($B234,'C-1 On-Site WaterC'' Baseline'!$C$9:$Y$257,19,FALSE))</f>
        <v/>
      </c>
    </row>
    <row r="235" spans="2:53" ht="14" x14ac:dyDescent="0.3">
      <c r="B235" s="319" t="str">
        <f>'C-1 On-Site WaterC'' Baseline'!AP233</f>
        <v/>
      </c>
      <c r="C235" s="310" t="str">
        <f>IF(B235="","",VLOOKUP($B235,'C-1 On-Site WaterC'' Baseline'!$C$9:$R$257,2,FALSE))</f>
        <v/>
      </c>
      <c r="D235" s="310" t="str">
        <f>IF(C235="","",VLOOKUP($B235,'C-1 On-Site WaterC'' Baseline'!$C$9:$R$257,3,FALSE))</f>
        <v/>
      </c>
      <c r="E235" s="310" t="str">
        <f>IF(D235="","",VLOOKUP($B235,'C-1 On-Site WaterC'' Baseline'!$C$9:$R$257,4,FALSE))</f>
        <v/>
      </c>
      <c r="F235" s="310" t="str">
        <f>IF(E235="","",VLOOKUP($B235,'C-1 On-Site WaterC'' Baseline'!$C$9:$R$257,5,FALSE))</f>
        <v/>
      </c>
      <c r="G235" s="310" t="str">
        <f>IF(F235="","",VLOOKUP($B235,'C-1 On-Site WaterC'' Baseline'!$C$9:$R$257,6,FALSE))</f>
        <v/>
      </c>
      <c r="H235" s="310" t="str">
        <f>IF(G235="","",VLOOKUP($B235,'C-1 On-Site WaterC'' Baseline'!$C$9:$R$257,7,FALSE))</f>
        <v/>
      </c>
      <c r="I235" s="310" t="str">
        <f>IF(H235="","",VLOOKUP($B235,'C-1 On-Site WaterC'' Baseline'!$C$9:$R$257,8,FALSE))</f>
        <v/>
      </c>
      <c r="J235" s="310" t="str">
        <f>IF(I235="","",VLOOKUP($B235,'C-1 On-Site WaterC'' Baseline'!$C$9:$R$257,9,FALSE))</f>
        <v/>
      </c>
      <c r="K235" s="310" t="str">
        <f>IF(J235="","",VLOOKUP($B235,'C-1 On-Site WaterC'' Baseline'!$C$9:$R$257,10,FALSE))</f>
        <v/>
      </c>
      <c r="L235" s="310" t="str">
        <f>IF(B235="","",VLOOKUP($B235,'C-1 On-Site WaterC'' Baseline'!$C$9:$R$257,15,FALSE))</f>
        <v/>
      </c>
      <c r="M235" s="314" t="str">
        <f>IF(L235="","",VLOOKUP($B235,'C-1 On-Site WaterC'' Baseline'!$C$9:$R$257,16,FALSE))</f>
        <v/>
      </c>
      <c r="N235" s="259"/>
      <c r="O235" s="290" t="str">
        <f t="shared" si="28"/>
        <v/>
      </c>
      <c r="P235" s="291" t="str">
        <f t="shared" si="29"/>
        <v/>
      </c>
      <c r="Q235" s="346" t="str">
        <f>IF(N235="","",VLOOKUP(B235,'C-1 On-Site WaterC'' Baseline'!$C$10:$AC$257,20,FALSE))</f>
        <v/>
      </c>
      <c r="R235" s="290" t="str">
        <f>IF(N235="","",VLOOKUP(N235,'G-7 WaterC'' Data'!$B$2:$G$8,2,FALSE))</f>
        <v/>
      </c>
      <c r="S235" s="291" t="str">
        <f>IFERROR(VLOOKUP(R235,'G-7 WaterC'' Data'!$C$4:$D$8,2,FALSE),"")</f>
        <v/>
      </c>
      <c r="T235" s="95"/>
      <c r="U235" s="291" t="str">
        <f>IFERROR(INDEX('G-7 WaterC'' Data'!$H$4:$L$8,MATCH(N235,'G-7 WaterC'' Data'!$B$4:$B$8,0),MATCH(T235,'G-7 WaterC'' Data'!$H$3:$L$3,0)),"")</f>
        <v/>
      </c>
      <c r="V235" s="95"/>
      <c r="W235" s="298" t="str">
        <f>IF(V235="","",IF(VLOOKUP(V235,'G-7 WaterC'' Data'!$AK$4:$AM$6,2,FALSE)=0,"Spatial Data Missing ⚠",VLOOKUP(V235,'G-7 WaterC'' Data'!$AK$4:$AM$6,2,FALSE)))</f>
        <v/>
      </c>
      <c r="X235" s="291" t="str">
        <f>IF(V235="","",IF(VLOOKUP(V235,'G-7 WaterC'' Data'!$AK$4:$AM$6,3,FALSE)=0,"Spatial Data Missing ⚠",VLOOKUP(V235,'G-7 WaterC'' Data'!$AK$4:$AM$6,3,FALSE)))</f>
        <v/>
      </c>
      <c r="Y235" s="290" t="str">
        <f>IFERROR(IF(OR(LEFT(P235,5)="Error",LEFT(O235,5)="Error ▲"),"Check Data ⚠",IF(F235&lt;S235,'G-7 WaterC'' Data'!$R$3,INDEX('G-7 WaterC'' Data'!$U$5:$Y$9,MATCH(G235,'G-7 WaterC'' Data'!$T$5:$T$9,0),MATCH(T235,'G-7 WaterC'' Data'!$U$4:$Y$4,0)))),"")</f>
        <v/>
      </c>
      <c r="Z235" s="138"/>
      <c r="AA235" s="138"/>
      <c r="AB235" s="298" t="str">
        <f t="shared" si="30"/>
        <v/>
      </c>
      <c r="AC235" s="311" t="str">
        <f t="shared" si="31"/>
        <v/>
      </c>
      <c r="AD235" s="344" t="str">
        <f>IFERROR(IF(AC235="Check Data ⚠","Check Data ⚠",VLOOKUP(AC235,'G-4 Temporal multipliers'!$A$4:$C$37,3,FALSE)),"")</f>
        <v/>
      </c>
      <c r="AE235" s="290" t="str">
        <f>IF(N235="","",VLOOKUP(N235,'G-7 WaterC'' Data'!$B$4:$G$8,5,FALSE))</f>
        <v/>
      </c>
      <c r="AF235" s="298" t="str">
        <f t="shared" si="32"/>
        <v/>
      </c>
      <c r="AG235" s="328" t="str">
        <f t="shared" si="33"/>
        <v/>
      </c>
      <c r="AH235" s="291" t="str">
        <f t="shared" si="27"/>
        <v/>
      </c>
      <c r="AI235" s="103"/>
      <c r="AJ235" s="291" t="str">
        <f>IF(AI235="","",IF(AND(AI235="N/A - Culvert",N235&lt;&gt;"Culvert"),"Not possible ▲",IF(VLOOKUP(AI235,'G-7 WaterC'' Data'!$AA$4:$AB$7,2,FALSE)=0,"Spatial Data Missing ⚠",VLOOKUP(AI235,'G-7 WaterC'' Data'!$AA$4:$AB$7,2,FALSE))))</f>
        <v/>
      </c>
      <c r="AK235" s="104"/>
      <c r="AL235" s="291" t="str">
        <f>IF(AK235="","",IF(AND(AK235="N/A - Culvert",N235&lt;&gt;"Culvert"),"Not possible ▲",IF(VLOOKUP(AK235,'G-7 WaterC'' Data'!$AD$4:$AE$14,2,FALSE)=0,"Spatial Data Missing ⚠",VLOOKUP(AK235,'G-7 WaterC'' Data'!$AD$4:$AE$14,2,FALSE))))</f>
        <v/>
      </c>
      <c r="AM235" s="332" t="str">
        <f t="shared" si="34"/>
        <v/>
      </c>
      <c r="AN235" s="98"/>
      <c r="AO235" s="99"/>
      <c r="AP235" s="101"/>
      <c r="AS235" s="15" t="str">
        <f>IF(B235="","",IF(ISNA(VLOOKUP($B235,'C-1 On-Site WaterC'' Baseline'!$C$8:$AD$257,17,FALSE)),"",(VLOOKUP($B235,'C-1 On-Site WaterC'' Baseline'!$C$8:$AD$257,17,FALSE))))</f>
        <v/>
      </c>
      <c r="AT235" s="15" t="str">
        <f>IF(B235="","",VLOOKUP($B235,'C-1 On-Site WaterC'' Baseline'!$C$9:$Z$257,12,FALSE))</f>
        <v/>
      </c>
      <c r="AU235" s="15" t="str">
        <f>IF(B235="","",VLOOKUP($B235,'C-1 On-Site WaterC'' Baseline'!$C$9:$Z$257,14,FALSE))</f>
        <v/>
      </c>
      <c r="AV235" s="15" t="str">
        <f>IFERROR(INDEX('G-7 WaterC'' Data'!$AZ$3:$AZ$7,MATCH(N235,'G-7 WaterC'' Data'!$AY$3:$AY$7,0)),"")</f>
        <v/>
      </c>
      <c r="AX235" s="15" t="str">
        <f>IF(B235="","",VLOOKUP($B235,'C-1 On-Site WaterC'' Baseline'!$C$9:$Y$257,22,FALSE))</f>
        <v/>
      </c>
      <c r="AY235" s="15" t="str">
        <f t="shared" si="35"/>
        <v/>
      </c>
      <c r="AZ235" s="15" t="str">
        <f>IF(B235="","",VLOOKUP($B235,'C-1 On-Site WaterC'' Baseline'!$C$9:$Y$257,21,FALSE))</f>
        <v/>
      </c>
      <c r="BA235" s="15" t="str">
        <f>IF(B235="","",VLOOKUP($B235,'C-1 On-Site WaterC'' Baseline'!$C$9:$Y$257,19,FALSE))</f>
        <v/>
      </c>
    </row>
    <row r="236" spans="2:53" ht="14" x14ac:dyDescent="0.3">
      <c r="B236" s="319" t="str">
        <f>'C-1 On-Site WaterC'' Baseline'!AP234</f>
        <v/>
      </c>
      <c r="C236" s="310" t="str">
        <f>IF(B236="","",VLOOKUP($B236,'C-1 On-Site WaterC'' Baseline'!$C$9:$R$257,2,FALSE))</f>
        <v/>
      </c>
      <c r="D236" s="310" t="str">
        <f>IF(C236="","",VLOOKUP($B236,'C-1 On-Site WaterC'' Baseline'!$C$9:$R$257,3,FALSE))</f>
        <v/>
      </c>
      <c r="E236" s="310" t="str">
        <f>IF(D236="","",VLOOKUP($B236,'C-1 On-Site WaterC'' Baseline'!$C$9:$R$257,4,FALSE))</f>
        <v/>
      </c>
      <c r="F236" s="310" t="str">
        <f>IF(E236="","",VLOOKUP($B236,'C-1 On-Site WaterC'' Baseline'!$C$9:$R$257,5,FALSE))</f>
        <v/>
      </c>
      <c r="G236" s="310" t="str">
        <f>IF(F236="","",VLOOKUP($B236,'C-1 On-Site WaterC'' Baseline'!$C$9:$R$257,6,FALSE))</f>
        <v/>
      </c>
      <c r="H236" s="310" t="str">
        <f>IF(G236="","",VLOOKUP($B236,'C-1 On-Site WaterC'' Baseline'!$C$9:$R$257,7,FALSE))</f>
        <v/>
      </c>
      <c r="I236" s="310" t="str">
        <f>IF(H236="","",VLOOKUP($B236,'C-1 On-Site WaterC'' Baseline'!$C$9:$R$257,8,FALSE))</f>
        <v/>
      </c>
      <c r="J236" s="310" t="str">
        <f>IF(I236="","",VLOOKUP($B236,'C-1 On-Site WaterC'' Baseline'!$C$9:$R$257,9,FALSE))</f>
        <v/>
      </c>
      <c r="K236" s="310" t="str">
        <f>IF(J236="","",VLOOKUP($B236,'C-1 On-Site WaterC'' Baseline'!$C$9:$R$257,10,FALSE))</f>
        <v/>
      </c>
      <c r="L236" s="310" t="str">
        <f>IF(B236="","",VLOOKUP($B236,'C-1 On-Site WaterC'' Baseline'!$C$9:$R$257,15,FALSE))</f>
        <v/>
      </c>
      <c r="M236" s="314" t="str">
        <f>IF(L236="","",VLOOKUP($B236,'C-1 On-Site WaterC'' Baseline'!$C$9:$R$257,16,FALSE))</f>
        <v/>
      </c>
      <c r="N236" s="259"/>
      <c r="O236" s="290" t="str">
        <f t="shared" si="28"/>
        <v/>
      </c>
      <c r="P236" s="291" t="str">
        <f t="shared" si="29"/>
        <v/>
      </c>
      <c r="Q236" s="346" t="str">
        <f>IF(N236="","",VLOOKUP(B236,'C-1 On-Site WaterC'' Baseline'!$C$10:$AC$257,20,FALSE))</f>
        <v/>
      </c>
      <c r="R236" s="290" t="str">
        <f>IF(N236="","",VLOOKUP(N236,'G-7 WaterC'' Data'!$B$2:$G$8,2,FALSE))</f>
        <v/>
      </c>
      <c r="S236" s="291" t="str">
        <f>IFERROR(VLOOKUP(R236,'G-7 WaterC'' Data'!$C$4:$D$8,2,FALSE),"")</f>
        <v/>
      </c>
      <c r="T236" s="95"/>
      <c r="U236" s="291" t="str">
        <f>IFERROR(INDEX('G-7 WaterC'' Data'!$H$4:$L$8,MATCH(N236,'G-7 WaterC'' Data'!$B$4:$B$8,0),MATCH(T236,'G-7 WaterC'' Data'!$H$3:$L$3,0)),"")</f>
        <v/>
      </c>
      <c r="V236" s="95"/>
      <c r="W236" s="298" t="str">
        <f>IF(V236="","",IF(VLOOKUP(V236,'G-7 WaterC'' Data'!$AK$4:$AM$6,2,FALSE)=0,"Spatial Data Missing ⚠",VLOOKUP(V236,'G-7 WaterC'' Data'!$AK$4:$AM$6,2,FALSE)))</f>
        <v/>
      </c>
      <c r="X236" s="291" t="str">
        <f>IF(V236="","",IF(VLOOKUP(V236,'G-7 WaterC'' Data'!$AK$4:$AM$6,3,FALSE)=0,"Spatial Data Missing ⚠",VLOOKUP(V236,'G-7 WaterC'' Data'!$AK$4:$AM$6,3,FALSE)))</f>
        <v/>
      </c>
      <c r="Y236" s="290" t="str">
        <f>IFERROR(IF(OR(LEFT(P236,5)="Error",LEFT(O236,5)="Error ▲"),"Check Data ⚠",IF(F236&lt;S236,'G-7 WaterC'' Data'!$R$3,INDEX('G-7 WaterC'' Data'!$U$5:$Y$9,MATCH(G236,'G-7 WaterC'' Data'!$T$5:$T$9,0),MATCH(T236,'G-7 WaterC'' Data'!$U$4:$Y$4,0)))),"")</f>
        <v/>
      </c>
      <c r="Z236" s="138"/>
      <c r="AA236" s="138"/>
      <c r="AB236" s="298" t="str">
        <f t="shared" si="30"/>
        <v/>
      </c>
      <c r="AC236" s="311" t="str">
        <f t="shared" si="31"/>
        <v/>
      </c>
      <c r="AD236" s="344" t="str">
        <f>IFERROR(IF(AC236="Check Data ⚠","Check Data ⚠",VLOOKUP(AC236,'G-4 Temporal multipliers'!$A$4:$C$37,3,FALSE)),"")</f>
        <v/>
      </c>
      <c r="AE236" s="290" t="str">
        <f>IF(N236="","",VLOOKUP(N236,'G-7 WaterC'' Data'!$B$4:$G$8,5,FALSE))</f>
        <v/>
      </c>
      <c r="AF236" s="298" t="str">
        <f t="shared" si="32"/>
        <v/>
      </c>
      <c r="AG236" s="328" t="str">
        <f t="shared" si="33"/>
        <v/>
      </c>
      <c r="AH236" s="291" t="str">
        <f t="shared" si="27"/>
        <v/>
      </c>
      <c r="AI236" s="103"/>
      <c r="AJ236" s="291" t="str">
        <f>IF(AI236="","",IF(AND(AI236="N/A - Culvert",N236&lt;&gt;"Culvert"),"Not possible ▲",IF(VLOOKUP(AI236,'G-7 WaterC'' Data'!$AA$4:$AB$7,2,FALSE)=0,"Spatial Data Missing ⚠",VLOOKUP(AI236,'G-7 WaterC'' Data'!$AA$4:$AB$7,2,FALSE))))</f>
        <v/>
      </c>
      <c r="AK236" s="104"/>
      <c r="AL236" s="291" t="str">
        <f>IF(AK236="","",IF(AND(AK236="N/A - Culvert",N236&lt;&gt;"Culvert"),"Not possible ▲",IF(VLOOKUP(AK236,'G-7 WaterC'' Data'!$AD$4:$AE$14,2,FALSE)=0,"Spatial Data Missing ⚠",VLOOKUP(AK236,'G-7 WaterC'' Data'!$AD$4:$AE$14,2,FALSE))))</f>
        <v/>
      </c>
      <c r="AM236" s="332" t="str">
        <f t="shared" si="34"/>
        <v/>
      </c>
      <c r="AN236" s="98"/>
      <c r="AO236" s="99"/>
      <c r="AP236" s="101"/>
      <c r="AS236" s="15" t="str">
        <f>IF(B236="","",IF(ISNA(VLOOKUP($B236,'C-1 On-Site WaterC'' Baseline'!$C$8:$AD$257,17,FALSE)),"",(VLOOKUP($B236,'C-1 On-Site WaterC'' Baseline'!$C$8:$AD$257,17,FALSE))))</f>
        <v/>
      </c>
      <c r="AT236" s="15" t="str">
        <f>IF(B236="","",VLOOKUP($B236,'C-1 On-Site WaterC'' Baseline'!$C$9:$Z$257,12,FALSE))</f>
        <v/>
      </c>
      <c r="AU236" s="15" t="str">
        <f>IF(B236="","",VLOOKUP($B236,'C-1 On-Site WaterC'' Baseline'!$C$9:$Z$257,14,FALSE))</f>
        <v/>
      </c>
      <c r="AV236" s="15" t="str">
        <f>IFERROR(INDEX('G-7 WaterC'' Data'!$AZ$3:$AZ$7,MATCH(N236,'G-7 WaterC'' Data'!$AY$3:$AY$7,0)),"")</f>
        <v/>
      </c>
      <c r="AX236" s="15" t="str">
        <f>IF(B236="","",VLOOKUP($B236,'C-1 On-Site WaterC'' Baseline'!$C$9:$Y$257,22,FALSE))</f>
        <v/>
      </c>
      <c r="AY236" s="15" t="str">
        <f t="shared" si="35"/>
        <v/>
      </c>
      <c r="AZ236" s="15" t="str">
        <f>IF(B236="","",VLOOKUP($B236,'C-1 On-Site WaterC'' Baseline'!$C$9:$Y$257,21,FALSE))</f>
        <v/>
      </c>
      <c r="BA236" s="15" t="str">
        <f>IF(B236="","",VLOOKUP($B236,'C-1 On-Site WaterC'' Baseline'!$C$9:$Y$257,19,FALSE))</f>
        <v/>
      </c>
    </row>
    <row r="237" spans="2:53" ht="14" x14ac:dyDescent="0.3">
      <c r="B237" s="319" t="str">
        <f>'C-1 On-Site WaterC'' Baseline'!AP235</f>
        <v/>
      </c>
      <c r="C237" s="310" t="str">
        <f>IF(B237="","",VLOOKUP($B237,'C-1 On-Site WaterC'' Baseline'!$C$9:$R$257,2,FALSE))</f>
        <v/>
      </c>
      <c r="D237" s="310" t="str">
        <f>IF(C237="","",VLOOKUP($B237,'C-1 On-Site WaterC'' Baseline'!$C$9:$R$257,3,FALSE))</f>
        <v/>
      </c>
      <c r="E237" s="310" t="str">
        <f>IF(D237="","",VLOOKUP($B237,'C-1 On-Site WaterC'' Baseline'!$C$9:$R$257,4,FALSE))</f>
        <v/>
      </c>
      <c r="F237" s="310" t="str">
        <f>IF(E237="","",VLOOKUP($B237,'C-1 On-Site WaterC'' Baseline'!$C$9:$R$257,5,FALSE))</f>
        <v/>
      </c>
      <c r="G237" s="310" t="str">
        <f>IF(F237="","",VLOOKUP($B237,'C-1 On-Site WaterC'' Baseline'!$C$9:$R$257,6,FALSE))</f>
        <v/>
      </c>
      <c r="H237" s="310" t="str">
        <f>IF(G237="","",VLOOKUP($B237,'C-1 On-Site WaterC'' Baseline'!$C$9:$R$257,7,FALSE))</f>
        <v/>
      </c>
      <c r="I237" s="310" t="str">
        <f>IF(H237="","",VLOOKUP($B237,'C-1 On-Site WaterC'' Baseline'!$C$9:$R$257,8,FALSE))</f>
        <v/>
      </c>
      <c r="J237" s="310" t="str">
        <f>IF(I237="","",VLOOKUP($B237,'C-1 On-Site WaterC'' Baseline'!$C$9:$R$257,9,FALSE))</f>
        <v/>
      </c>
      <c r="K237" s="310" t="str">
        <f>IF(J237="","",VLOOKUP($B237,'C-1 On-Site WaterC'' Baseline'!$C$9:$R$257,10,FALSE))</f>
        <v/>
      </c>
      <c r="L237" s="310" t="str">
        <f>IF(B237="","",VLOOKUP($B237,'C-1 On-Site WaterC'' Baseline'!$C$9:$R$257,15,FALSE))</f>
        <v/>
      </c>
      <c r="M237" s="314" t="str">
        <f>IF(L237="","",VLOOKUP($B237,'C-1 On-Site WaterC'' Baseline'!$C$9:$R$257,16,FALSE))</f>
        <v/>
      </c>
      <c r="N237" s="259"/>
      <c r="O237" s="290" t="str">
        <f t="shared" si="28"/>
        <v/>
      </c>
      <c r="P237" s="291" t="str">
        <f t="shared" si="29"/>
        <v/>
      </c>
      <c r="Q237" s="346" t="str">
        <f>IF(N237="","",VLOOKUP(B237,'C-1 On-Site WaterC'' Baseline'!$C$10:$AC$257,20,FALSE))</f>
        <v/>
      </c>
      <c r="R237" s="290" t="str">
        <f>IF(N237="","",VLOOKUP(N237,'G-7 WaterC'' Data'!$B$2:$G$8,2,FALSE))</f>
        <v/>
      </c>
      <c r="S237" s="291" t="str">
        <f>IFERROR(VLOOKUP(R237,'G-7 WaterC'' Data'!$C$4:$D$8,2,FALSE),"")</f>
        <v/>
      </c>
      <c r="T237" s="95"/>
      <c r="U237" s="291" t="str">
        <f>IFERROR(INDEX('G-7 WaterC'' Data'!$H$4:$L$8,MATCH(N237,'G-7 WaterC'' Data'!$B$4:$B$8,0),MATCH(T237,'G-7 WaterC'' Data'!$H$3:$L$3,0)),"")</f>
        <v/>
      </c>
      <c r="V237" s="95"/>
      <c r="W237" s="298" t="str">
        <f>IF(V237="","",IF(VLOOKUP(V237,'G-7 WaterC'' Data'!$AK$4:$AM$6,2,FALSE)=0,"Spatial Data Missing ⚠",VLOOKUP(V237,'G-7 WaterC'' Data'!$AK$4:$AM$6,2,FALSE)))</f>
        <v/>
      </c>
      <c r="X237" s="291" t="str">
        <f>IF(V237="","",IF(VLOOKUP(V237,'G-7 WaterC'' Data'!$AK$4:$AM$6,3,FALSE)=0,"Spatial Data Missing ⚠",VLOOKUP(V237,'G-7 WaterC'' Data'!$AK$4:$AM$6,3,FALSE)))</f>
        <v/>
      </c>
      <c r="Y237" s="290" t="str">
        <f>IFERROR(IF(OR(LEFT(P237,5)="Error",LEFT(O237,5)="Error ▲"),"Check Data ⚠",IF(F237&lt;S237,'G-7 WaterC'' Data'!$R$3,INDEX('G-7 WaterC'' Data'!$U$5:$Y$9,MATCH(G237,'G-7 WaterC'' Data'!$T$5:$T$9,0),MATCH(T237,'G-7 WaterC'' Data'!$U$4:$Y$4,0)))),"")</f>
        <v/>
      </c>
      <c r="Z237" s="138"/>
      <c r="AA237" s="138"/>
      <c r="AB237" s="298" t="str">
        <f t="shared" si="30"/>
        <v/>
      </c>
      <c r="AC237" s="311" t="str">
        <f t="shared" si="31"/>
        <v/>
      </c>
      <c r="AD237" s="344" t="str">
        <f>IFERROR(IF(AC237="Check Data ⚠","Check Data ⚠",VLOOKUP(AC237,'G-4 Temporal multipliers'!$A$4:$C$37,3,FALSE)),"")</f>
        <v/>
      </c>
      <c r="AE237" s="290" t="str">
        <f>IF(N237="","",VLOOKUP(N237,'G-7 WaterC'' Data'!$B$4:$G$8,5,FALSE))</f>
        <v/>
      </c>
      <c r="AF237" s="298" t="str">
        <f t="shared" si="32"/>
        <v/>
      </c>
      <c r="AG237" s="328" t="str">
        <f t="shared" si="33"/>
        <v/>
      </c>
      <c r="AH237" s="291" t="str">
        <f t="shared" si="27"/>
        <v/>
      </c>
      <c r="AI237" s="103"/>
      <c r="AJ237" s="291" t="str">
        <f>IF(AI237="","",IF(AND(AI237="N/A - Culvert",N237&lt;&gt;"Culvert"),"Not possible ▲",IF(VLOOKUP(AI237,'G-7 WaterC'' Data'!$AA$4:$AB$7,2,FALSE)=0,"Spatial Data Missing ⚠",VLOOKUP(AI237,'G-7 WaterC'' Data'!$AA$4:$AB$7,2,FALSE))))</f>
        <v/>
      </c>
      <c r="AK237" s="104"/>
      <c r="AL237" s="291" t="str">
        <f>IF(AK237="","",IF(AND(AK237="N/A - Culvert",N237&lt;&gt;"Culvert"),"Not possible ▲",IF(VLOOKUP(AK237,'G-7 WaterC'' Data'!$AD$4:$AE$14,2,FALSE)=0,"Spatial Data Missing ⚠",VLOOKUP(AK237,'G-7 WaterC'' Data'!$AD$4:$AE$14,2,FALSE))))</f>
        <v/>
      </c>
      <c r="AM237" s="332" t="str">
        <f t="shared" si="34"/>
        <v/>
      </c>
      <c r="AN237" s="98"/>
      <c r="AO237" s="99"/>
      <c r="AP237" s="101"/>
      <c r="AS237" s="15" t="str">
        <f>IF(B237="","",IF(ISNA(VLOOKUP($B237,'C-1 On-Site WaterC'' Baseline'!$C$8:$AD$257,17,FALSE)),"",(VLOOKUP($B237,'C-1 On-Site WaterC'' Baseline'!$C$8:$AD$257,17,FALSE))))</f>
        <v/>
      </c>
      <c r="AT237" s="15" t="str">
        <f>IF(B237="","",VLOOKUP($B237,'C-1 On-Site WaterC'' Baseline'!$C$9:$Z$257,12,FALSE))</f>
        <v/>
      </c>
      <c r="AU237" s="15" t="str">
        <f>IF(B237="","",VLOOKUP($B237,'C-1 On-Site WaterC'' Baseline'!$C$9:$Z$257,14,FALSE))</f>
        <v/>
      </c>
      <c r="AV237" s="15" t="str">
        <f>IFERROR(INDEX('G-7 WaterC'' Data'!$AZ$3:$AZ$7,MATCH(N237,'G-7 WaterC'' Data'!$AY$3:$AY$7,0)),"")</f>
        <v/>
      </c>
      <c r="AX237" s="15" t="str">
        <f>IF(B237="","",VLOOKUP($B237,'C-1 On-Site WaterC'' Baseline'!$C$9:$Y$257,22,FALSE))</f>
        <v/>
      </c>
      <c r="AY237" s="15" t="str">
        <f t="shared" si="35"/>
        <v/>
      </c>
      <c r="AZ237" s="15" t="str">
        <f>IF(B237="","",VLOOKUP($B237,'C-1 On-Site WaterC'' Baseline'!$C$9:$Y$257,21,FALSE))</f>
        <v/>
      </c>
      <c r="BA237" s="15" t="str">
        <f>IF(B237="","",VLOOKUP($B237,'C-1 On-Site WaterC'' Baseline'!$C$9:$Y$257,19,FALSE))</f>
        <v/>
      </c>
    </row>
    <row r="238" spans="2:53" ht="14" x14ac:dyDescent="0.3">
      <c r="B238" s="319" t="str">
        <f>'C-1 On-Site WaterC'' Baseline'!AP236</f>
        <v/>
      </c>
      <c r="C238" s="310" t="str">
        <f>IF(B238="","",VLOOKUP($B238,'C-1 On-Site WaterC'' Baseline'!$C$9:$R$257,2,FALSE))</f>
        <v/>
      </c>
      <c r="D238" s="310" t="str">
        <f>IF(C238="","",VLOOKUP($B238,'C-1 On-Site WaterC'' Baseline'!$C$9:$R$257,3,FALSE))</f>
        <v/>
      </c>
      <c r="E238" s="310" t="str">
        <f>IF(D238="","",VLOOKUP($B238,'C-1 On-Site WaterC'' Baseline'!$C$9:$R$257,4,FALSE))</f>
        <v/>
      </c>
      <c r="F238" s="310" t="str">
        <f>IF(E238="","",VLOOKUP($B238,'C-1 On-Site WaterC'' Baseline'!$C$9:$R$257,5,FALSE))</f>
        <v/>
      </c>
      <c r="G238" s="310" t="str">
        <f>IF(F238="","",VLOOKUP($B238,'C-1 On-Site WaterC'' Baseline'!$C$9:$R$257,6,FALSE))</f>
        <v/>
      </c>
      <c r="H238" s="310" t="str">
        <f>IF(G238="","",VLOOKUP($B238,'C-1 On-Site WaterC'' Baseline'!$C$9:$R$257,7,FALSE))</f>
        <v/>
      </c>
      <c r="I238" s="310" t="str">
        <f>IF(H238="","",VLOOKUP($B238,'C-1 On-Site WaterC'' Baseline'!$C$9:$R$257,8,FALSE))</f>
        <v/>
      </c>
      <c r="J238" s="310" t="str">
        <f>IF(I238="","",VLOOKUP($B238,'C-1 On-Site WaterC'' Baseline'!$C$9:$R$257,9,FALSE))</f>
        <v/>
      </c>
      <c r="K238" s="310" t="str">
        <f>IF(J238="","",VLOOKUP($B238,'C-1 On-Site WaterC'' Baseline'!$C$9:$R$257,10,FALSE))</f>
        <v/>
      </c>
      <c r="L238" s="310" t="str">
        <f>IF(B238="","",VLOOKUP($B238,'C-1 On-Site WaterC'' Baseline'!$C$9:$R$257,15,FALSE))</f>
        <v/>
      </c>
      <c r="M238" s="314" t="str">
        <f>IF(L238="","",VLOOKUP($B238,'C-1 On-Site WaterC'' Baseline'!$C$9:$R$257,16,FALSE))</f>
        <v/>
      </c>
      <c r="N238" s="259"/>
      <c r="O238" s="290" t="str">
        <f t="shared" si="28"/>
        <v/>
      </c>
      <c r="P238" s="291" t="str">
        <f t="shared" si="29"/>
        <v/>
      </c>
      <c r="Q238" s="346" t="str">
        <f>IF(N238="","",VLOOKUP(B238,'C-1 On-Site WaterC'' Baseline'!$C$10:$AC$257,20,FALSE))</f>
        <v/>
      </c>
      <c r="R238" s="290" t="str">
        <f>IF(N238="","",VLOOKUP(N238,'G-7 WaterC'' Data'!$B$2:$G$8,2,FALSE))</f>
        <v/>
      </c>
      <c r="S238" s="291" t="str">
        <f>IFERROR(VLOOKUP(R238,'G-7 WaterC'' Data'!$C$4:$D$8,2,FALSE),"")</f>
        <v/>
      </c>
      <c r="T238" s="95"/>
      <c r="U238" s="291" t="str">
        <f>IFERROR(INDEX('G-7 WaterC'' Data'!$H$4:$L$8,MATCH(N238,'G-7 WaterC'' Data'!$B$4:$B$8,0),MATCH(T238,'G-7 WaterC'' Data'!$H$3:$L$3,0)),"")</f>
        <v/>
      </c>
      <c r="V238" s="95"/>
      <c r="W238" s="298" t="str">
        <f>IF(V238="","",IF(VLOOKUP(V238,'G-7 WaterC'' Data'!$AK$4:$AM$6,2,FALSE)=0,"Spatial Data Missing ⚠",VLOOKUP(V238,'G-7 WaterC'' Data'!$AK$4:$AM$6,2,FALSE)))</f>
        <v/>
      </c>
      <c r="X238" s="291" t="str">
        <f>IF(V238="","",IF(VLOOKUP(V238,'G-7 WaterC'' Data'!$AK$4:$AM$6,3,FALSE)=0,"Spatial Data Missing ⚠",VLOOKUP(V238,'G-7 WaterC'' Data'!$AK$4:$AM$6,3,FALSE)))</f>
        <v/>
      </c>
      <c r="Y238" s="290" t="str">
        <f>IFERROR(IF(OR(LEFT(P238,5)="Error",LEFT(O238,5)="Error ▲"),"Check Data ⚠",IF(F238&lt;S238,'G-7 WaterC'' Data'!$R$3,INDEX('G-7 WaterC'' Data'!$U$5:$Y$9,MATCH(G238,'G-7 WaterC'' Data'!$T$5:$T$9,0),MATCH(T238,'G-7 WaterC'' Data'!$U$4:$Y$4,0)))),"")</f>
        <v/>
      </c>
      <c r="Z238" s="138"/>
      <c r="AA238" s="138"/>
      <c r="AB238" s="298" t="str">
        <f t="shared" si="30"/>
        <v/>
      </c>
      <c r="AC238" s="311" t="str">
        <f t="shared" si="31"/>
        <v/>
      </c>
      <c r="AD238" s="344" t="str">
        <f>IFERROR(IF(AC238="Check Data ⚠","Check Data ⚠",VLOOKUP(AC238,'G-4 Temporal multipliers'!$A$4:$C$37,3,FALSE)),"")</f>
        <v/>
      </c>
      <c r="AE238" s="290" t="str">
        <f>IF(N238="","",VLOOKUP(N238,'G-7 WaterC'' Data'!$B$4:$G$8,5,FALSE))</f>
        <v/>
      </c>
      <c r="AF238" s="298" t="str">
        <f t="shared" si="32"/>
        <v/>
      </c>
      <c r="AG238" s="328" t="str">
        <f t="shared" si="33"/>
        <v/>
      </c>
      <c r="AH238" s="291" t="str">
        <f t="shared" si="27"/>
        <v/>
      </c>
      <c r="AI238" s="103"/>
      <c r="AJ238" s="291" t="str">
        <f>IF(AI238="","",IF(AND(AI238="N/A - Culvert",N238&lt;&gt;"Culvert"),"Not possible ▲",IF(VLOOKUP(AI238,'G-7 WaterC'' Data'!$AA$4:$AB$7,2,FALSE)=0,"Spatial Data Missing ⚠",VLOOKUP(AI238,'G-7 WaterC'' Data'!$AA$4:$AB$7,2,FALSE))))</f>
        <v/>
      </c>
      <c r="AK238" s="104"/>
      <c r="AL238" s="291" t="str">
        <f>IF(AK238="","",IF(AND(AK238="N/A - Culvert",N238&lt;&gt;"Culvert"),"Not possible ▲",IF(VLOOKUP(AK238,'G-7 WaterC'' Data'!$AD$4:$AE$14,2,FALSE)=0,"Spatial Data Missing ⚠",VLOOKUP(AK238,'G-7 WaterC'' Data'!$AD$4:$AE$14,2,FALSE))))</f>
        <v/>
      </c>
      <c r="AM238" s="332" t="str">
        <f t="shared" si="34"/>
        <v/>
      </c>
      <c r="AN238" s="98"/>
      <c r="AO238" s="99"/>
      <c r="AP238" s="101"/>
      <c r="AS238" s="15" t="str">
        <f>IF(B238="","",IF(ISNA(VLOOKUP($B238,'C-1 On-Site WaterC'' Baseline'!$C$8:$AD$257,17,FALSE)),"",(VLOOKUP($B238,'C-1 On-Site WaterC'' Baseline'!$C$8:$AD$257,17,FALSE))))</f>
        <v/>
      </c>
      <c r="AT238" s="15" t="str">
        <f>IF(B238="","",VLOOKUP($B238,'C-1 On-Site WaterC'' Baseline'!$C$9:$Z$257,12,FALSE))</f>
        <v/>
      </c>
      <c r="AU238" s="15" t="str">
        <f>IF(B238="","",VLOOKUP($B238,'C-1 On-Site WaterC'' Baseline'!$C$9:$Z$257,14,FALSE))</f>
        <v/>
      </c>
      <c r="AV238" s="15" t="str">
        <f>IFERROR(INDEX('G-7 WaterC'' Data'!$AZ$3:$AZ$7,MATCH(N238,'G-7 WaterC'' Data'!$AY$3:$AY$7,0)),"")</f>
        <v/>
      </c>
      <c r="AX238" s="15" t="str">
        <f>IF(B238="","",VLOOKUP($B238,'C-1 On-Site WaterC'' Baseline'!$C$9:$Y$257,22,FALSE))</f>
        <v/>
      </c>
      <c r="AY238" s="15" t="str">
        <f t="shared" si="35"/>
        <v/>
      </c>
      <c r="AZ238" s="15" t="str">
        <f>IF(B238="","",VLOOKUP($B238,'C-1 On-Site WaterC'' Baseline'!$C$9:$Y$257,21,FALSE))</f>
        <v/>
      </c>
      <c r="BA238" s="15" t="str">
        <f>IF(B238="","",VLOOKUP($B238,'C-1 On-Site WaterC'' Baseline'!$C$9:$Y$257,19,FALSE))</f>
        <v/>
      </c>
    </row>
    <row r="239" spans="2:53" ht="14" x14ac:dyDescent="0.3">
      <c r="B239" s="319" t="str">
        <f>'C-1 On-Site WaterC'' Baseline'!AP237</f>
        <v/>
      </c>
      <c r="C239" s="310" t="str">
        <f>IF(B239="","",VLOOKUP($B239,'C-1 On-Site WaterC'' Baseline'!$C$9:$R$257,2,FALSE))</f>
        <v/>
      </c>
      <c r="D239" s="310" t="str">
        <f>IF(C239="","",VLOOKUP($B239,'C-1 On-Site WaterC'' Baseline'!$C$9:$R$257,3,FALSE))</f>
        <v/>
      </c>
      <c r="E239" s="310" t="str">
        <f>IF(D239="","",VLOOKUP($B239,'C-1 On-Site WaterC'' Baseline'!$C$9:$R$257,4,FALSE))</f>
        <v/>
      </c>
      <c r="F239" s="310" t="str">
        <f>IF(E239="","",VLOOKUP($B239,'C-1 On-Site WaterC'' Baseline'!$C$9:$R$257,5,FALSE))</f>
        <v/>
      </c>
      <c r="G239" s="310" t="str">
        <f>IF(F239="","",VLOOKUP($B239,'C-1 On-Site WaterC'' Baseline'!$C$9:$R$257,6,FALSE))</f>
        <v/>
      </c>
      <c r="H239" s="310" t="str">
        <f>IF(G239="","",VLOOKUP($B239,'C-1 On-Site WaterC'' Baseline'!$C$9:$R$257,7,FALSE))</f>
        <v/>
      </c>
      <c r="I239" s="310" t="str">
        <f>IF(H239="","",VLOOKUP($B239,'C-1 On-Site WaterC'' Baseline'!$C$9:$R$257,8,FALSE))</f>
        <v/>
      </c>
      <c r="J239" s="310" t="str">
        <f>IF(I239="","",VLOOKUP($B239,'C-1 On-Site WaterC'' Baseline'!$C$9:$R$257,9,FALSE))</f>
        <v/>
      </c>
      <c r="K239" s="310" t="str">
        <f>IF(J239="","",VLOOKUP($B239,'C-1 On-Site WaterC'' Baseline'!$C$9:$R$257,10,FALSE))</f>
        <v/>
      </c>
      <c r="L239" s="310" t="str">
        <f>IF(B239="","",VLOOKUP($B239,'C-1 On-Site WaterC'' Baseline'!$C$9:$R$257,15,FALSE))</f>
        <v/>
      </c>
      <c r="M239" s="314" t="str">
        <f>IF(L239="","",VLOOKUP($B239,'C-1 On-Site WaterC'' Baseline'!$C$9:$R$257,16,FALSE))</f>
        <v/>
      </c>
      <c r="N239" s="259"/>
      <c r="O239" s="290" t="str">
        <f t="shared" si="28"/>
        <v/>
      </c>
      <c r="P239" s="291" t="str">
        <f t="shared" si="29"/>
        <v/>
      </c>
      <c r="Q239" s="346" t="str">
        <f>IF(N239="","",VLOOKUP(B239,'C-1 On-Site WaterC'' Baseline'!$C$10:$AC$257,20,FALSE))</f>
        <v/>
      </c>
      <c r="R239" s="290" t="str">
        <f>IF(N239="","",VLOOKUP(N239,'G-7 WaterC'' Data'!$B$2:$G$8,2,FALSE))</f>
        <v/>
      </c>
      <c r="S239" s="291" t="str">
        <f>IFERROR(VLOOKUP(R239,'G-7 WaterC'' Data'!$C$4:$D$8,2,FALSE),"")</f>
        <v/>
      </c>
      <c r="T239" s="95"/>
      <c r="U239" s="291" t="str">
        <f>IFERROR(INDEX('G-7 WaterC'' Data'!$H$4:$L$8,MATCH(N239,'G-7 WaterC'' Data'!$B$4:$B$8,0),MATCH(T239,'G-7 WaterC'' Data'!$H$3:$L$3,0)),"")</f>
        <v/>
      </c>
      <c r="V239" s="95"/>
      <c r="W239" s="298" t="str">
        <f>IF(V239="","",IF(VLOOKUP(V239,'G-7 WaterC'' Data'!$AK$4:$AM$6,2,FALSE)=0,"Spatial Data Missing ⚠",VLOOKUP(V239,'G-7 WaterC'' Data'!$AK$4:$AM$6,2,FALSE)))</f>
        <v/>
      </c>
      <c r="X239" s="291" t="str">
        <f>IF(V239="","",IF(VLOOKUP(V239,'G-7 WaterC'' Data'!$AK$4:$AM$6,3,FALSE)=0,"Spatial Data Missing ⚠",VLOOKUP(V239,'G-7 WaterC'' Data'!$AK$4:$AM$6,3,FALSE)))</f>
        <v/>
      </c>
      <c r="Y239" s="290" t="str">
        <f>IFERROR(IF(OR(LEFT(P239,5)="Error",LEFT(O239,5)="Error ▲"),"Check Data ⚠",IF(F239&lt;S239,'G-7 WaterC'' Data'!$R$3,INDEX('G-7 WaterC'' Data'!$U$5:$Y$9,MATCH(G239,'G-7 WaterC'' Data'!$T$5:$T$9,0),MATCH(T239,'G-7 WaterC'' Data'!$U$4:$Y$4,0)))),"")</f>
        <v/>
      </c>
      <c r="Z239" s="138"/>
      <c r="AA239" s="138"/>
      <c r="AB239" s="298" t="str">
        <f t="shared" si="30"/>
        <v/>
      </c>
      <c r="AC239" s="311" t="str">
        <f t="shared" si="31"/>
        <v/>
      </c>
      <c r="AD239" s="344" t="str">
        <f>IFERROR(IF(AC239="Check Data ⚠","Check Data ⚠",VLOOKUP(AC239,'G-4 Temporal multipliers'!$A$4:$C$37,3,FALSE)),"")</f>
        <v/>
      </c>
      <c r="AE239" s="290" t="str">
        <f>IF(N239="","",VLOOKUP(N239,'G-7 WaterC'' Data'!$B$4:$G$8,5,FALSE))</f>
        <v/>
      </c>
      <c r="AF239" s="298" t="str">
        <f t="shared" si="32"/>
        <v/>
      </c>
      <c r="AG239" s="328" t="str">
        <f t="shared" si="33"/>
        <v/>
      </c>
      <c r="AH239" s="291" t="str">
        <f t="shared" si="27"/>
        <v/>
      </c>
      <c r="AI239" s="103"/>
      <c r="AJ239" s="291" t="str">
        <f>IF(AI239="","",IF(AND(AI239="N/A - Culvert",N239&lt;&gt;"Culvert"),"Not possible ▲",IF(VLOOKUP(AI239,'G-7 WaterC'' Data'!$AA$4:$AB$7,2,FALSE)=0,"Spatial Data Missing ⚠",VLOOKUP(AI239,'G-7 WaterC'' Data'!$AA$4:$AB$7,2,FALSE))))</f>
        <v/>
      </c>
      <c r="AK239" s="104"/>
      <c r="AL239" s="291" t="str">
        <f>IF(AK239="","",IF(AND(AK239="N/A - Culvert",N239&lt;&gt;"Culvert"),"Not possible ▲",IF(VLOOKUP(AK239,'G-7 WaterC'' Data'!$AD$4:$AE$14,2,FALSE)=0,"Spatial Data Missing ⚠",VLOOKUP(AK239,'G-7 WaterC'' Data'!$AD$4:$AE$14,2,FALSE))))</f>
        <v/>
      </c>
      <c r="AM239" s="332" t="str">
        <f t="shared" si="34"/>
        <v/>
      </c>
      <c r="AN239" s="98"/>
      <c r="AO239" s="99"/>
      <c r="AP239" s="101"/>
      <c r="AS239" s="15" t="str">
        <f>IF(B239="","",IF(ISNA(VLOOKUP($B239,'C-1 On-Site WaterC'' Baseline'!$C$8:$AD$257,17,FALSE)),"",(VLOOKUP($B239,'C-1 On-Site WaterC'' Baseline'!$C$8:$AD$257,17,FALSE))))</f>
        <v/>
      </c>
      <c r="AT239" s="15" t="str">
        <f>IF(B239="","",VLOOKUP($B239,'C-1 On-Site WaterC'' Baseline'!$C$9:$Z$257,12,FALSE))</f>
        <v/>
      </c>
      <c r="AU239" s="15" t="str">
        <f>IF(B239="","",VLOOKUP($B239,'C-1 On-Site WaterC'' Baseline'!$C$9:$Z$257,14,FALSE))</f>
        <v/>
      </c>
      <c r="AV239" s="15" t="str">
        <f>IFERROR(INDEX('G-7 WaterC'' Data'!$AZ$3:$AZ$7,MATCH(N239,'G-7 WaterC'' Data'!$AY$3:$AY$7,0)),"")</f>
        <v/>
      </c>
      <c r="AX239" s="15" t="str">
        <f>IF(B239="","",VLOOKUP($B239,'C-1 On-Site WaterC'' Baseline'!$C$9:$Y$257,22,FALSE))</f>
        <v/>
      </c>
      <c r="AY239" s="15" t="str">
        <f t="shared" si="35"/>
        <v/>
      </c>
      <c r="AZ239" s="15" t="str">
        <f>IF(B239="","",VLOOKUP($B239,'C-1 On-Site WaterC'' Baseline'!$C$9:$Y$257,21,FALSE))</f>
        <v/>
      </c>
      <c r="BA239" s="15" t="str">
        <f>IF(B239="","",VLOOKUP($B239,'C-1 On-Site WaterC'' Baseline'!$C$9:$Y$257,19,FALSE))</f>
        <v/>
      </c>
    </row>
    <row r="240" spans="2:53" ht="14" x14ac:dyDescent="0.3">
      <c r="B240" s="319" t="str">
        <f>'C-1 On-Site WaterC'' Baseline'!AP238</f>
        <v/>
      </c>
      <c r="C240" s="310" t="str">
        <f>IF(B240="","",VLOOKUP($B240,'C-1 On-Site WaterC'' Baseline'!$C$9:$R$257,2,FALSE))</f>
        <v/>
      </c>
      <c r="D240" s="310" t="str">
        <f>IF(C240="","",VLOOKUP($B240,'C-1 On-Site WaterC'' Baseline'!$C$9:$R$257,3,FALSE))</f>
        <v/>
      </c>
      <c r="E240" s="310" t="str">
        <f>IF(D240="","",VLOOKUP($B240,'C-1 On-Site WaterC'' Baseline'!$C$9:$R$257,4,FALSE))</f>
        <v/>
      </c>
      <c r="F240" s="310" t="str">
        <f>IF(E240="","",VLOOKUP($B240,'C-1 On-Site WaterC'' Baseline'!$C$9:$R$257,5,FALSE))</f>
        <v/>
      </c>
      <c r="G240" s="310" t="str">
        <f>IF(F240="","",VLOOKUP($B240,'C-1 On-Site WaterC'' Baseline'!$C$9:$R$257,6,FALSE))</f>
        <v/>
      </c>
      <c r="H240" s="310" t="str">
        <f>IF(G240="","",VLOOKUP($B240,'C-1 On-Site WaterC'' Baseline'!$C$9:$R$257,7,FALSE))</f>
        <v/>
      </c>
      <c r="I240" s="310" t="str">
        <f>IF(H240="","",VLOOKUP($B240,'C-1 On-Site WaterC'' Baseline'!$C$9:$R$257,8,FALSE))</f>
        <v/>
      </c>
      <c r="J240" s="310" t="str">
        <f>IF(I240="","",VLOOKUP($B240,'C-1 On-Site WaterC'' Baseline'!$C$9:$R$257,9,FALSE))</f>
        <v/>
      </c>
      <c r="K240" s="310" t="str">
        <f>IF(J240="","",VLOOKUP($B240,'C-1 On-Site WaterC'' Baseline'!$C$9:$R$257,10,FALSE))</f>
        <v/>
      </c>
      <c r="L240" s="310" t="str">
        <f>IF(B240="","",VLOOKUP($B240,'C-1 On-Site WaterC'' Baseline'!$C$9:$R$257,15,FALSE))</f>
        <v/>
      </c>
      <c r="M240" s="314" t="str">
        <f>IF(L240="","",VLOOKUP($B240,'C-1 On-Site WaterC'' Baseline'!$C$9:$R$257,16,FALSE))</f>
        <v/>
      </c>
      <c r="N240" s="259"/>
      <c r="O240" s="290" t="str">
        <f t="shared" si="28"/>
        <v/>
      </c>
      <c r="P240" s="291" t="str">
        <f t="shared" si="29"/>
        <v/>
      </c>
      <c r="Q240" s="346" t="str">
        <f>IF(N240="","",VLOOKUP(B240,'C-1 On-Site WaterC'' Baseline'!$C$10:$AC$257,20,FALSE))</f>
        <v/>
      </c>
      <c r="R240" s="290" t="str">
        <f>IF(N240="","",VLOOKUP(N240,'G-7 WaterC'' Data'!$B$2:$G$8,2,FALSE))</f>
        <v/>
      </c>
      <c r="S240" s="291" t="str">
        <f>IFERROR(VLOOKUP(R240,'G-7 WaterC'' Data'!$C$4:$D$8,2,FALSE),"")</f>
        <v/>
      </c>
      <c r="T240" s="95"/>
      <c r="U240" s="291" t="str">
        <f>IFERROR(INDEX('G-7 WaterC'' Data'!$H$4:$L$8,MATCH(N240,'G-7 WaterC'' Data'!$B$4:$B$8,0),MATCH(T240,'G-7 WaterC'' Data'!$H$3:$L$3,0)),"")</f>
        <v/>
      </c>
      <c r="V240" s="95"/>
      <c r="W240" s="298" t="str">
        <f>IF(V240="","",IF(VLOOKUP(V240,'G-7 WaterC'' Data'!$AK$4:$AM$6,2,FALSE)=0,"Spatial Data Missing ⚠",VLOOKUP(V240,'G-7 WaterC'' Data'!$AK$4:$AM$6,2,FALSE)))</f>
        <v/>
      </c>
      <c r="X240" s="291" t="str">
        <f>IF(V240="","",IF(VLOOKUP(V240,'G-7 WaterC'' Data'!$AK$4:$AM$6,3,FALSE)=0,"Spatial Data Missing ⚠",VLOOKUP(V240,'G-7 WaterC'' Data'!$AK$4:$AM$6,3,FALSE)))</f>
        <v/>
      </c>
      <c r="Y240" s="290" t="str">
        <f>IFERROR(IF(OR(LEFT(P240,5)="Error",LEFT(O240,5)="Error ▲"),"Check Data ⚠",IF(F240&lt;S240,'G-7 WaterC'' Data'!$R$3,INDEX('G-7 WaterC'' Data'!$U$5:$Y$9,MATCH(G240,'G-7 WaterC'' Data'!$T$5:$T$9,0),MATCH(T240,'G-7 WaterC'' Data'!$U$4:$Y$4,0)))),"")</f>
        <v/>
      </c>
      <c r="Z240" s="138"/>
      <c r="AA240" s="138"/>
      <c r="AB240" s="298" t="str">
        <f t="shared" si="30"/>
        <v/>
      </c>
      <c r="AC240" s="311" t="str">
        <f t="shared" si="31"/>
        <v/>
      </c>
      <c r="AD240" s="344" t="str">
        <f>IFERROR(IF(AC240="Check Data ⚠","Check Data ⚠",VLOOKUP(AC240,'G-4 Temporal multipliers'!$A$4:$C$37,3,FALSE)),"")</f>
        <v/>
      </c>
      <c r="AE240" s="290" t="str">
        <f>IF(N240="","",VLOOKUP(N240,'G-7 WaterC'' Data'!$B$4:$G$8,5,FALSE))</f>
        <v/>
      </c>
      <c r="AF240" s="298" t="str">
        <f t="shared" si="32"/>
        <v/>
      </c>
      <c r="AG240" s="328" t="str">
        <f t="shared" si="33"/>
        <v/>
      </c>
      <c r="AH240" s="291" t="str">
        <f t="shared" si="27"/>
        <v/>
      </c>
      <c r="AI240" s="103"/>
      <c r="AJ240" s="291" t="str">
        <f>IF(AI240="","",IF(AND(AI240="N/A - Culvert",N240&lt;&gt;"Culvert"),"Not possible ▲",IF(VLOOKUP(AI240,'G-7 WaterC'' Data'!$AA$4:$AB$7,2,FALSE)=0,"Spatial Data Missing ⚠",VLOOKUP(AI240,'G-7 WaterC'' Data'!$AA$4:$AB$7,2,FALSE))))</f>
        <v/>
      </c>
      <c r="AK240" s="104"/>
      <c r="AL240" s="291" t="str">
        <f>IF(AK240="","",IF(AND(AK240="N/A - Culvert",N240&lt;&gt;"Culvert"),"Not possible ▲",IF(VLOOKUP(AK240,'G-7 WaterC'' Data'!$AD$4:$AE$14,2,FALSE)=0,"Spatial Data Missing ⚠",VLOOKUP(AK240,'G-7 WaterC'' Data'!$AD$4:$AE$14,2,FALSE))))</f>
        <v/>
      </c>
      <c r="AM240" s="332" t="str">
        <f t="shared" si="34"/>
        <v/>
      </c>
      <c r="AN240" s="98"/>
      <c r="AO240" s="99"/>
      <c r="AP240" s="101"/>
      <c r="AS240" s="15" t="str">
        <f>IF(B240="","",IF(ISNA(VLOOKUP($B240,'C-1 On-Site WaterC'' Baseline'!$C$8:$AD$257,17,FALSE)),"",(VLOOKUP($B240,'C-1 On-Site WaterC'' Baseline'!$C$8:$AD$257,17,FALSE))))</f>
        <v/>
      </c>
      <c r="AT240" s="15" t="str">
        <f>IF(B240="","",VLOOKUP($B240,'C-1 On-Site WaterC'' Baseline'!$C$9:$Z$257,12,FALSE))</f>
        <v/>
      </c>
      <c r="AU240" s="15" t="str">
        <f>IF(B240="","",VLOOKUP($B240,'C-1 On-Site WaterC'' Baseline'!$C$9:$Z$257,14,FALSE))</f>
        <v/>
      </c>
      <c r="AV240" s="15" t="str">
        <f>IFERROR(INDEX('G-7 WaterC'' Data'!$AZ$3:$AZ$7,MATCH(N240,'G-7 WaterC'' Data'!$AY$3:$AY$7,0)),"")</f>
        <v/>
      </c>
      <c r="AX240" s="15" t="str">
        <f>IF(B240="","",VLOOKUP($B240,'C-1 On-Site WaterC'' Baseline'!$C$9:$Y$257,22,FALSE))</f>
        <v/>
      </c>
      <c r="AY240" s="15" t="str">
        <f t="shared" si="35"/>
        <v/>
      </c>
      <c r="AZ240" s="15" t="str">
        <f>IF(B240="","",VLOOKUP($B240,'C-1 On-Site WaterC'' Baseline'!$C$9:$Y$257,21,FALSE))</f>
        <v/>
      </c>
      <c r="BA240" s="15" t="str">
        <f>IF(B240="","",VLOOKUP($B240,'C-1 On-Site WaterC'' Baseline'!$C$9:$Y$257,19,FALSE))</f>
        <v/>
      </c>
    </row>
    <row r="241" spans="2:53" ht="14" x14ac:dyDescent="0.3">
      <c r="B241" s="319" t="str">
        <f>'C-1 On-Site WaterC'' Baseline'!AP239</f>
        <v/>
      </c>
      <c r="C241" s="310" t="str">
        <f>IF(B241="","",VLOOKUP($B241,'C-1 On-Site WaterC'' Baseline'!$C$9:$R$257,2,FALSE))</f>
        <v/>
      </c>
      <c r="D241" s="310" t="str">
        <f>IF(C241="","",VLOOKUP($B241,'C-1 On-Site WaterC'' Baseline'!$C$9:$R$257,3,FALSE))</f>
        <v/>
      </c>
      <c r="E241" s="310" t="str">
        <f>IF(D241="","",VLOOKUP($B241,'C-1 On-Site WaterC'' Baseline'!$C$9:$R$257,4,FALSE))</f>
        <v/>
      </c>
      <c r="F241" s="310" t="str">
        <f>IF(E241="","",VLOOKUP($B241,'C-1 On-Site WaterC'' Baseline'!$C$9:$R$257,5,FALSE))</f>
        <v/>
      </c>
      <c r="G241" s="310" t="str">
        <f>IF(F241="","",VLOOKUP($B241,'C-1 On-Site WaterC'' Baseline'!$C$9:$R$257,6,FALSE))</f>
        <v/>
      </c>
      <c r="H241" s="310" t="str">
        <f>IF(G241="","",VLOOKUP($B241,'C-1 On-Site WaterC'' Baseline'!$C$9:$R$257,7,FALSE))</f>
        <v/>
      </c>
      <c r="I241" s="310" t="str">
        <f>IF(H241="","",VLOOKUP($B241,'C-1 On-Site WaterC'' Baseline'!$C$9:$R$257,8,FALSE))</f>
        <v/>
      </c>
      <c r="J241" s="310" t="str">
        <f>IF(I241="","",VLOOKUP($B241,'C-1 On-Site WaterC'' Baseline'!$C$9:$R$257,9,FALSE))</f>
        <v/>
      </c>
      <c r="K241" s="310" t="str">
        <f>IF(J241="","",VLOOKUP($B241,'C-1 On-Site WaterC'' Baseline'!$C$9:$R$257,10,FALSE))</f>
        <v/>
      </c>
      <c r="L241" s="310" t="str">
        <f>IF(B241="","",VLOOKUP($B241,'C-1 On-Site WaterC'' Baseline'!$C$9:$R$257,15,FALSE))</f>
        <v/>
      </c>
      <c r="M241" s="314" t="str">
        <f>IF(L241="","",VLOOKUP($B241,'C-1 On-Site WaterC'' Baseline'!$C$9:$R$257,16,FALSE))</f>
        <v/>
      </c>
      <c r="N241" s="259"/>
      <c r="O241" s="290" t="str">
        <f t="shared" si="28"/>
        <v/>
      </c>
      <c r="P241" s="291" t="str">
        <f t="shared" si="29"/>
        <v/>
      </c>
      <c r="Q241" s="346" t="str">
        <f>IF(N241="","",VLOOKUP(B241,'C-1 On-Site WaterC'' Baseline'!$C$10:$AC$257,20,FALSE))</f>
        <v/>
      </c>
      <c r="R241" s="290" t="str">
        <f>IF(N241="","",VLOOKUP(N241,'G-7 WaterC'' Data'!$B$2:$G$8,2,FALSE))</f>
        <v/>
      </c>
      <c r="S241" s="291" t="str">
        <f>IFERROR(VLOOKUP(R241,'G-7 WaterC'' Data'!$C$4:$D$8,2,FALSE),"")</f>
        <v/>
      </c>
      <c r="T241" s="95"/>
      <c r="U241" s="291" t="str">
        <f>IFERROR(INDEX('G-7 WaterC'' Data'!$H$4:$L$8,MATCH(N241,'G-7 WaterC'' Data'!$B$4:$B$8,0),MATCH(T241,'G-7 WaterC'' Data'!$H$3:$L$3,0)),"")</f>
        <v/>
      </c>
      <c r="V241" s="95"/>
      <c r="W241" s="298" t="str">
        <f>IF(V241="","",IF(VLOOKUP(V241,'G-7 WaterC'' Data'!$AK$4:$AM$6,2,FALSE)=0,"Spatial Data Missing ⚠",VLOOKUP(V241,'G-7 WaterC'' Data'!$AK$4:$AM$6,2,FALSE)))</f>
        <v/>
      </c>
      <c r="X241" s="291" t="str">
        <f>IF(V241="","",IF(VLOOKUP(V241,'G-7 WaterC'' Data'!$AK$4:$AM$6,3,FALSE)=0,"Spatial Data Missing ⚠",VLOOKUP(V241,'G-7 WaterC'' Data'!$AK$4:$AM$6,3,FALSE)))</f>
        <v/>
      </c>
      <c r="Y241" s="290" t="str">
        <f>IFERROR(IF(OR(LEFT(P241,5)="Error",LEFT(O241,5)="Error ▲"),"Check Data ⚠",IF(F241&lt;S241,'G-7 WaterC'' Data'!$R$3,INDEX('G-7 WaterC'' Data'!$U$5:$Y$9,MATCH(G241,'G-7 WaterC'' Data'!$T$5:$T$9,0),MATCH(T241,'G-7 WaterC'' Data'!$U$4:$Y$4,0)))),"")</f>
        <v/>
      </c>
      <c r="Z241" s="138"/>
      <c r="AA241" s="138"/>
      <c r="AB241" s="298" t="str">
        <f t="shared" si="30"/>
        <v/>
      </c>
      <c r="AC241" s="311" t="str">
        <f t="shared" si="31"/>
        <v/>
      </c>
      <c r="AD241" s="344" t="str">
        <f>IFERROR(IF(AC241="Check Data ⚠","Check Data ⚠",VLOOKUP(AC241,'G-4 Temporal multipliers'!$A$4:$C$37,3,FALSE)),"")</f>
        <v/>
      </c>
      <c r="AE241" s="290" t="str">
        <f>IF(N241="","",VLOOKUP(N241,'G-7 WaterC'' Data'!$B$4:$G$8,5,FALSE))</f>
        <v/>
      </c>
      <c r="AF241" s="298" t="str">
        <f t="shared" si="32"/>
        <v/>
      </c>
      <c r="AG241" s="328" t="str">
        <f t="shared" si="33"/>
        <v/>
      </c>
      <c r="AH241" s="291" t="str">
        <f t="shared" si="27"/>
        <v/>
      </c>
      <c r="AI241" s="103"/>
      <c r="AJ241" s="291" t="str">
        <f>IF(AI241="","",IF(AND(AI241="N/A - Culvert",N241&lt;&gt;"Culvert"),"Not possible ▲",IF(VLOOKUP(AI241,'G-7 WaterC'' Data'!$AA$4:$AB$7,2,FALSE)=0,"Spatial Data Missing ⚠",VLOOKUP(AI241,'G-7 WaterC'' Data'!$AA$4:$AB$7,2,FALSE))))</f>
        <v/>
      </c>
      <c r="AK241" s="104"/>
      <c r="AL241" s="291" t="str">
        <f>IF(AK241="","",IF(AND(AK241="N/A - Culvert",N241&lt;&gt;"Culvert"),"Not possible ▲",IF(VLOOKUP(AK241,'G-7 WaterC'' Data'!$AD$4:$AE$14,2,FALSE)=0,"Spatial Data Missing ⚠",VLOOKUP(AK241,'G-7 WaterC'' Data'!$AD$4:$AE$14,2,FALSE))))</f>
        <v/>
      </c>
      <c r="AM241" s="332" t="str">
        <f t="shared" si="34"/>
        <v/>
      </c>
      <c r="AN241" s="98"/>
      <c r="AO241" s="99"/>
      <c r="AP241" s="101"/>
      <c r="AS241" s="15" t="str">
        <f>IF(B241="","",IF(ISNA(VLOOKUP($B241,'C-1 On-Site WaterC'' Baseline'!$C$8:$AD$257,17,FALSE)),"",(VLOOKUP($B241,'C-1 On-Site WaterC'' Baseline'!$C$8:$AD$257,17,FALSE))))</f>
        <v/>
      </c>
      <c r="AT241" s="15" t="str">
        <f>IF(B241="","",VLOOKUP($B241,'C-1 On-Site WaterC'' Baseline'!$C$9:$Z$257,12,FALSE))</f>
        <v/>
      </c>
      <c r="AU241" s="15" t="str">
        <f>IF(B241="","",VLOOKUP($B241,'C-1 On-Site WaterC'' Baseline'!$C$9:$Z$257,14,FALSE))</f>
        <v/>
      </c>
      <c r="AV241" s="15" t="str">
        <f>IFERROR(INDEX('G-7 WaterC'' Data'!$AZ$3:$AZ$7,MATCH(N241,'G-7 WaterC'' Data'!$AY$3:$AY$7,0)),"")</f>
        <v/>
      </c>
      <c r="AX241" s="15" t="str">
        <f>IF(B241="","",VLOOKUP($B241,'C-1 On-Site WaterC'' Baseline'!$C$9:$Y$257,22,FALSE))</f>
        <v/>
      </c>
      <c r="AY241" s="15" t="str">
        <f t="shared" si="35"/>
        <v/>
      </c>
      <c r="AZ241" s="15" t="str">
        <f>IF(B241="","",VLOOKUP($B241,'C-1 On-Site WaterC'' Baseline'!$C$9:$Y$257,21,FALSE))</f>
        <v/>
      </c>
      <c r="BA241" s="15" t="str">
        <f>IF(B241="","",VLOOKUP($B241,'C-1 On-Site WaterC'' Baseline'!$C$9:$Y$257,19,FALSE))</f>
        <v/>
      </c>
    </row>
    <row r="242" spans="2:53" ht="14" x14ac:dyDescent="0.3">
      <c r="B242" s="319" t="str">
        <f>'C-1 On-Site WaterC'' Baseline'!AP240</f>
        <v/>
      </c>
      <c r="C242" s="310" t="str">
        <f>IF(B242="","",VLOOKUP($B242,'C-1 On-Site WaterC'' Baseline'!$C$9:$R$257,2,FALSE))</f>
        <v/>
      </c>
      <c r="D242" s="310" t="str">
        <f>IF(C242="","",VLOOKUP($B242,'C-1 On-Site WaterC'' Baseline'!$C$9:$R$257,3,FALSE))</f>
        <v/>
      </c>
      <c r="E242" s="310" t="str">
        <f>IF(D242="","",VLOOKUP($B242,'C-1 On-Site WaterC'' Baseline'!$C$9:$R$257,4,FALSE))</f>
        <v/>
      </c>
      <c r="F242" s="310" t="str">
        <f>IF(E242="","",VLOOKUP($B242,'C-1 On-Site WaterC'' Baseline'!$C$9:$R$257,5,FALSE))</f>
        <v/>
      </c>
      <c r="G242" s="310" t="str">
        <f>IF(F242="","",VLOOKUP($B242,'C-1 On-Site WaterC'' Baseline'!$C$9:$R$257,6,FALSE))</f>
        <v/>
      </c>
      <c r="H242" s="310" t="str">
        <f>IF(G242="","",VLOOKUP($B242,'C-1 On-Site WaterC'' Baseline'!$C$9:$R$257,7,FALSE))</f>
        <v/>
      </c>
      <c r="I242" s="310" t="str">
        <f>IF(H242="","",VLOOKUP($B242,'C-1 On-Site WaterC'' Baseline'!$C$9:$R$257,8,FALSE))</f>
        <v/>
      </c>
      <c r="J242" s="310" t="str">
        <f>IF(I242="","",VLOOKUP($B242,'C-1 On-Site WaterC'' Baseline'!$C$9:$R$257,9,FALSE))</f>
        <v/>
      </c>
      <c r="K242" s="310" t="str">
        <f>IF(J242="","",VLOOKUP($B242,'C-1 On-Site WaterC'' Baseline'!$C$9:$R$257,10,FALSE))</f>
        <v/>
      </c>
      <c r="L242" s="310" t="str">
        <f>IF(B242="","",VLOOKUP($B242,'C-1 On-Site WaterC'' Baseline'!$C$9:$R$257,15,FALSE))</f>
        <v/>
      </c>
      <c r="M242" s="314" t="str">
        <f>IF(L242="","",VLOOKUP($B242,'C-1 On-Site WaterC'' Baseline'!$C$9:$R$257,16,FALSE))</f>
        <v/>
      </c>
      <c r="N242" s="259"/>
      <c r="O242" s="290" t="str">
        <f t="shared" si="28"/>
        <v/>
      </c>
      <c r="P242" s="291" t="str">
        <f t="shared" si="29"/>
        <v/>
      </c>
      <c r="Q242" s="346" t="str">
        <f>IF(N242="","",VLOOKUP(B242,'C-1 On-Site WaterC'' Baseline'!$C$10:$AC$257,20,FALSE))</f>
        <v/>
      </c>
      <c r="R242" s="290" t="str">
        <f>IF(N242="","",VLOOKUP(N242,'G-7 WaterC'' Data'!$B$2:$G$8,2,FALSE))</f>
        <v/>
      </c>
      <c r="S242" s="291" t="str">
        <f>IFERROR(VLOOKUP(R242,'G-7 WaterC'' Data'!$C$4:$D$8,2,FALSE),"")</f>
        <v/>
      </c>
      <c r="T242" s="95"/>
      <c r="U242" s="291" t="str">
        <f>IFERROR(INDEX('G-7 WaterC'' Data'!$H$4:$L$8,MATCH(N242,'G-7 WaterC'' Data'!$B$4:$B$8,0),MATCH(T242,'G-7 WaterC'' Data'!$H$3:$L$3,0)),"")</f>
        <v/>
      </c>
      <c r="V242" s="95"/>
      <c r="W242" s="298" t="str">
        <f>IF(V242="","",IF(VLOOKUP(V242,'G-7 WaterC'' Data'!$AK$4:$AM$6,2,FALSE)=0,"Spatial Data Missing ⚠",VLOOKUP(V242,'G-7 WaterC'' Data'!$AK$4:$AM$6,2,FALSE)))</f>
        <v/>
      </c>
      <c r="X242" s="291" t="str">
        <f>IF(V242="","",IF(VLOOKUP(V242,'G-7 WaterC'' Data'!$AK$4:$AM$6,3,FALSE)=0,"Spatial Data Missing ⚠",VLOOKUP(V242,'G-7 WaterC'' Data'!$AK$4:$AM$6,3,FALSE)))</f>
        <v/>
      </c>
      <c r="Y242" s="290" t="str">
        <f>IFERROR(IF(OR(LEFT(P242,5)="Error",LEFT(O242,5)="Error ▲"),"Check Data ⚠",IF(F242&lt;S242,'G-7 WaterC'' Data'!$R$3,INDEX('G-7 WaterC'' Data'!$U$5:$Y$9,MATCH(G242,'G-7 WaterC'' Data'!$T$5:$T$9,0),MATCH(T242,'G-7 WaterC'' Data'!$U$4:$Y$4,0)))),"")</f>
        <v/>
      </c>
      <c r="Z242" s="138"/>
      <c r="AA242" s="138"/>
      <c r="AB242" s="298" t="str">
        <f t="shared" si="30"/>
        <v/>
      </c>
      <c r="AC242" s="311" t="str">
        <f t="shared" si="31"/>
        <v/>
      </c>
      <c r="AD242" s="344" t="str">
        <f>IFERROR(IF(AC242="Check Data ⚠","Check Data ⚠",VLOOKUP(AC242,'G-4 Temporal multipliers'!$A$4:$C$37,3,FALSE)),"")</f>
        <v/>
      </c>
      <c r="AE242" s="290" t="str">
        <f>IF(N242="","",VLOOKUP(N242,'G-7 WaterC'' Data'!$B$4:$G$8,5,FALSE))</f>
        <v/>
      </c>
      <c r="AF242" s="298" t="str">
        <f t="shared" si="32"/>
        <v/>
      </c>
      <c r="AG242" s="328" t="str">
        <f t="shared" si="33"/>
        <v/>
      </c>
      <c r="AH242" s="291" t="str">
        <f t="shared" si="27"/>
        <v/>
      </c>
      <c r="AI242" s="103"/>
      <c r="AJ242" s="291" t="str">
        <f>IF(AI242="","",IF(AND(AI242="N/A - Culvert",N242&lt;&gt;"Culvert"),"Not possible ▲",IF(VLOOKUP(AI242,'G-7 WaterC'' Data'!$AA$4:$AB$7,2,FALSE)=0,"Spatial Data Missing ⚠",VLOOKUP(AI242,'G-7 WaterC'' Data'!$AA$4:$AB$7,2,FALSE))))</f>
        <v/>
      </c>
      <c r="AK242" s="104"/>
      <c r="AL242" s="291" t="str">
        <f>IF(AK242="","",IF(AND(AK242="N/A - Culvert",N242&lt;&gt;"Culvert"),"Not possible ▲",IF(VLOOKUP(AK242,'G-7 WaterC'' Data'!$AD$4:$AE$14,2,FALSE)=0,"Spatial Data Missing ⚠",VLOOKUP(AK242,'G-7 WaterC'' Data'!$AD$4:$AE$14,2,FALSE))))</f>
        <v/>
      </c>
      <c r="AM242" s="332" t="str">
        <f t="shared" si="34"/>
        <v/>
      </c>
      <c r="AN242" s="98"/>
      <c r="AO242" s="99"/>
      <c r="AP242" s="101"/>
      <c r="AS242" s="15" t="str">
        <f>IF(B242="","",IF(ISNA(VLOOKUP($B242,'C-1 On-Site WaterC'' Baseline'!$C$8:$AD$257,17,FALSE)),"",(VLOOKUP($B242,'C-1 On-Site WaterC'' Baseline'!$C$8:$AD$257,17,FALSE))))</f>
        <v/>
      </c>
      <c r="AT242" s="15" t="str">
        <f>IF(B242="","",VLOOKUP($B242,'C-1 On-Site WaterC'' Baseline'!$C$9:$Z$257,12,FALSE))</f>
        <v/>
      </c>
      <c r="AU242" s="15" t="str">
        <f>IF(B242="","",VLOOKUP($B242,'C-1 On-Site WaterC'' Baseline'!$C$9:$Z$257,14,FALSE))</f>
        <v/>
      </c>
      <c r="AV242" s="15" t="str">
        <f>IFERROR(INDEX('G-7 WaterC'' Data'!$AZ$3:$AZ$7,MATCH(N242,'G-7 WaterC'' Data'!$AY$3:$AY$7,0)),"")</f>
        <v/>
      </c>
      <c r="AX242" s="15" t="str">
        <f>IF(B242="","",VLOOKUP($B242,'C-1 On-Site WaterC'' Baseline'!$C$9:$Y$257,22,FALSE))</f>
        <v/>
      </c>
      <c r="AY242" s="15" t="str">
        <f t="shared" si="35"/>
        <v/>
      </c>
      <c r="AZ242" s="15" t="str">
        <f>IF(B242="","",VLOOKUP($B242,'C-1 On-Site WaterC'' Baseline'!$C$9:$Y$257,21,FALSE))</f>
        <v/>
      </c>
      <c r="BA242" s="15" t="str">
        <f>IF(B242="","",VLOOKUP($B242,'C-1 On-Site WaterC'' Baseline'!$C$9:$Y$257,19,FALSE))</f>
        <v/>
      </c>
    </row>
    <row r="243" spans="2:53" ht="14" x14ac:dyDescent="0.3">
      <c r="B243" s="319" t="str">
        <f>'C-1 On-Site WaterC'' Baseline'!AP241</f>
        <v/>
      </c>
      <c r="C243" s="310" t="str">
        <f>IF(B243="","",VLOOKUP($B243,'C-1 On-Site WaterC'' Baseline'!$C$9:$R$257,2,FALSE))</f>
        <v/>
      </c>
      <c r="D243" s="310" t="str">
        <f>IF(C243="","",VLOOKUP($B243,'C-1 On-Site WaterC'' Baseline'!$C$9:$R$257,3,FALSE))</f>
        <v/>
      </c>
      <c r="E243" s="310" t="str">
        <f>IF(D243="","",VLOOKUP($B243,'C-1 On-Site WaterC'' Baseline'!$C$9:$R$257,4,FALSE))</f>
        <v/>
      </c>
      <c r="F243" s="310" t="str">
        <f>IF(E243="","",VLOOKUP($B243,'C-1 On-Site WaterC'' Baseline'!$C$9:$R$257,5,FALSE))</f>
        <v/>
      </c>
      <c r="G243" s="310" t="str">
        <f>IF(F243="","",VLOOKUP($B243,'C-1 On-Site WaterC'' Baseline'!$C$9:$R$257,6,FALSE))</f>
        <v/>
      </c>
      <c r="H243" s="310" t="str">
        <f>IF(G243="","",VLOOKUP($B243,'C-1 On-Site WaterC'' Baseline'!$C$9:$R$257,7,FALSE))</f>
        <v/>
      </c>
      <c r="I243" s="310" t="str">
        <f>IF(H243="","",VLOOKUP($B243,'C-1 On-Site WaterC'' Baseline'!$C$9:$R$257,8,FALSE))</f>
        <v/>
      </c>
      <c r="J243" s="310" t="str">
        <f>IF(I243="","",VLOOKUP($B243,'C-1 On-Site WaterC'' Baseline'!$C$9:$R$257,9,FALSE))</f>
        <v/>
      </c>
      <c r="K243" s="310" t="str">
        <f>IF(J243="","",VLOOKUP($B243,'C-1 On-Site WaterC'' Baseline'!$C$9:$R$257,10,FALSE))</f>
        <v/>
      </c>
      <c r="L243" s="310" t="str">
        <f>IF(B243="","",VLOOKUP($B243,'C-1 On-Site WaterC'' Baseline'!$C$9:$R$257,15,FALSE))</f>
        <v/>
      </c>
      <c r="M243" s="314" t="str">
        <f>IF(L243="","",VLOOKUP($B243,'C-1 On-Site WaterC'' Baseline'!$C$9:$R$257,16,FALSE))</f>
        <v/>
      </c>
      <c r="N243" s="259"/>
      <c r="O243" s="290" t="str">
        <f t="shared" si="28"/>
        <v/>
      </c>
      <c r="P243" s="291" t="str">
        <f t="shared" si="29"/>
        <v/>
      </c>
      <c r="Q243" s="346" t="str">
        <f>IF(N243="","",VLOOKUP(B243,'C-1 On-Site WaterC'' Baseline'!$C$10:$AC$257,20,FALSE))</f>
        <v/>
      </c>
      <c r="R243" s="290" t="str">
        <f>IF(N243="","",VLOOKUP(N243,'G-7 WaterC'' Data'!$B$2:$G$8,2,FALSE))</f>
        <v/>
      </c>
      <c r="S243" s="291" t="str">
        <f>IFERROR(VLOOKUP(R243,'G-7 WaterC'' Data'!$C$4:$D$8,2,FALSE),"")</f>
        <v/>
      </c>
      <c r="T243" s="95"/>
      <c r="U243" s="291" t="str">
        <f>IFERROR(INDEX('G-7 WaterC'' Data'!$H$4:$L$8,MATCH(N243,'G-7 WaterC'' Data'!$B$4:$B$8,0),MATCH(T243,'G-7 WaterC'' Data'!$H$3:$L$3,0)),"")</f>
        <v/>
      </c>
      <c r="V243" s="95"/>
      <c r="W243" s="298" t="str">
        <f>IF(V243="","",IF(VLOOKUP(V243,'G-7 WaterC'' Data'!$AK$4:$AM$6,2,FALSE)=0,"Spatial Data Missing ⚠",VLOOKUP(V243,'G-7 WaterC'' Data'!$AK$4:$AM$6,2,FALSE)))</f>
        <v/>
      </c>
      <c r="X243" s="291" t="str">
        <f>IF(V243="","",IF(VLOOKUP(V243,'G-7 WaterC'' Data'!$AK$4:$AM$6,3,FALSE)=0,"Spatial Data Missing ⚠",VLOOKUP(V243,'G-7 WaterC'' Data'!$AK$4:$AM$6,3,FALSE)))</f>
        <v/>
      </c>
      <c r="Y243" s="290" t="str">
        <f>IFERROR(IF(OR(LEFT(P243,5)="Error",LEFT(O243,5)="Error ▲"),"Check Data ⚠",IF(F243&lt;S243,'G-7 WaterC'' Data'!$R$3,INDEX('G-7 WaterC'' Data'!$U$5:$Y$9,MATCH(G243,'G-7 WaterC'' Data'!$T$5:$T$9,0),MATCH(T243,'G-7 WaterC'' Data'!$U$4:$Y$4,0)))),"")</f>
        <v/>
      </c>
      <c r="Z243" s="138"/>
      <c r="AA243" s="138"/>
      <c r="AB243" s="298" t="str">
        <f t="shared" si="30"/>
        <v/>
      </c>
      <c r="AC243" s="311" t="str">
        <f t="shared" si="31"/>
        <v/>
      </c>
      <c r="AD243" s="344" t="str">
        <f>IFERROR(IF(AC243="Check Data ⚠","Check Data ⚠",VLOOKUP(AC243,'G-4 Temporal multipliers'!$A$4:$C$37,3,FALSE)),"")</f>
        <v/>
      </c>
      <c r="AE243" s="290" t="str">
        <f>IF(N243="","",VLOOKUP(N243,'G-7 WaterC'' Data'!$B$4:$G$8,5,FALSE))</f>
        <v/>
      </c>
      <c r="AF243" s="298" t="str">
        <f t="shared" si="32"/>
        <v/>
      </c>
      <c r="AG243" s="328" t="str">
        <f t="shared" si="33"/>
        <v/>
      </c>
      <c r="AH243" s="291" t="str">
        <f t="shared" si="27"/>
        <v/>
      </c>
      <c r="AI243" s="103"/>
      <c r="AJ243" s="291" t="str">
        <f>IF(AI243="","",IF(AND(AI243="N/A - Culvert",N243&lt;&gt;"Culvert"),"Not possible ▲",IF(VLOOKUP(AI243,'G-7 WaterC'' Data'!$AA$4:$AB$7,2,FALSE)=0,"Spatial Data Missing ⚠",VLOOKUP(AI243,'G-7 WaterC'' Data'!$AA$4:$AB$7,2,FALSE))))</f>
        <v/>
      </c>
      <c r="AK243" s="104"/>
      <c r="AL243" s="291" t="str">
        <f>IF(AK243="","",IF(AND(AK243="N/A - Culvert",N243&lt;&gt;"Culvert"),"Not possible ▲",IF(VLOOKUP(AK243,'G-7 WaterC'' Data'!$AD$4:$AE$14,2,FALSE)=0,"Spatial Data Missing ⚠",VLOOKUP(AK243,'G-7 WaterC'' Data'!$AD$4:$AE$14,2,FALSE))))</f>
        <v/>
      </c>
      <c r="AM243" s="332" t="str">
        <f t="shared" si="34"/>
        <v/>
      </c>
      <c r="AN243" s="98"/>
      <c r="AO243" s="99"/>
      <c r="AP243" s="101"/>
      <c r="AS243" s="15" t="str">
        <f>IF(B243="","",IF(ISNA(VLOOKUP($B243,'C-1 On-Site WaterC'' Baseline'!$C$8:$AD$257,17,FALSE)),"",(VLOOKUP($B243,'C-1 On-Site WaterC'' Baseline'!$C$8:$AD$257,17,FALSE))))</f>
        <v/>
      </c>
      <c r="AT243" s="15" t="str">
        <f>IF(B243="","",VLOOKUP($B243,'C-1 On-Site WaterC'' Baseline'!$C$9:$Z$257,12,FALSE))</f>
        <v/>
      </c>
      <c r="AU243" s="15" t="str">
        <f>IF(B243="","",VLOOKUP($B243,'C-1 On-Site WaterC'' Baseline'!$C$9:$Z$257,14,FALSE))</f>
        <v/>
      </c>
      <c r="AV243" s="15" t="str">
        <f>IFERROR(INDEX('G-7 WaterC'' Data'!$AZ$3:$AZ$7,MATCH(N243,'G-7 WaterC'' Data'!$AY$3:$AY$7,0)),"")</f>
        <v/>
      </c>
      <c r="AX243" s="15" t="str">
        <f>IF(B243="","",VLOOKUP($B243,'C-1 On-Site WaterC'' Baseline'!$C$9:$Y$257,22,FALSE))</f>
        <v/>
      </c>
      <c r="AY243" s="15" t="str">
        <f t="shared" si="35"/>
        <v/>
      </c>
      <c r="AZ243" s="15" t="str">
        <f>IF(B243="","",VLOOKUP($B243,'C-1 On-Site WaterC'' Baseline'!$C$9:$Y$257,21,FALSE))</f>
        <v/>
      </c>
      <c r="BA243" s="15" t="str">
        <f>IF(B243="","",VLOOKUP($B243,'C-1 On-Site WaterC'' Baseline'!$C$9:$Y$257,19,FALSE))</f>
        <v/>
      </c>
    </row>
    <row r="244" spans="2:53" ht="14" x14ac:dyDescent="0.3">
      <c r="B244" s="319" t="str">
        <f>'C-1 On-Site WaterC'' Baseline'!AP242</f>
        <v/>
      </c>
      <c r="C244" s="310" t="str">
        <f>IF(B244="","",VLOOKUP($B244,'C-1 On-Site WaterC'' Baseline'!$C$9:$R$257,2,FALSE))</f>
        <v/>
      </c>
      <c r="D244" s="310" t="str">
        <f>IF(C244="","",VLOOKUP($B244,'C-1 On-Site WaterC'' Baseline'!$C$9:$R$257,3,FALSE))</f>
        <v/>
      </c>
      <c r="E244" s="310" t="str">
        <f>IF(D244="","",VLOOKUP($B244,'C-1 On-Site WaterC'' Baseline'!$C$9:$R$257,4,FALSE))</f>
        <v/>
      </c>
      <c r="F244" s="310" t="str">
        <f>IF(E244="","",VLOOKUP($B244,'C-1 On-Site WaterC'' Baseline'!$C$9:$R$257,5,FALSE))</f>
        <v/>
      </c>
      <c r="G244" s="310" t="str">
        <f>IF(F244="","",VLOOKUP($B244,'C-1 On-Site WaterC'' Baseline'!$C$9:$R$257,6,FALSE))</f>
        <v/>
      </c>
      <c r="H244" s="310" t="str">
        <f>IF(G244="","",VLOOKUP($B244,'C-1 On-Site WaterC'' Baseline'!$C$9:$R$257,7,FALSE))</f>
        <v/>
      </c>
      <c r="I244" s="310" t="str">
        <f>IF(H244="","",VLOOKUP($B244,'C-1 On-Site WaterC'' Baseline'!$C$9:$R$257,8,FALSE))</f>
        <v/>
      </c>
      <c r="J244" s="310" t="str">
        <f>IF(I244="","",VLOOKUP($B244,'C-1 On-Site WaterC'' Baseline'!$C$9:$R$257,9,FALSE))</f>
        <v/>
      </c>
      <c r="K244" s="310" t="str">
        <f>IF(J244="","",VLOOKUP($B244,'C-1 On-Site WaterC'' Baseline'!$C$9:$R$257,10,FALSE))</f>
        <v/>
      </c>
      <c r="L244" s="310" t="str">
        <f>IF(B244="","",VLOOKUP($B244,'C-1 On-Site WaterC'' Baseline'!$C$9:$R$257,15,FALSE))</f>
        <v/>
      </c>
      <c r="M244" s="314" t="str">
        <f>IF(L244="","",VLOOKUP($B244,'C-1 On-Site WaterC'' Baseline'!$C$9:$R$257,16,FALSE))</f>
        <v/>
      </c>
      <c r="N244" s="259"/>
      <c r="O244" s="290" t="str">
        <f t="shared" si="28"/>
        <v/>
      </c>
      <c r="P244" s="291" t="str">
        <f t="shared" si="29"/>
        <v/>
      </c>
      <c r="Q244" s="346" t="str">
        <f>IF(N244="","",VLOOKUP(B244,'C-1 On-Site WaterC'' Baseline'!$C$10:$AC$257,20,FALSE))</f>
        <v/>
      </c>
      <c r="R244" s="290" t="str">
        <f>IF(N244="","",VLOOKUP(N244,'G-7 WaterC'' Data'!$B$2:$G$8,2,FALSE))</f>
        <v/>
      </c>
      <c r="S244" s="291" t="str">
        <f>IFERROR(VLOOKUP(R244,'G-7 WaterC'' Data'!$C$4:$D$8,2,FALSE),"")</f>
        <v/>
      </c>
      <c r="T244" s="95"/>
      <c r="U244" s="291" t="str">
        <f>IFERROR(INDEX('G-7 WaterC'' Data'!$H$4:$L$8,MATCH(N244,'G-7 WaterC'' Data'!$B$4:$B$8,0),MATCH(T244,'G-7 WaterC'' Data'!$H$3:$L$3,0)),"")</f>
        <v/>
      </c>
      <c r="V244" s="95"/>
      <c r="W244" s="298" t="str">
        <f>IF(V244="","",IF(VLOOKUP(V244,'G-7 WaterC'' Data'!$AK$4:$AM$6,2,FALSE)=0,"Spatial Data Missing ⚠",VLOOKUP(V244,'G-7 WaterC'' Data'!$AK$4:$AM$6,2,FALSE)))</f>
        <v/>
      </c>
      <c r="X244" s="291" t="str">
        <f>IF(V244="","",IF(VLOOKUP(V244,'G-7 WaterC'' Data'!$AK$4:$AM$6,3,FALSE)=0,"Spatial Data Missing ⚠",VLOOKUP(V244,'G-7 WaterC'' Data'!$AK$4:$AM$6,3,FALSE)))</f>
        <v/>
      </c>
      <c r="Y244" s="290" t="str">
        <f>IFERROR(IF(OR(LEFT(P244,5)="Error",LEFT(O244,5)="Error ▲"),"Check Data ⚠",IF(F244&lt;S244,'G-7 WaterC'' Data'!$R$3,INDEX('G-7 WaterC'' Data'!$U$5:$Y$9,MATCH(G244,'G-7 WaterC'' Data'!$T$5:$T$9,0),MATCH(T244,'G-7 WaterC'' Data'!$U$4:$Y$4,0)))),"")</f>
        <v/>
      </c>
      <c r="Z244" s="138"/>
      <c r="AA244" s="138"/>
      <c r="AB244" s="298" t="str">
        <f t="shared" si="30"/>
        <v/>
      </c>
      <c r="AC244" s="311" t="str">
        <f t="shared" si="31"/>
        <v/>
      </c>
      <c r="AD244" s="344" t="str">
        <f>IFERROR(IF(AC244="Check Data ⚠","Check Data ⚠",VLOOKUP(AC244,'G-4 Temporal multipliers'!$A$4:$C$37,3,FALSE)),"")</f>
        <v/>
      </c>
      <c r="AE244" s="290" t="str">
        <f>IF(N244="","",VLOOKUP(N244,'G-7 WaterC'' Data'!$B$4:$G$8,5,FALSE))</f>
        <v/>
      </c>
      <c r="AF244" s="298" t="str">
        <f t="shared" si="32"/>
        <v/>
      </c>
      <c r="AG244" s="328" t="str">
        <f t="shared" si="33"/>
        <v/>
      </c>
      <c r="AH244" s="291" t="str">
        <f t="shared" si="27"/>
        <v/>
      </c>
      <c r="AI244" s="103"/>
      <c r="AJ244" s="291" t="str">
        <f>IF(AI244="","",IF(AND(AI244="N/A - Culvert",N244&lt;&gt;"Culvert"),"Not possible ▲",IF(VLOOKUP(AI244,'G-7 WaterC'' Data'!$AA$4:$AB$7,2,FALSE)=0,"Spatial Data Missing ⚠",VLOOKUP(AI244,'G-7 WaterC'' Data'!$AA$4:$AB$7,2,FALSE))))</f>
        <v/>
      </c>
      <c r="AK244" s="104"/>
      <c r="AL244" s="291" t="str">
        <f>IF(AK244="","",IF(AND(AK244="N/A - Culvert",N244&lt;&gt;"Culvert"),"Not possible ▲",IF(VLOOKUP(AK244,'G-7 WaterC'' Data'!$AD$4:$AE$14,2,FALSE)=0,"Spatial Data Missing ⚠",VLOOKUP(AK244,'G-7 WaterC'' Data'!$AD$4:$AE$14,2,FALSE))))</f>
        <v/>
      </c>
      <c r="AM244" s="332" t="str">
        <f t="shared" si="34"/>
        <v/>
      </c>
      <c r="AN244" s="98"/>
      <c r="AO244" s="99"/>
      <c r="AP244" s="101"/>
      <c r="AS244" s="15" t="str">
        <f>IF(B244="","",IF(ISNA(VLOOKUP($B244,'C-1 On-Site WaterC'' Baseline'!$C$8:$AD$257,17,FALSE)),"",(VLOOKUP($B244,'C-1 On-Site WaterC'' Baseline'!$C$8:$AD$257,17,FALSE))))</f>
        <v/>
      </c>
      <c r="AT244" s="15" t="str">
        <f>IF(B244="","",VLOOKUP($B244,'C-1 On-Site WaterC'' Baseline'!$C$9:$Z$257,12,FALSE))</f>
        <v/>
      </c>
      <c r="AU244" s="15" t="str">
        <f>IF(B244="","",VLOOKUP($B244,'C-1 On-Site WaterC'' Baseline'!$C$9:$Z$257,14,FALSE))</f>
        <v/>
      </c>
      <c r="AV244" s="15" t="str">
        <f>IFERROR(INDEX('G-7 WaterC'' Data'!$AZ$3:$AZ$7,MATCH(N244,'G-7 WaterC'' Data'!$AY$3:$AY$7,0)),"")</f>
        <v/>
      </c>
      <c r="AX244" s="15" t="str">
        <f>IF(B244="","",VLOOKUP($B244,'C-1 On-Site WaterC'' Baseline'!$C$9:$Y$257,22,FALSE))</f>
        <v/>
      </c>
      <c r="AY244" s="15" t="str">
        <f t="shared" si="35"/>
        <v/>
      </c>
      <c r="AZ244" s="15" t="str">
        <f>IF(B244="","",VLOOKUP($B244,'C-1 On-Site WaterC'' Baseline'!$C$9:$Y$257,21,FALSE))</f>
        <v/>
      </c>
      <c r="BA244" s="15" t="str">
        <f>IF(B244="","",VLOOKUP($B244,'C-1 On-Site WaterC'' Baseline'!$C$9:$Y$257,19,FALSE))</f>
        <v/>
      </c>
    </row>
    <row r="245" spans="2:53" ht="14" x14ac:dyDescent="0.3">
      <c r="B245" s="319" t="str">
        <f>'C-1 On-Site WaterC'' Baseline'!AP243</f>
        <v/>
      </c>
      <c r="C245" s="310" t="str">
        <f>IF(B245="","",VLOOKUP($B245,'C-1 On-Site WaterC'' Baseline'!$C$9:$R$257,2,FALSE))</f>
        <v/>
      </c>
      <c r="D245" s="310" t="str">
        <f>IF(C245="","",VLOOKUP($B245,'C-1 On-Site WaterC'' Baseline'!$C$9:$R$257,3,FALSE))</f>
        <v/>
      </c>
      <c r="E245" s="310" t="str">
        <f>IF(D245="","",VLOOKUP($B245,'C-1 On-Site WaterC'' Baseline'!$C$9:$R$257,4,FALSE))</f>
        <v/>
      </c>
      <c r="F245" s="310" t="str">
        <f>IF(E245="","",VLOOKUP($B245,'C-1 On-Site WaterC'' Baseline'!$C$9:$R$257,5,FALSE))</f>
        <v/>
      </c>
      <c r="G245" s="310" t="str">
        <f>IF(F245="","",VLOOKUP($B245,'C-1 On-Site WaterC'' Baseline'!$C$9:$R$257,6,FALSE))</f>
        <v/>
      </c>
      <c r="H245" s="310" t="str">
        <f>IF(G245="","",VLOOKUP($B245,'C-1 On-Site WaterC'' Baseline'!$C$9:$R$257,7,FALSE))</f>
        <v/>
      </c>
      <c r="I245" s="310" t="str">
        <f>IF(H245="","",VLOOKUP($B245,'C-1 On-Site WaterC'' Baseline'!$C$9:$R$257,8,FALSE))</f>
        <v/>
      </c>
      <c r="J245" s="310" t="str">
        <f>IF(I245="","",VLOOKUP($B245,'C-1 On-Site WaterC'' Baseline'!$C$9:$R$257,9,FALSE))</f>
        <v/>
      </c>
      <c r="K245" s="310" t="str">
        <f>IF(J245="","",VLOOKUP($B245,'C-1 On-Site WaterC'' Baseline'!$C$9:$R$257,10,FALSE))</f>
        <v/>
      </c>
      <c r="L245" s="310" t="str">
        <f>IF(B245="","",VLOOKUP($B245,'C-1 On-Site WaterC'' Baseline'!$C$9:$R$257,15,FALSE))</f>
        <v/>
      </c>
      <c r="M245" s="314" t="str">
        <f>IF(L245="","",VLOOKUP($B245,'C-1 On-Site WaterC'' Baseline'!$C$9:$R$257,16,FALSE))</f>
        <v/>
      </c>
      <c r="N245" s="259"/>
      <c r="O245" s="290" t="str">
        <f t="shared" si="28"/>
        <v/>
      </c>
      <c r="P245" s="291" t="str">
        <f t="shared" si="29"/>
        <v/>
      </c>
      <c r="Q245" s="346" t="str">
        <f>IF(N245="","",VLOOKUP(B245,'C-1 On-Site WaterC'' Baseline'!$C$10:$AC$257,20,FALSE))</f>
        <v/>
      </c>
      <c r="R245" s="290" t="str">
        <f>IF(N245="","",VLOOKUP(N245,'G-7 WaterC'' Data'!$B$2:$G$8,2,FALSE))</f>
        <v/>
      </c>
      <c r="S245" s="291" t="str">
        <f>IFERROR(VLOOKUP(R245,'G-7 WaterC'' Data'!$C$4:$D$8,2,FALSE),"")</f>
        <v/>
      </c>
      <c r="T245" s="95"/>
      <c r="U245" s="291" t="str">
        <f>IFERROR(INDEX('G-7 WaterC'' Data'!$H$4:$L$8,MATCH(N245,'G-7 WaterC'' Data'!$B$4:$B$8,0),MATCH(T245,'G-7 WaterC'' Data'!$H$3:$L$3,0)),"")</f>
        <v/>
      </c>
      <c r="V245" s="95"/>
      <c r="W245" s="298" t="str">
        <f>IF(V245="","",IF(VLOOKUP(V245,'G-7 WaterC'' Data'!$AK$4:$AM$6,2,FALSE)=0,"Spatial Data Missing ⚠",VLOOKUP(V245,'G-7 WaterC'' Data'!$AK$4:$AM$6,2,FALSE)))</f>
        <v/>
      </c>
      <c r="X245" s="291" t="str">
        <f>IF(V245="","",IF(VLOOKUP(V245,'G-7 WaterC'' Data'!$AK$4:$AM$6,3,FALSE)=0,"Spatial Data Missing ⚠",VLOOKUP(V245,'G-7 WaterC'' Data'!$AK$4:$AM$6,3,FALSE)))</f>
        <v/>
      </c>
      <c r="Y245" s="290" t="str">
        <f>IFERROR(IF(OR(LEFT(P245,5)="Error",LEFT(O245,5)="Error ▲"),"Check Data ⚠",IF(F245&lt;S245,'G-7 WaterC'' Data'!$R$3,INDEX('G-7 WaterC'' Data'!$U$5:$Y$9,MATCH(G245,'G-7 WaterC'' Data'!$T$5:$T$9,0),MATCH(T245,'G-7 WaterC'' Data'!$U$4:$Y$4,0)))),"")</f>
        <v/>
      </c>
      <c r="Z245" s="138"/>
      <c r="AA245" s="138"/>
      <c r="AB245" s="298" t="str">
        <f t="shared" si="30"/>
        <v/>
      </c>
      <c r="AC245" s="311" t="str">
        <f t="shared" si="31"/>
        <v/>
      </c>
      <c r="AD245" s="344" t="str">
        <f>IFERROR(IF(AC245="Check Data ⚠","Check Data ⚠",VLOOKUP(AC245,'G-4 Temporal multipliers'!$A$4:$C$37,3,FALSE)),"")</f>
        <v/>
      </c>
      <c r="AE245" s="290" t="str">
        <f>IF(N245="","",VLOOKUP(N245,'G-7 WaterC'' Data'!$B$4:$G$8,5,FALSE))</f>
        <v/>
      </c>
      <c r="AF245" s="298" t="str">
        <f t="shared" si="32"/>
        <v/>
      </c>
      <c r="AG245" s="328" t="str">
        <f t="shared" si="33"/>
        <v/>
      </c>
      <c r="AH245" s="291" t="str">
        <f t="shared" si="27"/>
        <v/>
      </c>
      <c r="AI245" s="103"/>
      <c r="AJ245" s="291" t="str">
        <f>IF(AI245="","",IF(AND(AI245="N/A - Culvert",N245&lt;&gt;"Culvert"),"Not possible ▲",IF(VLOOKUP(AI245,'G-7 WaterC'' Data'!$AA$4:$AB$7,2,FALSE)=0,"Spatial Data Missing ⚠",VLOOKUP(AI245,'G-7 WaterC'' Data'!$AA$4:$AB$7,2,FALSE))))</f>
        <v/>
      </c>
      <c r="AK245" s="104"/>
      <c r="AL245" s="291" t="str">
        <f>IF(AK245="","",IF(AND(AK245="N/A - Culvert",N245&lt;&gt;"Culvert"),"Not possible ▲",IF(VLOOKUP(AK245,'G-7 WaterC'' Data'!$AD$4:$AE$14,2,FALSE)=0,"Spatial Data Missing ⚠",VLOOKUP(AK245,'G-7 WaterC'' Data'!$AD$4:$AE$14,2,FALSE))))</f>
        <v/>
      </c>
      <c r="AM245" s="332" t="str">
        <f t="shared" si="34"/>
        <v/>
      </c>
      <c r="AN245" s="98"/>
      <c r="AO245" s="99"/>
      <c r="AP245" s="101"/>
      <c r="AS245" s="15" t="str">
        <f>IF(B245="","",IF(ISNA(VLOOKUP($B245,'C-1 On-Site WaterC'' Baseline'!$C$8:$AD$257,17,FALSE)),"",(VLOOKUP($B245,'C-1 On-Site WaterC'' Baseline'!$C$8:$AD$257,17,FALSE))))</f>
        <v/>
      </c>
      <c r="AT245" s="15" t="str">
        <f>IF(B245="","",VLOOKUP($B245,'C-1 On-Site WaterC'' Baseline'!$C$9:$Z$257,12,FALSE))</f>
        <v/>
      </c>
      <c r="AU245" s="15" t="str">
        <f>IF(B245="","",VLOOKUP($B245,'C-1 On-Site WaterC'' Baseline'!$C$9:$Z$257,14,FALSE))</f>
        <v/>
      </c>
      <c r="AV245" s="15" t="str">
        <f>IFERROR(INDEX('G-7 WaterC'' Data'!$AZ$3:$AZ$7,MATCH(N245,'G-7 WaterC'' Data'!$AY$3:$AY$7,0)),"")</f>
        <v/>
      </c>
      <c r="AX245" s="15" t="str">
        <f>IF(B245="","",VLOOKUP($B245,'C-1 On-Site WaterC'' Baseline'!$C$9:$Y$257,22,FALSE))</f>
        <v/>
      </c>
      <c r="AY245" s="15" t="str">
        <f t="shared" si="35"/>
        <v/>
      </c>
      <c r="AZ245" s="15" t="str">
        <f>IF(B245="","",VLOOKUP($B245,'C-1 On-Site WaterC'' Baseline'!$C$9:$Y$257,21,FALSE))</f>
        <v/>
      </c>
      <c r="BA245" s="15" t="str">
        <f>IF(B245="","",VLOOKUP($B245,'C-1 On-Site WaterC'' Baseline'!$C$9:$Y$257,19,FALSE))</f>
        <v/>
      </c>
    </row>
    <row r="246" spans="2:53" ht="14" x14ac:dyDescent="0.3">
      <c r="B246" s="319" t="str">
        <f>'C-1 On-Site WaterC'' Baseline'!AP244</f>
        <v/>
      </c>
      <c r="C246" s="310" t="str">
        <f>IF(B246="","",VLOOKUP($B246,'C-1 On-Site WaterC'' Baseline'!$C$9:$R$257,2,FALSE))</f>
        <v/>
      </c>
      <c r="D246" s="310" t="str">
        <f>IF(C246="","",VLOOKUP($B246,'C-1 On-Site WaterC'' Baseline'!$C$9:$R$257,3,FALSE))</f>
        <v/>
      </c>
      <c r="E246" s="310" t="str">
        <f>IF(D246="","",VLOOKUP($B246,'C-1 On-Site WaterC'' Baseline'!$C$9:$R$257,4,FALSE))</f>
        <v/>
      </c>
      <c r="F246" s="310" t="str">
        <f>IF(E246="","",VLOOKUP($B246,'C-1 On-Site WaterC'' Baseline'!$C$9:$R$257,5,FALSE))</f>
        <v/>
      </c>
      <c r="G246" s="310" t="str">
        <f>IF(F246="","",VLOOKUP($B246,'C-1 On-Site WaterC'' Baseline'!$C$9:$R$257,6,FALSE))</f>
        <v/>
      </c>
      <c r="H246" s="310" t="str">
        <f>IF(G246="","",VLOOKUP($B246,'C-1 On-Site WaterC'' Baseline'!$C$9:$R$257,7,FALSE))</f>
        <v/>
      </c>
      <c r="I246" s="310" t="str">
        <f>IF(H246="","",VLOOKUP($B246,'C-1 On-Site WaterC'' Baseline'!$C$9:$R$257,8,FALSE))</f>
        <v/>
      </c>
      <c r="J246" s="310" t="str">
        <f>IF(I246="","",VLOOKUP($B246,'C-1 On-Site WaterC'' Baseline'!$C$9:$R$257,9,FALSE))</f>
        <v/>
      </c>
      <c r="K246" s="310" t="str">
        <f>IF(J246="","",VLOOKUP($B246,'C-1 On-Site WaterC'' Baseline'!$C$9:$R$257,10,FALSE))</f>
        <v/>
      </c>
      <c r="L246" s="310" t="str">
        <f>IF(B246="","",VLOOKUP($B246,'C-1 On-Site WaterC'' Baseline'!$C$9:$R$257,15,FALSE))</f>
        <v/>
      </c>
      <c r="M246" s="314" t="str">
        <f>IF(L246="","",VLOOKUP($B246,'C-1 On-Site WaterC'' Baseline'!$C$9:$R$257,16,FALSE))</f>
        <v/>
      </c>
      <c r="N246" s="259"/>
      <c r="O246" s="290" t="str">
        <f t="shared" si="28"/>
        <v/>
      </c>
      <c r="P246" s="291" t="str">
        <f t="shared" si="29"/>
        <v/>
      </c>
      <c r="Q246" s="346" t="str">
        <f>IF(N246="","",VLOOKUP(B246,'C-1 On-Site WaterC'' Baseline'!$C$10:$AC$257,20,FALSE))</f>
        <v/>
      </c>
      <c r="R246" s="290" t="str">
        <f>IF(N246="","",VLOOKUP(N246,'G-7 WaterC'' Data'!$B$2:$G$8,2,FALSE))</f>
        <v/>
      </c>
      <c r="S246" s="291" t="str">
        <f>IFERROR(VLOOKUP(R246,'G-7 WaterC'' Data'!$C$4:$D$8,2,FALSE),"")</f>
        <v/>
      </c>
      <c r="T246" s="95"/>
      <c r="U246" s="291" t="str">
        <f>IFERROR(INDEX('G-7 WaterC'' Data'!$H$4:$L$8,MATCH(N246,'G-7 WaterC'' Data'!$B$4:$B$8,0),MATCH(T246,'G-7 WaterC'' Data'!$H$3:$L$3,0)),"")</f>
        <v/>
      </c>
      <c r="V246" s="95"/>
      <c r="W246" s="298" t="str">
        <f>IF(V246="","",IF(VLOOKUP(V246,'G-7 WaterC'' Data'!$AK$4:$AM$6,2,FALSE)=0,"Spatial Data Missing ⚠",VLOOKUP(V246,'G-7 WaterC'' Data'!$AK$4:$AM$6,2,FALSE)))</f>
        <v/>
      </c>
      <c r="X246" s="291" t="str">
        <f>IF(V246="","",IF(VLOOKUP(V246,'G-7 WaterC'' Data'!$AK$4:$AM$6,3,FALSE)=0,"Spatial Data Missing ⚠",VLOOKUP(V246,'G-7 WaterC'' Data'!$AK$4:$AM$6,3,FALSE)))</f>
        <v/>
      </c>
      <c r="Y246" s="290" t="str">
        <f>IFERROR(IF(OR(LEFT(P246,5)="Error",LEFT(O246,5)="Error ▲"),"Check Data ⚠",IF(F246&lt;S246,'G-7 WaterC'' Data'!$R$3,INDEX('G-7 WaterC'' Data'!$U$5:$Y$9,MATCH(G246,'G-7 WaterC'' Data'!$T$5:$T$9,0),MATCH(T246,'G-7 WaterC'' Data'!$U$4:$Y$4,0)))),"")</f>
        <v/>
      </c>
      <c r="Z246" s="138"/>
      <c r="AA246" s="138"/>
      <c r="AB246" s="298" t="str">
        <f t="shared" si="30"/>
        <v/>
      </c>
      <c r="AC246" s="311" t="str">
        <f t="shared" si="31"/>
        <v/>
      </c>
      <c r="AD246" s="344" t="str">
        <f>IFERROR(IF(AC246="Check Data ⚠","Check Data ⚠",VLOOKUP(AC246,'G-4 Temporal multipliers'!$A$4:$C$37,3,FALSE)),"")</f>
        <v/>
      </c>
      <c r="AE246" s="290" t="str">
        <f>IF(N246="","",VLOOKUP(N246,'G-7 WaterC'' Data'!$B$4:$G$8,5,FALSE))</f>
        <v/>
      </c>
      <c r="AF246" s="298" t="str">
        <f t="shared" si="32"/>
        <v/>
      </c>
      <c r="AG246" s="328" t="str">
        <f t="shared" si="33"/>
        <v/>
      </c>
      <c r="AH246" s="291" t="str">
        <f t="shared" si="27"/>
        <v/>
      </c>
      <c r="AI246" s="103"/>
      <c r="AJ246" s="291" t="str">
        <f>IF(AI246="","",IF(AND(AI246="N/A - Culvert",N246&lt;&gt;"Culvert"),"Not possible ▲",IF(VLOOKUP(AI246,'G-7 WaterC'' Data'!$AA$4:$AB$7,2,FALSE)=0,"Spatial Data Missing ⚠",VLOOKUP(AI246,'G-7 WaterC'' Data'!$AA$4:$AB$7,2,FALSE))))</f>
        <v/>
      </c>
      <c r="AK246" s="104"/>
      <c r="AL246" s="291" t="str">
        <f>IF(AK246="","",IF(AND(AK246="N/A - Culvert",N246&lt;&gt;"Culvert"),"Not possible ▲",IF(VLOOKUP(AK246,'G-7 WaterC'' Data'!$AD$4:$AE$14,2,FALSE)=0,"Spatial Data Missing ⚠",VLOOKUP(AK246,'G-7 WaterC'' Data'!$AD$4:$AE$14,2,FALSE))))</f>
        <v/>
      </c>
      <c r="AM246" s="332" t="str">
        <f t="shared" si="34"/>
        <v/>
      </c>
      <c r="AN246" s="98"/>
      <c r="AO246" s="99"/>
      <c r="AP246" s="101"/>
      <c r="AS246" s="15" t="str">
        <f>IF(B246="","",IF(ISNA(VLOOKUP($B246,'C-1 On-Site WaterC'' Baseline'!$C$8:$AD$257,17,FALSE)),"",(VLOOKUP($B246,'C-1 On-Site WaterC'' Baseline'!$C$8:$AD$257,17,FALSE))))</f>
        <v/>
      </c>
      <c r="AT246" s="15" t="str">
        <f>IF(B246="","",VLOOKUP($B246,'C-1 On-Site WaterC'' Baseline'!$C$9:$Z$257,12,FALSE))</f>
        <v/>
      </c>
      <c r="AU246" s="15" t="str">
        <f>IF(B246="","",VLOOKUP($B246,'C-1 On-Site WaterC'' Baseline'!$C$9:$Z$257,14,FALSE))</f>
        <v/>
      </c>
      <c r="AV246" s="15" t="str">
        <f>IFERROR(INDEX('G-7 WaterC'' Data'!$AZ$3:$AZ$7,MATCH(N246,'G-7 WaterC'' Data'!$AY$3:$AY$7,0)),"")</f>
        <v/>
      </c>
      <c r="AX246" s="15" t="str">
        <f>IF(B246="","",VLOOKUP($B246,'C-1 On-Site WaterC'' Baseline'!$C$9:$Y$257,22,FALSE))</f>
        <v/>
      </c>
      <c r="AY246" s="15" t="str">
        <f t="shared" si="35"/>
        <v/>
      </c>
      <c r="AZ246" s="15" t="str">
        <f>IF(B246="","",VLOOKUP($B246,'C-1 On-Site WaterC'' Baseline'!$C$9:$Y$257,21,FALSE))</f>
        <v/>
      </c>
      <c r="BA246" s="15" t="str">
        <f>IF(B246="","",VLOOKUP($B246,'C-1 On-Site WaterC'' Baseline'!$C$9:$Y$257,19,FALSE))</f>
        <v/>
      </c>
    </row>
    <row r="247" spans="2:53" ht="14" x14ac:dyDescent="0.3">
      <c r="B247" s="319" t="str">
        <f>'C-1 On-Site WaterC'' Baseline'!AP245</f>
        <v/>
      </c>
      <c r="C247" s="310" t="str">
        <f>IF(B247="","",VLOOKUP($B247,'C-1 On-Site WaterC'' Baseline'!$C$9:$R$257,2,FALSE))</f>
        <v/>
      </c>
      <c r="D247" s="310" t="str">
        <f>IF(C247="","",VLOOKUP($B247,'C-1 On-Site WaterC'' Baseline'!$C$9:$R$257,3,FALSE))</f>
        <v/>
      </c>
      <c r="E247" s="310" t="str">
        <f>IF(D247="","",VLOOKUP($B247,'C-1 On-Site WaterC'' Baseline'!$C$9:$R$257,4,FALSE))</f>
        <v/>
      </c>
      <c r="F247" s="310" t="str">
        <f>IF(E247="","",VLOOKUP($B247,'C-1 On-Site WaterC'' Baseline'!$C$9:$R$257,5,FALSE))</f>
        <v/>
      </c>
      <c r="G247" s="310" t="str">
        <f>IF(F247="","",VLOOKUP($B247,'C-1 On-Site WaterC'' Baseline'!$C$9:$R$257,6,FALSE))</f>
        <v/>
      </c>
      <c r="H247" s="310" t="str">
        <f>IF(G247="","",VLOOKUP($B247,'C-1 On-Site WaterC'' Baseline'!$C$9:$R$257,7,FALSE))</f>
        <v/>
      </c>
      <c r="I247" s="310" t="str">
        <f>IF(H247="","",VLOOKUP($B247,'C-1 On-Site WaterC'' Baseline'!$C$9:$R$257,8,FALSE))</f>
        <v/>
      </c>
      <c r="J247" s="310" t="str">
        <f>IF(I247="","",VLOOKUP($B247,'C-1 On-Site WaterC'' Baseline'!$C$9:$R$257,9,FALSE))</f>
        <v/>
      </c>
      <c r="K247" s="310" t="str">
        <f>IF(J247="","",VLOOKUP($B247,'C-1 On-Site WaterC'' Baseline'!$C$9:$R$257,10,FALSE))</f>
        <v/>
      </c>
      <c r="L247" s="310" t="str">
        <f>IF(B247="","",VLOOKUP($B247,'C-1 On-Site WaterC'' Baseline'!$C$9:$R$257,15,FALSE))</f>
        <v/>
      </c>
      <c r="M247" s="314" t="str">
        <f>IF(L247="","",VLOOKUP($B247,'C-1 On-Site WaterC'' Baseline'!$C$9:$R$257,16,FALSE))</f>
        <v/>
      </c>
      <c r="N247" s="259"/>
      <c r="O247" s="290" t="str">
        <f t="shared" si="28"/>
        <v/>
      </c>
      <c r="P247" s="291" t="str">
        <f t="shared" si="29"/>
        <v/>
      </c>
      <c r="Q247" s="346" t="str">
        <f>IF(N247="","",VLOOKUP(B247,'C-1 On-Site WaterC'' Baseline'!$C$10:$AC$257,20,FALSE))</f>
        <v/>
      </c>
      <c r="R247" s="290" t="str">
        <f>IF(N247="","",VLOOKUP(N247,'G-7 WaterC'' Data'!$B$2:$G$8,2,FALSE))</f>
        <v/>
      </c>
      <c r="S247" s="291" t="str">
        <f>IFERROR(VLOOKUP(R247,'G-7 WaterC'' Data'!$C$4:$D$8,2,FALSE),"")</f>
        <v/>
      </c>
      <c r="T247" s="95"/>
      <c r="U247" s="291" t="str">
        <f>IFERROR(INDEX('G-7 WaterC'' Data'!$H$4:$L$8,MATCH(N247,'G-7 WaterC'' Data'!$B$4:$B$8,0),MATCH(T247,'G-7 WaterC'' Data'!$H$3:$L$3,0)),"")</f>
        <v/>
      </c>
      <c r="V247" s="95"/>
      <c r="W247" s="298" t="str">
        <f>IF(V247="","",IF(VLOOKUP(V247,'G-7 WaterC'' Data'!$AK$4:$AM$6,2,FALSE)=0,"Spatial Data Missing ⚠",VLOOKUP(V247,'G-7 WaterC'' Data'!$AK$4:$AM$6,2,FALSE)))</f>
        <v/>
      </c>
      <c r="X247" s="291" t="str">
        <f>IF(V247="","",IF(VLOOKUP(V247,'G-7 WaterC'' Data'!$AK$4:$AM$6,3,FALSE)=0,"Spatial Data Missing ⚠",VLOOKUP(V247,'G-7 WaterC'' Data'!$AK$4:$AM$6,3,FALSE)))</f>
        <v/>
      </c>
      <c r="Y247" s="290" t="str">
        <f>IFERROR(IF(OR(LEFT(P247,5)="Error",LEFT(O247,5)="Error ▲"),"Check Data ⚠",IF(F247&lt;S247,'G-7 WaterC'' Data'!$R$3,INDEX('G-7 WaterC'' Data'!$U$5:$Y$9,MATCH(G247,'G-7 WaterC'' Data'!$T$5:$T$9,0),MATCH(T247,'G-7 WaterC'' Data'!$U$4:$Y$4,0)))),"")</f>
        <v/>
      </c>
      <c r="Z247" s="138"/>
      <c r="AA247" s="138"/>
      <c r="AB247" s="298" t="str">
        <f t="shared" si="30"/>
        <v/>
      </c>
      <c r="AC247" s="311" t="str">
        <f t="shared" si="31"/>
        <v/>
      </c>
      <c r="AD247" s="344" t="str">
        <f>IFERROR(IF(AC247="Check Data ⚠","Check Data ⚠",VLOOKUP(AC247,'G-4 Temporal multipliers'!$A$4:$C$37,3,FALSE)),"")</f>
        <v/>
      </c>
      <c r="AE247" s="290" t="str">
        <f>IF(N247="","",VLOOKUP(N247,'G-7 WaterC'' Data'!$B$4:$G$8,5,FALSE))</f>
        <v/>
      </c>
      <c r="AF247" s="298" t="str">
        <f t="shared" si="32"/>
        <v/>
      </c>
      <c r="AG247" s="328" t="str">
        <f t="shared" si="33"/>
        <v/>
      </c>
      <c r="AH247" s="291" t="str">
        <f t="shared" si="27"/>
        <v/>
      </c>
      <c r="AI247" s="103"/>
      <c r="AJ247" s="291" t="str">
        <f>IF(AI247="","",IF(AND(AI247="N/A - Culvert",N247&lt;&gt;"Culvert"),"Not possible ▲",IF(VLOOKUP(AI247,'G-7 WaterC'' Data'!$AA$4:$AB$7,2,FALSE)=0,"Spatial Data Missing ⚠",VLOOKUP(AI247,'G-7 WaterC'' Data'!$AA$4:$AB$7,2,FALSE))))</f>
        <v/>
      </c>
      <c r="AK247" s="104"/>
      <c r="AL247" s="291" t="str">
        <f>IF(AK247="","",IF(AND(AK247="N/A - Culvert",N247&lt;&gt;"Culvert"),"Not possible ▲",IF(VLOOKUP(AK247,'G-7 WaterC'' Data'!$AD$4:$AE$14,2,FALSE)=0,"Spatial Data Missing ⚠",VLOOKUP(AK247,'G-7 WaterC'' Data'!$AD$4:$AE$14,2,FALSE))))</f>
        <v/>
      </c>
      <c r="AM247" s="332" t="str">
        <f t="shared" si="34"/>
        <v/>
      </c>
      <c r="AN247" s="98"/>
      <c r="AO247" s="99"/>
      <c r="AP247" s="101"/>
      <c r="AS247" s="15" t="str">
        <f>IF(B247="","",IF(ISNA(VLOOKUP($B247,'C-1 On-Site WaterC'' Baseline'!$C$8:$AD$257,17,FALSE)),"",(VLOOKUP($B247,'C-1 On-Site WaterC'' Baseline'!$C$8:$AD$257,17,FALSE))))</f>
        <v/>
      </c>
      <c r="AT247" s="15" t="str">
        <f>IF(B247="","",VLOOKUP($B247,'C-1 On-Site WaterC'' Baseline'!$C$9:$Z$257,12,FALSE))</f>
        <v/>
      </c>
      <c r="AU247" s="15" t="str">
        <f>IF(B247="","",VLOOKUP($B247,'C-1 On-Site WaterC'' Baseline'!$C$9:$Z$257,14,FALSE))</f>
        <v/>
      </c>
      <c r="AV247" s="15" t="str">
        <f>IFERROR(INDEX('G-7 WaterC'' Data'!$AZ$3:$AZ$7,MATCH(N247,'G-7 WaterC'' Data'!$AY$3:$AY$7,0)),"")</f>
        <v/>
      </c>
      <c r="AX247" s="15" t="str">
        <f>IF(B247="","",VLOOKUP($B247,'C-1 On-Site WaterC'' Baseline'!$C$9:$Y$257,22,FALSE))</f>
        <v/>
      </c>
      <c r="AY247" s="15" t="str">
        <f t="shared" si="35"/>
        <v/>
      </c>
      <c r="AZ247" s="15" t="str">
        <f>IF(B247="","",VLOOKUP($B247,'C-1 On-Site WaterC'' Baseline'!$C$9:$Y$257,21,FALSE))</f>
        <v/>
      </c>
      <c r="BA247" s="15" t="str">
        <f>IF(B247="","",VLOOKUP($B247,'C-1 On-Site WaterC'' Baseline'!$C$9:$Y$257,19,FALSE))</f>
        <v/>
      </c>
    </row>
    <row r="248" spans="2:53" ht="14" x14ac:dyDescent="0.3">
      <c r="B248" s="319" t="str">
        <f>'C-1 On-Site WaterC'' Baseline'!AP246</f>
        <v/>
      </c>
      <c r="C248" s="310" t="str">
        <f>IF(B248="","",VLOOKUP($B248,'C-1 On-Site WaterC'' Baseline'!$C$9:$R$257,2,FALSE))</f>
        <v/>
      </c>
      <c r="D248" s="310" t="str">
        <f>IF(C248="","",VLOOKUP($B248,'C-1 On-Site WaterC'' Baseline'!$C$9:$R$257,3,FALSE))</f>
        <v/>
      </c>
      <c r="E248" s="310" t="str">
        <f>IF(D248="","",VLOOKUP($B248,'C-1 On-Site WaterC'' Baseline'!$C$9:$R$257,4,FALSE))</f>
        <v/>
      </c>
      <c r="F248" s="310" t="str">
        <f>IF(E248="","",VLOOKUP($B248,'C-1 On-Site WaterC'' Baseline'!$C$9:$R$257,5,FALSE))</f>
        <v/>
      </c>
      <c r="G248" s="310" t="str">
        <f>IF(F248="","",VLOOKUP($B248,'C-1 On-Site WaterC'' Baseline'!$C$9:$R$257,6,FALSE))</f>
        <v/>
      </c>
      <c r="H248" s="310" t="str">
        <f>IF(G248="","",VLOOKUP($B248,'C-1 On-Site WaterC'' Baseline'!$C$9:$R$257,7,FALSE))</f>
        <v/>
      </c>
      <c r="I248" s="310" t="str">
        <f>IF(H248="","",VLOOKUP($B248,'C-1 On-Site WaterC'' Baseline'!$C$9:$R$257,8,FALSE))</f>
        <v/>
      </c>
      <c r="J248" s="310" t="str">
        <f>IF(I248="","",VLOOKUP($B248,'C-1 On-Site WaterC'' Baseline'!$C$9:$R$257,9,FALSE))</f>
        <v/>
      </c>
      <c r="K248" s="310" t="str">
        <f>IF(J248="","",VLOOKUP($B248,'C-1 On-Site WaterC'' Baseline'!$C$9:$R$257,10,FALSE))</f>
        <v/>
      </c>
      <c r="L248" s="310" t="str">
        <f>IF(B248="","",VLOOKUP($B248,'C-1 On-Site WaterC'' Baseline'!$C$9:$R$257,15,FALSE))</f>
        <v/>
      </c>
      <c r="M248" s="314" t="str">
        <f>IF(L248="","",VLOOKUP($B248,'C-1 On-Site WaterC'' Baseline'!$C$9:$R$257,16,FALSE))</f>
        <v/>
      </c>
      <c r="N248" s="259"/>
      <c r="O248" s="290" t="str">
        <f t="shared" si="28"/>
        <v/>
      </c>
      <c r="P248" s="291" t="str">
        <f t="shared" si="29"/>
        <v/>
      </c>
      <c r="Q248" s="346" t="str">
        <f>IF(N248="","",VLOOKUP(B248,'C-1 On-Site WaterC'' Baseline'!$C$10:$AC$257,20,FALSE))</f>
        <v/>
      </c>
      <c r="R248" s="290" t="str">
        <f>IF(N248="","",VLOOKUP(N248,'G-7 WaterC'' Data'!$B$2:$G$8,2,FALSE))</f>
        <v/>
      </c>
      <c r="S248" s="291" t="str">
        <f>IFERROR(VLOOKUP(R248,'G-7 WaterC'' Data'!$C$4:$D$8,2,FALSE),"")</f>
        <v/>
      </c>
      <c r="T248" s="95"/>
      <c r="U248" s="291" t="str">
        <f>IFERROR(INDEX('G-7 WaterC'' Data'!$H$4:$L$8,MATCH(N248,'G-7 WaterC'' Data'!$B$4:$B$8,0),MATCH(T248,'G-7 WaterC'' Data'!$H$3:$L$3,0)),"")</f>
        <v/>
      </c>
      <c r="V248" s="95"/>
      <c r="W248" s="298" t="str">
        <f>IF(V248="","",IF(VLOOKUP(V248,'G-7 WaterC'' Data'!$AK$4:$AM$6,2,FALSE)=0,"Spatial Data Missing ⚠",VLOOKUP(V248,'G-7 WaterC'' Data'!$AK$4:$AM$6,2,FALSE)))</f>
        <v/>
      </c>
      <c r="X248" s="291" t="str">
        <f>IF(V248="","",IF(VLOOKUP(V248,'G-7 WaterC'' Data'!$AK$4:$AM$6,3,FALSE)=0,"Spatial Data Missing ⚠",VLOOKUP(V248,'G-7 WaterC'' Data'!$AK$4:$AM$6,3,FALSE)))</f>
        <v/>
      </c>
      <c r="Y248" s="290" t="str">
        <f>IFERROR(IF(OR(LEFT(P248,5)="Error",LEFT(O248,5)="Error ▲"),"Check Data ⚠",IF(F248&lt;S248,'G-7 WaterC'' Data'!$R$3,INDEX('G-7 WaterC'' Data'!$U$5:$Y$9,MATCH(G248,'G-7 WaterC'' Data'!$T$5:$T$9,0),MATCH(T248,'G-7 WaterC'' Data'!$U$4:$Y$4,0)))),"")</f>
        <v/>
      </c>
      <c r="Z248" s="138"/>
      <c r="AA248" s="138"/>
      <c r="AB248" s="298" t="str">
        <f t="shared" si="30"/>
        <v/>
      </c>
      <c r="AC248" s="311" t="str">
        <f t="shared" si="31"/>
        <v/>
      </c>
      <c r="AD248" s="344" t="str">
        <f>IFERROR(IF(AC248="Check Data ⚠","Check Data ⚠",VLOOKUP(AC248,'G-4 Temporal multipliers'!$A$4:$C$37,3,FALSE)),"")</f>
        <v/>
      </c>
      <c r="AE248" s="290" t="str">
        <f>IF(N248="","",VLOOKUP(N248,'G-7 WaterC'' Data'!$B$4:$G$8,5,FALSE))</f>
        <v/>
      </c>
      <c r="AF248" s="298" t="str">
        <f t="shared" si="32"/>
        <v/>
      </c>
      <c r="AG248" s="328" t="str">
        <f t="shared" si="33"/>
        <v/>
      </c>
      <c r="AH248" s="291" t="str">
        <f t="shared" si="27"/>
        <v/>
      </c>
      <c r="AI248" s="103"/>
      <c r="AJ248" s="291" t="str">
        <f>IF(AI248="","",IF(AND(AI248="N/A - Culvert",N248&lt;&gt;"Culvert"),"Not possible ▲",IF(VLOOKUP(AI248,'G-7 WaterC'' Data'!$AA$4:$AB$7,2,FALSE)=0,"Spatial Data Missing ⚠",VLOOKUP(AI248,'G-7 WaterC'' Data'!$AA$4:$AB$7,2,FALSE))))</f>
        <v/>
      </c>
      <c r="AK248" s="104"/>
      <c r="AL248" s="291" t="str">
        <f>IF(AK248="","",IF(AND(AK248="N/A - Culvert",N248&lt;&gt;"Culvert"),"Not possible ▲",IF(VLOOKUP(AK248,'G-7 WaterC'' Data'!$AD$4:$AE$14,2,FALSE)=0,"Spatial Data Missing ⚠",VLOOKUP(AK248,'G-7 WaterC'' Data'!$AD$4:$AE$14,2,FALSE))))</f>
        <v/>
      </c>
      <c r="AM248" s="332" t="str">
        <f t="shared" si="34"/>
        <v/>
      </c>
      <c r="AN248" s="98"/>
      <c r="AO248" s="99"/>
      <c r="AP248" s="101"/>
      <c r="AS248" s="15" t="str">
        <f>IF(B248="","",IF(ISNA(VLOOKUP($B248,'C-1 On-Site WaterC'' Baseline'!$C$8:$AD$257,17,FALSE)),"",(VLOOKUP($B248,'C-1 On-Site WaterC'' Baseline'!$C$8:$AD$257,17,FALSE))))</f>
        <v/>
      </c>
      <c r="AT248" s="15" t="str">
        <f>IF(B248="","",VLOOKUP($B248,'C-1 On-Site WaterC'' Baseline'!$C$9:$Z$257,12,FALSE))</f>
        <v/>
      </c>
      <c r="AU248" s="15" t="str">
        <f>IF(B248="","",VLOOKUP($B248,'C-1 On-Site WaterC'' Baseline'!$C$9:$Z$257,14,FALSE))</f>
        <v/>
      </c>
      <c r="AV248" s="15" t="str">
        <f>IFERROR(INDEX('G-7 WaterC'' Data'!$AZ$3:$AZ$7,MATCH(N248,'G-7 WaterC'' Data'!$AY$3:$AY$7,0)),"")</f>
        <v/>
      </c>
      <c r="AX248" s="15" t="str">
        <f>IF(B248="","",VLOOKUP($B248,'C-1 On-Site WaterC'' Baseline'!$C$9:$Y$257,22,FALSE))</f>
        <v/>
      </c>
      <c r="AY248" s="15" t="str">
        <f t="shared" si="35"/>
        <v/>
      </c>
      <c r="AZ248" s="15" t="str">
        <f>IF(B248="","",VLOOKUP($B248,'C-1 On-Site WaterC'' Baseline'!$C$9:$Y$257,21,FALSE))</f>
        <v/>
      </c>
      <c r="BA248" s="15" t="str">
        <f>IF(B248="","",VLOOKUP($B248,'C-1 On-Site WaterC'' Baseline'!$C$9:$Y$257,19,FALSE))</f>
        <v/>
      </c>
    </row>
    <row r="249" spans="2:53" ht="14" x14ac:dyDescent="0.3">
      <c r="B249" s="319" t="str">
        <f>'C-1 On-Site WaterC'' Baseline'!AP247</f>
        <v/>
      </c>
      <c r="C249" s="310" t="str">
        <f>IF(B249="","",VLOOKUP($B249,'C-1 On-Site WaterC'' Baseline'!$C$9:$R$257,2,FALSE))</f>
        <v/>
      </c>
      <c r="D249" s="310" t="str">
        <f>IF(C249="","",VLOOKUP($B249,'C-1 On-Site WaterC'' Baseline'!$C$9:$R$257,3,FALSE))</f>
        <v/>
      </c>
      <c r="E249" s="310" t="str">
        <f>IF(D249="","",VLOOKUP($B249,'C-1 On-Site WaterC'' Baseline'!$C$9:$R$257,4,FALSE))</f>
        <v/>
      </c>
      <c r="F249" s="310" t="str">
        <f>IF(E249="","",VLOOKUP($B249,'C-1 On-Site WaterC'' Baseline'!$C$9:$R$257,5,FALSE))</f>
        <v/>
      </c>
      <c r="G249" s="310" t="str">
        <f>IF(F249="","",VLOOKUP($B249,'C-1 On-Site WaterC'' Baseline'!$C$9:$R$257,6,FALSE))</f>
        <v/>
      </c>
      <c r="H249" s="310" t="str">
        <f>IF(G249="","",VLOOKUP($B249,'C-1 On-Site WaterC'' Baseline'!$C$9:$R$257,7,FALSE))</f>
        <v/>
      </c>
      <c r="I249" s="310" t="str">
        <f>IF(H249="","",VLOOKUP($B249,'C-1 On-Site WaterC'' Baseline'!$C$9:$R$257,8,FALSE))</f>
        <v/>
      </c>
      <c r="J249" s="310" t="str">
        <f>IF(I249="","",VLOOKUP($B249,'C-1 On-Site WaterC'' Baseline'!$C$9:$R$257,9,FALSE))</f>
        <v/>
      </c>
      <c r="K249" s="310" t="str">
        <f>IF(J249="","",VLOOKUP($B249,'C-1 On-Site WaterC'' Baseline'!$C$9:$R$257,10,FALSE))</f>
        <v/>
      </c>
      <c r="L249" s="310" t="str">
        <f>IF(B249="","",VLOOKUP($B249,'C-1 On-Site WaterC'' Baseline'!$C$9:$R$257,15,FALSE))</f>
        <v/>
      </c>
      <c r="M249" s="314" t="str">
        <f>IF(L249="","",VLOOKUP($B249,'C-1 On-Site WaterC'' Baseline'!$C$9:$R$257,16,FALSE))</f>
        <v/>
      </c>
      <c r="N249" s="259"/>
      <c r="O249" s="290" t="str">
        <f t="shared" si="28"/>
        <v/>
      </c>
      <c r="P249" s="291" t="str">
        <f t="shared" si="29"/>
        <v/>
      </c>
      <c r="Q249" s="346" t="str">
        <f>IF(N249="","",VLOOKUP(B249,'C-1 On-Site WaterC'' Baseline'!$C$10:$AC$257,20,FALSE))</f>
        <v/>
      </c>
      <c r="R249" s="290" t="str">
        <f>IF(N249="","",VLOOKUP(N249,'G-7 WaterC'' Data'!$B$2:$G$8,2,FALSE))</f>
        <v/>
      </c>
      <c r="S249" s="291" t="str">
        <f>IFERROR(VLOOKUP(R249,'G-7 WaterC'' Data'!$C$4:$D$8,2,FALSE),"")</f>
        <v/>
      </c>
      <c r="T249" s="95"/>
      <c r="U249" s="291" t="str">
        <f>IFERROR(INDEX('G-7 WaterC'' Data'!$H$4:$L$8,MATCH(N249,'G-7 WaterC'' Data'!$B$4:$B$8,0),MATCH(T249,'G-7 WaterC'' Data'!$H$3:$L$3,0)),"")</f>
        <v/>
      </c>
      <c r="V249" s="95"/>
      <c r="W249" s="298" t="str">
        <f>IF(V249="","",IF(VLOOKUP(V249,'G-7 WaterC'' Data'!$AK$4:$AM$6,2,FALSE)=0,"Spatial Data Missing ⚠",VLOOKUP(V249,'G-7 WaterC'' Data'!$AK$4:$AM$6,2,FALSE)))</f>
        <v/>
      </c>
      <c r="X249" s="291" t="str">
        <f>IF(V249="","",IF(VLOOKUP(V249,'G-7 WaterC'' Data'!$AK$4:$AM$6,3,FALSE)=0,"Spatial Data Missing ⚠",VLOOKUP(V249,'G-7 WaterC'' Data'!$AK$4:$AM$6,3,FALSE)))</f>
        <v/>
      </c>
      <c r="Y249" s="290" t="str">
        <f>IFERROR(IF(OR(LEFT(P249,5)="Error",LEFT(O249,5)="Error ▲"),"Check Data ⚠",IF(F249&lt;S249,'G-7 WaterC'' Data'!$R$3,INDEX('G-7 WaterC'' Data'!$U$5:$Y$9,MATCH(G249,'G-7 WaterC'' Data'!$T$5:$T$9,0),MATCH(T249,'G-7 WaterC'' Data'!$U$4:$Y$4,0)))),"")</f>
        <v/>
      </c>
      <c r="Z249" s="138"/>
      <c r="AA249" s="138"/>
      <c r="AB249" s="298" t="str">
        <f t="shared" si="30"/>
        <v/>
      </c>
      <c r="AC249" s="311" t="str">
        <f t="shared" si="31"/>
        <v/>
      </c>
      <c r="AD249" s="344" t="str">
        <f>IFERROR(IF(AC249="Check Data ⚠","Check Data ⚠",VLOOKUP(AC249,'G-4 Temporal multipliers'!$A$4:$C$37,3,FALSE)),"")</f>
        <v/>
      </c>
      <c r="AE249" s="290" t="str">
        <f>IF(N249="","",VLOOKUP(N249,'G-7 WaterC'' Data'!$B$4:$G$8,5,FALSE))</f>
        <v/>
      </c>
      <c r="AF249" s="298" t="str">
        <f t="shared" si="32"/>
        <v/>
      </c>
      <c r="AG249" s="328" t="str">
        <f t="shared" si="33"/>
        <v/>
      </c>
      <c r="AH249" s="291" t="str">
        <f t="shared" si="27"/>
        <v/>
      </c>
      <c r="AI249" s="103"/>
      <c r="AJ249" s="291" t="str">
        <f>IF(AI249="","",IF(AND(AI249="N/A - Culvert",N249&lt;&gt;"Culvert"),"Not possible ▲",IF(VLOOKUP(AI249,'G-7 WaterC'' Data'!$AA$4:$AB$7,2,FALSE)=0,"Spatial Data Missing ⚠",VLOOKUP(AI249,'G-7 WaterC'' Data'!$AA$4:$AB$7,2,FALSE))))</f>
        <v/>
      </c>
      <c r="AK249" s="104"/>
      <c r="AL249" s="291" t="str">
        <f>IF(AK249="","",IF(AND(AK249="N/A - Culvert",N249&lt;&gt;"Culvert"),"Not possible ▲",IF(VLOOKUP(AK249,'G-7 WaterC'' Data'!$AD$4:$AE$14,2,FALSE)=0,"Spatial Data Missing ⚠",VLOOKUP(AK249,'G-7 WaterC'' Data'!$AD$4:$AE$14,2,FALSE))))</f>
        <v/>
      </c>
      <c r="AM249" s="332" t="str">
        <f t="shared" si="34"/>
        <v/>
      </c>
      <c r="AN249" s="98"/>
      <c r="AO249" s="99"/>
      <c r="AP249" s="101"/>
      <c r="AS249" s="15" t="str">
        <f>IF(B249="","",IF(ISNA(VLOOKUP($B249,'C-1 On-Site WaterC'' Baseline'!$C$8:$AD$257,17,FALSE)),"",(VLOOKUP($B249,'C-1 On-Site WaterC'' Baseline'!$C$8:$AD$257,17,FALSE))))</f>
        <v/>
      </c>
      <c r="AT249" s="15" t="str">
        <f>IF(B249="","",VLOOKUP($B249,'C-1 On-Site WaterC'' Baseline'!$C$9:$Z$257,12,FALSE))</f>
        <v/>
      </c>
      <c r="AU249" s="15" t="str">
        <f>IF(B249="","",VLOOKUP($B249,'C-1 On-Site WaterC'' Baseline'!$C$9:$Z$257,14,FALSE))</f>
        <v/>
      </c>
      <c r="AV249" s="15" t="str">
        <f>IFERROR(INDEX('G-7 WaterC'' Data'!$AZ$3:$AZ$7,MATCH(N249,'G-7 WaterC'' Data'!$AY$3:$AY$7,0)),"")</f>
        <v/>
      </c>
      <c r="AX249" s="15" t="str">
        <f>IF(B249="","",VLOOKUP($B249,'C-1 On-Site WaterC'' Baseline'!$C$9:$Y$257,22,FALSE))</f>
        <v/>
      </c>
      <c r="AY249" s="15" t="str">
        <f t="shared" si="35"/>
        <v/>
      </c>
      <c r="AZ249" s="15" t="str">
        <f>IF(B249="","",VLOOKUP($B249,'C-1 On-Site WaterC'' Baseline'!$C$9:$Y$257,21,FALSE))</f>
        <v/>
      </c>
      <c r="BA249" s="15" t="str">
        <f>IF(B249="","",VLOOKUP($B249,'C-1 On-Site WaterC'' Baseline'!$C$9:$Y$257,19,FALSE))</f>
        <v/>
      </c>
    </row>
    <row r="250" spans="2:53" ht="14" x14ac:dyDescent="0.3">
      <c r="B250" s="319" t="str">
        <f>'C-1 On-Site WaterC'' Baseline'!AP248</f>
        <v/>
      </c>
      <c r="C250" s="310" t="str">
        <f>IF(B250="","",VLOOKUP($B250,'C-1 On-Site WaterC'' Baseline'!$C$9:$R$257,2,FALSE))</f>
        <v/>
      </c>
      <c r="D250" s="310" t="str">
        <f>IF(C250="","",VLOOKUP($B250,'C-1 On-Site WaterC'' Baseline'!$C$9:$R$257,3,FALSE))</f>
        <v/>
      </c>
      <c r="E250" s="310" t="str">
        <f>IF(D250="","",VLOOKUP($B250,'C-1 On-Site WaterC'' Baseline'!$C$9:$R$257,4,FALSE))</f>
        <v/>
      </c>
      <c r="F250" s="310" t="str">
        <f>IF(E250="","",VLOOKUP($B250,'C-1 On-Site WaterC'' Baseline'!$C$9:$R$257,5,FALSE))</f>
        <v/>
      </c>
      <c r="G250" s="310" t="str">
        <f>IF(F250="","",VLOOKUP($B250,'C-1 On-Site WaterC'' Baseline'!$C$9:$R$257,6,FALSE))</f>
        <v/>
      </c>
      <c r="H250" s="310" t="str">
        <f>IF(G250="","",VLOOKUP($B250,'C-1 On-Site WaterC'' Baseline'!$C$9:$R$257,7,FALSE))</f>
        <v/>
      </c>
      <c r="I250" s="310" t="str">
        <f>IF(H250="","",VLOOKUP($B250,'C-1 On-Site WaterC'' Baseline'!$C$9:$R$257,8,FALSE))</f>
        <v/>
      </c>
      <c r="J250" s="310" t="str">
        <f>IF(I250="","",VLOOKUP($B250,'C-1 On-Site WaterC'' Baseline'!$C$9:$R$257,9,FALSE))</f>
        <v/>
      </c>
      <c r="K250" s="310" t="str">
        <f>IF(J250="","",VLOOKUP($B250,'C-1 On-Site WaterC'' Baseline'!$C$9:$R$257,10,FALSE))</f>
        <v/>
      </c>
      <c r="L250" s="310" t="str">
        <f>IF(B250="","",VLOOKUP($B250,'C-1 On-Site WaterC'' Baseline'!$C$9:$R$257,15,FALSE))</f>
        <v/>
      </c>
      <c r="M250" s="314" t="str">
        <f>IF(L250="","",VLOOKUP($B250,'C-1 On-Site WaterC'' Baseline'!$C$9:$R$257,16,FALSE))</f>
        <v/>
      </c>
      <c r="N250" s="259"/>
      <c r="O250" s="290" t="str">
        <f t="shared" si="28"/>
        <v/>
      </c>
      <c r="P250" s="291" t="str">
        <f t="shared" si="29"/>
        <v/>
      </c>
      <c r="Q250" s="346" t="str">
        <f>IF(N250="","",VLOOKUP(B250,'C-1 On-Site WaterC'' Baseline'!$C$10:$AC$257,20,FALSE))</f>
        <v/>
      </c>
      <c r="R250" s="290" t="str">
        <f>IF(N250="","",VLOOKUP(N250,'G-7 WaterC'' Data'!$B$2:$G$8,2,FALSE))</f>
        <v/>
      </c>
      <c r="S250" s="291" t="str">
        <f>IFERROR(VLOOKUP(R250,'G-7 WaterC'' Data'!$C$4:$D$8,2,FALSE),"")</f>
        <v/>
      </c>
      <c r="T250" s="95"/>
      <c r="U250" s="291" t="str">
        <f>IFERROR(INDEX('G-7 WaterC'' Data'!$H$4:$L$8,MATCH(N250,'G-7 WaterC'' Data'!$B$4:$B$8,0),MATCH(T250,'G-7 WaterC'' Data'!$H$3:$L$3,0)),"")</f>
        <v/>
      </c>
      <c r="V250" s="95"/>
      <c r="W250" s="298" t="str">
        <f>IF(V250="","",IF(VLOOKUP(V250,'G-7 WaterC'' Data'!$AK$4:$AM$6,2,FALSE)=0,"Spatial Data Missing ⚠",VLOOKUP(V250,'G-7 WaterC'' Data'!$AK$4:$AM$6,2,FALSE)))</f>
        <v/>
      </c>
      <c r="X250" s="291" t="str">
        <f>IF(V250="","",IF(VLOOKUP(V250,'G-7 WaterC'' Data'!$AK$4:$AM$6,3,FALSE)=0,"Spatial Data Missing ⚠",VLOOKUP(V250,'G-7 WaterC'' Data'!$AK$4:$AM$6,3,FALSE)))</f>
        <v/>
      </c>
      <c r="Y250" s="290" t="str">
        <f>IFERROR(IF(OR(LEFT(P250,5)="Error",LEFT(O250,5)="Error ▲"),"Check Data ⚠",IF(F250&lt;S250,'G-7 WaterC'' Data'!$R$3,INDEX('G-7 WaterC'' Data'!$U$5:$Y$9,MATCH(G250,'G-7 WaterC'' Data'!$T$5:$T$9,0),MATCH(T250,'G-7 WaterC'' Data'!$U$4:$Y$4,0)))),"")</f>
        <v/>
      </c>
      <c r="Z250" s="138"/>
      <c r="AA250" s="138"/>
      <c r="AB250" s="298" t="str">
        <f t="shared" si="30"/>
        <v/>
      </c>
      <c r="AC250" s="311" t="str">
        <f t="shared" si="31"/>
        <v/>
      </c>
      <c r="AD250" s="344" t="str">
        <f>IFERROR(IF(AC250="Check Data ⚠","Check Data ⚠",VLOOKUP(AC250,'G-4 Temporal multipliers'!$A$4:$C$37,3,FALSE)),"")</f>
        <v/>
      </c>
      <c r="AE250" s="290" t="str">
        <f>IF(N250="","",VLOOKUP(N250,'G-7 WaterC'' Data'!$B$4:$G$8,5,FALSE))</f>
        <v/>
      </c>
      <c r="AF250" s="298" t="str">
        <f t="shared" si="32"/>
        <v/>
      </c>
      <c r="AG250" s="328" t="str">
        <f t="shared" si="33"/>
        <v/>
      </c>
      <c r="AH250" s="291" t="str">
        <f t="shared" si="27"/>
        <v/>
      </c>
      <c r="AI250" s="103"/>
      <c r="AJ250" s="291" t="str">
        <f>IF(AI250="","",IF(AND(AI250="N/A - Culvert",N250&lt;&gt;"Culvert"),"Not possible ▲",IF(VLOOKUP(AI250,'G-7 WaterC'' Data'!$AA$4:$AB$7,2,FALSE)=0,"Spatial Data Missing ⚠",VLOOKUP(AI250,'G-7 WaterC'' Data'!$AA$4:$AB$7,2,FALSE))))</f>
        <v/>
      </c>
      <c r="AK250" s="104"/>
      <c r="AL250" s="291" t="str">
        <f>IF(AK250="","",IF(AND(AK250="N/A - Culvert",N250&lt;&gt;"Culvert"),"Not possible ▲",IF(VLOOKUP(AK250,'G-7 WaterC'' Data'!$AD$4:$AE$14,2,FALSE)=0,"Spatial Data Missing ⚠",VLOOKUP(AK250,'G-7 WaterC'' Data'!$AD$4:$AE$14,2,FALSE))))</f>
        <v/>
      </c>
      <c r="AM250" s="332" t="str">
        <f t="shared" si="34"/>
        <v/>
      </c>
      <c r="AN250" s="98"/>
      <c r="AO250" s="99"/>
      <c r="AP250" s="101"/>
      <c r="AS250" s="15" t="str">
        <f>IF(B250="","",IF(ISNA(VLOOKUP($B250,'C-1 On-Site WaterC'' Baseline'!$C$8:$AD$257,17,FALSE)),"",(VLOOKUP($B250,'C-1 On-Site WaterC'' Baseline'!$C$8:$AD$257,17,FALSE))))</f>
        <v/>
      </c>
      <c r="AT250" s="15" t="str">
        <f>IF(B250="","",VLOOKUP($B250,'C-1 On-Site WaterC'' Baseline'!$C$9:$Z$257,12,FALSE))</f>
        <v/>
      </c>
      <c r="AU250" s="15" t="str">
        <f>IF(B250="","",VLOOKUP($B250,'C-1 On-Site WaterC'' Baseline'!$C$9:$Z$257,14,FALSE))</f>
        <v/>
      </c>
      <c r="AV250" s="15" t="str">
        <f>IFERROR(INDEX('G-7 WaterC'' Data'!$AZ$3:$AZ$7,MATCH(N250,'G-7 WaterC'' Data'!$AY$3:$AY$7,0)),"")</f>
        <v/>
      </c>
      <c r="AX250" s="15" t="str">
        <f>IF(B250="","",VLOOKUP($B250,'C-1 On-Site WaterC'' Baseline'!$C$9:$Y$257,22,FALSE))</f>
        <v/>
      </c>
      <c r="AY250" s="15" t="str">
        <f t="shared" si="35"/>
        <v/>
      </c>
      <c r="AZ250" s="15" t="str">
        <f>IF(B250="","",VLOOKUP($B250,'C-1 On-Site WaterC'' Baseline'!$C$9:$Y$257,21,FALSE))</f>
        <v/>
      </c>
      <c r="BA250" s="15" t="str">
        <f>IF(B250="","",VLOOKUP($B250,'C-1 On-Site WaterC'' Baseline'!$C$9:$Y$257,19,FALSE))</f>
        <v/>
      </c>
    </row>
    <row r="251" spans="2:53" ht="14" x14ac:dyDescent="0.3">
      <c r="B251" s="319" t="str">
        <f>'C-1 On-Site WaterC'' Baseline'!AP249</f>
        <v/>
      </c>
      <c r="C251" s="310" t="str">
        <f>IF(B251="","",VLOOKUP($B251,'C-1 On-Site WaterC'' Baseline'!$C$9:$R$257,2,FALSE))</f>
        <v/>
      </c>
      <c r="D251" s="310" t="str">
        <f>IF(C251="","",VLOOKUP($B251,'C-1 On-Site WaterC'' Baseline'!$C$9:$R$257,3,FALSE))</f>
        <v/>
      </c>
      <c r="E251" s="310" t="str">
        <f>IF(D251="","",VLOOKUP($B251,'C-1 On-Site WaterC'' Baseline'!$C$9:$R$257,4,FALSE))</f>
        <v/>
      </c>
      <c r="F251" s="310" t="str">
        <f>IF(E251="","",VLOOKUP($B251,'C-1 On-Site WaterC'' Baseline'!$C$9:$R$257,5,FALSE))</f>
        <v/>
      </c>
      <c r="G251" s="310" t="str">
        <f>IF(F251="","",VLOOKUP($B251,'C-1 On-Site WaterC'' Baseline'!$C$9:$R$257,6,FALSE))</f>
        <v/>
      </c>
      <c r="H251" s="310" t="str">
        <f>IF(G251="","",VLOOKUP($B251,'C-1 On-Site WaterC'' Baseline'!$C$9:$R$257,7,FALSE))</f>
        <v/>
      </c>
      <c r="I251" s="310" t="str">
        <f>IF(H251="","",VLOOKUP($B251,'C-1 On-Site WaterC'' Baseline'!$C$9:$R$257,8,FALSE))</f>
        <v/>
      </c>
      <c r="J251" s="310" t="str">
        <f>IF(I251="","",VLOOKUP($B251,'C-1 On-Site WaterC'' Baseline'!$C$9:$R$257,9,FALSE))</f>
        <v/>
      </c>
      <c r="K251" s="310" t="str">
        <f>IF(J251="","",VLOOKUP($B251,'C-1 On-Site WaterC'' Baseline'!$C$9:$R$257,10,FALSE))</f>
        <v/>
      </c>
      <c r="L251" s="310" t="str">
        <f>IF(B251="","",VLOOKUP($B251,'C-1 On-Site WaterC'' Baseline'!$C$9:$R$257,15,FALSE))</f>
        <v/>
      </c>
      <c r="M251" s="314" t="str">
        <f>IF(L251="","",VLOOKUP($B251,'C-1 On-Site WaterC'' Baseline'!$C$9:$R$257,16,FALSE))</f>
        <v/>
      </c>
      <c r="N251" s="259"/>
      <c r="O251" s="290" t="str">
        <f t="shared" si="28"/>
        <v/>
      </c>
      <c r="P251" s="291" t="str">
        <f t="shared" si="29"/>
        <v/>
      </c>
      <c r="Q251" s="346" t="str">
        <f>IF(N251="","",VLOOKUP(B251,'C-1 On-Site WaterC'' Baseline'!$C$10:$AC$257,20,FALSE))</f>
        <v/>
      </c>
      <c r="R251" s="290" t="str">
        <f>IF(N251="","",VLOOKUP(N251,'G-7 WaterC'' Data'!$B$2:$G$8,2,FALSE))</f>
        <v/>
      </c>
      <c r="S251" s="291" t="str">
        <f>IFERROR(VLOOKUP(R251,'G-7 WaterC'' Data'!$C$4:$D$8,2,FALSE),"")</f>
        <v/>
      </c>
      <c r="T251" s="95"/>
      <c r="U251" s="291" t="str">
        <f>IFERROR(INDEX('G-7 WaterC'' Data'!$H$4:$L$8,MATCH(N251,'G-7 WaterC'' Data'!$B$4:$B$8,0),MATCH(T251,'G-7 WaterC'' Data'!$H$3:$L$3,0)),"")</f>
        <v/>
      </c>
      <c r="V251" s="95"/>
      <c r="W251" s="298" t="str">
        <f>IF(V251="","",IF(VLOOKUP(V251,'G-7 WaterC'' Data'!$AK$4:$AM$6,2,FALSE)=0,"Spatial Data Missing ⚠",VLOOKUP(V251,'G-7 WaterC'' Data'!$AK$4:$AM$6,2,FALSE)))</f>
        <v/>
      </c>
      <c r="X251" s="291" t="str">
        <f>IF(V251="","",IF(VLOOKUP(V251,'G-7 WaterC'' Data'!$AK$4:$AM$6,3,FALSE)=0,"Spatial Data Missing ⚠",VLOOKUP(V251,'G-7 WaterC'' Data'!$AK$4:$AM$6,3,FALSE)))</f>
        <v/>
      </c>
      <c r="Y251" s="290" t="str">
        <f>IFERROR(IF(OR(LEFT(P251,5)="Error",LEFT(O251,5)="Error ▲"),"Check Data ⚠",IF(F251&lt;S251,'G-7 WaterC'' Data'!$R$3,INDEX('G-7 WaterC'' Data'!$U$5:$Y$9,MATCH(G251,'G-7 WaterC'' Data'!$T$5:$T$9,0),MATCH(T251,'G-7 WaterC'' Data'!$U$4:$Y$4,0)))),"")</f>
        <v/>
      </c>
      <c r="Z251" s="138"/>
      <c r="AA251" s="138"/>
      <c r="AB251" s="298" t="str">
        <f t="shared" si="30"/>
        <v/>
      </c>
      <c r="AC251" s="311" t="str">
        <f t="shared" si="31"/>
        <v/>
      </c>
      <c r="AD251" s="344" t="str">
        <f>IFERROR(IF(AC251="Check Data ⚠","Check Data ⚠",VLOOKUP(AC251,'G-4 Temporal multipliers'!$A$4:$C$37,3,FALSE)),"")</f>
        <v/>
      </c>
      <c r="AE251" s="290" t="str">
        <f>IF(N251="","",VLOOKUP(N251,'G-7 WaterC'' Data'!$B$4:$G$8,5,FALSE))</f>
        <v/>
      </c>
      <c r="AF251" s="298" t="str">
        <f t="shared" si="32"/>
        <v/>
      </c>
      <c r="AG251" s="328" t="str">
        <f t="shared" si="33"/>
        <v/>
      </c>
      <c r="AH251" s="291" t="str">
        <f t="shared" si="27"/>
        <v/>
      </c>
      <c r="AI251" s="103"/>
      <c r="AJ251" s="291" t="str">
        <f>IF(AI251="","",IF(AND(AI251="N/A - Culvert",N251&lt;&gt;"Culvert"),"Not possible ▲",IF(VLOOKUP(AI251,'G-7 WaterC'' Data'!$AA$4:$AB$7,2,FALSE)=0,"Spatial Data Missing ⚠",VLOOKUP(AI251,'G-7 WaterC'' Data'!$AA$4:$AB$7,2,FALSE))))</f>
        <v/>
      </c>
      <c r="AK251" s="104"/>
      <c r="AL251" s="291" t="str">
        <f>IF(AK251="","",IF(AND(AK251="N/A - Culvert",N251&lt;&gt;"Culvert"),"Not possible ▲",IF(VLOOKUP(AK251,'G-7 WaterC'' Data'!$AD$4:$AE$14,2,FALSE)=0,"Spatial Data Missing ⚠",VLOOKUP(AK251,'G-7 WaterC'' Data'!$AD$4:$AE$14,2,FALSE))))</f>
        <v/>
      </c>
      <c r="AM251" s="332" t="str">
        <f t="shared" si="34"/>
        <v/>
      </c>
      <c r="AN251" s="98"/>
      <c r="AO251" s="99"/>
      <c r="AP251" s="101"/>
      <c r="AS251" s="15" t="str">
        <f>IF(B251="","",IF(ISNA(VLOOKUP($B251,'C-1 On-Site WaterC'' Baseline'!$C$8:$AD$257,17,FALSE)),"",(VLOOKUP($B251,'C-1 On-Site WaterC'' Baseline'!$C$8:$AD$257,17,FALSE))))</f>
        <v/>
      </c>
      <c r="AT251" s="15" t="str">
        <f>IF(B251="","",VLOOKUP($B251,'C-1 On-Site WaterC'' Baseline'!$C$9:$Z$257,12,FALSE))</f>
        <v/>
      </c>
      <c r="AU251" s="15" t="str">
        <f>IF(B251="","",VLOOKUP($B251,'C-1 On-Site WaterC'' Baseline'!$C$9:$Z$257,14,FALSE))</f>
        <v/>
      </c>
      <c r="AV251" s="15" t="str">
        <f>IFERROR(INDEX('G-7 WaterC'' Data'!$AZ$3:$AZ$7,MATCH(N251,'G-7 WaterC'' Data'!$AY$3:$AY$7,0)),"")</f>
        <v/>
      </c>
      <c r="AX251" s="15" t="str">
        <f>IF(B251="","",VLOOKUP($B251,'C-1 On-Site WaterC'' Baseline'!$C$9:$Y$257,22,FALSE))</f>
        <v/>
      </c>
      <c r="AY251" s="15" t="str">
        <f t="shared" si="35"/>
        <v/>
      </c>
      <c r="AZ251" s="15" t="str">
        <f>IF(B251="","",VLOOKUP($B251,'C-1 On-Site WaterC'' Baseline'!$C$9:$Y$257,21,FALSE))</f>
        <v/>
      </c>
      <c r="BA251" s="15" t="str">
        <f>IF(B251="","",VLOOKUP($B251,'C-1 On-Site WaterC'' Baseline'!$C$9:$Y$257,19,FALSE))</f>
        <v/>
      </c>
    </row>
    <row r="252" spans="2:53" ht="14" x14ac:dyDescent="0.3">
      <c r="B252" s="319" t="str">
        <f>'C-1 On-Site WaterC'' Baseline'!AP250</f>
        <v/>
      </c>
      <c r="C252" s="310" t="str">
        <f>IF(B252="","",VLOOKUP($B252,'C-1 On-Site WaterC'' Baseline'!$C$9:$R$257,2,FALSE))</f>
        <v/>
      </c>
      <c r="D252" s="310" t="str">
        <f>IF(C252="","",VLOOKUP($B252,'C-1 On-Site WaterC'' Baseline'!$C$9:$R$257,3,FALSE))</f>
        <v/>
      </c>
      <c r="E252" s="310" t="str">
        <f>IF(D252="","",VLOOKUP($B252,'C-1 On-Site WaterC'' Baseline'!$C$9:$R$257,4,FALSE))</f>
        <v/>
      </c>
      <c r="F252" s="310" t="str">
        <f>IF(E252="","",VLOOKUP($B252,'C-1 On-Site WaterC'' Baseline'!$C$9:$R$257,5,FALSE))</f>
        <v/>
      </c>
      <c r="G252" s="310" t="str">
        <f>IF(F252="","",VLOOKUP($B252,'C-1 On-Site WaterC'' Baseline'!$C$9:$R$257,6,FALSE))</f>
        <v/>
      </c>
      <c r="H252" s="310" t="str">
        <f>IF(G252="","",VLOOKUP($B252,'C-1 On-Site WaterC'' Baseline'!$C$9:$R$257,7,FALSE))</f>
        <v/>
      </c>
      <c r="I252" s="310" t="str">
        <f>IF(H252="","",VLOOKUP($B252,'C-1 On-Site WaterC'' Baseline'!$C$9:$R$257,8,FALSE))</f>
        <v/>
      </c>
      <c r="J252" s="310" t="str">
        <f>IF(I252="","",VLOOKUP($B252,'C-1 On-Site WaterC'' Baseline'!$C$9:$R$257,9,FALSE))</f>
        <v/>
      </c>
      <c r="K252" s="310" t="str">
        <f>IF(J252="","",VLOOKUP($B252,'C-1 On-Site WaterC'' Baseline'!$C$9:$R$257,10,FALSE))</f>
        <v/>
      </c>
      <c r="L252" s="310" t="str">
        <f>IF(B252="","",VLOOKUP($B252,'C-1 On-Site WaterC'' Baseline'!$C$9:$R$257,15,FALSE))</f>
        <v/>
      </c>
      <c r="M252" s="314" t="str">
        <f>IF(L252="","",VLOOKUP($B252,'C-1 On-Site WaterC'' Baseline'!$C$9:$R$257,16,FALSE))</f>
        <v/>
      </c>
      <c r="N252" s="259"/>
      <c r="O252" s="290" t="str">
        <f t="shared" si="28"/>
        <v/>
      </c>
      <c r="P252" s="291" t="str">
        <f t="shared" si="29"/>
        <v/>
      </c>
      <c r="Q252" s="346" t="str">
        <f>IF(N252="","",VLOOKUP(B252,'C-1 On-Site WaterC'' Baseline'!$C$10:$AC$257,20,FALSE))</f>
        <v/>
      </c>
      <c r="R252" s="290" t="str">
        <f>IF(N252="","",VLOOKUP(N252,'G-7 WaterC'' Data'!$B$2:$G$8,2,FALSE))</f>
        <v/>
      </c>
      <c r="S252" s="291" t="str">
        <f>IFERROR(VLOOKUP(R252,'G-7 WaterC'' Data'!$C$4:$D$8,2,FALSE),"")</f>
        <v/>
      </c>
      <c r="T252" s="95"/>
      <c r="U252" s="291" t="str">
        <f>IFERROR(INDEX('G-7 WaterC'' Data'!$H$4:$L$8,MATCH(N252,'G-7 WaterC'' Data'!$B$4:$B$8,0),MATCH(T252,'G-7 WaterC'' Data'!$H$3:$L$3,0)),"")</f>
        <v/>
      </c>
      <c r="V252" s="95"/>
      <c r="W252" s="298" t="str">
        <f>IF(V252="","",IF(VLOOKUP(V252,'G-7 WaterC'' Data'!$AK$4:$AM$6,2,FALSE)=0,"Spatial Data Missing ⚠",VLOOKUP(V252,'G-7 WaterC'' Data'!$AK$4:$AM$6,2,FALSE)))</f>
        <v/>
      </c>
      <c r="X252" s="291" t="str">
        <f>IF(V252="","",IF(VLOOKUP(V252,'G-7 WaterC'' Data'!$AK$4:$AM$6,3,FALSE)=0,"Spatial Data Missing ⚠",VLOOKUP(V252,'G-7 WaterC'' Data'!$AK$4:$AM$6,3,FALSE)))</f>
        <v/>
      </c>
      <c r="Y252" s="290" t="str">
        <f>IFERROR(IF(OR(LEFT(P252,5)="Error",LEFT(O252,5)="Error ▲"),"Check Data ⚠",IF(F252&lt;S252,'G-7 WaterC'' Data'!$R$3,INDEX('G-7 WaterC'' Data'!$U$5:$Y$9,MATCH(G252,'G-7 WaterC'' Data'!$T$5:$T$9,0),MATCH(T252,'G-7 WaterC'' Data'!$U$4:$Y$4,0)))),"")</f>
        <v/>
      </c>
      <c r="Z252" s="138"/>
      <c r="AA252" s="138"/>
      <c r="AB252" s="298" t="str">
        <f t="shared" si="30"/>
        <v/>
      </c>
      <c r="AC252" s="311" t="str">
        <f t="shared" si="31"/>
        <v/>
      </c>
      <c r="AD252" s="344" t="str">
        <f>IFERROR(IF(AC252="Check Data ⚠","Check Data ⚠",VLOOKUP(AC252,'G-4 Temporal multipliers'!$A$4:$C$37,3,FALSE)),"")</f>
        <v/>
      </c>
      <c r="AE252" s="290" t="str">
        <f>IF(N252="","",VLOOKUP(N252,'G-7 WaterC'' Data'!$B$4:$G$8,5,FALSE))</f>
        <v/>
      </c>
      <c r="AF252" s="298" t="str">
        <f t="shared" si="32"/>
        <v/>
      </c>
      <c r="AG252" s="328" t="str">
        <f t="shared" si="33"/>
        <v/>
      </c>
      <c r="AH252" s="291" t="str">
        <f t="shared" si="27"/>
        <v/>
      </c>
      <c r="AI252" s="103"/>
      <c r="AJ252" s="291" t="str">
        <f>IF(AI252="","",IF(AND(AI252="N/A - Culvert",N252&lt;&gt;"Culvert"),"Not possible ▲",IF(VLOOKUP(AI252,'G-7 WaterC'' Data'!$AA$4:$AB$7,2,FALSE)=0,"Spatial Data Missing ⚠",VLOOKUP(AI252,'G-7 WaterC'' Data'!$AA$4:$AB$7,2,FALSE))))</f>
        <v/>
      </c>
      <c r="AK252" s="104"/>
      <c r="AL252" s="291" t="str">
        <f>IF(AK252="","",IF(AND(AK252="N/A - Culvert",N252&lt;&gt;"Culvert"),"Not possible ▲",IF(VLOOKUP(AK252,'G-7 WaterC'' Data'!$AD$4:$AE$14,2,FALSE)=0,"Spatial Data Missing ⚠",VLOOKUP(AK252,'G-7 WaterC'' Data'!$AD$4:$AE$14,2,FALSE))))</f>
        <v/>
      </c>
      <c r="AM252" s="332" t="str">
        <f t="shared" si="34"/>
        <v/>
      </c>
      <c r="AN252" s="98"/>
      <c r="AO252" s="99"/>
      <c r="AP252" s="101"/>
      <c r="AS252" s="15" t="str">
        <f>IF(B252="","",IF(ISNA(VLOOKUP($B252,'C-1 On-Site WaterC'' Baseline'!$C$8:$AD$257,17,FALSE)),"",(VLOOKUP($B252,'C-1 On-Site WaterC'' Baseline'!$C$8:$AD$257,17,FALSE))))</f>
        <v/>
      </c>
      <c r="AT252" s="15" t="str">
        <f>IF(B252="","",VLOOKUP($B252,'C-1 On-Site WaterC'' Baseline'!$C$9:$Z$257,12,FALSE))</f>
        <v/>
      </c>
      <c r="AU252" s="15" t="str">
        <f>IF(B252="","",VLOOKUP($B252,'C-1 On-Site WaterC'' Baseline'!$C$9:$Z$257,14,FALSE))</f>
        <v/>
      </c>
      <c r="AV252" s="15" t="str">
        <f>IFERROR(INDEX('G-7 WaterC'' Data'!$AZ$3:$AZ$7,MATCH(N252,'G-7 WaterC'' Data'!$AY$3:$AY$7,0)),"")</f>
        <v/>
      </c>
      <c r="AX252" s="15" t="str">
        <f>IF(B252="","",VLOOKUP($B252,'C-1 On-Site WaterC'' Baseline'!$C$9:$Y$257,22,FALSE))</f>
        <v/>
      </c>
      <c r="AY252" s="15" t="str">
        <f t="shared" si="35"/>
        <v/>
      </c>
      <c r="AZ252" s="15" t="str">
        <f>IF(B252="","",VLOOKUP($B252,'C-1 On-Site WaterC'' Baseline'!$C$9:$Y$257,21,FALSE))</f>
        <v/>
      </c>
      <c r="BA252" s="15" t="str">
        <f>IF(B252="","",VLOOKUP($B252,'C-1 On-Site WaterC'' Baseline'!$C$9:$Y$257,19,FALSE))</f>
        <v/>
      </c>
    </row>
    <row r="253" spans="2:53" ht="14" x14ac:dyDescent="0.3">
      <c r="B253" s="319" t="str">
        <f>'C-1 On-Site WaterC'' Baseline'!AP251</f>
        <v/>
      </c>
      <c r="C253" s="310" t="str">
        <f>IF(B253="","",VLOOKUP($B253,'C-1 On-Site WaterC'' Baseline'!$C$9:$R$257,2,FALSE))</f>
        <v/>
      </c>
      <c r="D253" s="310" t="str">
        <f>IF(C253="","",VLOOKUP($B253,'C-1 On-Site WaterC'' Baseline'!$C$9:$R$257,3,FALSE))</f>
        <v/>
      </c>
      <c r="E253" s="310" t="str">
        <f>IF(D253="","",VLOOKUP($B253,'C-1 On-Site WaterC'' Baseline'!$C$9:$R$257,4,FALSE))</f>
        <v/>
      </c>
      <c r="F253" s="310" t="str">
        <f>IF(E253="","",VLOOKUP($B253,'C-1 On-Site WaterC'' Baseline'!$C$9:$R$257,5,FALSE))</f>
        <v/>
      </c>
      <c r="G253" s="310" t="str">
        <f>IF(F253="","",VLOOKUP($B253,'C-1 On-Site WaterC'' Baseline'!$C$9:$R$257,6,FALSE))</f>
        <v/>
      </c>
      <c r="H253" s="310" t="str">
        <f>IF(G253="","",VLOOKUP($B253,'C-1 On-Site WaterC'' Baseline'!$C$9:$R$257,7,FALSE))</f>
        <v/>
      </c>
      <c r="I253" s="310" t="str">
        <f>IF(H253="","",VLOOKUP($B253,'C-1 On-Site WaterC'' Baseline'!$C$9:$R$257,8,FALSE))</f>
        <v/>
      </c>
      <c r="J253" s="310" t="str">
        <f>IF(I253="","",VLOOKUP($B253,'C-1 On-Site WaterC'' Baseline'!$C$9:$R$257,9,FALSE))</f>
        <v/>
      </c>
      <c r="K253" s="310" t="str">
        <f>IF(J253="","",VLOOKUP($B253,'C-1 On-Site WaterC'' Baseline'!$C$9:$R$257,10,FALSE))</f>
        <v/>
      </c>
      <c r="L253" s="310" t="str">
        <f>IF(B253="","",VLOOKUP($B253,'C-1 On-Site WaterC'' Baseline'!$C$9:$R$257,15,FALSE))</f>
        <v/>
      </c>
      <c r="M253" s="314" t="str">
        <f>IF(L253="","",VLOOKUP($B253,'C-1 On-Site WaterC'' Baseline'!$C$9:$R$257,16,FALSE))</f>
        <v/>
      </c>
      <c r="N253" s="259"/>
      <c r="O253" s="290" t="str">
        <f t="shared" si="28"/>
        <v/>
      </c>
      <c r="P253" s="291" t="str">
        <f t="shared" si="29"/>
        <v/>
      </c>
      <c r="Q253" s="346" t="str">
        <f>IF(N253="","",VLOOKUP(B253,'C-1 On-Site WaterC'' Baseline'!$C$10:$AC$257,20,FALSE))</f>
        <v/>
      </c>
      <c r="R253" s="290" t="str">
        <f>IF(N253="","",VLOOKUP(N253,'G-7 WaterC'' Data'!$B$2:$G$8,2,FALSE))</f>
        <v/>
      </c>
      <c r="S253" s="291" t="str">
        <f>IFERROR(VLOOKUP(R253,'G-7 WaterC'' Data'!$C$4:$D$8,2,FALSE),"")</f>
        <v/>
      </c>
      <c r="T253" s="95"/>
      <c r="U253" s="291" t="str">
        <f>IFERROR(INDEX('G-7 WaterC'' Data'!$H$4:$L$8,MATCH(N253,'G-7 WaterC'' Data'!$B$4:$B$8,0),MATCH(T253,'G-7 WaterC'' Data'!$H$3:$L$3,0)),"")</f>
        <v/>
      </c>
      <c r="V253" s="95"/>
      <c r="W253" s="298" t="str">
        <f>IF(V253="","",IF(VLOOKUP(V253,'G-7 WaterC'' Data'!$AK$4:$AM$6,2,FALSE)=0,"Spatial Data Missing ⚠",VLOOKUP(V253,'G-7 WaterC'' Data'!$AK$4:$AM$6,2,FALSE)))</f>
        <v/>
      </c>
      <c r="X253" s="291" t="str">
        <f>IF(V253="","",IF(VLOOKUP(V253,'G-7 WaterC'' Data'!$AK$4:$AM$6,3,FALSE)=0,"Spatial Data Missing ⚠",VLOOKUP(V253,'G-7 WaterC'' Data'!$AK$4:$AM$6,3,FALSE)))</f>
        <v/>
      </c>
      <c r="Y253" s="290" t="str">
        <f>IFERROR(IF(OR(LEFT(P253,5)="Error",LEFT(O253,5)="Error ▲"),"Check Data ⚠",IF(F253&lt;S253,'G-7 WaterC'' Data'!$R$3,INDEX('G-7 WaterC'' Data'!$U$5:$Y$9,MATCH(G253,'G-7 WaterC'' Data'!$T$5:$T$9,0),MATCH(T253,'G-7 WaterC'' Data'!$U$4:$Y$4,0)))),"")</f>
        <v/>
      </c>
      <c r="Z253" s="138"/>
      <c r="AA253" s="138"/>
      <c r="AB253" s="298" t="str">
        <f t="shared" si="30"/>
        <v/>
      </c>
      <c r="AC253" s="311" t="str">
        <f t="shared" si="31"/>
        <v/>
      </c>
      <c r="AD253" s="344" t="str">
        <f>IFERROR(IF(AC253="Check Data ⚠","Check Data ⚠",VLOOKUP(AC253,'G-4 Temporal multipliers'!$A$4:$C$37,3,FALSE)),"")</f>
        <v/>
      </c>
      <c r="AE253" s="290" t="str">
        <f>IF(N253="","",VLOOKUP(N253,'G-7 WaterC'' Data'!$B$4:$G$8,5,FALSE))</f>
        <v/>
      </c>
      <c r="AF253" s="298" t="str">
        <f t="shared" si="32"/>
        <v/>
      </c>
      <c r="AG253" s="328" t="str">
        <f t="shared" si="33"/>
        <v/>
      </c>
      <c r="AH253" s="291" t="str">
        <f t="shared" si="27"/>
        <v/>
      </c>
      <c r="AI253" s="103"/>
      <c r="AJ253" s="291" t="str">
        <f>IF(AI253="","",IF(AND(AI253="N/A - Culvert",N253&lt;&gt;"Culvert"),"Not possible ▲",IF(VLOOKUP(AI253,'G-7 WaterC'' Data'!$AA$4:$AB$7,2,FALSE)=0,"Spatial Data Missing ⚠",VLOOKUP(AI253,'G-7 WaterC'' Data'!$AA$4:$AB$7,2,FALSE))))</f>
        <v/>
      </c>
      <c r="AK253" s="104"/>
      <c r="AL253" s="291" t="str">
        <f>IF(AK253="","",IF(AND(AK253="N/A - Culvert",N253&lt;&gt;"Culvert"),"Not possible ▲",IF(VLOOKUP(AK253,'G-7 WaterC'' Data'!$AD$4:$AE$14,2,FALSE)=0,"Spatial Data Missing ⚠",VLOOKUP(AK253,'G-7 WaterC'' Data'!$AD$4:$AE$14,2,FALSE))))</f>
        <v/>
      </c>
      <c r="AM253" s="332" t="str">
        <f t="shared" si="34"/>
        <v/>
      </c>
      <c r="AN253" s="98"/>
      <c r="AO253" s="99"/>
      <c r="AP253" s="101"/>
      <c r="AS253" s="15" t="str">
        <f>IF(B253="","",IF(ISNA(VLOOKUP($B253,'C-1 On-Site WaterC'' Baseline'!$C$8:$AD$257,17,FALSE)),"",(VLOOKUP($B253,'C-1 On-Site WaterC'' Baseline'!$C$8:$AD$257,17,FALSE))))</f>
        <v/>
      </c>
      <c r="AT253" s="15" t="str">
        <f>IF(B253="","",VLOOKUP($B253,'C-1 On-Site WaterC'' Baseline'!$C$9:$Z$257,12,FALSE))</f>
        <v/>
      </c>
      <c r="AU253" s="15" t="str">
        <f>IF(B253="","",VLOOKUP($B253,'C-1 On-Site WaterC'' Baseline'!$C$9:$Z$257,14,FALSE))</f>
        <v/>
      </c>
      <c r="AV253" s="15" t="str">
        <f>IFERROR(INDEX('G-7 WaterC'' Data'!$AZ$3:$AZ$7,MATCH(N253,'G-7 WaterC'' Data'!$AY$3:$AY$7,0)),"")</f>
        <v/>
      </c>
      <c r="AX253" s="15" t="str">
        <f>IF(B253="","",VLOOKUP($B253,'C-1 On-Site WaterC'' Baseline'!$C$9:$Y$257,22,FALSE))</f>
        <v/>
      </c>
      <c r="AY253" s="15" t="str">
        <f t="shared" si="35"/>
        <v/>
      </c>
      <c r="AZ253" s="15" t="str">
        <f>IF(B253="","",VLOOKUP($B253,'C-1 On-Site WaterC'' Baseline'!$C$9:$Y$257,21,FALSE))</f>
        <v/>
      </c>
      <c r="BA253" s="15" t="str">
        <f>IF(B253="","",VLOOKUP($B253,'C-1 On-Site WaterC'' Baseline'!$C$9:$Y$257,19,FALSE))</f>
        <v/>
      </c>
    </row>
    <row r="254" spans="2:53" ht="14" x14ac:dyDescent="0.3">
      <c r="B254" s="319" t="str">
        <f>'C-1 On-Site WaterC'' Baseline'!AP252</f>
        <v/>
      </c>
      <c r="C254" s="310" t="str">
        <f>IF(B254="","",VLOOKUP($B254,'C-1 On-Site WaterC'' Baseline'!$C$9:$R$257,2,FALSE))</f>
        <v/>
      </c>
      <c r="D254" s="310" t="str">
        <f>IF(C254="","",VLOOKUP($B254,'C-1 On-Site WaterC'' Baseline'!$C$9:$R$257,3,FALSE))</f>
        <v/>
      </c>
      <c r="E254" s="310" t="str">
        <f>IF(D254="","",VLOOKUP($B254,'C-1 On-Site WaterC'' Baseline'!$C$9:$R$257,4,FALSE))</f>
        <v/>
      </c>
      <c r="F254" s="310" t="str">
        <f>IF(E254="","",VLOOKUP($B254,'C-1 On-Site WaterC'' Baseline'!$C$9:$R$257,5,FALSE))</f>
        <v/>
      </c>
      <c r="G254" s="310" t="str">
        <f>IF(F254="","",VLOOKUP($B254,'C-1 On-Site WaterC'' Baseline'!$C$9:$R$257,6,FALSE))</f>
        <v/>
      </c>
      <c r="H254" s="310" t="str">
        <f>IF(G254="","",VLOOKUP($B254,'C-1 On-Site WaterC'' Baseline'!$C$9:$R$257,7,FALSE))</f>
        <v/>
      </c>
      <c r="I254" s="310" t="str">
        <f>IF(H254="","",VLOOKUP($B254,'C-1 On-Site WaterC'' Baseline'!$C$9:$R$257,8,FALSE))</f>
        <v/>
      </c>
      <c r="J254" s="310" t="str">
        <f>IF(I254="","",VLOOKUP($B254,'C-1 On-Site WaterC'' Baseline'!$C$9:$R$257,9,FALSE))</f>
        <v/>
      </c>
      <c r="K254" s="310" t="str">
        <f>IF(J254="","",VLOOKUP($B254,'C-1 On-Site WaterC'' Baseline'!$C$9:$R$257,10,FALSE))</f>
        <v/>
      </c>
      <c r="L254" s="310" t="str">
        <f>IF(B254="","",VLOOKUP($B254,'C-1 On-Site WaterC'' Baseline'!$C$9:$R$257,15,FALSE))</f>
        <v/>
      </c>
      <c r="M254" s="314" t="str">
        <f>IF(L254="","",VLOOKUP($B254,'C-1 On-Site WaterC'' Baseline'!$C$9:$R$257,16,FALSE))</f>
        <v/>
      </c>
      <c r="N254" s="259"/>
      <c r="O254" s="290" t="str">
        <f t="shared" si="28"/>
        <v/>
      </c>
      <c r="P254" s="291" t="str">
        <f t="shared" si="29"/>
        <v/>
      </c>
      <c r="Q254" s="346" t="str">
        <f>IF(N254="","",VLOOKUP(B254,'C-1 On-Site WaterC'' Baseline'!$C$10:$AC$257,20,FALSE))</f>
        <v/>
      </c>
      <c r="R254" s="290" t="str">
        <f>IF(N254="","",VLOOKUP(N254,'G-7 WaterC'' Data'!$B$2:$G$8,2,FALSE))</f>
        <v/>
      </c>
      <c r="S254" s="291" t="str">
        <f>IFERROR(VLOOKUP(R254,'G-7 WaterC'' Data'!$C$4:$D$8,2,FALSE),"")</f>
        <v/>
      </c>
      <c r="T254" s="95"/>
      <c r="U254" s="291" t="str">
        <f>IFERROR(INDEX('G-7 WaterC'' Data'!$H$4:$L$8,MATCH(N254,'G-7 WaterC'' Data'!$B$4:$B$8,0),MATCH(T254,'G-7 WaterC'' Data'!$H$3:$L$3,0)),"")</f>
        <v/>
      </c>
      <c r="V254" s="95"/>
      <c r="W254" s="298" t="str">
        <f>IF(V254="","",IF(VLOOKUP(V254,'G-7 WaterC'' Data'!$AK$4:$AM$6,2,FALSE)=0,"Spatial Data Missing ⚠",VLOOKUP(V254,'G-7 WaterC'' Data'!$AK$4:$AM$6,2,FALSE)))</f>
        <v/>
      </c>
      <c r="X254" s="291" t="str">
        <f>IF(V254="","",IF(VLOOKUP(V254,'G-7 WaterC'' Data'!$AK$4:$AM$6,3,FALSE)=0,"Spatial Data Missing ⚠",VLOOKUP(V254,'G-7 WaterC'' Data'!$AK$4:$AM$6,3,FALSE)))</f>
        <v/>
      </c>
      <c r="Y254" s="290" t="str">
        <f>IFERROR(IF(OR(LEFT(P254,5)="Error",LEFT(O254,5)="Error ▲"),"Check Data ⚠",IF(F254&lt;S254,'G-7 WaterC'' Data'!$R$3,INDEX('G-7 WaterC'' Data'!$U$5:$Y$9,MATCH(G254,'G-7 WaterC'' Data'!$T$5:$T$9,0),MATCH(T254,'G-7 WaterC'' Data'!$U$4:$Y$4,0)))),"")</f>
        <v/>
      </c>
      <c r="Z254" s="138"/>
      <c r="AA254" s="138"/>
      <c r="AB254" s="298" t="str">
        <f t="shared" si="30"/>
        <v/>
      </c>
      <c r="AC254" s="311" t="str">
        <f t="shared" si="31"/>
        <v/>
      </c>
      <c r="AD254" s="344" t="str">
        <f>IFERROR(IF(AC254="Check Data ⚠","Check Data ⚠",VLOOKUP(AC254,'G-4 Temporal multipliers'!$A$4:$C$37,3,FALSE)),"")</f>
        <v/>
      </c>
      <c r="AE254" s="290" t="str">
        <f>IF(N254="","",VLOOKUP(N254,'G-7 WaterC'' Data'!$B$4:$G$8,5,FALSE))</f>
        <v/>
      </c>
      <c r="AF254" s="298" t="str">
        <f t="shared" si="32"/>
        <v/>
      </c>
      <c r="AG254" s="328" t="str">
        <f t="shared" si="33"/>
        <v/>
      </c>
      <c r="AH254" s="291" t="str">
        <f t="shared" si="27"/>
        <v/>
      </c>
      <c r="AI254" s="103"/>
      <c r="AJ254" s="291" t="str">
        <f>IF(AI254="","",IF(AND(AI254="N/A - Culvert",N254&lt;&gt;"Culvert"),"Not possible ▲",IF(VLOOKUP(AI254,'G-7 WaterC'' Data'!$AA$4:$AB$7,2,FALSE)=0,"Spatial Data Missing ⚠",VLOOKUP(AI254,'G-7 WaterC'' Data'!$AA$4:$AB$7,2,FALSE))))</f>
        <v/>
      </c>
      <c r="AK254" s="104"/>
      <c r="AL254" s="291" t="str">
        <f>IF(AK254="","",IF(AND(AK254="N/A - Culvert",N254&lt;&gt;"Culvert"),"Not possible ▲",IF(VLOOKUP(AK254,'G-7 WaterC'' Data'!$AD$4:$AE$14,2,FALSE)=0,"Spatial Data Missing ⚠",VLOOKUP(AK254,'G-7 WaterC'' Data'!$AD$4:$AE$14,2,FALSE))))</f>
        <v/>
      </c>
      <c r="AM254" s="332" t="str">
        <f t="shared" si="34"/>
        <v/>
      </c>
      <c r="AN254" s="98"/>
      <c r="AO254" s="99"/>
      <c r="AP254" s="101"/>
      <c r="AS254" s="15" t="str">
        <f>IF(B254="","",IF(ISNA(VLOOKUP($B254,'C-1 On-Site WaterC'' Baseline'!$C$8:$AD$257,17,FALSE)),"",(VLOOKUP($B254,'C-1 On-Site WaterC'' Baseline'!$C$8:$AD$257,17,FALSE))))</f>
        <v/>
      </c>
      <c r="AT254" s="15" t="str">
        <f>IF(B254="","",VLOOKUP($B254,'C-1 On-Site WaterC'' Baseline'!$C$9:$Z$257,12,FALSE))</f>
        <v/>
      </c>
      <c r="AU254" s="15" t="str">
        <f>IF(B254="","",VLOOKUP($B254,'C-1 On-Site WaterC'' Baseline'!$C$9:$Z$257,14,FALSE))</f>
        <v/>
      </c>
      <c r="AV254" s="15" t="str">
        <f>IFERROR(INDEX('G-7 WaterC'' Data'!$AZ$3:$AZ$7,MATCH(N254,'G-7 WaterC'' Data'!$AY$3:$AY$7,0)),"")</f>
        <v/>
      </c>
      <c r="AX254" s="15" t="str">
        <f>IF(B254="","",VLOOKUP($B254,'C-1 On-Site WaterC'' Baseline'!$C$9:$Y$257,22,FALSE))</f>
        <v/>
      </c>
      <c r="AY254" s="15" t="str">
        <f t="shared" si="35"/>
        <v/>
      </c>
      <c r="AZ254" s="15" t="str">
        <f>IF(B254="","",VLOOKUP($B254,'C-1 On-Site WaterC'' Baseline'!$C$9:$Y$257,21,FALSE))</f>
        <v/>
      </c>
      <c r="BA254" s="15" t="str">
        <f>IF(B254="","",VLOOKUP($B254,'C-1 On-Site WaterC'' Baseline'!$C$9:$Y$257,19,FALSE))</f>
        <v/>
      </c>
    </row>
    <row r="255" spans="2:53" ht="14" x14ac:dyDescent="0.3">
      <c r="B255" s="319" t="str">
        <f>'C-1 On-Site WaterC'' Baseline'!AP253</f>
        <v/>
      </c>
      <c r="C255" s="310" t="str">
        <f>IF(B255="","",VLOOKUP($B255,'C-1 On-Site WaterC'' Baseline'!$C$9:$R$257,2,FALSE))</f>
        <v/>
      </c>
      <c r="D255" s="310" t="str">
        <f>IF(C255="","",VLOOKUP($B255,'C-1 On-Site WaterC'' Baseline'!$C$9:$R$257,3,FALSE))</f>
        <v/>
      </c>
      <c r="E255" s="310" t="str">
        <f>IF(D255="","",VLOOKUP($B255,'C-1 On-Site WaterC'' Baseline'!$C$9:$R$257,4,FALSE))</f>
        <v/>
      </c>
      <c r="F255" s="310" t="str">
        <f>IF(E255="","",VLOOKUP($B255,'C-1 On-Site WaterC'' Baseline'!$C$9:$R$257,5,FALSE))</f>
        <v/>
      </c>
      <c r="G255" s="310" t="str">
        <f>IF(F255="","",VLOOKUP($B255,'C-1 On-Site WaterC'' Baseline'!$C$9:$R$257,6,FALSE))</f>
        <v/>
      </c>
      <c r="H255" s="310" t="str">
        <f>IF(G255="","",VLOOKUP($B255,'C-1 On-Site WaterC'' Baseline'!$C$9:$R$257,7,FALSE))</f>
        <v/>
      </c>
      <c r="I255" s="310" t="str">
        <f>IF(H255="","",VLOOKUP($B255,'C-1 On-Site WaterC'' Baseline'!$C$9:$R$257,8,FALSE))</f>
        <v/>
      </c>
      <c r="J255" s="310" t="str">
        <f>IF(I255="","",VLOOKUP($B255,'C-1 On-Site WaterC'' Baseline'!$C$9:$R$257,9,FALSE))</f>
        <v/>
      </c>
      <c r="K255" s="310" t="str">
        <f>IF(J255="","",VLOOKUP($B255,'C-1 On-Site WaterC'' Baseline'!$C$9:$R$257,10,FALSE))</f>
        <v/>
      </c>
      <c r="L255" s="310" t="str">
        <f>IF(B255="","",VLOOKUP($B255,'C-1 On-Site WaterC'' Baseline'!$C$9:$R$257,15,FALSE))</f>
        <v/>
      </c>
      <c r="M255" s="314" t="str">
        <f>IF(L255="","",VLOOKUP($B255,'C-1 On-Site WaterC'' Baseline'!$C$9:$R$257,16,FALSE))</f>
        <v/>
      </c>
      <c r="N255" s="259"/>
      <c r="O255" s="290" t="str">
        <f t="shared" si="28"/>
        <v/>
      </c>
      <c r="P255" s="291" t="str">
        <f t="shared" si="29"/>
        <v/>
      </c>
      <c r="Q255" s="346" t="str">
        <f>IF(N255="","",VLOOKUP(B255,'C-1 On-Site WaterC'' Baseline'!$C$10:$AC$257,20,FALSE))</f>
        <v/>
      </c>
      <c r="R255" s="290" t="str">
        <f>IF(N255="","",VLOOKUP(N255,'G-7 WaterC'' Data'!$B$2:$G$8,2,FALSE))</f>
        <v/>
      </c>
      <c r="S255" s="291" t="str">
        <f>IFERROR(VLOOKUP(R255,'G-7 WaterC'' Data'!$C$4:$D$8,2,FALSE),"")</f>
        <v/>
      </c>
      <c r="T255" s="95"/>
      <c r="U255" s="291" t="str">
        <f>IFERROR(INDEX('G-7 WaterC'' Data'!$H$4:$L$8,MATCH(N255,'G-7 WaterC'' Data'!$B$4:$B$8,0),MATCH(T255,'G-7 WaterC'' Data'!$H$3:$L$3,0)),"")</f>
        <v/>
      </c>
      <c r="V255" s="95"/>
      <c r="W255" s="298" t="str">
        <f>IF(V255="","",IF(VLOOKUP(V255,'G-7 WaterC'' Data'!$AK$4:$AM$6,2,FALSE)=0,"Spatial Data Missing ⚠",VLOOKUP(V255,'G-7 WaterC'' Data'!$AK$4:$AM$6,2,FALSE)))</f>
        <v/>
      </c>
      <c r="X255" s="291" t="str">
        <f>IF(V255="","",IF(VLOOKUP(V255,'G-7 WaterC'' Data'!$AK$4:$AM$6,3,FALSE)=0,"Spatial Data Missing ⚠",VLOOKUP(V255,'G-7 WaterC'' Data'!$AK$4:$AM$6,3,FALSE)))</f>
        <v/>
      </c>
      <c r="Y255" s="290" t="str">
        <f>IFERROR(IF(OR(LEFT(P255,5)="Error",LEFT(O255,5)="Error ▲"),"Check Data ⚠",IF(F255&lt;S255,'G-7 WaterC'' Data'!$R$3,INDEX('G-7 WaterC'' Data'!$U$5:$Y$9,MATCH(G255,'G-7 WaterC'' Data'!$T$5:$T$9,0),MATCH(T255,'G-7 WaterC'' Data'!$U$4:$Y$4,0)))),"")</f>
        <v/>
      </c>
      <c r="Z255" s="138"/>
      <c r="AA255" s="138"/>
      <c r="AB255" s="298" t="str">
        <f t="shared" si="30"/>
        <v/>
      </c>
      <c r="AC255" s="311" t="str">
        <f t="shared" si="31"/>
        <v/>
      </c>
      <c r="AD255" s="344" t="str">
        <f>IFERROR(IF(AC255="Check Data ⚠","Check Data ⚠",VLOOKUP(AC255,'G-4 Temporal multipliers'!$A$4:$C$37,3,FALSE)),"")</f>
        <v/>
      </c>
      <c r="AE255" s="290" t="str">
        <f>IF(N255="","",VLOOKUP(N255,'G-7 WaterC'' Data'!$B$4:$G$8,5,FALSE))</f>
        <v/>
      </c>
      <c r="AF255" s="298" t="str">
        <f t="shared" si="32"/>
        <v/>
      </c>
      <c r="AG255" s="328" t="str">
        <f t="shared" si="33"/>
        <v/>
      </c>
      <c r="AH255" s="291" t="str">
        <f t="shared" si="27"/>
        <v/>
      </c>
      <c r="AI255" s="103"/>
      <c r="AJ255" s="291" t="str">
        <f>IF(AI255="","",IF(AND(AI255="N/A - Culvert",N255&lt;&gt;"Culvert"),"Not possible ▲",IF(VLOOKUP(AI255,'G-7 WaterC'' Data'!$AA$4:$AB$7,2,FALSE)=0,"Spatial Data Missing ⚠",VLOOKUP(AI255,'G-7 WaterC'' Data'!$AA$4:$AB$7,2,FALSE))))</f>
        <v/>
      </c>
      <c r="AK255" s="104"/>
      <c r="AL255" s="291" t="str">
        <f>IF(AK255="","",IF(AND(AK255="N/A - Culvert",N255&lt;&gt;"Culvert"),"Not possible ▲",IF(VLOOKUP(AK255,'G-7 WaterC'' Data'!$AD$4:$AE$14,2,FALSE)=0,"Spatial Data Missing ⚠",VLOOKUP(AK255,'G-7 WaterC'' Data'!$AD$4:$AE$14,2,FALSE))))</f>
        <v/>
      </c>
      <c r="AM255" s="332" t="str">
        <f t="shared" si="34"/>
        <v/>
      </c>
      <c r="AN255" s="98"/>
      <c r="AO255" s="99"/>
      <c r="AP255" s="101"/>
      <c r="AS255" s="15" t="str">
        <f>IF(B255="","",IF(ISNA(VLOOKUP($B255,'C-1 On-Site WaterC'' Baseline'!$C$8:$AD$257,17,FALSE)),"",(VLOOKUP($B255,'C-1 On-Site WaterC'' Baseline'!$C$8:$AD$257,17,FALSE))))</f>
        <v/>
      </c>
      <c r="AT255" s="15" t="str">
        <f>IF(B255="","",VLOOKUP($B255,'C-1 On-Site WaterC'' Baseline'!$C$9:$Z$257,12,FALSE))</f>
        <v/>
      </c>
      <c r="AU255" s="15" t="str">
        <f>IF(B255="","",VLOOKUP($B255,'C-1 On-Site WaterC'' Baseline'!$C$9:$Z$257,14,FALSE))</f>
        <v/>
      </c>
      <c r="AV255" s="15" t="str">
        <f>IFERROR(INDEX('G-7 WaterC'' Data'!$AZ$3:$AZ$7,MATCH(N255,'G-7 WaterC'' Data'!$AY$3:$AY$7,0)),"")</f>
        <v/>
      </c>
      <c r="AX255" s="15" t="str">
        <f>IF(B255="","",VLOOKUP($B255,'C-1 On-Site WaterC'' Baseline'!$C$9:$Y$257,22,FALSE))</f>
        <v/>
      </c>
      <c r="AY255" s="15" t="str">
        <f t="shared" si="35"/>
        <v/>
      </c>
      <c r="AZ255" s="15" t="str">
        <f>IF(B255="","",VLOOKUP($B255,'C-1 On-Site WaterC'' Baseline'!$C$9:$Y$257,21,FALSE))</f>
        <v/>
      </c>
      <c r="BA255" s="15" t="str">
        <f>IF(B255="","",VLOOKUP($B255,'C-1 On-Site WaterC'' Baseline'!$C$9:$Y$257,19,FALSE))</f>
        <v/>
      </c>
    </row>
    <row r="256" spans="2:53" ht="14" x14ac:dyDescent="0.3">
      <c r="B256" s="319" t="str">
        <f>'C-1 On-Site WaterC'' Baseline'!AP254</f>
        <v/>
      </c>
      <c r="C256" s="310" t="str">
        <f>IF(B256="","",VLOOKUP($B256,'C-1 On-Site WaterC'' Baseline'!$C$9:$R$257,2,FALSE))</f>
        <v/>
      </c>
      <c r="D256" s="310" t="str">
        <f>IF(C256="","",VLOOKUP($B256,'C-1 On-Site WaterC'' Baseline'!$C$9:$R$257,3,FALSE))</f>
        <v/>
      </c>
      <c r="E256" s="310" t="str">
        <f>IF(D256="","",VLOOKUP($B256,'C-1 On-Site WaterC'' Baseline'!$C$9:$R$257,4,FALSE))</f>
        <v/>
      </c>
      <c r="F256" s="310" t="str">
        <f>IF(E256="","",VLOOKUP($B256,'C-1 On-Site WaterC'' Baseline'!$C$9:$R$257,5,FALSE))</f>
        <v/>
      </c>
      <c r="G256" s="310" t="str">
        <f>IF(F256="","",VLOOKUP($B256,'C-1 On-Site WaterC'' Baseline'!$C$9:$R$257,6,FALSE))</f>
        <v/>
      </c>
      <c r="H256" s="310" t="str">
        <f>IF(G256="","",VLOOKUP($B256,'C-1 On-Site WaterC'' Baseline'!$C$9:$R$257,7,FALSE))</f>
        <v/>
      </c>
      <c r="I256" s="310" t="str">
        <f>IF(H256="","",VLOOKUP($B256,'C-1 On-Site WaterC'' Baseline'!$C$9:$R$257,8,FALSE))</f>
        <v/>
      </c>
      <c r="J256" s="310" t="str">
        <f>IF(I256="","",VLOOKUP($B256,'C-1 On-Site WaterC'' Baseline'!$C$9:$R$257,9,FALSE))</f>
        <v/>
      </c>
      <c r="K256" s="310" t="str">
        <f>IF(J256="","",VLOOKUP($B256,'C-1 On-Site WaterC'' Baseline'!$C$9:$R$257,10,FALSE))</f>
        <v/>
      </c>
      <c r="L256" s="310" t="str">
        <f>IF(B256="","",VLOOKUP($B256,'C-1 On-Site WaterC'' Baseline'!$C$9:$R$257,15,FALSE))</f>
        <v/>
      </c>
      <c r="M256" s="314" t="str">
        <f>IF(L256="","",VLOOKUP($B256,'C-1 On-Site WaterC'' Baseline'!$C$9:$R$257,16,FALSE))</f>
        <v/>
      </c>
      <c r="N256" s="259"/>
      <c r="O256" s="290" t="str">
        <f t="shared" si="28"/>
        <v/>
      </c>
      <c r="P256" s="291" t="str">
        <f t="shared" si="29"/>
        <v/>
      </c>
      <c r="Q256" s="346" t="str">
        <f>IF(N256="","",VLOOKUP(B256,'C-1 On-Site WaterC'' Baseline'!$C$10:$AC$257,20,FALSE))</f>
        <v/>
      </c>
      <c r="R256" s="290" t="str">
        <f>IF(N256="","",VLOOKUP(N256,'G-7 WaterC'' Data'!$B$2:$G$8,2,FALSE))</f>
        <v/>
      </c>
      <c r="S256" s="291" t="str">
        <f>IFERROR(VLOOKUP(R256,'G-7 WaterC'' Data'!$C$4:$D$8,2,FALSE),"")</f>
        <v/>
      </c>
      <c r="T256" s="95"/>
      <c r="U256" s="291" t="str">
        <f>IFERROR(INDEX('G-7 WaterC'' Data'!$H$4:$L$8,MATCH(N256,'G-7 WaterC'' Data'!$B$4:$B$8,0),MATCH(T256,'G-7 WaterC'' Data'!$H$3:$L$3,0)),"")</f>
        <v/>
      </c>
      <c r="V256" s="95"/>
      <c r="W256" s="298" t="str">
        <f>IF(V256="","",IF(VLOOKUP(V256,'G-7 WaterC'' Data'!$AK$4:$AM$6,2,FALSE)=0,"Spatial Data Missing ⚠",VLOOKUP(V256,'G-7 WaterC'' Data'!$AK$4:$AM$6,2,FALSE)))</f>
        <v/>
      </c>
      <c r="X256" s="291" t="str">
        <f>IF(V256="","",IF(VLOOKUP(V256,'G-7 WaterC'' Data'!$AK$4:$AM$6,3,FALSE)=0,"Spatial Data Missing ⚠",VLOOKUP(V256,'G-7 WaterC'' Data'!$AK$4:$AM$6,3,FALSE)))</f>
        <v/>
      </c>
      <c r="Y256" s="290" t="str">
        <f>IFERROR(IF(OR(LEFT(P256,5)="Error",LEFT(O256,5)="Error ▲"),"Check Data ⚠",IF(F256&lt;S256,'G-7 WaterC'' Data'!$R$3,INDEX('G-7 WaterC'' Data'!$U$5:$Y$9,MATCH(G256,'G-7 WaterC'' Data'!$T$5:$T$9,0),MATCH(T256,'G-7 WaterC'' Data'!$U$4:$Y$4,0)))),"")</f>
        <v/>
      </c>
      <c r="Z256" s="138"/>
      <c r="AA256" s="138"/>
      <c r="AB256" s="298" t="str">
        <f t="shared" si="30"/>
        <v/>
      </c>
      <c r="AC256" s="311" t="str">
        <f t="shared" si="31"/>
        <v/>
      </c>
      <c r="AD256" s="344" t="str">
        <f>IFERROR(IF(AC256="Check Data ⚠","Check Data ⚠",VLOOKUP(AC256,'G-4 Temporal multipliers'!$A$4:$C$37,3,FALSE)),"")</f>
        <v/>
      </c>
      <c r="AE256" s="290" t="str">
        <f>IF(N256="","",VLOOKUP(N256,'G-7 WaterC'' Data'!$B$4:$G$8,5,FALSE))</f>
        <v/>
      </c>
      <c r="AF256" s="298" t="str">
        <f t="shared" si="32"/>
        <v/>
      </c>
      <c r="AG256" s="328" t="str">
        <f t="shared" si="33"/>
        <v/>
      </c>
      <c r="AH256" s="291" t="str">
        <f t="shared" si="27"/>
        <v/>
      </c>
      <c r="AI256" s="103"/>
      <c r="AJ256" s="291" t="str">
        <f>IF(AI256="","",IF(AND(AI256="N/A - Culvert",N256&lt;&gt;"Culvert"),"Not possible ▲",IF(VLOOKUP(AI256,'G-7 WaterC'' Data'!$AA$4:$AB$7,2,FALSE)=0,"Spatial Data Missing ⚠",VLOOKUP(AI256,'G-7 WaterC'' Data'!$AA$4:$AB$7,2,FALSE))))</f>
        <v/>
      </c>
      <c r="AK256" s="104"/>
      <c r="AL256" s="291" t="str">
        <f>IF(AK256="","",IF(AND(AK256="N/A - Culvert",N256&lt;&gt;"Culvert"),"Not possible ▲",IF(VLOOKUP(AK256,'G-7 WaterC'' Data'!$AD$4:$AE$14,2,FALSE)=0,"Spatial Data Missing ⚠",VLOOKUP(AK256,'G-7 WaterC'' Data'!$AD$4:$AE$14,2,FALSE))))</f>
        <v/>
      </c>
      <c r="AM256" s="332" t="str">
        <f t="shared" si="34"/>
        <v/>
      </c>
      <c r="AN256" s="98"/>
      <c r="AO256" s="99"/>
      <c r="AP256" s="101"/>
      <c r="AS256" s="15" t="str">
        <f>IF(B256="","",IF(ISNA(VLOOKUP($B256,'C-1 On-Site WaterC'' Baseline'!$C$8:$AD$257,17,FALSE)),"",(VLOOKUP($B256,'C-1 On-Site WaterC'' Baseline'!$C$8:$AD$257,17,FALSE))))</f>
        <v/>
      </c>
      <c r="AT256" s="15" t="str">
        <f>IF(B256="","",VLOOKUP($B256,'C-1 On-Site WaterC'' Baseline'!$C$9:$Z$257,12,FALSE))</f>
        <v/>
      </c>
      <c r="AU256" s="15" t="str">
        <f>IF(B256="","",VLOOKUP($B256,'C-1 On-Site WaterC'' Baseline'!$C$9:$Z$257,14,FALSE))</f>
        <v/>
      </c>
      <c r="AV256" s="15" t="str">
        <f>IFERROR(INDEX('G-7 WaterC'' Data'!$AZ$3:$AZ$7,MATCH(N256,'G-7 WaterC'' Data'!$AY$3:$AY$7,0)),"")</f>
        <v/>
      </c>
      <c r="AX256" s="15" t="str">
        <f>IF(B256="","",VLOOKUP($B256,'C-1 On-Site WaterC'' Baseline'!$C$9:$Y$257,22,FALSE))</f>
        <v/>
      </c>
      <c r="AY256" s="15" t="str">
        <f t="shared" si="35"/>
        <v/>
      </c>
      <c r="AZ256" s="15" t="str">
        <f>IF(B256="","",VLOOKUP($B256,'C-1 On-Site WaterC'' Baseline'!$C$9:$Y$257,21,FALSE))</f>
        <v/>
      </c>
      <c r="BA256" s="15" t="str">
        <f>IF(B256="","",VLOOKUP($B256,'C-1 On-Site WaterC'' Baseline'!$C$9:$Y$257,19,FALSE))</f>
        <v/>
      </c>
    </row>
    <row r="257" spans="2:53" ht="14.5" thickBot="1" x14ac:dyDescent="0.35">
      <c r="B257" s="340" t="str">
        <f>'C-1 On-Site WaterC'' Baseline'!AP255</f>
        <v/>
      </c>
      <c r="C257" s="299" t="str">
        <f>IF(B257="","",VLOOKUP($B257,'C-1 On-Site WaterC'' Baseline'!$C$9:$R$257,2,FALSE))</f>
        <v/>
      </c>
      <c r="D257" s="299" t="str">
        <f>IF(C257="","",VLOOKUP($B257,'C-1 On-Site WaterC'' Baseline'!$C$9:$R$257,3,FALSE))</f>
        <v/>
      </c>
      <c r="E257" s="299" t="str">
        <f>IF(D257="","",VLOOKUP($B257,'C-1 On-Site WaterC'' Baseline'!$C$9:$R$257,4,FALSE))</f>
        <v/>
      </c>
      <c r="F257" s="299" t="str">
        <f>IF(E257="","",VLOOKUP($B257,'C-1 On-Site WaterC'' Baseline'!$C$9:$R$257,5,FALSE))</f>
        <v/>
      </c>
      <c r="G257" s="299" t="str">
        <f>IF(F257="","",VLOOKUP($B257,'C-1 On-Site WaterC'' Baseline'!$C$9:$R$257,6,FALSE))</f>
        <v/>
      </c>
      <c r="H257" s="299" t="str">
        <f>IF(G257="","",VLOOKUP($B257,'C-1 On-Site WaterC'' Baseline'!$C$9:$R$257,7,FALSE))</f>
        <v/>
      </c>
      <c r="I257" s="299" t="str">
        <f>IF(H257="","",VLOOKUP($B257,'C-1 On-Site WaterC'' Baseline'!$C$9:$R$257,8,FALSE))</f>
        <v/>
      </c>
      <c r="J257" s="299" t="str">
        <f>IF(I257="","",VLOOKUP($B257,'C-1 On-Site WaterC'' Baseline'!$C$9:$R$257,9,FALSE))</f>
        <v/>
      </c>
      <c r="K257" s="299" t="str">
        <f>IF(J257="","",VLOOKUP($B257,'C-1 On-Site WaterC'' Baseline'!$C$9:$R$257,10,FALSE))</f>
        <v/>
      </c>
      <c r="L257" s="299" t="str">
        <f>IF(B257="","",VLOOKUP($B257,'C-1 On-Site WaterC'' Baseline'!$C$9:$R$257,15,FALSE))</f>
        <v/>
      </c>
      <c r="M257" s="293" t="str">
        <f>IF(L257="","",VLOOKUP($B257,'C-1 On-Site WaterC'' Baseline'!$C$9:$R$257,16,FALSE))</f>
        <v/>
      </c>
      <c r="N257" s="259"/>
      <c r="O257" s="290" t="str">
        <f t="shared" si="28"/>
        <v/>
      </c>
      <c r="P257" s="291" t="str">
        <f t="shared" si="29"/>
        <v/>
      </c>
      <c r="Q257" s="347" t="str">
        <f>IF(N257="","",VLOOKUP(B257,'C-1 On-Site WaterC'' Baseline'!$C$10:$AC$257,20,FALSE))</f>
        <v/>
      </c>
      <c r="R257" s="292" t="str">
        <f>IF(N257="","",VLOOKUP(N257,'G-7 WaterC'' Data'!$B$2:$G$8,2,FALSE))</f>
        <v/>
      </c>
      <c r="S257" s="293" t="str">
        <f>IFERROR(VLOOKUP(R257,'G-7 WaterC'' Data'!$C$4:$D$8,2,FALSE),"")</f>
        <v/>
      </c>
      <c r="T257" s="110"/>
      <c r="U257" s="548" t="str">
        <f>IFERROR(INDEX('G-7 WaterC'' Data'!$H$4:$L$8,MATCH(N257,'G-7 WaterC'' Data'!$B$4:$B$8,0),MATCH(T257,'G-7 WaterC'' Data'!$H$3:$L$3,0)),"")</f>
        <v/>
      </c>
      <c r="V257" s="587"/>
      <c r="W257" s="549" t="str">
        <f>IF(V257="","",IF(VLOOKUP(V257,'G-7 WaterC'' Data'!$AK$4:$AM$6,2,FALSE)=0,"Spatial Data Missing ⚠",VLOOKUP(V257,'G-7 WaterC'' Data'!$AK$4:$AM$6,2,FALSE)))</f>
        <v/>
      </c>
      <c r="X257" s="548" t="str">
        <f>IF(V257="","",IF(VLOOKUP(V257,'G-7 WaterC'' Data'!$AK$4:$AM$6,3,FALSE)=0,"Spatial Data Missing ⚠",VLOOKUP(V257,'G-7 WaterC'' Data'!$AK$4:$AM$6,3,FALSE)))</f>
        <v/>
      </c>
      <c r="Y257" s="547" t="str">
        <f>IFERROR(IF(OR(LEFT(P257,5)="Error",LEFT(O257,5)="Error ▲"),"Check Data ⚠",IF(F257&lt;S257,'G-7 WaterC'' Data'!$R$3,INDEX('G-7 WaterC'' Data'!$U$5:$Y$9,MATCH(G257,'G-7 WaterC'' Data'!$T$5:$T$9,0),MATCH(T257,'G-7 WaterC'' Data'!$U$4:$Y$4,0)))),"")</f>
        <v/>
      </c>
      <c r="Z257" s="144"/>
      <c r="AA257" s="144"/>
      <c r="AB257" s="549" t="str">
        <f t="shared" si="30"/>
        <v/>
      </c>
      <c r="AC257" s="570" t="str">
        <f t="shared" si="31"/>
        <v/>
      </c>
      <c r="AD257" s="596" t="str">
        <f>IFERROR(IF(AC257="Check Data ⚠","Check Data ⚠",VLOOKUP(AC257,'G-4 Temporal multipliers'!$A$4:$C$37,3,FALSE)),"")</f>
        <v/>
      </c>
      <c r="AE257" s="292" t="str">
        <f>IF(N257="","",VLOOKUP(N257,'G-7 WaterC'' Data'!$B$4:$G$8,5,FALSE))</f>
        <v/>
      </c>
      <c r="AF257" s="549" t="str">
        <f t="shared" si="32"/>
        <v/>
      </c>
      <c r="AG257" s="576" t="str">
        <f t="shared" si="33"/>
        <v/>
      </c>
      <c r="AH257" s="293" t="str">
        <f t="shared" si="27"/>
        <v/>
      </c>
      <c r="AI257" s="110"/>
      <c r="AJ257" s="548" t="str">
        <f>IF(AI257="","",IF(AND(AI257="N/A - Culvert",N257&lt;&gt;"Culvert"),"Not possible ▲",IF(VLOOKUP(AI257,'G-7 WaterC'' Data'!$AA$4:$AB$7,2,FALSE)=0,"Spatial Data Missing ⚠",VLOOKUP(AI257,'G-7 WaterC'' Data'!$AA$4:$AB$7,2,FALSE))))</f>
        <v/>
      </c>
      <c r="AK257" s="597"/>
      <c r="AL257" s="548" t="str">
        <f>IF(AK257="","",IF(AND(AK257="N/A - Culvert",N257&lt;&gt;"Culvert"),"Not possible ▲",IF(VLOOKUP(AK257,'G-7 WaterC'' Data'!$AD$4:$AE$14,2,FALSE)=0,"Spatial Data Missing ⚠",VLOOKUP(AK257,'G-7 WaterC'' Data'!$AD$4:$AE$14,2,FALSE))))</f>
        <v/>
      </c>
      <c r="AM257" s="577" t="str">
        <f t="shared" si="34"/>
        <v/>
      </c>
      <c r="AN257" s="111"/>
      <c r="AO257" s="112"/>
      <c r="AP257" s="476"/>
      <c r="AS257" s="15" t="str">
        <f>IF(B257="","",IF(ISNA(VLOOKUP($B257,'C-1 On-Site WaterC'' Baseline'!$C$8:$AD$257,17,FALSE)),"",(VLOOKUP($B257,'C-1 On-Site WaterC'' Baseline'!$C$8:$AD$257,17,FALSE))))</f>
        <v/>
      </c>
      <c r="AT257" s="15" t="str">
        <f>IF(B257="","",VLOOKUP($B257,'C-1 On-Site WaterC'' Baseline'!$C$9:$Z$257,12,FALSE))</f>
        <v/>
      </c>
      <c r="AU257" s="15" t="str">
        <f>IF(B257="","",VLOOKUP($B257,'C-1 On-Site WaterC'' Baseline'!$C$9:$Z$257,14,FALSE))</f>
        <v/>
      </c>
      <c r="AV257" s="15" t="str">
        <f>IFERROR(INDEX('G-7 WaterC'' Data'!$AZ$3:$AZ$7,MATCH(N257,'G-7 WaterC'' Data'!$AY$3:$AY$7,0)),"")</f>
        <v/>
      </c>
      <c r="AX257" s="15" t="str">
        <f>IF(B257="","",VLOOKUP($B257,'C-1 On-Site WaterC'' Baseline'!$C$9:$Y$257,22,FALSE))</f>
        <v/>
      </c>
      <c r="AY257" s="15" t="str">
        <f t="shared" si="35"/>
        <v/>
      </c>
      <c r="AZ257" s="15" t="str">
        <f>IF(B257="","",VLOOKUP($B257,'C-1 On-Site WaterC'' Baseline'!$C$9:$Y$257,21,FALSE))</f>
        <v/>
      </c>
      <c r="BA257" s="15" t="str">
        <f>IF(B257="","",VLOOKUP($B257,'C-1 On-Site WaterC'' Baseline'!$C$9:$Y$257,19,FALSE))</f>
        <v/>
      </c>
    </row>
    <row r="258" spans="2:53" ht="14.5" thickBot="1" x14ac:dyDescent="0.35">
      <c r="C258" s="114"/>
      <c r="D258" s="114"/>
      <c r="E258" s="114"/>
      <c r="F258" s="114"/>
      <c r="G258" s="114"/>
      <c r="H258" s="114"/>
      <c r="I258" s="114"/>
      <c r="J258" s="114"/>
      <c r="K258" s="114"/>
      <c r="L258" s="114"/>
      <c r="M258" s="114"/>
      <c r="N258" s="181"/>
      <c r="O258" s="114"/>
      <c r="P258" s="114"/>
      <c r="Q258" s="345">
        <f>SUM(Q12:Q257)</f>
        <v>0</v>
      </c>
      <c r="R258" s="180"/>
      <c r="AJ258" s="15" t="str">
        <f>IF(AI258="","",IF(VLOOKUP(AI258,'[1]G-7 Rivers Data'!$AA$4:$AB$6,2,FALSE)=0,"Spatial Data Missing",VLOOKUP(AI258,'[1]G-7 Rivers Data'!$AA$4:$AB$6,2,FALSE)))</f>
        <v/>
      </c>
      <c r="AK258" s="1230"/>
      <c r="AL258" s="1230"/>
      <c r="AM258" s="276">
        <f>IF(AM6="Error - No enhancement - units less than baseline ▲", "Error ▲", SUM(AM12:AM257))</f>
        <v>0</v>
      </c>
    </row>
    <row r="259" spans="2:53" ht="14" x14ac:dyDescent="0.3">
      <c r="AJ259" s="15" t="str">
        <f>IF(AI259="","",IF(VLOOKUP(AI259,'[1]G-7 Rivers Data'!$AA$4:$AB$6,2,FALSE)=0,"Spatial Data Missing",VLOOKUP(AI259,'[1]G-7 Rivers Data'!$AA$4:$AB$6,2,FALSE)))</f>
        <v/>
      </c>
    </row>
    <row r="260" spans="2:53" ht="14" x14ac:dyDescent="0.3"/>
    <row r="261" spans="2:53" ht="14" x14ac:dyDescent="0.3"/>
    <row r="262" spans="2:53" ht="14" x14ac:dyDescent="0.3"/>
    <row r="263" spans="2:53" ht="14" x14ac:dyDescent="0.3"/>
    <row r="264" spans="2:53" ht="14" x14ac:dyDescent="0.3"/>
    <row r="265" spans="2:53" ht="14" x14ac:dyDescent="0.3"/>
    <row r="266" spans="2:53" ht="14" x14ac:dyDescent="0.3"/>
  </sheetData>
  <sheetProtection algorithmName="SHA-512" hashValue="GPm8vh3qxxVDjrFAEAyDTEj8/Y3wHVShjf1prWEhdnChDjx1+K3wZv6nTWx1X8ZEyt2OpeQZDu47FNct7rp6Rg==" saltValue="mnvdax0b0uHRBLij4c2aYA==" spinCount="100000" sheet="1" objects="1" scenarios="1"/>
  <dataConsolidate link="1"/>
  <customSheetViews>
    <customSheetView guid="{8BDA793C-C9C5-4FC6-A0A5-F1109F6D4F22}" state="hidden">
      <pane ySplit="11" topLeftCell="A12" activePane="bottomLeft" state="frozen"/>
      <selection pane="bottomLeft" activeCell="D14" sqref="D14"/>
    </customSheetView>
  </customSheetViews>
  <mergeCells count="22">
    <mergeCell ref="AN10:AP10"/>
    <mergeCell ref="O10:P10"/>
    <mergeCell ref="N10:N11"/>
    <mergeCell ref="AK10:AL10"/>
    <mergeCell ref="AM10:AM11"/>
    <mergeCell ref="AI10:AJ10"/>
    <mergeCell ref="AM6:AO6"/>
    <mergeCell ref="AK258:AL258"/>
    <mergeCell ref="B2:E2"/>
    <mergeCell ref="B3:E4"/>
    <mergeCell ref="Q10:Q11"/>
    <mergeCell ref="N9:AL9"/>
    <mergeCell ref="R10:S10"/>
    <mergeCell ref="T10:U10"/>
    <mergeCell ref="Y2:AD4"/>
    <mergeCell ref="O2:P2"/>
    <mergeCell ref="S2:X4"/>
    <mergeCell ref="F4:I5"/>
    <mergeCell ref="C10:M10"/>
    <mergeCell ref="V10:X10"/>
    <mergeCell ref="Y10:AD10"/>
    <mergeCell ref="AE10:AH10"/>
  </mergeCells>
  <conditionalFormatting sqref="L12:L257">
    <cfRule type="containsText" dxfId="47" priority="43" operator="containsText" text="Restore">
      <formula>NOT(ISERROR(SEARCH("Restore",L12)))</formula>
    </cfRule>
  </conditionalFormatting>
  <conditionalFormatting sqref="O12:P257">
    <cfRule type="containsText" dxfId="46" priority="41" operator="containsText" text="Check">
      <formula>NOT(ISERROR(SEARCH("Check",O12)))</formula>
    </cfRule>
    <cfRule type="containsText" dxfId="45" priority="42" operator="containsText" text="Error">
      <formula>NOT(ISERROR(SEARCH("Error",O12)))</formula>
    </cfRule>
  </conditionalFormatting>
  <conditionalFormatting sqref="W12:X257">
    <cfRule type="containsText" dxfId="44" priority="40" operator="containsText" text="Spatial">
      <formula>NOT(ISERROR(SEARCH("Spatial",W12)))</formula>
    </cfRule>
  </conditionalFormatting>
  <conditionalFormatting sqref="Y12:Y257">
    <cfRule type="containsText" dxfId="43" priority="38" operator="containsText" text="Check">
      <formula>NOT(ISERROR(SEARCH("Check",Y12)))</formula>
    </cfRule>
    <cfRule type="containsText" dxfId="42" priority="39" operator="containsText" text="Error">
      <formula>NOT(ISERROR(SEARCH("Error",Y12)))</formula>
    </cfRule>
  </conditionalFormatting>
  <conditionalFormatting sqref="AB12:AM12 AM13:AM258 AB13:AL257">
    <cfRule type="containsText" dxfId="41" priority="6" operator="containsText" text="Check">
      <formula>NOT(ISERROR(SEARCH("Check",AB12)))</formula>
    </cfRule>
    <cfRule type="beginsWith" dxfId="40" priority="8" operator="beginsWith" text="Error">
      <formula>LEFT(AB12,LEN("Error"))="Error"</formula>
    </cfRule>
  </conditionalFormatting>
  <conditionalFormatting sqref="AF12:AF257">
    <cfRule type="beginsWith" dxfId="39" priority="35" operator="beginsWith" text="No - Low Difficulty">
      <formula>LEFT(AF12,LEN("No - Low Difficulty"))="No - Low Difficulty"</formula>
    </cfRule>
  </conditionalFormatting>
  <conditionalFormatting sqref="AJ12:AL257">
    <cfRule type="containsText" dxfId="38" priority="34" operator="containsText" text="Spatial">
      <formula>NOT(ISERROR(SEARCH("Spatial",AJ12)))</formula>
    </cfRule>
  </conditionalFormatting>
  <conditionalFormatting sqref="Y2">
    <cfRule type="containsText" dxfId="37" priority="33" operator="containsText" text="Note">
      <formula>NOT(ISERROR(SEARCH("Note",Y2)))</formula>
    </cfRule>
  </conditionalFormatting>
  <conditionalFormatting sqref="P3">
    <cfRule type="containsText" dxfId="36" priority="31" operator="containsText" text="Error">
      <formula>NOT(ISERROR(SEARCH("Error",P3)))</formula>
    </cfRule>
    <cfRule type="containsText" dxfId="35" priority="32" operator="containsText" text="Check">
      <formula>NOT(ISERROR(SEARCH("Check",P3)))</formula>
    </cfRule>
  </conditionalFormatting>
  <conditionalFormatting sqref="P4">
    <cfRule type="cellIs" dxfId="34" priority="20" operator="equal">
      <formula>0</formula>
    </cfRule>
    <cfRule type="containsText" dxfId="33" priority="21" operator="containsText" text="Check">
      <formula>NOT(ISERROR(SEARCH("Check",P4)))</formula>
    </cfRule>
    <cfRule type="containsText" dxfId="32" priority="22" operator="containsText" text="Error">
      <formula>NOT(ISERROR(SEARCH("Error",P4)))</formula>
    </cfRule>
    <cfRule type="cellIs" dxfId="31" priority="465" operator="lessThan">
      <formula>0</formula>
    </cfRule>
  </conditionalFormatting>
  <conditionalFormatting sqref="S2:X4">
    <cfRule type="containsText" dxfId="30" priority="26" operator="containsText" text="Check">
      <formula>NOT(ISERROR(SEARCH("Check",S2)))</formula>
    </cfRule>
  </conditionalFormatting>
  <conditionalFormatting sqref="P5">
    <cfRule type="containsText" dxfId="29" priority="24" operator="containsText" text="No">
      <formula>NOT(ISERROR(SEARCH("No",P5)))</formula>
    </cfRule>
    <cfRule type="containsText" dxfId="28" priority="25" operator="containsText" text="Yes">
      <formula>NOT(ISERROR(SEARCH("Yes",P5)))</formula>
    </cfRule>
  </conditionalFormatting>
  <conditionalFormatting sqref="U12:U257">
    <cfRule type="containsText" dxfId="27" priority="23" operator="containsText" text="Not possible">
      <formula>NOT(ISERROR(SEARCH("Not possible",U12)))</formula>
    </cfRule>
  </conditionalFormatting>
  <conditionalFormatting sqref="P3:P5">
    <cfRule type="containsText" dxfId="26" priority="19" operator="containsText" text="N/A">
      <formula>NOT(ISERROR(SEARCH("N/A",P3)))</formula>
    </cfRule>
  </conditionalFormatting>
  <conditionalFormatting sqref="F4:I5">
    <cfRule type="containsText" dxfId="25" priority="17" operator="containsText" text="Enhanced">
      <formula>NOT(ISERROR(SEARCH("Enhanced",F4)))</formula>
    </cfRule>
  </conditionalFormatting>
  <conditionalFormatting sqref="C12:C258">
    <cfRule type="expression" dxfId="24" priority="16">
      <formula>$AS12="Yes"</formula>
    </cfRule>
  </conditionalFormatting>
  <conditionalFormatting sqref="AJ1:AJ1048576">
    <cfRule type="containsText" dxfId="23" priority="15" operator="containsText" text="Not possible">
      <formula>NOT(ISERROR(SEARCH("Not possible",AJ1)))</formula>
    </cfRule>
  </conditionalFormatting>
  <conditionalFormatting sqref="AL1:AL1048576">
    <cfRule type="containsText" dxfId="22" priority="14" operator="containsText" text="Not possible">
      <formula>NOT(ISERROR(SEARCH("Not possible",AL1)))</formula>
    </cfRule>
  </conditionalFormatting>
  <conditionalFormatting sqref="M1:M1048576">
    <cfRule type="containsText" dxfId="21" priority="12" operator="containsText" text="▲">
      <formula>NOT(ISERROR(SEARCH("▲",M1)))</formula>
    </cfRule>
  </conditionalFormatting>
  <conditionalFormatting sqref="W1:W1048576">
    <cfRule type="containsText" dxfId="20" priority="11" operator="containsText" text="Not possible">
      <formula>NOT(ISERROR(SEARCH("Not possible",W1)))</formula>
    </cfRule>
  </conditionalFormatting>
  <conditionalFormatting sqref="J1:J1048576">
    <cfRule type="containsText" dxfId="19" priority="10" operator="containsText" text="Not possible">
      <formula>NOT(ISERROR(SEARCH("Not possible",J1)))</formula>
    </cfRule>
  </conditionalFormatting>
  <conditionalFormatting sqref="AM12:AM257">
    <cfRule type="containsBlanks" dxfId="18" priority="9">
      <formula>LEN(TRIM(AM12))=0</formula>
    </cfRule>
    <cfRule type="expression" dxfId="17" priority="36">
      <formula>$AM$12=$AY$12</formula>
    </cfRule>
    <cfRule type="expression" dxfId="16" priority="37">
      <formula>$AM$12&lt;$AY$12</formula>
    </cfRule>
  </conditionalFormatting>
  <conditionalFormatting sqref="AM6:AO6">
    <cfRule type="containsText" dxfId="15" priority="7" operator="containsText" text="Error">
      <formula>NOT(ISERROR(SEARCH("Error",AM6)))</formula>
    </cfRule>
  </conditionalFormatting>
  <conditionalFormatting sqref="L1:L1048576">
    <cfRule type="containsText" dxfId="14" priority="2" operator="containsText" text="Better">
      <formula>NOT(ISERROR(SEARCH("Better",L1)))</formula>
    </cfRule>
    <cfRule type="containsText" dxfId="13" priority="3" operator="containsText" text="Check">
      <formula>NOT(ISERROR(SEARCH("Check",L1)))</formula>
    </cfRule>
    <cfRule type="containsText" dxfId="12" priority="4" operator="containsText" text="Same">
      <formula>NOT(ISERROR(SEARCH("Same",L1)))</formula>
    </cfRule>
    <cfRule type="containsText" dxfId="11" priority="5" operator="containsText" text="Bespoke">
      <formula>NOT(ISERROR(SEARCH("Bespoke",L1)))</formula>
    </cfRule>
  </conditionalFormatting>
  <conditionalFormatting sqref="AF1:AF1048576">
    <cfRule type="containsText" dxfId="10" priority="1" operator="containsText" text="⚠">
      <formula>NOT(ISERROR(SEARCH("⚠",AF1)))</formula>
    </cfRule>
  </conditionalFormatting>
  <dataValidations count="3">
    <dataValidation type="list" allowBlank="1" showInputMessage="1" showErrorMessage="1" sqref="T12:T257" xr:uid="{00000000-0002-0000-1B00-000000000000}">
      <formula1>INDIRECT(AV12)</formula1>
    </dataValidation>
    <dataValidation type="list" allowBlank="1" showInputMessage="1" showErrorMessage="1" sqref="AI12:AI257" xr:uid="{115CD201-24FC-4EDE-AA7A-95187C48E55A}">
      <formula1>IF(N12="Culvert",riparianencroachment2,riparianencroachment1)</formula1>
    </dataValidation>
    <dataValidation type="list" allowBlank="1" showInputMessage="1" showErrorMessage="1" sqref="AK12:AK257" xr:uid="{BBD87B82-D9B4-4B0A-A5D2-C64610A565FA}">
      <formula1>IF(N12="Culvert",Encroachment2,Encroachment1)</formula1>
    </dataValidation>
  </dataValidations>
  <pageMargins left="0.7" right="0.7" top="0.75" bottom="0.75" header="0.3" footer="0.3"/>
  <pageSetup paperSize="9" orientation="portrait" horizontalDpi="90" verticalDpi="90" r:id="rId1"/>
  <cellWatches>
    <cellWatch r="Y13"/>
  </cellWatches>
  <drawing r:id="rId2"/>
  <extLst>
    <ext xmlns:x14="http://schemas.microsoft.com/office/spreadsheetml/2009/9/main" uri="{78C0D931-6437-407d-A8EE-F0AAD7539E65}">
      <x14:conditionalFormattings>
        <x14:conditionalFormatting xmlns:xm="http://schemas.microsoft.com/office/excel/2006/main">
          <x14:cfRule type="expression" priority="13" id="{66F55A9C-3244-4844-B3E6-70D121122203}">
            <xm:f>#REF!=0</xm:f>
            <x14:dxf>
              <font>
                <color auto="1"/>
              </font>
              <fill>
                <patternFill>
                  <bgColor rgb="FFE0DCD3"/>
                </patternFill>
              </fill>
            </x14:dxf>
          </x14:cfRule>
          <xm:sqref>P4</xm:sqref>
        </x14:conditionalFormatting>
        <x14:conditionalFormatting xmlns:xm="http://schemas.microsoft.com/office/excel/2006/main">
          <x14:cfRule type="cellIs" priority="18" operator="lessThan" id="{A52B8C1E-E180-4514-9FE9-CBD52145CDDA}">
            <xm:f>Start!$F$22</xm:f>
            <x14:dxf>
              <font>
                <color rgb="FF383745"/>
              </font>
              <fill>
                <patternFill>
                  <bgColor rgb="FFFFC000"/>
                </patternFill>
              </fill>
            </x14:dxf>
          </x14:cfRule>
          <x14:cfRule type="cellIs" priority="466" operator="greaterThanOrEqual" id="{4DF44DC3-9198-4FA2-82C8-3744B479C538}">
            <xm:f>Start!$F$22</xm:f>
            <x14:dxf>
              <font>
                <color rgb="FF383745"/>
              </font>
              <fill>
                <patternFill>
                  <bgColor rgb="FF92D050"/>
                </patternFill>
              </fill>
            </x14:dxf>
          </x14:cfRule>
          <xm:sqref>P4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B00-000001000000}">
          <x14:formula1>
            <xm:f>'\\LYN264DF\m312897$\Net Gain\Rivers and Streams\[Master metric with RS amendments with new G7 layout.xlsm]G-7 Rivers Data'!#REF!</xm:f>
          </x14:formula1>
          <xm:sqref>AI258:AI259</xm:sqref>
        </x14:dataValidation>
        <x14:dataValidation type="list" allowBlank="1" showInputMessage="1" showErrorMessage="1" xr:uid="{00000000-0002-0000-1B00-000007000000}">
          <x14:formula1>
            <xm:f>'G-4 Temporal multipliers'!$A$42:$A$73</xm:f>
          </x14:formula1>
          <xm:sqref>Z12:AA257</xm:sqref>
        </x14:dataValidation>
        <x14:dataValidation type="list" allowBlank="1" showInputMessage="1" showErrorMessage="1" xr:uid="{1BF6CEFB-EF8E-4E81-B6F7-7B8EF2DA79E4}">
          <x14:formula1>
            <xm:f>'G-7 WaterC'' Data'!$AK$4:$AK$6</xm:f>
          </x14:formula1>
          <xm:sqref>V12:V257</xm:sqref>
        </x14:dataValidation>
        <x14:dataValidation type="list" allowBlank="1" showInputMessage="1" showErrorMessage="1" xr:uid="{2868893D-42D4-498B-99E1-AF3031CB4F60}">
          <x14:formula1>
            <xm:f>'G-7 WaterC'' Data'!$B$4:$B$7</xm:f>
          </x14:formula1>
          <xm:sqref>N12:N257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tabColor rgb="FFFFC000"/>
  </sheetPr>
  <dimension ref="A1:XFC163"/>
  <sheetViews>
    <sheetView zoomScale="120" zoomScaleNormal="120" workbookViewId="0">
      <pane xSplit="2" ySplit="2" topLeftCell="C3" activePane="bottomRight" state="frozen"/>
      <selection pane="topRight" activeCell="C1" sqref="C1"/>
      <selection pane="bottomLeft" activeCell="A3" sqref="A3"/>
      <selection pane="bottomRight" activeCell="Z13" sqref="Z13"/>
    </sheetView>
  </sheetViews>
  <sheetFormatPr defaultColWidth="4.1796875" defaultRowHeight="14" zeroHeight="1" x14ac:dyDescent="0.3"/>
  <cols>
    <col min="1" max="1" width="30.453125" style="18" customWidth="1"/>
    <col min="2" max="2" width="77" style="15" bestFit="1" customWidth="1"/>
    <col min="3" max="3" width="26.26953125" style="15" bestFit="1" customWidth="1"/>
    <col min="4" max="4" width="13.7265625" style="15" bestFit="1" customWidth="1"/>
    <col min="5" max="5" width="19.81640625" style="15" bestFit="1" customWidth="1"/>
    <col min="6" max="6" width="25.26953125" style="15" bestFit="1" customWidth="1"/>
    <col min="7" max="7" width="19.81640625" style="15" bestFit="1" customWidth="1"/>
    <col min="8" max="8" width="82.1796875" style="15" bestFit="1" customWidth="1"/>
    <col min="9" max="9" width="26.1796875" style="15" customWidth="1"/>
    <col min="10" max="10" width="60.54296875" style="15" bestFit="1" customWidth="1"/>
    <col min="11" max="11" width="21.1796875" style="15" bestFit="1" customWidth="1"/>
    <col min="12" max="12" width="28.26953125" style="15" bestFit="1" customWidth="1"/>
    <col min="13" max="13" width="66" style="15" customWidth="1"/>
    <col min="14" max="14" width="27.453125" style="15" bestFit="1" customWidth="1"/>
    <col min="15" max="15" width="16.453125" style="15" bestFit="1" customWidth="1"/>
    <col min="16" max="16" width="27.453125" style="15" bestFit="1" customWidth="1"/>
    <col min="17" max="17" width="16.453125" style="15" bestFit="1" customWidth="1"/>
    <col min="18" max="18" width="28.453125" style="18" bestFit="1" customWidth="1"/>
    <col min="19" max="19" width="30.1796875" style="15" bestFit="1" customWidth="1"/>
    <col min="20" max="23" width="26.1796875" style="15" customWidth="1"/>
    <col min="24" max="24" width="30.1796875" style="15" customWidth="1"/>
    <col min="25" max="27" width="26.1796875" style="15" customWidth="1"/>
    <col min="28" max="33" width="31.26953125" style="15" customWidth="1"/>
    <col min="34" max="35" width="4.1796875" style="15"/>
    <col min="36" max="16383" width="0" style="15" hidden="1" customWidth="1"/>
    <col min="16384" max="16384" width="2.26953125" style="15" hidden="1" customWidth="1"/>
  </cols>
  <sheetData>
    <row r="1" spans="1:35" ht="57.65" customHeight="1" x14ac:dyDescent="0.45">
      <c r="D1" s="1288" t="s">
        <v>264</v>
      </c>
      <c r="E1" s="1288"/>
      <c r="F1" s="1288"/>
      <c r="G1" s="148"/>
      <c r="H1" s="443"/>
      <c r="I1" s="148"/>
      <c r="J1" s="148"/>
      <c r="V1" s="1289" t="s">
        <v>265</v>
      </c>
      <c r="W1" s="1291"/>
      <c r="X1" s="1290"/>
      <c r="Z1" s="1289" t="s">
        <v>266</v>
      </c>
      <c r="AA1" s="1290"/>
      <c r="AF1" s="1292" t="s">
        <v>267</v>
      </c>
      <c r="AG1" s="1292" t="s">
        <v>268</v>
      </c>
    </row>
    <row r="2" spans="1:35" s="74" customFormat="1" ht="41.5" customHeight="1" x14ac:dyDescent="0.3">
      <c r="A2" s="188"/>
      <c r="B2" s="62" t="s">
        <v>269</v>
      </c>
      <c r="C2" s="149" t="s">
        <v>270</v>
      </c>
      <c r="D2" s="149" t="s">
        <v>271</v>
      </c>
      <c r="E2" s="149" t="s">
        <v>272</v>
      </c>
      <c r="F2" s="149" t="s">
        <v>273</v>
      </c>
      <c r="G2" s="149" t="s">
        <v>274</v>
      </c>
      <c r="H2" s="444" t="s">
        <v>275</v>
      </c>
      <c r="I2" s="149" t="s">
        <v>276</v>
      </c>
      <c r="J2" s="149" t="s">
        <v>277</v>
      </c>
      <c r="K2" s="149" t="s">
        <v>278</v>
      </c>
      <c r="L2" s="149" t="s">
        <v>279</v>
      </c>
      <c r="M2" s="149" t="s">
        <v>280</v>
      </c>
      <c r="N2" s="150" t="s">
        <v>281</v>
      </c>
      <c r="O2" s="150" t="s">
        <v>251</v>
      </c>
      <c r="P2" s="150" t="s">
        <v>282</v>
      </c>
      <c r="Q2" s="150" t="s">
        <v>251</v>
      </c>
      <c r="R2" s="150" t="s">
        <v>283</v>
      </c>
      <c r="S2" s="150" t="s">
        <v>284</v>
      </c>
      <c r="T2" s="160" t="s">
        <v>1496</v>
      </c>
      <c r="U2" s="15"/>
      <c r="V2" s="62" t="s">
        <v>285</v>
      </c>
      <c r="W2" s="62" t="s">
        <v>286</v>
      </c>
      <c r="X2" s="62" t="s">
        <v>287</v>
      </c>
      <c r="Y2" s="15"/>
      <c r="Z2" s="62" t="s">
        <v>288</v>
      </c>
      <c r="AA2" s="62" t="s">
        <v>289</v>
      </c>
      <c r="AB2" s="15"/>
      <c r="AC2" s="15"/>
      <c r="AD2" s="62" t="s">
        <v>290</v>
      </c>
      <c r="AE2" s="15"/>
      <c r="AF2" s="1287"/>
      <c r="AG2" s="1287"/>
      <c r="AH2" s="15"/>
      <c r="AI2" s="15"/>
    </row>
    <row r="3" spans="1:35" ht="28" x14ac:dyDescent="0.3">
      <c r="A3" s="481" t="s">
        <v>291</v>
      </c>
      <c r="B3" s="75" t="s">
        <v>292</v>
      </c>
      <c r="C3" s="331" t="s">
        <v>293</v>
      </c>
      <c r="D3" s="331" t="s">
        <v>294</v>
      </c>
      <c r="E3" s="1295" t="s">
        <v>310</v>
      </c>
      <c r="F3" s="310" t="s">
        <v>46</v>
      </c>
      <c r="G3" s="331" t="s">
        <v>311</v>
      </c>
      <c r="H3" s="414" t="s">
        <v>295</v>
      </c>
      <c r="I3" s="331" t="s">
        <v>309</v>
      </c>
      <c r="J3" s="331" t="s">
        <v>296</v>
      </c>
      <c r="K3" s="331" t="s">
        <v>38</v>
      </c>
      <c r="L3" s="331">
        <f t="shared" ref="L3:L8" si="0">IF($K3=$V$3,$W$3,IF($K3=$V$3,$W$3,IF($K3=$V$4,$W$4,IF($K3=$V$5,$W$5,IF($K3=$V$6,$W$6,IF($K3=$V$7,$W$7))))))</f>
        <v>4</v>
      </c>
      <c r="M3" s="410" t="str">
        <f>IF($K3=$V$3,$X$3,IF($K3=$V$4,$X$4,IF($K3=$V$5,$X$5,IF($K3=$V$6,$X$6,IF($K3=$V$7,$X$7)))))</f>
        <v>Same broad habitat or a higher distinctiveness habitat required (≥)</v>
      </c>
      <c r="N3" s="331" t="s">
        <v>92</v>
      </c>
      <c r="O3" s="331">
        <f t="shared" ref="O3:O33" si="1">VLOOKUP(N3,Difficulty,2,FALSE)</f>
        <v>1</v>
      </c>
      <c r="P3" s="331" t="s">
        <v>92</v>
      </c>
      <c r="Q3" s="331">
        <f t="shared" ref="Q3:Q33" si="2">VLOOKUP(P3,Difficulty,2,FALSE)</f>
        <v>1</v>
      </c>
      <c r="R3" s="310"/>
      <c r="S3" s="331"/>
      <c r="T3" s="331" t="s">
        <v>32</v>
      </c>
      <c r="V3" s="310" t="s">
        <v>297</v>
      </c>
      <c r="W3" s="331">
        <v>8</v>
      </c>
      <c r="X3" s="781" t="s">
        <v>298</v>
      </c>
      <c r="Z3" s="331" t="s">
        <v>36</v>
      </c>
      <c r="AA3" s="331">
        <v>3</v>
      </c>
      <c r="AD3" s="350" t="s">
        <v>30</v>
      </c>
      <c r="AF3" s="331" t="s">
        <v>46</v>
      </c>
      <c r="AG3" s="331" t="s">
        <v>46</v>
      </c>
    </row>
    <row r="4" spans="1:35" ht="28" x14ac:dyDescent="0.3">
      <c r="A4" s="481" t="s">
        <v>299</v>
      </c>
      <c r="B4" s="75" t="s">
        <v>300</v>
      </c>
      <c r="C4" s="331" t="s">
        <v>301</v>
      </c>
      <c r="D4" s="331" t="s">
        <v>294</v>
      </c>
      <c r="E4" s="1293"/>
      <c r="F4" s="310" t="s">
        <v>46</v>
      </c>
      <c r="G4" s="331" t="s">
        <v>311</v>
      </c>
      <c r="H4" s="414" t="s">
        <v>295</v>
      </c>
      <c r="I4" s="331" t="s">
        <v>309</v>
      </c>
      <c r="J4" s="331" t="s">
        <v>296</v>
      </c>
      <c r="K4" s="331" t="s">
        <v>38</v>
      </c>
      <c r="L4" s="331">
        <f t="shared" si="0"/>
        <v>4</v>
      </c>
      <c r="M4" s="410" t="str">
        <f t="shared" ref="M4:M73" si="3">IF($K4=$V$3,$X$3,IF($K4=$V$4,$X$4,IF($K4=$V$5,$X$5,IF($K4=$V$6,$X$6,IF($K4=$V$7,$X$7)))))</f>
        <v>Same broad habitat or a higher distinctiveness habitat required (≥)</v>
      </c>
      <c r="N4" s="331" t="s">
        <v>92</v>
      </c>
      <c r="O4" s="331">
        <f t="shared" si="1"/>
        <v>1</v>
      </c>
      <c r="P4" s="331" t="s">
        <v>92</v>
      </c>
      <c r="Q4" s="331">
        <f t="shared" si="2"/>
        <v>1</v>
      </c>
      <c r="R4" s="310"/>
      <c r="S4" s="331"/>
      <c r="T4" s="331" t="s">
        <v>32</v>
      </c>
      <c r="V4" s="331" t="s">
        <v>90</v>
      </c>
      <c r="W4" s="331">
        <v>6</v>
      </c>
      <c r="X4" s="380" t="s">
        <v>110</v>
      </c>
      <c r="Z4" s="331" t="s">
        <v>302</v>
      </c>
      <c r="AA4" s="331">
        <v>2.5</v>
      </c>
      <c r="AD4" s="350" t="s">
        <v>32</v>
      </c>
      <c r="AF4" s="331" t="s">
        <v>47</v>
      </c>
      <c r="AG4" s="331" t="s">
        <v>47</v>
      </c>
    </row>
    <row r="5" spans="1:35" ht="42" x14ac:dyDescent="0.3">
      <c r="A5" s="481" t="s">
        <v>303</v>
      </c>
      <c r="B5" s="75" t="s">
        <v>304</v>
      </c>
      <c r="C5" s="331" t="s">
        <v>305</v>
      </c>
      <c r="D5" s="331" t="s">
        <v>294</v>
      </c>
      <c r="E5" s="1293"/>
      <c r="F5" s="310" t="s">
        <v>46</v>
      </c>
      <c r="G5" s="331" t="s">
        <v>311</v>
      </c>
      <c r="H5" s="414" t="s">
        <v>295</v>
      </c>
      <c r="I5" s="331" t="s">
        <v>309</v>
      </c>
      <c r="J5" s="331" t="s">
        <v>296</v>
      </c>
      <c r="K5" s="331" t="s">
        <v>38</v>
      </c>
      <c r="L5" s="331">
        <f t="shared" si="0"/>
        <v>4</v>
      </c>
      <c r="M5" s="410" t="str">
        <f t="shared" si="3"/>
        <v>Same broad habitat or a higher distinctiveness habitat required (≥)</v>
      </c>
      <c r="N5" s="331" t="s">
        <v>92</v>
      </c>
      <c r="O5" s="331">
        <f t="shared" si="1"/>
        <v>1</v>
      </c>
      <c r="P5" s="331" t="s">
        <v>92</v>
      </c>
      <c r="Q5" s="331">
        <f t="shared" si="2"/>
        <v>1</v>
      </c>
      <c r="R5" s="310"/>
      <c r="S5" s="331"/>
      <c r="T5" s="331" t="s">
        <v>32</v>
      </c>
      <c r="V5" s="331" t="s">
        <v>38</v>
      </c>
      <c r="W5" s="331">
        <v>4</v>
      </c>
      <c r="X5" s="381" t="s">
        <v>91</v>
      </c>
      <c r="Z5" s="331" t="s">
        <v>35</v>
      </c>
      <c r="AA5" s="331">
        <v>2</v>
      </c>
      <c r="AF5" s="331" t="s">
        <v>48</v>
      </c>
      <c r="AG5" s="331" t="s">
        <v>306</v>
      </c>
    </row>
    <row r="6" spans="1:35" ht="28" x14ac:dyDescent="0.3">
      <c r="A6" s="481" t="s">
        <v>307</v>
      </c>
      <c r="B6" s="75" t="s">
        <v>308</v>
      </c>
      <c r="C6" s="331" t="s">
        <v>1615</v>
      </c>
      <c r="D6" s="331" t="s">
        <v>294</v>
      </c>
      <c r="E6" s="1293"/>
      <c r="F6" s="310" t="s">
        <v>46</v>
      </c>
      <c r="G6" s="331" t="s">
        <v>311</v>
      </c>
      <c r="H6" s="414" t="s">
        <v>295</v>
      </c>
      <c r="I6" s="331" t="s">
        <v>309</v>
      </c>
      <c r="J6" s="331" t="s">
        <v>296</v>
      </c>
      <c r="K6" s="331" t="s">
        <v>38</v>
      </c>
      <c r="L6" s="331">
        <f t="shared" si="0"/>
        <v>4</v>
      </c>
      <c r="M6" s="410" t="str">
        <f t="shared" si="3"/>
        <v>Same broad habitat or a higher distinctiveness habitat required (≥)</v>
      </c>
      <c r="N6" s="331" t="s">
        <v>92</v>
      </c>
      <c r="O6" s="331">
        <f t="shared" si="1"/>
        <v>1</v>
      </c>
      <c r="P6" s="331" t="s">
        <v>92</v>
      </c>
      <c r="Q6" s="331">
        <f t="shared" si="2"/>
        <v>1</v>
      </c>
      <c r="R6" s="310"/>
      <c r="S6" s="331"/>
      <c r="T6" s="331" t="s">
        <v>32</v>
      </c>
      <c r="V6" s="331" t="s">
        <v>92</v>
      </c>
      <c r="W6" s="331">
        <v>2</v>
      </c>
      <c r="X6" s="382" t="s">
        <v>93</v>
      </c>
      <c r="Z6" s="331" t="s">
        <v>312</v>
      </c>
      <c r="AA6" s="331">
        <v>1.5</v>
      </c>
      <c r="AF6" s="331" t="s">
        <v>49</v>
      </c>
      <c r="AG6" s="331" t="s">
        <v>49</v>
      </c>
    </row>
    <row r="7" spans="1:35" ht="14.5" customHeight="1" x14ac:dyDescent="0.3">
      <c r="A7" s="481" t="s">
        <v>313</v>
      </c>
      <c r="B7" s="75" t="s">
        <v>314</v>
      </c>
      <c r="C7" s="331" t="s">
        <v>315</v>
      </c>
      <c r="D7" s="331" t="s">
        <v>294</v>
      </c>
      <c r="E7" s="1293"/>
      <c r="F7" s="310" t="s">
        <v>46</v>
      </c>
      <c r="G7" s="331" t="s">
        <v>311</v>
      </c>
      <c r="H7" s="414" t="s">
        <v>295</v>
      </c>
      <c r="I7" s="331" t="s">
        <v>315</v>
      </c>
      <c r="J7" s="331" t="s">
        <v>313</v>
      </c>
      <c r="K7" s="331" t="s">
        <v>92</v>
      </c>
      <c r="L7" s="331">
        <f t="shared" si="0"/>
        <v>2</v>
      </c>
      <c r="M7" s="410" t="str">
        <f t="shared" si="3"/>
        <v>Same distinctiveness or better habitat required ≥</v>
      </c>
      <c r="N7" s="331" t="s">
        <v>92</v>
      </c>
      <c r="O7" s="331">
        <f t="shared" si="1"/>
        <v>1</v>
      </c>
      <c r="P7" s="331" t="s">
        <v>92</v>
      </c>
      <c r="Q7" s="331">
        <f t="shared" si="2"/>
        <v>1</v>
      </c>
      <c r="R7" s="310"/>
      <c r="S7" s="331"/>
      <c r="T7" s="331" t="s">
        <v>32</v>
      </c>
      <c r="V7" s="331" t="s">
        <v>316</v>
      </c>
      <c r="W7" s="331">
        <v>0</v>
      </c>
      <c r="X7" s="383" t="s">
        <v>317</v>
      </c>
      <c r="Z7" s="331" t="s">
        <v>194</v>
      </c>
      <c r="AA7" s="331">
        <v>1</v>
      </c>
      <c r="AF7" s="331" t="s">
        <v>50</v>
      </c>
      <c r="AG7" s="331" t="s">
        <v>318</v>
      </c>
    </row>
    <row r="8" spans="1:35" ht="14.5" customHeight="1" x14ac:dyDescent="0.3">
      <c r="A8" s="481" t="s">
        <v>319</v>
      </c>
      <c r="B8" s="75" t="s">
        <v>320</v>
      </c>
      <c r="C8" s="331" t="s">
        <v>321</v>
      </c>
      <c r="D8" s="331" t="s">
        <v>294</v>
      </c>
      <c r="E8" s="1293"/>
      <c r="F8" s="310" t="s">
        <v>46</v>
      </c>
      <c r="G8" s="331" t="s">
        <v>311</v>
      </c>
      <c r="H8" s="414" t="s">
        <v>295</v>
      </c>
      <c r="I8" s="331" t="s">
        <v>315</v>
      </c>
      <c r="J8" s="331" t="s">
        <v>313</v>
      </c>
      <c r="K8" s="331" t="s">
        <v>92</v>
      </c>
      <c r="L8" s="331">
        <f t="shared" si="0"/>
        <v>2</v>
      </c>
      <c r="M8" s="410" t="str">
        <f t="shared" si="3"/>
        <v>Same distinctiveness or better habitat required ≥</v>
      </c>
      <c r="N8" s="331" t="s">
        <v>92</v>
      </c>
      <c r="O8" s="331">
        <f t="shared" si="1"/>
        <v>1</v>
      </c>
      <c r="P8" s="331" t="s">
        <v>92</v>
      </c>
      <c r="Q8" s="331">
        <f t="shared" si="2"/>
        <v>1</v>
      </c>
      <c r="R8" s="310"/>
      <c r="S8" s="331"/>
      <c r="T8" s="331" t="s">
        <v>32</v>
      </c>
      <c r="Z8" s="331" t="s">
        <v>322</v>
      </c>
      <c r="AA8" s="331">
        <v>1</v>
      </c>
      <c r="AF8" s="348" t="s">
        <v>51</v>
      </c>
      <c r="AG8" s="348" t="s">
        <v>51</v>
      </c>
    </row>
    <row r="9" spans="1:35" ht="14.5" customHeight="1" x14ac:dyDescent="0.3">
      <c r="A9" s="481" t="s">
        <v>323</v>
      </c>
      <c r="B9" s="75" t="s">
        <v>324</v>
      </c>
      <c r="C9" s="331" t="s">
        <v>325</v>
      </c>
      <c r="D9" s="331" t="s">
        <v>294</v>
      </c>
      <c r="E9" s="1293"/>
      <c r="F9" s="310" t="s">
        <v>46</v>
      </c>
      <c r="G9" s="331" t="s">
        <v>311</v>
      </c>
      <c r="H9" s="414" t="s">
        <v>295</v>
      </c>
      <c r="I9" s="331" t="s">
        <v>325</v>
      </c>
      <c r="J9" s="331" t="s">
        <v>323</v>
      </c>
      <c r="K9" s="331" t="s">
        <v>92</v>
      </c>
      <c r="L9" s="331">
        <f t="shared" ref="L9:L49" si="4">IF(K9=$V$3,$W$3,IF(K9=$V$3,$W$3,IF(K9=$V$4,$W$4,IF(K9=$V$5,$W$5,IF(K9=$V$6,$W$6,IF(K9=$V$7,$W$7))))))</f>
        <v>2</v>
      </c>
      <c r="M9" s="410" t="str">
        <f t="shared" si="3"/>
        <v>Same distinctiveness or better habitat required ≥</v>
      </c>
      <c r="N9" s="331" t="s">
        <v>92</v>
      </c>
      <c r="O9" s="331">
        <f t="shared" si="1"/>
        <v>1</v>
      </c>
      <c r="P9" s="331" t="s">
        <v>92</v>
      </c>
      <c r="Q9" s="331">
        <f t="shared" si="2"/>
        <v>1</v>
      </c>
      <c r="R9" s="310"/>
      <c r="S9" s="331"/>
      <c r="T9" s="331" t="s">
        <v>32</v>
      </c>
      <c r="Z9" s="331" t="s">
        <v>326</v>
      </c>
      <c r="AA9" s="331">
        <v>0</v>
      </c>
      <c r="AF9" s="331" t="s">
        <v>52</v>
      </c>
      <c r="AG9" s="331" t="s">
        <v>52</v>
      </c>
    </row>
    <row r="10" spans="1:35" ht="14.5" customHeight="1" x14ac:dyDescent="0.3">
      <c r="A10" s="481" t="s">
        <v>327</v>
      </c>
      <c r="B10" s="75" t="s">
        <v>328</v>
      </c>
      <c r="C10" s="331" t="s">
        <v>329</v>
      </c>
      <c r="D10" s="331" t="s">
        <v>294</v>
      </c>
      <c r="E10" s="1293"/>
      <c r="F10" s="310" t="s">
        <v>46</v>
      </c>
      <c r="G10" s="331" t="s">
        <v>311</v>
      </c>
      <c r="H10" s="414" t="s">
        <v>295</v>
      </c>
      <c r="I10" s="331" t="s">
        <v>329</v>
      </c>
      <c r="J10" s="331" t="s">
        <v>327</v>
      </c>
      <c r="K10" s="331" t="s">
        <v>92</v>
      </c>
      <c r="L10" s="331">
        <f t="shared" si="4"/>
        <v>2</v>
      </c>
      <c r="M10" s="410" t="str">
        <f t="shared" si="3"/>
        <v>Same distinctiveness or better habitat required ≥</v>
      </c>
      <c r="N10" s="331" t="s">
        <v>92</v>
      </c>
      <c r="O10" s="331">
        <f t="shared" si="1"/>
        <v>1</v>
      </c>
      <c r="P10" s="331" t="s">
        <v>92</v>
      </c>
      <c r="Q10" s="331">
        <f t="shared" si="2"/>
        <v>1</v>
      </c>
      <c r="R10" s="310"/>
      <c r="S10" s="331"/>
      <c r="T10" s="331" t="s">
        <v>32</v>
      </c>
      <c r="AF10" s="331" t="s">
        <v>53</v>
      </c>
      <c r="AG10" s="331" t="s">
        <v>330</v>
      </c>
    </row>
    <row r="11" spans="1:35" ht="14.5" customHeight="1" x14ac:dyDescent="0.3">
      <c r="A11" s="481" t="s">
        <v>331</v>
      </c>
      <c r="B11" s="75" t="s">
        <v>332</v>
      </c>
      <c r="C11" s="331" t="s">
        <v>333</v>
      </c>
      <c r="D11" s="331" t="s">
        <v>294</v>
      </c>
      <c r="E11" s="1293"/>
      <c r="F11" s="310" t="s">
        <v>46</v>
      </c>
      <c r="G11" s="331" t="s">
        <v>311</v>
      </c>
      <c r="H11" s="414" t="s">
        <v>295</v>
      </c>
      <c r="I11" s="331" t="s">
        <v>333</v>
      </c>
      <c r="J11" s="331" t="s">
        <v>331</v>
      </c>
      <c r="K11" s="331" t="s">
        <v>92</v>
      </c>
      <c r="L11" s="331">
        <f t="shared" si="4"/>
        <v>2</v>
      </c>
      <c r="M11" s="410" t="str">
        <f t="shared" si="3"/>
        <v>Same distinctiveness or better habitat required ≥</v>
      </c>
      <c r="N11" s="331" t="s">
        <v>92</v>
      </c>
      <c r="O11" s="331">
        <f t="shared" si="1"/>
        <v>1</v>
      </c>
      <c r="P11" s="331" t="s">
        <v>92</v>
      </c>
      <c r="Q11" s="331">
        <f t="shared" si="2"/>
        <v>1</v>
      </c>
      <c r="R11" s="310"/>
      <c r="S11" s="331"/>
      <c r="T11" s="331" t="s">
        <v>32</v>
      </c>
      <c r="AF11" s="331" t="s">
        <v>57</v>
      </c>
      <c r="AG11" s="331" t="s">
        <v>334</v>
      </c>
    </row>
    <row r="12" spans="1:35" ht="28.5" thickBot="1" x14ac:dyDescent="0.35">
      <c r="A12" s="481" t="s">
        <v>335</v>
      </c>
      <c r="B12" s="152" t="s">
        <v>336</v>
      </c>
      <c r="C12" s="315" t="s">
        <v>337</v>
      </c>
      <c r="D12" s="315" t="s">
        <v>294</v>
      </c>
      <c r="E12" s="1293"/>
      <c r="F12" s="299" t="s">
        <v>46</v>
      </c>
      <c r="G12" s="315" t="s">
        <v>311</v>
      </c>
      <c r="H12" s="415" t="s">
        <v>295</v>
      </c>
      <c r="I12" s="315" t="s">
        <v>337</v>
      </c>
      <c r="J12" s="315" t="s">
        <v>335</v>
      </c>
      <c r="K12" s="315" t="s">
        <v>92</v>
      </c>
      <c r="L12" s="315">
        <f t="shared" si="4"/>
        <v>2</v>
      </c>
      <c r="M12" s="411" t="str">
        <f t="shared" si="3"/>
        <v>Same distinctiveness or better habitat required ≥</v>
      </c>
      <c r="N12" s="315" t="s">
        <v>92</v>
      </c>
      <c r="O12" s="315">
        <f t="shared" si="1"/>
        <v>1</v>
      </c>
      <c r="P12" s="315" t="s">
        <v>92</v>
      </c>
      <c r="Q12" s="315">
        <f t="shared" si="2"/>
        <v>1</v>
      </c>
      <c r="R12" s="299"/>
      <c r="S12" s="315"/>
      <c r="T12" s="331" t="s">
        <v>32</v>
      </c>
      <c r="AF12" s="331" t="s">
        <v>805</v>
      </c>
      <c r="AG12" s="331" t="s">
        <v>1493</v>
      </c>
    </row>
    <row r="13" spans="1:35" x14ac:dyDescent="0.3">
      <c r="A13" s="481" t="s">
        <v>338</v>
      </c>
      <c r="B13" s="153" t="s">
        <v>339</v>
      </c>
      <c r="C13" s="311">
        <v>27</v>
      </c>
      <c r="D13" s="311" t="s">
        <v>294</v>
      </c>
      <c r="E13" s="331"/>
      <c r="F13" s="310" t="s">
        <v>1619</v>
      </c>
      <c r="G13" s="311"/>
      <c r="H13" s="416" t="s">
        <v>338</v>
      </c>
      <c r="I13" s="311"/>
      <c r="J13" s="311" t="s">
        <v>338</v>
      </c>
      <c r="K13" s="311" t="s">
        <v>90</v>
      </c>
      <c r="L13" s="311">
        <f t="shared" si="4"/>
        <v>6</v>
      </c>
      <c r="M13" s="412" t="str">
        <f t="shared" si="3"/>
        <v>Same habitat required =</v>
      </c>
      <c r="N13" s="311" t="s">
        <v>92</v>
      </c>
      <c r="O13" s="311">
        <f t="shared" si="1"/>
        <v>1</v>
      </c>
      <c r="P13" s="311" t="s">
        <v>38</v>
      </c>
      <c r="Q13" s="311">
        <f t="shared" si="2"/>
        <v>0.67</v>
      </c>
      <c r="R13" s="298"/>
      <c r="S13" s="311"/>
      <c r="T13" s="331" t="s">
        <v>32</v>
      </c>
      <c r="AF13" s="331" t="s">
        <v>808</v>
      </c>
      <c r="AG13" s="331" t="s">
        <v>1494</v>
      </c>
    </row>
    <row r="14" spans="1:35" ht="14.5" customHeight="1" x14ac:dyDescent="0.3">
      <c r="A14" s="481" t="s">
        <v>340</v>
      </c>
      <c r="B14" s="75" t="s">
        <v>341</v>
      </c>
      <c r="C14" s="331" t="s">
        <v>342</v>
      </c>
      <c r="D14" s="331" t="s">
        <v>294</v>
      </c>
      <c r="E14" s="331" t="s">
        <v>359</v>
      </c>
      <c r="F14" s="310" t="s">
        <v>47</v>
      </c>
      <c r="G14" s="331" t="s">
        <v>360</v>
      </c>
      <c r="H14" s="414" t="s">
        <v>343</v>
      </c>
      <c r="I14" s="331" t="s">
        <v>342</v>
      </c>
      <c r="J14" s="331" t="s">
        <v>340</v>
      </c>
      <c r="K14" s="331" t="s">
        <v>92</v>
      </c>
      <c r="L14" s="331">
        <f t="shared" si="4"/>
        <v>2</v>
      </c>
      <c r="M14" s="410" t="str">
        <f t="shared" si="3"/>
        <v>Same distinctiveness or better habitat required ≥</v>
      </c>
      <c r="N14" s="331" t="s">
        <v>92</v>
      </c>
      <c r="O14" s="331">
        <f t="shared" si="1"/>
        <v>1</v>
      </c>
      <c r="P14" s="331" t="s">
        <v>92</v>
      </c>
      <c r="Q14" s="331">
        <f t="shared" si="2"/>
        <v>1</v>
      </c>
      <c r="R14" s="310"/>
      <c r="S14" s="331"/>
      <c r="T14" s="331" t="s">
        <v>32</v>
      </c>
      <c r="AF14" s="331" t="s">
        <v>54</v>
      </c>
      <c r="AG14" s="331" t="s">
        <v>344</v>
      </c>
    </row>
    <row r="15" spans="1:35" ht="28" x14ac:dyDescent="0.3">
      <c r="A15" s="481" t="s">
        <v>345</v>
      </c>
      <c r="B15" s="75" t="s">
        <v>346</v>
      </c>
      <c r="C15" s="331" t="s">
        <v>347</v>
      </c>
      <c r="D15" s="331" t="s">
        <v>294</v>
      </c>
      <c r="E15" s="331"/>
      <c r="F15" s="310"/>
      <c r="G15" s="331"/>
      <c r="H15" s="414" t="s">
        <v>348</v>
      </c>
      <c r="I15" s="331"/>
      <c r="J15" s="331" t="s">
        <v>348</v>
      </c>
      <c r="K15" s="331" t="s">
        <v>90</v>
      </c>
      <c r="L15" s="331">
        <f t="shared" si="4"/>
        <v>6</v>
      </c>
      <c r="M15" s="410" t="str">
        <f t="shared" si="3"/>
        <v>Same habitat required =</v>
      </c>
      <c r="N15" s="331" t="s">
        <v>90</v>
      </c>
      <c r="O15" s="331">
        <f t="shared" si="1"/>
        <v>0.33</v>
      </c>
      <c r="P15" s="331" t="s">
        <v>38</v>
      </c>
      <c r="Q15" s="331">
        <f t="shared" si="2"/>
        <v>0.67</v>
      </c>
      <c r="R15" s="310"/>
      <c r="S15" s="331"/>
      <c r="T15" s="331" t="s">
        <v>32</v>
      </c>
      <c r="AF15" s="331" t="s">
        <v>58</v>
      </c>
      <c r="AG15" s="331" t="s">
        <v>349</v>
      </c>
    </row>
    <row r="16" spans="1:35" ht="14.5" customHeight="1" x14ac:dyDescent="0.3">
      <c r="A16" s="481" t="s">
        <v>350</v>
      </c>
      <c r="B16" s="75" t="s">
        <v>351</v>
      </c>
      <c r="C16" s="331" t="s">
        <v>352</v>
      </c>
      <c r="D16" s="331" t="s">
        <v>294</v>
      </c>
      <c r="E16" s="331" t="s">
        <v>359</v>
      </c>
      <c r="F16" s="310" t="s">
        <v>47</v>
      </c>
      <c r="G16" s="331" t="s">
        <v>353</v>
      </c>
      <c r="H16" s="414" t="s">
        <v>354</v>
      </c>
      <c r="I16" s="331" t="s">
        <v>352</v>
      </c>
      <c r="J16" s="349" t="s">
        <v>350</v>
      </c>
      <c r="K16" s="331" t="s">
        <v>90</v>
      </c>
      <c r="L16" s="331">
        <f t="shared" si="4"/>
        <v>6</v>
      </c>
      <c r="M16" s="410" t="str">
        <f t="shared" si="3"/>
        <v>Same habitat required =</v>
      </c>
      <c r="N16" s="331" t="s">
        <v>90</v>
      </c>
      <c r="O16" s="331">
        <f t="shared" si="1"/>
        <v>0.33</v>
      </c>
      <c r="P16" s="331" t="s">
        <v>90</v>
      </c>
      <c r="Q16" s="331">
        <f t="shared" si="2"/>
        <v>0.33</v>
      </c>
      <c r="R16" s="310"/>
      <c r="S16" s="331"/>
      <c r="T16" s="331" t="s">
        <v>32</v>
      </c>
      <c r="AF16" s="331" t="s">
        <v>59</v>
      </c>
      <c r="AG16" s="331" t="s">
        <v>355</v>
      </c>
    </row>
    <row r="17" spans="1:33" ht="14.5" customHeight="1" x14ac:dyDescent="0.3">
      <c r="A17" s="481" t="s">
        <v>356</v>
      </c>
      <c r="B17" s="75" t="s">
        <v>357</v>
      </c>
      <c r="C17" s="331" t="s">
        <v>358</v>
      </c>
      <c r="D17" s="331" t="s">
        <v>294</v>
      </c>
      <c r="E17" s="331" t="s">
        <v>359</v>
      </c>
      <c r="F17" s="310" t="s">
        <v>47</v>
      </c>
      <c r="G17" s="331" t="s">
        <v>360</v>
      </c>
      <c r="H17" s="414" t="s">
        <v>343</v>
      </c>
      <c r="I17" s="331" t="s">
        <v>358</v>
      </c>
      <c r="J17" s="349" t="s">
        <v>356</v>
      </c>
      <c r="K17" s="331" t="s">
        <v>297</v>
      </c>
      <c r="L17" s="331">
        <f t="shared" si="4"/>
        <v>8</v>
      </c>
      <c r="M17" s="410" t="str">
        <f t="shared" si="3"/>
        <v>Bespoke compensation likely to be required 🛠</v>
      </c>
      <c r="N17" s="331" t="s">
        <v>90</v>
      </c>
      <c r="O17" s="331">
        <f t="shared" si="1"/>
        <v>0.33</v>
      </c>
      <c r="P17" s="331" t="s">
        <v>90</v>
      </c>
      <c r="Q17" s="331">
        <f t="shared" si="2"/>
        <v>0.33</v>
      </c>
      <c r="R17" s="310"/>
      <c r="S17" s="331"/>
      <c r="T17" s="331" t="s">
        <v>32</v>
      </c>
      <c r="AF17" s="331" t="s">
        <v>60</v>
      </c>
      <c r="AG17" s="331" t="s">
        <v>361</v>
      </c>
    </row>
    <row r="18" spans="1:33" ht="14.5" customHeight="1" x14ac:dyDescent="0.3">
      <c r="A18" s="481" t="s">
        <v>362</v>
      </c>
      <c r="B18" s="75" t="s">
        <v>363</v>
      </c>
      <c r="C18" s="331" t="s">
        <v>364</v>
      </c>
      <c r="D18" s="331" t="s">
        <v>294</v>
      </c>
      <c r="E18" s="331" t="s">
        <v>359</v>
      </c>
      <c r="F18" s="310" t="s">
        <v>47</v>
      </c>
      <c r="G18" s="331" t="s">
        <v>365</v>
      </c>
      <c r="H18" s="414" t="s">
        <v>366</v>
      </c>
      <c r="I18" s="331" t="s">
        <v>364</v>
      </c>
      <c r="J18" s="349" t="s">
        <v>362</v>
      </c>
      <c r="K18" s="331" t="s">
        <v>297</v>
      </c>
      <c r="L18" s="331">
        <f t="shared" si="4"/>
        <v>8</v>
      </c>
      <c r="M18" s="410" t="str">
        <f t="shared" si="3"/>
        <v>Bespoke compensation likely to be required 🛠</v>
      </c>
      <c r="N18" s="331" t="s">
        <v>90</v>
      </c>
      <c r="O18" s="331">
        <f t="shared" si="1"/>
        <v>0.33</v>
      </c>
      <c r="P18" s="331" t="s">
        <v>38</v>
      </c>
      <c r="Q18" s="331">
        <f t="shared" si="2"/>
        <v>0.67</v>
      </c>
      <c r="R18" s="310"/>
      <c r="S18" s="331"/>
      <c r="T18" s="331" t="s">
        <v>32</v>
      </c>
    </row>
    <row r="19" spans="1:33" ht="14.5" customHeight="1" x14ac:dyDescent="0.3">
      <c r="A19" s="481" t="s">
        <v>367</v>
      </c>
      <c r="B19" s="75" t="s">
        <v>368</v>
      </c>
      <c r="C19" s="331" t="s">
        <v>369</v>
      </c>
      <c r="D19" s="331" t="s">
        <v>294</v>
      </c>
      <c r="E19" s="331"/>
      <c r="F19" s="310"/>
      <c r="G19" s="331" t="s">
        <v>369</v>
      </c>
      <c r="H19" s="414" t="s">
        <v>367</v>
      </c>
      <c r="I19" s="310" t="s">
        <v>370</v>
      </c>
      <c r="J19" s="310" t="s">
        <v>367</v>
      </c>
      <c r="K19" s="331" t="s">
        <v>92</v>
      </c>
      <c r="L19" s="331">
        <f t="shared" si="4"/>
        <v>2</v>
      </c>
      <c r="M19" s="410" t="str">
        <f t="shared" si="3"/>
        <v>Same distinctiveness or better habitat required ≥</v>
      </c>
      <c r="N19" s="331" t="s">
        <v>92</v>
      </c>
      <c r="O19" s="331">
        <f t="shared" si="1"/>
        <v>1</v>
      </c>
      <c r="P19" s="331" t="s">
        <v>92</v>
      </c>
      <c r="Q19" s="331">
        <f t="shared" si="2"/>
        <v>1</v>
      </c>
      <c r="R19" s="310"/>
      <c r="S19" s="331"/>
      <c r="T19" s="331" t="s">
        <v>32</v>
      </c>
    </row>
    <row r="20" spans="1:33" ht="14.5" customHeight="1" x14ac:dyDescent="0.3">
      <c r="A20" s="481" t="s">
        <v>371</v>
      </c>
      <c r="B20" s="75" t="s">
        <v>372</v>
      </c>
      <c r="C20" s="331" t="s">
        <v>373</v>
      </c>
      <c r="D20" s="331" t="s">
        <v>294</v>
      </c>
      <c r="E20" s="331" t="s">
        <v>359</v>
      </c>
      <c r="F20" s="310" t="s">
        <v>47</v>
      </c>
      <c r="G20" s="331" t="s">
        <v>360</v>
      </c>
      <c r="H20" s="414" t="s">
        <v>343</v>
      </c>
      <c r="I20" s="331" t="s">
        <v>373</v>
      </c>
      <c r="J20" s="331" t="s">
        <v>371</v>
      </c>
      <c r="K20" s="331" t="s">
        <v>38</v>
      </c>
      <c r="L20" s="331">
        <f t="shared" si="4"/>
        <v>4</v>
      </c>
      <c r="M20" s="410" t="str">
        <f t="shared" si="3"/>
        <v>Same broad habitat or a higher distinctiveness habitat required (≥)</v>
      </c>
      <c r="N20" s="331" t="s">
        <v>92</v>
      </c>
      <c r="O20" s="331">
        <f t="shared" si="1"/>
        <v>1</v>
      </c>
      <c r="P20" s="331" t="s">
        <v>92</v>
      </c>
      <c r="Q20" s="331">
        <f t="shared" si="2"/>
        <v>1</v>
      </c>
      <c r="R20" s="310"/>
      <c r="S20" s="331"/>
      <c r="T20" s="331" t="s">
        <v>32</v>
      </c>
    </row>
    <row r="21" spans="1:33" ht="14.5" customHeight="1" x14ac:dyDescent="0.3">
      <c r="A21" s="481" t="s">
        <v>374</v>
      </c>
      <c r="B21" s="75" t="s">
        <v>375</v>
      </c>
      <c r="C21" s="331" t="s">
        <v>376</v>
      </c>
      <c r="D21" s="331" t="s">
        <v>294</v>
      </c>
      <c r="E21" s="331" t="s">
        <v>359</v>
      </c>
      <c r="F21" s="310" t="s">
        <v>47</v>
      </c>
      <c r="G21" s="331" t="s">
        <v>365</v>
      </c>
      <c r="H21" s="414" t="s">
        <v>366</v>
      </c>
      <c r="I21" s="331" t="s">
        <v>376</v>
      </c>
      <c r="J21" s="331" t="s">
        <v>374</v>
      </c>
      <c r="K21" s="331" t="s">
        <v>38</v>
      </c>
      <c r="L21" s="331">
        <f t="shared" si="4"/>
        <v>4</v>
      </c>
      <c r="M21" s="410" t="str">
        <f t="shared" si="3"/>
        <v>Same broad habitat or a higher distinctiveness habitat required (≥)</v>
      </c>
      <c r="N21" s="331" t="s">
        <v>92</v>
      </c>
      <c r="O21" s="331">
        <f t="shared" si="1"/>
        <v>1</v>
      </c>
      <c r="P21" s="331" t="s">
        <v>92</v>
      </c>
      <c r="Q21" s="331">
        <f t="shared" si="2"/>
        <v>1</v>
      </c>
      <c r="R21" s="310"/>
      <c r="S21" s="331"/>
      <c r="T21" s="331" t="s">
        <v>32</v>
      </c>
    </row>
    <row r="22" spans="1:33" ht="14.5" customHeight="1" x14ac:dyDescent="0.3">
      <c r="A22" s="481" t="s">
        <v>377</v>
      </c>
      <c r="B22" s="75" t="s">
        <v>378</v>
      </c>
      <c r="C22" s="331" t="s">
        <v>379</v>
      </c>
      <c r="D22" s="331" t="s">
        <v>294</v>
      </c>
      <c r="E22" s="331" t="s">
        <v>495</v>
      </c>
      <c r="F22" s="310" t="s">
        <v>47</v>
      </c>
      <c r="G22" s="331" t="s">
        <v>496</v>
      </c>
      <c r="H22" s="414" t="s">
        <v>478</v>
      </c>
      <c r="I22" s="310"/>
      <c r="J22" s="331" t="s">
        <v>380</v>
      </c>
      <c r="K22" s="331" t="s">
        <v>90</v>
      </c>
      <c r="L22" s="331">
        <f t="shared" si="4"/>
        <v>6</v>
      </c>
      <c r="M22" s="410" t="str">
        <f t="shared" si="3"/>
        <v>Same habitat required =</v>
      </c>
      <c r="N22" s="331" t="s">
        <v>90</v>
      </c>
      <c r="O22" s="331">
        <f t="shared" si="1"/>
        <v>0.33</v>
      </c>
      <c r="P22" s="331" t="s">
        <v>90</v>
      </c>
      <c r="Q22" s="331">
        <f t="shared" si="2"/>
        <v>0.33</v>
      </c>
      <c r="R22" s="310"/>
      <c r="S22" s="331"/>
      <c r="T22" s="331" t="s">
        <v>32</v>
      </c>
    </row>
    <row r="23" spans="1:33" ht="14.5" customHeight="1" x14ac:dyDescent="0.3">
      <c r="A23" s="481" t="s">
        <v>381</v>
      </c>
      <c r="B23" s="75" t="s">
        <v>382</v>
      </c>
      <c r="C23" s="331" t="s">
        <v>383</v>
      </c>
      <c r="D23" s="331" t="s">
        <v>294</v>
      </c>
      <c r="E23" s="331" t="s">
        <v>359</v>
      </c>
      <c r="F23" s="310" t="s">
        <v>47</v>
      </c>
      <c r="G23" s="331" t="s">
        <v>360</v>
      </c>
      <c r="H23" s="414" t="s">
        <v>343</v>
      </c>
      <c r="I23" s="331" t="s">
        <v>383</v>
      </c>
      <c r="J23" s="349" t="s">
        <v>381</v>
      </c>
      <c r="K23" s="331" t="s">
        <v>38</v>
      </c>
      <c r="L23" s="331">
        <f t="shared" si="4"/>
        <v>4</v>
      </c>
      <c r="M23" s="410" t="str">
        <f t="shared" si="3"/>
        <v>Same broad habitat or a higher distinctiveness habitat required (≥)</v>
      </c>
      <c r="N23" s="331" t="s">
        <v>92</v>
      </c>
      <c r="O23" s="331">
        <f t="shared" si="1"/>
        <v>1</v>
      </c>
      <c r="P23" s="331" t="s">
        <v>92</v>
      </c>
      <c r="Q23" s="331">
        <f t="shared" si="2"/>
        <v>1</v>
      </c>
      <c r="R23" s="310"/>
      <c r="S23" s="331"/>
      <c r="T23" s="331" t="s">
        <v>32</v>
      </c>
      <c r="AF23" s="909" t="s">
        <v>864</v>
      </c>
      <c r="AG23" s="909"/>
    </row>
    <row r="24" spans="1:33" ht="14.5" customHeight="1" x14ac:dyDescent="0.3">
      <c r="A24" s="481" t="s">
        <v>384</v>
      </c>
      <c r="B24" s="75" t="s">
        <v>385</v>
      </c>
      <c r="C24" s="331" t="s">
        <v>386</v>
      </c>
      <c r="D24" s="331" t="s">
        <v>294</v>
      </c>
      <c r="E24" s="331" t="s">
        <v>359</v>
      </c>
      <c r="F24" s="310" t="s">
        <v>47</v>
      </c>
      <c r="G24" s="331" t="s">
        <v>353</v>
      </c>
      <c r="H24" s="414" t="s">
        <v>354</v>
      </c>
      <c r="I24" s="331" t="s">
        <v>386</v>
      </c>
      <c r="J24" s="349" t="s">
        <v>384</v>
      </c>
      <c r="K24" s="331" t="s">
        <v>90</v>
      </c>
      <c r="L24" s="331">
        <f t="shared" si="4"/>
        <v>6</v>
      </c>
      <c r="M24" s="410" t="str">
        <f t="shared" si="3"/>
        <v>Same habitat required =</v>
      </c>
      <c r="N24" s="331" t="s">
        <v>90</v>
      </c>
      <c r="O24" s="331">
        <f t="shared" si="1"/>
        <v>0.33</v>
      </c>
      <c r="P24" s="331" t="s">
        <v>90</v>
      </c>
      <c r="Q24" s="331">
        <f t="shared" si="2"/>
        <v>0.33</v>
      </c>
      <c r="R24" s="310"/>
      <c r="S24" s="331"/>
      <c r="T24" s="331" t="s">
        <v>32</v>
      </c>
      <c r="AF24" s="909"/>
      <c r="AG24" s="909"/>
    </row>
    <row r="25" spans="1:33" ht="15" customHeight="1" thickBot="1" x14ac:dyDescent="0.35">
      <c r="A25" s="481" t="s">
        <v>387</v>
      </c>
      <c r="B25" s="152" t="s">
        <v>388</v>
      </c>
      <c r="C25" s="315" t="s">
        <v>389</v>
      </c>
      <c r="D25" s="315" t="s">
        <v>294</v>
      </c>
      <c r="E25" s="331" t="s">
        <v>359</v>
      </c>
      <c r="F25" s="299" t="s">
        <v>47</v>
      </c>
      <c r="G25" s="315" t="s">
        <v>365</v>
      </c>
      <c r="H25" s="415" t="s">
        <v>366</v>
      </c>
      <c r="I25" s="315" t="s">
        <v>389</v>
      </c>
      <c r="J25" s="351" t="s">
        <v>387</v>
      </c>
      <c r="K25" s="315" t="s">
        <v>297</v>
      </c>
      <c r="L25" s="315">
        <f t="shared" si="4"/>
        <v>8</v>
      </c>
      <c r="M25" s="411" t="str">
        <f t="shared" si="3"/>
        <v>Bespoke compensation likely to be required 🛠</v>
      </c>
      <c r="N25" s="315" t="s">
        <v>90</v>
      </c>
      <c r="O25" s="315">
        <f t="shared" si="1"/>
        <v>0.33</v>
      </c>
      <c r="P25" s="315" t="s">
        <v>38</v>
      </c>
      <c r="Q25" s="315">
        <f t="shared" si="2"/>
        <v>0.67</v>
      </c>
      <c r="R25" s="299"/>
      <c r="S25" s="315"/>
      <c r="T25" s="331" t="s">
        <v>32</v>
      </c>
      <c r="AF25" s="1164" t="s">
        <v>267</v>
      </c>
      <c r="AG25" s="1164" t="s">
        <v>268</v>
      </c>
    </row>
    <row r="26" spans="1:33" x14ac:dyDescent="0.3">
      <c r="A26" s="481" t="s">
        <v>390</v>
      </c>
      <c r="B26" s="153" t="s">
        <v>391</v>
      </c>
      <c r="C26" s="311" t="s">
        <v>392</v>
      </c>
      <c r="D26" s="311" t="s">
        <v>294</v>
      </c>
      <c r="E26" s="1293" t="s">
        <v>410</v>
      </c>
      <c r="F26" s="298" t="s">
        <v>48</v>
      </c>
      <c r="G26" s="311" t="s">
        <v>393</v>
      </c>
      <c r="H26" s="416" t="s">
        <v>394</v>
      </c>
      <c r="I26" s="311" t="s">
        <v>392</v>
      </c>
      <c r="J26" s="311" t="s">
        <v>390</v>
      </c>
      <c r="K26" s="311" t="s">
        <v>38</v>
      </c>
      <c r="L26" s="311">
        <f t="shared" si="4"/>
        <v>4</v>
      </c>
      <c r="M26" s="412" t="str">
        <f t="shared" si="3"/>
        <v>Same broad habitat or a higher distinctiveness habitat required (≥)</v>
      </c>
      <c r="N26" s="311" t="s">
        <v>92</v>
      </c>
      <c r="O26" s="311">
        <f t="shared" si="1"/>
        <v>1</v>
      </c>
      <c r="P26" s="311" t="s">
        <v>92</v>
      </c>
      <c r="Q26" s="311">
        <f t="shared" si="2"/>
        <v>1</v>
      </c>
      <c r="R26" s="298"/>
      <c r="S26" s="311"/>
      <c r="T26" s="331" t="s">
        <v>32</v>
      </c>
      <c r="AF26" s="1287"/>
      <c r="AG26" s="1287"/>
    </row>
    <row r="27" spans="1:33" ht="14.5" customHeight="1" x14ac:dyDescent="0.3">
      <c r="A27" s="481" t="s">
        <v>395</v>
      </c>
      <c r="B27" s="75" t="s">
        <v>396</v>
      </c>
      <c r="C27" s="331" t="s">
        <v>397</v>
      </c>
      <c r="D27" s="331" t="s">
        <v>294</v>
      </c>
      <c r="E27" s="1293"/>
      <c r="F27" s="310" t="s">
        <v>48</v>
      </c>
      <c r="G27" s="331" t="s">
        <v>393</v>
      </c>
      <c r="H27" s="414" t="s">
        <v>394</v>
      </c>
      <c r="I27" s="331" t="s">
        <v>397</v>
      </c>
      <c r="J27" s="331" t="s">
        <v>395</v>
      </c>
      <c r="K27" s="331" t="s">
        <v>38</v>
      </c>
      <c r="L27" s="331">
        <f t="shared" si="4"/>
        <v>4</v>
      </c>
      <c r="M27" s="410" t="str">
        <f t="shared" si="3"/>
        <v>Same broad habitat or a higher distinctiveness habitat required (≥)</v>
      </c>
      <c r="N27" s="331" t="s">
        <v>92</v>
      </c>
      <c r="O27" s="331">
        <f t="shared" si="1"/>
        <v>1</v>
      </c>
      <c r="P27" s="331" t="s">
        <v>92</v>
      </c>
      <c r="Q27" s="331">
        <f t="shared" si="2"/>
        <v>1</v>
      </c>
      <c r="R27" s="310"/>
      <c r="S27" s="331"/>
      <c r="T27" s="331" t="s">
        <v>32</v>
      </c>
      <c r="AF27" s="331" t="s">
        <v>46</v>
      </c>
      <c r="AG27" s="331" t="s">
        <v>46</v>
      </c>
    </row>
    <row r="28" spans="1:33" ht="14.5" customHeight="1" x14ac:dyDescent="0.3">
      <c r="A28" s="481" t="s">
        <v>398</v>
      </c>
      <c r="B28" s="75" t="s">
        <v>399</v>
      </c>
      <c r="C28" s="331" t="s">
        <v>400</v>
      </c>
      <c r="D28" s="331" t="s">
        <v>294</v>
      </c>
      <c r="E28" s="1293"/>
      <c r="F28" s="310" t="s">
        <v>48</v>
      </c>
      <c r="G28" s="331" t="s">
        <v>393</v>
      </c>
      <c r="H28" s="414" t="s">
        <v>394</v>
      </c>
      <c r="I28" s="331" t="s">
        <v>400</v>
      </c>
      <c r="J28" s="331" t="s">
        <v>398</v>
      </c>
      <c r="K28" s="331" t="s">
        <v>38</v>
      </c>
      <c r="L28" s="331">
        <f t="shared" si="4"/>
        <v>4</v>
      </c>
      <c r="M28" s="410" t="str">
        <f t="shared" si="3"/>
        <v>Same broad habitat or a higher distinctiveness habitat required (≥)</v>
      </c>
      <c r="N28" s="331" t="s">
        <v>92</v>
      </c>
      <c r="O28" s="331">
        <f t="shared" si="1"/>
        <v>1</v>
      </c>
      <c r="P28" s="331" t="s">
        <v>92</v>
      </c>
      <c r="Q28" s="331">
        <f t="shared" si="2"/>
        <v>1</v>
      </c>
      <c r="R28" s="310"/>
      <c r="S28" s="331"/>
      <c r="T28" s="331" t="s">
        <v>32</v>
      </c>
      <c r="AF28" s="331" t="s">
        <v>47</v>
      </c>
      <c r="AG28" s="331" t="s">
        <v>47</v>
      </c>
    </row>
    <row r="29" spans="1:33" ht="14.5" customHeight="1" x14ac:dyDescent="0.3">
      <c r="A29" s="481" t="s">
        <v>401</v>
      </c>
      <c r="B29" s="75" t="s">
        <v>402</v>
      </c>
      <c r="C29" s="331" t="s">
        <v>403</v>
      </c>
      <c r="D29" s="331" t="s">
        <v>294</v>
      </c>
      <c r="E29" s="1293"/>
      <c r="F29" s="310" t="s">
        <v>48</v>
      </c>
      <c r="G29" s="331" t="s">
        <v>393</v>
      </c>
      <c r="H29" s="414" t="s">
        <v>394</v>
      </c>
      <c r="I29" s="331" t="s">
        <v>403</v>
      </c>
      <c r="J29" s="331" t="s">
        <v>401</v>
      </c>
      <c r="K29" s="331" t="s">
        <v>38</v>
      </c>
      <c r="L29" s="331">
        <f t="shared" si="4"/>
        <v>4</v>
      </c>
      <c r="M29" s="410" t="str">
        <f t="shared" si="3"/>
        <v>Same broad habitat or a higher distinctiveness habitat required (≥)</v>
      </c>
      <c r="N29" s="331" t="s">
        <v>92</v>
      </c>
      <c r="O29" s="331">
        <f t="shared" si="1"/>
        <v>1</v>
      </c>
      <c r="P29" s="331" t="s">
        <v>92</v>
      </c>
      <c r="Q29" s="331">
        <f t="shared" si="2"/>
        <v>1</v>
      </c>
      <c r="R29" s="310"/>
      <c r="S29" s="331"/>
      <c r="T29" s="331" t="s">
        <v>32</v>
      </c>
      <c r="AF29" s="331" t="s">
        <v>48</v>
      </c>
      <c r="AG29" s="331" t="s">
        <v>306</v>
      </c>
    </row>
    <row r="30" spans="1:33" ht="14.5" customHeight="1" x14ac:dyDescent="0.3">
      <c r="A30" s="481" t="s">
        <v>404</v>
      </c>
      <c r="B30" s="75" t="s">
        <v>405</v>
      </c>
      <c r="C30" s="331" t="s">
        <v>406</v>
      </c>
      <c r="D30" s="331" t="s">
        <v>294</v>
      </c>
      <c r="E30" s="1293"/>
      <c r="F30" s="310" t="s">
        <v>48</v>
      </c>
      <c r="G30" s="331" t="s">
        <v>393</v>
      </c>
      <c r="H30" s="414" t="s">
        <v>394</v>
      </c>
      <c r="I30" s="331" t="s">
        <v>406</v>
      </c>
      <c r="J30" s="331" t="s">
        <v>404</v>
      </c>
      <c r="K30" s="331" t="s">
        <v>38</v>
      </c>
      <c r="L30" s="331">
        <f t="shared" si="4"/>
        <v>4</v>
      </c>
      <c r="M30" s="410" t="str">
        <f t="shared" si="3"/>
        <v>Same broad habitat or a higher distinctiveness habitat required (≥)</v>
      </c>
      <c r="N30" s="331" t="s">
        <v>38</v>
      </c>
      <c r="O30" s="331">
        <f t="shared" si="1"/>
        <v>0.67</v>
      </c>
      <c r="P30" s="331" t="s">
        <v>92</v>
      </c>
      <c r="Q30" s="331">
        <f t="shared" si="2"/>
        <v>1</v>
      </c>
      <c r="R30" s="310"/>
      <c r="S30" s="331"/>
      <c r="T30" s="331" t="s">
        <v>32</v>
      </c>
      <c r="AF30" s="331" t="s">
        <v>49</v>
      </c>
      <c r="AG30" s="331" t="s">
        <v>49</v>
      </c>
    </row>
    <row r="31" spans="1:33" ht="14.5" customHeight="1" x14ac:dyDescent="0.3">
      <c r="A31" s="481" t="s">
        <v>407</v>
      </c>
      <c r="B31" s="75" t="s">
        <v>408</v>
      </c>
      <c r="C31" s="331" t="s">
        <v>409</v>
      </c>
      <c r="D31" s="331" t="s">
        <v>294</v>
      </c>
      <c r="E31" s="1293"/>
      <c r="F31" s="310" t="s">
        <v>48</v>
      </c>
      <c r="G31" s="331" t="s">
        <v>411</v>
      </c>
      <c r="H31" s="414" t="s">
        <v>412</v>
      </c>
      <c r="I31" s="331" t="s">
        <v>409</v>
      </c>
      <c r="J31" s="349" t="s">
        <v>413</v>
      </c>
      <c r="K31" s="331" t="s">
        <v>90</v>
      </c>
      <c r="L31" s="331">
        <f t="shared" si="4"/>
        <v>6</v>
      </c>
      <c r="M31" s="410" t="str">
        <f t="shared" si="3"/>
        <v>Same habitat required =</v>
      </c>
      <c r="N31" s="331" t="s">
        <v>90</v>
      </c>
      <c r="O31" s="331">
        <f t="shared" si="1"/>
        <v>0.33</v>
      </c>
      <c r="P31" s="331" t="s">
        <v>38</v>
      </c>
      <c r="Q31" s="331">
        <f t="shared" si="2"/>
        <v>0.67</v>
      </c>
      <c r="R31" s="310"/>
      <c r="S31" s="331"/>
      <c r="T31" s="331" t="s">
        <v>32</v>
      </c>
      <c r="AF31" s="331" t="s">
        <v>50</v>
      </c>
      <c r="AG31" s="331" t="s">
        <v>318</v>
      </c>
    </row>
    <row r="32" spans="1:33" ht="28" x14ac:dyDescent="0.3">
      <c r="A32" s="481" t="s">
        <v>414</v>
      </c>
      <c r="B32" s="75" t="s">
        <v>415</v>
      </c>
      <c r="C32" s="331" t="s">
        <v>416</v>
      </c>
      <c r="D32" s="331" t="s">
        <v>294</v>
      </c>
      <c r="E32" s="1293"/>
      <c r="F32" s="310" t="s">
        <v>48</v>
      </c>
      <c r="G32" s="331" t="s">
        <v>393</v>
      </c>
      <c r="H32" s="414" t="s">
        <v>394</v>
      </c>
      <c r="I32" s="331" t="s">
        <v>416</v>
      </c>
      <c r="J32" s="331" t="s">
        <v>414</v>
      </c>
      <c r="K32" s="331" t="s">
        <v>38</v>
      </c>
      <c r="L32" s="331">
        <f t="shared" si="4"/>
        <v>4</v>
      </c>
      <c r="M32" s="410" t="str">
        <f t="shared" si="3"/>
        <v>Same broad habitat or a higher distinctiveness habitat required (≥)</v>
      </c>
      <c r="N32" s="331" t="s">
        <v>92</v>
      </c>
      <c r="O32" s="331">
        <f t="shared" si="1"/>
        <v>1</v>
      </c>
      <c r="P32" s="331" t="s">
        <v>92</v>
      </c>
      <c r="Q32" s="331">
        <f t="shared" si="2"/>
        <v>1</v>
      </c>
      <c r="R32" s="310" t="s">
        <v>417</v>
      </c>
      <c r="S32" s="331"/>
      <c r="T32" s="331" t="s">
        <v>32</v>
      </c>
      <c r="AF32" s="348" t="s">
        <v>51</v>
      </c>
      <c r="AG32" s="348" t="s">
        <v>51</v>
      </c>
    </row>
    <row r="33" spans="1:33" ht="28" x14ac:dyDescent="0.3">
      <c r="A33" s="481" t="s">
        <v>418</v>
      </c>
      <c r="B33" s="75" t="s">
        <v>419</v>
      </c>
      <c r="C33" s="331" t="s">
        <v>420</v>
      </c>
      <c r="D33" s="331" t="s">
        <v>294</v>
      </c>
      <c r="E33" s="1293"/>
      <c r="F33" s="310" t="s">
        <v>48</v>
      </c>
      <c r="G33" s="331" t="s">
        <v>411</v>
      </c>
      <c r="H33" s="414" t="s">
        <v>412</v>
      </c>
      <c r="I33" s="331" t="s">
        <v>420</v>
      </c>
      <c r="J33" s="349" t="s">
        <v>418</v>
      </c>
      <c r="K33" s="331" t="s">
        <v>297</v>
      </c>
      <c r="L33" s="331">
        <f t="shared" si="4"/>
        <v>8</v>
      </c>
      <c r="M33" s="410" t="str">
        <f t="shared" si="3"/>
        <v>Bespoke compensation likely to be required 🛠</v>
      </c>
      <c r="N33" s="331" t="s">
        <v>90</v>
      </c>
      <c r="O33" s="331">
        <f t="shared" si="1"/>
        <v>0.33</v>
      </c>
      <c r="P33" s="331" t="s">
        <v>90</v>
      </c>
      <c r="Q33" s="331">
        <f t="shared" si="2"/>
        <v>0.33</v>
      </c>
      <c r="R33" s="310"/>
      <c r="S33" s="331"/>
      <c r="T33" s="331" t="s">
        <v>32</v>
      </c>
      <c r="AF33" s="331" t="s">
        <v>52</v>
      </c>
      <c r="AG33" s="331" t="s">
        <v>52</v>
      </c>
    </row>
    <row r="34" spans="1:33" ht="14.5" customHeight="1" x14ac:dyDescent="0.3">
      <c r="A34" s="481" t="s">
        <v>421</v>
      </c>
      <c r="B34" s="75" t="s">
        <v>422</v>
      </c>
      <c r="C34" s="331" t="s">
        <v>423</v>
      </c>
      <c r="D34" s="331" t="s">
        <v>294</v>
      </c>
      <c r="E34" s="1293"/>
      <c r="F34" s="310" t="s">
        <v>48</v>
      </c>
      <c r="G34" s="331" t="s">
        <v>393</v>
      </c>
      <c r="H34" s="414" t="s">
        <v>394</v>
      </c>
      <c r="I34" s="331" t="s">
        <v>423</v>
      </c>
      <c r="J34" s="331" t="s">
        <v>421</v>
      </c>
      <c r="K34" s="331" t="s">
        <v>92</v>
      </c>
      <c r="L34" s="331">
        <f t="shared" si="4"/>
        <v>2</v>
      </c>
      <c r="M34" s="410" t="str">
        <f t="shared" si="3"/>
        <v>Same distinctiveness or better habitat required ≥</v>
      </c>
      <c r="N34" s="331" t="s">
        <v>92</v>
      </c>
      <c r="O34" s="331">
        <f t="shared" ref="O34:O66" si="5">VLOOKUP(N34,Difficulty,2,FALSE)</f>
        <v>1</v>
      </c>
      <c r="P34" s="331" t="s">
        <v>92</v>
      </c>
      <c r="Q34" s="331">
        <f t="shared" ref="Q34:Q66" si="6">VLOOKUP(P34,Difficulty,2,FALSE)</f>
        <v>1</v>
      </c>
      <c r="R34" s="310"/>
      <c r="S34" s="331"/>
      <c r="T34" s="331" t="s">
        <v>32</v>
      </c>
      <c r="AF34" s="331" t="s">
        <v>53</v>
      </c>
      <c r="AG34" s="331" t="s">
        <v>1518</v>
      </c>
    </row>
    <row r="35" spans="1:33" ht="28" x14ac:dyDescent="0.3">
      <c r="A35" s="481" t="s">
        <v>424</v>
      </c>
      <c r="B35" s="75" t="s">
        <v>425</v>
      </c>
      <c r="C35" s="331" t="s">
        <v>426</v>
      </c>
      <c r="D35" s="331" t="s">
        <v>294</v>
      </c>
      <c r="E35" s="1293"/>
      <c r="F35" s="310" t="s">
        <v>48</v>
      </c>
      <c r="G35" s="331" t="s">
        <v>393</v>
      </c>
      <c r="H35" s="414" t="s">
        <v>394</v>
      </c>
      <c r="I35" s="331" t="s">
        <v>427</v>
      </c>
      <c r="J35" s="331" t="s">
        <v>428</v>
      </c>
      <c r="K35" s="331" t="s">
        <v>90</v>
      </c>
      <c r="L35" s="331">
        <f t="shared" si="4"/>
        <v>6</v>
      </c>
      <c r="M35" s="410" t="str">
        <f t="shared" si="3"/>
        <v>Same habitat required =</v>
      </c>
      <c r="N35" s="331" t="s">
        <v>38</v>
      </c>
      <c r="O35" s="331">
        <f t="shared" si="5"/>
        <v>0.67</v>
      </c>
      <c r="P35" s="331" t="s">
        <v>92</v>
      </c>
      <c r="Q35" s="331">
        <f t="shared" si="6"/>
        <v>1</v>
      </c>
      <c r="R35" s="310"/>
      <c r="S35" s="331"/>
      <c r="T35" s="331" t="s">
        <v>32</v>
      </c>
      <c r="AF35" s="331" t="s">
        <v>57</v>
      </c>
      <c r="AG35" s="331" t="s">
        <v>334</v>
      </c>
    </row>
    <row r="36" spans="1:33" ht="14.5" customHeight="1" x14ac:dyDescent="0.3">
      <c r="A36" s="481" t="s">
        <v>429</v>
      </c>
      <c r="B36" s="75" t="s">
        <v>430</v>
      </c>
      <c r="C36" s="331" t="s">
        <v>431</v>
      </c>
      <c r="D36" s="331" t="s">
        <v>294</v>
      </c>
      <c r="E36" s="1293"/>
      <c r="F36" s="310" t="s">
        <v>48</v>
      </c>
      <c r="G36" s="331" t="s">
        <v>393</v>
      </c>
      <c r="H36" s="414" t="s">
        <v>394</v>
      </c>
      <c r="I36" s="331" t="s">
        <v>427</v>
      </c>
      <c r="J36" s="331" t="s">
        <v>432</v>
      </c>
      <c r="K36" s="331" t="s">
        <v>92</v>
      </c>
      <c r="L36" s="331">
        <f>IF(K36=$V$3,$W$3,IF(K36=$V$3,$W$3,IF(K36=$V$4,$W$4,IF(K36=$V$5,$W$5,IF(K36=$V$6,$W$6,IF(K36=$V$7,$W$7))))))</f>
        <v>2</v>
      </c>
      <c r="M36" s="410" t="str">
        <f t="shared" si="3"/>
        <v>Same distinctiveness or better habitat required ≥</v>
      </c>
      <c r="N36" s="331" t="s">
        <v>92</v>
      </c>
      <c r="O36" s="331">
        <f t="shared" si="5"/>
        <v>1</v>
      </c>
      <c r="P36" s="331" t="s">
        <v>92</v>
      </c>
      <c r="Q36" s="331">
        <f t="shared" si="6"/>
        <v>1</v>
      </c>
      <c r="R36" s="310"/>
      <c r="S36" s="331"/>
      <c r="T36" s="331" t="s">
        <v>32</v>
      </c>
      <c r="AF36" s="331" t="s">
        <v>805</v>
      </c>
      <c r="AG36" s="331" t="s">
        <v>1493</v>
      </c>
    </row>
    <row r="37" spans="1:33" ht="14.5" customHeight="1" x14ac:dyDescent="0.3">
      <c r="A37" s="481" t="s">
        <v>433</v>
      </c>
      <c r="B37" s="432" t="s">
        <v>434</v>
      </c>
      <c r="C37" s="433" t="s">
        <v>435</v>
      </c>
      <c r="D37" s="433" t="s">
        <v>294</v>
      </c>
      <c r="E37" s="1293"/>
      <c r="F37" s="322" t="s">
        <v>48</v>
      </c>
      <c r="G37" s="433" t="s">
        <v>393</v>
      </c>
      <c r="H37" s="434" t="s">
        <v>394</v>
      </c>
      <c r="I37" s="433" t="s">
        <v>435</v>
      </c>
      <c r="J37" s="433" t="s">
        <v>433</v>
      </c>
      <c r="K37" s="433" t="s">
        <v>38</v>
      </c>
      <c r="L37" s="433">
        <v>4</v>
      </c>
      <c r="M37" s="435" t="s">
        <v>91</v>
      </c>
      <c r="N37" s="433" t="s">
        <v>38</v>
      </c>
      <c r="O37" s="433">
        <v>0.67</v>
      </c>
      <c r="P37" s="433" t="s">
        <v>92</v>
      </c>
      <c r="Q37" s="433">
        <v>1</v>
      </c>
      <c r="R37" s="322"/>
      <c r="S37" s="433"/>
      <c r="T37" s="331" t="s">
        <v>32</v>
      </c>
      <c r="AF37" s="331" t="s">
        <v>808</v>
      </c>
      <c r="AG37" s="331" t="s">
        <v>1494</v>
      </c>
    </row>
    <row r="38" spans="1:33" ht="15" customHeight="1" thickBot="1" x14ac:dyDescent="0.35">
      <c r="A38" s="481" t="s">
        <v>436</v>
      </c>
      <c r="B38" s="152" t="s">
        <v>437</v>
      </c>
      <c r="C38" s="315" t="s">
        <v>438</v>
      </c>
      <c r="D38" s="315" t="s">
        <v>294</v>
      </c>
      <c r="E38" s="1294"/>
      <c r="F38" s="299" t="s">
        <v>48</v>
      </c>
      <c r="G38" s="315" t="s">
        <v>411</v>
      </c>
      <c r="H38" s="415" t="s">
        <v>412</v>
      </c>
      <c r="I38" s="315" t="s">
        <v>438</v>
      </c>
      <c r="J38" s="351" t="s">
        <v>439</v>
      </c>
      <c r="K38" s="315" t="s">
        <v>90</v>
      </c>
      <c r="L38" s="315">
        <f t="shared" si="4"/>
        <v>6</v>
      </c>
      <c r="M38" s="411" t="str">
        <f t="shared" si="3"/>
        <v>Same habitat required =</v>
      </c>
      <c r="N38" s="315" t="s">
        <v>38</v>
      </c>
      <c r="O38" s="315">
        <f t="shared" si="5"/>
        <v>0.67</v>
      </c>
      <c r="P38" s="315" t="s">
        <v>38</v>
      </c>
      <c r="Q38" s="315">
        <f t="shared" si="6"/>
        <v>0.67</v>
      </c>
      <c r="R38" s="299"/>
      <c r="S38" s="315"/>
      <c r="T38" s="331" t="s">
        <v>32</v>
      </c>
      <c r="AF38" s="331" t="s">
        <v>54</v>
      </c>
      <c r="AG38" s="331" t="s">
        <v>344</v>
      </c>
    </row>
    <row r="39" spans="1:33" ht="28" x14ac:dyDescent="0.3">
      <c r="A39" s="481" t="s">
        <v>440</v>
      </c>
      <c r="B39" s="153" t="s">
        <v>441</v>
      </c>
      <c r="C39" s="311" t="s">
        <v>442</v>
      </c>
      <c r="D39" s="311" t="s">
        <v>443</v>
      </c>
      <c r="E39" s="311" t="s">
        <v>1618</v>
      </c>
      <c r="F39" s="298" t="s">
        <v>1620</v>
      </c>
      <c r="G39" s="311" t="s">
        <v>1621</v>
      </c>
      <c r="H39" s="416" t="s">
        <v>444</v>
      </c>
      <c r="I39" s="311" t="s">
        <v>442</v>
      </c>
      <c r="J39" s="352" t="s">
        <v>440</v>
      </c>
      <c r="K39" s="311" t="s">
        <v>297</v>
      </c>
      <c r="L39" s="311">
        <f t="shared" si="4"/>
        <v>8</v>
      </c>
      <c r="M39" s="412" t="str">
        <f t="shared" si="3"/>
        <v>Bespoke compensation likely to be required 🛠</v>
      </c>
      <c r="N39" s="311" t="s">
        <v>88</v>
      </c>
      <c r="O39" s="311">
        <f t="shared" si="5"/>
        <v>0.1</v>
      </c>
      <c r="P39" s="311" t="s">
        <v>90</v>
      </c>
      <c r="Q39" s="311">
        <f t="shared" si="6"/>
        <v>0.33</v>
      </c>
      <c r="R39" s="298"/>
      <c r="S39" s="311"/>
      <c r="T39" s="331" t="s">
        <v>32</v>
      </c>
      <c r="AF39" s="331" t="s">
        <v>58</v>
      </c>
      <c r="AG39" s="331" t="s">
        <v>349</v>
      </c>
    </row>
    <row r="40" spans="1:33" x14ac:dyDescent="0.3">
      <c r="A40" s="481" t="s">
        <v>445</v>
      </c>
      <c r="B40" s="75" t="s">
        <v>446</v>
      </c>
      <c r="C40" s="331">
        <v>46</v>
      </c>
      <c r="D40" s="331" t="s">
        <v>294</v>
      </c>
      <c r="E40" s="331"/>
      <c r="F40" s="298" t="s">
        <v>443</v>
      </c>
      <c r="G40" s="331"/>
      <c r="H40" s="414" t="s">
        <v>447</v>
      </c>
      <c r="I40" s="331"/>
      <c r="J40" s="331" t="s">
        <v>445</v>
      </c>
      <c r="K40" s="331" t="s">
        <v>92</v>
      </c>
      <c r="L40" s="331">
        <f>IF(K40=$V$3,$W$3,IF(K40=$V$3,$W$3,IF(K40=$V$4,$W$4,IF(K40=$V$5,$W$5,IF(K40=$V$6,$W$6,IF(K40=$V$7,$W$7))))))</f>
        <v>2</v>
      </c>
      <c r="M40" s="410" t="str">
        <f>IF($K40=$V$3,$X$3,IF($K40=$V$4,$X$4,IF($K40=$V$5,$X$5,IF($K40=$V$6,$X$6,IF($K40=$V$7,$X$7)))))</f>
        <v>Same distinctiveness or better habitat required ≥</v>
      </c>
      <c r="N40" s="331" t="s">
        <v>92</v>
      </c>
      <c r="O40" s="331">
        <f>VLOOKUP(N40,Difficulty,2,FALSE)</f>
        <v>1</v>
      </c>
      <c r="P40" s="331" t="s">
        <v>90</v>
      </c>
      <c r="Q40" s="331">
        <f>VLOOKUP(P40,Difficulty,2,FALSE)</f>
        <v>0.33</v>
      </c>
      <c r="R40" s="310"/>
      <c r="S40" s="331"/>
      <c r="T40" s="331" t="s">
        <v>32</v>
      </c>
      <c r="AF40" s="331" t="s">
        <v>59</v>
      </c>
      <c r="AG40" s="331" t="s">
        <v>355</v>
      </c>
    </row>
    <row r="41" spans="1:33" x14ac:dyDescent="0.3">
      <c r="A41" s="481" t="s">
        <v>448</v>
      </c>
      <c r="B41" s="75" t="s">
        <v>449</v>
      </c>
      <c r="C41" s="331" t="s">
        <v>450</v>
      </c>
      <c r="D41" s="331" t="s">
        <v>443</v>
      </c>
      <c r="E41" s="331"/>
      <c r="F41" s="310"/>
      <c r="G41" s="331"/>
      <c r="H41" s="414" t="s">
        <v>444</v>
      </c>
      <c r="I41" s="331"/>
      <c r="J41" s="349"/>
      <c r="K41" s="331" t="s">
        <v>90</v>
      </c>
      <c r="L41" s="331">
        <f t="shared" ref="L41:L46" si="7">IF(K41=$V$3,$W$3,IF(K41=$V$3,$W$3,IF(K41=$V$4,$W$4,IF(K41=$V$5,$W$5,IF(K41=$V$6,$W$6,IF(K41=$V$7,$W$7))))))</f>
        <v>6</v>
      </c>
      <c r="M41" s="410" t="str">
        <f t="shared" si="3"/>
        <v>Same habitat required =</v>
      </c>
      <c r="N41" s="331" t="s">
        <v>90</v>
      </c>
      <c r="O41" s="331">
        <f t="shared" si="5"/>
        <v>0.33</v>
      </c>
      <c r="P41" s="331" t="s">
        <v>90</v>
      </c>
      <c r="Q41" s="331">
        <f t="shared" si="6"/>
        <v>0.33</v>
      </c>
      <c r="R41" s="310"/>
      <c r="S41" s="331"/>
      <c r="T41" s="331" t="s">
        <v>32</v>
      </c>
      <c r="AF41" s="331" t="s">
        <v>60</v>
      </c>
      <c r="AG41" s="331" t="s">
        <v>361</v>
      </c>
    </row>
    <row r="42" spans="1:33" x14ac:dyDescent="0.3">
      <c r="A42" s="481" t="s">
        <v>451</v>
      </c>
      <c r="B42" s="75" t="s">
        <v>452</v>
      </c>
      <c r="C42" s="331" t="s">
        <v>453</v>
      </c>
      <c r="D42" s="331" t="s">
        <v>443</v>
      </c>
      <c r="E42" s="331"/>
      <c r="F42" s="310"/>
      <c r="G42" s="331"/>
      <c r="H42" s="414" t="s">
        <v>444</v>
      </c>
      <c r="I42" s="331"/>
      <c r="J42" s="349"/>
      <c r="K42" s="331" t="s">
        <v>90</v>
      </c>
      <c r="L42" s="331">
        <f t="shared" si="7"/>
        <v>6</v>
      </c>
      <c r="M42" s="410" t="str">
        <f t="shared" si="3"/>
        <v>Same habitat required =</v>
      </c>
      <c r="N42" s="331" t="s">
        <v>90</v>
      </c>
      <c r="O42" s="331">
        <f t="shared" si="5"/>
        <v>0.33</v>
      </c>
      <c r="P42" s="331" t="s">
        <v>38</v>
      </c>
      <c r="Q42" s="331">
        <f t="shared" si="6"/>
        <v>0.67</v>
      </c>
      <c r="R42" s="310"/>
      <c r="S42" s="331"/>
      <c r="T42" s="331" t="s">
        <v>32</v>
      </c>
    </row>
    <row r="43" spans="1:33" x14ac:dyDescent="0.3">
      <c r="A43" s="481" t="s">
        <v>454</v>
      </c>
      <c r="B43" s="75" t="s">
        <v>455</v>
      </c>
      <c r="C43" s="331" t="s">
        <v>456</v>
      </c>
      <c r="D43" s="331" t="s">
        <v>443</v>
      </c>
      <c r="E43" s="331"/>
      <c r="F43" s="310"/>
      <c r="G43" s="331"/>
      <c r="H43" s="414" t="s">
        <v>444</v>
      </c>
      <c r="I43" s="331"/>
      <c r="J43" s="349"/>
      <c r="K43" s="331" t="s">
        <v>90</v>
      </c>
      <c r="L43" s="331">
        <f t="shared" si="7"/>
        <v>6</v>
      </c>
      <c r="M43" s="410" t="str">
        <f t="shared" si="3"/>
        <v>Same habitat required =</v>
      </c>
      <c r="N43" s="331" t="s">
        <v>90</v>
      </c>
      <c r="O43" s="331">
        <f t="shared" si="5"/>
        <v>0.33</v>
      </c>
      <c r="P43" s="331" t="s">
        <v>90</v>
      </c>
      <c r="Q43" s="331">
        <f t="shared" si="6"/>
        <v>0.33</v>
      </c>
      <c r="R43" s="310"/>
      <c r="S43" s="331"/>
      <c r="T43" s="331" t="s">
        <v>32</v>
      </c>
    </row>
    <row r="44" spans="1:33" x14ac:dyDescent="0.3">
      <c r="A44" s="481" t="s">
        <v>457</v>
      </c>
      <c r="B44" s="75" t="s">
        <v>458</v>
      </c>
      <c r="C44" s="331" t="s">
        <v>459</v>
      </c>
      <c r="D44" s="331" t="s">
        <v>443</v>
      </c>
      <c r="E44" s="331"/>
      <c r="F44" s="310" t="s">
        <v>49</v>
      </c>
      <c r="G44" s="331"/>
      <c r="H44" s="414" t="s">
        <v>444</v>
      </c>
      <c r="I44" s="331"/>
      <c r="J44" s="349"/>
      <c r="K44" s="331" t="s">
        <v>90</v>
      </c>
      <c r="L44" s="331">
        <f t="shared" si="7"/>
        <v>6</v>
      </c>
      <c r="M44" s="410" t="str">
        <f t="shared" si="3"/>
        <v>Same habitat required =</v>
      </c>
      <c r="N44" s="331" t="s">
        <v>90</v>
      </c>
      <c r="O44" s="331">
        <f t="shared" si="5"/>
        <v>0.33</v>
      </c>
      <c r="P44" s="331" t="s">
        <v>90</v>
      </c>
      <c r="Q44" s="331">
        <f t="shared" si="6"/>
        <v>0.33</v>
      </c>
      <c r="R44" s="310"/>
      <c r="S44" s="331"/>
      <c r="T44" s="331" t="s">
        <v>32</v>
      </c>
    </row>
    <row r="45" spans="1:33" x14ac:dyDescent="0.3">
      <c r="A45" s="481" t="s">
        <v>460</v>
      </c>
      <c r="B45" s="75" t="s">
        <v>461</v>
      </c>
      <c r="C45" s="331" t="s">
        <v>462</v>
      </c>
      <c r="D45" s="331" t="s">
        <v>443</v>
      </c>
      <c r="E45" s="331"/>
      <c r="F45" s="310" t="s">
        <v>49</v>
      </c>
      <c r="G45" s="331"/>
      <c r="H45" s="414" t="s">
        <v>444</v>
      </c>
      <c r="I45" s="331"/>
      <c r="J45" s="349"/>
      <c r="K45" s="331" t="s">
        <v>90</v>
      </c>
      <c r="L45" s="331">
        <f t="shared" si="7"/>
        <v>6</v>
      </c>
      <c r="M45" s="410" t="str">
        <f t="shared" si="3"/>
        <v>Same habitat required =</v>
      </c>
      <c r="N45" s="331" t="s">
        <v>90</v>
      </c>
      <c r="O45" s="331">
        <f t="shared" si="5"/>
        <v>0.33</v>
      </c>
      <c r="P45" s="331" t="s">
        <v>90</v>
      </c>
      <c r="Q45" s="331">
        <f t="shared" si="6"/>
        <v>0.33</v>
      </c>
      <c r="R45" s="310"/>
      <c r="S45" s="331"/>
      <c r="T45" s="331" t="s">
        <v>32</v>
      </c>
      <c r="AF45" s="909" t="s">
        <v>1536</v>
      </c>
      <c r="AG45" s="909"/>
    </row>
    <row r="46" spans="1:33" x14ac:dyDescent="0.3">
      <c r="A46" s="481" t="s">
        <v>463</v>
      </c>
      <c r="B46" s="75" t="s">
        <v>464</v>
      </c>
      <c r="C46" s="331" t="s">
        <v>465</v>
      </c>
      <c r="D46" s="331" t="s">
        <v>443</v>
      </c>
      <c r="E46" s="331"/>
      <c r="F46" s="310"/>
      <c r="G46" s="331"/>
      <c r="H46" s="414" t="s">
        <v>444</v>
      </c>
      <c r="I46" s="331"/>
      <c r="J46" s="349"/>
      <c r="K46" s="331" t="s">
        <v>90</v>
      </c>
      <c r="L46" s="331">
        <f t="shared" si="7"/>
        <v>6</v>
      </c>
      <c r="M46" s="410" t="str">
        <f t="shared" si="3"/>
        <v>Same habitat required =</v>
      </c>
      <c r="N46" s="331" t="s">
        <v>38</v>
      </c>
      <c r="O46" s="331">
        <f t="shared" si="5"/>
        <v>0.67</v>
      </c>
      <c r="P46" s="331" t="s">
        <v>38</v>
      </c>
      <c r="Q46" s="331">
        <f t="shared" si="6"/>
        <v>0.67</v>
      </c>
      <c r="R46" s="310"/>
      <c r="S46" s="331"/>
      <c r="T46" s="331" t="s">
        <v>32</v>
      </c>
      <c r="AF46" s="909"/>
      <c r="AG46" s="909"/>
    </row>
    <row r="47" spans="1:33" x14ac:dyDescent="0.3">
      <c r="A47" s="481" t="s">
        <v>466</v>
      </c>
      <c r="B47" s="75" t="s">
        <v>467</v>
      </c>
      <c r="C47" s="331">
        <v>41</v>
      </c>
      <c r="D47" s="331" t="s">
        <v>443</v>
      </c>
      <c r="E47" s="331"/>
      <c r="F47" s="310" t="s">
        <v>443</v>
      </c>
      <c r="G47" s="331"/>
      <c r="H47" s="414" t="s">
        <v>444</v>
      </c>
      <c r="I47" s="331" t="s">
        <v>468</v>
      </c>
      <c r="J47" s="349"/>
      <c r="K47" s="331" t="s">
        <v>38</v>
      </c>
      <c r="L47" s="331">
        <f t="shared" si="4"/>
        <v>4</v>
      </c>
      <c r="M47" s="410" t="str">
        <f t="shared" si="3"/>
        <v>Same broad habitat or a higher distinctiveness habitat required (≥)</v>
      </c>
      <c r="N47" s="331" t="s">
        <v>92</v>
      </c>
      <c r="O47" s="331">
        <f t="shared" si="5"/>
        <v>1</v>
      </c>
      <c r="P47" s="331" t="s">
        <v>38</v>
      </c>
      <c r="Q47" s="331">
        <f t="shared" si="6"/>
        <v>0.67</v>
      </c>
      <c r="R47" s="310"/>
      <c r="S47" s="331"/>
      <c r="T47" s="331" t="s">
        <v>32</v>
      </c>
      <c r="AF47" s="1164" t="s">
        <v>267</v>
      </c>
      <c r="AG47" s="1164" t="s">
        <v>268</v>
      </c>
    </row>
    <row r="48" spans="1:33" x14ac:dyDescent="0.3">
      <c r="A48" s="481" t="s">
        <v>469</v>
      </c>
      <c r="B48" s="75" t="s">
        <v>470</v>
      </c>
      <c r="C48" s="331">
        <v>45</v>
      </c>
      <c r="D48" s="331" t="s">
        <v>443</v>
      </c>
      <c r="E48" s="331"/>
      <c r="F48" s="310" t="s">
        <v>443</v>
      </c>
      <c r="G48" s="331"/>
      <c r="H48" s="414" t="s">
        <v>444</v>
      </c>
      <c r="I48" s="331"/>
      <c r="J48" s="331"/>
      <c r="K48" s="331" t="s">
        <v>38</v>
      </c>
      <c r="L48" s="331">
        <f t="shared" si="4"/>
        <v>4</v>
      </c>
      <c r="M48" s="410" t="str">
        <f t="shared" si="3"/>
        <v>Same broad habitat or a higher distinctiveness habitat required (≥)</v>
      </c>
      <c r="N48" s="331" t="s">
        <v>38</v>
      </c>
      <c r="O48" s="331">
        <f t="shared" si="5"/>
        <v>0.67</v>
      </c>
      <c r="P48" s="331" t="s">
        <v>38</v>
      </c>
      <c r="Q48" s="331">
        <f t="shared" si="6"/>
        <v>0.67</v>
      </c>
      <c r="R48" s="310"/>
      <c r="S48" s="331"/>
      <c r="T48" s="331" t="s">
        <v>32</v>
      </c>
      <c r="AF48" s="1287"/>
      <c r="AG48" s="1287"/>
    </row>
    <row r="49" spans="1:33" ht="28.5" thickBot="1" x14ac:dyDescent="0.35">
      <c r="A49" s="481" t="s">
        <v>471</v>
      </c>
      <c r="B49" s="152" t="s">
        <v>472</v>
      </c>
      <c r="C49" s="331" t="s">
        <v>473</v>
      </c>
      <c r="D49" s="315" t="s">
        <v>443</v>
      </c>
      <c r="E49" s="315"/>
      <c r="F49" s="299"/>
      <c r="G49" s="315"/>
      <c r="H49" s="415" t="s">
        <v>444</v>
      </c>
      <c r="I49" s="315" t="s">
        <v>474</v>
      </c>
      <c r="J49" s="351"/>
      <c r="K49" s="315" t="s">
        <v>90</v>
      </c>
      <c r="L49" s="315">
        <f t="shared" si="4"/>
        <v>6</v>
      </c>
      <c r="M49" s="411" t="str">
        <f t="shared" si="3"/>
        <v>Same habitat required =</v>
      </c>
      <c r="N49" s="315" t="s">
        <v>38</v>
      </c>
      <c r="O49" s="315">
        <f t="shared" si="5"/>
        <v>0.67</v>
      </c>
      <c r="P49" s="315" t="s">
        <v>38</v>
      </c>
      <c r="Q49" s="315">
        <f t="shared" si="6"/>
        <v>0.67</v>
      </c>
      <c r="R49" s="299"/>
      <c r="S49" s="315"/>
      <c r="T49" s="331" t="s">
        <v>32</v>
      </c>
      <c r="AF49" s="331" t="s">
        <v>46</v>
      </c>
      <c r="AG49" s="331" t="s">
        <v>46</v>
      </c>
    </row>
    <row r="50" spans="1:33" x14ac:dyDescent="0.3">
      <c r="A50" s="481" t="s">
        <v>475</v>
      </c>
      <c r="B50" s="153" t="s">
        <v>476</v>
      </c>
      <c r="C50" s="311" t="s">
        <v>477</v>
      </c>
      <c r="D50" s="311" t="s">
        <v>443</v>
      </c>
      <c r="E50" s="311" t="s">
        <v>495</v>
      </c>
      <c r="F50" s="298" t="s">
        <v>50</v>
      </c>
      <c r="G50" s="311"/>
      <c r="H50" s="416" t="s">
        <v>478</v>
      </c>
      <c r="I50" s="311"/>
      <c r="J50" s="352" t="s">
        <v>475</v>
      </c>
      <c r="K50" s="311" t="s">
        <v>297</v>
      </c>
      <c r="L50" s="311">
        <f t="shared" ref="L50:L78" si="8">IF(K50=$V$3,$W$3,IF(K50=$V$3,$W$3,IF(K50=$V$4,$W$4,IF(K50=$V$5,$W$5,IF(K50=$V$6,$W$6,IF(K50=$V$7,$W$7))))))</f>
        <v>8</v>
      </c>
      <c r="M50" s="412" t="str">
        <f t="shared" si="3"/>
        <v>Bespoke compensation likely to be required 🛠</v>
      </c>
      <c r="N50" s="311" t="s">
        <v>88</v>
      </c>
      <c r="O50" s="311">
        <f t="shared" si="5"/>
        <v>0.1</v>
      </c>
      <c r="P50" s="311" t="s">
        <v>38</v>
      </c>
      <c r="Q50" s="311">
        <f t="shared" si="6"/>
        <v>0.67</v>
      </c>
      <c r="R50" s="298"/>
      <c r="S50" s="311"/>
      <c r="T50" s="331" t="s">
        <v>32</v>
      </c>
      <c r="AF50" s="331" t="s">
        <v>47</v>
      </c>
      <c r="AG50" s="331" t="s">
        <v>47</v>
      </c>
    </row>
    <row r="51" spans="1:33" x14ac:dyDescent="0.3">
      <c r="A51" s="481" t="s">
        <v>479</v>
      </c>
      <c r="B51" s="75" t="s">
        <v>480</v>
      </c>
      <c r="C51" s="331" t="s">
        <v>481</v>
      </c>
      <c r="D51" s="331" t="s">
        <v>443</v>
      </c>
      <c r="E51" s="331" t="s">
        <v>495</v>
      </c>
      <c r="F51" s="310" t="s">
        <v>50</v>
      </c>
      <c r="G51" s="331"/>
      <c r="H51" s="414" t="s">
        <v>482</v>
      </c>
      <c r="I51" s="331"/>
      <c r="J51" s="331"/>
      <c r="K51" s="331" t="s">
        <v>90</v>
      </c>
      <c r="L51" s="331">
        <f t="shared" si="8"/>
        <v>6</v>
      </c>
      <c r="M51" s="410" t="str">
        <f t="shared" si="3"/>
        <v>Same habitat required =</v>
      </c>
      <c r="N51" s="331" t="s">
        <v>88</v>
      </c>
      <c r="O51" s="331">
        <f t="shared" si="5"/>
        <v>0.1</v>
      </c>
      <c r="P51" s="331" t="s">
        <v>38</v>
      </c>
      <c r="Q51" s="331">
        <f t="shared" si="6"/>
        <v>0.67</v>
      </c>
      <c r="R51" s="310"/>
      <c r="S51" s="331"/>
      <c r="T51" s="331" t="s">
        <v>30</v>
      </c>
      <c r="AF51" s="331" t="s">
        <v>48</v>
      </c>
      <c r="AG51" s="331" t="s">
        <v>306</v>
      </c>
    </row>
    <row r="52" spans="1:33" x14ac:dyDescent="0.3">
      <c r="A52" s="481" t="s">
        <v>483</v>
      </c>
      <c r="B52" s="75" t="s">
        <v>484</v>
      </c>
      <c r="C52" s="331" t="s">
        <v>485</v>
      </c>
      <c r="D52" s="331" t="s">
        <v>294</v>
      </c>
      <c r="E52" s="331" t="s">
        <v>495</v>
      </c>
      <c r="F52" s="310" t="s">
        <v>50</v>
      </c>
      <c r="G52" s="331"/>
      <c r="H52" s="414" t="s">
        <v>482</v>
      </c>
      <c r="I52" s="331" t="s">
        <v>477</v>
      </c>
      <c r="J52" s="349"/>
      <c r="K52" s="331" t="s">
        <v>90</v>
      </c>
      <c r="L52" s="331">
        <f t="shared" si="8"/>
        <v>6</v>
      </c>
      <c r="M52" s="410" t="str">
        <f t="shared" si="3"/>
        <v>Same habitat required =</v>
      </c>
      <c r="N52" s="331" t="s">
        <v>88</v>
      </c>
      <c r="O52" s="331">
        <f t="shared" si="5"/>
        <v>0.1</v>
      </c>
      <c r="P52" s="331" t="s">
        <v>38</v>
      </c>
      <c r="Q52" s="331">
        <f t="shared" si="6"/>
        <v>0.67</v>
      </c>
      <c r="R52" s="310"/>
      <c r="S52" s="331"/>
      <c r="T52" s="331" t="s">
        <v>32</v>
      </c>
      <c r="AF52" s="331" t="s">
        <v>49</v>
      </c>
      <c r="AG52" s="331" t="s">
        <v>49</v>
      </c>
    </row>
    <row r="53" spans="1:33" x14ac:dyDescent="0.3">
      <c r="A53" s="481" t="s">
        <v>486</v>
      </c>
      <c r="B53" s="75" t="s">
        <v>487</v>
      </c>
      <c r="C53" s="331">
        <v>81</v>
      </c>
      <c r="D53" s="331" t="s">
        <v>294</v>
      </c>
      <c r="E53" s="331"/>
      <c r="F53" s="310" t="s">
        <v>1617</v>
      </c>
      <c r="G53" s="331"/>
      <c r="H53" s="414"/>
      <c r="I53" s="331"/>
      <c r="J53" s="331" t="s">
        <v>488</v>
      </c>
      <c r="K53" s="331" t="s">
        <v>92</v>
      </c>
      <c r="L53" s="331">
        <f t="shared" si="8"/>
        <v>2</v>
      </c>
      <c r="M53" s="410" t="str">
        <f t="shared" si="3"/>
        <v>Same distinctiveness or better habitat required ≥</v>
      </c>
      <c r="N53" s="331" t="s">
        <v>92</v>
      </c>
      <c r="O53" s="331">
        <f t="shared" si="5"/>
        <v>1</v>
      </c>
      <c r="P53" s="331" t="s">
        <v>38</v>
      </c>
      <c r="Q53" s="331">
        <f t="shared" si="6"/>
        <v>0.67</v>
      </c>
      <c r="R53" s="310" t="s">
        <v>489</v>
      </c>
      <c r="S53" s="331"/>
      <c r="T53" s="331" t="s">
        <v>32</v>
      </c>
      <c r="AF53" s="331" t="s">
        <v>50</v>
      </c>
      <c r="AG53" s="331" t="s">
        <v>318</v>
      </c>
    </row>
    <row r="54" spans="1:33" x14ac:dyDescent="0.3">
      <c r="A54" s="481" t="s">
        <v>490</v>
      </c>
      <c r="B54" s="75" t="s">
        <v>491</v>
      </c>
      <c r="C54" s="331">
        <v>16</v>
      </c>
      <c r="D54" s="331" t="s">
        <v>294</v>
      </c>
      <c r="E54" s="331"/>
      <c r="F54" s="310" t="s">
        <v>1622</v>
      </c>
      <c r="G54" s="331"/>
      <c r="H54" s="414"/>
      <c r="I54" s="331"/>
      <c r="J54" s="331" t="s">
        <v>488</v>
      </c>
      <c r="K54" s="331" t="s">
        <v>92</v>
      </c>
      <c r="L54" s="331">
        <v>2</v>
      </c>
      <c r="M54" s="410" t="str">
        <f t="shared" si="3"/>
        <v>Same distinctiveness or better habitat required ≥</v>
      </c>
      <c r="N54" s="331" t="s">
        <v>92</v>
      </c>
      <c r="O54" s="331">
        <v>1</v>
      </c>
      <c r="P54" s="331" t="s">
        <v>38</v>
      </c>
      <c r="Q54" s="331">
        <v>0.67</v>
      </c>
      <c r="R54" s="310"/>
      <c r="S54" s="331"/>
      <c r="T54" s="331" t="s">
        <v>32</v>
      </c>
      <c r="AF54" s="348" t="s">
        <v>51</v>
      </c>
      <c r="AG54" s="348" t="s">
        <v>51</v>
      </c>
    </row>
    <row r="55" spans="1:33" ht="28" x14ac:dyDescent="0.3">
      <c r="A55" s="481" t="s">
        <v>492</v>
      </c>
      <c r="B55" s="75" t="s">
        <v>493</v>
      </c>
      <c r="C55" s="331" t="s">
        <v>494</v>
      </c>
      <c r="D55" s="331" t="s">
        <v>294</v>
      </c>
      <c r="E55" s="331" t="s">
        <v>495</v>
      </c>
      <c r="F55" s="310" t="s">
        <v>50</v>
      </c>
      <c r="G55" s="331" t="s">
        <v>496</v>
      </c>
      <c r="H55" s="414" t="s">
        <v>478</v>
      </c>
      <c r="I55" s="331" t="s">
        <v>494</v>
      </c>
      <c r="J55" s="349" t="s">
        <v>492</v>
      </c>
      <c r="K55" s="331" t="s">
        <v>90</v>
      </c>
      <c r="L55" s="331">
        <f t="shared" si="8"/>
        <v>6</v>
      </c>
      <c r="M55" s="410" t="str">
        <f t="shared" si="3"/>
        <v>Same habitat required =</v>
      </c>
      <c r="N55" s="331" t="s">
        <v>90</v>
      </c>
      <c r="O55" s="331">
        <f t="shared" si="5"/>
        <v>0.33</v>
      </c>
      <c r="P55" s="331" t="s">
        <v>92</v>
      </c>
      <c r="Q55" s="331">
        <f t="shared" si="6"/>
        <v>1</v>
      </c>
      <c r="R55" s="310"/>
      <c r="S55" s="331"/>
      <c r="T55" s="331" t="s">
        <v>32</v>
      </c>
      <c r="AF55" s="331" t="s">
        <v>52</v>
      </c>
      <c r="AG55" s="331" t="s">
        <v>52</v>
      </c>
    </row>
    <row r="56" spans="1:33" x14ac:dyDescent="0.3">
      <c r="A56" s="481" t="s">
        <v>497</v>
      </c>
      <c r="B56" s="75" t="s">
        <v>498</v>
      </c>
      <c r="C56" s="331" t="s">
        <v>499</v>
      </c>
      <c r="D56" s="331" t="s">
        <v>294</v>
      </c>
      <c r="E56" s="331" t="s">
        <v>495</v>
      </c>
      <c r="F56" s="310" t="s">
        <v>50</v>
      </c>
      <c r="G56" s="331"/>
      <c r="H56" s="414" t="s">
        <v>478</v>
      </c>
      <c r="I56" s="331" t="s">
        <v>499</v>
      </c>
      <c r="J56" s="349" t="s">
        <v>497</v>
      </c>
      <c r="K56" s="331" t="s">
        <v>297</v>
      </c>
      <c r="L56" s="331">
        <f t="shared" si="8"/>
        <v>8</v>
      </c>
      <c r="M56" s="410" t="str">
        <f t="shared" si="3"/>
        <v>Bespoke compensation likely to be required 🛠</v>
      </c>
      <c r="N56" s="331" t="s">
        <v>88</v>
      </c>
      <c r="O56" s="331">
        <f t="shared" si="5"/>
        <v>0.1</v>
      </c>
      <c r="P56" s="331" t="s">
        <v>38</v>
      </c>
      <c r="Q56" s="331">
        <f t="shared" si="6"/>
        <v>0.67</v>
      </c>
      <c r="R56" s="310"/>
      <c r="S56" s="331"/>
      <c r="T56" s="331" t="s">
        <v>30</v>
      </c>
      <c r="AF56" s="331" t="s">
        <v>53</v>
      </c>
      <c r="AG56" s="331" t="s">
        <v>1537</v>
      </c>
    </row>
    <row r="57" spans="1:33" x14ac:dyDescent="0.3">
      <c r="A57" s="481" t="s">
        <v>500</v>
      </c>
      <c r="B57" s="75" t="s">
        <v>501</v>
      </c>
      <c r="C57" s="331" t="s">
        <v>502</v>
      </c>
      <c r="D57" s="331" t="s">
        <v>294</v>
      </c>
      <c r="E57" s="331" t="s">
        <v>495</v>
      </c>
      <c r="F57" s="310" t="s">
        <v>50</v>
      </c>
      <c r="G57" s="331" t="s">
        <v>503</v>
      </c>
      <c r="H57" s="414" t="s">
        <v>504</v>
      </c>
      <c r="I57" s="331" t="s">
        <v>502</v>
      </c>
      <c r="J57" s="349" t="s">
        <v>500</v>
      </c>
      <c r="K57" s="331" t="s">
        <v>90</v>
      </c>
      <c r="L57" s="331">
        <f t="shared" si="8"/>
        <v>6</v>
      </c>
      <c r="M57" s="410" t="str">
        <f t="shared" si="3"/>
        <v>Same habitat required =</v>
      </c>
      <c r="N57" s="331" t="s">
        <v>90</v>
      </c>
      <c r="O57" s="331">
        <f t="shared" si="5"/>
        <v>0.33</v>
      </c>
      <c r="P57" s="331" t="s">
        <v>38</v>
      </c>
      <c r="Q57" s="331">
        <f t="shared" si="6"/>
        <v>0.67</v>
      </c>
      <c r="R57" s="310"/>
      <c r="S57" s="331"/>
      <c r="T57" s="331" t="s">
        <v>32</v>
      </c>
      <c r="AF57" s="331" t="s">
        <v>57</v>
      </c>
      <c r="AG57" s="331" t="s">
        <v>334</v>
      </c>
    </row>
    <row r="58" spans="1:33" ht="14.5" thickBot="1" x14ac:dyDescent="0.35">
      <c r="A58" s="481" t="s">
        <v>505</v>
      </c>
      <c r="B58" s="152" t="s">
        <v>506</v>
      </c>
      <c r="C58" s="315" t="s">
        <v>507</v>
      </c>
      <c r="D58" s="315" t="s">
        <v>294</v>
      </c>
      <c r="E58" s="789" t="s">
        <v>495</v>
      </c>
      <c r="F58" s="299" t="s">
        <v>50</v>
      </c>
      <c r="G58" s="315"/>
      <c r="H58" s="415" t="s">
        <v>478</v>
      </c>
      <c r="I58" s="315" t="s">
        <v>507</v>
      </c>
      <c r="J58" s="315" t="s">
        <v>505</v>
      </c>
      <c r="K58" s="315" t="s">
        <v>38</v>
      </c>
      <c r="L58" s="315">
        <f t="shared" si="8"/>
        <v>4</v>
      </c>
      <c r="M58" s="411" t="str">
        <f t="shared" si="3"/>
        <v>Same broad habitat or a higher distinctiveness habitat required (≥)</v>
      </c>
      <c r="N58" s="315" t="s">
        <v>38</v>
      </c>
      <c r="O58" s="315">
        <f t="shared" si="5"/>
        <v>0.67</v>
      </c>
      <c r="P58" s="315" t="s">
        <v>38</v>
      </c>
      <c r="Q58" s="315">
        <f t="shared" si="6"/>
        <v>0.67</v>
      </c>
      <c r="R58" s="299"/>
      <c r="S58" s="315"/>
      <c r="T58" s="331" t="s">
        <v>32</v>
      </c>
      <c r="AF58" s="331" t="s">
        <v>805</v>
      </c>
      <c r="AG58" s="331" t="s">
        <v>1493</v>
      </c>
    </row>
    <row r="59" spans="1:33" ht="14.5" customHeight="1" x14ac:dyDescent="0.3">
      <c r="A59" s="481" t="s">
        <v>508</v>
      </c>
      <c r="B59" s="153" t="s">
        <v>509</v>
      </c>
      <c r="C59" s="311">
        <v>616</v>
      </c>
      <c r="D59" s="311" t="s">
        <v>294</v>
      </c>
      <c r="E59" s="331"/>
      <c r="F59" s="298" t="s">
        <v>1617</v>
      </c>
      <c r="G59" s="311"/>
      <c r="H59" s="416" t="s">
        <v>447</v>
      </c>
      <c r="I59" s="311"/>
      <c r="J59" s="311" t="s">
        <v>508</v>
      </c>
      <c r="K59" s="311" t="s">
        <v>92</v>
      </c>
      <c r="L59" s="311">
        <f t="shared" si="8"/>
        <v>2</v>
      </c>
      <c r="M59" s="412" t="str">
        <f t="shared" si="3"/>
        <v>Same distinctiveness or better habitat required ≥</v>
      </c>
      <c r="N59" s="311" t="s">
        <v>92</v>
      </c>
      <c r="O59" s="311">
        <f t="shared" si="5"/>
        <v>1</v>
      </c>
      <c r="P59" s="311" t="s">
        <v>92</v>
      </c>
      <c r="Q59" s="311">
        <f t="shared" si="6"/>
        <v>1</v>
      </c>
      <c r="R59" s="298"/>
      <c r="S59" s="311"/>
      <c r="T59" s="331" t="s">
        <v>32</v>
      </c>
      <c r="AF59" s="331" t="s">
        <v>808</v>
      </c>
      <c r="AG59" s="331" t="s">
        <v>1494</v>
      </c>
    </row>
    <row r="60" spans="1:33" ht="28" x14ac:dyDescent="0.3">
      <c r="A60" s="481" t="s">
        <v>510</v>
      </c>
      <c r="B60" s="75" t="s">
        <v>511</v>
      </c>
      <c r="C60" s="331" t="s">
        <v>512</v>
      </c>
      <c r="D60" s="331" t="s">
        <v>294</v>
      </c>
      <c r="E60" s="331" t="s">
        <v>541</v>
      </c>
      <c r="F60" s="310" t="s">
        <v>51</v>
      </c>
      <c r="G60" s="331" t="s">
        <v>542</v>
      </c>
      <c r="H60" s="414" t="s">
        <v>447</v>
      </c>
      <c r="I60" s="331" t="s">
        <v>512</v>
      </c>
      <c r="J60" s="331" t="s">
        <v>510</v>
      </c>
      <c r="K60" s="331" t="s">
        <v>316</v>
      </c>
      <c r="L60" s="331">
        <f t="shared" si="8"/>
        <v>0</v>
      </c>
      <c r="M60" s="410" t="str">
        <f t="shared" si="3"/>
        <v>Compensation Not Required</v>
      </c>
      <c r="N60" s="331" t="s">
        <v>92</v>
      </c>
      <c r="O60" s="331">
        <f t="shared" si="5"/>
        <v>1</v>
      </c>
      <c r="P60" s="331" t="s">
        <v>92</v>
      </c>
      <c r="Q60" s="331">
        <f t="shared" si="6"/>
        <v>1</v>
      </c>
      <c r="R60" s="310"/>
      <c r="S60" s="331"/>
      <c r="T60" s="331" t="s">
        <v>32</v>
      </c>
      <c r="AF60" s="331" t="s">
        <v>54</v>
      </c>
      <c r="AG60" s="331" t="s">
        <v>344</v>
      </c>
    </row>
    <row r="61" spans="1:33" x14ac:dyDescent="0.3">
      <c r="A61" s="481" t="s">
        <v>513</v>
      </c>
      <c r="B61" s="75" t="s">
        <v>514</v>
      </c>
      <c r="C61" s="331">
        <v>849</v>
      </c>
      <c r="D61" s="331" t="s">
        <v>294</v>
      </c>
      <c r="E61" s="331"/>
      <c r="F61" s="310" t="s">
        <v>1617</v>
      </c>
      <c r="G61" s="331"/>
      <c r="H61" s="414" t="s">
        <v>447</v>
      </c>
      <c r="I61" s="331"/>
      <c r="J61" s="331" t="s">
        <v>513</v>
      </c>
      <c r="K61" s="331" t="s">
        <v>92</v>
      </c>
      <c r="L61" s="331">
        <f t="shared" si="8"/>
        <v>2</v>
      </c>
      <c r="M61" s="410" t="str">
        <f t="shared" si="3"/>
        <v>Same distinctiveness or better habitat required ≥</v>
      </c>
      <c r="N61" s="331" t="s">
        <v>38</v>
      </c>
      <c r="O61" s="331">
        <f t="shared" si="5"/>
        <v>0.67</v>
      </c>
      <c r="P61" s="331" t="s">
        <v>92</v>
      </c>
      <c r="Q61" s="331">
        <f t="shared" si="6"/>
        <v>1</v>
      </c>
      <c r="R61" s="310"/>
      <c r="S61" s="331"/>
      <c r="T61" s="331" t="s">
        <v>32</v>
      </c>
      <c r="AF61" s="331" t="s">
        <v>58</v>
      </c>
      <c r="AG61" s="331" t="s">
        <v>349</v>
      </c>
    </row>
    <row r="62" spans="1:33" x14ac:dyDescent="0.3">
      <c r="A62" s="481" t="s">
        <v>515</v>
      </c>
      <c r="B62" s="75" t="s">
        <v>516</v>
      </c>
      <c r="C62" s="331">
        <v>88</v>
      </c>
      <c r="D62" s="331" t="s">
        <v>294</v>
      </c>
      <c r="E62" s="331"/>
      <c r="F62" s="310" t="s">
        <v>1617</v>
      </c>
      <c r="G62" s="331"/>
      <c r="H62" s="414" t="s">
        <v>447</v>
      </c>
      <c r="I62" s="331"/>
      <c r="J62" s="331"/>
      <c r="K62" s="331" t="s">
        <v>92</v>
      </c>
      <c r="L62" s="331">
        <f t="shared" si="8"/>
        <v>2</v>
      </c>
      <c r="M62" s="410" t="str">
        <f t="shared" si="3"/>
        <v>Same distinctiveness or better habitat required ≥</v>
      </c>
      <c r="N62" s="331" t="s">
        <v>92</v>
      </c>
      <c r="O62" s="331">
        <f t="shared" si="5"/>
        <v>1</v>
      </c>
      <c r="P62" s="331" t="s">
        <v>92</v>
      </c>
      <c r="Q62" s="331">
        <f t="shared" si="6"/>
        <v>1</v>
      </c>
      <c r="R62" s="310"/>
      <c r="S62" s="331"/>
      <c r="T62" s="331" t="s">
        <v>32</v>
      </c>
      <c r="AF62" s="331" t="s">
        <v>59</v>
      </c>
      <c r="AG62" s="331" t="s">
        <v>355</v>
      </c>
    </row>
    <row r="63" spans="1:33" x14ac:dyDescent="0.3">
      <c r="A63" s="481" t="s">
        <v>517</v>
      </c>
      <c r="B63" s="75" t="s">
        <v>518</v>
      </c>
      <c r="C63" s="331" t="s">
        <v>519</v>
      </c>
      <c r="D63" s="331" t="s">
        <v>294</v>
      </c>
      <c r="E63" s="331" t="s">
        <v>541</v>
      </c>
      <c r="F63" s="310" t="s">
        <v>51</v>
      </c>
      <c r="G63" s="331" t="s">
        <v>542</v>
      </c>
      <c r="H63" s="414" t="s">
        <v>447</v>
      </c>
      <c r="I63" s="331" t="s">
        <v>519</v>
      </c>
      <c r="J63" s="331" t="s">
        <v>517</v>
      </c>
      <c r="K63" s="331" t="s">
        <v>316</v>
      </c>
      <c r="L63" s="331">
        <f t="shared" si="8"/>
        <v>0</v>
      </c>
      <c r="M63" s="410" t="str">
        <f t="shared" si="3"/>
        <v>Compensation Not Required</v>
      </c>
      <c r="N63" s="331" t="s">
        <v>92</v>
      </c>
      <c r="O63" s="331">
        <f t="shared" si="5"/>
        <v>1</v>
      </c>
      <c r="P63" s="331" t="s">
        <v>92</v>
      </c>
      <c r="Q63" s="331">
        <f t="shared" si="6"/>
        <v>1</v>
      </c>
      <c r="R63" s="310"/>
      <c r="S63" s="331"/>
      <c r="T63" s="331" t="s">
        <v>32</v>
      </c>
      <c r="AF63" s="331" t="s">
        <v>60</v>
      </c>
      <c r="AG63" s="331" t="s">
        <v>361</v>
      </c>
    </row>
    <row r="64" spans="1:33" x14ac:dyDescent="0.3">
      <c r="A64" s="481" t="s">
        <v>520</v>
      </c>
      <c r="B64" s="75" t="s">
        <v>521</v>
      </c>
      <c r="C64" s="331">
        <v>90</v>
      </c>
      <c r="D64" s="331" t="s">
        <v>294</v>
      </c>
      <c r="E64" s="331"/>
      <c r="F64" s="310" t="s">
        <v>1617</v>
      </c>
      <c r="G64" s="331"/>
      <c r="H64" s="414" t="s">
        <v>447</v>
      </c>
      <c r="I64" s="331"/>
      <c r="J64" s="331" t="s">
        <v>520</v>
      </c>
      <c r="K64" s="331" t="s">
        <v>38</v>
      </c>
      <c r="L64" s="331">
        <f t="shared" si="8"/>
        <v>4</v>
      </c>
      <c r="M64" s="410" t="str">
        <f t="shared" si="3"/>
        <v>Same broad habitat or a higher distinctiveness habitat required (≥)</v>
      </c>
      <c r="N64" s="331" t="s">
        <v>38</v>
      </c>
      <c r="O64" s="331">
        <f t="shared" si="5"/>
        <v>0.67</v>
      </c>
      <c r="P64" s="331" t="s">
        <v>92</v>
      </c>
      <c r="Q64" s="331">
        <f t="shared" si="6"/>
        <v>1</v>
      </c>
      <c r="R64" s="310"/>
      <c r="S64" s="331"/>
      <c r="T64" s="331" t="s">
        <v>32</v>
      </c>
    </row>
    <row r="65" spans="1:36" x14ac:dyDescent="0.3">
      <c r="A65" s="481" t="s">
        <v>522</v>
      </c>
      <c r="B65" s="75" t="s">
        <v>523</v>
      </c>
      <c r="C65" s="331" t="s">
        <v>524</v>
      </c>
      <c r="D65" s="331" t="s">
        <v>294</v>
      </c>
      <c r="E65" s="331" t="s">
        <v>541</v>
      </c>
      <c r="F65" s="310" t="s">
        <v>51</v>
      </c>
      <c r="G65" s="331" t="s">
        <v>542</v>
      </c>
      <c r="H65" s="414" t="s">
        <v>447</v>
      </c>
      <c r="I65" s="331" t="s">
        <v>524</v>
      </c>
      <c r="J65" s="331" t="s">
        <v>522</v>
      </c>
      <c r="K65" s="331" t="s">
        <v>316</v>
      </c>
      <c r="L65" s="331">
        <f t="shared" si="8"/>
        <v>0</v>
      </c>
      <c r="M65" s="410" t="str">
        <f t="shared" si="3"/>
        <v>Compensation Not Required</v>
      </c>
      <c r="N65" s="331" t="s">
        <v>92</v>
      </c>
      <c r="O65" s="331">
        <f t="shared" si="5"/>
        <v>1</v>
      </c>
      <c r="P65" s="331" t="s">
        <v>38</v>
      </c>
      <c r="Q65" s="331">
        <f t="shared" si="6"/>
        <v>0.67</v>
      </c>
      <c r="R65" s="310"/>
      <c r="S65" s="331"/>
      <c r="T65" s="331" t="s">
        <v>32</v>
      </c>
    </row>
    <row r="66" spans="1:36" x14ac:dyDescent="0.3">
      <c r="A66" s="481" t="s">
        <v>525</v>
      </c>
      <c r="B66" s="75" t="s">
        <v>526</v>
      </c>
      <c r="C66" s="331">
        <v>89</v>
      </c>
      <c r="D66" s="331" t="s">
        <v>294</v>
      </c>
      <c r="E66" s="331"/>
      <c r="F66" s="310" t="s">
        <v>1617</v>
      </c>
      <c r="G66" s="331"/>
      <c r="H66" s="414" t="s">
        <v>447</v>
      </c>
      <c r="I66" s="331"/>
      <c r="J66" s="331"/>
      <c r="K66" s="331" t="s">
        <v>92</v>
      </c>
      <c r="L66" s="331">
        <f t="shared" si="8"/>
        <v>2</v>
      </c>
      <c r="M66" s="410" t="str">
        <f t="shared" si="3"/>
        <v>Same distinctiveness or better habitat required ≥</v>
      </c>
      <c r="N66" s="331" t="s">
        <v>92</v>
      </c>
      <c r="O66" s="331">
        <f t="shared" si="5"/>
        <v>1</v>
      </c>
      <c r="P66" s="331" t="s">
        <v>92</v>
      </c>
      <c r="Q66" s="331">
        <f t="shared" si="6"/>
        <v>1</v>
      </c>
      <c r="R66" s="310"/>
      <c r="S66" s="331"/>
      <c r="T66" s="331" t="s">
        <v>32</v>
      </c>
    </row>
    <row r="67" spans="1:36" x14ac:dyDescent="0.3">
      <c r="A67" s="481" t="s">
        <v>527</v>
      </c>
      <c r="B67" s="75" t="s">
        <v>528</v>
      </c>
      <c r="C67" s="331">
        <v>843</v>
      </c>
      <c r="D67" s="331" t="s">
        <v>294</v>
      </c>
      <c r="E67" s="331"/>
      <c r="F67" s="310" t="s">
        <v>1617</v>
      </c>
      <c r="G67" s="331"/>
      <c r="H67" s="414" t="s">
        <v>447</v>
      </c>
      <c r="I67" s="331"/>
      <c r="J67" s="331" t="s">
        <v>529</v>
      </c>
      <c r="K67" s="331" t="s">
        <v>92</v>
      </c>
      <c r="L67" s="331">
        <f t="shared" si="8"/>
        <v>2</v>
      </c>
      <c r="M67" s="410" t="str">
        <f t="shared" si="3"/>
        <v>Same distinctiveness or better habitat required ≥</v>
      </c>
      <c r="N67" s="331" t="s">
        <v>38</v>
      </c>
      <c r="O67" s="331">
        <f t="shared" ref="O67:O96" si="9">VLOOKUP(N67,Difficulty,2,FALSE)</f>
        <v>0.67</v>
      </c>
      <c r="P67" s="331" t="s">
        <v>38</v>
      </c>
      <c r="Q67" s="331">
        <f t="shared" ref="Q67:Q96" si="10">VLOOKUP(P67,Difficulty,2,FALSE)</f>
        <v>0.67</v>
      </c>
      <c r="R67" s="310"/>
      <c r="S67" s="331"/>
      <c r="T67" s="331" t="s">
        <v>32</v>
      </c>
    </row>
    <row r="68" spans="1:36" x14ac:dyDescent="0.3">
      <c r="A68" s="481" t="s">
        <v>530</v>
      </c>
      <c r="B68" s="75" t="s">
        <v>531</v>
      </c>
      <c r="C68" s="331">
        <v>842</v>
      </c>
      <c r="D68" s="331" t="s">
        <v>294</v>
      </c>
      <c r="E68" s="331"/>
      <c r="F68" s="310" t="s">
        <v>1617</v>
      </c>
      <c r="G68" s="331"/>
      <c r="H68" s="414" t="s">
        <v>447</v>
      </c>
      <c r="I68" s="331"/>
      <c r="J68" s="331" t="s">
        <v>530</v>
      </c>
      <c r="K68" s="331" t="s">
        <v>92</v>
      </c>
      <c r="L68" s="331">
        <f t="shared" si="8"/>
        <v>2</v>
      </c>
      <c r="M68" s="410" t="str">
        <f t="shared" si="3"/>
        <v>Same distinctiveness or better habitat required ≥</v>
      </c>
      <c r="N68" s="331" t="s">
        <v>38</v>
      </c>
      <c r="O68" s="331">
        <f t="shared" si="9"/>
        <v>0.67</v>
      </c>
      <c r="P68" s="331" t="s">
        <v>38</v>
      </c>
      <c r="Q68" s="331">
        <f t="shared" si="10"/>
        <v>0.67</v>
      </c>
      <c r="R68" s="310"/>
      <c r="S68" s="331"/>
      <c r="T68" s="331" t="s">
        <v>32</v>
      </c>
    </row>
    <row r="69" spans="1:36" x14ac:dyDescent="0.3">
      <c r="A69" s="481" t="s">
        <v>532</v>
      </c>
      <c r="B69" s="75" t="s">
        <v>533</v>
      </c>
      <c r="C69" s="331">
        <v>845</v>
      </c>
      <c r="D69" s="331" t="s">
        <v>294</v>
      </c>
      <c r="E69" s="331"/>
      <c r="F69" s="310" t="s">
        <v>1617</v>
      </c>
      <c r="G69" s="331"/>
      <c r="H69" s="414" t="s">
        <v>447</v>
      </c>
      <c r="I69" s="331"/>
      <c r="J69" s="331" t="s">
        <v>532</v>
      </c>
      <c r="K69" s="331" t="s">
        <v>92</v>
      </c>
      <c r="L69" s="331">
        <f t="shared" si="8"/>
        <v>2</v>
      </c>
      <c r="M69" s="410" t="str">
        <f t="shared" si="3"/>
        <v>Same distinctiveness or better habitat required ≥</v>
      </c>
      <c r="N69" s="331" t="s">
        <v>92</v>
      </c>
      <c r="O69" s="331">
        <f t="shared" si="9"/>
        <v>1</v>
      </c>
      <c r="P69" s="331" t="s">
        <v>92</v>
      </c>
      <c r="Q69" s="331">
        <f t="shared" si="10"/>
        <v>1</v>
      </c>
      <c r="R69" s="310"/>
      <c r="S69" s="331"/>
      <c r="T69" s="331" t="s">
        <v>32</v>
      </c>
    </row>
    <row r="70" spans="1:36" x14ac:dyDescent="0.3">
      <c r="A70" s="481" t="s">
        <v>534</v>
      </c>
      <c r="B70" s="75" t="s">
        <v>535</v>
      </c>
      <c r="C70" s="331">
        <v>87</v>
      </c>
      <c r="D70" s="331" t="s">
        <v>294</v>
      </c>
      <c r="E70" s="331"/>
      <c r="F70" s="310" t="s">
        <v>1617</v>
      </c>
      <c r="G70" s="331"/>
      <c r="H70" s="414" t="s">
        <v>447</v>
      </c>
      <c r="I70" s="331"/>
      <c r="J70" s="331" t="s">
        <v>515</v>
      </c>
      <c r="K70" s="331" t="s">
        <v>38</v>
      </c>
      <c r="L70" s="331">
        <f t="shared" si="8"/>
        <v>4</v>
      </c>
      <c r="M70" s="410" t="str">
        <f t="shared" si="3"/>
        <v>Same broad habitat or a higher distinctiveness habitat required (≥)</v>
      </c>
      <c r="N70" s="331" t="s">
        <v>38</v>
      </c>
      <c r="O70" s="331">
        <f t="shared" si="9"/>
        <v>0.67</v>
      </c>
      <c r="P70" s="331" t="s">
        <v>38</v>
      </c>
      <c r="Q70" s="331">
        <f t="shared" si="10"/>
        <v>0.67</v>
      </c>
      <c r="R70" s="310"/>
      <c r="S70" s="331"/>
      <c r="T70" s="331" t="s">
        <v>32</v>
      </c>
    </row>
    <row r="71" spans="1:36" x14ac:dyDescent="0.3">
      <c r="A71" s="481" t="s">
        <v>536</v>
      </c>
      <c r="B71" s="75" t="s">
        <v>537</v>
      </c>
      <c r="C71" s="331">
        <v>847</v>
      </c>
      <c r="D71" s="331" t="s">
        <v>294</v>
      </c>
      <c r="E71" s="331"/>
      <c r="F71" s="310" t="s">
        <v>1617</v>
      </c>
      <c r="G71" s="331"/>
      <c r="H71" s="414" t="s">
        <v>447</v>
      </c>
      <c r="I71" s="331"/>
      <c r="J71" s="331" t="s">
        <v>536</v>
      </c>
      <c r="K71" s="331" t="s">
        <v>92</v>
      </c>
      <c r="L71" s="331">
        <f t="shared" si="8"/>
        <v>2</v>
      </c>
      <c r="M71" s="410" t="str">
        <f t="shared" si="3"/>
        <v>Same distinctiveness or better habitat required ≥</v>
      </c>
      <c r="N71" s="331" t="s">
        <v>92</v>
      </c>
      <c r="O71" s="331">
        <f t="shared" si="9"/>
        <v>1</v>
      </c>
      <c r="P71" s="331" t="s">
        <v>92</v>
      </c>
      <c r="Q71" s="331">
        <f t="shared" si="10"/>
        <v>1</v>
      </c>
      <c r="R71" s="310"/>
      <c r="S71" s="331"/>
      <c r="T71" s="331" t="s">
        <v>32</v>
      </c>
    </row>
    <row r="72" spans="1:36" ht="28" x14ac:dyDescent="0.3">
      <c r="A72" s="481" t="s">
        <v>538</v>
      </c>
      <c r="B72" s="75" t="s">
        <v>539</v>
      </c>
      <c r="C72" s="331">
        <v>80</v>
      </c>
      <c r="D72" s="331" t="s">
        <v>294</v>
      </c>
      <c r="E72" s="331"/>
      <c r="F72" s="310" t="s">
        <v>1617</v>
      </c>
      <c r="G72" s="331"/>
      <c r="H72" s="414" t="s">
        <v>447</v>
      </c>
      <c r="I72" s="331" t="s">
        <v>540</v>
      </c>
      <c r="J72" s="349" t="s">
        <v>543</v>
      </c>
      <c r="K72" s="331" t="s">
        <v>90</v>
      </c>
      <c r="L72" s="331">
        <f t="shared" si="8"/>
        <v>6</v>
      </c>
      <c r="M72" s="410" t="str">
        <f t="shared" si="3"/>
        <v>Same habitat required =</v>
      </c>
      <c r="N72" s="331" t="s">
        <v>38</v>
      </c>
      <c r="O72" s="331">
        <f t="shared" si="9"/>
        <v>0.67</v>
      </c>
      <c r="P72" s="331" t="s">
        <v>38</v>
      </c>
      <c r="Q72" s="331">
        <f t="shared" si="10"/>
        <v>0.67</v>
      </c>
      <c r="R72" s="310"/>
      <c r="S72" s="331"/>
      <c r="T72" s="331" t="s">
        <v>32</v>
      </c>
    </row>
    <row r="73" spans="1:36" x14ac:dyDescent="0.3">
      <c r="A73" s="481" t="s">
        <v>544</v>
      </c>
      <c r="B73" s="75" t="s">
        <v>545</v>
      </c>
      <c r="C73" s="331">
        <v>850</v>
      </c>
      <c r="D73" s="331" t="s">
        <v>294</v>
      </c>
      <c r="E73" s="331"/>
      <c r="F73" s="310" t="s">
        <v>1617</v>
      </c>
      <c r="G73" s="331"/>
      <c r="H73" s="414" t="s">
        <v>447</v>
      </c>
      <c r="I73" s="331"/>
      <c r="J73" s="331" t="s">
        <v>544</v>
      </c>
      <c r="K73" s="331" t="s">
        <v>92</v>
      </c>
      <c r="L73" s="331">
        <f t="shared" si="8"/>
        <v>2</v>
      </c>
      <c r="M73" s="410" t="str">
        <f t="shared" si="3"/>
        <v>Same distinctiveness or better habitat required ≥</v>
      </c>
      <c r="N73" s="331" t="s">
        <v>92</v>
      </c>
      <c r="O73" s="331">
        <f t="shared" si="9"/>
        <v>1</v>
      </c>
      <c r="P73" s="331" t="s">
        <v>92</v>
      </c>
      <c r="Q73" s="331">
        <f t="shared" si="10"/>
        <v>1</v>
      </c>
      <c r="R73" s="310"/>
      <c r="S73" s="331"/>
      <c r="T73" s="331" t="s">
        <v>32</v>
      </c>
    </row>
    <row r="74" spans="1:36" ht="28" x14ac:dyDescent="0.3">
      <c r="A74" s="481" t="s">
        <v>546</v>
      </c>
      <c r="B74" s="75" t="s">
        <v>547</v>
      </c>
      <c r="C74" s="331">
        <v>85</v>
      </c>
      <c r="D74" s="331" t="s">
        <v>294</v>
      </c>
      <c r="E74" s="331"/>
      <c r="F74" s="310" t="s">
        <v>1617</v>
      </c>
      <c r="G74" s="331"/>
      <c r="H74" s="414" t="s">
        <v>447</v>
      </c>
      <c r="I74" s="331"/>
      <c r="J74" s="331" t="s">
        <v>548</v>
      </c>
      <c r="K74" s="331" t="s">
        <v>92</v>
      </c>
      <c r="L74" s="331">
        <f t="shared" si="8"/>
        <v>2</v>
      </c>
      <c r="M74" s="410" t="str">
        <f t="shared" ref="M74:M131" si="11">IF($K74=$V$3,$X$3,IF($K74=$V$4,$X$4,IF($K74=$V$5,$X$5,IF($K74=$V$6,$X$6,IF($K74=$V$7,$X$7)))))</f>
        <v>Same distinctiveness or better habitat required ≥</v>
      </c>
      <c r="N74" s="331" t="s">
        <v>38</v>
      </c>
      <c r="O74" s="331">
        <f t="shared" si="9"/>
        <v>0.67</v>
      </c>
      <c r="P74" s="331" t="s">
        <v>38</v>
      </c>
      <c r="Q74" s="331">
        <f t="shared" si="10"/>
        <v>0.67</v>
      </c>
      <c r="R74" s="310"/>
      <c r="S74" s="331"/>
      <c r="T74" s="331" t="s">
        <v>32</v>
      </c>
    </row>
    <row r="75" spans="1:36" x14ac:dyDescent="0.3">
      <c r="A75" s="481" t="s">
        <v>549</v>
      </c>
      <c r="B75" s="75" t="s">
        <v>550</v>
      </c>
      <c r="C75" s="331">
        <v>848</v>
      </c>
      <c r="D75" s="331" t="s">
        <v>294</v>
      </c>
      <c r="E75" s="331"/>
      <c r="F75" s="310" t="s">
        <v>1617</v>
      </c>
      <c r="G75" s="331"/>
      <c r="H75" s="414" t="s">
        <v>447</v>
      </c>
      <c r="I75" s="331"/>
      <c r="J75" s="331" t="s">
        <v>551</v>
      </c>
      <c r="K75" s="331" t="s">
        <v>92</v>
      </c>
      <c r="L75" s="331">
        <f t="shared" si="8"/>
        <v>2</v>
      </c>
      <c r="M75" s="410" t="str">
        <f t="shared" si="11"/>
        <v>Same distinctiveness or better habitat required ≥</v>
      </c>
      <c r="N75" s="331" t="s">
        <v>38</v>
      </c>
      <c r="O75" s="331">
        <f t="shared" si="9"/>
        <v>0.67</v>
      </c>
      <c r="P75" s="331" t="s">
        <v>38</v>
      </c>
      <c r="Q75" s="331">
        <f t="shared" si="10"/>
        <v>0.67</v>
      </c>
      <c r="R75" s="310"/>
      <c r="S75" s="331"/>
      <c r="T75" s="331" t="s">
        <v>32</v>
      </c>
    </row>
    <row r="76" spans="1:36" x14ac:dyDescent="0.3">
      <c r="A76" s="481" t="s">
        <v>552</v>
      </c>
      <c r="B76" s="75" t="s">
        <v>553</v>
      </c>
      <c r="C76" s="331">
        <v>829</v>
      </c>
      <c r="D76" s="331" t="s">
        <v>294</v>
      </c>
      <c r="E76" s="331"/>
      <c r="F76" s="310" t="s">
        <v>1617</v>
      </c>
      <c r="G76" s="331"/>
      <c r="H76" s="414" t="s">
        <v>447</v>
      </c>
      <c r="I76" s="331"/>
      <c r="J76" s="331" t="s">
        <v>554</v>
      </c>
      <c r="K76" s="331" t="s">
        <v>316</v>
      </c>
      <c r="L76" s="331">
        <f t="shared" si="8"/>
        <v>0</v>
      </c>
      <c r="M76" s="410" t="str">
        <f t="shared" si="11"/>
        <v>Compensation Not Required</v>
      </c>
      <c r="N76" s="331" t="s">
        <v>92</v>
      </c>
      <c r="O76" s="331">
        <f t="shared" si="9"/>
        <v>1</v>
      </c>
      <c r="P76" s="331" t="s">
        <v>92</v>
      </c>
      <c r="Q76" s="331">
        <f t="shared" si="10"/>
        <v>1</v>
      </c>
      <c r="R76" s="310"/>
      <c r="S76" s="331"/>
      <c r="T76" s="331" t="s">
        <v>32</v>
      </c>
    </row>
    <row r="77" spans="1:36" ht="28" x14ac:dyDescent="0.3">
      <c r="A77" s="481" t="s">
        <v>555</v>
      </c>
      <c r="B77" s="75" t="s">
        <v>556</v>
      </c>
      <c r="C77" s="331">
        <v>82</v>
      </c>
      <c r="D77" s="331" t="s">
        <v>294</v>
      </c>
      <c r="E77" s="331"/>
      <c r="F77" s="310" t="s">
        <v>1617</v>
      </c>
      <c r="G77" s="331"/>
      <c r="H77" s="414" t="s">
        <v>447</v>
      </c>
      <c r="I77" s="331"/>
      <c r="J77" s="331" t="s">
        <v>555</v>
      </c>
      <c r="K77" s="331" t="s">
        <v>92</v>
      </c>
      <c r="L77" s="331">
        <f t="shared" si="8"/>
        <v>2</v>
      </c>
      <c r="M77" s="410" t="str">
        <f t="shared" si="11"/>
        <v>Same distinctiveness or better habitat required ≥</v>
      </c>
      <c r="N77" s="331" t="s">
        <v>92</v>
      </c>
      <c r="O77" s="331">
        <f t="shared" si="9"/>
        <v>1</v>
      </c>
      <c r="P77" s="331" t="s">
        <v>92</v>
      </c>
      <c r="Q77" s="331">
        <f t="shared" si="10"/>
        <v>1</v>
      </c>
      <c r="R77" s="310" t="s">
        <v>557</v>
      </c>
      <c r="S77" s="331"/>
      <c r="T77" s="331" t="s">
        <v>32</v>
      </c>
    </row>
    <row r="78" spans="1:36" ht="28" x14ac:dyDescent="0.3">
      <c r="A78" s="481" t="s">
        <v>558</v>
      </c>
      <c r="B78" s="432" t="s">
        <v>559</v>
      </c>
      <c r="C78" s="433">
        <v>510</v>
      </c>
      <c r="D78" s="433" t="s">
        <v>294</v>
      </c>
      <c r="E78" s="331"/>
      <c r="F78" s="322" t="s">
        <v>1616</v>
      </c>
      <c r="G78" s="433"/>
      <c r="H78" s="434" t="s">
        <v>447</v>
      </c>
      <c r="I78" s="433"/>
      <c r="J78" s="433" t="s">
        <v>558</v>
      </c>
      <c r="K78" s="433" t="s">
        <v>92</v>
      </c>
      <c r="L78" s="433">
        <f t="shared" si="8"/>
        <v>2</v>
      </c>
      <c r="M78" s="435" t="str">
        <f t="shared" si="11"/>
        <v>Same distinctiveness or better habitat required ≥</v>
      </c>
      <c r="N78" s="433" t="s">
        <v>92</v>
      </c>
      <c r="O78" s="433">
        <v>1</v>
      </c>
      <c r="P78" s="433" t="s">
        <v>92</v>
      </c>
      <c r="Q78" s="433">
        <v>1</v>
      </c>
      <c r="R78" s="310" t="s">
        <v>557</v>
      </c>
      <c r="S78" s="433"/>
      <c r="T78" s="331" t="s">
        <v>32</v>
      </c>
    </row>
    <row r="79" spans="1:36" ht="14.5" thickBot="1" x14ac:dyDescent="0.35">
      <c r="A79" s="482" t="s">
        <v>560</v>
      </c>
      <c r="B79" s="432" t="s">
        <v>561</v>
      </c>
      <c r="C79" s="433">
        <v>828</v>
      </c>
      <c r="D79" s="433" t="s">
        <v>294</v>
      </c>
      <c r="E79" s="331"/>
      <c r="F79" s="322" t="s">
        <v>1617</v>
      </c>
      <c r="G79" s="433"/>
      <c r="H79" s="434" t="s">
        <v>447</v>
      </c>
      <c r="I79" s="433"/>
      <c r="J79" s="433" t="s">
        <v>560</v>
      </c>
      <c r="K79" s="433" t="s">
        <v>92</v>
      </c>
      <c r="L79" s="433">
        <f t="shared" ref="L79:L102" si="12">IF(K79=$V$3,$W$3,IF(K79=$V$3,$W$3,IF(K79=$V$4,$W$4,IF(K79=$V$5,$W$5,IF(K79=$V$6,$W$6,IF(K79=$V$7,$W$7))))))</f>
        <v>2</v>
      </c>
      <c r="M79" s="435" t="str">
        <f t="shared" si="11"/>
        <v>Same distinctiveness or better habitat required ≥</v>
      </c>
      <c r="N79" s="433" t="s">
        <v>92</v>
      </c>
      <c r="O79" s="433">
        <f t="shared" si="9"/>
        <v>1</v>
      </c>
      <c r="P79" s="433" t="s">
        <v>92</v>
      </c>
      <c r="Q79" s="433">
        <f t="shared" si="10"/>
        <v>1</v>
      </c>
      <c r="R79" s="322"/>
      <c r="S79" s="433"/>
      <c r="T79" s="331" t="s">
        <v>32</v>
      </c>
    </row>
    <row r="80" spans="1:36" s="105" customFormat="1" x14ac:dyDescent="0.3">
      <c r="A80" s="481" t="s">
        <v>562</v>
      </c>
      <c r="B80" s="442" t="s">
        <v>563</v>
      </c>
      <c r="C80" s="366" t="s">
        <v>564</v>
      </c>
      <c r="D80" s="366" t="s">
        <v>294</v>
      </c>
      <c r="E80" s="311"/>
      <c r="F80" s="295" t="s">
        <v>60</v>
      </c>
      <c r="G80" s="366"/>
      <c r="H80" s="786" t="s">
        <v>447</v>
      </c>
      <c r="I80" s="366"/>
      <c r="J80" s="366" t="s">
        <v>565</v>
      </c>
      <c r="K80" s="366" t="s">
        <v>38</v>
      </c>
      <c r="L80" s="366">
        <f>IF(K80=$V$3,$W$3,IF(K80=$V$3,$W$3,IF(K80=$V$4,$W$4,IF(K80=$V$5,$W$5,IF(K80=$V$6,$W$6,IF(K80=$V$7,$W$7))))))</f>
        <v>4</v>
      </c>
      <c r="M80" s="788" t="str">
        <f>IF($K80=$V$3,$X$3,IF($K80=$V$4,$X$4,IF($K80=$V$5,$X$5,IF($K80=$V$6,$X$6,IF($K80=$V$7,$X$7)))))</f>
        <v>Same broad habitat or a higher distinctiveness habitat required (≥)</v>
      </c>
      <c r="N80" s="366" t="s">
        <v>92</v>
      </c>
      <c r="O80" s="366">
        <f>VLOOKUP(N80,Difficulty,2,FALSE)</f>
        <v>1</v>
      </c>
      <c r="P80" s="366" t="s">
        <v>92</v>
      </c>
      <c r="Q80" s="366">
        <f>VLOOKUP(P80,Difficulty,2,FALSE)</f>
        <v>1</v>
      </c>
      <c r="R80" s="295"/>
      <c r="S80" s="366"/>
      <c r="T80" s="366" t="s">
        <v>1626</v>
      </c>
      <c r="U80" s="15"/>
      <c r="V80" s="15"/>
      <c r="W80" s="15"/>
      <c r="X80" s="15"/>
      <c r="Y80" s="15"/>
      <c r="Z80" s="15"/>
      <c r="AA80" s="15"/>
      <c r="AB80" s="15"/>
      <c r="AC80" s="15"/>
      <c r="AD80" s="15"/>
      <c r="AE80" s="15"/>
      <c r="AF80" s="15"/>
      <c r="AG80" s="15"/>
      <c r="AH80" s="15"/>
      <c r="AI80" s="15"/>
      <c r="AJ80" s="599"/>
    </row>
    <row r="81" spans="1:36" s="105" customFormat="1" ht="14.5" thickBot="1" x14ac:dyDescent="0.35">
      <c r="A81" s="168" t="s">
        <v>566</v>
      </c>
      <c r="B81" s="437" t="s">
        <v>567</v>
      </c>
      <c r="C81" s="315" t="s">
        <v>568</v>
      </c>
      <c r="D81" s="315" t="s">
        <v>294</v>
      </c>
      <c r="E81" s="789"/>
      <c r="F81" s="299" t="s">
        <v>60</v>
      </c>
      <c r="G81" s="315"/>
      <c r="H81" s="315"/>
      <c r="I81" s="315"/>
      <c r="J81" s="315"/>
      <c r="K81" s="315" t="s">
        <v>38</v>
      </c>
      <c r="L81" s="315">
        <f>IF(K81=$V$3,$W$3,IF(K81=$V$3,$W$3,IF(K81=$V$4,$W$4,IF(K81=$V$5,$W$5,IF(K81=$V$6,$W$6,IF(K81=$V$7,$W$7))))))</f>
        <v>4</v>
      </c>
      <c r="M81" s="411" t="str">
        <f>IF($K81=$V$3,$X$3,IF($K81=$V$4,$X$4,IF($K81=$V$5,$X$5,IF($K81=$V$6,$X$6,IF($K81=$V$7,$X$7)))))</f>
        <v>Same broad habitat or a higher distinctiveness habitat required (≥)</v>
      </c>
      <c r="N81" s="315" t="s">
        <v>92</v>
      </c>
      <c r="O81" s="315">
        <f>VLOOKUP(N81,Difficulty,2,FALSE)</f>
        <v>1</v>
      </c>
      <c r="P81" s="315" t="s">
        <v>92</v>
      </c>
      <c r="Q81" s="315">
        <f>VLOOKUP(P81,Difficulty,2,FALSE)</f>
        <v>1</v>
      </c>
      <c r="R81" s="299"/>
      <c r="S81" s="315"/>
      <c r="T81" s="315" t="s">
        <v>1626</v>
      </c>
      <c r="U81" s="15"/>
      <c r="V81" s="15"/>
      <c r="W81" s="15"/>
      <c r="X81" s="15"/>
      <c r="Y81" s="15"/>
      <c r="Z81" s="15"/>
      <c r="AA81" s="15"/>
      <c r="AB81" s="15"/>
      <c r="AC81" s="15"/>
      <c r="AD81" s="15"/>
      <c r="AE81" s="15"/>
      <c r="AF81" s="15"/>
      <c r="AG81" s="15"/>
      <c r="AH81" s="15"/>
      <c r="AI81" s="15"/>
      <c r="AJ81" s="599"/>
    </row>
    <row r="82" spans="1:36" x14ac:dyDescent="0.3">
      <c r="A82" s="483" t="s">
        <v>569</v>
      </c>
      <c r="B82" s="442" t="s">
        <v>570</v>
      </c>
      <c r="C82" s="366" t="s">
        <v>571</v>
      </c>
      <c r="D82" s="366" t="s">
        <v>294</v>
      </c>
      <c r="E82" s="331" t="s">
        <v>575</v>
      </c>
      <c r="F82" s="295" t="s">
        <v>52</v>
      </c>
      <c r="G82" s="366" t="s">
        <v>576</v>
      </c>
      <c r="H82" s="786" t="s">
        <v>572</v>
      </c>
      <c r="I82" s="366" t="s">
        <v>571</v>
      </c>
      <c r="J82" s="787" t="s">
        <v>569</v>
      </c>
      <c r="K82" s="366" t="s">
        <v>297</v>
      </c>
      <c r="L82" s="366">
        <f t="shared" si="12"/>
        <v>8</v>
      </c>
      <c r="M82" s="788" t="str">
        <f t="shared" si="11"/>
        <v>Bespoke compensation likely to be required 🛠</v>
      </c>
      <c r="N82" s="366" t="s">
        <v>88</v>
      </c>
      <c r="O82" s="366">
        <f t="shared" si="9"/>
        <v>0.1</v>
      </c>
      <c r="P82" s="366" t="s">
        <v>90</v>
      </c>
      <c r="Q82" s="366">
        <f t="shared" si="10"/>
        <v>0.33</v>
      </c>
      <c r="R82" s="295"/>
      <c r="S82" s="366"/>
      <c r="T82" s="366" t="s">
        <v>30</v>
      </c>
    </row>
    <row r="83" spans="1:36" ht="28" x14ac:dyDescent="0.3">
      <c r="A83" s="481" t="s">
        <v>573</v>
      </c>
      <c r="B83" s="75" t="s">
        <v>574</v>
      </c>
      <c r="C83" s="331">
        <v>56</v>
      </c>
      <c r="D83" s="331" t="s">
        <v>294</v>
      </c>
      <c r="E83" s="331" t="s">
        <v>575</v>
      </c>
      <c r="F83" s="310" t="s">
        <v>52</v>
      </c>
      <c r="G83" s="331" t="s">
        <v>576</v>
      </c>
      <c r="H83" s="414" t="s">
        <v>572</v>
      </c>
      <c r="I83" s="331"/>
      <c r="J83" s="353" t="s">
        <v>577</v>
      </c>
      <c r="K83" s="331" t="s">
        <v>297</v>
      </c>
      <c r="L83" s="331">
        <f t="shared" si="12"/>
        <v>8</v>
      </c>
      <c r="M83" s="410" t="str">
        <f t="shared" si="11"/>
        <v>Bespoke compensation likely to be required 🛠</v>
      </c>
      <c r="N83" s="331" t="s">
        <v>88</v>
      </c>
      <c r="O83" s="331">
        <f t="shared" si="9"/>
        <v>0.1</v>
      </c>
      <c r="P83" s="331" t="s">
        <v>90</v>
      </c>
      <c r="Q83" s="331">
        <f t="shared" si="10"/>
        <v>0.33</v>
      </c>
      <c r="R83" s="310"/>
      <c r="S83" s="331"/>
      <c r="T83" s="331" t="s">
        <v>32</v>
      </c>
    </row>
    <row r="84" spans="1:36" ht="14.5" customHeight="1" x14ac:dyDescent="0.3">
      <c r="A84" s="481" t="s">
        <v>578</v>
      </c>
      <c r="B84" s="75" t="s">
        <v>579</v>
      </c>
      <c r="C84" s="331" t="s">
        <v>1623</v>
      </c>
      <c r="D84" s="331" t="s">
        <v>294</v>
      </c>
      <c r="E84" s="331"/>
      <c r="F84" s="310"/>
      <c r="G84" s="331"/>
      <c r="H84" s="414" t="s">
        <v>582</v>
      </c>
      <c r="I84" s="331" t="s">
        <v>580</v>
      </c>
      <c r="J84" s="349" t="s">
        <v>583</v>
      </c>
      <c r="K84" s="331" t="s">
        <v>297</v>
      </c>
      <c r="L84" s="331">
        <f t="shared" si="12"/>
        <v>8</v>
      </c>
      <c r="M84" s="410" t="str">
        <f t="shared" si="11"/>
        <v>Bespoke compensation likely to be required 🛠</v>
      </c>
      <c r="N84" s="331" t="s">
        <v>90</v>
      </c>
      <c r="O84" s="331">
        <f t="shared" si="9"/>
        <v>0.33</v>
      </c>
      <c r="P84" s="331" t="s">
        <v>90</v>
      </c>
      <c r="Q84" s="331">
        <f t="shared" si="10"/>
        <v>0.33</v>
      </c>
      <c r="R84" s="310"/>
      <c r="S84" s="331"/>
      <c r="T84" s="331" t="s">
        <v>1626</v>
      </c>
    </row>
    <row r="85" spans="1:36" ht="14.5" customHeight="1" x14ac:dyDescent="0.3">
      <c r="A85" s="481" t="s">
        <v>584</v>
      </c>
      <c r="B85" s="75" t="s">
        <v>585</v>
      </c>
      <c r="C85" s="331" t="s">
        <v>586</v>
      </c>
      <c r="D85" s="331" t="s">
        <v>294</v>
      </c>
      <c r="E85" s="331" t="s">
        <v>575</v>
      </c>
      <c r="F85" s="310" t="s">
        <v>52</v>
      </c>
      <c r="G85" s="331" t="s">
        <v>576</v>
      </c>
      <c r="H85" s="414" t="s">
        <v>572</v>
      </c>
      <c r="I85" s="331" t="s">
        <v>586</v>
      </c>
      <c r="J85" s="349" t="s">
        <v>584</v>
      </c>
      <c r="K85" s="331" t="s">
        <v>297</v>
      </c>
      <c r="L85" s="331">
        <f t="shared" si="12"/>
        <v>8</v>
      </c>
      <c r="M85" s="410" t="str">
        <f t="shared" si="11"/>
        <v>Bespoke compensation likely to be required 🛠</v>
      </c>
      <c r="N85" s="331" t="s">
        <v>88</v>
      </c>
      <c r="O85" s="331">
        <f t="shared" si="9"/>
        <v>0.1</v>
      </c>
      <c r="P85" s="331" t="s">
        <v>90</v>
      </c>
      <c r="Q85" s="331">
        <f t="shared" si="10"/>
        <v>0.33</v>
      </c>
      <c r="R85" s="310"/>
      <c r="S85" s="331"/>
      <c r="T85" s="331" t="s">
        <v>30</v>
      </c>
    </row>
    <row r="86" spans="1:36" ht="14.5" customHeight="1" x14ac:dyDescent="0.3">
      <c r="A86" s="481" t="s">
        <v>587</v>
      </c>
      <c r="B86" s="75" t="s">
        <v>588</v>
      </c>
      <c r="C86" s="331" t="s">
        <v>589</v>
      </c>
      <c r="D86" s="331" t="s">
        <v>294</v>
      </c>
      <c r="E86" s="331"/>
      <c r="F86" s="310"/>
      <c r="G86" s="331"/>
      <c r="H86" s="414" t="s">
        <v>582</v>
      </c>
      <c r="I86" s="331" t="s">
        <v>590</v>
      </c>
      <c r="J86" s="331" t="s">
        <v>591</v>
      </c>
      <c r="K86" s="331" t="s">
        <v>297</v>
      </c>
      <c r="L86" s="331">
        <f t="shared" si="12"/>
        <v>8</v>
      </c>
      <c r="M86" s="410" t="str">
        <f t="shared" si="11"/>
        <v>Bespoke compensation likely to be required 🛠</v>
      </c>
      <c r="N86" s="331" t="s">
        <v>88</v>
      </c>
      <c r="O86" s="331">
        <f t="shared" si="9"/>
        <v>0.1</v>
      </c>
      <c r="P86" s="331" t="s">
        <v>90</v>
      </c>
      <c r="Q86" s="331">
        <f t="shared" si="10"/>
        <v>0.33</v>
      </c>
      <c r="R86" s="310"/>
      <c r="S86" s="331"/>
      <c r="T86" s="331" t="s">
        <v>32</v>
      </c>
    </row>
    <row r="87" spans="1:36" ht="14.15" customHeight="1" x14ac:dyDescent="0.3">
      <c r="A87" s="481" t="s">
        <v>592</v>
      </c>
      <c r="B87" s="75" t="s">
        <v>593</v>
      </c>
      <c r="C87" s="331" t="s">
        <v>594</v>
      </c>
      <c r="D87" s="331" t="s">
        <v>294</v>
      </c>
      <c r="E87" s="331" t="s">
        <v>575</v>
      </c>
      <c r="F87" s="310" t="s">
        <v>52</v>
      </c>
      <c r="G87" s="331" t="s">
        <v>581</v>
      </c>
      <c r="H87" s="414" t="s">
        <v>582</v>
      </c>
      <c r="I87" s="331" t="s">
        <v>594</v>
      </c>
      <c r="J87" s="349" t="s">
        <v>592</v>
      </c>
      <c r="K87" s="331" t="s">
        <v>297</v>
      </c>
      <c r="L87" s="331">
        <f t="shared" si="12"/>
        <v>8</v>
      </c>
      <c r="M87" s="410" t="str">
        <f t="shared" si="11"/>
        <v>Bespoke compensation likely to be required 🛠</v>
      </c>
      <c r="N87" s="331" t="s">
        <v>90</v>
      </c>
      <c r="O87" s="331">
        <f t="shared" si="9"/>
        <v>0.33</v>
      </c>
      <c r="P87" s="331" t="s">
        <v>90</v>
      </c>
      <c r="Q87" s="331">
        <f t="shared" si="10"/>
        <v>0.33</v>
      </c>
      <c r="R87" s="310"/>
      <c r="S87" s="331"/>
      <c r="T87" s="331" t="s">
        <v>32</v>
      </c>
    </row>
    <row r="88" spans="1:36" ht="14.5" customHeight="1" x14ac:dyDescent="0.3">
      <c r="A88" s="481" t="s">
        <v>595</v>
      </c>
      <c r="B88" s="75" t="s">
        <v>596</v>
      </c>
      <c r="C88" s="331" t="s">
        <v>597</v>
      </c>
      <c r="D88" s="331" t="s">
        <v>294</v>
      </c>
      <c r="E88" s="331" t="s">
        <v>575</v>
      </c>
      <c r="F88" s="310" t="s">
        <v>52</v>
      </c>
      <c r="G88" s="331" t="s">
        <v>581</v>
      </c>
      <c r="H88" s="414" t="s">
        <v>582</v>
      </c>
      <c r="I88" s="331" t="s">
        <v>597</v>
      </c>
      <c r="J88" s="349" t="s">
        <v>595</v>
      </c>
      <c r="K88" s="331" t="s">
        <v>90</v>
      </c>
      <c r="L88" s="331">
        <f t="shared" si="12"/>
        <v>6</v>
      </c>
      <c r="M88" s="410" t="str">
        <f t="shared" si="11"/>
        <v>Same habitat required =</v>
      </c>
      <c r="N88" s="331" t="s">
        <v>38</v>
      </c>
      <c r="O88" s="331">
        <f t="shared" si="9"/>
        <v>0.67</v>
      </c>
      <c r="P88" s="331" t="s">
        <v>38</v>
      </c>
      <c r="Q88" s="331">
        <f t="shared" si="10"/>
        <v>0.67</v>
      </c>
      <c r="R88" s="310"/>
      <c r="S88" s="331"/>
      <c r="T88" s="331" t="s">
        <v>32</v>
      </c>
    </row>
    <row r="89" spans="1:36" ht="28.5" thickBot="1" x14ac:dyDescent="0.35">
      <c r="A89" s="481" t="s">
        <v>598</v>
      </c>
      <c r="B89" s="152" t="s">
        <v>599</v>
      </c>
      <c r="C89" s="315" t="s">
        <v>1624</v>
      </c>
      <c r="D89" s="315" t="s">
        <v>294</v>
      </c>
      <c r="E89" s="331"/>
      <c r="F89" s="299"/>
      <c r="G89" s="315"/>
      <c r="H89" s="415" t="s">
        <v>582</v>
      </c>
      <c r="I89" s="315" t="s">
        <v>1614</v>
      </c>
      <c r="J89" s="354" t="s">
        <v>599</v>
      </c>
      <c r="K89" s="315" t="s">
        <v>297</v>
      </c>
      <c r="L89" s="315">
        <f t="shared" si="12"/>
        <v>8</v>
      </c>
      <c r="M89" s="411" t="str">
        <f t="shared" si="11"/>
        <v>Bespoke compensation likely to be required 🛠</v>
      </c>
      <c r="N89" s="315" t="s">
        <v>88</v>
      </c>
      <c r="O89" s="315">
        <f t="shared" si="9"/>
        <v>0.1</v>
      </c>
      <c r="P89" s="315" t="s">
        <v>90</v>
      </c>
      <c r="Q89" s="315">
        <f t="shared" si="10"/>
        <v>0.33</v>
      </c>
      <c r="R89" s="299"/>
      <c r="S89" s="315"/>
      <c r="T89" s="331" t="s">
        <v>32</v>
      </c>
    </row>
    <row r="90" spans="1:36" ht="14.5" customHeight="1" x14ac:dyDescent="0.3">
      <c r="A90" s="481" t="s">
        <v>600</v>
      </c>
      <c r="B90" s="153" t="s">
        <v>601</v>
      </c>
      <c r="C90" s="311">
        <v>206</v>
      </c>
      <c r="D90" s="311" t="s">
        <v>294</v>
      </c>
      <c r="E90" s="331"/>
      <c r="F90" s="298" t="s">
        <v>1619</v>
      </c>
      <c r="G90" s="311"/>
      <c r="H90" s="416" t="s">
        <v>602</v>
      </c>
      <c r="I90" s="311"/>
      <c r="J90" s="311" t="s">
        <v>600</v>
      </c>
      <c r="K90" s="311" t="s">
        <v>90</v>
      </c>
      <c r="L90" s="311">
        <f t="shared" si="12"/>
        <v>6</v>
      </c>
      <c r="M90" s="412" t="str">
        <f t="shared" si="11"/>
        <v>Same habitat required =</v>
      </c>
      <c r="N90" s="311" t="s">
        <v>90</v>
      </c>
      <c r="O90" s="311">
        <f t="shared" si="9"/>
        <v>0.33</v>
      </c>
      <c r="P90" s="311" t="s">
        <v>92</v>
      </c>
      <c r="Q90" s="311">
        <f t="shared" si="10"/>
        <v>1</v>
      </c>
      <c r="R90" s="298"/>
      <c r="S90" s="311"/>
      <c r="T90" s="311" t="s">
        <v>1626</v>
      </c>
    </row>
    <row r="91" spans="1:36" ht="28" x14ac:dyDescent="0.3">
      <c r="A91" s="481" t="s">
        <v>603</v>
      </c>
      <c r="B91" s="75" t="s">
        <v>604</v>
      </c>
      <c r="C91" s="331" t="s">
        <v>605</v>
      </c>
      <c r="D91" s="331" t="s">
        <v>294</v>
      </c>
      <c r="E91" s="331" t="s">
        <v>637</v>
      </c>
      <c r="F91" s="310" t="s">
        <v>53</v>
      </c>
      <c r="G91" s="331" t="s">
        <v>638</v>
      </c>
      <c r="H91" s="414" t="s">
        <v>606</v>
      </c>
      <c r="I91" s="331" t="s">
        <v>605</v>
      </c>
      <c r="J91" s="349" t="s">
        <v>603</v>
      </c>
      <c r="K91" s="331" t="s">
        <v>90</v>
      </c>
      <c r="L91" s="331">
        <f t="shared" si="12"/>
        <v>6</v>
      </c>
      <c r="M91" s="410" t="str">
        <f t="shared" si="11"/>
        <v>Same habitat required =</v>
      </c>
      <c r="N91" s="331" t="s">
        <v>90</v>
      </c>
      <c r="O91" s="331">
        <f t="shared" si="9"/>
        <v>0.33</v>
      </c>
      <c r="P91" s="331" t="s">
        <v>90</v>
      </c>
      <c r="Q91" s="331">
        <f t="shared" si="10"/>
        <v>0.33</v>
      </c>
      <c r="R91" s="310"/>
      <c r="S91" s="331"/>
      <c r="T91" s="311" t="s">
        <v>1626</v>
      </c>
    </row>
    <row r="92" spans="1:36" ht="14.15" customHeight="1" x14ac:dyDescent="0.3">
      <c r="A92" s="481" t="s">
        <v>607</v>
      </c>
      <c r="B92" s="75" t="s">
        <v>608</v>
      </c>
      <c r="C92" s="331" t="s">
        <v>609</v>
      </c>
      <c r="D92" s="331" t="s">
        <v>294</v>
      </c>
      <c r="E92" s="331" t="s">
        <v>637</v>
      </c>
      <c r="F92" s="310" t="s">
        <v>53</v>
      </c>
      <c r="G92" s="331" t="s">
        <v>638</v>
      </c>
      <c r="H92" s="414" t="s">
        <v>606</v>
      </c>
      <c r="I92" s="331" t="s">
        <v>609</v>
      </c>
      <c r="J92" s="349" t="s">
        <v>607</v>
      </c>
      <c r="K92" s="331" t="s">
        <v>90</v>
      </c>
      <c r="L92" s="331">
        <f t="shared" si="12"/>
        <v>6</v>
      </c>
      <c r="M92" s="410" t="str">
        <f t="shared" si="11"/>
        <v>Same habitat required =</v>
      </c>
      <c r="N92" s="331" t="s">
        <v>90</v>
      </c>
      <c r="O92" s="331">
        <f t="shared" si="9"/>
        <v>0.33</v>
      </c>
      <c r="P92" s="331" t="s">
        <v>90</v>
      </c>
      <c r="Q92" s="331">
        <f t="shared" si="10"/>
        <v>0.33</v>
      </c>
      <c r="R92" s="310"/>
      <c r="S92" s="331"/>
      <c r="T92" s="311" t="s">
        <v>1626</v>
      </c>
    </row>
    <row r="93" spans="1:36" x14ac:dyDescent="0.3">
      <c r="A93" s="481" t="s">
        <v>610</v>
      </c>
      <c r="B93" s="75" t="s">
        <v>611</v>
      </c>
      <c r="C93" s="331" t="s">
        <v>612</v>
      </c>
      <c r="D93" s="331" t="s">
        <v>294</v>
      </c>
      <c r="E93" s="331" t="s">
        <v>637</v>
      </c>
      <c r="F93" s="310" t="s">
        <v>53</v>
      </c>
      <c r="G93" s="331" t="s">
        <v>613</v>
      </c>
      <c r="H93" s="414" t="s">
        <v>614</v>
      </c>
      <c r="I93" s="331" t="s">
        <v>612</v>
      </c>
      <c r="J93" s="349" t="s">
        <v>610</v>
      </c>
      <c r="K93" s="331" t="s">
        <v>90</v>
      </c>
      <c r="L93" s="331">
        <f t="shared" si="12"/>
        <v>6</v>
      </c>
      <c r="M93" s="410" t="str">
        <f t="shared" si="11"/>
        <v>Same habitat required =</v>
      </c>
      <c r="N93" s="331" t="s">
        <v>90</v>
      </c>
      <c r="O93" s="331">
        <f t="shared" si="9"/>
        <v>0.33</v>
      </c>
      <c r="P93" s="331" t="s">
        <v>90</v>
      </c>
      <c r="Q93" s="331">
        <f t="shared" si="10"/>
        <v>0.33</v>
      </c>
      <c r="R93" s="310"/>
      <c r="S93" s="331"/>
      <c r="T93" s="311" t="s">
        <v>1626</v>
      </c>
    </row>
    <row r="94" spans="1:36" x14ac:dyDescent="0.3">
      <c r="A94" s="481" t="s">
        <v>615</v>
      </c>
      <c r="B94" s="75" t="s">
        <v>616</v>
      </c>
      <c r="C94" s="331" t="s">
        <v>617</v>
      </c>
      <c r="D94" s="331" t="s">
        <v>294</v>
      </c>
      <c r="E94" s="331" t="s">
        <v>637</v>
      </c>
      <c r="F94" s="310" t="s">
        <v>53</v>
      </c>
      <c r="G94" s="331" t="s">
        <v>613</v>
      </c>
      <c r="H94" s="414" t="s">
        <v>614</v>
      </c>
      <c r="I94" s="331" t="s">
        <v>617</v>
      </c>
      <c r="J94" s="331" t="s">
        <v>615</v>
      </c>
      <c r="K94" s="331" t="s">
        <v>92</v>
      </c>
      <c r="L94" s="331">
        <f t="shared" si="12"/>
        <v>2</v>
      </c>
      <c r="M94" s="410" t="str">
        <f t="shared" si="11"/>
        <v>Same distinctiveness or better habitat required ≥</v>
      </c>
      <c r="N94" s="331" t="s">
        <v>92</v>
      </c>
      <c r="O94" s="331">
        <f t="shared" si="9"/>
        <v>1</v>
      </c>
      <c r="P94" s="331" t="s">
        <v>92</v>
      </c>
      <c r="Q94" s="331">
        <f t="shared" si="10"/>
        <v>1</v>
      </c>
      <c r="R94" s="310"/>
      <c r="S94" s="331"/>
      <c r="T94" s="311" t="s">
        <v>1626</v>
      </c>
    </row>
    <row r="95" spans="1:36" x14ac:dyDescent="0.3">
      <c r="A95" s="481" t="s">
        <v>618</v>
      </c>
      <c r="B95" s="75" t="s">
        <v>619</v>
      </c>
      <c r="C95" s="331" t="s">
        <v>620</v>
      </c>
      <c r="D95" s="331" t="s">
        <v>294</v>
      </c>
      <c r="E95" s="331" t="s">
        <v>637</v>
      </c>
      <c r="F95" s="310" t="s">
        <v>53</v>
      </c>
      <c r="G95" s="331" t="s">
        <v>613</v>
      </c>
      <c r="H95" s="414" t="s">
        <v>614</v>
      </c>
      <c r="I95" s="331" t="s">
        <v>620</v>
      </c>
      <c r="J95" s="331" t="s">
        <v>621</v>
      </c>
      <c r="K95" s="331" t="s">
        <v>38</v>
      </c>
      <c r="L95" s="331">
        <f t="shared" si="12"/>
        <v>4</v>
      </c>
      <c r="M95" s="410" t="str">
        <f t="shared" si="11"/>
        <v>Same broad habitat or a higher distinctiveness habitat required (≥)</v>
      </c>
      <c r="N95" s="331" t="s">
        <v>38</v>
      </c>
      <c r="O95" s="331">
        <f t="shared" si="9"/>
        <v>0.67</v>
      </c>
      <c r="P95" s="331" t="s">
        <v>38</v>
      </c>
      <c r="Q95" s="331">
        <f t="shared" si="10"/>
        <v>0.67</v>
      </c>
      <c r="R95" s="310"/>
      <c r="S95" s="331"/>
      <c r="T95" s="311" t="s">
        <v>1626</v>
      </c>
    </row>
    <row r="96" spans="1:36" x14ac:dyDescent="0.3">
      <c r="A96" s="481" t="s">
        <v>622</v>
      </c>
      <c r="B96" s="75" t="s">
        <v>623</v>
      </c>
      <c r="C96" s="331" t="s">
        <v>624</v>
      </c>
      <c r="D96" s="331" t="s">
        <v>294</v>
      </c>
      <c r="E96" s="331" t="s">
        <v>637</v>
      </c>
      <c r="F96" s="310" t="s">
        <v>53</v>
      </c>
      <c r="G96" s="331"/>
      <c r="H96" s="414" t="s">
        <v>606</v>
      </c>
      <c r="I96" s="331" t="s">
        <v>624</v>
      </c>
      <c r="J96" s="331" t="s">
        <v>622</v>
      </c>
      <c r="K96" s="331" t="s">
        <v>38</v>
      </c>
      <c r="L96" s="331">
        <f t="shared" si="12"/>
        <v>4</v>
      </c>
      <c r="M96" s="410" t="str">
        <f t="shared" si="11"/>
        <v>Same broad habitat or a higher distinctiveness habitat required (≥)</v>
      </c>
      <c r="N96" s="331" t="s">
        <v>92</v>
      </c>
      <c r="O96" s="331">
        <f t="shared" si="9"/>
        <v>1</v>
      </c>
      <c r="P96" s="331" t="s">
        <v>92</v>
      </c>
      <c r="Q96" s="331">
        <f t="shared" si="10"/>
        <v>1</v>
      </c>
      <c r="R96" s="310"/>
      <c r="S96" s="331"/>
      <c r="T96" s="311" t="s">
        <v>1626</v>
      </c>
    </row>
    <row r="97" spans="1:20" x14ac:dyDescent="0.3">
      <c r="A97" s="481" t="s">
        <v>625</v>
      </c>
      <c r="B97" s="75" t="s">
        <v>626</v>
      </c>
      <c r="C97" s="331" t="s">
        <v>627</v>
      </c>
      <c r="D97" s="331" t="s">
        <v>294</v>
      </c>
      <c r="E97" s="331" t="s">
        <v>637</v>
      </c>
      <c r="F97" s="310" t="s">
        <v>53</v>
      </c>
      <c r="G97" s="331" t="s">
        <v>638</v>
      </c>
      <c r="H97" s="414" t="s">
        <v>606</v>
      </c>
      <c r="I97" s="331" t="s">
        <v>627</v>
      </c>
      <c r="J97" s="331" t="s">
        <v>625</v>
      </c>
      <c r="K97" s="331" t="s">
        <v>38</v>
      </c>
      <c r="L97" s="331">
        <f t="shared" si="12"/>
        <v>4</v>
      </c>
      <c r="M97" s="410" t="str">
        <f t="shared" si="11"/>
        <v>Same broad habitat or a higher distinctiveness habitat required (≥)</v>
      </c>
      <c r="N97" s="331" t="s">
        <v>92</v>
      </c>
      <c r="O97" s="331">
        <f t="shared" ref="O97:O103" si="13">VLOOKUP(N97,Difficulty,2,FALSE)</f>
        <v>1</v>
      </c>
      <c r="P97" s="331" t="s">
        <v>92</v>
      </c>
      <c r="Q97" s="331">
        <f t="shared" ref="Q97:Q103" si="14">VLOOKUP(P97,Difficulty,2,FALSE)</f>
        <v>1</v>
      </c>
      <c r="R97" s="310"/>
      <c r="S97" s="331"/>
      <c r="T97" s="311" t="s">
        <v>1626</v>
      </c>
    </row>
    <row r="98" spans="1:20" x14ac:dyDescent="0.3">
      <c r="A98" s="481" t="s">
        <v>628</v>
      </c>
      <c r="B98" s="75" t="s">
        <v>629</v>
      </c>
      <c r="C98" s="331" t="s">
        <v>630</v>
      </c>
      <c r="D98" s="331" t="s">
        <v>294</v>
      </c>
      <c r="E98" s="331" t="s">
        <v>637</v>
      </c>
      <c r="F98" s="310" t="s">
        <v>53</v>
      </c>
      <c r="G98" s="331" t="s">
        <v>638</v>
      </c>
      <c r="H98" s="414" t="s">
        <v>606</v>
      </c>
      <c r="I98" s="331" t="s">
        <v>630</v>
      </c>
      <c r="J98" s="349" t="s">
        <v>628</v>
      </c>
      <c r="K98" s="331" t="s">
        <v>90</v>
      </c>
      <c r="L98" s="331">
        <f t="shared" si="12"/>
        <v>6</v>
      </c>
      <c r="M98" s="410" t="str">
        <f t="shared" si="11"/>
        <v>Same habitat required =</v>
      </c>
      <c r="N98" s="331" t="s">
        <v>38</v>
      </c>
      <c r="O98" s="331">
        <f t="shared" si="13"/>
        <v>0.67</v>
      </c>
      <c r="P98" s="331" t="s">
        <v>38</v>
      </c>
      <c r="Q98" s="331">
        <f t="shared" si="14"/>
        <v>0.67</v>
      </c>
      <c r="R98" s="310"/>
      <c r="S98" s="331"/>
      <c r="T98" s="311" t="s">
        <v>1626</v>
      </c>
    </row>
    <row r="99" spans="1:20" x14ac:dyDescent="0.3">
      <c r="A99" s="481" t="s">
        <v>631</v>
      </c>
      <c r="B99" s="75" t="s">
        <v>632</v>
      </c>
      <c r="C99" s="331" t="s">
        <v>633</v>
      </c>
      <c r="D99" s="331" t="s">
        <v>294</v>
      </c>
      <c r="E99" s="331" t="s">
        <v>637</v>
      </c>
      <c r="F99" s="310" t="s">
        <v>53</v>
      </c>
      <c r="G99" s="331" t="s">
        <v>638</v>
      </c>
      <c r="H99" s="414" t="s">
        <v>606</v>
      </c>
      <c r="I99" s="331" t="s">
        <v>633</v>
      </c>
      <c r="J99" s="349" t="s">
        <v>631</v>
      </c>
      <c r="K99" s="331" t="s">
        <v>90</v>
      </c>
      <c r="L99" s="331">
        <f t="shared" si="12"/>
        <v>6</v>
      </c>
      <c r="M99" s="410" t="str">
        <f t="shared" si="11"/>
        <v>Same habitat required =</v>
      </c>
      <c r="N99" s="331" t="s">
        <v>90</v>
      </c>
      <c r="O99" s="331">
        <f t="shared" si="13"/>
        <v>0.33</v>
      </c>
      <c r="P99" s="331" t="s">
        <v>90</v>
      </c>
      <c r="Q99" s="331">
        <f t="shared" si="14"/>
        <v>0.33</v>
      </c>
      <c r="R99" s="310"/>
      <c r="S99" s="331"/>
      <c r="T99" s="311" t="s">
        <v>1626</v>
      </c>
    </row>
    <row r="100" spans="1:20" x14ac:dyDescent="0.3">
      <c r="A100" s="481" t="s">
        <v>634</v>
      </c>
      <c r="B100" s="75" t="s">
        <v>635</v>
      </c>
      <c r="C100" s="331" t="s">
        <v>636</v>
      </c>
      <c r="D100" s="331" t="s">
        <v>294</v>
      </c>
      <c r="E100" s="331" t="s">
        <v>637</v>
      </c>
      <c r="F100" s="310" t="s">
        <v>53</v>
      </c>
      <c r="G100" s="331" t="s">
        <v>638</v>
      </c>
      <c r="H100" s="414" t="s">
        <v>606</v>
      </c>
      <c r="I100" s="331" t="s">
        <v>636</v>
      </c>
      <c r="J100" s="349" t="s">
        <v>634</v>
      </c>
      <c r="K100" s="331" t="s">
        <v>90</v>
      </c>
      <c r="L100" s="331">
        <f t="shared" si="12"/>
        <v>6</v>
      </c>
      <c r="M100" s="410" t="str">
        <f t="shared" si="11"/>
        <v>Same habitat required =</v>
      </c>
      <c r="N100" s="331" t="s">
        <v>90</v>
      </c>
      <c r="O100" s="331">
        <f t="shared" si="13"/>
        <v>0.33</v>
      </c>
      <c r="P100" s="331" t="s">
        <v>90</v>
      </c>
      <c r="Q100" s="331">
        <f t="shared" si="14"/>
        <v>0.33</v>
      </c>
      <c r="R100" s="310"/>
      <c r="S100" s="331"/>
      <c r="T100" s="311" t="s">
        <v>1626</v>
      </c>
    </row>
    <row r="101" spans="1:20" x14ac:dyDescent="0.3">
      <c r="A101" s="481" t="s">
        <v>639</v>
      </c>
      <c r="B101" s="75" t="s">
        <v>640</v>
      </c>
      <c r="C101" s="331" t="s">
        <v>641</v>
      </c>
      <c r="D101" s="331" t="s">
        <v>294</v>
      </c>
      <c r="E101" s="331" t="s">
        <v>637</v>
      </c>
      <c r="F101" s="310" t="s">
        <v>53</v>
      </c>
      <c r="G101" s="331" t="s">
        <v>638</v>
      </c>
      <c r="H101" s="414" t="s">
        <v>606</v>
      </c>
      <c r="I101" s="331" t="s">
        <v>641</v>
      </c>
      <c r="J101" s="349" t="s">
        <v>639</v>
      </c>
      <c r="K101" s="331" t="s">
        <v>90</v>
      </c>
      <c r="L101" s="331">
        <f t="shared" si="12"/>
        <v>6</v>
      </c>
      <c r="M101" s="410" t="str">
        <f t="shared" si="11"/>
        <v>Same habitat required =</v>
      </c>
      <c r="N101" s="331" t="s">
        <v>38</v>
      </c>
      <c r="O101" s="331">
        <f t="shared" si="13"/>
        <v>0.67</v>
      </c>
      <c r="P101" s="331" t="s">
        <v>38</v>
      </c>
      <c r="Q101" s="331">
        <f t="shared" si="14"/>
        <v>0.67</v>
      </c>
      <c r="R101" s="310"/>
      <c r="S101" s="331"/>
      <c r="T101" s="311" t="s">
        <v>1626</v>
      </c>
    </row>
    <row r="102" spans="1:20" x14ac:dyDescent="0.3">
      <c r="A102" s="481" t="s">
        <v>642</v>
      </c>
      <c r="B102" s="75" t="s">
        <v>643</v>
      </c>
      <c r="C102" s="331">
        <v>26</v>
      </c>
      <c r="D102" s="331" t="s">
        <v>294</v>
      </c>
      <c r="E102" s="331" t="s">
        <v>637</v>
      </c>
      <c r="F102" s="310" t="s">
        <v>1619</v>
      </c>
      <c r="G102" s="331"/>
      <c r="H102" s="414" t="s">
        <v>602</v>
      </c>
      <c r="I102" s="331"/>
      <c r="J102" s="331" t="s">
        <v>642</v>
      </c>
      <c r="K102" s="331" t="s">
        <v>297</v>
      </c>
      <c r="L102" s="331">
        <f t="shared" si="12"/>
        <v>8</v>
      </c>
      <c r="M102" s="410" t="str">
        <f t="shared" si="11"/>
        <v>Bespoke compensation likely to be required 🛠</v>
      </c>
      <c r="N102" s="331" t="s">
        <v>88</v>
      </c>
      <c r="O102" s="331">
        <f t="shared" si="13"/>
        <v>0.1</v>
      </c>
      <c r="P102" s="331" t="s">
        <v>90</v>
      </c>
      <c r="Q102" s="331">
        <f t="shared" si="14"/>
        <v>0.33</v>
      </c>
      <c r="R102" s="310"/>
      <c r="S102" s="331"/>
      <c r="T102" s="311" t="s">
        <v>1626</v>
      </c>
    </row>
    <row r="103" spans="1:20" ht="30.65" customHeight="1" thickBot="1" x14ac:dyDescent="0.35">
      <c r="A103" s="483" t="s">
        <v>1519</v>
      </c>
      <c r="B103" s="153" t="s">
        <v>601</v>
      </c>
      <c r="C103" s="311">
        <v>206</v>
      </c>
      <c r="D103" s="311" t="s">
        <v>294</v>
      </c>
      <c r="E103" s="331"/>
      <c r="F103" s="298" t="s">
        <v>1625</v>
      </c>
      <c r="G103" s="311"/>
      <c r="H103" s="416" t="s">
        <v>602</v>
      </c>
      <c r="I103" s="311"/>
      <c r="J103" s="311" t="s">
        <v>600</v>
      </c>
      <c r="K103" s="311" t="s">
        <v>90</v>
      </c>
      <c r="L103" s="311">
        <f>IF(K103=$V$3,$W$3,IF(K103=$V$3,$W$3,IF(K103=$V$4,$W$4,IF(K103=$V$5,$W$5,IF(K103=$V$6,$W$6,IF(K103=$V$7,$W$7))))))</f>
        <v>6</v>
      </c>
      <c r="M103" s="412" t="str">
        <f t="shared" si="11"/>
        <v>Same habitat required =</v>
      </c>
      <c r="N103" s="311" t="s">
        <v>90</v>
      </c>
      <c r="O103" s="311">
        <f t="shared" si="13"/>
        <v>0.33</v>
      </c>
      <c r="P103" s="311" t="s">
        <v>92</v>
      </c>
      <c r="Q103" s="311">
        <f t="shared" si="14"/>
        <v>1</v>
      </c>
      <c r="R103" s="298"/>
      <c r="S103" s="311"/>
      <c r="T103" s="311" t="s">
        <v>1626</v>
      </c>
    </row>
    <row r="104" spans="1:20" ht="14.5" thickBot="1" x14ac:dyDescent="0.35">
      <c r="A104" s="481" t="s">
        <v>57</v>
      </c>
      <c r="B104" s="154" t="s">
        <v>644</v>
      </c>
      <c r="C104" s="355" t="s">
        <v>645</v>
      </c>
      <c r="D104" s="355" t="s">
        <v>646</v>
      </c>
      <c r="E104" s="785" t="s">
        <v>647</v>
      </c>
      <c r="F104" s="355" t="s">
        <v>57</v>
      </c>
      <c r="G104" s="355"/>
      <c r="H104" s="413" t="s">
        <v>57</v>
      </c>
      <c r="I104" s="355"/>
      <c r="J104" s="355"/>
      <c r="K104" s="355" t="s">
        <v>90</v>
      </c>
      <c r="L104" s="355">
        <f>IF(K104=$V$3,$W$3,IF(K104=$V$3,$W$3,IF(K104=$V$4,$W$4,IF(K104=$V$5,$W$5,IF(K104=$V$6,$W$6,IF(K104=$V$7,$W$7))))))</f>
        <v>6</v>
      </c>
      <c r="M104" s="413" t="str">
        <f t="shared" si="11"/>
        <v>Same habitat required =</v>
      </c>
      <c r="N104" s="355" t="s">
        <v>38</v>
      </c>
      <c r="O104" s="355">
        <f>VLOOKUP(N104,Difficulty,2,FALSE)</f>
        <v>0.67</v>
      </c>
      <c r="P104" s="355" t="s">
        <v>38</v>
      </c>
      <c r="Q104" s="355">
        <f>VLOOKUP(P104,Difficulty,2,FALSE)</f>
        <v>0.67</v>
      </c>
      <c r="R104" s="356"/>
      <c r="S104" s="355"/>
      <c r="T104" s="331" t="s">
        <v>32</v>
      </c>
    </row>
    <row r="105" spans="1:20" x14ac:dyDescent="0.3">
      <c r="A105" s="481" t="s">
        <v>648</v>
      </c>
      <c r="B105" s="153" t="s">
        <v>649</v>
      </c>
      <c r="C105" s="311" t="s">
        <v>650</v>
      </c>
      <c r="D105" s="311" t="s">
        <v>646</v>
      </c>
      <c r="E105" s="311" t="s">
        <v>651</v>
      </c>
      <c r="F105" s="311" t="s">
        <v>805</v>
      </c>
      <c r="G105" s="311"/>
      <c r="H105" s="412" t="s">
        <v>648</v>
      </c>
      <c r="I105" s="311"/>
      <c r="J105" s="311"/>
      <c r="K105" s="311" t="s">
        <v>90</v>
      </c>
      <c r="L105" s="311">
        <f t="shared" ref="L105:L129" si="15">IF(K105=$V$3,$W$3,IF(K105=$V$3,$W$3,IF(K105=$V$4,$W$4,IF(K105=$V$5,$W$5,IF(K105=$V$6,$W$6,IF(K105=$V$7,$W$7))))))</f>
        <v>6</v>
      </c>
      <c r="M105" s="412" t="str">
        <f t="shared" si="11"/>
        <v>Same habitat required =</v>
      </c>
      <c r="N105" s="311" t="s">
        <v>90</v>
      </c>
      <c r="O105" s="311">
        <f t="shared" ref="O105:O129" si="16">VLOOKUP(N105,Difficulty,2,FALSE)</f>
        <v>0.33</v>
      </c>
      <c r="P105" s="311" t="s">
        <v>38</v>
      </c>
      <c r="Q105" s="311">
        <f t="shared" ref="Q105:Q129" si="17">VLOOKUP(P105,Difficulty,2,FALSE)</f>
        <v>0.67</v>
      </c>
      <c r="R105" s="298"/>
      <c r="S105" s="311"/>
      <c r="T105" s="331" t="s">
        <v>32</v>
      </c>
    </row>
    <row r="106" spans="1:20" ht="28" x14ac:dyDescent="0.3">
      <c r="A106" s="481" t="s">
        <v>652</v>
      </c>
      <c r="B106" s="75" t="s">
        <v>653</v>
      </c>
      <c r="C106" s="311" t="s">
        <v>654</v>
      </c>
      <c r="D106" s="331" t="s">
        <v>646</v>
      </c>
      <c r="E106" s="331" t="s">
        <v>651</v>
      </c>
      <c r="F106" s="331" t="s">
        <v>805</v>
      </c>
      <c r="G106" s="331"/>
      <c r="H106" s="410" t="s">
        <v>655</v>
      </c>
      <c r="I106" s="331"/>
      <c r="J106" s="331"/>
      <c r="K106" s="331" t="s">
        <v>297</v>
      </c>
      <c r="L106" s="331">
        <f t="shared" si="15"/>
        <v>8</v>
      </c>
      <c r="M106" s="410" t="str">
        <f t="shared" si="11"/>
        <v>Bespoke compensation likely to be required 🛠</v>
      </c>
      <c r="N106" s="331" t="s">
        <v>88</v>
      </c>
      <c r="O106" s="331">
        <f t="shared" si="16"/>
        <v>0.1</v>
      </c>
      <c r="P106" s="331" t="s">
        <v>38</v>
      </c>
      <c r="Q106" s="331">
        <f t="shared" si="17"/>
        <v>0.67</v>
      </c>
      <c r="R106" s="310"/>
      <c r="S106" s="331"/>
      <c r="T106" s="331" t="s">
        <v>32</v>
      </c>
    </row>
    <row r="107" spans="1:20" x14ac:dyDescent="0.3">
      <c r="A107" s="481" t="s">
        <v>656</v>
      </c>
      <c r="B107" s="75" t="s">
        <v>657</v>
      </c>
      <c r="C107" s="331" t="s">
        <v>658</v>
      </c>
      <c r="D107" s="331" t="s">
        <v>646</v>
      </c>
      <c r="E107" s="331" t="s">
        <v>651</v>
      </c>
      <c r="F107" s="331" t="s">
        <v>805</v>
      </c>
      <c r="G107" s="331"/>
      <c r="H107" s="410" t="s">
        <v>656</v>
      </c>
      <c r="I107" s="331"/>
      <c r="J107" s="331"/>
      <c r="K107" s="331" t="s">
        <v>90</v>
      </c>
      <c r="L107" s="331">
        <f t="shared" si="15"/>
        <v>6</v>
      </c>
      <c r="M107" s="410" t="str">
        <f t="shared" si="11"/>
        <v>Same habitat required =</v>
      </c>
      <c r="N107" s="331" t="s">
        <v>90</v>
      </c>
      <c r="O107" s="331">
        <f t="shared" si="16"/>
        <v>0.33</v>
      </c>
      <c r="P107" s="331" t="s">
        <v>38</v>
      </c>
      <c r="Q107" s="331">
        <f t="shared" si="17"/>
        <v>0.67</v>
      </c>
      <c r="R107" s="310"/>
      <c r="S107" s="331"/>
      <c r="T107" s="331" t="s">
        <v>32</v>
      </c>
    </row>
    <row r="108" spans="1:20" ht="28" x14ac:dyDescent="0.3">
      <c r="A108" s="481" t="s">
        <v>659</v>
      </c>
      <c r="B108" s="75" t="s">
        <v>660</v>
      </c>
      <c r="C108" s="331" t="s">
        <v>661</v>
      </c>
      <c r="D108" s="331" t="s">
        <v>646</v>
      </c>
      <c r="E108" s="331" t="s">
        <v>651</v>
      </c>
      <c r="F108" s="331" t="s">
        <v>805</v>
      </c>
      <c r="G108" s="331"/>
      <c r="H108" s="410" t="s">
        <v>662</v>
      </c>
      <c r="I108" s="331"/>
      <c r="J108" s="331"/>
      <c r="K108" s="331" t="s">
        <v>297</v>
      </c>
      <c r="L108" s="331">
        <f t="shared" si="15"/>
        <v>8</v>
      </c>
      <c r="M108" s="410" t="str">
        <f t="shared" si="11"/>
        <v>Bespoke compensation likely to be required 🛠</v>
      </c>
      <c r="N108" s="331" t="s">
        <v>88</v>
      </c>
      <c r="O108" s="331">
        <f t="shared" si="16"/>
        <v>0.1</v>
      </c>
      <c r="P108" s="331" t="s">
        <v>38</v>
      </c>
      <c r="Q108" s="331">
        <f t="shared" si="17"/>
        <v>0.67</v>
      </c>
      <c r="R108" s="310"/>
      <c r="S108" s="331"/>
      <c r="T108" s="331" t="s">
        <v>32</v>
      </c>
    </row>
    <row r="109" spans="1:20" x14ac:dyDescent="0.3">
      <c r="A109" s="481" t="s">
        <v>663</v>
      </c>
      <c r="B109" s="75" t="s">
        <v>664</v>
      </c>
      <c r="C109" s="331" t="s">
        <v>665</v>
      </c>
      <c r="D109" s="331" t="s">
        <v>646</v>
      </c>
      <c r="E109" s="331" t="s">
        <v>651</v>
      </c>
      <c r="F109" s="331" t="s">
        <v>805</v>
      </c>
      <c r="G109" s="331"/>
      <c r="H109" s="410" t="s">
        <v>663</v>
      </c>
      <c r="I109" s="331"/>
      <c r="J109" s="331"/>
      <c r="K109" s="331" t="s">
        <v>90</v>
      </c>
      <c r="L109" s="331">
        <f t="shared" si="15"/>
        <v>6</v>
      </c>
      <c r="M109" s="410" t="str">
        <f t="shared" si="11"/>
        <v>Same habitat required =</v>
      </c>
      <c r="N109" s="331" t="s">
        <v>90</v>
      </c>
      <c r="O109" s="331">
        <f t="shared" si="16"/>
        <v>0.33</v>
      </c>
      <c r="P109" s="331" t="s">
        <v>38</v>
      </c>
      <c r="Q109" s="331">
        <f t="shared" si="17"/>
        <v>0.67</v>
      </c>
      <c r="R109" s="310"/>
      <c r="S109" s="331"/>
      <c r="T109" s="331" t="s">
        <v>32</v>
      </c>
    </row>
    <row r="110" spans="1:20" ht="28" x14ac:dyDescent="0.3">
      <c r="A110" s="481" t="s">
        <v>666</v>
      </c>
      <c r="B110" s="75" t="s">
        <v>667</v>
      </c>
      <c r="C110" s="331" t="s">
        <v>668</v>
      </c>
      <c r="D110" s="331" t="s">
        <v>646</v>
      </c>
      <c r="E110" s="331" t="s">
        <v>651</v>
      </c>
      <c r="F110" s="331" t="s">
        <v>805</v>
      </c>
      <c r="G110" s="331"/>
      <c r="H110" s="410" t="s">
        <v>669</v>
      </c>
      <c r="I110" s="331"/>
      <c r="J110" s="331"/>
      <c r="K110" s="331" t="s">
        <v>297</v>
      </c>
      <c r="L110" s="331">
        <f t="shared" si="15"/>
        <v>8</v>
      </c>
      <c r="M110" s="410" t="str">
        <f t="shared" si="11"/>
        <v>Bespoke compensation likely to be required 🛠</v>
      </c>
      <c r="N110" s="331" t="s">
        <v>88</v>
      </c>
      <c r="O110" s="331">
        <f t="shared" si="16"/>
        <v>0.1</v>
      </c>
      <c r="P110" s="331" t="s">
        <v>38</v>
      </c>
      <c r="Q110" s="331">
        <f t="shared" si="17"/>
        <v>0.67</v>
      </c>
      <c r="R110" s="310"/>
      <c r="S110" s="331"/>
      <c r="T110" s="331" t="s">
        <v>32</v>
      </c>
    </row>
    <row r="111" spans="1:20" x14ac:dyDescent="0.3">
      <c r="A111" s="481" t="s">
        <v>670</v>
      </c>
      <c r="B111" s="75" t="s">
        <v>671</v>
      </c>
      <c r="C111" s="331" t="s">
        <v>672</v>
      </c>
      <c r="D111" s="331" t="s">
        <v>646</v>
      </c>
      <c r="E111" s="331" t="s">
        <v>651</v>
      </c>
      <c r="F111" s="331" t="s">
        <v>805</v>
      </c>
      <c r="G111" s="331"/>
      <c r="H111" s="410" t="s">
        <v>670</v>
      </c>
      <c r="I111" s="331"/>
      <c r="J111" s="331"/>
      <c r="K111" s="331" t="s">
        <v>90</v>
      </c>
      <c r="L111" s="331">
        <f t="shared" si="15"/>
        <v>6</v>
      </c>
      <c r="M111" s="410" t="str">
        <f t="shared" si="11"/>
        <v>Same habitat required =</v>
      </c>
      <c r="N111" s="331" t="s">
        <v>90</v>
      </c>
      <c r="O111" s="331">
        <f t="shared" si="16"/>
        <v>0.33</v>
      </c>
      <c r="P111" s="331" t="s">
        <v>38</v>
      </c>
      <c r="Q111" s="331">
        <f t="shared" si="17"/>
        <v>0.67</v>
      </c>
      <c r="R111" s="310"/>
      <c r="S111" s="331"/>
      <c r="T111" s="331" t="s">
        <v>32</v>
      </c>
    </row>
    <row r="112" spans="1:20" ht="28.5" thickBot="1" x14ac:dyDescent="0.35">
      <c r="A112" s="481" t="s">
        <v>673</v>
      </c>
      <c r="B112" s="152" t="s">
        <v>674</v>
      </c>
      <c r="C112" s="315" t="s">
        <v>675</v>
      </c>
      <c r="D112" s="315" t="s">
        <v>646</v>
      </c>
      <c r="E112" s="315" t="s">
        <v>651</v>
      </c>
      <c r="F112" s="315" t="s">
        <v>805</v>
      </c>
      <c r="G112" s="315"/>
      <c r="H112" s="411" t="s">
        <v>676</v>
      </c>
      <c r="I112" s="315"/>
      <c r="J112" s="315"/>
      <c r="K112" s="315" t="s">
        <v>297</v>
      </c>
      <c r="L112" s="315">
        <f t="shared" si="15"/>
        <v>8</v>
      </c>
      <c r="M112" s="411" t="str">
        <f t="shared" si="11"/>
        <v>Bespoke compensation likely to be required 🛠</v>
      </c>
      <c r="N112" s="315" t="s">
        <v>88</v>
      </c>
      <c r="O112" s="315">
        <f t="shared" si="16"/>
        <v>0.1</v>
      </c>
      <c r="P112" s="315" t="s">
        <v>38</v>
      </c>
      <c r="Q112" s="315">
        <f t="shared" si="17"/>
        <v>0.67</v>
      </c>
      <c r="R112" s="299"/>
      <c r="S112" s="315"/>
      <c r="T112" s="331" t="s">
        <v>32</v>
      </c>
    </row>
    <row r="113" spans="1:20" ht="28" x14ac:dyDescent="0.3">
      <c r="A113" s="481" t="s">
        <v>677</v>
      </c>
      <c r="B113" s="153" t="s">
        <v>678</v>
      </c>
      <c r="C113" s="311" t="s">
        <v>679</v>
      </c>
      <c r="D113" s="311" t="s">
        <v>646</v>
      </c>
      <c r="E113" s="311" t="s">
        <v>680</v>
      </c>
      <c r="F113" s="311" t="s">
        <v>808</v>
      </c>
      <c r="G113" s="311"/>
      <c r="H113" s="412" t="s">
        <v>681</v>
      </c>
      <c r="I113" s="311"/>
      <c r="J113" s="311"/>
      <c r="K113" s="311" t="s">
        <v>90</v>
      </c>
      <c r="L113" s="311">
        <f>IF(K113=$V$3,$W$3,IF(K113=$V$3,$W$3,IF(K113=$V$4,$W$4,IF(K113=$V$5,$W$5,IF(K113=$V$6,$W$6,IF(K113=$V$7,$W$7))))))</f>
        <v>6</v>
      </c>
      <c r="M113" s="412" t="str">
        <f>IF($K113=$V$3,$X$3,IF($K113=$V$4,$X$4,IF($K113=$V$5,$X$5,IF($K113=$V$6,$X$6,IF($K113=$V$7,$X$7)))))</f>
        <v>Same habitat required =</v>
      </c>
      <c r="N113" s="311" t="s">
        <v>90</v>
      </c>
      <c r="O113" s="311">
        <f>VLOOKUP(N113,Difficulty,2,FALSE)</f>
        <v>0.33</v>
      </c>
      <c r="P113" s="311" t="s">
        <v>38</v>
      </c>
      <c r="Q113" s="311">
        <f>VLOOKUP(P113,Difficulty,2,FALSE)</f>
        <v>0.67</v>
      </c>
      <c r="R113" s="298"/>
      <c r="S113" s="311"/>
      <c r="T113" s="331" t="s">
        <v>1626</v>
      </c>
    </row>
    <row r="114" spans="1:20" ht="28.5" thickBot="1" x14ac:dyDescent="0.35">
      <c r="A114" s="481" t="s">
        <v>682</v>
      </c>
      <c r="B114" s="152" t="s">
        <v>683</v>
      </c>
      <c r="C114" s="315" t="s">
        <v>684</v>
      </c>
      <c r="D114" s="315"/>
      <c r="E114" s="315"/>
      <c r="F114" s="315" t="s">
        <v>808</v>
      </c>
      <c r="G114" s="315"/>
      <c r="H114" s="411" t="s">
        <v>682</v>
      </c>
      <c r="I114" s="315"/>
      <c r="J114" s="315"/>
      <c r="K114" s="315" t="s">
        <v>92</v>
      </c>
      <c r="L114" s="315">
        <f>IF(K114=$V$3,$W$3,IF(K114=$V$3,$W$3,IF(K114=$V$4,$W$4,IF(K114=$V$5,$W$5,IF(K114=$V$6,$W$6,IF(K114=$V$7,$W$7))))))</f>
        <v>2</v>
      </c>
      <c r="M114" s="411" t="str">
        <f>IF($K114=$V$3,$X$3,IF($K114=$V$4,$X$4,IF($K114=$V$5,$X$5,IF($K114=$V$6,$X$6,IF($K114=$V$7,$X$7)))))</f>
        <v>Same distinctiveness or better habitat required ≥</v>
      </c>
      <c r="N114" s="315" t="s">
        <v>90</v>
      </c>
      <c r="O114" s="315">
        <f>VLOOKUP(N114,Difficulty,2,FALSE)</f>
        <v>0.33</v>
      </c>
      <c r="P114" s="315" t="s">
        <v>38</v>
      </c>
      <c r="Q114" s="315">
        <f>VLOOKUP(P114,Difficulty,2,FALSE)</f>
        <v>0.67</v>
      </c>
      <c r="R114" s="299"/>
      <c r="S114" s="315"/>
      <c r="T114" s="331" t="s">
        <v>1626</v>
      </c>
    </row>
    <row r="115" spans="1:20" x14ac:dyDescent="0.3">
      <c r="A115" s="481" t="s">
        <v>685</v>
      </c>
      <c r="B115" s="153" t="s">
        <v>686</v>
      </c>
      <c r="C115" s="311" t="s">
        <v>687</v>
      </c>
      <c r="D115" s="311" t="s">
        <v>646</v>
      </c>
      <c r="E115" s="311" t="s">
        <v>680</v>
      </c>
      <c r="F115" s="311" t="s">
        <v>54</v>
      </c>
      <c r="G115" s="311"/>
      <c r="H115" s="412" t="s">
        <v>685</v>
      </c>
      <c r="I115" s="311"/>
      <c r="J115" s="311"/>
      <c r="K115" s="311" t="s">
        <v>38</v>
      </c>
      <c r="L115" s="311">
        <f t="shared" si="15"/>
        <v>4</v>
      </c>
      <c r="M115" s="412" t="str">
        <f t="shared" si="11"/>
        <v>Same broad habitat or a higher distinctiveness habitat required (≥)</v>
      </c>
      <c r="N115" s="311" t="s">
        <v>38</v>
      </c>
      <c r="O115" s="311">
        <f t="shared" si="16"/>
        <v>0.67</v>
      </c>
      <c r="P115" s="311" t="s">
        <v>38</v>
      </c>
      <c r="Q115" s="311">
        <f t="shared" si="17"/>
        <v>0.67</v>
      </c>
      <c r="R115" s="298"/>
      <c r="S115" s="311"/>
      <c r="T115" s="331" t="s">
        <v>32</v>
      </c>
    </row>
    <row r="116" spans="1:20" x14ac:dyDescent="0.3">
      <c r="A116" s="481" t="s">
        <v>688</v>
      </c>
      <c r="B116" s="75" t="s">
        <v>689</v>
      </c>
      <c r="C116" s="331" t="s">
        <v>690</v>
      </c>
      <c r="D116" s="331" t="s">
        <v>646</v>
      </c>
      <c r="E116" s="331" t="s">
        <v>680</v>
      </c>
      <c r="F116" s="331" t="s">
        <v>54</v>
      </c>
      <c r="G116" s="331"/>
      <c r="H116" s="410" t="s">
        <v>688</v>
      </c>
      <c r="I116" s="331"/>
      <c r="J116" s="331"/>
      <c r="K116" s="331" t="s">
        <v>90</v>
      </c>
      <c r="L116" s="331">
        <f t="shared" si="15"/>
        <v>6</v>
      </c>
      <c r="M116" s="410" t="str">
        <f t="shared" si="11"/>
        <v>Same habitat required =</v>
      </c>
      <c r="N116" s="331" t="s">
        <v>90</v>
      </c>
      <c r="O116" s="331">
        <f t="shared" si="16"/>
        <v>0.33</v>
      </c>
      <c r="P116" s="331" t="s">
        <v>38</v>
      </c>
      <c r="Q116" s="331">
        <f t="shared" si="17"/>
        <v>0.67</v>
      </c>
      <c r="R116" s="310"/>
      <c r="S116" s="331"/>
      <c r="T116" s="331" t="s">
        <v>32</v>
      </c>
    </row>
    <row r="117" spans="1:20" x14ac:dyDescent="0.3">
      <c r="A117" s="481" t="s">
        <v>691</v>
      </c>
      <c r="B117" s="75" t="s">
        <v>692</v>
      </c>
      <c r="C117" s="331" t="s">
        <v>693</v>
      </c>
      <c r="D117" s="331" t="s">
        <v>646</v>
      </c>
      <c r="E117" s="331" t="s">
        <v>680</v>
      </c>
      <c r="F117" s="331" t="s">
        <v>54</v>
      </c>
      <c r="G117" s="331"/>
      <c r="H117" s="410" t="s">
        <v>691</v>
      </c>
      <c r="I117" s="331"/>
      <c r="J117" s="331"/>
      <c r="K117" s="331" t="s">
        <v>90</v>
      </c>
      <c r="L117" s="331">
        <f t="shared" si="15"/>
        <v>6</v>
      </c>
      <c r="M117" s="410" t="str">
        <f t="shared" si="11"/>
        <v>Same habitat required =</v>
      </c>
      <c r="N117" s="331" t="s">
        <v>90</v>
      </c>
      <c r="O117" s="331">
        <f t="shared" si="16"/>
        <v>0.33</v>
      </c>
      <c r="P117" s="331" t="s">
        <v>38</v>
      </c>
      <c r="Q117" s="331">
        <f t="shared" si="17"/>
        <v>0.67</v>
      </c>
      <c r="R117" s="310"/>
      <c r="S117" s="331"/>
      <c r="T117" s="331" t="s">
        <v>32</v>
      </c>
    </row>
    <row r="118" spans="1:20" x14ac:dyDescent="0.3">
      <c r="A118" s="481" t="s">
        <v>694</v>
      </c>
      <c r="B118" s="75" t="s">
        <v>103</v>
      </c>
      <c r="C118" s="331" t="s">
        <v>695</v>
      </c>
      <c r="D118" s="331" t="s">
        <v>646</v>
      </c>
      <c r="E118" s="331" t="s">
        <v>680</v>
      </c>
      <c r="F118" s="331" t="s">
        <v>54</v>
      </c>
      <c r="G118" s="331"/>
      <c r="H118" s="410" t="s">
        <v>696</v>
      </c>
      <c r="I118" s="331"/>
      <c r="J118" s="331"/>
      <c r="K118" s="331" t="s">
        <v>90</v>
      </c>
      <c r="L118" s="331">
        <f t="shared" si="15"/>
        <v>6</v>
      </c>
      <c r="M118" s="410" t="str">
        <f t="shared" si="11"/>
        <v>Same habitat required =</v>
      </c>
      <c r="N118" s="331" t="s">
        <v>90</v>
      </c>
      <c r="O118" s="331">
        <f t="shared" si="16"/>
        <v>0.33</v>
      </c>
      <c r="P118" s="331" t="s">
        <v>90</v>
      </c>
      <c r="Q118" s="331">
        <f t="shared" si="17"/>
        <v>0.33</v>
      </c>
      <c r="R118" s="310"/>
      <c r="S118" s="331"/>
      <c r="T118" s="331" t="s">
        <v>32</v>
      </c>
    </row>
    <row r="119" spans="1:20" ht="28" x14ac:dyDescent="0.3">
      <c r="A119" s="481" t="s">
        <v>697</v>
      </c>
      <c r="B119" s="75" t="s">
        <v>698</v>
      </c>
      <c r="C119" s="331" t="s">
        <v>699</v>
      </c>
      <c r="D119" s="331" t="s">
        <v>646</v>
      </c>
      <c r="E119" s="331" t="s">
        <v>680</v>
      </c>
      <c r="F119" s="331" t="s">
        <v>54</v>
      </c>
      <c r="G119" s="331"/>
      <c r="H119" s="410" t="s">
        <v>700</v>
      </c>
      <c r="I119" s="331"/>
      <c r="J119" s="331"/>
      <c r="K119" s="331" t="s">
        <v>297</v>
      </c>
      <c r="L119" s="331">
        <f t="shared" si="15"/>
        <v>8</v>
      </c>
      <c r="M119" s="410" t="str">
        <f t="shared" si="11"/>
        <v>Bespoke compensation likely to be required 🛠</v>
      </c>
      <c r="N119" s="331" t="s">
        <v>88</v>
      </c>
      <c r="O119" s="331">
        <f t="shared" si="16"/>
        <v>0.1</v>
      </c>
      <c r="P119" s="331" t="s">
        <v>90</v>
      </c>
      <c r="Q119" s="331">
        <f t="shared" si="17"/>
        <v>0.33</v>
      </c>
      <c r="R119" s="310"/>
      <c r="S119" s="331"/>
      <c r="T119" s="331" t="s">
        <v>32</v>
      </c>
    </row>
    <row r="120" spans="1:20" x14ac:dyDescent="0.3">
      <c r="A120" s="481" t="s">
        <v>701</v>
      </c>
      <c r="B120" s="75" t="s">
        <v>702</v>
      </c>
      <c r="C120" s="331" t="s">
        <v>703</v>
      </c>
      <c r="D120" s="331"/>
      <c r="E120" s="331"/>
      <c r="F120" s="331" t="s">
        <v>54</v>
      </c>
      <c r="G120" s="331"/>
      <c r="H120" s="410" t="s">
        <v>704</v>
      </c>
      <c r="I120" s="331"/>
      <c r="J120" s="331"/>
      <c r="K120" s="331" t="s">
        <v>90</v>
      </c>
      <c r="L120" s="331">
        <f t="shared" si="15"/>
        <v>6</v>
      </c>
      <c r="M120" s="410" t="str">
        <f t="shared" si="11"/>
        <v>Same habitat required =</v>
      </c>
      <c r="N120" s="331" t="s">
        <v>90</v>
      </c>
      <c r="O120" s="331">
        <f t="shared" si="16"/>
        <v>0.33</v>
      </c>
      <c r="P120" s="331" t="s">
        <v>38</v>
      </c>
      <c r="Q120" s="331">
        <f t="shared" si="17"/>
        <v>0.67</v>
      </c>
      <c r="R120" s="310"/>
      <c r="S120" s="331"/>
      <c r="T120" s="331" t="s">
        <v>32</v>
      </c>
    </row>
    <row r="121" spans="1:20" ht="28" x14ac:dyDescent="0.3">
      <c r="A121" s="481" t="s">
        <v>705</v>
      </c>
      <c r="B121" s="75" t="s">
        <v>706</v>
      </c>
      <c r="C121" s="331" t="s">
        <v>707</v>
      </c>
      <c r="D121" s="331" t="s">
        <v>646</v>
      </c>
      <c r="E121" s="331" t="s">
        <v>680</v>
      </c>
      <c r="F121" s="331" t="s">
        <v>54</v>
      </c>
      <c r="G121" s="331"/>
      <c r="H121" s="410" t="s">
        <v>705</v>
      </c>
      <c r="I121" s="331"/>
      <c r="J121" s="331"/>
      <c r="K121" s="331" t="s">
        <v>90</v>
      </c>
      <c r="L121" s="331">
        <f t="shared" si="15"/>
        <v>6</v>
      </c>
      <c r="M121" s="410" t="str">
        <f t="shared" si="11"/>
        <v>Same habitat required =</v>
      </c>
      <c r="N121" s="331" t="s">
        <v>90</v>
      </c>
      <c r="O121" s="331">
        <f t="shared" si="16"/>
        <v>0.33</v>
      </c>
      <c r="P121" s="331" t="s">
        <v>38</v>
      </c>
      <c r="Q121" s="331">
        <f t="shared" si="17"/>
        <v>0.67</v>
      </c>
      <c r="R121" s="310"/>
      <c r="S121" s="331"/>
      <c r="T121" s="331" t="s">
        <v>32</v>
      </c>
    </row>
    <row r="122" spans="1:20" x14ac:dyDescent="0.3">
      <c r="A122" s="481" t="s">
        <v>708</v>
      </c>
      <c r="B122" s="75" t="s">
        <v>709</v>
      </c>
      <c r="C122" s="331" t="s">
        <v>710</v>
      </c>
      <c r="D122" s="331" t="s">
        <v>646</v>
      </c>
      <c r="E122" s="331" t="s">
        <v>680</v>
      </c>
      <c r="F122" s="331" t="s">
        <v>54</v>
      </c>
      <c r="G122" s="331"/>
      <c r="H122" s="410" t="s">
        <v>708</v>
      </c>
      <c r="I122" s="331"/>
      <c r="J122" s="331"/>
      <c r="K122" s="331" t="s">
        <v>90</v>
      </c>
      <c r="L122" s="331">
        <f t="shared" si="15"/>
        <v>6</v>
      </c>
      <c r="M122" s="410" t="str">
        <f t="shared" si="11"/>
        <v>Same habitat required =</v>
      </c>
      <c r="N122" s="331" t="s">
        <v>90</v>
      </c>
      <c r="O122" s="331">
        <f t="shared" si="16"/>
        <v>0.33</v>
      </c>
      <c r="P122" s="331" t="s">
        <v>38</v>
      </c>
      <c r="Q122" s="331">
        <f t="shared" si="17"/>
        <v>0.67</v>
      </c>
      <c r="R122" s="310"/>
      <c r="S122" s="331"/>
      <c r="T122" s="331" t="s">
        <v>32</v>
      </c>
    </row>
    <row r="123" spans="1:20" x14ac:dyDescent="0.3">
      <c r="A123" s="481" t="s">
        <v>711</v>
      </c>
      <c r="B123" s="75" t="s">
        <v>712</v>
      </c>
      <c r="C123" s="331" t="s">
        <v>713</v>
      </c>
      <c r="D123" s="331" t="s">
        <v>646</v>
      </c>
      <c r="E123" s="331" t="s">
        <v>680</v>
      </c>
      <c r="F123" s="331" t="s">
        <v>54</v>
      </c>
      <c r="G123" s="331"/>
      <c r="H123" s="410" t="s">
        <v>711</v>
      </c>
      <c r="I123" s="331"/>
      <c r="J123" s="331"/>
      <c r="K123" s="331" t="s">
        <v>92</v>
      </c>
      <c r="L123" s="331">
        <f t="shared" si="15"/>
        <v>2</v>
      </c>
      <c r="M123" s="410" t="str">
        <f t="shared" si="11"/>
        <v>Same distinctiveness or better habitat required ≥</v>
      </c>
      <c r="N123" s="331" t="s">
        <v>38</v>
      </c>
      <c r="O123" s="331">
        <f t="shared" si="16"/>
        <v>0.67</v>
      </c>
      <c r="P123" s="331" t="s">
        <v>38</v>
      </c>
      <c r="Q123" s="331">
        <f t="shared" si="17"/>
        <v>0.67</v>
      </c>
      <c r="R123" s="310"/>
      <c r="S123" s="331"/>
      <c r="T123" s="331" t="s">
        <v>32</v>
      </c>
    </row>
    <row r="124" spans="1:20" x14ac:dyDescent="0.3">
      <c r="A124" s="481" t="s">
        <v>714</v>
      </c>
      <c r="B124" s="75" t="s">
        <v>715</v>
      </c>
      <c r="C124" s="331" t="s">
        <v>716</v>
      </c>
      <c r="D124" s="331"/>
      <c r="E124" s="331"/>
      <c r="F124" s="331" t="s">
        <v>54</v>
      </c>
      <c r="G124" s="331"/>
      <c r="H124" s="410" t="s">
        <v>714</v>
      </c>
      <c r="I124" s="331"/>
      <c r="J124" s="331"/>
      <c r="K124" s="331" t="s">
        <v>92</v>
      </c>
      <c r="L124" s="331">
        <f t="shared" si="15"/>
        <v>2</v>
      </c>
      <c r="M124" s="410" t="str">
        <f t="shared" si="11"/>
        <v>Same distinctiveness or better habitat required ≥</v>
      </c>
      <c r="N124" s="331" t="s">
        <v>90</v>
      </c>
      <c r="O124" s="331">
        <f t="shared" si="16"/>
        <v>0.33</v>
      </c>
      <c r="P124" s="331" t="s">
        <v>38</v>
      </c>
      <c r="Q124" s="331">
        <f t="shared" si="17"/>
        <v>0.67</v>
      </c>
      <c r="R124" s="310"/>
      <c r="S124" s="331"/>
      <c r="T124" s="331" t="s">
        <v>32</v>
      </c>
    </row>
    <row r="125" spans="1:20" x14ac:dyDescent="0.3">
      <c r="A125" s="481" t="s">
        <v>717</v>
      </c>
      <c r="B125" s="75" t="s">
        <v>718</v>
      </c>
      <c r="C125" s="331" t="s">
        <v>719</v>
      </c>
      <c r="D125" s="331"/>
      <c r="E125" s="331"/>
      <c r="F125" s="331" t="s">
        <v>54</v>
      </c>
      <c r="G125" s="331"/>
      <c r="H125" s="410" t="s">
        <v>717</v>
      </c>
      <c r="I125" s="331"/>
      <c r="J125" s="331"/>
      <c r="K125" s="331" t="s">
        <v>92</v>
      </c>
      <c r="L125" s="331">
        <f t="shared" si="15"/>
        <v>2</v>
      </c>
      <c r="M125" s="410" t="str">
        <f t="shared" si="11"/>
        <v>Same distinctiveness or better habitat required ≥</v>
      </c>
      <c r="N125" s="331" t="s">
        <v>38</v>
      </c>
      <c r="O125" s="331">
        <f t="shared" si="16"/>
        <v>0.67</v>
      </c>
      <c r="P125" s="331" t="s">
        <v>38</v>
      </c>
      <c r="Q125" s="331">
        <f t="shared" si="17"/>
        <v>0.67</v>
      </c>
      <c r="R125" s="310"/>
      <c r="S125" s="331"/>
      <c r="T125" s="331" t="s">
        <v>32</v>
      </c>
    </row>
    <row r="126" spans="1:20" x14ac:dyDescent="0.3">
      <c r="A126" s="481" t="s">
        <v>720</v>
      </c>
      <c r="B126" s="75" t="s">
        <v>721</v>
      </c>
      <c r="C126" s="331" t="s">
        <v>722</v>
      </c>
      <c r="D126" s="331" t="s">
        <v>646</v>
      </c>
      <c r="E126" s="331" t="s">
        <v>680</v>
      </c>
      <c r="F126" s="331" t="s">
        <v>54</v>
      </c>
      <c r="G126" s="331"/>
      <c r="H126" s="410" t="s">
        <v>714</v>
      </c>
      <c r="I126" s="331"/>
      <c r="J126" s="331"/>
      <c r="K126" s="331" t="s">
        <v>92</v>
      </c>
      <c r="L126" s="331">
        <f t="shared" si="15"/>
        <v>2</v>
      </c>
      <c r="M126" s="410" t="str">
        <f t="shared" si="11"/>
        <v>Same distinctiveness or better habitat required ≥</v>
      </c>
      <c r="N126" s="331" t="s">
        <v>90</v>
      </c>
      <c r="O126" s="331">
        <f t="shared" si="16"/>
        <v>0.33</v>
      </c>
      <c r="P126" s="331" t="s">
        <v>38</v>
      </c>
      <c r="Q126" s="331">
        <f t="shared" si="17"/>
        <v>0.67</v>
      </c>
      <c r="R126" s="310"/>
      <c r="S126" s="331"/>
      <c r="T126" s="331" t="s">
        <v>32</v>
      </c>
    </row>
    <row r="127" spans="1:20" x14ac:dyDescent="0.3">
      <c r="A127" s="481" t="s">
        <v>723</v>
      </c>
      <c r="B127" s="75" t="s">
        <v>724</v>
      </c>
      <c r="C127" s="331" t="s">
        <v>725</v>
      </c>
      <c r="D127" s="331" t="s">
        <v>646</v>
      </c>
      <c r="E127" s="331" t="s">
        <v>680</v>
      </c>
      <c r="F127" s="331" t="s">
        <v>54</v>
      </c>
      <c r="G127" s="331"/>
      <c r="H127" s="410" t="s">
        <v>723</v>
      </c>
      <c r="I127" s="331"/>
      <c r="J127" s="331"/>
      <c r="K127" s="331" t="s">
        <v>92</v>
      </c>
      <c r="L127" s="331">
        <f t="shared" si="15"/>
        <v>2</v>
      </c>
      <c r="M127" s="410" t="str">
        <f t="shared" si="11"/>
        <v>Same distinctiveness or better habitat required ≥</v>
      </c>
      <c r="N127" s="331" t="s">
        <v>90</v>
      </c>
      <c r="O127" s="331">
        <f t="shared" si="16"/>
        <v>0.33</v>
      </c>
      <c r="P127" s="331" t="s">
        <v>38</v>
      </c>
      <c r="Q127" s="331">
        <f t="shared" si="17"/>
        <v>0.67</v>
      </c>
      <c r="R127" s="310"/>
      <c r="S127" s="331"/>
      <c r="T127" s="331" t="s">
        <v>32</v>
      </c>
    </row>
    <row r="128" spans="1:20" x14ac:dyDescent="0.3">
      <c r="A128" s="481" t="s">
        <v>726</v>
      </c>
      <c r="B128" s="75" t="s">
        <v>727</v>
      </c>
      <c r="C128" s="331" t="s">
        <v>728</v>
      </c>
      <c r="D128" s="331" t="s">
        <v>646</v>
      </c>
      <c r="E128" s="331" t="s">
        <v>680</v>
      </c>
      <c r="F128" s="331" t="s">
        <v>54</v>
      </c>
      <c r="G128" s="331"/>
      <c r="H128" s="410" t="s">
        <v>726</v>
      </c>
      <c r="I128" s="331"/>
      <c r="J128" s="331"/>
      <c r="K128" s="331" t="s">
        <v>92</v>
      </c>
      <c r="L128" s="331">
        <f t="shared" si="15"/>
        <v>2</v>
      </c>
      <c r="M128" s="410" t="str">
        <f t="shared" si="11"/>
        <v>Same distinctiveness or better habitat required ≥</v>
      </c>
      <c r="N128" s="331" t="s">
        <v>90</v>
      </c>
      <c r="O128" s="331">
        <f t="shared" si="16"/>
        <v>0.33</v>
      </c>
      <c r="P128" s="331" t="s">
        <v>90</v>
      </c>
      <c r="Q128" s="331">
        <f t="shared" si="17"/>
        <v>0.33</v>
      </c>
      <c r="R128" s="310"/>
      <c r="S128" s="331"/>
      <c r="T128" s="331" t="s">
        <v>32</v>
      </c>
    </row>
    <row r="129" spans="1:20" x14ac:dyDescent="0.3">
      <c r="A129" s="481" t="s">
        <v>729</v>
      </c>
      <c r="B129" s="75" t="s">
        <v>730</v>
      </c>
      <c r="C129" s="331" t="s">
        <v>731</v>
      </c>
      <c r="D129" s="331" t="s">
        <v>646</v>
      </c>
      <c r="E129" s="331" t="s">
        <v>680</v>
      </c>
      <c r="F129" s="331" t="s">
        <v>54</v>
      </c>
      <c r="G129" s="331"/>
      <c r="H129" s="410" t="s">
        <v>729</v>
      </c>
      <c r="I129" s="331"/>
      <c r="J129" s="331"/>
      <c r="K129" s="331" t="s">
        <v>92</v>
      </c>
      <c r="L129" s="331">
        <f t="shared" si="15"/>
        <v>2</v>
      </c>
      <c r="M129" s="410" t="str">
        <f t="shared" si="11"/>
        <v>Same distinctiveness or better habitat required ≥</v>
      </c>
      <c r="N129" s="331" t="s">
        <v>90</v>
      </c>
      <c r="O129" s="331">
        <f t="shared" si="16"/>
        <v>0.33</v>
      </c>
      <c r="P129" s="331" t="s">
        <v>38</v>
      </c>
      <c r="Q129" s="331">
        <f t="shared" si="17"/>
        <v>0.67</v>
      </c>
      <c r="R129" s="310"/>
      <c r="S129" s="331"/>
      <c r="T129" s="331" t="s">
        <v>32</v>
      </c>
    </row>
    <row r="130" spans="1:20" x14ac:dyDescent="0.3">
      <c r="A130" s="168" t="s">
        <v>732</v>
      </c>
      <c r="B130" s="64" t="s">
        <v>733</v>
      </c>
      <c r="C130" s="331" t="s">
        <v>734</v>
      </c>
      <c r="D130" s="331" t="s">
        <v>646</v>
      </c>
      <c r="E130" s="331"/>
      <c r="F130" s="331" t="s">
        <v>54</v>
      </c>
      <c r="G130" s="331"/>
      <c r="H130" s="414" t="s">
        <v>732</v>
      </c>
      <c r="I130" s="331"/>
      <c r="J130" s="331"/>
      <c r="K130" s="331" t="s">
        <v>38</v>
      </c>
      <c r="L130" s="331">
        <f t="shared" ref="L130:L135" si="18">IF(K130=$V$3,$W$3,IF(K130=$V$3,$W$3,IF(K130=$V$4,$W$4,IF(K130=$V$5,$W$5,IF(K130=$V$6,$W$6,IF(K130=$V$7,$W$7))))))</f>
        <v>4</v>
      </c>
      <c r="M130" s="410" t="str">
        <f t="shared" si="11"/>
        <v>Same broad habitat or a higher distinctiveness habitat required (≥)</v>
      </c>
      <c r="N130" s="331" t="s">
        <v>38</v>
      </c>
      <c r="O130" s="331">
        <f t="shared" ref="O130:O135" si="19">VLOOKUP(N130,Difficulty,2,FALSE)</f>
        <v>0.67</v>
      </c>
      <c r="P130" s="331" t="s">
        <v>38</v>
      </c>
      <c r="Q130" s="331">
        <f t="shared" ref="Q130:Q135" si="20">VLOOKUP(P130,Difficulty,2,FALSE)</f>
        <v>0.67</v>
      </c>
      <c r="R130" s="310"/>
      <c r="S130" s="331"/>
      <c r="T130" s="331" t="s">
        <v>32</v>
      </c>
    </row>
    <row r="131" spans="1:20" ht="14.5" thickBot="1" x14ac:dyDescent="0.35">
      <c r="A131" s="168" t="s">
        <v>735</v>
      </c>
      <c r="B131" s="155" t="s">
        <v>736</v>
      </c>
      <c r="C131" s="315" t="s">
        <v>737</v>
      </c>
      <c r="D131" s="315" t="s">
        <v>646</v>
      </c>
      <c r="E131" s="315"/>
      <c r="F131" s="315" t="s">
        <v>54</v>
      </c>
      <c r="G131" s="315"/>
      <c r="H131" s="415" t="s">
        <v>735</v>
      </c>
      <c r="I131" s="315"/>
      <c r="J131" s="315"/>
      <c r="K131" s="315" t="s">
        <v>90</v>
      </c>
      <c r="L131" s="315">
        <f t="shared" si="18"/>
        <v>6</v>
      </c>
      <c r="M131" s="411" t="str">
        <f t="shared" si="11"/>
        <v>Same habitat required =</v>
      </c>
      <c r="N131" s="315" t="s">
        <v>90</v>
      </c>
      <c r="O131" s="315">
        <f t="shared" si="19"/>
        <v>0.33</v>
      </c>
      <c r="P131" s="315" t="s">
        <v>38</v>
      </c>
      <c r="Q131" s="315">
        <f t="shared" si="20"/>
        <v>0.67</v>
      </c>
      <c r="R131" s="299"/>
      <c r="S131" s="315"/>
      <c r="T131" s="331" t="s">
        <v>32</v>
      </c>
    </row>
    <row r="132" spans="1:20" ht="14.25" customHeight="1" x14ac:dyDescent="0.3">
      <c r="A132" s="168" t="s">
        <v>738</v>
      </c>
      <c r="B132" s="156" t="s">
        <v>739</v>
      </c>
      <c r="C132" s="311" t="s">
        <v>740</v>
      </c>
      <c r="D132" s="311" t="s">
        <v>646</v>
      </c>
      <c r="E132" s="311"/>
      <c r="F132" s="311" t="s">
        <v>58</v>
      </c>
      <c r="G132" s="311"/>
      <c r="H132" s="416" t="s">
        <v>738</v>
      </c>
      <c r="I132" s="311"/>
      <c r="J132" s="311"/>
      <c r="K132" s="311" t="s">
        <v>92</v>
      </c>
      <c r="L132" s="311">
        <f t="shared" si="18"/>
        <v>2</v>
      </c>
      <c r="M132" s="412" t="str">
        <f>IF($K132=$V$3,$X$3,IF($K132=$V$4,$X$4,IF($K132=$V$5,$X$5,IF($K132=$V$6,$X$6,IF($K132=$V$7,$X$7)))))</f>
        <v>Same distinctiveness or better habitat required ≥</v>
      </c>
      <c r="N132" s="311" t="s">
        <v>38</v>
      </c>
      <c r="O132" s="311">
        <f t="shared" si="19"/>
        <v>0.67</v>
      </c>
      <c r="P132" s="311" t="s">
        <v>38</v>
      </c>
      <c r="Q132" s="311">
        <f t="shared" si="20"/>
        <v>0.67</v>
      </c>
      <c r="R132" s="298"/>
      <c r="S132" s="311"/>
      <c r="T132" s="331" t="s">
        <v>32</v>
      </c>
    </row>
    <row r="133" spans="1:20" ht="28" x14ac:dyDescent="0.3">
      <c r="A133" s="168" t="s">
        <v>741</v>
      </c>
      <c r="B133" s="64" t="s">
        <v>742</v>
      </c>
      <c r="C133" s="331" t="s">
        <v>743</v>
      </c>
      <c r="D133" s="331" t="s">
        <v>646</v>
      </c>
      <c r="E133" s="331"/>
      <c r="F133" s="311" t="s">
        <v>58</v>
      </c>
      <c r="G133" s="331"/>
      <c r="H133" s="414" t="s">
        <v>741</v>
      </c>
      <c r="I133" s="331"/>
      <c r="J133" s="331"/>
      <c r="K133" s="311" t="s">
        <v>92</v>
      </c>
      <c r="L133" s="331">
        <f t="shared" si="18"/>
        <v>2</v>
      </c>
      <c r="M133" s="410" t="str">
        <f>IF($K133=$V$3,$X$3,IF($K133=$V$4,$X$4,IF($K133=$V$5,$X$5,IF($K133=$V$6,$X$6,IF($K133=$V$7,$X$7)))))</f>
        <v>Same distinctiveness or better habitat required ≥</v>
      </c>
      <c r="N133" s="331" t="s">
        <v>38</v>
      </c>
      <c r="O133" s="331">
        <f t="shared" si="19"/>
        <v>0.67</v>
      </c>
      <c r="P133" s="331" t="s">
        <v>38</v>
      </c>
      <c r="Q133" s="331">
        <f t="shared" si="20"/>
        <v>0.67</v>
      </c>
      <c r="R133" s="310"/>
      <c r="S133" s="331"/>
      <c r="T133" s="331" t="s">
        <v>32</v>
      </c>
    </row>
    <row r="134" spans="1:20" ht="42.5" thickBot="1" x14ac:dyDescent="0.35">
      <c r="A134" s="484" t="s">
        <v>744</v>
      </c>
      <c r="B134" s="437" t="s">
        <v>745</v>
      </c>
      <c r="C134" s="433" t="s">
        <v>746</v>
      </c>
      <c r="D134" s="433" t="s">
        <v>646</v>
      </c>
      <c r="E134" s="433"/>
      <c r="F134" s="438" t="s">
        <v>58</v>
      </c>
      <c r="G134" s="433"/>
      <c r="H134" s="434" t="s">
        <v>747</v>
      </c>
      <c r="I134" s="433"/>
      <c r="J134" s="433"/>
      <c r="K134" s="433" t="s">
        <v>38</v>
      </c>
      <c r="L134" s="433">
        <f t="shared" si="18"/>
        <v>4</v>
      </c>
      <c r="M134" s="435" t="str">
        <f>IF($K134=$V$3,$X$3,IF($K134=$V$4,$X$4,IF($K134=$V$5,$X$5,IF($K134=$V$6,$X$6,IF($K134=$V$7,$X$7)))))</f>
        <v>Same broad habitat or a higher distinctiveness habitat required (≥)</v>
      </c>
      <c r="N134" s="433" t="s">
        <v>38</v>
      </c>
      <c r="O134" s="433">
        <f t="shared" si="19"/>
        <v>0.67</v>
      </c>
      <c r="P134" s="433" t="s">
        <v>38</v>
      </c>
      <c r="Q134" s="433">
        <f t="shared" si="20"/>
        <v>0.67</v>
      </c>
      <c r="R134" s="322"/>
      <c r="S134" s="433"/>
      <c r="T134" s="331" t="s">
        <v>32</v>
      </c>
    </row>
    <row r="135" spans="1:20" ht="42.5" thickBot="1" x14ac:dyDescent="0.35">
      <c r="A135" s="168" t="s">
        <v>59</v>
      </c>
      <c r="B135" s="439" t="s">
        <v>748</v>
      </c>
      <c r="C135" s="355" t="s">
        <v>749</v>
      </c>
      <c r="D135" s="356" t="s">
        <v>59</v>
      </c>
      <c r="E135" s="355"/>
      <c r="F135" s="355" t="s">
        <v>59</v>
      </c>
      <c r="G135" s="355"/>
      <c r="H135" s="413" t="s">
        <v>59</v>
      </c>
      <c r="I135" s="355"/>
      <c r="J135" s="355"/>
      <c r="K135" s="355" t="s">
        <v>750</v>
      </c>
      <c r="L135" s="355">
        <f t="shared" si="18"/>
        <v>0</v>
      </c>
      <c r="M135" s="355" t="str">
        <f>IF($K135=$V$3,$X$3,IF($K135=$V$4,$X$4,IF($K135=$V$5,$X$5,IF($K135=$V$6,$X$6,IF($K135=$V$7,$X$7)))))</f>
        <v>Compensation Not Required</v>
      </c>
      <c r="N135" s="355" t="s">
        <v>38</v>
      </c>
      <c r="O135" s="355">
        <f t="shared" si="19"/>
        <v>0.67</v>
      </c>
      <c r="P135" s="355" t="s">
        <v>88</v>
      </c>
      <c r="Q135" s="355">
        <f t="shared" si="20"/>
        <v>0.1</v>
      </c>
      <c r="R135" s="356" t="s">
        <v>751</v>
      </c>
      <c r="S135" s="355"/>
      <c r="T135" s="331" t="s">
        <v>32</v>
      </c>
    </row>
    <row r="136" spans="1:20" x14ac:dyDescent="0.3"/>
    <row r="137" spans="1:20" x14ac:dyDescent="0.3"/>
    <row r="138" spans="1:20" x14ac:dyDescent="0.3"/>
    <row r="139" spans="1:20" x14ac:dyDescent="0.3"/>
    <row r="140" spans="1:20" x14ac:dyDescent="0.3"/>
    <row r="141" spans="1:20" x14ac:dyDescent="0.3"/>
    <row r="142" spans="1:20" x14ac:dyDescent="0.3"/>
    <row r="143" spans="1:20" x14ac:dyDescent="0.3"/>
    <row r="144" spans="1:20" x14ac:dyDescent="0.3"/>
    <row r="145" x14ac:dyDescent="0.3"/>
    <row r="146" x14ac:dyDescent="0.3"/>
    <row r="147" x14ac:dyDescent="0.3"/>
    <row r="148" x14ac:dyDescent="0.3"/>
    <row r="149" x14ac:dyDescent="0.3"/>
    <row r="153" x14ac:dyDescent="0.3"/>
    <row r="154" x14ac:dyDescent="0.3"/>
    <row r="155" x14ac:dyDescent="0.3"/>
    <row r="156" x14ac:dyDescent="0.3"/>
    <row r="157" x14ac:dyDescent="0.3"/>
    <row r="158" x14ac:dyDescent="0.3"/>
    <row r="159" x14ac:dyDescent="0.3"/>
    <row r="160" x14ac:dyDescent="0.3"/>
    <row r="161" x14ac:dyDescent="0.3"/>
    <row r="162" x14ac:dyDescent="0.3"/>
    <row r="163" x14ac:dyDescent="0.3"/>
  </sheetData>
  <sheetProtection algorithmName="SHA-512" hashValue="Nl2EJ97YLYrxx7yB/3ffOCe49UCVQYgzwfGsbsB5w1BhBxoTvE6bwG2mNp4cihSyS+BAGm+X3lZkkaLGXodkXg==" saltValue="xoov4TBOV4jEaNfsFoIK9Q==" spinCount="100000" sheet="1" objects="1" scenarios="1"/>
  <customSheetViews>
    <customSheetView guid="{8BDA793C-C9C5-4FC6-A0A5-F1109F6D4F22}" scale="80" state="hidden">
      <pane xSplit="2" ySplit="2" topLeftCell="C3" activePane="bottomRight" state="frozen"/>
      <selection pane="bottomRight" activeCell="D14" sqref="D14"/>
    </customSheetView>
  </customSheetViews>
  <mergeCells count="13">
    <mergeCell ref="AF45:AG46"/>
    <mergeCell ref="AF47:AF48"/>
    <mergeCell ref="AG47:AG48"/>
    <mergeCell ref="D1:F1"/>
    <mergeCell ref="AF23:AG24"/>
    <mergeCell ref="AF25:AF26"/>
    <mergeCell ref="AG25:AG26"/>
    <mergeCell ref="Z1:AA1"/>
    <mergeCell ref="V1:X1"/>
    <mergeCell ref="AF1:AF2"/>
    <mergeCell ref="AG1:AG2"/>
    <mergeCell ref="E26:E38"/>
    <mergeCell ref="E3:E12"/>
  </mergeCells>
  <phoneticPr fontId="9" type="noConversion"/>
  <dataValidations count="1">
    <dataValidation type="list" allowBlank="1" showInputMessage="1" showErrorMessage="1" sqref="K3:K135" xr:uid="{00000000-0002-0000-0F00-000000000000}">
      <formula1>$V$3:$V$7</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'G-3 Multipliers'!$P$3:$P$6</xm:f>
          </x14:formula1>
          <xm:sqref>P3:P135 N3:N135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FFC000"/>
  </sheetPr>
  <dimension ref="A1:BG176"/>
  <sheetViews>
    <sheetView topLeftCell="A111" zoomScaleNormal="80" workbookViewId="0">
      <selection activeCell="D143" sqref="D143"/>
    </sheetView>
  </sheetViews>
  <sheetFormatPr defaultColWidth="16.453125" defaultRowHeight="14" x14ac:dyDescent="0.3"/>
  <cols>
    <col min="1" max="1" width="88.81640625" style="15" bestFit="1" customWidth="1"/>
    <col min="2" max="2" width="27.7265625" style="15" customWidth="1"/>
    <col min="3" max="3" width="18.54296875" style="15" customWidth="1"/>
    <col min="4" max="4" width="62.81640625" style="15" bestFit="1" customWidth="1"/>
    <col min="5" max="35" width="16.453125" style="15"/>
    <col min="36" max="36" width="23.7265625" style="15" customWidth="1"/>
    <col min="37" max="38" width="16.453125" style="15"/>
    <col min="39" max="39" width="24.81640625" style="15" customWidth="1"/>
    <col min="40" max="40" width="25.7265625" style="15" customWidth="1"/>
    <col min="41" max="41" width="23.26953125" style="15" customWidth="1"/>
    <col min="42" max="42" width="23.54296875" style="15" customWidth="1"/>
    <col min="43" max="46" width="16.453125" style="15"/>
    <col min="47" max="47" width="78.453125" style="15" customWidth="1"/>
    <col min="48" max="48" width="24.453125" style="15" bestFit="1" customWidth="1"/>
    <col min="49" max="49" width="16.81640625" style="15" bestFit="1" customWidth="1"/>
    <col min="50" max="50" width="23.54296875" style="15" bestFit="1" customWidth="1"/>
    <col min="51" max="51" width="28.1796875" style="15" customWidth="1"/>
    <col min="52" max="52" width="29.26953125" style="15" bestFit="1" customWidth="1"/>
    <col min="53" max="53" width="26.1796875" style="15" bestFit="1" customWidth="1"/>
    <col min="54" max="54" width="25.81640625" style="15" bestFit="1" customWidth="1"/>
    <col min="55" max="55" width="28.1796875" style="15" bestFit="1" customWidth="1"/>
    <col min="56" max="57" width="34.7265625" style="15" bestFit="1" customWidth="1"/>
    <col min="58" max="58" width="27.1796875" style="15" bestFit="1" customWidth="1"/>
    <col min="59" max="59" width="9.1796875" style="15" bestFit="1" customWidth="1"/>
    <col min="60" max="16384" width="16.453125" style="15"/>
  </cols>
  <sheetData>
    <row r="1" spans="1:59" ht="51.65" customHeight="1" x14ac:dyDescent="0.7">
      <c r="A1" s="1303" t="s">
        <v>752</v>
      </c>
      <c r="B1" s="1303"/>
      <c r="C1" s="1303"/>
      <c r="D1" s="1303"/>
      <c r="E1" s="1303"/>
      <c r="F1" s="1303"/>
      <c r="G1" s="1303"/>
      <c r="H1" s="1303"/>
      <c r="I1" s="1303"/>
      <c r="J1" s="1303"/>
      <c r="K1" s="1303"/>
      <c r="L1" s="1303"/>
      <c r="M1" s="1303"/>
      <c r="N1" s="1303"/>
      <c r="O1" s="1303"/>
      <c r="P1" s="1303"/>
      <c r="Q1" s="1303"/>
      <c r="R1" s="1303"/>
      <c r="S1" s="1303"/>
      <c r="T1" s="1303"/>
      <c r="U1" s="1303"/>
      <c r="V1" s="1303"/>
      <c r="W1" s="1303"/>
      <c r="X1" s="1303"/>
      <c r="Y1" s="1303"/>
      <c r="Z1" s="1303"/>
      <c r="AA1" s="1303"/>
      <c r="AB1" s="1303"/>
      <c r="AC1" s="1303"/>
      <c r="AD1" s="1303"/>
      <c r="AE1" s="1303"/>
      <c r="AF1" s="1303"/>
      <c r="AG1" s="80"/>
      <c r="AJ1" s="1297" t="s">
        <v>753</v>
      </c>
      <c r="AK1" s="1298"/>
      <c r="AL1" s="1298"/>
      <c r="AM1" s="1298"/>
      <c r="AN1" s="1298"/>
      <c r="AO1" s="1298"/>
      <c r="AP1" s="1299"/>
      <c r="AU1" s="1300" t="s">
        <v>1611</v>
      </c>
      <c r="AV1" s="1301"/>
      <c r="AW1" s="1301"/>
      <c r="AX1" s="1301"/>
      <c r="AY1" s="1301"/>
      <c r="AZ1" s="1301"/>
      <c r="BA1" s="1301"/>
      <c r="BB1" s="1301"/>
      <c r="BC1" s="1301"/>
      <c r="BD1" s="1301"/>
      <c r="BE1" s="1301"/>
      <c r="BF1" s="1301"/>
      <c r="BG1" s="1302"/>
    </row>
    <row r="2" spans="1:59" ht="22.5" x14ac:dyDescent="0.45">
      <c r="A2" s="61">
        <v>1</v>
      </c>
      <c r="B2" s="61">
        <v>2</v>
      </c>
      <c r="C2" s="61">
        <v>3</v>
      </c>
      <c r="D2" s="61">
        <v>4</v>
      </c>
      <c r="E2" s="61">
        <v>5</v>
      </c>
      <c r="F2" s="61">
        <v>6</v>
      </c>
      <c r="G2" s="61">
        <v>7</v>
      </c>
      <c r="H2" s="61">
        <v>8</v>
      </c>
      <c r="I2" s="61">
        <v>9</v>
      </c>
      <c r="J2" s="61">
        <v>10</v>
      </c>
      <c r="K2" s="61">
        <v>11</v>
      </c>
      <c r="L2" s="61">
        <v>12</v>
      </c>
      <c r="M2" s="61">
        <v>13</v>
      </c>
      <c r="N2" s="61">
        <v>14</v>
      </c>
      <c r="O2" s="61">
        <v>15</v>
      </c>
      <c r="P2" s="61">
        <v>16</v>
      </c>
      <c r="Q2" s="61">
        <v>17</v>
      </c>
      <c r="R2" s="61">
        <v>18</v>
      </c>
      <c r="S2" s="61">
        <v>19</v>
      </c>
      <c r="T2" s="61">
        <v>20</v>
      </c>
      <c r="U2" s="61">
        <v>21</v>
      </c>
      <c r="V2" s="61">
        <v>22</v>
      </c>
      <c r="W2" s="61">
        <v>23</v>
      </c>
      <c r="X2" s="61">
        <v>24</v>
      </c>
      <c r="Y2" s="61">
        <v>25</v>
      </c>
      <c r="Z2" s="61">
        <v>26</v>
      </c>
      <c r="AA2" s="61">
        <v>27</v>
      </c>
      <c r="AB2" s="61">
        <v>28</v>
      </c>
      <c r="AC2" s="61">
        <v>29</v>
      </c>
      <c r="AD2" s="61">
        <v>30</v>
      </c>
      <c r="AE2" s="61">
        <v>31</v>
      </c>
      <c r="AF2" s="61">
        <v>32</v>
      </c>
    </row>
    <row r="3" spans="1:59" ht="107.5" customHeight="1" x14ac:dyDescent="0.7">
      <c r="A3" s="62" t="s">
        <v>754</v>
      </c>
      <c r="B3" s="62" t="s">
        <v>96</v>
      </c>
      <c r="C3" s="62" t="s">
        <v>137</v>
      </c>
      <c r="D3" s="62" t="s">
        <v>755</v>
      </c>
      <c r="E3" s="62" t="s">
        <v>756</v>
      </c>
      <c r="F3" s="62" t="s">
        <v>757</v>
      </c>
      <c r="G3" s="62" t="s">
        <v>758</v>
      </c>
      <c r="H3" s="62" t="s">
        <v>759</v>
      </c>
      <c r="I3" s="62" t="s">
        <v>760</v>
      </c>
      <c r="J3" s="62" t="s">
        <v>761</v>
      </c>
      <c r="K3" s="62" t="s">
        <v>762</v>
      </c>
      <c r="L3" s="62" t="s">
        <v>763</v>
      </c>
      <c r="M3" s="62" t="s">
        <v>764</v>
      </c>
      <c r="N3" s="62" t="s">
        <v>765</v>
      </c>
      <c r="O3" s="62" t="s">
        <v>766</v>
      </c>
      <c r="P3" s="62" t="s">
        <v>767</v>
      </c>
      <c r="Q3" s="62" t="s">
        <v>768</v>
      </c>
      <c r="R3" s="62" t="s">
        <v>769</v>
      </c>
      <c r="S3" s="62" t="s">
        <v>770</v>
      </c>
      <c r="T3" s="62" t="s">
        <v>771</v>
      </c>
      <c r="U3" s="62" t="s">
        <v>772</v>
      </c>
      <c r="V3" s="62" t="s">
        <v>773</v>
      </c>
      <c r="W3" s="62" t="s">
        <v>774</v>
      </c>
      <c r="X3" s="62" t="s">
        <v>775</v>
      </c>
      <c r="Y3" s="62" t="s">
        <v>776</v>
      </c>
      <c r="Z3" s="62" t="s">
        <v>777</v>
      </c>
      <c r="AA3" s="62" t="s">
        <v>778</v>
      </c>
      <c r="AB3" s="62" t="s">
        <v>779</v>
      </c>
      <c r="AC3" s="62" t="s">
        <v>780</v>
      </c>
      <c r="AD3" s="62" t="s">
        <v>781</v>
      </c>
      <c r="AE3" s="62" t="s">
        <v>782</v>
      </c>
      <c r="AF3" s="62" t="s">
        <v>783</v>
      </c>
      <c r="AJ3" s="423" t="s">
        <v>784</v>
      </c>
      <c r="AK3" s="424" t="s">
        <v>785</v>
      </c>
      <c r="AL3" s="424" t="s">
        <v>786</v>
      </c>
      <c r="AM3" s="424" t="s">
        <v>787</v>
      </c>
      <c r="AN3" s="424" t="s">
        <v>788</v>
      </c>
      <c r="AO3" s="424" t="s">
        <v>43</v>
      </c>
      <c r="AP3" s="424" t="s">
        <v>44</v>
      </c>
      <c r="AU3" s="71" t="s">
        <v>88</v>
      </c>
      <c r="AV3" s="72"/>
      <c r="AW3" s="73"/>
      <c r="AX3" s="73"/>
      <c r="AY3" s="73"/>
      <c r="AZ3" s="73"/>
      <c r="BA3" s="73"/>
      <c r="BB3" s="73"/>
      <c r="BC3" s="73"/>
      <c r="BD3" s="73"/>
      <c r="BE3" s="73"/>
      <c r="BF3" s="73"/>
      <c r="BG3" s="73"/>
    </row>
    <row r="4" spans="1:59" ht="30" x14ac:dyDescent="0.3">
      <c r="A4" s="63" t="str">
        <f>'G-1 All Habitats'!B3</f>
        <v>Cropland - Arable field margins cultivated annually</v>
      </c>
      <c r="B4" s="52" t="str">
        <f>'G-1 All Habitats'!F3</f>
        <v>Cropland</v>
      </c>
      <c r="C4" s="52" t="str">
        <f>'G-1 All Habitats'!K3</f>
        <v>Medium</v>
      </c>
      <c r="D4" s="52" t="str">
        <f>'G-1 All Habitats'!M3</f>
        <v>Same broad habitat or a higher distinctiveness habitat required (≥)</v>
      </c>
      <c r="E4" s="277">
        <f>IF(C4="V.High",SUMIF('A-1 On-Site Habitat Baseline'!$AV$11:$AV$258,'G-2 Habitat groups'!A4,'A-1 On-Site Habitat Baseline'!$S$11:$S$258)+SUMIF('A-1 On-Site Habitat Baseline'!$AV$11:$AV$258,'G-2 Habitat groups'!A4,'A-1 On-Site Habitat Baseline'!$T$11:$T$258),SUMIF('A-1 On-Site Habitat Baseline'!$AV$11:$AV$258,'G-2 Habitat groups'!A4,'A-1 On-Site Habitat Baseline'!$H$11:$H$258))</f>
        <v>0</v>
      </c>
      <c r="F4" s="277">
        <f>SUMIF('A-1 On-Site Habitat Baseline'!$AV$11:$AV$258,'G-2 Habitat groups'!A4,'A-1 On-Site Habitat Baseline'!$Q$11:$Q$258)</f>
        <v>0</v>
      </c>
      <c r="G4" s="277">
        <f>SUMIF('A-1 On-Site Habitat Baseline'!$AV$11:$AV$258,'G-2 Habitat groups'!A4,'A-1 On-Site Habitat Baseline'!$S$11:$S$258)</f>
        <v>0</v>
      </c>
      <c r="H4" s="277">
        <f>SUMIF('A-1 On-Site Habitat Baseline'!$AV$11:$AV$258,'G-2 Habitat groups'!A4,'A-1 On-Site Habitat Baseline'!$U$11:$U$258)</f>
        <v>0</v>
      </c>
      <c r="I4" s="277">
        <f>SUMIF('A-1 On-Site Habitat Baseline'!$AV$11:$AV$258,'G-2 Habitat groups'!A4,'A-1 On-Site Habitat Baseline'!$W$11:$W$258)</f>
        <v>0</v>
      </c>
      <c r="J4" s="277">
        <f>SUMIF('A-1 On-Site Habitat Baseline'!$AV$11:$AV$258,'G-2 Habitat groups'!A4,'A-1 On-Site Habitat Baseline'!$X$11:$X$258)</f>
        <v>0</v>
      </c>
      <c r="K4" s="277">
        <f>SUMIF('A-2 On-Site Habitat Creation'!$F$11:$F$256,'G-2 Habitat groups'!A4,'A-2 On-Site Habitat Creation'!$G$11:$G$256)</f>
        <v>0</v>
      </c>
      <c r="L4" s="277">
        <f>SUMIF('A-2 On-Site Habitat Creation'!$F$11:$F$256,'G-2 Habitat groups'!A4,'A-2 On-Site Habitat Creation'!$Y$11:$Y$256)</f>
        <v>0</v>
      </c>
      <c r="M4" s="277">
        <f>SUMIF('A-3 On-Site Habitat Enhancement'!$S$12:$S$257,'G-2 Habitat groups'!A4,'A-3 On-Site Habitat Enhancement'!$V$12:$V$257)</f>
        <v>0</v>
      </c>
      <c r="N4" s="277">
        <f>SUMIF('A-3 On-Site Habitat Enhancement'!$S$12:$S$257,'G-2 Habitat groups'!A4,'A-3 On-Site Habitat Enhancement'!$AN$12:$AN$257)</f>
        <v>0</v>
      </c>
      <c r="O4" s="277">
        <f t="shared" ref="O4:O34" si="0">G4+K4+M4</f>
        <v>0</v>
      </c>
      <c r="P4" s="277">
        <f t="shared" ref="P4:P34" si="1">H4+L4+N4</f>
        <v>0</v>
      </c>
      <c r="Q4" s="277">
        <f t="shared" ref="Q4:Q34" si="2">O4-E4</f>
        <v>0</v>
      </c>
      <c r="R4" s="277">
        <f t="shared" ref="R4:R34" si="3">P4-F4</f>
        <v>0</v>
      </c>
      <c r="S4" s="277" t="e">
        <f>IF(C4="V.High",SUMIF(#REF!,'G-2 Habitat groups'!A4,#REF!)+SUMIF(#REF!,'G-2 Habitat groups'!A4,#REF!),SUMIF(#REF!,'G-2 Habitat groups'!A4,#REF!))</f>
        <v>#REF!</v>
      </c>
      <c r="T4" s="277" t="e">
        <f>SUMIF(#REF!,'G-2 Habitat groups'!A4,#REF!)</f>
        <v>#REF!</v>
      </c>
      <c r="U4" s="277" t="e">
        <f>SUMIF(#REF!,'G-2 Habitat groups'!A4,#REF!)</f>
        <v>#REF!</v>
      </c>
      <c r="V4" s="277" t="e">
        <f>SUMIF(#REF!,'G-2 Habitat groups'!A4,#REF!)</f>
        <v>#REF!</v>
      </c>
      <c r="W4" s="277" t="e">
        <f>SUMIF(#REF!,'G-2 Habitat groups'!A4,#REF!)</f>
        <v>#REF!</v>
      </c>
      <c r="X4" s="277" t="e">
        <f>SUMIF(#REF!,'G-2 Habitat groups'!A4,#REF!)</f>
        <v>#REF!</v>
      </c>
      <c r="Y4" s="277" t="e">
        <f>SUMIF(#REF!,'G-2 Habitat groups'!A4,#REF!)</f>
        <v>#REF!</v>
      </c>
      <c r="Z4" s="277" t="e">
        <f>SUMIF(#REF!,'G-2 Habitat groups'!A4,#REF!)</f>
        <v>#REF!</v>
      </c>
      <c r="AA4" s="277" t="e">
        <f t="shared" ref="AA4:AA34" si="4">U4+W4+Y4</f>
        <v>#REF!</v>
      </c>
      <c r="AB4" s="277" t="e">
        <f>V4+X4+Z4</f>
        <v>#REF!</v>
      </c>
      <c r="AC4" s="277" t="e">
        <f t="shared" ref="AC4:AC34" si="5">AA4-S4</f>
        <v>#REF!</v>
      </c>
      <c r="AD4" s="277" t="e">
        <f>AB4-T4</f>
        <v>#REF!</v>
      </c>
      <c r="AE4" s="277" t="e">
        <f t="shared" ref="AE4:AE34" si="6">Q4+AC4</f>
        <v>#REF!</v>
      </c>
      <c r="AF4" s="277" t="e">
        <f>R4+AD4</f>
        <v>#REF!</v>
      </c>
      <c r="AJ4" s="65" t="s">
        <v>46</v>
      </c>
      <c r="AK4" s="427">
        <f t="shared" ref="AK4:AK16" si="7">SUMIF($B:$B,$AJ4,E:E)</f>
        <v>0</v>
      </c>
      <c r="AL4" s="427">
        <f t="shared" ref="AL4:AL18" si="8">SUMIF($B:$B,$AJ4,F:F)</f>
        <v>0</v>
      </c>
      <c r="AM4" s="427">
        <f t="shared" ref="AM4:AM18" si="9">SUMIF($B:$B,$AJ4,O:O)</f>
        <v>0</v>
      </c>
      <c r="AN4" s="427">
        <f t="shared" ref="AN4:AN18" si="10">SUMIF($B:$B,$AJ4,P:P)</f>
        <v>0</v>
      </c>
      <c r="AO4" s="466">
        <f t="shared" ref="AO4:AO18" si="11">SUMIF($B:$B,$AJ4,Q:Q)</f>
        <v>0</v>
      </c>
      <c r="AP4" s="466">
        <f t="shared" ref="AP4:AP18" si="12">SUMIF($B:$B,$AJ4,R:R)</f>
        <v>0</v>
      </c>
      <c r="AU4" s="78" t="s">
        <v>789</v>
      </c>
      <c r="AV4" s="81" t="s">
        <v>96</v>
      </c>
      <c r="AW4" s="81" t="s">
        <v>790</v>
      </c>
      <c r="AX4" s="81" t="s">
        <v>791</v>
      </c>
      <c r="AY4" s="81" t="s">
        <v>792</v>
      </c>
      <c r="AZ4" s="81" t="s">
        <v>793</v>
      </c>
      <c r="BA4" s="81" t="s">
        <v>794</v>
      </c>
      <c r="BB4" s="81" t="s">
        <v>795</v>
      </c>
      <c r="BC4" s="81" t="s">
        <v>796</v>
      </c>
      <c r="BD4" s="81" t="s">
        <v>797</v>
      </c>
      <c r="BE4" s="81" t="s">
        <v>798</v>
      </c>
      <c r="BF4" s="81" t="s">
        <v>799</v>
      </c>
      <c r="BG4" s="81" t="s">
        <v>800</v>
      </c>
    </row>
    <row r="5" spans="1:59" ht="14.5" customHeight="1" x14ac:dyDescent="0.3">
      <c r="A5" s="63" t="str">
        <f>'G-1 All Habitats'!B4</f>
        <v>Cropland - Arable field margins game bird mix</v>
      </c>
      <c r="B5" s="52" t="str">
        <f>'G-1 All Habitats'!F4</f>
        <v>Cropland</v>
      </c>
      <c r="C5" s="52" t="str">
        <f>'G-1 All Habitats'!K4</f>
        <v>Medium</v>
      </c>
      <c r="D5" s="52" t="str">
        <f>'G-1 All Habitats'!M4</f>
        <v>Same broad habitat or a higher distinctiveness habitat required (≥)</v>
      </c>
      <c r="E5" s="277">
        <f>IF(C5="V.High",SUMIF('A-1 On-Site Habitat Baseline'!$AV$11:$AV$258,'G-2 Habitat groups'!A5,'A-1 On-Site Habitat Baseline'!$S$11:$S$258)+SUMIF('A-1 On-Site Habitat Baseline'!$AV$11:$AV$258,'G-2 Habitat groups'!A5,'A-1 On-Site Habitat Baseline'!$T$11:$T$258),SUMIF('A-1 On-Site Habitat Baseline'!$AV$11:$AV$258,'G-2 Habitat groups'!A5,'A-1 On-Site Habitat Baseline'!$H$11:$H$258))</f>
        <v>0</v>
      </c>
      <c r="F5" s="277">
        <f>SUMIF('A-1 On-Site Habitat Baseline'!$AV$11:$AV$258,'G-2 Habitat groups'!A5,'A-1 On-Site Habitat Baseline'!$Q$11:$Q$258)</f>
        <v>0</v>
      </c>
      <c r="G5" s="277">
        <f>SUMIF('A-1 On-Site Habitat Baseline'!$AV$11:$AV$258,'G-2 Habitat groups'!A5,'A-1 On-Site Habitat Baseline'!$S$11:$S$258)</f>
        <v>0</v>
      </c>
      <c r="H5" s="277">
        <f>SUMIF('A-1 On-Site Habitat Baseline'!$AV$11:$AV$258,'G-2 Habitat groups'!A5,'A-1 On-Site Habitat Baseline'!$U$11:$U$258)</f>
        <v>0</v>
      </c>
      <c r="I5" s="277">
        <f>SUMIF('A-1 On-Site Habitat Baseline'!$AV$11:$AV$258,'G-2 Habitat groups'!A5,'A-1 On-Site Habitat Baseline'!$W$11:$W$258)</f>
        <v>0</v>
      </c>
      <c r="J5" s="277">
        <f>SUMIF('A-1 On-Site Habitat Baseline'!$AV$11:$AV$258,'G-2 Habitat groups'!A5,'A-1 On-Site Habitat Baseline'!$X$11:$X$258)</f>
        <v>0</v>
      </c>
      <c r="K5" s="277">
        <f>SUMIF('A-2 On-Site Habitat Creation'!$F$11:$F$256,'G-2 Habitat groups'!A5,'A-2 On-Site Habitat Creation'!$G$11:$G$256)</f>
        <v>0</v>
      </c>
      <c r="L5" s="277">
        <f>SUMIF('A-2 On-Site Habitat Creation'!$F$11:$F$256,'G-2 Habitat groups'!A5,'A-2 On-Site Habitat Creation'!$Y$11:$Y$256)</f>
        <v>0</v>
      </c>
      <c r="M5" s="277">
        <f>SUMIF('A-3 On-Site Habitat Enhancement'!$S$12:$S$257,'G-2 Habitat groups'!A5,'A-3 On-Site Habitat Enhancement'!$V$12:$V$257)</f>
        <v>0</v>
      </c>
      <c r="N5" s="277">
        <f>SUMIF('A-3 On-Site Habitat Enhancement'!$S$12:$S$257,'G-2 Habitat groups'!A5,'A-3 On-Site Habitat Enhancement'!$AN$12:$AN$257)</f>
        <v>0</v>
      </c>
      <c r="O5" s="277">
        <f t="shared" si="0"/>
        <v>0</v>
      </c>
      <c r="P5" s="277">
        <f t="shared" si="1"/>
        <v>0</v>
      </c>
      <c r="Q5" s="277">
        <f t="shared" si="2"/>
        <v>0</v>
      </c>
      <c r="R5" s="277">
        <f t="shared" si="3"/>
        <v>0</v>
      </c>
      <c r="S5" s="277" t="e">
        <f>IF(C5="V.High",SUMIF(#REF!,'G-2 Habitat groups'!A5,#REF!)+SUMIF(#REF!,'G-2 Habitat groups'!A5,#REF!),SUMIF(#REF!,'G-2 Habitat groups'!A5,#REF!))</f>
        <v>#REF!</v>
      </c>
      <c r="T5" s="277" t="e">
        <f>SUMIF(#REF!,'G-2 Habitat groups'!A5,#REF!)</f>
        <v>#REF!</v>
      </c>
      <c r="U5" s="277" t="e">
        <f>SUMIF(#REF!,'G-2 Habitat groups'!A5,#REF!)</f>
        <v>#REF!</v>
      </c>
      <c r="V5" s="277" t="e">
        <f>SUMIF(#REF!,'G-2 Habitat groups'!A5,#REF!)</f>
        <v>#REF!</v>
      </c>
      <c r="W5" s="277" t="e">
        <f>SUMIF(#REF!,'G-2 Habitat groups'!A5,#REF!)</f>
        <v>#REF!</v>
      </c>
      <c r="X5" s="277" t="e">
        <f>SUMIF(#REF!,'G-2 Habitat groups'!A5,#REF!)</f>
        <v>#REF!</v>
      </c>
      <c r="Y5" s="277" t="e">
        <f>SUMIF(#REF!,'G-2 Habitat groups'!A5,#REF!)</f>
        <v>#REF!</v>
      </c>
      <c r="Z5" s="277" t="e">
        <f>SUMIF(#REF!,'G-2 Habitat groups'!A5,#REF!)</f>
        <v>#REF!</v>
      </c>
      <c r="AA5" s="277" t="e">
        <f t="shared" si="4"/>
        <v>#REF!</v>
      </c>
      <c r="AB5" s="277" t="e">
        <f t="shared" ref="AB5:AB34" si="13">V5+X5+Z5</f>
        <v>#REF!</v>
      </c>
      <c r="AC5" s="277" t="e">
        <f t="shared" si="5"/>
        <v>#REF!</v>
      </c>
      <c r="AD5" s="277" t="e">
        <f t="shared" ref="AD5:AD34" si="14">AB5-T5</f>
        <v>#REF!</v>
      </c>
      <c r="AE5" s="277" t="e">
        <f t="shared" si="6"/>
        <v>#REF!</v>
      </c>
      <c r="AF5" s="277" t="e">
        <f t="shared" ref="AF5:AF34" si="15">R5+AD5</f>
        <v>#REF!</v>
      </c>
      <c r="AJ5" s="66" t="s">
        <v>47</v>
      </c>
      <c r="AK5" s="428">
        <f t="shared" si="7"/>
        <v>0</v>
      </c>
      <c r="AL5" s="428">
        <f t="shared" si="8"/>
        <v>0</v>
      </c>
      <c r="AM5" s="428">
        <f t="shared" si="9"/>
        <v>0</v>
      </c>
      <c r="AN5" s="428">
        <f t="shared" si="10"/>
        <v>0</v>
      </c>
      <c r="AO5" s="466">
        <f t="shared" si="11"/>
        <v>0</v>
      </c>
      <c r="AP5" s="466">
        <f t="shared" si="12"/>
        <v>0</v>
      </c>
      <c r="AU5" s="75" t="s">
        <v>357</v>
      </c>
      <c r="AV5" s="52" t="s">
        <v>47</v>
      </c>
      <c r="AW5" s="288">
        <f>VLOOKUP($AU5,AllHabsSummaryData,5,FALSE)</f>
        <v>0</v>
      </c>
      <c r="AX5" s="288">
        <f>VLOOKUP($AU5,AllHabsSummaryData,10,FALSE)</f>
        <v>0</v>
      </c>
      <c r="AY5" s="288">
        <f>VLOOKUP($AU5,AllHabsSummaryData,15,FALSE)</f>
        <v>0</v>
      </c>
      <c r="AZ5" s="288">
        <f>VLOOKUP($AU5,AllHabsSummaryData,16,FALSE)</f>
        <v>0</v>
      </c>
      <c r="BA5" s="288">
        <f>VLOOKUP($AU5,AllHabsSummaryData,17,FALSE)</f>
        <v>0</v>
      </c>
      <c r="BB5" s="288">
        <f>VLOOKUP($AU5,AllHabsSummaryData,18,FALSE)</f>
        <v>0</v>
      </c>
      <c r="BC5" s="288" t="e">
        <f>VLOOKUP($AU5,AllHabsSummaryData,27,FALSE)</f>
        <v>#REF!</v>
      </c>
      <c r="BD5" s="288" t="e">
        <f>VLOOKUP($AU5,AllHabsSummaryData,30,FALSE)</f>
        <v>#REF!</v>
      </c>
      <c r="BE5" s="288" t="e">
        <f>BB5+BD5</f>
        <v>#REF!</v>
      </c>
      <c r="BF5" s="288" t="e">
        <f>IF(BE5&lt;0,BE5,"")</f>
        <v>#REF!</v>
      </c>
      <c r="BG5" s="288">
        <f>VLOOKUP($AU5,AllHabsSummaryData,9,FALSE)</f>
        <v>0</v>
      </c>
    </row>
    <row r="6" spans="1:59" ht="14.5" customHeight="1" x14ac:dyDescent="0.3">
      <c r="A6" s="63" t="str">
        <f>'G-1 All Habitats'!B5</f>
        <v>Cropland - Arable field margins pollen and nectar</v>
      </c>
      <c r="B6" s="52" t="str">
        <f>'G-1 All Habitats'!F5</f>
        <v>Cropland</v>
      </c>
      <c r="C6" s="52" t="str">
        <f>'G-1 All Habitats'!K5</f>
        <v>Medium</v>
      </c>
      <c r="D6" s="52" t="str">
        <f>'G-1 All Habitats'!M5</f>
        <v>Same broad habitat or a higher distinctiveness habitat required (≥)</v>
      </c>
      <c r="E6" s="277">
        <f>IF(C6="V.High",SUMIF('A-1 On-Site Habitat Baseline'!$AV$11:$AV$258,'G-2 Habitat groups'!A6,'A-1 On-Site Habitat Baseline'!$S$11:$S$258)+SUMIF('A-1 On-Site Habitat Baseline'!$AV$11:$AV$258,'G-2 Habitat groups'!A6,'A-1 On-Site Habitat Baseline'!$T$11:$T$258),SUMIF('A-1 On-Site Habitat Baseline'!$AV$11:$AV$258,'G-2 Habitat groups'!A6,'A-1 On-Site Habitat Baseline'!$H$11:$H$258))</f>
        <v>0</v>
      </c>
      <c r="F6" s="277">
        <f>SUMIF('A-1 On-Site Habitat Baseline'!$AV$11:$AV$258,'G-2 Habitat groups'!A6,'A-1 On-Site Habitat Baseline'!$Q$11:$Q$258)</f>
        <v>0</v>
      </c>
      <c r="G6" s="277">
        <f>SUMIF('A-1 On-Site Habitat Baseline'!$AV$11:$AV$258,'G-2 Habitat groups'!A6,'A-1 On-Site Habitat Baseline'!$S$11:$S$258)</f>
        <v>0</v>
      </c>
      <c r="H6" s="277">
        <f>SUMIF('A-1 On-Site Habitat Baseline'!$AV$11:$AV$258,'G-2 Habitat groups'!A6,'A-1 On-Site Habitat Baseline'!$U$11:$U$258)</f>
        <v>0</v>
      </c>
      <c r="I6" s="277">
        <f>SUMIF('A-1 On-Site Habitat Baseline'!$AV$11:$AV$258,'G-2 Habitat groups'!A6,'A-1 On-Site Habitat Baseline'!$W$11:$W$258)</f>
        <v>0</v>
      </c>
      <c r="J6" s="277">
        <f>SUMIF('A-1 On-Site Habitat Baseline'!$AV$11:$AV$258,'G-2 Habitat groups'!A6,'A-1 On-Site Habitat Baseline'!$X$11:$X$258)</f>
        <v>0</v>
      </c>
      <c r="K6" s="277">
        <f>SUMIF('A-2 On-Site Habitat Creation'!$F$11:$F$256,'G-2 Habitat groups'!A6,'A-2 On-Site Habitat Creation'!$G$11:$G$256)</f>
        <v>0</v>
      </c>
      <c r="L6" s="277">
        <f>SUMIF('A-2 On-Site Habitat Creation'!$F$11:$F$256,'G-2 Habitat groups'!A6,'A-2 On-Site Habitat Creation'!$Y$11:$Y$256)</f>
        <v>0</v>
      </c>
      <c r="M6" s="277">
        <f>SUMIF('A-3 On-Site Habitat Enhancement'!$S$12:$S$257,'G-2 Habitat groups'!A6,'A-3 On-Site Habitat Enhancement'!$V$12:$V$257)</f>
        <v>0</v>
      </c>
      <c r="N6" s="277">
        <f>SUMIF('A-3 On-Site Habitat Enhancement'!$S$12:$S$257,'G-2 Habitat groups'!A6,'A-3 On-Site Habitat Enhancement'!$AN$12:$AN$257)</f>
        <v>0</v>
      </c>
      <c r="O6" s="277">
        <f t="shared" si="0"/>
        <v>0</v>
      </c>
      <c r="P6" s="277">
        <f t="shared" si="1"/>
        <v>0</v>
      </c>
      <c r="Q6" s="277">
        <f t="shared" si="2"/>
        <v>0</v>
      </c>
      <c r="R6" s="277">
        <f t="shared" si="3"/>
        <v>0</v>
      </c>
      <c r="S6" s="277" t="e">
        <f>IF(C6="V.High",SUMIF(#REF!,'G-2 Habitat groups'!A6,#REF!)+SUMIF(#REF!,'G-2 Habitat groups'!A6,#REF!),SUMIF(#REF!,'G-2 Habitat groups'!A6,#REF!))</f>
        <v>#REF!</v>
      </c>
      <c r="T6" s="277" t="e">
        <f>SUMIF(#REF!,'G-2 Habitat groups'!A6,#REF!)</f>
        <v>#REF!</v>
      </c>
      <c r="U6" s="277" t="e">
        <f>SUMIF(#REF!,'G-2 Habitat groups'!A6,#REF!)</f>
        <v>#REF!</v>
      </c>
      <c r="V6" s="277" t="e">
        <f>SUMIF(#REF!,'G-2 Habitat groups'!A6,#REF!)</f>
        <v>#REF!</v>
      </c>
      <c r="W6" s="277" t="e">
        <f>SUMIF(#REF!,'G-2 Habitat groups'!A6,#REF!)</f>
        <v>#REF!</v>
      </c>
      <c r="X6" s="277" t="e">
        <f>SUMIF(#REF!,'G-2 Habitat groups'!A6,#REF!)</f>
        <v>#REF!</v>
      </c>
      <c r="Y6" s="277" t="e">
        <f>SUMIF(#REF!,'G-2 Habitat groups'!A6,#REF!)</f>
        <v>#REF!</v>
      </c>
      <c r="Z6" s="277" t="e">
        <f>SUMIF(#REF!,'G-2 Habitat groups'!A6,#REF!)</f>
        <v>#REF!</v>
      </c>
      <c r="AA6" s="277" t="e">
        <f t="shared" si="4"/>
        <v>#REF!</v>
      </c>
      <c r="AB6" s="277" t="e">
        <f t="shared" si="13"/>
        <v>#REF!</v>
      </c>
      <c r="AC6" s="277" t="e">
        <f t="shared" si="5"/>
        <v>#REF!</v>
      </c>
      <c r="AD6" s="277" t="e">
        <f t="shared" si="14"/>
        <v>#REF!</v>
      </c>
      <c r="AE6" s="277" t="e">
        <f t="shared" si="6"/>
        <v>#REF!</v>
      </c>
      <c r="AF6" s="277" t="e">
        <f t="shared" si="15"/>
        <v>#REF!</v>
      </c>
      <c r="AJ6" s="66" t="s">
        <v>48</v>
      </c>
      <c r="AK6" s="428">
        <f t="shared" si="7"/>
        <v>0</v>
      </c>
      <c r="AL6" s="428">
        <f t="shared" si="8"/>
        <v>0</v>
      </c>
      <c r="AM6" s="428">
        <f t="shared" si="9"/>
        <v>0</v>
      </c>
      <c r="AN6" s="428">
        <f t="shared" si="10"/>
        <v>0</v>
      </c>
      <c r="AO6" s="466">
        <f t="shared" si="11"/>
        <v>0</v>
      </c>
      <c r="AP6" s="466">
        <f t="shared" si="12"/>
        <v>0</v>
      </c>
      <c r="AU6" s="75" t="s">
        <v>363</v>
      </c>
      <c r="AV6" s="52" t="s">
        <v>47</v>
      </c>
      <c r="AW6" s="288">
        <f>VLOOKUP($AU6,AllHabsSummaryData,5,FALSE)</f>
        <v>0</v>
      </c>
      <c r="AX6" s="288">
        <f>VLOOKUP($AU6,AllHabsSummaryData,10,FALSE)</f>
        <v>0</v>
      </c>
      <c r="AY6" s="288">
        <f>VLOOKUP($AU6,AllHabsSummaryData,15,FALSE)</f>
        <v>0</v>
      </c>
      <c r="AZ6" s="288">
        <f>VLOOKUP($AU6,AllHabsSummaryData,16,FALSE)</f>
        <v>0</v>
      </c>
      <c r="BA6" s="288">
        <f>VLOOKUP($AU6,AllHabsSummaryData,17,FALSE)</f>
        <v>0</v>
      </c>
      <c r="BB6" s="288">
        <f>VLOOKUP($AU6,AllHabsSummaryData,18,FALSE)</f>
        <v>0</v>
      </c>
      <c r="BC6" s="288" t="e">
        <f>VLOOKUP($AU6,AllHabsSummaryData,27,FALSE)</f>
        <v>#REF!</v>
      </c>
      <c r="BD6" s="288" t="e">
        <f>VLOOKUP($AU6,AllHabsSummaryData,30,FALSE)</f>
        <v>#REF!</v>
      </c>
      <c r="BE6" s="288" t="e">
        <f>BB6+BD6</f>
        <v>#REF!</v>
      </c>
      <c r="BF6" s="288" t="e">
        <f>IF(BE6&lt;0,BE6,"")</f>
        <v>#REF!</v>
      </c>
      <c r="BG6" s="358">
        <f t="shared" ref="BG6:BG24" si="16">SUMIF($A$4:$A$106,AU6,$I$4:$I$106)</f>
        <v>0</v>
      </c>
    </row>
    <row r="7" spans="1:59" ht="14.5" customHeight="1" x14ac:dyDescent="0.3">
      <c r="A7" s="63" t="str">
        <f>'G-1 All Habitats'!B6</f>
        <v>Cropland - Arable field margins tussocky</v>
      </c>
      <c r="B7" s="52" t="str">
        <f>'G-1 All Habitats'!F6</f>
        <v>Cropland</v>
      </c>
      <c r="C7" s="52" t="str">
        <f>'G-1 All Habitats'!K6</f>
        <v>Medium</v>
      </c>
      <c r="D7" s="52" t="str">
        <f>'G-1 All Habitats'!M6</f>
        <v>Same broad habitat or a higher distinctiveness habitat required (≥)</v>
      </c>
      <c r="E7" s="277">
        <f>IF(C7="V.High",SUMIF('A-1 On-Site Habitat Baseline'!$AV$11:$AV$258,'G-2 Habitat groups'!A7,'A-1 On-Site Habitat Baseline'!$S$11:$S$258)+SUMIF('A-1 On-Site Habitat Baseline'!$AV$11:$AV$258,'G-2 Habitat groups'!A7,'A-1 On-Site Habitat Baseline'!$T$11:$T$258),SUMIF('A-1 On-Site Habitat Baseline'!$AV$11:$AV$258,'G-2 Habitat groups'!A7,'A-1 On-Site Habitat Baseline'!$H$11:$H$258))</f>
        <v>0</v>
      </c>
      <c r="F7" s="277">
        <f>SUMIF('A-1 On-Site Habitat Baseline'!$AV$11:$AV$258,'G-2 Habitat groups'!A7,'A-1 On-Site Habitat Baseline'!$Q$11:$Q$258)</f>
        <v>0</v>
      </c>
      <c r="G7" s="277">
        <f>SUMIF('A-1 On-Site Habitat Baseline'!$AV$11:$AV$258,'G-2 Habitat groups'!A7,'A-1 On-Site Habitat Baseline'!$S$11:$S$258)</f>
        <v>0</v>
      </c>
      <c r="H7" s="277">
        <f>SUMIF('A-1 On-Site Habitat Baseline'!$AV$11:$AV$258,'G-2 Habitat groups'!A7,'A-1 On-Site Habitat Baseline'!$U$11:$U$258)</f>
        <v>0</v>
      </c>
      <c r="I7" s="277">
        <f>SUMIF('A-1 On-Site Habitat Baseline'!$AV$11:$AV$258,'G-2 Habitat groups'!A7,'A-1 On-Site Habitat Baseline'!$W$11:$W$258)</f>
        <v>0</v>
      </c>
      <c r="J7" s="277">
        <f>SUMIF('A-1 On-Site Habitat Baseline'!$AV$11:$AV$258,'G-2 Habitat groups'!A7,'A-1 On-Site Habitat Baseline'!$X$11:$X$258)</f>
        <v>0</v>
      </c>
      <c r="K7" s="277">
        <f>SUMIF('A-2 On-Site Habitat Creation'!$F$11:$F$256,'G-2 Habitat groups'!A7,'A-2 On-Site Habitat Creation'!$G$11:$G$256)</f>
        <v>0</v>
      </c>
      <c r="L7" s="277">
        <f>SUMIF('A-2 On-Site Habitat Creation'!$F$11:$F$256,'G-2 Habitat groups'!A7,'A-2 On-Site Habitat Creation'!$Y$11:$Y$256)</f>
        <v>0</v>
      </c>
      <c r="M7" s="277">
        <f>SUMIF('A-3 On-Site Habitat Enhancement'!$S$12:$S$257,'G-2 Habitat groups'!A7,'A-3 On-Site Habitat Enhancement'!$V$12:$V$257)</f>
        <v>0</v>
      </c>
      <c r="N7" s="277">
        <f>SUMIF('A-3 On-Site Habitat Enhancement'!$S$12:$S$257,'G-2 Habitat groups'!A7,'A-3 On-Site Habitat Enhancement'!$AN$12:$AN$257)</f>
        <v>0</v>
      </c>
      <c r="O7" s="277">
        <f t="shared" si="0"/>
        <v>0</v>
      </c>
      <c r="P7" s="277">
        <f t="shared" si="1"/>
        <v>0</v>
      </c>
      <c r="Q7" s="277">
        <f t="shared" si="2"/>
        <v>0</v>
      </c>
      <c r="R7" s="277">
        <f t="shared" si="3"/>
        <v>0</v>
      </c>
      <c r="S7" s="277" t="e">
        <f>IF(C7="V.High",SUMIF(#REF!,'G-2 Habitat groups'!A7,#REF!)+SUMIF(#REF!,'G-2 Habitat groups'!A7,#REF!),SUMIF(#REF!,'G-2 Habitat groups'!A7,#REF!))</f>
        <v>#REF!</v>
      </c>
      <c r="T7" s="277" t="e">
        <f>SUMIF(#REF!,'G-2 Habitat groups'!A7,#REF!)</f>
        <v>#REF!</v>
      </c>
      <c r="U7" s="277" t="e">
        <f>SUMIF(#REF!,'G-2 Habitat groups'!A7,#REF!)</f>
        <v>#REF!</v>
      </c>
      <c r="V7" s="277" t="e">
        <f>SUMIF(#REF!,'G-2 Habitat groups'!A7,#REF!)</f>
        <v>#REF!</v>
      </c>
      <c r="W7" s="277" t="e">
        <f>SUMIF(#REF!,'G-2 Habitat groups'!A7,#REF!)</f>
        <v>#REF!</v>
      </c>
      <c r="X7" s="277" t="e">
        <f>SUMIF(#REF!,'G-2 Habitat groups'!A7,#REF!)</f>
        <v>#REF!</v>
      </c>
      <c r="Y7" s="277" t="e">
        <f>SUMIF(#REF!,'G-2 Habitat groups'!A7,#REF!)</f>
        <v>#REF!</v>
      </c>
      <c r="Z7" s="277" t="e">
        <f>SUMIF(#REF!,'G-2 Habitat groups'!A7,#REF!)</f>
        <v>#REF!</v>
      </c>
      <c r="AA7" s="277" t="e">
        <f t="shared" si="4"/>
        <v>#REF!</v>
      </c>
      <c r="AB7" s="277" t="e">
        <f t="shared" si="13"/>
        <v>#REF!</v>
      </c>
      <c r="AC7" s="277" t="e">
        <f t="shared" si="5"/>
        <v>#REF!</v>
      </c>
      <c r="AD7" s="277" t="e">
        <f t="shared" si="14"/>
        <v>#REF!</v>
      </c>
      <c r="AE7" s="277" t="e">
        <f t="shared" si="6"/>
        <v>#REF!</v>
      </c>
      <c r="AF7" s="277" t="e">
        <f t="shared" si="15"/>
        <v>#REF!</v>
      </c>
      <c r="AJ7" s="66" t="s">
        <v>49</v>
      </c>
      <c r="AK7" s="428">
        <f t="shared" si="7"/>
        <v>0</v>
      </c>
      <c r="AL7" s="428">
        <f t="shared" si="8"/>
        <v>0</v>
      </c>
      <c r="AM7" s="428">
        <f t="shared" si="9"/>
        <v>0</v>
      </c>
      <c r="AN7" s="428">
        <f t="shared" si="10"/>
        <v>0</v>
      </c>
      <c r="AO7" s="466">
        <f t="shared" si="11"/>
        <v>0</v>
      </c>
      <c r="AP7" s="466">
        <f t="shared" si="12"/>
        <v>0</v>
      </c>
      <c r="AU7" s="75" t="s">
        <v>388</v>
      </c>
      <c r="AV7" s="52" t="s">
        <v>47</v>
      </c>
      <c r="AW7" s="288">
        <f>VLOOKUP($AU7,AllHabsSummaryData,5,FALSE)</f>
        <v>0</v>
      </c>
      <c r="AX7" s="288">
        <f>VLOOKUP($AU7,AllHabsSummaryData,10,FALSE)</f>
        <v>0</v>
      </c>
      <c r="AY7" s="288">
        <f>VLOOKUP($AU7,AllHabsSummaryData,15,FALSE)</f>
        <v>0</v>
      </c>
      <c r="AZ7" s="288">
        <f>VLOOKUP($AU7,AllHabsSummaryData,16,FALSE)</f>
        <v>0</v>
      </c>
      <c r="BA7" s="288">
        <f>VLOOKUP($AU7,AllHabsSummaryData,17,FALSE)</f>
        <v>0</v>
      </c>
      <c r="BB7" s="288">
        <f>VLOOKUP($AU7,AllHabsSummaryData,18,FALSE)</f>
        <v>0</v>
      </c>
      <c r="BC7" s="288" t="e">
        <f>VLOOKUP($AU7,AllHabsSummaryData,27,FALSE)</f>
        <v>#REF!</v>
      </c>
      <c r="BD7" s="288" t="e">
        <f>VLOOKUP($AU7,AllHabsSummaryData,30,FALSE)</f>
        <v>#REF!</v>
      </c>
      <c r="BE7" s="288" t="e">
        <f>BB7+BD7</f>
        <v>#REF!</v>
      </c>
      <c r="BF7" s="288" t="e">
        <f>IF(BE7&lt;0,BE7,"")</f>
        <v>#REF!</v>
      </c>
      <c r="BG7" s="358">
        <f t="shared" si="16"/>
        <v>0</v>
      </c>
    </row>
    <row r="8" spans="1:59" ht="14.5" customHeight="1" x14ac:dyDescent="0.3">
      <c r="A8" s="63" t="str">
        <f>'G-1 All Habitats'!B7</f>
        <v>Cropland - Cereal crops</v>
      </c>
      <c r="B8" s="52" t="str">
        <f>'G-1 All Habitats'!F7</f>
        <v>Cropland</v>
      </c>
      <c r="C8" s="52" t="str">
        <f>'G-1 All Habitats'!K7</f>
        <v>Low</v>
      </c>
      <c r="D8" s="52" t="str">
        <f>'G-1 All Habitats'!M7</f>
        <v>Same distinctiveness or better habitat required ≥</v>
      </c>
      <c r="E8" s="277">
        <f>IF(C8="V.High",SUMIF('A-1 On-Site Habitat Baseline'!$AV$11:$AV$258,'G-2 Habitat groups'!A8,'A-1 On-Site Habitat Baseline'!$S$11:$S$258)+SUMIF('A-1 On-Site Habitat Baseline'!$AV$11:$AV$258,'G-2 Habitat groups'!A8,'A-1 On-Site Habitat Baseline'!$T$11:$T$258),SUMIF('A-1 On-Site Habitat Baseline'!$AV$11:$AV$258,'G-2 Habitat groups'!A8,'A-1 On-Site Habitat Baseline'!$H$11:$H$258))</f>
        <v>0</v>
      </c>
      <c r="F8" s="277">
        <f>SUMIF('A-1 On-Site Habitat Baseline'!$AV$11:$AV$258,'G-2 Habitat groups'!A8,'A-1 On-Site Habitat Baseline'!$Q$11:$Q$258)</f>
        <v>0</v>
      </c>
      <c r="G8" s="277">
        <f>SUMIF('A-1 On-Site Habitat Baseline'!$AV$11:$AV$258,'G-2 Habitat groups'!A8,'A-1 On-Site Habitat Baseline'!$S$11:$S$258)</f>
        <v>0</v>
      </c>
      <c r="H8" s="277">
        <f>SUMIF('A-1 On-Site Habitat Baseline'!$AV$11:$AV$258,'G-2 Habitat groups'!A8,'A-1 On-Site Habitat Baseline'!$U$11:$U$258)</f>
        <v>0</v>
      </c>
      <c r="I8" s="277">
        <f>SUMIF('A-1 On-Site Habitat Baseline'!$AV$11:$AV$258,'G-2 Habitat groups'!A8,'A-1 On-Site Habitat Baseline'!$W$11:$W$258)</f>
        <v>0</v>
      </c>
      <c r="J8" s="277">
        <f>SUMIF('A-1 On-Site Habitat Baseline'!$AV$11:$AV$258,'G-2 Habitat groups'!A8,'A-1 On-Site Habitat Baseline'!$X$11:$X$258)</f>
        <v>0</v>
      </c>
      <c r="K8" s="277">
        <f>SUMIF('A-2 On-Site Habitat Creation'!$F$11:$F$256,'G-2 Habitat groups'!A8,'A-2 On-Site Habitat Creation'!$G$11:$G$256)</f>
        <v>0</v>
      </c>
      <c r="L8" s="277">
        <f>SUMIF('A-2 On-Site Habitat Creation'!$F$11:$F$256,'G-2 Habitat groups'!A8,'A-2 On-Site Habitat Creation'!$Y$11:$Y$256)</f>
        <v>0</v>
      </c>
      <c r="M8" s="277">
        <f>SUMIF('A-3 On-Site Habitat Enhancement'!$S$12:$S$257,'G-2 Habitat groups'!A8,'A-3 On-Site Habitat Enhancement'!$V$12:$V$257)</f>
        <v>0</v>
      </c>
      <c r="N8" s="277">
        <f>SUMIF('A-3 On-Site Habitat Enhancement'!$S$12:$S$257,'G-2 Habitat groups'!A8,'A-3 On-Site Habitat Enhancement'!$AN$12:$AN$257)</f>
        <v>0</v>
      </c>
      <c r="O8" s="277">
        <f t="shared" si="0"/>
        <v>0</v>
      </c>
      <c r="P8" s="277">
        <f t="shared" si="1"/>
        <v>0</v>
      </c>
      <c r="Q8" s="277">
        <f t="shared" si="2"/>
        <v>0</v>
      </c>
      <c r="R8" s="277">
        <f t="shared" si="3"/>
        <v>0</v>
      </c>
      <c r="S8" s="277" t="e">
        <f>IF(C8="V.High",SUMIF(#REF!,'G-2 Habitat groups'!A8,#REF!)+SUMIF(#REF!,'G-2 Habitat groups'!A8,#REF!),SUMIF(#REF!,'G-2 Habitat groups'!A8,#REF!))</f>
        <v>#REF!</v>
      </c>
      <c r="T8" s="277" t="e">
        <f>SUMIF(#REF!,'G-2 Habitat groups'!A8,#REF!)</f>
        <v>#REF!</v>
      </c>
      <c r="U8" s="277" t="e">
        <f>SUMIF(#REF!,'G-2 Habitat groups'!A8,#REF!)</f>
        <v>#REF!</v>
      </c>
      <c r="V8" s="277" t="e">
        <f>SUMIF(#REF!,'G-2 Habitat groups'!A8,#REF!)</f>
        <v>#REF!</v>
      </c>
      <c r="W8" s="277" t="e">
        <f>SUMIF(#REF!,'G-2 Habitat groups'!A8,#REF!)</f>
        <v>#REF!</v>
      </c>
      <c r="X8" s="277" t="e">
        <f>SUMIF(#REF!,'G-2 Habitat groups'!A8,#REF!)</f>
        <v>#REF!</v>
      </c>
      <c r="Y8" s="277" t="e">
        <f>SUMIF(#REF!,'G-2 Habitat groups'!A8,#REF!)</f>
        <v>#REF!</v>
      </c>
      <c r="Z8" s="277" t="e">
        <f>SUMIF(#REF!,'G-2 Habitat groups'!A8,#REF!)</f>
        <v>#REF!</v>
      </c>
      <c r="AA8" s="277" t="e">
        <f t="shared" si="4"/>
        <v>#REF!</v>
      </c>
      <c r="AB8" s="277" t="e">
        <f t="shared" si="13"/>
        <v>#REF!</v>
      </c>
      <c r="AC8" s="277" t="e">
        <f t="shared" si="5"/>
        <v>#REF!</v>
      </c>
      <c r="AD8" s="277" t="e">
        <f t="shared" si="14"/>
        <v>#REF!</v>
      </c>
      <c r="AE8" s="277" t="e">
        <f t="shared" si="6"/>
        <v>#REF!</v>
      </c>
      <c r="AF8" s="277" t="e">
        <f t="shared" si="15"/>
        <v>#REF!</v>
      </c>
      <c r="AJ8" s="67" t="s">
        <v>50</v>
      </c>
      <c r="AK8" s="428">
        <f t="shared" si="7"/>
        <v>0</v>
      </c>
      <c r="AL8" s="428">
        <f t="shared" si="8"/>
        <v>0</v>
      </c>
      <c r="AM8" s="428">
        <f t="shared" si="9"/>
        <v>0</v>
      </c>
      <c r="AN8" s="428">
        <f t="shared" si="10"/>
        <v>0</v>
      </c>
      <c r="AO8" s="466">
        <f t="shared" si="11"/>
        <v>0</v>
      </c>
      <c r="AP8" s="466">
        <f t="shared" si="12"/>
        <v>0</v>
      </c>
      <c r="AU8" s="75" t="s">
        <v>419</v>
      </c>
      <c r="AV8" s="52" t="s">
        <v>48</v>
      </c>
      <c r="AW8" s="288">
        <f>VLOOKUP($AU8,AllHabsSummaryData,5,FALSE)</f>
        <v>0</v>
      </c>
      <c r="AX8" s="288">
        <f>VLOOKUP($AU8,AllHabsSummaryData,10,FALSE)</f>
        <v>0</v>
      </c>
      <c r="AY8" s="288">
        <f>VLOOKUP($AU8,AllHabsSummaryData,15,FALSE)</f>
        <v>0</v>
      </c>
      <c r="AZ8" s="288">
        <f>VLOOKUP($AU8,AllHabsSummaryData,16,FALSE)</f>
        <v>0</v>
      </c>
      <c r="BA8" s="288">
        <f>VLOOKUP($AU8,AllHabsSummaryData,17,FALSE)</f>
        <v>0</v>
      </c>
      <c r="BB8" s="288">
        <f>VLOOKUP($AU8,AllHabsSummaryData,18,FALSE)</f>
        <v>0</v>
      </c>
      <c r="BC8" s="288" t="e">
        <f>VLOOKUP($AU8,AllHabsSummaryData,27,FALSE)</f>
        <v>#REF!</v>
      </c>
      <c r="BD8" s="288" t="e">
        <f>VLOOKUP($AU8,AllHabsSummaryData,30,FALSE)</f>
        <v>#REF!</v>
      </c>
      <c r="BE8" s="288" t="e">
        <f>BB8+BD8</f>
        <v>#REF!</v>
      </c>
      <c r="BF8" s="288" t="e">
        <f>IF(BE8&lt;0,BE8,"")</f>
        <v>#REF!</v>
      </c>
      <c r="BG8" s="358">
        <f t="shared" si="16"/>
        <v>0</v>
      </c>
    </row>
    <row r="9" spans="1:59" ht="14.5" customHeight="1" x14ac:dyDescent="0.3">
      <c r="A9" s="63" t="str">
        <f>'G-1 All Habitats'!B8</f>
        <v>Cropland - Winter stubble</v>
      </c>
      <c r="B9" s="52" t="str">
        <f>'G-1 All Habitats'!F8</f>
        <v>Cropland</v>
      </c>
      <c r="C9" s="52" t="str">
        <f>'G-1 All Habitats'!K8</f>
        <v>Low</v>
      </c>
      <c r="D9" s="52" t="str">
        <f>'G-1 All Habitats'!M8</f>
        <v>Same distinctiveness or better habitat required ≥</v>
      </c>
      <c r="E9" s="277">
        <f>IF(C9="V.High",SUMIF('A-1 On-Site Habitat Baseline'!$AV$11:$AV$258,'G-2 Habitat groups'!A9,'A-1 On-Site Habitat Baseline'!$S$11:$S$258)+SUMIF('A-1 On-Site Habitat Baseline'!$AV$11:$AV$258,'G-2 Habitat groups'!A9,'A-1 On-Site Habitat Baseline'!$T$11:$T$258),SUMIF('A-1 On-Site Habitat Baseline'!$AV$11:$AV$258,'G-2 Habitat groups'!A9,'A-1 On-Site Habitat Baseline'!$H$11:$H$258))</f>
        <v>0</v>
      </c>
      <c r="F9" s="277">
        <f>SUMIF('A-1 On-Site Habitat Baseline'!$AV$11:$AV$258,'G-2 Habitat groups'!A9,'A-1 On-Site Habitat Baseline'!$Q$11:$Q$258)</f>
        <v>0</v>
      </c>
      <c r="G9" s="277">
        <f>SUMIF('A-1 On-Site Habitat Baseline'!$AV$11:$AV$258,'G-2 Habitat groups'!A9,'A-1 On-Site Habitat Baseline'!$S$11:$S$258)</f>
        <v>0</v>
      </c>
      <c r="H9" s="277">
        <f>SUMIF('A-1 On-Site Habitat Baseline'!$AV$11:$AV$258,'G-2 Habitat groups'!A9,'A-1 On-Site Habitat Baseline'!$U$11:$U$258)</f>
        <v>0</v>
      </c>
      <c r="I9" s="277">
        <f>SUMIF('A-1 On-Site Habitat Baseline'!$AV$11:$AV$258,'G-2 Habitat groups'!A9,'A-1 On-Site Habitat Baseline'!$W$11:$W$258)</f>
        <v>0</v>
      </c>
      <c r="J9" s="277">
        <f>SUMIF('A-1 On-Site Habitat Baseline'!$AV$11:$AV$258,'G-2 Habitat groups'!A9,'A-1 On-Site Habitat Baseline'!$X$11:$X$258)</f>
        <v>0</v>
      </c>
      <c r="K9" s="277">
        <f>SUMIF('A-2 On-Site Habitat Creation'!$F$11:$F$256,'G-2 Habitat groups'!A9,'A-2 On-Site Habitat Creation'!$G$11:$G$256)</f>
        <v>0</v>
      </c>
      <c r="L9" s="277">
        <f>SUMIF('A-2 On-Site Habitat Creation'!$F$11:$F$256,'G-2 Habitat groups'!A9,'A-2 On-Site Habitat Creation'!$Y$11:$Y$256)</f>
        <v>0</v>
      </c>
      <c r="M9" s="277">
        <f>SUMIF('A-3 On-Site Habitat Enhancement'!$S$12:$S$257,'G-2 Habitat groups'!A9,'A-3 On-Site Habitat Enhancement'!$V$12:$V$257)</f>
        <v>0</v>
      </c>
      <c r="N9" s="277">
        <f>SUMIF('A-3 On-Site Habitat Enhancement'!$S$12:$S$257,'G-2 Habitat groups'!A9,'A-3 On-Site Habitat Enhancement'!$AN$12:$AN$257)</f>
        <v>0</v>
      </c>
      <c r="O9" s="277">
        <f t="shared" si="0"/>
        <v>0</v>
      </c>
      <c r="P9" s="277">
        <f t="shared" si="1"/>
        <v>0</v>
      </c>
      <c r="Q9" s="277">
        <f t="shared" si="2"/>
        <v>0</v>
      </c>
      <c r="R9" s="277">
        <f t="shared" si="3"/>
        <v>0</v>
      </c>
      <c r="S9" s="277" t="e">
        <f>IF(C9="V.High",SUMIF(#REF!,'G-2 Habitat groups'!A9,#REF!)+SUMIF(#REF!,'G-2 Habitat groups'!A9,#REF!),SUMIF(#REF!,'G-2 Habitat groups'!A9,#REF!))</f>
        <v>#REF!</v>
      </c>
      <c r="T9" s="277" t="e">
        <f>SUMIF(#REF!,'G-2 Habitat groups'!A9,#REF!)</f>
        <v>#REF!</v>
      </c>
      <c r="U9" s="277" t="e">
        <f>SUMIF(#REF!,'G-2 Habitat groups'!A9,#REF!)</f>
        <v>#REF!</v>
      </c>
      <c r="V9" s="277" t="e">
        <f>SUMIF(#REF!,'G-2 Habitat groups'!A9,#REF!)</f>
        <v>#REF!</v>
      </c>
      <c r="W9" s="277" t="e">
        <f>SUMIF(#REF!,'G-2 Habitat groups'!A9,#REF!)</f>
        <v>#REF!</v>
      </c>
      <c r="X9" s="277" t="e">
        <f>SUMIF(#REF!,'G-2 Habitat groups'!A9,#REF!)</f>
        <v>#REF!</v>
      </c>
      <c r="Y9" s="277" t="e">
        <f>SUMIF(#REF!,'G-2 Habitat groups'!A9,#REF!)</f>
        <v>#REF!</v>
      </c>
      <c r="Z9" s="277" t="e">
        <f>SUMIF(#REF!,'G-2 Habitat groups'!A9,#REF!)</f>
        <v>#REF!</v>
      </c>
      <c r="AA9" s="277" t="e">
        <f t="shared" si="4"/>
        <v>#REF!</v>
      </c>
      <c r="AB9" s="277" t="e">
        <f t="shared" si="13"/>
        <v>#REF!</v>
      </c>
      <c r="AC9" s="277" t="e">
        <f t="shared" si="5"/>
        <v>#REF!</v>
      </c>
      <c r="AD9" s="277" t="e">
        <f t="shared" si="14"/>
        <v>#REF!</v>
      </c>
      <c r="AE9" s="277" t="e">
        <f t="shared" si="6"/>
        <v>#REF!</v>
      </c>
      <c r="AF9" s="277" t="e">
        <f t="shared" si="15"/>
        <v>#REF!</v>
      </c>
      <c r="AJ9" s="66" t="s">
        <v>51</v>
      </c>
      <c r="AK9" s="428">
        <f>SUMIF($B:$B,$AJ9,E:E)</f>
        <v>0</v>
      </c>
      <c r="AL9" s="428">
        <f t="shared" si="8"/>
        <v>0</v>
      </c>
      <c r="AM9" s="428">
        <f t="shared" si="9"/>
        <v>0</v>
      </c>
      <c r="AN9" s="428">
        <f t="shared" si="10"/>
        <v>0</v>
      </c>
      <c r="AO9" s="466">
        <f t="shared" si="11"/>
        <v>0</v>
      </c>
      <c r="AP9" s="466">
        <f t="shared" si="12"/>
        <v>0</v>
      </c>
      <c r="AU9" s="75" t="s">
        <v>441</v>
      </c>
      <c r="AV9" s="52" t="s">
        <v>49</v>
      </c>
      <c r="AW9" s="288">
        <f t="shared" ref="AW9:AW24" si="17">VLOOKUP($AU9,AllHabsSummaryData,5,FALSE)</f>
        <v>0</v>
      </c>
      <c r="AX9" s="288">
        <f t="shared" ref="AX9:AX24" si="18">VLOOKUP($AU9,AllHabsSummaryData,10,FALSE)</f>
        <v>0</v>
      </c>
      <c r="AY9" s="288">
        <f t="shared" ref="AY9:AY24" si="19">VLOOKUP($AU9,AllHabsSummaryData,15,FALSE)</f>
        <v>0</v>
      </c>
      <c r="AZ9" s="288">
        <f t="shared" ref="AZ9:AZ24" si="20">VLOOKUP($AU9,AllHabsSummaryData,16,FALSE)</f>
        <v>0</v>
      </c>
      <c r="BA9" s="288">
        <f t="shared" ref="BA9:BA24" si="21">VLOOKUP($AU9,AllHabsSummaryData,17,FALSE)</f>
        <v>0</v>
      </c>
      <c r="BB9" s="288">
        <f t="shared" ref="BB9:BB24" si="22">VLOOKUP($AU9,AllHabsSummaryData,18,FALSE)</f>
        <v>0</v>
      </c>
      <c r="BC9" s="288" t="e">
        <f t="shared" ref="BC9:BC24" si="23">VLOOKUP($AU9,AllHabsSummaryData,27,FALSE)</f>
        <v>#REF!</v>
      </c>
      <c r="BD9" s="288" t="e">
        <f t="shared" ref="BD9:BD24" si="24">VLOOKUP($AU9,AllHabsSummaryData,30,FALSE)</f>
        <v>#REF!</v>
      </c>
      <c r="BE9" s="288" t="e">
        <f t="shared" ref="BE9:BE24" si="25">BB9+BD9</f>
        <v>#REF!</v>
      </c>
      <c r="BF9" s="288" t="e">
        <f t="shared" ref="BF9:BF24" si="26">IF(BE9&lt;0,BE9,"")</f>
        <v>#REF!</v>
      </c>
      <c r="BG9" s="358">
        <f t="shared" si="16"/>
        <v>0</v>
      </c>
    </row>
    <row r="10" spans="1:59" ht="15" customHeight="1" x14ac:dyDescent="0.3">
      <c r="A10" s="63" t="str">
        <f>'G-1 All Habitats'!B9</f>
        <v>Cropland - Horticulture</v>
      </c>
      <c r="B10" s="52" t="str">
        <f>'G-1 All Habitats'!F9</f>
        <v>Cropland</v>
      </c>
      <c r="C10" s="52" t="str">
        <f>'G-1 All Habitats'!K9</f>
        <v>Low</v>
      </c>
      <c r="D10" s="52" t="str">
        <f>'G-1 All Habitats'!M9</f>
        <v>Same distinctiveness or better habitat required ≥</v>
      </c>
      <c r="E10" s="277">
        <f>IF(C10="V.High",SUMIF('A-1 On-Site Habitat Baseline'!$AV$11:$AV$258,'G-2 Habitat groups'!A10,'A-1 On-Site Habitat Baseline'!$S$11:$S$258)+SUMIF('A-1 On-Site Habitat Baseline'!$AV$11:$AV$258,'G-2 Habitat groups'!A10,'A-1 On-Site Habitat Baseline'!$T$11:$T$258),SUMIF('A-1 On-Site Habitat Baseline'!$AV$11:$AV$258,'G-2 Habitat groups'!A10,'A-1 On-Site Habitat Baseline'!$H$11:$H$258))</f>
        <v>0</v>
      </c>
      <c r="F10" s="277">
        <f>SUMIF('A-1 On-Site Habitat Baseline'!$AV$11:$AV$258,'G-2 Habitat groups'!A10,'A-1 On-Site Habitat Baseline'!$Q$11:$Q$258)</f>
        <v>0</v>
      </c>
      <c r="G10" s="277">
        <f>SUMIF('A-1 On-Site Habitat Baseline'!$AV$11:$AV$258,'G-2 Habitat groups'!A10,'A-1 On-Site Habitat Baseline'!$S$11:$S$258)</f>
        <v>0</v>
      </c>
      <c r="H10" s="277">
        <f>SUMIF('A-1 On-Site Habitat Baseline'!$AV$11:$AV$258,'G-2 Habitat groups'!A10,'A-1 On-Site Habitat Baseline'!$U$11:$U$258)</f>
        <v>0</v>
      </c>
      <c r="I10" s="277">
        <f>SUMIF('A-1 On-Site Habitat Baseline'!$AV$11:$AV$258,'G-2 Habitat groups'!A10,'A-1 On-Site Habitat Baseline'!$W$11:$W$258)</f>
        <v>0</v>
      </c>
      <c r="J10" s="277">
        <f>SUMIF('A-1 On-Site Habitat Baseline'!$AV$11:$AV$258,'G-2 Habitat groups'!A10,'A-1 On-Site Habitat Baseline'!$X$11:$X$258)</f>
        <v>0</v>
      </c>
      <c r="K10" s="277">
        <f>SUMIF('A-2 On-Site Habitat Creation'!$F$11:$F$256,'G-2 Habitat groups'!A10,'A-2 On-Site Habitat Creation'!$G$11:$G$256)</f>
        <v>0</v>
      </c>
      <c r="L10" s="277">
        <f>SUMIF('A-2 On-Site Habitat Creation'!$F$11:$F$256,'G-2 Habitat groups'!A10,'A-2 On-Site Habitat Creation'!$Y$11:$Y$256)</f>
        <v>0</v>
      </c>
      <c r="M10" s="277">
        <f>SUMIF('A-3 On-Site Habitat Enhancement'!$S$12:$S$257,'G-2 Habitat groups'!A10,'A-3 On-Site Habitat Enhancement'!$V$12:$V$257)</f>
        <v>0</v>
      </c>
      <c r="N10" s="277">
        <f>SUMIF('A-3 On-Site Habitat Enhancement'!$S$12:$S$257,'G-2 Habitat groups'!A10,'A-3 On-Site Habitat Enhancement'!$AN$12:$AN$257)</f>
        <v>0</v>
      </c>
      <c r="O10" s="277">
        <f t="shared" si="0"/>
        <v>0</v>
      </c>
      <c r="P10" s="277">
        <f t="shared" si="1"/>
        <v>0</v>
      </c>
      <c r="Q10" s="277">
        <f t="shared" si="2"/>
        <v>0</v>
      </c>
      <c r="R10" s="277">
        <f t="shared" si="3"/>
        <v>0</v>
      </c>
      <c r="S10" s="277" t="e">
        <f>IF(C10="V.High",SUMIF(#REF!,'G-2 Habitat groups'!A10,#REF!)+SUMIF(#REF!,'G-2 Habitat groups'!A10,#REF!),SUMIF(#REF!,'G-2 Habitat groups'!A10,#REF!))</f>
        <v>#REF!</v>
      </c>
      <c r="T10" s="277" t="e">
        <f>SUMIF(#REF!,'G-2 Habitat groups'!A10,#REF!)</f>
        <v>#REF!</v>
      </c>
      <c r="U10" s="277" t="e">
        <f>SUMIF(#REF!,'G-2 Habitat groups'!A10,#REF!)</f>
        <v>#REF!</v>
      </c>
      <c r="V10" s="277" t="e">
        <f>SUMIF(#REF!,'G-2 Habitat groups'!A10,#REF!)</f>
        <v>#REF!</v>
      </c>
      <c r="W10" s="277" t="e">
        <f>SUMIF(#REF!,'G-2 Habitat groups'!A10,#REF!)</f>
        <v>#REF!</v>
      </c>
      <c r="X10" s="277" t="e">
        <f>SUMIF(#REF!,'G-2 Habitat groups'!A10,#REF!)</f>
        <v>#REF!</v>
      </c>
      <c r="Y10" s="277" t="e">
        <f>SUMIF(#REF!,'G-2 Habitat groups'!A10,#REF!)</f>
        <v>#REF!</v>
      </c>
      <c r="Z10" s="277" t="e">
        <f>SUMIF(#REF!,'G-2 Habitat groups'!A10,#REF!)</f>
        <v>#REF!</v>
      </c>
      <c r="AA10" s="277" t="e">
        <f t="shared" si="4"/>
        <v>#REF!</v>
      </c>
      <c r="AB10" s="277" t="e">
        <f t="shared" si="13"/>
        <v>#REF!</v>
      </c>
      <c r="AC10" s="277" t="e">
        <f t="shared" si="5"/>
        <v>#REF!</v>
      </c>
      <c r="AD10" s="277" t="e">
        <f t="shared" si="14"/>
        <v>#REF!</v>
      </c>
      <c r="AE10" s="277" t="e">
        <f t="shared" si="6"/>
        <v>#REF!</v>
      </c>
      <c r="AF10" s="277" t="e">
        <f t="shared" si="15"/>
        <v>#REF!</v>
      </c>
      <c r="AJ10" s="66" t="s">
        <v>52</v>
      </c>
      <c r="AK10" s="428">
        <f t="shared" si="7"/>
        <v>0</v>
      </c>
      <c r="AL10" s="428">
        <f t="shared" si="8"/>
        <v>0</v>
      </c>
      <c r="AM10" s="428">
        <f t="shared" si="9"/>
        <v>0</v>
      </c>
      <c r="AN10" s="428">
        <f t="shared" si="10"/>
        <v>0</v>
      </c>
      <c r="AO10" s="466">
        <f t="shared" si="11"/>
        <v>0</v>
      </c>
      <c r="AP10" s="466">
        <f t="shared" si="12"/>
        <v>0</v>
      </c>
      <c r="AU10" s="75" t="s">
        <v>476</v>
      </c>
      <c r="AV10" s="52" t="s">
        <v>50</v>
      </c>
      <c r="AW10" s="288">
        <f t="shared" si="17"/>
        <v>0</v>
      </c>
      <c r="AX10" s="288">
        <f t="shared" si="18"/>
        <v>0</v>
      </c>
      <c r="AY10" s="288">
        <f t="shared" si="19"/>
        <v>0</v>
      </c>
      <c r="AZ10" s="288">
        <f t="shared" si="20"/>
        <v>0</v>
      </c>
      <c r="BA10" s="288">
        <f t="shared" si="21"/>
        <v>0</v>
      </c>
      <c r="BB10" s="288">
        <f t="shared" si="22"/>
        <v>0</v>
      </c>
      <c r="BC10" s="288" t="e">
        <f t="shared" si="23"/>
        <v>#REF!</v>
      </c>
      <c r="BD10" s="288" t="e">
        <f t="shared" si="24"/>
        <v>#REF!</v>
      </c>
      <c r="BE10" s="288" t="e">
        <f t="shared" si="25"/>
        <v>#REF!</v>
      </c>
      <c r="BF10" s="288" t="e">
        <f t="shared" si="26"/>
        <v>#REF!</v>
      </c>
      <c r="BG10" s="358">
        <f t="shared" si="16"/>
        <v>0</v>
      </c>
    </row>
    <row r="11" spans="1:59" ht="14.5" customHeight="1" x14ac:dyDescent="0.3">
      <c r="A11" s="63" t="str">
        <f>'G-1 All Habitats'!B10</f>
        <v>Cropland - Intensive orchards</v>
      </c>
      <c r="B11" s="52" t="str">
        <f>'G-1 All Habitats'!F10</f>
        <v>Cropland</v>
      </c>
      <c r="C11" s="52" t="str">
        <f>'G-1 All Habitats'!K10</f>
        <v>Low</v>
      </c>
      <c r="D11" s="52" t="str">
        <f>'G-1 All Habitats'!M10</f>
        <v>Same distinctiveness or better habitat required ≥</v>
      </c>
      <c r="E11" s="277">
        <f>IF(C11="V.High",SUMIF('A-1 On-Site Habitat Baseline'!$AV$11:$AV$258,'G-2 Habitat groups'!A11,'A-1 On-Site Habitat Baseline'!$S$11:$S$258)+SUMIF('A-1 On-Site Habitat Baseline'!$AV$11:$AV$258,'G-2 Habitat groups'!A11,'A-1 On-Site Habitat Baseline'!$T$11:$T$258),SUMIF('A-1 On-Site Habitat Baseline'!$AV$11:$AV$258,'G-2 Habitat groups'!A11,'A-1 On-Site Habitat Baseline'!$H$11:$H$258))</f>
        <v>0</v>
      </c>
      <c r="F11" s="277">
        <f>SUMIF('A-1 On-Site Habitat Baseline'!$AV$11:$AV$258,'G-2 Habitat groups'!A11,'A-1 On-Site Habitat Baseline'!$Q$11:$Q$258)</f>
        <v>0</v>
      </c>
      <c r="G11" s="277">
        <f>SUMIF('A-1 On-Site Habitat Baseline'!$AV$11:$AV$258,'G-2 Habitat groups'!A11,'A-1 On-Site Habitat Baseline'!$S$11:$S$258)</f>
        <v>0</v>
      </c>
      <c r="H11" s="277">
        <f>SUMIF('A-1 On-Site Habitat Baseline'!$AV$11:$AV$258,'G-2 Habitat groups'!A11,'A-1 On-Site Habitat Baseline'!$U$11:$U$258)</f>
        <v>0</v>
      </c>
      <c r="I11" s="277">
        <f>SUMIF('A-1 On-Site Habitat Baseline'!$AV$11:$AV$258,'G-2 Habitat groups'!A11,'A-1 On-Site Habitat Baseline'!$W$11:$W$258)</f>
        <v>0</v>
      </c>
      <c r="J11" s="277">
        <f>SUMIF('A-1 On-Site Habitat Baseline'!$AV$11:$AV$258,'G-2 Habitat groups'!A11,'A-1 On-Site Habitat Baseline'!$X$11:$X$258)</f>
        <v>0</v>
      </c>
      <c r="K11" s="277">
        <f>SUMIF('A-2 On-Site Habitat Creation'!$F$11:$F$256,'G-2 Habitat groups'!A11,'A-2 On-Site Habitat Creation'!$G$11:$G$256)</f>
        <v>0</v>
      </c>
      <c r="L11" s="277">
        <f>SUMIF('A-2 On-Site Habitat Creation'!$F$11:$F$256,'G-2 Habitat groups'!A11,'A-2 On-Site Habitat Creation'!$Y$11:$Y$256)</f>
        <v>0</v>
      </c>
      <c r="M11" s="277">
        <f>SUMIF('A-3 On-Site Habitat Enhancement'!$S$12:$S$257,'G-2 Habitat groups'!A11,'A-3 On-Site Habitat Enhancement'!$V$12:$V$257)</f>
        <v>0</v>
      </c>
      <c r="N11" s="277">
        <f>SUMIF('A-3 On-Site Habitat Enhancement'!$S$12:$S$257,'G-2 Habitat groups'!A11,'A-3 On-Site Habitat Enhancement'!$AN$12:$AN$257)</f>
        <v>0</v>
      </c>
      <c r="O11" s="277">
        <f t="shared" si="0"/>
        <v>0</v>
      </c>
      <c r="P11" s="277">
        <f t="shared" si="1"/>
        <v>0</v>
      </c>
      <c r="Q11" s="277">
        <f t="shared" si="2"/>
        <v>0</v>
      </c>
      <c r="R11" s="277">
        <f t="shared" si="3"/>
        <v>0</v>
      </c>
      <c r="S11" s="277" t="e">
        <f>IF(C11="V.High",SUMIF(#REF!,'G-2 Habitat groups'!A11,#REF!)+SUMIF(#REF!,'G-2 Habitat groups'!A11,#REF!),SUMIF(#REF!,'G-2 Habitat groups'!A11,#REF!))</f>
        <v>#REF!</v>
      </c>
      <c r="T11" s="277" t="e">
        <f>SUMIF(#REF!,'G-2 Habitat groups'!A11,#REF!)</f>
        <v>#REF!</v>
      </c>
      <c r="U11" s="277" t="e">
        <f>SUMIF(#REF!,'G-2 Habitat groups'!A11,#REF!)</f>
        <v>#REF!</v>
      </c>
      <c r="V11" s="277" t="e">
        <f>SUMIF(#REF!,'G-2 Habitat groups'!A11,#REF!)</f>
        <v>#REF!</v>
      </c>
      <c r="W11" s="277" t="e">
        <f>SUMIF(#REF!,'G-2 Habitat groups'!A11,#REF!)</f>
        <v>#REF!</v>
      </c>
      <c r="X11" s="277" t="e">
        <f>SUMIF(#REF!,'G-2 Habitat groups'!A11,#REF!)</f>
        <v>#REF!</v>
      </c>
      <c r="Y11" s="277" t="e">
        <f>SUMIF(#REF!,'G-2 Habitat groups'!A11,#REF!)</f>
        <v>#REF!</v>
      </c>
      <c r="Z11" s="277" t="e">
        <f>SUMIF(#REF!,'G-2 Habitat groups'!A11,#REF!)</f>
        <v>#REF!</v>
      </c>
      <c r="AA11" s="277" t="e">
        <f t="shared" si="4"/>
        <v>#REF!</v>
      </c>
      <c r="AB11" s="277" t="e">
        <f t="shared" si="13"/>
        <v>#REF!</v>
      </c>
      <c r="AC11" s="277" t="e">
        <f t="shared" si="5"/>
        <v>#REF!</v>
      </c>
      <c r="AD11" s="277" t="e">
        <f t="shared" si="14"/>
        <v>#REF!</v>
      </c>
      <c r="AE11" s="277" t="e">
        <f t="shared" si="6"/>
        <v>#REF!</v>
      </c>
      <c r="AF11" s="277" t="e">
        <f t="shared" si="15"/>
        <v>#REF!</v>
      </c>
      <c r="AJ11" s="68" t="s">
        <v>53</v>
      </c>
      <c r="AK11" s="428">
        <f t="shared" si="7"/>
        <v>0</v>
      </c>
      <c r="AL11" s="428">
        <f t="shared" si="8"/>
        <v>0</v>
      </c>
      <c r="AM11" s="428">
        <f t="shared" si="9"/>
        <v>0</v>
      </c>
      <c r="AN11" s="428">
        <f t="shared" si="10"/>
        <v>0</v>
      </c>
      <c r="AO11" s="466">
        <f t="shared" si="11"/>
        <v>0</v>
      </c>
      <c r="AP11" s="466">
        <f t="shared" si="12"/>
        <v>0</v>
      </c>
      <c r="AU11" s="75" t="s">
        <v>498</v>
      </c>
      <c r="AV11" s="52" t="s">
        <v>50</v>
      </c>
      <c r="AW11" s="288">
        <f t="shared" si="17"/>
        <v>0</v>
      </c>
      <c r="AX11" s="288">
        <f t="shared" si="18"/>
        <v>0</v>
      </c>
      <c r="AY11" s="288">
        <f t="shared" si="19"/>
        <v>0</v>
      </c>
      <c r="AZ11" s="288">
        <f t="shared" si="20"/>
        <v>0</v>
      </c>
      <c r="BA11" s="288">
        <f t="shared" si="21"/>
        <v>0</v>
      </c>
      <c r="BB11" s="288">
        <f t="shared" si="22"/>
        <v>0</v>
      </c>
      <c r="BC11" s="288" t="e">
        <f t="shared" si="23"/>
        <v>#REF!</v>
      </c>
      <c r="BD11" s="288" t="e">
        <f t="shared" si="24"/>
        <v>#REF!</v>
      </c>
      <c r="BE11" s="288" t="e">
        <f t="shared" si="25"/>
        <v>#REF!</v>
      </c>
      <c r="BF11" s="288" t="e">
        <f t="shared" si="26"/>
        <v>#REF!</v>
      </c>
      <c r="BG11" s="358">
        <f t="shared" si="16"/>
        <v>0</v>
      </c>
    </row>
    <row r="12" spans="1:59" ht="14.5" customHeight="1" x14ac:dyDescent="0.3">
      <c r="A12" s="63" t="str">
        <f>'G-1 All Habitats'!B11</f>
        <v>Cropland - Non-cereal crops</v>
      </c>
      <c r="B12" s="52" t="str">
        <f>'G-1 All Habitats'!F11</f>
        <v>Cropland</v>
      </c>
      <c r="C12" s="52" t="str">
        <f>'G-1 All Habitats'!K11</f>
        <v>Low</v>
      </c>
      <c r="D12" s="52" t="str">
        <f>'G-1 All Habitats'!M11</f>
        <v>Same distinctiveness or better habitat required ≥</v>
      </c>
      <c r="E12" s="277">
        <f>IF(C12="V.High",SUMIF('A-1 On-Site Habitat Baseline'!$AV$11:$AV$258,'G-2 Habitat groups'!A12,'A-1 On-Site Habitat Baseline'!$S$11:$S$258)+SUMIF('A-1 On-Site Habitat Baseline'!$AV$11:$AV$258,'G-2 Habitat groups'!A12,'A-1 On-Site Habitat Baseline'!$T$11:$T$258),SUMIF('A-1 On-Site Habitat Baseline'!$AV$11:$AV$258,'G-2 Habitat groups'!A12,'A-1 On-Site Habitat Baseline'!$H$11:$H$258))</f>
        <v>0</v>
      </c>
      <c r="F12" s="277">
        <f>SUMIF('A-1 On-Site Habitat Baseline'!$AV$11:$AV$258,'G-2 Habitat groups'!A12,'A-1 On-Site Habitat Baseline'!$Q$11:$Q$258)</f>
        <v>0</v>
      </c>
      <c r="G12" s="277">
        <f>SUMIF('A-1 On-Site Habitat Baseline'!$AV$11:$AV$258,'G-2 Habitat groups'!A12,'A-1 On-Site Habitat Baseline'!$S$11:$S$258)</f>
        <v>0</v>
      </c>
      <c r="H12" s="277">
        <f>SUMIF('A-1 On-Site Habitat Baseline'!$AV$11:$AV$258,'G-2 Habitat groups'!A12,'A-1 On-Site Habitat Baseline'!$U$11:$U$258)</f>
        <v>0</v>
      </c>
      <c r="I12" s="277">
        <f>SUMIF('A-1 On-Site Habitat Baseline'!$AV$11:$AV$258,'G-2 Habitat groups'!A12,'A-1 On-Site Habitat Baseline'!$W$11:$W$258)</f>
        <v>0</v>
      </c>
      <c r="J12" s="277">
        <f>SUMIF('A-1 On-Site Habitat Baseline'!$AV$11:$AV$258,'G-2 Habitat groups'!A12,'A-1 On-Site Habitat Baseline'!$X$11:$X$258)</f>
        <v>0</v>
      </c>
      <c r="K12" s="277">
        <f>SUMIF('A-2 On-Site Habitat Creation'!$F$11:$F$256,'G-2 Habitat groups'!A12,'A-2 On-Site Habitat Creation'!$G$11:$G$256)</f>
        <v>0</v>
      </c>
      <c r="L12" s="277">
        <f>SUMIF('A-2 On-Site Habitat Creation'!$F$11:$F$256,'G-2 Habitat groups'!A12,'A-2 On-Site Habitat Creation'!$Y$11:$Y$256)</f>
        <v>0</v>
      </c>
      <c r="M12" s="277">
        <f>SUMIF('A-3 On-Site Habitat Enhancement'!$S$12:$S$257,'G-2 Habitat groups'!A12,'A-3 On-Site Habitat Enhancement'!$V$12:$V$257)</f>
        <v>0</v>
      </c>
      <c r="N12" s="277">
        <f>SUMIF('A-3 On-Site Habitat Enhancement'!$S$12:$S$257,'G-2 Habitat groups'!A12,'A-3 On-Site Habitat Enhancement'!$AN$12:$AN$257)</f>
        <v>0</v>
      </c>
      <c r="O12" s="277">
        <f t="shared" si="0"/>
        <v>0</v>
      </c>
      <c r="P12" s="277">
        <f t="shared" si="1"/>
        <v>0</v>
      </c>
      <c r="Q12" s="277">
        <f t="shared" si="2"/>
        <v>0</v>
      </c>
      <c r="R12" s="277">
        <f t="shared" si="3"/>
        <v>0</v>
      </c>
      <c r="S12" s="277" t="e">
        <f>IF(C12="V.High",SUMIF(#REF!,'G-2 Habitat groups'!A12,#REF!)+SUMIF(#REF!,'G-2 Habitat groups'!A12,#REF!),SUMIF(#REF!,'G-2 Habitat groups'!A12,#REF!))</f>
        <v>#REF!</v>
      </c>
      <c r="T12" s="277" t="e">
        <f>SUMIF(#REF!,'G-2 Habitat groups'!A12,#REF!)</f>
        <v>#REF!</v>
      </c>
      <c r="U12" s="277" t="e">
        <f>SUMIF(#REF!,'G-2 Habitat groups'!A12,#REF!)</f>
        <v>#REF!</v>
      </c>
      <c r="V12" s="277" t="e">
        <f>SUMIF(#REF!,'G-2 Habitat groups'!A12,#REF!)</f>
        <v>#REF!</v>
      </c>
      <c r="W12" s="277" t="e">
        <f>SUMIF(#REF!,'G-2 Habitat groups'!A12,#REF!)</f>
        <v>#REF!</v>
      </c>
      <c r="X12" s="277" t="e">
        <f>SUMIF(#REF!,'G-2 Habitat groups'!A12,#REF!)</f>
        <v>#REF!</v>
      </c>
      <c r="Y12" s="277" t="e">
        <f>SUMIF(#REF!,'G-2 Habitat groups'!A12,#REF!)</f>
        <v>#REF!</v>
      </c>
      <c r="Z12" s="277" t="e">
        <f>SUMIF(#REF!,'G-2 Habitat groups'!A12,#REF!)</f>
        <v>#REF!</v>
      </c>
      <c r="AA12" s="277" t="e">
        <f t="shared" si="4"/>
        <v>#REF!</v>
      </c>
      <c r="AB12" s="277" t="e">
        <f t="shared" si="13"/>
        <v>#REF!</v>
      </c>
      <c r="AC12" s="277" t="e">
        <f t="shared" si="5"/>
        <v>#REF!</v>
      </c>
      <c r="AD12" s="277" t="e">
        <f t="shared" si="14"/>
        <v>#REF!</v>
      </c>
      <c r="AE12" s="277" t="e">
        <f t="shared" si="6"/>
        <v>#REF!</v>
      </c>
      <c r="AF12" s="277" t="e">
        <f t="shared" si="15"/>
        <v>#REF!</v>
      </c>
      <c r="AJ12" s="68" t="s">
        <v>54</v>
      </c>
      <c r="AK12" s="428">
        <f t="shared" si="7"/>
        <v>0</v>
      </c>
      <c r="AL12" s="428">
        <f t="shared" si="8"/>
        <v>0</v>
      </c>
      <c r="AM12" s="428">
        <f t="shared" si="9"/>
        <v>0</v>
      </c>
      <c r="AN12" s="428">
        <f t="shared" si="10"/>
        <v>0</v>
      </c>
      <c r="AO12" s="466">
        <f t="shared" si="11"/>
        <v>0</v>
      </c>
      <c r="AP12" s="466">
        <f t="shared" si="12"/>
        <v>0</v>
      </c>
      <c r="AU12" s="75" t="s">
        <v>570</v>
      </c>
      <c r="AV12" s="52" t="s">
        <v>52</v>
      </c>
      <c r="AW12" s="288">
        <f t="shared" si="17"/>
        <v>0</v>
      </c>
      <c r="AX12" s="288">
        <f t="shared" si="18"/>
        <v>0</v>
      </c>
      <c r="AY12" s="288">
        <f t="shared" si="19"/>
        <v>0</v>
      </c>
      <c r="AZ12" s="288">
        <f t="shared" si="20"/>
        <v>0</v>
      </c>
      <c r="BA12" s="288">
        <f t="shared" si="21"/>
        <v>0</v>
      </c>
      <c r="BB12" s="288">
        <f t="shared" si="22"/>
        <v>0</v>
      </c>
      <c r="BC12" s="288" t="e">
        <f t="shared" si="23"/>
        <v>#REF!</v>
      </c>
      <c r="BD12" s="288" t="e">
        <f t="shared" si="24"/>
        <v>#REF!</v>
      </c>
      <c r="BE12" s="288" t="e">
        <f t="shared" si="25"/>
        <v>#REF!</v>
      </c>
      <c r="BF12" s="288" t="e">
        <f t="shared" si="26"/>
        <v>#REF!</v>
      </c>
      <c r="BG12" s="358">
        <f t="shared" si="16"/>
        <v>0</v>
      </c>
    </row>
    <row r="13" spans="1:59" ht="14.5" customHeight="1" x14ac:dyDescent="0.3">
      <c r="A13" s="63" t="str">
        <f>'G-1 All Habitats'!B12</f>
        <v>Cropland - Temporary grass and clover leys</v>
      </c>
      <c r="B13" s="52" t="str">
        <f>'G-1 All Habitats'!F12</f>
        <v>Cropland</v>
      </c>
      <c r="C13" s="52" t="str">
        <f>'G-1 All Habitats'!K12</f>
        <v>Low</v>
      </c>
      <c r="D13" s="52" t="str">
        <f>'G-1 All Habitats'!M12</f>
        <v>Same distinctiveness or better habitat required ≥</v>
      </c>
      <c r="E13" s="277">
        <f>IF(C13="V.High",SUMIF('A-1 On-Site Habitat Baseline'!$AV$11:$AV$258,'G-2 Habitat groups'!A13,'A-1 On-Site Habitat Baseline'!$S$11:$S$258)+SUMIF('A-1 On-Site Habitat Baseline'!$AV$11:$AV$258,'G-2 Habitat groups'!A13,'A-1 On-Site Habitat Baseline'!$T$11:$T$258),SUMIF('A-1 On-Site Habitat Baseline'!$AV$11:$AV$258,'G-2 Habitat groups'!A13,'A-1 On-Site Habitat Baseline'!$H$11:$H$258))</f>
        <v>0</v>
      </c>
      <c r="F13" s="277">
        <f>SUMIF('A-1 On-Site Habitat Baseline'!$AV$11:$AV$258,'G-2 Habitat groups'!A13,'A-1 On-Site Habitat Baseline'!$Q$11:$Q$258)</f>
        <v>0</v>
      </c>
      <c r="G13" s="277">
        <f>SUMIF('A-1 On-Site Habitat Baseline'!$AV$11:$AV$258,'G-2 Habitat groups'!A13,'A-1 On-Site Habitat Baseline'!$S$11:$S$258)</f>
        <v>0</v>
      </c>
      <c r="H13" s="277">
        <f>SUMIF('A-1 On-Site Habitat Baseline'!$AV$11:$AV$258,'G-2 Habitat groups'!A13,'A-1 On-Site Habitat Baseline'!$U$11:$U$258)</f>
        <v>0</v>
      </c>
      <c r="I13" s="277">
        <f>SUMIF('A-1 On-Site Habitat Baseline'!$AV$11:$AV$258,'G-2 Habitat groups'!A13,'A-1 On-Site Habitat Baseline'!$W$11:$W$258)</f>
        <v>0</v>
      </c>
      <c r="J13" s="277">
        <f>SUMIF('A-1 On-Site Habitat Baseline'!$AV$11:$AV$258,'G-2 Habitat groups'!A13,'A-1 On-Site Habitat Baseline'!$X$11:$X$258)</f>
        <v>0</v>
      </c>
      <c r="K13" s="277">
        <f>SUMIF('A-2 On-Site Habitat Creation'!$F$11:$F$256,'G-2 Habitat groups'!A13,'A-2 On-Site Habitat Creation'!$G$11:$G$256)</f>
        <v>0</v>
      </c>
      <c r="L13" s="277">
        <f>SUMIF('A-2 On-Site Habitat Creation'!$F$11:$F$256,'G-2 Habitat groups'!A13,'A-2 On-Site Habitat Creation'!$Y$11:$Y$256)</f>
        <v>0</v>
      </c>
      <c r="M13" s="277">
        <f>SUMIF('A-3 On-Site Habitat Enhancement'!$S$12:$S$257,'G-2 Habitat groups'!A13,'A-3 On-Site Habitat Enhancement'!$V$12:$V$257)</f>
        <v>0</v>
      </c>
      <c r="N13" s="277">
        <f>SUMIF('A-3 On-Site Habitat Enhancement'!$S$12:$S$257,'G-2 Habitat groups'!A13,'A-3 On-Site Habitat Enhancement'!$AN$12:$AN$257)</f>
        <v>0</v>
      </c>
      <c r="O13" s="277">
        <f t="shared" si="0"/>
        <v>0</v>
      </c>
      <c r="P13" s="277">
        <f t="shared" si="1"/>
        <v>0</v>
      </c>
      <c r="Q13" s="277">
        <f t="shared" si="2"/>
        <v>0</v>
      </c>
      <c r="R13" s="277">
        <f t="shared" si="3"/>
        <v>0</v>
      </c>
      <c r="S13" s="277" t="e">
        <f>IF(C13="V.High",SUMIF(#REF!,'G-2 Habitat groups'!A13,#REF!)+SUMIF(#REF!,'G-2 Habitat groups'!A13,#REF!),SUMIF(#REF!,'G-2 Habitat groups'!A13,#REF!))</f>
        <v>#REF!</v>
      </c>
      <c r="T13" s="277" t="e">
        <f>SUMIF(#REF!,'G-2 Habitat groups'!A13,#REF!)</f>
        <v>#REF!</v>
      </c>
      <c r="U13" s="277" t="e">
        <f>SUMIF(#REF!,'G-2 Habitat groups'!A13,#REF!)</f>
        <v>#REF!</v>
      </c>
      <c r="V13" s="277" t="e">
        <f>SUMIF(#REF!,'G-2 Habitat groups'!A13,#REF!)</f>
        <v>#REF!</v>
      </c>
      <c r="W13" s="277" t="e">
        <f>SUMIF(#REF!,'G-2 Habitat groups'!A13,#REF!)</f>
        <v>#REF!</v>
      </c>
      <c r="X13" s="277" t="e">
        <f>SUMIF(#REF!,'G-2 Habitat groups'!A13,#REF!)</f>
        <v>#REF!</v>
      </c>
      <c r="Y13" s="277" t="e">
        <f>SUMIF(#REF!,'G-2 Habitat groups'!A13,#REF!)</f>
        <v>#REF!</v>
      </c>
      <c r="Z13" s="277" t="e">
        <f>SUMIF(#REF!,'G-2 Habitat groups'!A13,#REF!)</f>
        <v>#REF!</v>
      </c>
      <c r="AA13" s="277" t="e">
        <f t="shared" si="4"/>
        <v>#REF!</v>
      </c>
      <c r="AB13" s="277" t="e">
        <f t="shared" si="13"/>
        <v>#REF!</v>
      </c>
      <c r="AC13" s="277" t="e">
        <f t="shared" si="5"/>
        <v>#REF!</v>
      </c>
      <c r="AD13" s="277" t="e">
        <f t="shared" si="14"/>
        <v>#REF!</v>
      </c>
      <c r="AE13" s="277" t="e">
        <f t="shared" si="6"/>
        <v>#REF!</v>
      </c>
      <c r="AF13" s="277" t="e">
        <f t="shared" si="15"/>
        <v>#REF!</v>
      </c>
      <c r="AJ13" s="69" t="s">
        <v>55</v>
      </c>
      <c r="AK13" s="428">
        <f t="shared" si="7"/>
        <v>0</v>
      </c>
      <c r="AL13" s="428">
        <f t="shared" si="8"/>
        <v>0</v>
      </c>
      <c r="AM13" s="428">
        <f t="shared" si="9"/>
        <v>0</v>
      </c>
      <c r="AN13" s="428">
        <f t="shared" si="10"/>
        <v>0</v>
      </c>
      <c r="AO13" s="466">
        <f t="shared" si="11"/>
        <v>0</v>
      </c>
      <c r="AP13" s="466">
        <f t="shared" si="12"/>
        <v>0</v>
      </c>
      <c r="AU13" s="75" t="s">
        <v>574</v>
      </c>
      <c r="AV13" s="52" t="s">
        <v>52</v>
      </c>
      <c r="AW13" s="288">
        <f t="shared" si="17"/>
        <v>0</v>
      </c>
      <c r="AX13" s="288">
        <f t="shared" si="18"/>
        <v>0</v>
      </c>
      <c r="AY13" s="288">
        <f t="shared" si="19"/>
        <v>0</v>
      </c>
      <c r="AZ13" s="288">
        <f t="shared" si="20"/>
        <v>0</v>
      </c>
      <c r="BA13" s="288">
        <f t="shared" si="21"/>
        <v>0</v>
      </c>
      <c r="BB13" s="288">
        <f t="shared" si="22"/>
        <v>0</v>
      </c>
      <c r="BC13" s="288" t="e">
        <f t="shared" si="23"/>
        <v>#REF!</v>
      </c>
      <c r="BD13" s="288" t="e">
        <f t="shared" si="24"/>
        <v>#REF!</v>
      </c>
      <c r="BE13" s="288" t="e">
        <f t="shared" si="25"/>
        <v>#REF!</v>
      </c>
      <c r="BF13" s="288" t="e">
        <f t="shared" si="26"/>
        <v>#REF!</v>
      </c>
      <c r="BG13" s="358">
        <f t="shared" si="16"/>
        <v>0</v>
      </c>
    </row>
    <row r="14" spans="1:59" ht="14.5" customHeight="1" x14ac:dyDescent="0.3">
      <c r="A14" s="63" t="str">
        <f>'G-1 All Habitats'!B13</f>
        <v>Grassland - Traditional orchards</v>
      </c>
      <c r="B14" s="52" t="str">
        <f>'G-1 All Habitats'!F13</f>
        <v>Woodlands and Trees</v>
      </c>
      <c r="C14" s="52" t="str">
        <f>'G-1 All Habitats'!K13</f>
        <v>High</v>
      </c>
      <c r="D14" s="52" t="str">
        <f>'G-1 All Habitats'!M13</f>
        <v>Same habitat required =</v>
      </c>
      <c r="E14" s="277">
        <f>IF(C14="V.High",SUMIF('A-1 On-Site Habitat Baseline'!$AV$11:$AV$258,'G-2 Habitat groups'!A14,'A-1 On-Site Habitat Baseline'!$S$11:$S$258)+SUMIF('A-1 On-Site Habitat Baseline'!$AV$11:$AV$258,'G-2 Habitat groups'!A14,'A-1 On-Site Habitat Baseline'!$T$11:$T$258),SUMIF('A-1 On-Site Habitat Baseline'!$AV$11:$AV$258,'G-2 Habitat groups'!A14,'A-1 On-Site Habitat Baseline'!$H$11:$H$258))</f>
        <v>0</v>
      </c>
      <c r="F14" s="277">
        <f>SUMIF('A-1 On-Site Habitat Baseline'!$AV$11:$AV$258,'G-2 Habitat groups'!A14,'A-1 On-Site Habitat Baseline'!$Q$11:$Q$258)</f>
        <v>0</v>
      </c>
      <c r="G14" s="277">
        <f>SUMIF('A-1 On-Site Habitat Baseline'!$AV$11:$AV$258,'G-2 Habitat groups'!A14,'A-1 On-Site Habitat Baseline'!$S$11:$S$258)</f>
        <v>0</v>
      </c>
      <c r="H14" s="277">
        <f>SUMIF('A-1 On-Site Habitat Baseline'!$AV$11:$AV$258,'G-2 Habitat groups'!A14,'A-1 On-Site Habitat Baseline'!$U$11:$U$258)</f>
        <v>0</v>
      </c>
      <c r="I14" s="277">
        <f>SUMIF('A-1 On-Site Habitat Baseline'!$AV$11:$AV$258,'G-2 Habitat groups'!A14,'A-1 On-Site Habitat Baseline'!$W$11:$W$258)</f>
        <v>0</v>
      </c>
      <c r="J14" s="277">
        <f>SUMIF('A-1 On-Site Habitat Baseline'!$AV$11:$AV$258,'G-2 Habitat groups'!A14,'A-1 On-Site Habitat Baseline'!$X$11:$X$258)</f>
        <v>0</v>
      </c>
      <c r="K14" s="277">
        <f>SUMIF('A-2 On-Site Habitat Creation'!$F$11:$F$256,'G-2 Habitat groups'!A14,'A-2 On-Site Habitat Creation'!$G$11:$G$256)</f>
        <v>0</v>
      </c>
      <c r="L14" s="277">
        <f>SUMIF('A-2 On-Site Habitat Creation'!$F$11:$F$256,'G-2 Habitat groups'!A14,'A-2 On-Site Habitat Creation'!$Y$11:$Y$256)</f>
        <v>0</v>
      </c>
      <c r="M14" s="277">
        <f>SUMIF('A-3 On-Site Habitat Enhancement'!$S$12:$S$257,'G-2 Habitat groups'!A14,'A-3 On-Site Habitat Enhancement'!$V$12:$V$257)</f>
        <v>0</v>
      </c>
      <c r="N14" s="277">
        <f>SUMIF('A-3 On-Site Habitat Enhancement'!$S$12:$S$257,'G-2 Habitat groups'!A14,'A-3 On-Site Habitat Enhancement'!$AN$12:$AN$257)</f>
        <v>0</v>
      </c>
      <c r="O14" s="277">
        <f t="shared" si="0"/>
        <v>0</v>
      </c>
      <c r="P14" s="277">
        <f t="shared" si="1"/>
        <v>0</v>
      </c>
      <c r="Q14" s="277">
        <f t="shared" si="2"/>
        <v>0</v>
      </c>
      <c r="R14" s="277">
        <f t="shared" si="3"/>
        <v>0</v>
      </c>
      <c r="S14" s="277" t="e">
        <f>IF(C14="V.High",SUMIF(#REF!,'G-2 Habitat groups'!A14,#REF!)+SUMIF(#REF!,'G-2 Habitat groups'!A14,#REF!),SUMIF(#REF!,'G-2 Habitat groups'!A14,#REF!))</f>
        <v>#REF!</v>
      </c>
      <c r="T14" s="277" t="e">
        <f>SUMIF(#REF!,'G-2 Habitat groups'!A14,#REF!)</f>
        <v>#REF!</v>
      </c>
      <c r="U14" s="277" t="e">
        <f>SUMIF(#REF!,'G-2 Habitat groups'!A14,#REF!)</f>
        <v>#REF!</v>
      </c>
      <c r="V14" s="277" t="e">
        <f>SUMIF(#REF!,'G-2 Habitat groups'!A14,#REF!)</f>
        <v>#REF!</v>
      </c>
      <c r="W14" s="277" t="e">
        <f>SUMIF(#REF!,'G-2 Habitat groups'!A14,#REF!)</f>
        <v>#REF!</v>
      </c>
      <c r="X14" s="277" t="e">
        <f>SUMIF(#REF!,'G-2 Habitat groups'!A14,#REF!)</f>
        <v>#REF!</v>
      </c>
      <c r="Y14" s="277" t="e">
        <f>SUMIF(#REF!,'G-2 Habitat groups'!A14,#REF!)</f>
        <v>#REF!</v>
      </c>
      <c r="Z14" s="277" t="e">
        <f>SUMIF(#REF!,'G-2 Habitat groups'!A14,#REF!)</f>
        <v>#REF!</v>
      </c>
      <c r="AA14" s="277" t="e">
        <f t="shared" si="4"/>
        <v>#REF!</v>
      </c>
      <c r="AB14" s="277" t="e">
        <f t="shared" si="13"/>
        <v>#REF!</v>
      </c>
      <c r="AC14" s="277" t="e">
        <f t="shared" si="5"/>
        <v>#REF!</v>
      </c>
      <c r="AD14" s="277" t="e">
        <f t="shared" si="14"/>
        <v>#REF!</v>
      </c>
      <c r="AE14" s="277" t="e">
        <f t="shared" si="6"/>
        <v>#REF!</v>
      </c>
      <c r="AF14" s="277" t="e">
        <f t="shared" si="15"/>
        <v>#REF!</v>
      </c>
      <c r="AJ14" s="69" t="s">
        <v>56</v>
      </c>
      <c r="AK14" s="428">
        <f t="shared" si="7"/>
        <v>0</v>
      </c>
      <c r="AL14" s="428">
        <f t="shared" si="8"/>
        <v>0</v>
      </c>
      <c r="AM14" s="428">
        <f t="shared" si="9"/>
        <v>0</v>
      </c>
      <c r="AN14" s="428">
        <f t="shared" si="10"/>
        <v>0</v>
      </c>
      <c r="AO14" s="466">
        <f t="shared" si="11"/>
        <v>0</v>
      </c>
      <c r="AP14" s="466">
        <f t="shared" si="12"/>
        <v>0</v>
      </c>
      <c r="AU14" s="75" t="s">
        <v>579</v>
      </c>
      <c r="AV14" s="52" t="s">
        <v>52</v>
      </c>
      <c r="AW14" s="288">
        <f t="shared" si="17"/>
        <v>0</v>
      </c>
      <c r="AX14" s="288">
        <f t="shared" si="18"/>
        <v>0</v>
      </c>
      <c r="AY14" s="288">
        <f t="shared" si="19"/>
        <v>0</v>
      </c>
      <c r="AZ14" s="288">
        <f t="shared" si="20"/>
        <v>0</v>
      </c>
      <c r="BA14" s="288">
        <f t="shared" si="21"/>
        <v>0</v>
      </c>
      <c r="BB14" s="288">
        <f t="shared" si="22"/>
        <v>0</v>
      </c>
      <c r="BC14" s="288" t="e">
        <f t="shared" si="23"/>
        <v>#REF!</v>
      </c>
      <c r="BD14" s="288" t="e">
        <f t="shared" si="24"/>
        <v>#REF!</v>
      </c>
      <c r="BE14" s="288" t="e">
        <f t="shared" si="25"/>
        <v>#REF!</v>
      </c>
      <c r="BF14" s="288" t="e">
        <f t="shared" si="26"/>
        <v>#REF!</v>
      </c>
      <c r="BG14" s="358">
        <f t="shared" si="16"/>
        <v>0</v>
      </c>
    </row>
    <row r="15" spans="1:59" x14ac:dyDescent="0.3">
      <c r="A15" s="63" t="str">
        <f>'G-1 All Habitats'!B14</f>
        <v>Grassland - Bracken</v>
      </c>
      <c r="B15" s="52" t="str">
        <f>'G-1 All Habitats'!F14</f>
        <v>Grassland</v>
      </c>
      <c r="C15" s="52" t="str">
        <f>'G-1 All Habitats'!K14</f>
        <v>Low</v>
      </c>
      <c r="D15" s="52" t="str">
        <f>'G-1 All Habitats'!M14</f>
        <v>Same distinctiveness or better habitat required ≥</v>
      </c>
      <c r="E15" s="277">
        <f>IF(C15="V.High",SUMIF('A-1 On-Site Habitat Baseline'!$AV$11:$AV$258,'G-2 Habitat groups'!A15,'A-1 On-Site Habitat Baseline'!$S$11:$S$258)+SUMIF('A-1 On-Site Habitat Baseline'!$AV$11:$AV$258,'G-2 Habitat groups'!A15,'A-1 On-Site Habitat Baseline'!$T$11:$T$258),SUMIF('A-1 On-Site Habitat Baseline'!$AV$11:$AV$258,'G-2 Habitat groups'!A15,'A-1 On-Site Habitat Baseline'!$H$11:$H$258))</f>
        <v>0</v>
      </c>
      <c r="F15" s="277">
        <f>SUMIF('A-1 On-Site Habitat Baseline'!$AV$11:$AV$258,'G-2 Habitat groups'!A15,'A-1 On-Site Habitat Baseline'!$Q$11:$Q$258)</f>
        <v>0</v>
      </c>
      <c r="G15" s="277">
        <f>SUMIF('A-1 On-Site Habitat Baseline'!$AV$11:$AV$258,'G-2 Habitat groups'!A15,'A-1 On-Site Habitat Baseline'!$S$11:$S$258)</f>
        <v>0</v>
      </c>
      <c r="H15" s="277">
        <f>SUMIF('A-1 On-Site Habitat Baseline'!$AV$11:$AV$258,'G-2 Habitat groups'!A15,'A-1 On-Site Habitat Baseline'!$U$11:$U$258)</f>
        <v>0</v>
      </c>
      <c r="I15" s="277">
        <f>SUMIF('A-1 On-Site Habitat Baseline'!$AV$11:$AV$258,'G-2 Habitat groups'!A15,'A-1 On-Site Habitat Baseline'!$W$11:$W$258)</f>
        <v>0</v>
      </c>
      <c r="J15" s="277">
        <f>SUMIF('A-1 On-Site Habitat Baseline'!$AV$11:$AV$258,'G-2 Habitat groups'!A15,'A-1 On-Site Habitat Baseline'!$X$11:$X$258)</f>
        <v>0</v>
      </c>
      <c r="K15" s="277">
        <f>SUMIF('A-2 On-Site Habitat Creation'!$F$11:$F$256,'G-2 Habitat groups'!A15,'A-2 On-Site Habitat Creation'!$G$11:$G$256)</f>
        <v>0</v>
      </c>
      <c r="L15" s="277">
        <f>SUMIF('A-2 On-Site Habitat Creation'!$F$11:$F$256,'G-2 Habitat groups'!A15,'A-2 On-Site Habitat Creation'!$Y$11:$Y$256)</f>
        <v>0</v>
      </c>
      <c r="M15" s="277">
        <f>SUMIF('A-3 On-Site Habitat Enhancement'!$S$12:$S$257,'G-2 Habitat groups'!A15,'A-3 On-Site Habitat Enhancement'!$V$12:$V$257)</f>
        <v>0</v>
      </c>
      <c r="N15" s="277">
        <f>SUMIF('A-3 On-Site Habitat Enhancement'!$S$12:$S$257,'G-2 Habitat groups'!A15,'A-3 On-Site Habitat Enhancement'!$AN$12:$AN$257)</f>
        <v>0</v>
      </c>
      <c r="O15" s="277">
        <f t="shared" si="0"/>
        <v>0</v>
      </c>
      <c r="P15" s="277">
        <f t="shared" si="1"/>
        <v>0</v>
      </c>
      <c r="Q15" s="277">
        <f t="shared" si="2"/>
        <v>0</v>
      </c>
      <c r="R15" s="277">
        <f t="shared" si="3"/>
        <v>0</v>
      </c>
      <c r="S15" s="277" t="e">
        <f>IF(C15="V.High",SUMIF(#REF!,'G-2 Habitat groups'!A15,#REF!)+SUMIF(#REF!,'G-2 Habitat groups'!A15,#REF!),SUMIF(#REF!,'G-2 Habitat groups'!A15,#REF!))</f>
        <v>#REF!</v>
      </c>
      <c r="T15" s="277" t="e">
        <f>SUMIF(#REF!,'G-2 Habitat groups'!A15,#REF!)</f>
        <v>#REF!</v>
      </c>
      <c r="U15" s="277" t="e">
        <f>SUMIF(#REF!,'G-2 Habitat groups'!A15,#REF!)</f>
        <v>#REF!</v>
      </c>
      <c r="V15" s="277" t="e">
        <f>SUMIF(#REF!,'G-2 Habitat groups'!A15,#REF!)</f>
        <v>#REF!</v>
      </c>
      <c r="W15" s="277" t="e">
        <f>SUMIF(#REF!,'G-2 Habitat groups'!A15,#REF!)</f>
        <v>#REF!</v>
      </c>
      <c r="X15" s="277" t="e">
        <f>SUMIF(#REF!,'G-2 Habitat groups'!A15,#REF!)</f>
        <v>#REF!</v>
      </c>
      <c r="Y15" s="277" t="e">
        <f>SUMIF(#REF!,'G-2 Habitat groups'!A15,#REF!)</f>
        <v>#REF!</v>
      </c>
      <c r="Z15" s="277" t="e">
        <f>SUMIF(#REF!,'G-2 Habitat groups'!A15,#REF!)</f>
        <v>#REF!</v>
      </c>
      <c r="AA15" s="277" t="e">
        <f t="shared" si="4"/>
        <v>#REF!</v>
      </c>
      <c r="AB15" s="277" t="e">
        <f t="shared" si="13"/>
        <v>#REF!</v>
      </c>
      <c r="AC15" s="277" t="e">
        <f t="shared" si="5"/>
        <v>#REF!</v>
      </c>
      <c r="AD15" s="277" t="e">
        <f t="shared" si="14"/>
        <v>#REF!</v>
      </c>
      <c r="AE15" s="277" t="e">
        <f t="shared" si="6"/>
        <v>#REF!</v>
      </c>
      <c r="AF15" s="277" t="e">
        <f t="shared" si="15"/>
        <v>#REF!</v>
      </c>
      <c r="AJ15" s="68" t="s">
        <v>57</v>
      </c>
      <c r="AK15" s="428">
        <f t="shared" si="7"/>
        <v>0</v>
      </c>
      <c r="AL15" s="428">
        <f t="shared" si="8"/>
        <v>0</v>
      </c>
      <c r="AM15" s="428">
        <f t="shared" si="9"/>
        <v>0</v>
      </c>
      <c r="AN15" s="428">
        <f t="shared" si="10"/>
        <v>0</v>
      </c>
      <c r="AO15" s="466">
        <f t="shared" si="11"/>
        <v>0</v>
      </c>
      <c r="AP15" s="466">
        <f t="shared" si="12"/>
        <v>0</v>
      </c>
      <c r="AU15" s="75" t="s">
        <v>585</v>
      </c>
      <c r="AV15" s="52" t="s">
        <v>52</v>
      </c>
      <c r="AW15" s="288">
        <f t="shared" si="17"/>
        <v>0</v>
      </c>
      <c r="AX15" s="288">
        <f t="shared" si="18"/>
        <v>0</v>
      </c>
      <c r="AY15" s="288">
        <f t="shared" si="19"/>
        <v>0</v>
      </c>
      <c r="AZ15" s="288">
        <f t="shared" si="20"/>
        <v>0</v>
      </c>
      <c r="BA15" s="288">
        <f t="shared" si="21"/>
        <v>0</v>
      </c>
      <c r="BB15" s="288">
        <f t="shared" si="22"/>
        <v>0</v>
      </c>
      <c r="BC15" s="288" t="e">
        <f t="shared" si="23"/>
        <v>#REF!</v>
      </c>
      <c r="BD15" s="288" t="e">
        <f t="shared" si="24"/>
        <v>#REF!</v>
      </c>
      <c r="BE15" s="288" t="e">
        <f t="shared" si="25"/>
        <v>#REF!</v>
      </c>
      <c r="BF15" s="288" t="e">
        <f t="shared" si="26"/>
        <v>#REF!</v>
      </c>
      <c r="BG15" s="358">
        <f t="shared" si="16"/>
        <v>0</v>
      </c>
    </row>
    <row r="16" spans="1:59" x14ac:dyDescent="0.3">
      <c r="A16" s="63" t="str">
        <f>'G-1 All Habitats'!B15</f>
        <v>Grassland - Floodplain wetland mosaic and CFGM</v>
      </c>
      <c r="B16" s="52">
        <f>'G-1 All Habitats'!F15</f>
        <v>0</v>
      </c>
      <c r="C16" s="52" t="str">
        <f>'G-1 All Habitats'!K15</f>
        <v>High</v>
      </c>
      <c r="D16" s="52" t="str">
        <f>'G-1 All Habitats'!M15</f>
        <v>Same habitat required =</v>
      </c>
      <c r="E16" s="277">
        <f>IF(C16="V.High",SUMIF('A-1 On-Site Habitat Baseline'!$AV$11:$AV$258,'G-2 Habitat groups'!A16,'A-1 On-Site Habitat Baseline'!$S$11:$S$258)+SUMIF('A-1 On-Site Habitat Baseline'!$AV$11:$AV$258,'G-2 Habitat groups'!A16,'A-1 On-Site Habitat Baseline'!$T$11:$T$258),SUMIF('A-1 On-Site Habitat Baseline'!$AV$11:$AV$258,'G-2 Habitat groups'!A16,'A-1 On-Site Habitat Baseline'!$H$11:$H$258))</f>
        <v>0</v>
      </c>
      <c r="F16" s="277">
        <f>SUMIF('A-1 On-Site Habitat Baseline'!$AV$11:$AV$258,'G-2 Habitat groups'!A16,'A-1 On-Site Habitat Baseline'!$Q$11:$Q$258)</f>
        <v>0</v>
      </c>
      <c r="G16" s="277">
        <f>SUMIF('A-1 On-Site Habitat Baseline'!$AV$11:$AV$258,'G-2 Habitat groups'!A16,'A-1 On-Site Habitat Baseline'!$S$11:$S$258)</f>
        <v>0</v>
      </c>
      <c r="H16" s="277">
        <f>SUMIF('A-1 On-Site Habitat Baseline'!$AV$11:$AV$258,'G-2 Habitat groups'!A16,'A-1 On-Site Habitat Baseline'!$U$11:$U$258)</f>
        <v>0</v>
      </c>
      <c r="I16" s="277">
        <f>SUMIF('A-1 On-Site Habitat Baseline'!$AV$11:$AV$258,'G-2 Habitat groups'!A16,'A-1 On-Site Habitat Baseline'!$W$11:$W$258)</f>
        <v>0</v>
      </c>
      <c r="J16" s="277">
        <f>SUMIF('A-1 On-Site Habitat Baseline'!$AV$11:$AV$258,'G-2 Habitat groups'!A16,'A-1 On-Site Habitat Baseline'!$X$11:$X$258)</f>
        <v>0</v>
      </c>
      <c r="K16" s="277">
        <f>SUMIF('A-2 On-Site Habitat Creation'!$F$11:$F$256,'G-2 Habitat groups'!A16,'A-2 On-Site Habitat Creation'!$G$11:$G$256)</f>
        <v>0</v>
      </c>
      <c r="L16" s="277">
        <f>SUMIF('A-2 On-Site Habitat Creation'!$F$11:$F$256,'G-2 Habitat groups'!A16,'A-2 On-Site Habitat Creation'!$Y$11:$Y$256)</f>
        <v>0</v>
      </c>
      <c r="M16" s="277">
        <f>SUMIF('A-3 On-Site Habitat Enhancement'!$S$12:$S$257,'G-2 Habitat groups'!A16,'A-3 On-Site Habitat Enhancement'!$V$12:$V$257)</f>
        <v>0</v>
      </c>
      <c r="N16" s="277">
        <f>SUMIF('A-3 On-Site Habitat Enhancement'!$S$12:$S$257,'G-2 Habitat groups'!A16,'A-3 On-Site Habitat Enhancement'!$AN$12:$AN$257)</f>
        <v>0</v>
      </c>
      <c r="O16" s="277">
        <f t="shared" si="0"/>
        <v>0</v>
      </c>
      <c r="P16" s="277">
        <f t="shared" si="1"/>
        <v>0</v>
      </c>
      <c r="Q16" s="277">
        <f t="shared" si="2"/>
        <v>0</v>
      </c>
      <c r="R16" s="277">
        <f t="shared" si="3"/>
        <v>0</v>
      </c>
      <c r="S16" s="277" t="e">
        <f>IF(C16="V.High",SUMIF(#REF!,'G-2 Habitat groups'!A16,#REF!)+SUMIF(#REF!,'G-2 Habitat groups'!A16,#REF!),SUMIF(#REF!,'G-2 Habitat groups'!A16,#REF!))</f>
        <v>#REF!</v>
      </c>
      <c r="T16" s="277" t="e">
        <f>SUMIF(#REF!,'G-2 Habitat groups'!A16,#REF!)</f>
        <v>#REF!</v>
      </c>
      <c r="U16" s="277" t="e">
        <f>SUMIF(#REF!,'G-2 Habitat groups'!A16,#REF!)</f>
        <v>#REF!</v>
      </c>
      <c r="V16" s="277" t="e">
        <f>SUMIF(#REF!,'G-2 Habitat groups'!A16,#REF!)</f>
        <v>#REF!</v>
      </c>
      <c r="W16" s="277" t="e">
        <f>SUMIF(#REF!,'G-2 Habitat groups'!A16,#REF!)</f>
        <v>#REF!</v>
      </c>
      <c r="X16" s="277" t="e">
        <f>SUMIF(#REF!,'G-2 Habitat groups'!A16,#REF!)</f>
        <v>#REF!</v>
      </c>
      <c r="Y16" s="277" t="e">
        <f>SUMIF(#REF!,'G-2 Habitat groups'!A16,#REF!)</f>
        <v>#REF!</v>
      </c>
      <c r="Z16" s="277" t="e">
        <f>SUMIF(#REF!,'G-2 Habitat groups'!A16,#REF!)</f>
        <v>#REF!</v>
      </c>
      <c r="AA16" s="277" t="e">
        <f t="shared" si="4"/>
        <v>#REF!</v>
      </c>
      <c r="AB16" s="277" t="e">
        <f t="shared" si="13"/>
        <v>#REF!</v>
      </c>
      <c r="AC16" s="277" t="e">
        <f t="shared" si="5"/>
        <v>#REF!</v>
      </c>
      <c r="AD16" s="277" t="e">
        <f t="shared" si="14"/>
        <v>#REF!</v>
      </c>
      <c r="AE16" s="277" t="e">
        <f t="shared" si="6"/>
        <v>#REF!</v>
      </c>
      <c r="AF16" s="277" t="e">
        <f t="shared" si="15"/>
        <v>#REF!</v>
      </c>
      <c r="AJ16" s="68" t="s">
        <v>58</v>
      </c>
      <c r="AK16" s="428">
        <f t="shared" si="7"/>
        <v>0</v>
      </c>
      <c r="AL16" s="428">
        <f t="shared" si="8"/>
        <v>0</v>
      </c>
      <c r="AM16" s="428">
        <f t="shared" si="9"/>
        <v>0</v>
      </c>
      <c r="AN16" s="428">
        <f t="shared" si="10"/>
        <v>0</v>
      </c>
      <c r="AO16" s="466">
        <f t="shared" si="11"/>
        <v>0</v>
      </c>
      <c r="AP16" s="466">
        <f t="shared" si="12"/>
        <v>0</v>
      </c>
      <c r="AU16" s="75" t="s">
        <v>588</v>
      </c>
      <c r="AV16" s="52" t="s">
        <v>52</v>
      </c>
      <c r="AW16" s="288">
        <f t="shared" si="17"/>
        <v>0</v>
      </c>
      <c r="AX16" s="288">
        <f t="shared" si="18"/>
        <v>0</v>
      </c>
      <c r="AY16" s="288">
        <f t="shared" si="19"/>
        <v>0</v>
      </c>
      <c r="AZ16" s="288">
        <f t="shared" si="20"/>
        <v>0</v>
      </c>
      <c r="BA16" s="288">
        <f t="shared" si="21"/>
        <v>0</v>
      </c>
      <c r="BB16" s="288">
        <f t="shared" si="22"/>
        <v>0</v>
      </c>
      <c r="BC16" s="288" t="e">
        <f t="shared" si="23"/>
        <v>#REF!</v>
      </c>
      <c r="BD16" s="288" t="e">
        <f t="shared" si="24"/>
        <v>#REF!</v>
      </c>
      <c r="BE16" s="288" t="e">
        <f t="shared" si="25"/>
        <v>#REF!</v>
      </c>
      <c r="BF16" s="288" t="e">
        <f t="shared" si="26"/>
        <v>#REF!</v>
      </c>
      <c r="BG16" s="358">
        <f t="shared" si="16"/>
        <v>0</v>
      </c>
    </row>
    <row r="17" spans="1:59" x14ac:dyDescent="0.3">
      <c r="A17" s="63" t="str">
        <f>'G-1 All Habitats'!B16</f>
        <v>Grassland - Lowland calcareous grassland</v>
      </c>
      <c r="B17" s="52" t="str">
        <f>'G-1 All Habitats'!F16</f>
        <v>Grassland</v>
      </c>
      <c r="C17" s="52" t="str">
        <f>'G-1 All Habitats'!K16</f>
        <v>High</v>
      </c>
      <c r="D17" s="52" t="str">
        <f>'G-1 All Habitats'!M16</f>
        <v>Same habitat required =</v>
      </c>
      <c r="E17" s="277">
        <f>IF(C17="V.High",SUMIF('A-1 On-Site Habitat Baseline'!$AV$11:$AV$258,'G-2 Habitat groups'!A17,'A-1 On-Site Habitat Baseline'!$S$11:$S$258)+SUMIF('A-1 On-Site Habitat Baseline'!$AV$11:$AV$258,'G-2 Habitat groups'!A17,'A-1 On-Site Habitat Baseline'!$T$11:$T$258),SUMIF('A-1 On-Site Habitat Baseline'!$AV$11:$AV$258,'G-2 Habitat groups'!A17,'A-1 On-Site Habitat Baseline'!$H$11:$H$258))</f>
        <v>0</v>
      </c>
      <c r="F17" s="277">
        <f>SUMIF('A-1 On-Site Habitat Baseline'!$AV$11:$AV$258,'G-2 Habitat groups'!A17,'A-1 On-Site Habitat Baseline'!$Q$11:$Q$258)</f>
        <v>0</v>
      </c>
      <c r="G17" s="277">
        <f>SUMIF('A-1 On-Site Habitat Baseline'!$AV$11:$AV$258,'G-2 Habitat groups'!A17,'A-1 On-Site Habitat Baseline'!$S$11:$S$258)</f>
        <v>0</v>
      </c>
      <c r="H17" s="277">
        <f>SUMIF('A-1 On-Site Habitat Baseline'!$AV$11:$AV$258,'G-2 Habitat groups'!A17,'A-1 On-Site Habitat Baseline'!$U$11:$U$258)</f>
        <v>0</v>
      </c>
      <c r="I17" s="277">
        <f>SUMIF('A-1 On-Site Habitat Baseline'!$AV$11:$AV$258,'G-2 Habitat groups'!A17,'A-1 On-Site Habitat Baseline'!$W$11:$W$258)</f>
        <v>0</v>
      </c>
      <c r="J17" s="277">
        <f>SUMIF('A-1 On-Site Habitat Baseline'!$AV$11:$AV$258,'G-2 Habitat groups'!A17,'A-1 On-Site Habitat Baseline'!$X$11:$X$258)</f>
        <v>0</v>
      </c>
      <c r="K17" s="277">
        <f>SUMIF('A-2 On-Site Habitat Creation'!$F$11:$F$256,'G-2 Habitat groups'!A17,'A-2 On-Site Habitat Creation'!$G$11:$G$256)</f>
        <v>0</v>
      </c>
      <c r="L17" s="277">
        <f>SUMIF('A-2 On-Site Habitat Creation'!$F$11:$F$256,'G-2 Habitat groups'!A17,'A-2 On-Site Habitat Creation'!$Y$11:$Y$256)</f>
        <v>0</v>
      </c>
      <c r="M17" s="277">
        <f>SUMIF('A-3 On-Site Habitat Enhancement'!$S$12:$S$257,'G-2 Habitat groups'!A17,'A-3 On-Site Habitat Enhancement'!$V$12:$V$257)</f>
        <v>0</v>
      </c>
      <c r="N17" s="277">
        <f>SUMIF('A-3 On-Site Habitat Enhancement'!$S$12:$S$257,'G-2 Habitat groups'!A17,'A-3 On-Site Habitat Enhancement'!$AN$12:$AN$257)</f>
        <v>0</v>
      </c>
      <c r="O17" s="277">
        <f t="shared" si="0"/>
        <v>0</v>
      </c>
      <c r="P17" s="277">
        <f t="shared" si="1"/>
        <v>0</v>
      </c>
      <c r="Q17" s="277">
        <f t="shared" si="2"/>
        <v>0</v>
      </c>
      <c r="R17" s="277">
        <f t="shared" si="3"/>
        <v>0</v>
      </c>
      <c r="S17" s="277" t="e">
        <f>IF(C17="V.High",SUMIF(#REF!,'G-2 Habitat groups'!A17,#REF!)+SUMIF(#REF!,'G-2 Habitat groups'!A17,#REF!),SUMIF(#REF!,'G-2 Habitat groups'!A17,#REF!))</f>
        <v>#REF!</v>
      </c>
      <c r="T17" s="277" t="e">
        <f>SUMIF(#REF!,'G-2 Habitat groups'!A17,#REF!)</f>
        <v>#REF!</v>
      </c>
      <c r="U17" s="277" t="e">
        <f>SUMIF(#REF!,'G-2 Habitat groups'!A17,#REF!)</f>
        <v>#REF!</v>
      </c>
      <c r="V17" s="277" t="e">
        <f>SUMIF(#REF!,'G-2 Habitat groups'!A17,#REF!)</f>
        <v>#REF!</v>
      </c>
      <c r="W17" s="277" t="e">
        <f>SUMIF(#REF!,'G-2 Habitat groups'!A17,#REF!)</f>
        <v>#REF!</v>
      </c>
      <c r="X17" s="277" t="e">
        <f>SUMIF(#REF!,'G-2 Habitat groups'!A17,#REF!)</f>
        <v>#REF!</v>
      </c>
      <c r="Y17" s="277" t="e">
        <f>SUMIF(#REF!,'G-2 Habitat groups'!A17,#REF!)</f>
        <v>#REF!</v>
      </c>
      <c r="Z17" s="277" t="e">
        <f>SUMIF(#REF!,'G-2 Habitat groups'!A17,#REF!)</f>
        <v>#REF!</v>
      </c>
      <c r="AA17" s="277" t="e">
        <f t="shared" si="4"/>
        <v>#REF!</v>
      </c>
      <c r="AB17" s="277" t="e">
        <f t="shared" si="13"/>
        <v>#REF!</v>
      </c>
      <c r="AC17" s="277" t="e">
        <f t="shared" si="5"/>
        <v>#REF!</v>
      </c>
      <c r="AD17" s="277" t="e">
        <f t="shared" si="14"/>
        <v>#REF!</v>
      </c>
      <c r="AE17" s="277" t="e">
        <f t="shared" si="6"/>
        <v>#REF!</v>
      </c>
      <c r="AF17" s="277" t="e">
        <f t="shared" si="15"/>
        <v>#REF!</v>
      </c>
      <c r="AJ17" s="465" t="s">
        <v>60</v>
      </c>
      <c r="AK17" s="428">
        <f>SUMIF($B:$B,$AJ17,E:E)</f>
        <v>0</v>
      </c>
      <c r="AL17" s="428">
        <f t="shared" si="8"/>
        <v>0</v>
      </c>
      <c r="AM17" s="428">
        <f t="shared" si="9"/>
        <v>0</v>
      </c>
      <c r="AN17" s="428">
        <f t="shared" si="10"/>
        <v>0</v>
      </c>
      <c r="AO17" s="428">
        <f t="shared" si="11"/>
        <v>0</v>
      </c>
      <c r="AP17" s="428">
        <f t="shared" si="12"/>
        <v>0</v>
      </c>
      <c r="AU17" s="75" t="s">
        <v>593</v>
      </c>
      <c r="AV17" s="52" t="s">
        <v>52</v>
      </c>
      <c r="AW17" s="288">
        <f t="shared" si="17"/>
        <v>0</v>
      </c>
      <c r="AX17" s="288">
        <f t="shared" si="18"/>
        <v>0</v>
      </c>
      <c r="AY17" s="288">
        <f t="shared" si="19"/>
        <v>0</v>
      </c>
      <c r="AZ17" s="288">
        <f t="shared" si="20"/>
        <v>0</v>
      </c>
      <c r="BA17" s="288">
        <f t="shared" si="21"/>
        <v>0</v>
      </c>
      <c r="BB17" s="288">
        <f t="shared" si="22"/>
        <v>0</v>
      </c>
      <c r="BC17" s="288" t="e">
        <f t="shared" si="23"/>
        <v>#REF!</v>
      </c>
      <c r="BD17" s="288" t="e">
        <f t="shared" si="24"/>
        <v>#REF!</v>
      </c>
      <c r="BE17" s="288" t="e">
        <f t="shared" si="25"/>
        <v>#REF!</v>
      </c>
      <c r="BF17" s="288" t="e">
        <f t="shared" si="26"/>
        <v>#REF!</v>
      </c>
      <c r="BG17" s="358">
        <f t="shared" si="16"/>
        <v>0</v>
      </c>
    </row>
    <row r="18" spans="1:59" x14ac:dyDescent="0.3">
      <c r="A18" s="63" t="str">
        <f>'G-1 All Habitats'!B17</f>
        <v>Grassland - Lowland dry acid grassland</v>
      </c>
      <c r="B18" s="52" t="str">
        <f>'G-1 All Habitats'!F17</f>
        <v>Grassland</v>
      </c>
      <c r="C18" s="52" t="str">
        <f>'G-1 All Habitats'!K17</f>
        <v>V.High</v>
      </c>
      <c r="D18" s="52" t="str">
        <f>'G-1 All Habitats'!M17</f>
        <v>Bespoke compensation likely to be required 🛠</v>
      </c>
      <c r="E18" s="277">
        <f>IF(C18="V.High",SUMIF('A-1 On-Site Habitat Baseline'!$AV$11:$AV$258,'G-2 Habitat groups'!A18,'A-1 On-Site Habitat Baseline'!$S$11:$S$258)+SUMIF('A-1 On-Site Habitat Baseline'!$AV$11:$AV$258,'G-2 Habitat groups'!A18,'A-1 On-Site Habitat Baseline'!$T$11:$T$258),SUMIF('A-1 On-Site Habitat Baseline'!$AV$11:$AV$258,'G-2 Habitat groups'!A18,'A-1 On-Site Habitat Baseline'!$H$11:$H$258))</f>
        <v>0</v>
      </c>
      <c r="F18" s="277">
        <f>SUMIF('A-1 On-Site Habitat Baseline'!$AV$11:$AV$258,'G-2 Habitat groups'!A18,'A-1 On-Site Habitat Baseline'!$Q$11:$Q$258)</f>
        <v>0</v>
      </c>
      <c r="G18" s="277">
        <f>SUMIF('A-1 On-Site Habitat Baseline'!$AV$11:$AV$258,'G-2 Habitat groups'!A18,'A-1 On-Site Habitat Baseline'!$S$11:$S$258)</f>
        <v>0</v>
      </c>
      <c r="H18" s="277">
        <f>SUMIF('A-1 On-Site Habitat Baseline'!$AV$11:$AV$258,'G-2 Habitat groups'!A18,'A-1 On-Site Habitat Baseline'!$U$11:$U$258)</f>
        <v>0</v>
      </c>
      <c r="I18" s="277">
        <f>SUMIF('A-1 On-Site Habitat Baseline'!$AV$11:$AV$258,'G-2 Habitat groups'!A18,'A-1 On-Site Habitat Baseline'!$W$11:$W$258)</f>
        <v>0</v>
      </c>
      <c r="J18" s="277">
        <f>SUMIF('A-1 On-Site Habitat Baseline'!$AV$11:$AV$258,'G-2 Habitat groups'!A18,'A-1 On-Site Habitat Baseline'!$X$11:$X$258)</f>
        <v>0</v>
      </c>
      <c r="K18" s="277">
        <f>SUMIF('A-2 On-Site Habitat Creation'!$F$11:$F$256,'G-2 Habitat groups'!A18,'A-2 On-Site Habitat Creation'!$G$11:$G$256)</f>
        <v>0</v>
      </c>
      <c r="L18" s="277">
        <f>SUMIF('A-2 On-Site Habitat Creation'!$F$11:$F$256,'G-2 Habitat groups'!A18,'A-2 On-Site Habitat Creation'!$Y$11:$Y$256)</f>
        <v>0</v>
      </c>
      <c r="M18" s="277">
        <f>SUMIF('A-3 On-Site Habitat Enhancement'!$S$12:$S$257,'G-2 Habitat groups'!A18,'A-3 On-Site Habitat Enhancement'!$V$12:$V$257)</f>
        <v>0</v>
      </c>
      <c r="N18" s="277">
        <f>SUMIF('A-3 On-Site Habitat Enhancement'!$S$12:$S$257,'G-2 Habitat groups'!A18,'A-3 On-Site Habitat Enhancement'!$AN$12:$AN$257)</f>
        <v>0</v>
      </c>
      <c r="O18" s="277">
        <f t="shared" si="0"/>
        <v>0</v>
      </c>
      <c r="P18" s="277">
        <f t="shared" si="1"/>
        <v>0</v>
      </c>
      <c r="Q18" s="277">
        <f t="shared" si="2"/>
        <v>0</v>
      </c>
      <c r="R18" s="277">
        <f t="shared" si="3"/>
        <v>0</v>
      </c>
      <c r="S18" s="277" t="e">
        <f>IF(C18="V.High",SUMIF(#REF!,'G-2 Habitat groups'!A18,#REF!)+SUMIF(#REF!,'G-2 Habitat groups'!A18,#REF!),SUMIF(#REF!,'G-2 Habitat groups'!A18,#REF!))</f>
        <v>#REF!</v>
      </c>
      <c r="T18" s="277" t="e">
        <f>SUMIF(#REF!,'G-2 Habitat groups'!A18,#REF!)</f>
        <v>#REF!</v>
      </c>
      <c r="U18" s="277" t="e">
        <f>SUMIF(#REF!,'G-2 Habitat groups'!A18,#REF!)</f>
        <v>#REF!</v>
      </c>
      <c r="V18" s="277" t="e">
        <f>SUMIF(#REF!,'G-2 Habitat groups'!A18,#REF!)</f>
        <v>#REF!</v>
      </c>
      <c r="W18" s="277" t="e">
        <f>SUMIF(#REF!,'G-2 Habitat groups'!A18,#REF!)</f>
        <v>#REF!</v>
      </c>
      <c r="X18" s="277" t="e">
        <f>SUMIF(#REF!,'G-2 Habitat groups'!A18,#REF!)</f>
        <v>#REF!</v>
      </c>
      <c r="Y18" s="277" t="e">
        <f>SUMIF(#REF!,'G-2 Habitat groups'!A18,#REF!)</f>
        <v>#REF!</v>
      </c>
      <c r="Z18" s="277" t="e">
        <f>SUMIF(#REF!,'G-2 Habitat groups'!A18,#REF!)</f>
        <v>#REF!</v>
      </c>
      <c r="AA18" s="277" t="e">
        <f t="shared" si="4"/>
        <v>#REF!</v>
      </c>
      <c r="AB18" s="277" t="e">
        <f t="shared" si="13"/>
        <v>#REF!</v>
      </c>
      <c r="AC18" s="277" t="e">
        <f t="shared" si="5"/>
        <v>#REF!</v>
      </c>
      <c r="AD18" s="277" t="e">
        <f t="shared" si="14"/>
        <v>#REF!</v>
      </c>
      <c r="AE18" s="277" t="e">
        <f t="shared" si="6"/>
        <v>#REF!</v>
      </c>
      <c r="AF18" s="277" t="e">
        <f t="shared" si="15"/>
        <v>#REF!</v>
      </c>
      <c r="AJ18" s="465" t="s">
        <v>59</v>
      </c>
      <c r="AK18" s="428">
        <f>SUMIF($B:$B,$AJ18,E:E)</f>
        <v>0</v>
      </c>
      <c r="AL18" s="428">
        <f t="shared" si="8"/>
        <v>0</v>
      </c>
      <c r="AM18" s="428">
        <f t="shared" si="9"/>
        <v>0</v>
      </c>
      <c r="AN18" s="428">
        <f t="shared" si="10"/>
        <v>0</v>
      </c>
      <c r="AO18" s="428">
        <f t="shared" si="11"/>
        <v>0</v>
      </c>
      <c r="AP18" s="428">
        <f t="shared" si="12"/>
        <v>0</v>
      </c>
      <c r="AU18" s="75" t="s">
        <v>599</v>
      </c>
      <c r="AV18" s="52" t="s">
        <v>52</v>
      </c>
      <c r="AW18" s="288">
        <f t="shared" si="17"/>
        <v>0</v>
      </c>
      <c r="AX18" s="288">
        <f t="shared" si="18"/>
        <v>0</v>
      </c>
      <c r="AY18" s="288">
        <f t="shared" si="19"/>
        <v>0</v>
      </c>
      <c r="AZ18" s="288">
        <f t="shared" si="20"/>
        <v>0</v>
      </c>
      <c r="BA18" s="288">
        <f t="shared" si="21"/>
        <v>0</v>
      </c>
      <c r="BB18" s="288">
        <f t="shared" si="22"/>
        <v>0</v>
      </c>
      <c r="BC18" s="288" t="e">
        <f t="shared" si="23"/>
        <v>#REF!</v>
      </c>
      <c r="BD18" s="288" t="e">
        <f t="shared" si="24"/>
        <v>#REF!</v>
      </c>
      <c r="BE18" s="288" t="e">
        <f t="shared" si="25"/>
        <v>#REF!</v>
      </c>
      <c r="BF18" s="288" t="e">
        <f t="shared" si="26"/>
        <v>#REF!</v>
      </c>
      <c r="BG18" s="358">
        <f t="shared" si="16"/>
        <v>0</v>
      </c>
    </row>
    <row r="19" spans="1:59" x14ac:dyDescent="0.3">
      <c r="A19" s="63" t="str">
        <f>'G-1 All Habitats'!B18</f>
        <v>Grassland - Lowland meadows</v>
      </c>
      <c r="B19" s="52" t="str">
        <f>'G-1 All Habitats'!F18</f>
        <v>Grassland</v>
      </c>
      <c r="C19" s="52" t="str">
        <f>'G-1 All Habitats'!K18</f>
        <v>V.High</v>
      </c>
      <c r="D19" s="52" t="str">
        <f>'G-1 All Habitats'!M18</f>
        <v>Bespoke compensation likely to be required 🛠</v>
      </c>
      <c r="E19" s="277">
        <f>IF(C19="V.High",SUMIF('A-1 On-Site Habitat Baseline'!$AV$11:$AV$258,'G-2 Habitat groups'!A19,'A-1 On-Site Habitat Baseline'!$S$11:$S$258)+SUMIF('A-1 On-Site Habitat Baseline'!$AV$11:$AV$258,'G-2 Habitat groups'!A19,'A-1 On-Site Habitat Baseline'!$T$11:$T$258),SUMIF('A-1 On-Site Habitat Baseline'!$AV$11:$AV$258,'G-2 Habitat groups'!A19,'A-1 On-Site Habitat Baseline'!$H$11:$H$258))</f>
        <v>0</v>
      </c>
      <c r="F19" s="277">
        <f>SUMIF('A-1 On-Site Habitat Baseline'!$AV$11:$AV$258,'G-2 Habitat groups'!A19,'A-1 On-Site Habitat Baseline'!$Q$11:$Q$258)</f>
        <v>0</v>
      </c>
      <c r="G19" s="277">
        <f>SUMIF('A-1 On-Site Habitat Baseline'!$AV$11:$AV$258,'G-2 Habitat groups'!A19,'A-1 On-Site Habitat Baseline'!$S$11:$S$258)</f>
        <v>0</v>
      </c>
      <c r="H19" s="277">
        <f>SUMIF('A-1 On-Site Habitat Baseline'!$AV$11:$AV$258,'G-2 Habitat groups'!A19,'A-1 On-Site Habitat Baseline'!$U$11:$U$258)</f>
        <v>0</v>
      </c>
      <c r="I19" s="277">
        <f>SUMIF('A-1 On-Site Habitat Baseline'!$AV$11:$AV$258,'G-2 Habitat groups'!A19,'A-1 On-Site Habitat Baseline'!$W$11:$W$258)</f>
        <v>0</v>
      </c>
      <c r="J19" s="277">
        <f>SUMIF('A-1 On-Site Habitat Baseline'!$AV$11:$AV$258,'G-2 Habitat groups'!A19,'A-1 On-Site Habitat Baseline'!$X$11:$X$258)</f>
        <v>0</v>
      </c>
      <c r="K19" s="277">
        <f>SUMIF('A-2 On-Site Habitat Creation'!$F$11:$F$256,'G-2 Habitat groups'!A19,'A-2 On-Site Habitat Creation'!$G$11:$G$256)</f>
        <v>0</v>
      </c>
      <c r="L19" s="277">
        <f>SUMIF('A-2 On-Site Habitat Creation'!$F$11:$F$256,'G-2 Habitat groups'!A19,'A-2 On-Site Habitat Creation'!$Y$11:$Y$256)</f>
        <v>0</v>
      </c>
      <c r="M19" s="277">
        <f>SUMIF('A-3 On-Site Habitat Enhancement'!$S$12:$S$257,'G-2 Habitat groups'!A19,'A-3 On-Site Habitat Enhancement'!$V$12:$V$257)</f>
        <v>0</v>
      </c>
      <c r="N19" s="277">
        <f>SUMIF('A-3 On-Site Habitat Enhancement'!$S$12:$S$257,'G-2 Habitat groups'!A19,'A-3 On-Site Habitat Enhancement'!$AN$12:$AN$257)</f>
        <v>0</v>
      </c>
      <c r="O19" s="277">
        <f t="shared" si="0"/>
        <v>0</v>
      </c>
      <c r="P19" s="277">
        <f t="shared" si="1"/>
        <v>0</v>
      </c>
      <c r="Q19" s="277">
        <f t="shared" si="2"/>
        <v>0</v>
      </c>
      <c r="R19" s="277">
        <f t="shared" si="3"/>
        <v>0</v>
      </c>
      <c r="S19" s="277" t="e">
        <f>IF(C19="V.High",SUMIF(#REF!,'G-2 Habitat groups'!A19,#REF!)+SUMIF(#REF!,'G-2 Habitat groups'!A19,#REF!),SUMIF(#REF!,'G-2 Habitat groups'!A19,#REF!))</f>
        <v>#REF!</v>
      </c>
      <c r="T19" s="277" t="e">
        <f>SUMIF(#REF!,'G-2 Habitat groups'!A19,#REF!)</f>
        <v>#REF!</v>
      </c>
      <c r="U19" s="277" t="e">
        <f>SUMIF(#REF!,'G-2 Habitat groups'!A19,#REF!)</f>
        <v>#REF!</v>
      </c>
      <c r="V19" s="277" t="e">
        <f>SUMIF(#REF!,'G-2 Habitat groups'!A19,#REF!)</f>
        <v>#REF!</v>
      </c>
      <c r="W19" s="277" t="e">
        <f>SUMIF(#REF!,'G-2 Habitat groups'!A19,#REF!)</f>
        <v>#REF!</v>
      </c>
      <c r="X19" s="277" t="e">
        <f>SUMIF(#REF!,'G-2 Habitat groups'!A19,#REF!)</f>
        <v>#REF!</v>
      </c>
      <c r="Y19" s="277" t="e">
        <f>SUMIF(#REF!,'G-2 Habitat groups'!A19,#REF!)</f>
        <v>#REF!</v>
      </c>
      <c r="Z19" s="277" t="e">
        <f>SUMIF(#REF!,'G-2 Habitat groups'!A19,#REF!)</f>
        <v>#REF!</v>
      </c>
      <c r="AA19" s="277" t="e">
        <f t="shared" si="4"/>
        <v>#REF!</v>
      </c>
      <c r="AB19" s="277" t="e">
        <f t="shared" si="13"/>
        <v>#REF!</v>
      </c>
      <c r="AC19" s="277" t="e">
        <f t="shared" si="5"/>
        <v>#REF!</v>
      </c>
      <c r="AD19" s="277" t="e">
        <f t="shared" si="14"/>
        <v>#REF!</v>
      </c>
      <c r="AE19" s="277" t="e">
        <f t="shared" si="6"/>
        <v>#REF!</v>
      </c>
      <c r="AF19" s="277" t="e">
        <f t="shared" si="15"/>
        <v>#REF!</v>
      </c>
      <c r="AU19" s="75" t="s">
        <v>643</v>
      </c>
      <c r="AV19" s="75" t="s">
        <v>53</v>
      </c>
      <c r="AW19" s="359">
        <f t="shared" si="17"/>
        <v>0</v>
      </c>
      <c r="AX19" s="359">
        <f t="shared" si="18"/>
        <v>0</v>
      </c>
      <c r="AY19" s="359">
        <f t="shared" si="19"/>
        <v>0</v>
      </c>
      <c r="AZ19" s="359">
        <f t="shared" si="20"/>
        <v>0</v>
      </c>
      <c r="BA19" s="359">
        <f t="shared" si="21"/>
        <v>0</v>
      </c>
      <c r="BB19" s="359">
        <f t="shared" si="22"/>
        <v>0</v>
      </c>
      <c r="BC19" s="359" t="e">
        <f t="shared" si="23"/>
        <v>#REF!</v>
      </c>
      <c r="BD19" s="359" t="e">
        <f t="shared" si="24"/>
        <v>#REF!</v>
      </c>
      <c r="BE19" s="359" t="e">
        <f t="shared" si="25"/>
        <v>#REF!</v>
      </c>
      <c r="BF19" s="359" t="e">
        <f t="shared" si="26"/>
        <v>#REF!</v>
      </c>
      <c r="BG19" s="398">
        <f t="shared" si="16"/>
        <v>0</v>
      </c>
    </row>
    <row r="20" spans="1:59" ht="15" x14ac:dyDescent="0.3">
      <c r="A20" s="63" t="str">
        <f>'G-1 All Habitats'!B19</f>
        <v>Grassland - Modified grassland</v>
      </c>
      <c r="B20" s="52">
        <f>'G-1 All Habitats'!F19</f>
        <v>0</v>
      </c>
      <c r="C20" s="52" t="str">
        <f>'G-1 All Habitats'!K19</f>
        <v>Low</v>
      </c>
      <c r="D20" s="52" t="str">
        <f>'G-1 All Habitats'!M19</f>
        <v>Same distinctiveness or better habitat required ≥</v>
      </c>
      <c r="E20" s="277">
        <f>IF(C20="V.High",SUMIF('A-1 On-Site Habitat Baseline'!$AV$11:$AV$258,'G-2 Habitat groups'!A20,'A-1 On-Site Habitat Baseline'!$S$11:$S$258)+SUMIF('A-1 On-Site Habitat Baseline'!$AV$11:$AV$258,'G-2 Habitat groups'!A20,'A-1 On-Site Habitat Baseline'!$T$11:$T$258),SUMIF('A-1 On-Site Habitat Baseline'!$AV$11:$AV$258,'G-2 Habitat groups'!A20,'A-1 On-Site Habitat Baseline'!$H$11:$H$258))</f>
        <v>0</v>
      </c>
      <c r="F20" s="277">
        <f>SUMIF('A-1 On-Site Habitat Baseline'!$AV$11:$AV$258,'G-2 Habitat groups'!A20,'A-1 On-Site Habitat Baseline'!$Q$11:$Q$258)</f>
        <v>0</v>
      </c>
      <c r="G20" s="277">
        <f>SUMIF('A-1 On-Site Habitat Baseline'!$AV$11:$AV$258,'G-2 Habitat groups'!A20,'A-1 On-Site Habitat Baseline'!$S$11:$S$258)</f>
        <v>0</v>
      </c>
      <c r="H20" s="277">
        <f>SUMIF('A-1 On-Site Habitat Baseline'!$AV$11:$AV$258,'G-2 Habitat groups'!A20,'A-1 On-Site Habitat Baseline'!$U$11:$U$258)</f>
        <v>0</v>
      </c>
      <c r="I20" s="277">
        <f>SUMIF('A-1 On-Site Habitat Baseline'!$AV$11:$AV$258,'G-2 Habitat groups'!A20,'A-1 On-Site Habitat Baseline'!$W$11:$W$258)</f>
        <v>0</v>
      </c>
      <c r="J20" s="277">
        <f>SUMIF('A-1 On-Site Habitat Baseline'!$AV$11:$AV$258,'G-2 Habitat groups'!A20,'A-1 On-Site Habitat Baseline'!$X$11:$X$258)</f>
        <v>0</v>
      </c>
      <c r="K20" s="277">
        <f>SUMIF('A-2 On-Site Habitat Creation'!$F$11:$F$256,'G-2 Habitat groups'!A20,'A-2 On-Site Habitat Creation'!$G$11:$G$256)</f>
        <v>0</v>
      </c>
      <c r="L20" s="277">
        <f>SUMIF('A-2 On-Site Habitat Creation'!$F$11:$F$256,'G-2 Habitat groups'!A20,'A-2 On-Site Habitat Creation'!$Y$11:$Y$256)</f>
        <v>0</v>
      </c>
      <c r="M20" s="277">
        <f>SUMIF('A-3 On-Site Habitat Enhancement'!$S$12:$S$257,'G-2 Habitat groups'!A20,'A-3 On-Site Habitat Enhancement'!$V$12:$V$257)</f>
        <v>0</v>
      </c>
      <c r="N20" s="277">
        <f>SUMIF('A-3 On-Site Habitat Enhancement'!$S$12:$S$257,'G-2 Habitat groups'!A20,'A-3 On-Site Habitat Enhancement'!$AN$12:$AN$257)</f>
        <v>0</v>
      </c>
      <c r="O20" s="277">
        <f t="shared" si="0"/>
        <v>0</v>
      </c>
      <c r="P20" s="277">
        <f t="shared" si="1"/>
        <v>0</v>
      </c>
      <c r="Q20" s="277">
        <f t="shared" si="2"/>
        <v>0</v>
      </c>
      <c r="R20" s="277">
        <f t="shared" si="3"/>
        <v>0</v>
      </c>
      <c r="S20" s="277" t="e">
        <f>IF(C20="V.High",SUMIF(#REF!,'G-2 Habitat groups'!A20,#REF!)+SUMIF(#REF!,'G-2 Habitat groups'!A20,#REF!),SUMIF(#REF!,'G-2 Habitat groups'!A20,#REF!))</f>
        <v>#REF!</v>
      </c>
      <c r="T20" s="277" t="e">
        <f>SUMIF(#REF!,'G-2 Habitat groups'!A20,#REF!)</f>
        <v>#REF!</v>
      </c>
      <c r="U20" s="277" t="e">
        <f>SUMIF(#REF!,'G-2 Habitat groups'!A20,#REF!)</f>
        <v>#REF!</v>
      </c>
      <c r="V20" s="277" t="e">
        <f>SUMIF(#REF!,'G-2 Habitat groups'!A20,#REF!)</f>
        <v>#REF!</v>
      </c>
      <c r="W20" s="277" t="e">
        <f>SUMIF(#REF!,'G-2 Habitat groups'!A20,#REF!)</f>
        <v>#REF!</v>
      </c>
      <c r="X20" s="277" t="e">
        <f>SUMIF(#REF!,'G-2 Habitat groups'!A20,#REF!)</f>
        <v>#REF!</v>
      </c>
      <c r="Y20" s="277" t="e">
        <f>SUMIF(#REF!,'G-2 Habitat groups'!A20,#REF!)</f>
        <v>#REF!</v>
      </c>
      <c r="Z20" s="277" t="e">
        <f>SUMIF(#REF!,'G-2 Habitat groups'!A20,#REF!)</f>
        <v>#REF!</v>
      </c>
      <c r="AA20" s="277" t="e">
        <f t="shared" si="4"/>
        <v>#REF!</v>
      </c>
      <c r="AB20" s="277" t="e">
        <f t="shared" si="13"/>
        <v>#REF!</v>
      </c>
      <c r="AC20" s="277" t="e">
        <f t="shared" si="5"/>
        <v>#REF!</v>
      </c>
      <c r="AD20" s="277" t="e">
        <f t="shared" si="14"/>
        <v>#REF!</v>
      </c>
      <c r="AE20" s="277" t="e">
        <f t="shared" si="6"/>
        <v>#REF!</v>
      </c>
      <c r="AF20" s="277" t="e">
        <f t="shared" si="15"/>
        <v>#REF!</v>
      </c>
      <c r="AJ20" s="425" t="s">
        <v>801</v>
      </c>
      <c r="AK20" s="425" t="s">
        <v>785</v>
      </c>
      <c r="AL20" s="425" t="s">
        <v>786</v>
      </c>
      <c r="AM20" s="425" t="s">
        <v>802</v>
      </c>
      <c r="AN20" s="425" t="s">
        <v>803</v>
      </c>
      <c r="AO20" s="425" t="s">
        <v>61</v>
      </c>
      <c r="AP20" s="425" t="s">
        <v>804</v>
      </c>
      <c r="AU20" s="75" t="s">
        <v>653</v>
      </c>
      <c r="AV20" s="52" t="s">
        <v>805</v>
      </c>
      <c r="AW20" s="288">
        <f t="shared" si="17"/>
        <v>0</v>
      </c>
      <c r="AX20" s="288">
        <f t="shared" si="18"/>
        <v>0</v>
      </c>
      <c r="AY20" s="288">
        <f t="shared" si="19"/>
        <v>0</v>
      </c>
      <c r="AZ20" s="288">
        <f t="shared" si="20"/>
        <v>0</v>
      </c>
      <c r="BA20" s="288">
        <f t="shared" si="21"/>
        <v>0</v>
      </c>
      <c r="BB20" s="288">
        <f t="shared" si="22"/>
        <v>0</v>
      </c>
      <c r="BC20" s="288" t="e">
        <f t="shared" si="23"/>
        <v>#REF!</v>
      </c>
      <c r="BD20" s="288" t="e">
        <f t="shared" si="24"/>
        <v>#REF!</v>
      </c>
      <c r="BE20" s="288" t="e">
        <f t="shared" si="25"/>
        <v>#REF!</v>
      </c>
      <c r="BF20" s="288" t="e">
        <f t="shared" si="26"/>
        <v>#REF!</v>
      </c>
      <c r="BG20" s="358">
        <f t="shared" si="16"/>
        <v>0</v>
      </c>
    </row>
    <row r="21" spans="1:59" x14ac:dyDescent="0.3">
      <c r="A21" s="63" t="str">
        <f>'G-1 All Habitats'!B20</f>
        <v>Grassland - Other lowland acid grassland</v>
      </c>
      <c r="B21" s="52" t="str">
        <f>'G-1 All Habitats'!F20</f>
        <v>Grassland</v>
      </c>
      <c r="C21" s="52" t="str">
        <f>'G-1 All Habitats'!K20</f>
        <v>Medium</v>
      </c>
      <c r="D21" s="52" t="str">
        <f>'G-1 All Habitats'!M20</f>
        <v>Same broad habitat or a higher distinctiveness habitat required (≥)</v>
      </c>
      <c r="E21" s="277">
        <f>IF(C21="V.High",SUMIF('A-1 On-Site Habitat Baseline'!$AV$11:$AV$258,'G-2 Habitat groups'!A21,'A-1 On-Site Habitat Baseline'!$S$11:$S$258)+SUMIF('A-1 On-Site Habitat Baseline'!$AV$11:$AV$258,'G-2 Habitat groups'!A21,'A-1 On-Site Habitat Baseline'!$T$11:$T$258),SUMIF('A-1 On-Site Habitat Baseline'!$AV$11:$AV$258,'G-2 Habitat groups'!A21,'A-1 On-Site Habitat Baseline'!$H$11:$H$258))</f>
        <v>0</v>
      </c>
      <c r="F21" s="277">
        <f>SUMIF('A-1 On-Site Habitat Baseline'!$AV$11:$AV$258,'G-2 Habitat groups'!A21,'A-1 On-Site Habitat Baseline'!$Q$11:$Q$258)</f>
        <v>0</v>
      </c>
      <c r="G21" s="277">
        <f>SUMIF('A-1 On-Site Habitat Baseline'!$AV$11:$AV$258,'G-2 Habitat groups'!A21,'A-1 On-Site Habitat Baseline'!$S$11:$S$258)</f>
        <v>0</v>
      </c>
      <c r="H21" s="277">
        <f>SUMIF('A-1 On-Site Habitat Baseline'!$AV$11:$AV$258,'G-2 Habitat groups'!A21,'A-1 On-Site Habitat Baseline'!$U$11:$U$258)</f>
        <v>0</v>
      </c>
      <c r="I21" s="277">
        <f>SUMIF('A-1 On-Site Habitat Baseline'!$AV$11:$AV$258,'G-2 Habitat groups'!A21,'A-1 On-Site Habitat Baseline'!$W$11:$W$258)</f>
        <v>0</v>
      </c>
      <c r="J21" s="277">
        <f>SUMIF('A-1 On-Site Habitat Baseline'!$AV$11:$AV$258,'G-2 Habitat groups'!A21,'A-1 On-Site Habitat Baseline'!$X$11:$X$258)</f>
        <v>0</v>
      </c>
      <c r="K21" s="277">
        <f>SUMIF('A-2 On-Site Habitat Creation'!$F$11:$F$256,'G-2 Habitat groups'!A21,'A-2 On-Site Habitat Creation'!$G$11:$G$256)</f>
        <v>0</v>
      </c>
      <c r="L21" s="277">
        <f>SUMIF('A-2 On-Site Habitat Creation'!$F$11:$F$256,'G-2 Habitat groups'!A21,'A-2 On-Site Habitat Creation'!$Y$11:$Y$256)</f>
        <v>0</v>
      </c>
      <c r="M21" s="277">
        <f>SUMIF('A-3 On-Site Habitat Enhancement'!$S$12:$S$257,'G-2 Habitat groups'!A21,'A-3 On-Site Habitat Enhancement'!$V$12:$V$257)</f>
        <v>0</v>
      </c>
      <c r="N21" s="277">
        <f>SUMIF('A-3 On-Site Habitat Enhancement'!$S$12:$S$257,'G-2 Habitat groups'!A21,'A-3 On-Site Habitat Enhancement'!$AN$12:$AN$257)</f>
        <v>0</v>
      </c>
      <c r="O21" s="277">
        <f t="shared" si="0"/>
        <v>0</v>
      </c>
      <c r="P21" s="277">
        <f t="shared" si="1"/>
        <v>0</v>
      </c>
      <c r="Q21" s="277">
        <f t="shared" si="2"/>
        <v>0</v>
      </c>
      <c r="R21" s="277">
        <f t="shared" si="3"/>
        <v>0</v>
      </c>
      <c r="S21" s="277" t="e">
        <f>IF(C21="V.High",SUMIF(#REF!,'G-2 Habitat groups'!A21,#REF!)+SUMIF(#REF!,'G-2 Habitat groups'!A21,#REF!),SUMIF(#REF!,'G-2 Habitat groups'!A21,#REF!))</f>
        <v>#REF!</v>
      </c>
      <c r="T21" s="277" t="e">
        <f>SUMIF(#REF!,'G-2 Habitat groups'!A21,#REF!)</f>
        <v>#REF!</v>
      </c>
      <c r="U21" s="277" t="e">
        <f>SUMIF(#REF!,'G-2 Habitat groups'!A21,#REF!)</f>
        <v>#REF!</v>
      </c>
      <c r="V21" s="277" t="e">
        <f>SUMIF(#REF!,'G-2 Habitat groups'!A21,#REF!)</f>
        <v>#REF!</v>
      </c>
      <c r="W21" s="277" t="e">
        <f>SUMIF(#REF!,'G-2 Habitat groups'!A21,#REF!)</f>
        <v>#REF!</v>
      </c>
      <c r="X21" s="277" t="e">
        <f>SUMIF(#REF!,'G-2 Habitat groups'!A21,#REF!)</f>
        <v>#REF!</v>
      </c>
      <c r="Y21" s="277" t="e">
        <f>SUMIF(#REF!,'G-2 Habitat groups'!A21,#REF!)</f>
        <v>#REF!</v>
      </c>
      <c r="Z21" s="277" t="e">
        <f>SUMIF(#REF!,'G-2 Habitat groups'!A21,#REF!)</f>
        <v>#REF!</v>
      </c>
      <c r="AA21" s="277" t="e">
        <f t="shared" si="4"/>
        <v>#REF!</v>
      </c>
      <c r="AB21" s="277" t="e">
        <f t="shared" si="13"/>
        <v>#REF!</v>
      </c>
      <c r="AC21" s="277" t="e">
        <f t="shared" si="5"/>
        <v>#REF!</v>
      </c>
      <c r="AD21" s="277" t="e">
        <f t="shared" si="14"/>
        <v>#REF!</v>
      </c>
      <c r="AE21" s="277" t="e">
        <f t="shared" si="6"/>
        <v>#REF!</v>
      </c>
      <c r="AF21" s="277" t="e">
        <f t="shared" si="15"/>
        <v>#REF!</v>
      </c>
      <c r="AJ21" s="65" t="s">
        <v>46</v>
      </c>
      <c r="AK21" s="428" t="e">
        <f t="shared" ref="AK21:AK35" si="27">SUMIF($B:$B,$AJ21,S:S)</f>
        <v>#REF!</v>
      </c>
      <c r="AL21" s="428" t="e">
        <f t="shared" ref="AL21:AL35" si="28">SUMIF($B:$B,$AJ21,T:T)</f>
        <v>#REF!</v>
      </c>
      <c r="AM21" s="428" t="e">
        <f t="shared" ref="AM21:AM35" si="29">SUMIF($B:$B,$AJ21,AA:AA)</f>
        <v>#REF!</v>
      </c>
      <c r="AN21" s="428" t="e">
        <f t="shared" ref="AN21:AN35" si="30">SUMIF($B:$B,$AJ21,AB:AB)</f>
        <v>#REF!</v>
      </c>
      <c r="AO21" s="466" t="e">
        <f t="shared" ref="AO21:AO35" si="31">SUMIF($B:$B,$AJ21,AC:AC)</f>
        <v>#REF!</v>
      </c>
      <c r="AP21" s="466" t="e">
        <f t="shared" ref="AP21:AP35" si="32">SUMIF($B:$B,$AJ21,AD:AD)</f>
        <v>#REF!</v>
      </c>
      <c r="AU21" s="75" t="s">
        <v>660</v>
      </c>
      <c r="AV21" s="52" t="s">
        <v>805</v>
      </c>
      <c r="AW21" s="288">
        <f t="shared" si="17"/>
        <v>0</v>
      </c>
      <c r="AX21" s="288">
        <f t="shared" si="18"/>
        <v>0</v>
      </c>
      <c r="AY21" s="288">
        <f t="shared" si="19"/>
        <v>0</v>
      </c>
      <c r="AZ21" s="288">
        <f t="shared" si="20"/>
        <v>0</v>
      </c>
      <c r="BA21" s="288">
        <f t="shared" si="21"/>
        <v>0</v>
      </c>
      <c r="BB21" s="288">
        <f t="shared" si="22"/>
        <v>0</v>
      </c>
      <c r="BC21" s="288" t="e">
        <f t="shared" si="23"/>
        <v>#REF!</v>
      </c>
      <c r="BD21" s="288" t="e">
        <f t="shared" si="24"/>
        <v>#REF!</v>
      </c>
      <c r="BE21" s="288" t="e">
        <f t="shared" si="25"/>
        <v>#REF!</v>
      </c>
      <c r="BF21" s="288" t="e">
        <f t="shared" si="26"/>
        <v>#REF!</v>
      </c>
      <c r="BG21" s="358">
        <f t="shared" si="16"/>
        <v>0</v>
      </c>
    </row>
    <row r="22" spans="1:59" x14ac:dyDescent="0.3">
      <c r="A22" s="63" t="str">
        <f>'G-1 All Habitats'!B21</f>
        <v>Grassland - Other neutral grassland</v>
      </c>
      <c r="B22" s="52" t="str">
        <f>'G-1 All Habitats'!F21</f>
        <v>Grassland</v>
      </c>
      <c r="C22" s="52" t="str">
        <f>'G-1 All Habitats'!K21</f>
        <v>Medium</v>
      </c>
      <c r="D22" s="52" t="str">
        <f>'G-1 All Habitats'!M21</f>
        <v>Same broad habitat or a higher distinctiveness habitat required (≥)</v>
      </c>
      <c r="E22" s="277">
        <f>IF(C22="V.High",SUMIF('A-1 On-Site Habitat Baseline'!$AV$11:$AV$258,'G-2 Habitat groups'!A22,'A-1 On-Site Habitat Baseline'!$S$11:$S$258)+SUMIF('A-1 On-Site Habitat Baseline'!$AV$11:$AV$258,'G-2 Habitat groups'!A22,'A-1 On-Site Habitat Baseline'!$T$11:$T$258),SUMIF('A-1 On-Site Habitat Baseline'!$AV$11:$AV$258,'G-2 Habitat groups'!A22,'A-1 On-Site Habitat Baseline'!$H$11:$H$258))</f>
        <v>0</v>
      </c>
      <c r="F22" s="277">
        <f>SUMIF('A-1 On-Site Habitat Baseline'!$AV$11:$AV$258,'G-2 Habitat groups'!A22,'A-1 On-Site Habitat Baseline'!$Q$11:$Q$258)</f>
        <v>0</v>
      </c>
      <c r="G22" s="277">
        <f>SUMIF('A-1 On-Site Habitat Baseline'!$AV$11:$AV$258,'G-2 Habitat groups'!A22,'A-1 On-Site Habitat Baseline'!$S$11:$S$258)</f>
        <v>0</v>
      </c>
      <c r="H22" s="277">
        <f>SUMIF('A-1 On-Site Habitat Baseline'!$AV$11:$AV$258,'G-2 Habitat groups'!A22,'A-1 On-Site Habitat Baseline'!$U$11:$U$258)</f>
        <v>0</v>
      </c>
      <c r="I22" s="277">
        <f>SUMIF('A-1 On-Site Habitat Baseline'!$AV$11:$AV$258,'G-2 Habitat groups'!A22,'A-1 On-Site Habitat Baseline'!$W$11:$W$258)</f>
        <v>0</v>
      </c>
      <c r="J22" s="277">
        <f>SUMIF('A-1 On-Site Habitat Baseline'!$AV$11:$AV$258,'G-2 Habitat groups'!A22,'A-1 On-Site Habitat Baseline'!$X$11:$X$258)</f>
        <v>0</v>
      </c>
      <c r="K22" s="277">
        <f>SUMIF('A-2 On-Site Habitat Creation'!$F$11:$F$256,'G-2 Habitat groups'!A22,'A-2 On-Site Habitat Creation'!$G$11:$G$256)</f>
        <v>0</v>
      </c>
      <c r="L22" s="277">
        <f>SUMIF('A-2 On-Site Habitat Creation'!$F$11:$F$256,'G-2 Habitat groups'!A22,'A-2 On-Site Habitat Creation'!$Y$11:$Y$256)</f>
        <v>0</v>
      </c>
      <c r="M22" s="277">
        <f>SUMIF('A-3 On-Site Habitat Enhancement'!$S$12:$S$257,'G-2 Habitat groups'!A22,'A-3 On-Site Habitat Enhancement'!$V$12:$V$257)</f>
        <v>0</v>
      </c>
      <c r="N22" s="277">
        <f>SUMIF('A-3 On-Site Habitat Enhancement'!$S$12:$S$257,'G-2 Habitat groups'!A22,'A-3 On-Site Habitat Enhancement'!$AN$12:$AN$257)</f>
        <v>0</v>
      </c>
      <c r="O22" s="277">
        <f t="shared" si="0"/>
        <v>0</v>
      </c>
      <c r="P22" s="277">
        <f t="shared" si="1"/>
        <v>0</v>
      </c>
      <c r="Q22" s="277">
        <f t="shared" si="2"/>
        <v>0</v>
      </c>
      <c r="R22" s="277">
        <f t="shared" si="3"/>
        <v>0</v>
      </c>
      <c r="S22" s="277" t="e">
        <f>IF(C22="V.High",SUMIF(#REF!,'G-2 Habitat groups'!A22,#REF!)+SUMIF(#REF!,'G-2 Habitat groups'!A22,#REF!),SUMIF(#REF!,'G-2 Habitat groups'!A22,#REF!))</f>
        <v>#REF!</v>
      </c>
      <c r="T22" s="277" t="e">
        <f>SUMIF(#REF!,'G-2 Habitat groups'!A22,#REF!)</f>
        <v>#REF!</v>
      </c>
      <c r="U22" s="277" t="e">
        <f>SUMIF(#REF!,'G-2 Habitat groups'!A22,#REF!)</f>
        <v>#REF!</v>
      </c>
      <c r="V22" s="277" t="e">
        <f>SUMIF(#REF!,'G-2 Habitat groups'!A22,#REF!)</f>
        <v>#REF!</v>
      </c>
      <c r="W22" s="277" t="e">
        <f>SUMIF(#REF!,'G-2 Habitat groups'!A22,#REF!)</f>
        <v>#REF!</v>
      </c>
      <c r="X22" s="277" t="e">
        <f>SUMIF(#REF!,'G-2 Habitat groups'!A22,#REF!)</f>
        <v>#REF!</v>
      </c>
      <c r="Y22" s="277" t="e">
        <f>SUMIF(#REF!,'G-2 Habitat groups'!A22,#REF!)</f>
        <v>#REF!</v>
      </c>
      <c r="Z22" s="277" t="e">
        <f>SUMIF(#REF!,'G-2 Habitat groups'!A22,#REF!)</f>
        <v>#REF!</v>
      </c>
      <c r="AA22" s="277" t="e">
        <f t="shared" si="4"/>
        <v>#REF!</v>
      </c>
      <c r="AB22" s="277" t="e">
        <f t="shared" si="13"/>
        <v>#REF!</v>
      </c>
      <c r="AC22" s="277" t="e">
        <f t="shared" si="5"/>
        <v>#REF!</v>
      </c>
      <c r="AD22" s="277" t="e">
        <f t="shared" si="14"/>
        <v>#REF!</v>
      </c>
      <c r="AE22" s="277" t="e">
        <f t="shared" si="6"/>
        <v>#REF!</v>
      </c>
      <c r="AF22" s="277" t="e">
        <f t="shared" si="15"/>
        <v>#REF!</v>
      </c>
      <c r="AJ22" s="66" t="s">
        <v>47</v>
      </c>
      <c r="AK22" s="428" t="e">
        <f t="shared" si="27"/>
        <v>#REF!</v>
      </c>
      <c r="AL22" s="428" t="e">
        <f t="shared" si="28"/>
        <v>#REF!</v>
      </c>
      <c r="AM22" s="428" t="e">
        <f t="shared" si="29"/>
        <v>#REF!</v>
      </c>
      <c r="AN22" s="428" t="e">
        <f t="shared" si="30"/>
        <v>#REF!</v>
      </c>
      <c r="AO22" s="466" t="e">
        <f t="shared" si="31"/>
        <v>#REF!</v>
      </c>
      <c r="AP22" s="466" t="e">
        <f t="shared" si="32"/>
        <v>#REF!</v>
      </c>
      <c r="AU22" s="75" t="s">
        <v>667</v>
      </c>
      <c r="AV22" s="52" t="s">
        <v>805</v>
      </c>
      <c r="AW22" s="288">
        <f t="shared" si="17"/>
        <v>0</v>
      </c>
      <c r="AX22" s="288">
        <f t="shared" si="18"/>
        <v>0</v>
      </c>
      <c r="AY22" s="288">
        <f t="shared" si="19"/>
        <v>0</v>
      </c>
      <c r="AZ22" s="288">
        <f t="shared" si="20"/>
        <v>0</v>
      </c>
      <c r="BA22" s="288">
        <f t="shared" si="21"/>
        <v>0</v>
      </c>
      <c r="BB22" s="288">
        <f t="shared" si="22"/>
        <v>0</v>
      </c>
      <c r="BC22" s="288" t="e">
        <f t="shared" si="23"/>
        <v>#REF!</v>
      </c>
      <c r="BD22" s="288" t="e">
        <f t="shared" si="24"/>
        <v>#REF!</v>
      </c>
      <c r="BE22" s="288" t="e">
        <f t="shared" si="25"/>
        <v>#REF!</v>
      </c>
      <c r="BF22" s="288" t="e">
        <f t="shared" si="26"/>
        <v>#REF!</v>
      </c>
      <c r="BG22" s="358">
        <f t="shared" si="16"/>
        <v>0</v>
      </c>
    </row>
    <row r="23" spans="1:59" ht="18.649999999999999" customHeight="1" x14ac:dyDescent="0.3">
      <c r="A23" s="63" t="str">
        <f>'G-1 All Habitats'!B22</f>
        <v>Grassland - Tall herb communities (H6430)</v>
      </c>
      <c r="B23" s="52" t="str">
        <f>'G-1 All Habitats'!F22</f>
        <v>Grassland</v>
      </c>
      <c r="C23" s="52" t="str">
        <f>'G-1 All Habitats'!K22</f>
        <v>High</v>
      </c>
      <c r="D23" s="52" t="str">
        <f>'G-1 All Habitats'!M22</f>
        <v>Same habitat required =</v>
      </c>
      <c r="E23" s="277">
        <f>IF(C23="V.High",SUMIF('A-1 On-Site Habitat Baseline'!$AV$11:$AV$258,'G-2 Habitat groups'!A23,'A-1 On-Site Habitat Baseline'!$S$11:$S$258)+SUMIF('A-1 On-Site Habitat Baseline'!$AV$11:$AV$258,'G-2 Habitat groups'!A23,'A-1 On-Site Habitat Baseline'!$T$11:$T$258),SUMIF('A-1 On-Site Habitat Baseline'!$AV$11:$AV$258,'G-2 Habitat groups'!A23,'A-1 On-Site Habitat Baseline'!$H$11:$H$258))</f>
        <v>0</v>
      </c>
      <c r="F23" s="277">
        <f>SUMIF('A-1 On-Site Habitat Baseline'!$AV$11:$AV$258,'G-2 Habitat groups'!A23,'A-1 On-Site Habitat Baseline'!$Q$11:$Q$258)</f>
        <v>0</v>
      </c>
      <c r="G23" s="277">
        <f>SUMIF('A-1 On-Site Habitat Baseline'!$AV$11:$AV$258,'G-2 Habitat groups'!A23,'A-1 On-Site Habitat Baseline'!$S$11:$S$258)</f>
        <v>0</v>
      </c>
      <c r="H23" s="277">
        <f>SUMIF('A-1 On-Site Habitat Baseline'!$AV$11:$AV$258,'G-2 Habitat groups'!A23,'A-1 On-Site Habitat Baseline'!$U$11:$U$258)</f>
        <v>0</v>
      </c>
      <c r="I23" s="277">
        <f>SUMIF('A-1 On-Site Habitat Baseline'!$AV$11:$AV$258,'G-2 Habitat groups'!A23,'A-1 On-Site Habitat Baseline'!$W$11:$W$258)</f>
        <v>0</v>
      </c>
      <c r="J23" s="277">
        <f>SUMIF('A-1 On-Site Habitat Baseline'!$AV$11:$AV$258,'G-2 Habitat groups'!A23,'A-1 On-Site Habitat Baseline'!$X$11:$X$258)</f>
        <v>0</v>
      </c>
      <c r="K23" s="277">
        <f>SUMIF('A-2 On-Site Habitat Creation'!$F$11:$F$256,'G-2 Habitat groups'!A23,'A-2 On-Site Habitat Creation'!$G$11:$G$256)</f>
        <v>0</v>
      </c>
      <c r="L23" s="277">
        <f>SUMIF('A-2 On-Site Habitat Creation'!$F$11:$F$256,'G-2 Habitat groups'!A23,'A-2 On-Site Habitat Creation'!$Y$11:$Y$256)</f>
        <v>0</v>
      </c>
      <c r="M23" s="277">
        <f>SUMIF('A-3 On-Site Habitat Enhancement'!$S$12:$S$257,'G-2 Habitat groups'!A23,'A-3 On-Site Habitat Enhancement'!$V$12:$V$257)</f>
        <v>0</v>
      </c>
      <c r="N23" s="277">
        <f>SUMIF('A-3 On-Site Habitat Enhancement'!$S$12:$S$257,'G-2 Habitat groups'!A23,'A-3 On-Site Habitat Enhancement'!$AN$12:$AN$257)</f>
        <v>0</v>
      </c>
      <c r="O23" s="277">
        <f t="shared" si="0"/>
        <v>0</v>
      </c>
      <c r="P23" s="277">
        <f t="shared" si="1"/>
        <v>0</v>
      </c>
      <c r="Q23" s="277">
        <f t="shared" si="2"/>
        <v>0</v>
      </c>
      <c r="R23" s="277">
        <f t="shared" si="3"/>
        <v>0</v>
      </c>
      <c r="S23" s="277" t="e">
        <f>IF(C23="V.High",SUMIF(#REF!,'G-2 Habitat groups'!A23,#REF!)+SUMIF(#REF!,'G-2 Habitat groups'!A23,#REF!),SUMIF(#REF!,'G-2 Habitat groups'!A23,#REF!))</f>
        <v>#REF!</v>
      </c>
      <c r="T23" s="277" t="e">
        <f>SUMIF(#REF!,'G-2 Habitat groups'!A23,#REF!)</f>
        <v>#REF!</v>
      </c>
      <c r="U23" s="277" t="e">
        <f>SUMIF(#REF!,'G-2 Habitat groups'!A23,#REF!)</f>
        <v>#REF!</v>
      </c>
      <c r="V23" s="277" t="e">
        <f>SUMIF(#REF!,'G-2 Habitat groups'!A23,#REF!)</f>
        <v>#REF!</v>
      </c>
      <c r="W23" s="277" t="e">
        <f>SUMIF(#REF!,'G-2 Habitat groups'!A23,#REF!)</f>
        <v>#REF!</v>
      </c>
      <c r="X23" s="277" t="e">
        <f>SUMIF(#REF!,'G-2 Habitat groups'!A23,#REF!)</f>
        <v>#REF!</v>
      </c>
      <c r="Y23" s="277" t="e">
        <f>SUMIF(#REF!,'G-2 Habitat groups'!A23,#REF!)</f>
        <v>#REF!</v>
      </c>
      <c r="Z23" s="277" t="e">
        <f>SUMIF(#REF!,'G-2 Habitat groups'!A23,#REF!)</f>
        <v>#REF!</v>
      </c>
      <c r="AA23" s="277" t="e">
        <f t="shared" si="4"/>
        <v>#REF!</v>
      </c>
      <c r="AB23" s="277" t="e">
        <f t="shared" si="13"/>
        <v>#REF!</v>
      </c>
      <c r="AC23" s="277" t="e">
        <f t="shared" si="5"/>
        <v>#REF!</v>
      </c>
      <c r="AD23" s="277" t="e">
        <f t="shared" si="14"/>
        <v>#REF!</v>
      </c>
      <c r="AE23" s="277" t="e">
        <f t="shared" si="6"/>
        <v>#REF!</v>
      </c>
      <c r="AF23" s="277" t="e">
        <f t="shared" si="15"/>
        <v>#REF!</v>
      </c>
      <c r="AJ23" s="66" t="s">
        <v>48</v>
      </c>
      <c r="AK23" s="428" t="e">
        <f t="shared" si="27"/>
        <v>#REF!</v>
      </c>
      <c r="AL23" s="428" t="e">
        <f t="shared" si="28"/>
        <v>#REF!</v>
      </c>
      <c r="AM23" s="428" t="e">
        <f t="shared" si="29"/>
        <v>#REF!</v>
      </c>
      <c r="AN23" s="428" t="e">
        <f t="shared" si="30"/>
        <v>#REF!</v>
      </c>
      <c r="AO23" s="466" t="e">
        <f t="shared" si="31"/>
        <v>#REF!</v>
      </c>
      <c r="AP23" s="466" t="e">
        <f t="shared" si="32"/>
        <v>#REF!</v>
      </c>
      <c r="AU23" s="75" t="s">
        <v>674</v>
      </c>
      <c r="AV23" s="52" t="s">
        <v>805</v>
      </c>
      <c r="AW23" s="288">
        <f t="shared" si="17"/>
        <v>0</v>
      </c>
      <c r="AX23" s="288">
        <f t="shared" si="18"/>
        <v>0</v>
      </c>
      <c r="AY23" s="288">
        <f t="shared" si="19"/>
        <v>0</v>
      </c>
      <c r="AZ23" s="288">
        <f t="shared" si="20"/>
        <v>0</v>
      </c>
      <c r="BA23" s="288">
        <f t="shared" si="21"/>
        <v>0</v>
      </c>
      <c r="BB23" s="288">
        <f t="shared" si="22"/>
        <v>0</v>
      </c>
      <c r="BC23" s="288" t="e">
        <f t="shared" si="23"/>
        <v>#REF!</v>
      </c>
      <c r="BD23" s="288" t="e">
        <f t="shared" si="24"/>
        <v>#REF!</v>
      </c>
      <c r="BE23" s="288" t="e">
        <f t="shared" si="25"/>
        <v>#REF!</v>
      </c>
      <c r="BF23" s="288" t="e">
        <f t="shared" si="26"/>
        <v>#REF!</v>
      </c>
      <c r="BG23" s="358">
        <f t="shared" si="16"/>
        <v>0</v>
      </c>
    </row>
    <row r="24" spans="1:59" ht="18" customHeight="1" x14ac:dyDescent="0.3">
      <c r="A24" s="63" t="str">
        <f>'G-1 All Habitats'!B23</f>
        <v>Grassland - Upland acid grassland</v>
      </c>
      <c r="B24" s="52" t="str">
        <f>'G-1 All Habitats'!F23</f>
        <v>Grassland</v>
      </c>
      <c r="C24" s="52" t="str">
        <f>'G-1 All Habitats'!K23</f>
        <v>Medium</v>
      </c>
      <c r="D24" s="52" t="str">
        <f>'G-1 All Habitats'!M23</f>
        <v>Same broad habitat or a higher distinctiveness habitat required (≥)</v>
      </c>
      <c r="E24" s="277">
        <f>IF(C24="V.High",SUMIF('A-1 On-Site Habitat Baseline'!$AV$11:$AV$258,'G-2 Habitat groups'!A24,'A-1 On-Site Habitat Baseline'!$S$11:$S$258)+SUMIF('A-1 On-Site Habitat Baseline'!$AV$11:$AV$258,'G-2 Habitat groups'!A24,'A-1 On-Site Habitat Baseline'!$T$11:$T$258),SUMIF('A-1 On-Site Habitat Baseline'!$AV$11:$AV$258,'G-2 Habitat groups'!A24,'A-1 On-Site Habitat Baseline'!$H$11:$H$258))</f>
        <v>0</v>
      </c>
      <c r="F24" s="277">
        <f>SUMIF('A-1 On-Site Habitat Baseline'!$AV$11:$AV$258,'G-2 Habitat groups'!A24,'A-1 On-Site Habitat Baseline'!$Q$11:$Q$258)</f>
        <v>0</v>
      </c>
      <c r="G24" s="277">
        <f>SUMIF('A-1 On-Site Habitat Baseline'!$AV$11:$AV$258,'G-2 Habitat groups'!A24,'A-1 On-Site Habitat Baseline'!$S$11:$S$258)</f>
        <v>0</v>
      </c>
      <c r="H24" s="277">
        <f>SUMIF('A-1 On-Site Habitat Baseline'!$AV$11:$AV$258,'G-2 Habitat groups'!A24,'A-1 On-Site Habitat Baseline'!$U$11:$U$258)</f>
        <v>0</v>
      </c>
      <c r="I24" s="277">
        <f>SUMIF('A-1 On-Site Habitat Baseline'!$AV$11:$AV$258,'G-2 Habitat groups'!A24,'A-1 On-Site Habitat Baseline'!$W$11:$W$258)</f>
        <v>0</v>
      </c>
      <c r="J24" s="277">
        <f>SUMIF('A-1 On-Site Habitat Baseline'!$AV$11:$AV$258,'G-2 Habitat groups'!A24,'A-1 On-Site Habitat Baseline'!$X$11:$X$258)</f>
        <v>0</v>
      </c>
      <c r="K24" s="277">
        <f>SUMIF('A-2 On-Site Habitat Creation'!$F$11:$F$256,'G-2 Habitat groups'!A24,'A-2 On-Site Habitat Creation'!$G$11:$G$256)</f>
        <v>0</v>
      </c>
      <c r="L24" s="277">
        <f>SUMIF('A-2 On-Site Habitat Creation'!$F$11:$F$256,'G-2 Habitat groups'!A24,'A-2 On-Site Habitat Creation'!$Y$11:$Y$256)</f>
        <v>0</v>
      </c>
      <c r="M24" s="277">
        <f>SUMIF('A-3 On-Site Habitat Enhancement'!$S$12:$S$257,'G-2 Habitat groups'!A24,'A-3 On-Site Habitat Enhancement'!$V$12:$V$257)</f>
        <v>0</v>
      </c>
      <c r="N24" s="277">
        <f>SUMIF('A-3 On-Site Habitat Enhancement'!$S$12:$S$257,'G-2 Habitat groups'!A24,'A-3 On-Site Habitat Enhancement'!$AN$12:$AN$257)</f>
        <v>0</v>
      </c>
      <c r="O24" s="277">
        <f t="shared" si="0"/>
        <v>0</v>
      </c>
      <c r="P24" s="277">
        <f t="shared" si="1"/>
        <v>0</v>
      </c>
      <c r="Q24" s="277">
        <f t="shared" si="2"/>
        <v>0</v>
      </c>
      <c r="R24" s="277">
        <f t="shared" si="3"/>
        <v>0</v>
      </c>
      <c r="S24" s="277" t="e">
        <f>IF(C24="V.High",SUMIF(#REF!,'G-2 Habitat groups'!A24,#REF!)+SUMIF(#REF!,'G-2 Habitat groups'!A24,#REF!),SUMIF(#REF!,'G-2 Habitat groups'!A24,#REF!))</f>
        <v>#REF!</v>
      </c>
      <c r="T24" s="277" t="e">
        <f>SUMIF(#REF!,'G-2 Habitat groups'!A24,#REF!)</f>
        <v>#REF!</v>
      </c>
      <c r="U24" s="277" t="e">
        <f>SUMIF(#REF!,'G-2 Habitat groups'!A24,#REF!)</f>
        <v>#REF!</v>
      </c>
      <c r="V24" s="277" t="e">
        <f>SUMIF(#REF!,'G-2 Habitat groups'!A24,#REF!)</f>
        <v>#REF!</v>
      </c>
      <c r="W24" s="277" t="e">
        <f>SUMIF(#REF!,'G-2 Habitat groups'!A24,#REF!)</f>
        <v>#REF!</v>
      </c>
      <c r="X24" s="277" t="e">
        <f>SUMIF(#REF!,'G-2 Habitat groups'!A24,#REF!)</f>
        <v>#REF!</v>
      </c>
      <c r="Y24" s="277" t="e">
        <f>SUMIF(#REF!,'G-2 Habitat groups'!A24,#REF!)</f>
        <v>#REF!</v>
      </c>
      <c r="Z24" s="277" t="e">
        <f>SUMIF(#REF!,'G-2 Habitat groups'!A24,#REF!)</f>
        <v>#REF!</v>
      </c>
      <c r="AA24" s="277" t="e">
        <f t="shared" si="4"/>
        <v>#REF!</v>
      </c>
      <c r="AB24" s="277" t="e">
        <f t="shared" si="13"/>
        <v>#REF!</v>
      </c>
      <c r="AC24" s="277" t="e">
        <f t="shared" si="5"/>
        <v>#REF!</v>
      </c>
      <c r="AD24" s="277" t="e">
        <f t="shared" si="14"/>
        <v>#REF!</v>
      </c>
      <c r="AE24" s="277" t="e">
        <f t="shared" si="6"/>
        <v>#REF!</v>
      </c>
      <c r="AF24" s="277" t="e">
        <f t="shared" si="15"/>
        <v>#REF!</v>
      </c>
      <c r="AJ24" s="66" t="s">
        <v>49</v>
      </c>
      <c r="AK24" s="428" t="e">
        <f t="shared" si="27"/>
        <v>#REF!</v>
      </c>
      <c r="AL24" s="428" t="e">
        <f t="shared" si="28"/>
        <v>#REF!</v>
      </c>
      <c r="AM24" s="428" t="e">
        <f t="shared" si="29"/>
        <v>#REF!</v>
      </c>
      <c r="AN24" s="428" t="e">
        <f t="shared" si="30"/>
        <v>#REF!</v>
      </c>
      <c r="AO24" s="466" t="e">
        <f t="shared" si="31"/>
        <v>#REF!</v>
      </c>
      <c r="AP24" s="466" t="e">
        <f t="shared" si="32"/>
        <v>#REF!</v>
      </c>
      <c r="AU24" s="75" t="s">
        <v>698</v>
      </c>
      <c r="AV24" s="52" t="s">
        <v>54</v>
      </c>
      <c r="AW24" s="288">
        <f t="shared" si="17"/>
        <v>0</v>
      </c>
      <c r="AX24" s="288">
        <f t="shared" si="18"/>
        <v>0</v>
      </c>
      <c r="AY24" s="288">
        <f t="shared" si="19"/>
        <v>0</v>
      </c>
      <c r="AZ24" s="288">
        <f t="shared" si="20"/>
        <v>0</v>
      </c>
      <c r="BA24" s="288">
        <f t="shared" si="21"/>
        <v>0</v>
      </c>
      <c r="BB24" s="288">
        <f t="shared" si="22"/>
        <v>0</v>
      </c>
      <c r="BC24" s="288" t="e">
        <f t="shared" si="23"/>
        <v>#REF!</v>
      </c>
      <c r="BD24" s="288" t="e">
        <f t="shared" si="24"/>
        <v>#REF!</v>
      </c>
      <c r="BE24" s="288" t="e">
        <f t="shared" si="25"/>
        <v>#REF!</v>
      </c>
      <c r="BF24" s="288" t="e">
        <f t="shared" si="26"/>
        <v>#REF!</v>
      </c>
      <c r="BG24" s="358">
        <f t="shared" si="16"/>
        <v>0</v>
      </c>
    </row>
    <row r="25" spans="1:59" x14ac:dyDescent="0.3">
      <c r="A25" s="63" t="str">
        <f>'G-1 All Habitats'!B24</f>
        <v>Grassland - Upland calcareous grassland</v>
      </c>
      <c r="B25" s="52" t="str">
        <f>'G-1 All Habitats'!F24</f>
        <v>Grassland</v>
      </c>
      <c r="C25" s="52" t="str">
        <f>'G-1 All Habitats'!K24</f>
        <v>High</v>
      </c>
      <c r="D25" s="52" t="str">
        <f>'G-1 All Habitats'!M24</f>
        <v>Same habitat required =</v>
      </c>
      <c r="E25" s="277">
        <f>IF(C25="V.High",SUMIF('A-1 On-Site Habitat Baseline'!$AV$11:$AV$258,'G-2 Habitat groups'!A25,'A-1 On-Site Habitat Baseline'!$S$11:$S$258)+SUMIF('A-1 On-Site Habitat Baseline'!$AV$11:$AV$258,'G-2 Habitat groups'!A25,'A-1 On-Site Habitat Baseline'!$T$11:$T$258),SUMIF('A-1 On-Site Habitat Baseline'!$AV$11:$AV$258,'G-2 Habitat groups'!A25,'A-1 On-Site Habitat Baseline'!$H$11:$H$258))</f>
        <v>0</v>
      </c>
      <c r="F25" s="277">
        <f>SUMIF('A-1 On-Site Habitat Baseline'!$AV$11:$AV$258,'G-2 Habitat groups'!A25,'A-1 On-Site Habitat Baseline'!$Q$11:$Q$258)</f>
        <v>0</v>
      </c>
      <c r="G25" s="277">
        <f>SUMIF('A-1 On-Site Habitat Baseline'!$AV$11:$AV$258,'G-2 Habitat groups'!A25,'A-1 On-Site Habitat Baseline'!$S$11:$S$258)</f>
        <v>0</v>
      </c>
      <c r="H25" s="277">
        <f>SUMIF('A-1 On-Site Habitat Baseline'!$AV$11:$AV$258,'G-2 Habitat groups'!A25,'A-1 On-Site Habitat Baseline'!$U$11:$U$258)</f>
        <v>0</v>
      </c>
      <c r="I25" s="277">
        <f>SUMIF('A-1 On-Site Habitat Baseline'!$AV$11:$AV$258,'G-2 Habitat groups'!A25,'A-1 On-Site Habitat Baseline'!$W$11:$W$258)</f>
        <v>0</v>
      </c>
      <c r="J25" s="277">
        <f>SUMIF('A-1 On-Site Habitat Baseline'!$AV$11:$AV$258,'G-2 Habitat groups'!A25,'A-1 On-Site Habitat Baseline'!$X$11:$X$258)</f>
        <v>0</v>
      </c>
      <c r="K25" s="277">
        <f>SUMIF('A-2 On-Site Habitat Creation'!$F$11:$F$256,'G-2 Habitat groups'!A25,'A-2 On-Site Habitat Creation'!$G$11:$G$256)</f>
        <v>0</v>
      </c>
      <c r="L25" s="277">
        <f>SUMIF('A-2 On-Site Habitat Creation'!$F$11:$F$256,'G-2 Habitat groups'!A25,'A-2 On-Site Habitat Creation'!$Y$11:$Y$256)</f>
        <v>0</v>
      </c>
      <c r="M25" s="277">
        <f>SUMIF('A-3 On-Site Habitat Enhancement'!$S$12:$S$257,'G-2 Habitat groups'!A25,'A-3 On-Site Habitat Enhancement'!$V$12:$V$257)</f>
        <v>0</v>
      </c>
      <c r="N25" s="277">
        <f>SUMIF('A-3 On-Site Habitat Enhancement'!$S$12:$S$257,'G-2 Habitat groups'!A25,'A-3 On-Site Habitat Enhancement'!$AN$12:$AN$257)</f>
        <v>0</v>
      </c>
      <c r="O25" s="277">
        <f t="shared" si="0"/>
        <v>0</v>
      </c>
      <c r="P25" s="277">
        <f t="shared" si="1"/>
        <v>0</v>
      </c>
      <c r="Q25" s="277">
        <f t="shared" si="2"/>
        <v>0</v>
      </c>
      <c r="R25" s="277">
        <f t="shared" si="3"/>
        <v>0</v>
      </c>
      <c r="S25" s="277" t="e">
        <f>IF(C25="V.High",SUMIF(#REF!,'G-2 Habitat groups'!A25,#REF!)+SUMIF(#REF!,'G-2 Habitat groups'!A25,#REF!),SUMIF(#REF!,'G-2 Habitat groups'!A25,#REF!))</f>
        <v>#REF!</v>
      </c>
      <c r="T25" s="277" t="e">
        <f>SUMIF(#REF!,'G-2 Habitat groups'!A25,#REF!)</f>
        <v>#REF!</v>
      </c>
      <c r="U25" s="277" t="e">
        <f>SUMIF(#REF!,'G-2 Habitat groups'!A25,#REF!)</f>
        <v>#REF!</v>
      </c>
      <c r="V25" s="277" t="e">
        <f>SUMIF(#REF!,'G-2 Habitat groups'!A25,#REF!)</f>
        <v>#REF!</v>
      </c>
      <c r="W25" s="277" t="e">
        <f>SUMIF(#REF!,'G-2 Habitat groups'!A25,#REF!)</f>
        <v>#REF!</v>
      </c>
      <c r="X25" s="277" t="e">
        <f>SUMIF(#REF!,'G-2 Habitat groups'!A25,#REF!)</f>
        <v>#REF!</v>
      </c>
      <c r="Y25" s="277" t="e">
        <f>SUMIF(#REF!,'G-2 Habitat groups'!A25,#REF!)</f>
        <v>#REF!</v>
      </c>
      <c r="Z25" s="277" t="e">
        <f>SUMIF(#REF!,'G-2 Habitat groups'!A25,#REF!)</f>
        <v>#REF!</v>
      </c>
      <c r="AA25" s="277" t="e">
        <f t="shared" si="4"/>
        <v>#REF!</v>
      </c>
      <c r="AB25" s="277" t="e">
        <f t="shared" si="13"/>
        <v>#REF!</v>
      </c>
      <c r="AC25" s="277" t="e">
        <f t="shared" si="5"/>
        <v>#REF!</v>
      </c>
      <c r="AD25" s="277" t="e">
        <f t="shared" si="14"/>
        <v>#REF!</v>
      </c>
      <c r="AE25" s="277" t="e">
        <f t="shared" si="6"/>
        <v>#REF!</v>
      </c>
      <c r="AF25" s="277" t="e">
        <f t="shared" si="15"/>
        <v>#REF!</v>
      </c>
      <c r="AJ25" s="67" t="s">
        <v>50</v>
      </c>
      <c r="AK25" s="428" t="e">
        <f t="shared" si="27"/>
        <v>#REF!</v>
      </c>
      <c r="AL25" s="428" t="e">
        <f t="shared" si="28"/>
        <v>#REF!</v>
      </c>
      <c r="AM25" s="428" t="e">
        <f t="shared" si="29"/>
        <v>#REF!</v>
      </c>
      <c r="AN25" s="428" t="e">
        <f t="shared" si="30"/>
        <v>#REF!</v>
      </c>
      <c r="AO25" s="466" t="e">
        <f t="shared" si="31"/>
        <v>#REF!</v>
      </c>
      <c r="AP25" s="466" t="e">
        <f t="shared" si="32"/>
        <v>#REF!</v>
      </c>
    </row>
    <row r="26" spans="1:59" x14ac:dyDescent="0.3">
      <c r="A26" s="63" t="str">
        <f>'G-1 All Habitats'!B25</f>
        <v>Grassland - Upland hay meadows</v>
      </c>
      <c r="B26" s="52" t="str">
        <f>'G-1 All Habitats'!F25</f>
        <v>Grassland</v>
      </c>
      <c r="C26" s="52" t="str">
        <f>'G-1 All Habitats'!K25</f>
        <v>V.High</v>
      </c>
      <c r="D26" s="52" t="str">
        <f>'G-1 All Habitats'!M25</f>
        <v>Bespoke compensation likely to be required 🛠</v>
      </c>
      <c r="E26" s="277">
        <f>IF(C26="V.High",SUMIF('A-1 On-Site Habitat Baseline'!$AV$11:$AV$258,'G-2 Habitat groups'!A26,'A-1 On-Site Habitat Baseline'!$S$11:$S$258)+SUMIF('A-1 On-Site Habitat Baseline'!$AV$11:$AV$258,'G-2 Habitat groups'!A26,'A-1 On-Site Habitat Baseline'!$T$11:$T$258),SUMIF('A-1 On-Site Habitat Baseline'!$AV$11:$AV$258,'G-2 Habitat groups'!A26,'A-1 On-Site Habitat Baseline'!$H$11:$H$258))</f>
        <v>0</v>
      </c>
      <c r="F26" s="277">
        <f>SUMIF('A-1 On-Site Habitat Baseline'!$AV$11:$AV$258,'G-2 Habitat groups'!A26,'A-1 On-Site Habitat Baseline'!$Q$11:$Q$258)</f>
        <v>0</v>
      </c>
      <c r="G26" s="277">
        <f>SUMIF('A-1 On-Site Habitat Baseline'!$AV$11:$AV$258,'G-2 Habitat groups'!A26,'A-1 On-Site Habitat Baseline'!$S$11:$S$258)</f>
        <v>0</v>
      </c>
      <c r="H26" s="277">
        <f>SUMIF('A-1 On-Site Habitat Baseline'!$AV$11:$AV$258,'G-2 Habitat groups'!A26,'A-1 On-Site Habitat Baseline'!$U$11:$U$258)</f>
        <v>0</v>
      </c>
      <c r="I26" s="277">
        <f>SUMIF('A-1 On-Site Habitat Baseline'!$AV$11:$AV$258,'G-2 Habitat groups'!A26,'A-1 On-Site Habitat Baseline'!$W$11:$W$258)</f>
        <v>0</v>
      </c>
      <c r="J26" s="277">
        <f>SUMIF('A-1 On-Site Habitat Baseline'!$AV$11:$AV$258,'G-2 Habitat groups'!A26,'A-1 On-Site Habitat Baseline'!$X$11:$X$258)</f>
        <v>0</v>
      </c>
      <c r="K26" s="277">
        <f>SUMIF('A-2 On-Site Habitat Creation'!$F$11:$F$256,'G-2 Habitat groups'!A26,'A-2 On-Site Habitat Creation'!$G$11:$G$256)</f>
        <v>0</v>
      </c>
      <c r="L26" s="277">
        <f>SUMIF('A-2 On-Site Habitat Creation'!$F$11:$F$256,'G-2 Habitat groups'!A26,'A-2 On-Site Habitat Creation'!$Y$11:$Y$256)</f>
        <v>0</v>
      </c>
      <c r="M26" s="277">
        <f>SUMIF('A-3 On-Site Habitat Enhancement'!$S$12:$S$257,'G-2 Habitat groups'!A26,'A-3 On-Site Habitat Enhancement'!$V$12:$V$257)</f>
        <v>0</v>
      </c>
      <c r="N26" s="277">
        <f>SUMIF('A-3 On-Site Habitat Enhancement'!$S$12:$S$257,'G-2 Habitat groups'!A26,'A-3 On-Site Habitat Enhancement'!$AN$12:$AN$257)</f>
        <v>0</v>
      </c>
      <c r="O26" s="277">
        <f t="shared" si="0"/>
        <v>0</v>
      </c>
      <c r="P26" s="277">
        <f t="shared" si="1"/>
        <v>0</v>
      </c>
      <c r="Q26" s="277">
        <f t="shared" si="2"/>
        <v>0</v>
      </c>
      <c r="R26" s="277">
        <f t="shared" si="3"/>
        <v>0</v>
      </c>
      <c r="S26" s="277" t="e">
        <f>IF(C26="V.High",SUMIF(#REF!,'G-2 Habitat groups'!A26,#REF!)+SUMIF(#REF!,'G-2 Habitat groups'!A26,#REF!),SUMIF(#REF!,'G-2 Habitat groups'!A26,#REF!))</f>
        <v>#REF!</v>
      </c>
      <c r="T26" s="277" t="e">
        <f>SUMIF(#REF!,'G-2 Habitat groups'!A26,#REF!)</f>
        <v>#REF!</v>
      </c>
      <c r="U26" s="277" t="e">
        <f>SUMIF(#REF!,'G-2 Habitat groups'!A26,#REF!)</f>
        <v>#REF!</v>
      </c>
      <c r="V26" s="277" t="e">
        <f>SUMIF(#REF!,'G-2 Habitat groups'!A26,#REF!)</f>
        <v>#REF!</v>
      </c>
      <c r="W26" s="277" t="e">
        <f>SUMIF(#REF!,'G-2 Habitat groups'!A26,#REF!)</f>
        <v>#REF!</v>
      </c>
      <c r="X26" s="277" t="e">
        <f>SUMIF(#REF!,'G-2 Habitat groups'!A26,#REF!)</f>
        <v>#REF!</v>
      </c>
      <c r="Y26" s="277" t="e">
        <f>SUMIF(#REF!,'G-2 Habitat groups'!A26,#REF!)</f>
        <v>#REF!</v>
      </c>
      <c r="Z26" s="277" t="e">
        <f>SUMIF(#REF!,'G-2 Habitat groups'!A26,#REF!)</f>
        <v>#REF!</v>
      </c>
      <c r="AA26" s="277" t="e">
        <f t="shared" si="4"/>
        <v>#REF!</v>
      </c>
      <c r="AB26" s="277" t="e">
        <f t="shared" si="13"/>
        <v>#REF!</v>
      </c>
      <c r="AC26" s="277" t="e">
        <f t="shared" si="5"/>
        <v>#REF!</v>
      </c>
      <c r="AD26" s="277" t="e">
        <f t="shared" si="14"/>
        <v>#REF!</v>
      </c>
      <c r="AE26" s="277" t="e">
        <f t="shared" si="6"/>
        <v>#REF!</v>
      </c>
      <c r="AF26" s="277" t="e">
        <f t="shared" si="15"/>
        <v>#REF!</v>
      </c>
      <c r="AJ26" s="66" t="s">
        <v>51</v>
      </c>
      <c r="AK26" s="428" t="e">
        <f>SUMIF($B:$B,$AJ26,S:S)</f>
        <v>#REF!</v>
      </c>
      <c r="AL26" s="428" t="e">
        <f t="shared" si="28"/>
        <v>#REF!</v>
      </c>
      <c r="AM26" s="428" t="e">
        <f t="shared" si="29"/>
        <v>#REF!</v>
      </c>
      <c r="AN26" s="428" t="e">
        <f t="shared" si="30"/>
        <v>#REF!</v>
      </c>
      <c r="AO26" s="466" t="e">
        <f t="shared" si="31"/>
        <v>#REF!</v>
      </c>
      <c r="AP26" s="466" t="e">
        <f t="shared" si="32"/>
        <v>#REF!</v>
      </c>
    </row>
    <row r="27" spans="1:59" ht="15.65" customHeight="1" x14ac:dyDescent="0.3">
      <c r="A27" s="63" t="str">
        <f>'G-1 All Habitats'!B26</f>
        <v>Heathland and shrub - Blackthorn scrub</v>
      </c>
      <c r="B27" s="52" t="str">
        <f>'G-1 All Habitats'!F26</f>
        <v>Heathland and shrub</v>
      </c>
      <c r="C27" s="52" t="str">
        <f>'G-1 All Habitats'!K26</f>
        <v>Medium</v>
      </c>
      <c r="D27" s="52" t="str">
        <f>'G-1 All Habitats'!M26</f>
        <v>Same broad habitat or a higher distinctiveness habitat required (≥)</v>
      </c>
      <c r="E27" s="277">
        <f>IF(C27="V.High",SUMIF('A-1 On-Site Habitat Baseline'!$AV$11:$AV$258,'G-2 Habitat groups'!A27,'A-1 On-Site Habitat Baseline'!$S$11:$S$258)+SUMIF('A-1 On-Site Habitat Baseline'!$AV$11:$AV$258,'G-2 Habitat groups'!A27,'A-1 On-Site Habitat Baseline'!$T$11:$T$258),SUMIF('A-1 On-Site Habitat Baseline'!$AV$11:$AV$258,'G-2 Habitat groups'!A27,'A-1 On-Site Habitat Baseline'!$H$11:$H$258))</f>
        <v>0</v>
      </c>
      <c r="F27" s="277">
        <f>SUMIF('A-1 On-Site Habitat Baseline'!$AV$11:$AV$258,'G-2 Habitat groups'!A27,'A-1 On-Site Habitat Baseline'!$Q$11:$Q$258)</f>
        <v>0</v>
      </c>
      <c r="G27" s="277">
        <f>SUMIF('A-1 On-Site Habitat Baseline'!$AV$11:$AV$258,'G-2 Habitat groups'!A27,'A-1 On-Site Habitat Baseline'!$S$11:$S$258)</f>
        <v>0</v>
      </c>
      <c r="H27" s="277">
        <f>SUMIF('A-1 On-Site Habitat Baseline'!$AV$11:$AV$258,'G-2 Habitat groups'!A27,'A-1 On-Site Habitat Baseline'!$U$11:$U$258)</f>
        <v>0</v>
      </c>
      <c r="I27" s="277">
        <f>SUMIF('A-1 On-Site Habitat Baseline'!$AV$11:$AV$258,'G-2 Habitat groups'!A27,'A-1 On-Site Habitat Baseline'!$W$11:$W$258)</f>
        <v>0</v>
      </c>
      <c r="J27" s="277">
        <f>SUMIF('A-1 On-Site Habitat Baseline'!$AV$11:$AV$258,'G-2 Habitat groups'!A27,'A-1 On-Site Habitat Baseline'!$X$11:$X$258)</f>
        <v>0</v>
      </c>
      <c r="K27" s="277">
        <f>SUMIF('A-2 On-Site Habitat Creation'!$F$11:$F$256,'G-2 Habitat groups'!A27,'A-2 On-Site Habitat Creation'!$G$11:$G$256)</f>
        <v>0</v>
      </c>
      <c r="L27" s="277">
        <f>SUMIF('A-2 On-Site Habitat Creation'!$F$11:$F$256,'G-2 Habitat groups'!A27,'A-2 On-Site Habitat Creation'!$Y$11:$Y$256)</f>
        <v>0</v>
      </c>
      <c r="M27" s="277">
        <f>SUMIF('A-3 On-Site Habitat Enhancement'!$S$12:$S$257,'G-2 Habitat groups'!A27,'A-3 On-Site Habitat Enhancement'!$V$12:$V$257)</f>
        <v>0</v>
      </c>
      <c r="N27" s="277">
        <f>SUMIF('A-3 On-Site Habitat Enhancement'!$S$12:$S$257,'G-2 Habitat groups'!A27,'A-3 On-Site Habitat Enhancement'!$AN$12:$AN$257)</f>
        <v>0</v>
      </c>
      <c r="O27" s="277">
        <f t="shared" si="0"/>
        <v>0</v>
      </c>
      <c r="P27" s="277">
        <f t="shared" si="1"/>
        <v>0</v>
      </c>
      <c r="Q27" s="277">
        <f t="shared" si="2"/>
        <v>0</v>
      </c>
      <c r="R27" s="277">
        <f t="shared" si="3"/>
        <v>0</v>
      </c>
      <c r="S27" s="277" t="e">
        <f>IF(C27="V.High",SUMIF(#REF!,'G-2 Habitat groups'!A27,#REF!)+SUMIF(#REF!,'G-2 Habitat groups'!A27,#REF!),SUMIF(#REF!,'G-2 Habitat groups'!A27,#REF!))</f>
        <v>#REF!</v>
      </c>
      <c r="T27" s="277" t="e">
        <f>SUMIF(#REF!,'G-2 Habitat groups'!A27,#REF!)</f>
        <v>#REF!</v>
      </c>
      <c r="U27" s="277" t="e">
        <f>SUMIF(#REF!,'G-2 Habitat groups'!A27,#REF!)</f>
        <v>#REF!</v>
      </c>
      <c r="V27" s="277" t="e">
        <f>SUMIF(#REF!,'G-2 Habitat groups'!A27,#REF!)</f>
        <v>#REF!</v>
      </c>
      <c r="W27" s="277" t="e">
        <f>SUMIF(#REF!,'G-2 Habitat groups'!A27,#REF!)</f>
        <v>#REF!</v>
      </c>
      <c r="X27" s="277" t="e">
        <f>SUMIF(#REF!,'G-2 Habitat groups'!A27,#REF!)</f>
        <v>#REF!</v>
      </c>
      <c r="Y27" s="277" t="e">
        <f>SUMIF(#REF!,'G-2 Habitat groups'!A27,#REF!)</f>
        <v>#REF!</v>
      </c>
      <c r="Z27" s="277" t="e">
        <f>SUMIF(#REF!,'G-2 Habitat groups'!A27,#REF!)</f>
        <v>#REF!</v>
      </c>
      <c r="AA27" s="277" t="e">
        <f t="shared" si="4"/>
        <v>#REF!</v>
      </c>
      <c r="AB27" s="277" t="e">
        <f t="shared" si="13"/>
        <v>#REF!</v>
      </c>
      <c r="AC27" s="277" t="e">
        <f t="shared" si="5"/>
        <v>#REF!</v>
      </c>
      <c r="AD27" s="277" t="e">
        <f t="shared" si="14"/>
        <v>#REF!</v>
      </c>
      <c r="AE27" s="277" t="e">
        <f t="shared" si="6"/>
        <v>#REF!</v>
      </c>
      <c r="AF27" s="277" t="e">
        <f t="shared" si="15"/>
        <v>#REF!</v>
      </c>
      <c r="AJ27" s="66" t="s">
        <v>52</v>
      </c>
      <c r="AK27" s="428" t="e">
        <f t="shared" si="27"/>
        <v>#REF!</v>
      </c>
      <c r="AL27" s="428" t="e">
        <f t="shared" si="28"/>
        <v>#REF!</v>
      </c>
      <c r="AM27" s="428" t="e">
        <f t="shared" si="29"/>
        <v>#REF!</v>
      </c>
      <c r="AN27" s="428" t="e">
        <f t="shared" si="30"/>
        <v>#REF!</v>
      </c>
      <c r="AO27" s="466" t="e">
        <f t="shared" si="31"/>
        <v>#REF!</v>
      </c>
      <c r="AP27" s="466" t="e">
        <f t="shared" si="32"/>
        <v>#REF!</v>
      </c>
      <c r="AU27" s="1296" t="s">
        <v>90</v>
      </c>
    </row>
    <row r="28" spans="1:59" ht="15.65" customHeight="1" x14ac:dyDescent="0.3">
      <c r="A28" s="63" t="str">
        <f>'G-1 All Habitats'!B27</f>
        <v>Heathland and shrub - Bramble scrub</v>
      </c>
      <c r="B28" s="52" t="str">
        <f>'G-1 All Habitats'!F27</f>
        <v>Heathland and shrub</v>
      </c>
      <c r="C28" s="52" t="str">
        <f>'G-1 All Habitats'!K27</f>
        <v>Medium</v>
      </c>
      <c r="D28" s="52" t="str">
        <f>'G-1 All Habitats'!M27</f>
        <v>Same broad habitat or a higher distinctiveness habitat required (≥)</v>
      </c>
      <c r="E28" s="277">
        <f>IF(C28="V.High",SUMIF('A-1 On-Site Habitat Baseline'!$AV$11:$AV$258,'G-2 Habitat groups'!A28,'A-1 On-Site Habitat Baseline'!$S$11:$S$258)+SUMIF('A-1 On-Site Habitat Baseline'!$AV$11:$AV$258,'G-2 Habitat groups'!A28,'A-1 On-Site Habitat Baseline'!$T$11:$T$258),SUMIF('A-1 On-Site Habitat Baseline'!$AV$11:$AV$258,'G-2 Habitat groups'!A28,'A-1 On-Site Habitat Baseline'!$H$11:$H$258))</f>
        <v>0</v>
      </c>
      <c r="F28" s="277">
        <f>SUMIF('A-1 On-Site Habitat Baseline'!$AV$11:$AV$258,'G-2 Habitat groups'!A28,'A-1 On-Site Habitat Baseline'!$Q$11:$Q$258)</f>
        <v>0</v>
      </c>
      <c r="G28" s="277">
        <f>SUMIF('A-1 On-Site Habitat Baseline'!$AV$11:$AV$258,'G-2 Habitat groups'!A28,'A-1 On-Site Habitat Baseline'!$S$11:$S$258)</f>
        <v>0</v>
      </c>
      <c r="H28" s="277">
        <f>SUMIF('A-1 On-Site Habitat Baseline'!$AV$11:$AV$258,'G-2 Habitat groups'!A28,'A-1 On-Site Habitat Baseline'!$U$11:$U$258)</f>
        <v>0</v>
      </c>
      <c r="I28" s="277">
        <f>SUMIF('A-1 On-Site Habitat Baseline'!$AV$11:$AV$258,'G-2 Habitat groups'!A28,'A-1 On-Site Habitat Baseline'!$W$11:$W$258)</f>
        <v>0</v>
      </c>
      <c r="J28" s="277">
        <f>SUMIF('A-1 On-Site Habitat Baseline'!$AV$11:$AV$258,'G-2 Habitat groups'!A28,'A-1 On-Site Habitat Baseline'!$X$11:$X$258)</f>
        <v>0</v>
      </c>
      <c r="K28" s="277">
        <f>SUMIF('A-2 On-Site Habitat Creation'!$F$11:$F$256,'G-2 Habitat groups'!A28,'A-2 On-Site Habitat Creation'!$G$11:$G$256)</f>
        <v>0</v>
      </c>
      <c r="L28" s="277">
        <f>SUMIF('A-2 On-Site Habitat Creation'!$F$11:$F$256,'G-2 Habitat groups'!A28,'A-2 On-Site Habitat Creation'!$Y$11:$Y$256)</f>
        <v>0</v>
      </c>
      <c r="M28" s="277">
        <f>SUMIF('A-3 On-Site Habitat Enhancement'!$S$12:$S$257,'G-2 Habitat groups'!A28,'A-3 On-Site Habitat Enhancement'!$V$12:$V$257)</f>
        <v>0</v>
      </c>
      <c r="N28" s="277">
        <f>SUMIF('A-3 On-Site Habitat Enhancement'!$S$12:$S$257,'G-2 Habitat groups'!A28,'A-3 On-Site Habitat Enhancement'!$AN$12:$AN$257)</f>
        <v>0</v>
      </c>
      <c r="O28" s="277">
        <f t="shared" si="0"/>
        <v>0</v>
      </c>
      <c r="P28" s="277">
        <f t="shared" si="1"/>
        <v>0</v>
      </c>
      <c r="Q28" s="277">
        <f t="shared" si="2"/>
        <v>0</v>
      </c>
      <c r="R28" s="277">
        <f t="shared" si="3"/>
        <v>0</v>
      </c>
      <c r="S28" s="277" t="e">
        <f>IF(C28="V.High",SUMIF(#REF!,'G-2 Habitat groups'!A28,#REF!)+SUMIF(#REF!,'G-2 Habitat groups'!A28,#REF!),SUMIF(#REF!,'G-2 Habitat groups'!A28,#REF!))</f>
        <v>#REF!</v>
      </c>
      <c r="T28" s="277" t="e">
        <f>SUMIF(#REF!,'G-2 Habitat groups'!A28,#REF!)</f>
        <v>#REF!</v>
      </c>
      <c r="U28" s="277" t="e">
        <f>SUMIF(#REF!,'G-2 Habitat groups'!A28,#REF!)</f>
        <v>#REF!</v>
      </c>
      <c r="V28" s="277" t="e">
        <f>SUMIF(#REF!,'G-2 Habitat groups'!A28,#REF!)</f>
        <v>#REF!</v>
      </c>
      <c r="W28" s="277" t="e">
        <f>SUMIF(#REF!,'G-2 Habitat groups'!A28,#REF!)</f>
        <v>#REF!</v>
      </c>
      <c r="X28" s="277" t="e">
        <f>SUMIF(#REF!,'G-2 Habitat groups'!A28,#REF!)</f>
        <v>#REF!</v>
      </c>
      <c r="Y28" s="277" t="e">
        <f>SUMIF(#REF!,'G-2 Habitat groups'!A28,#REF!)</f>
        <v>#REF!</v>
      </c>
      <c r="Z28" s="277" t="e">
        <f>SUMIF(#REF!,'G-2 Habitat groups'!A28,#REF!)</f>
        <v>#REF!</v>
      </c>
      <c r="AA28" s="277" t="e">
        <f t="shared" si="4"/>
        <v>#REF!</v>
      </c>
      <c r="AB28" s="277" t="e">
        <f t="shared" si="13"/>
        <v>#REF!</v>
      </c>
      <c r="AC28" s="277" t="e">
        <f t="shared" si="5"/>
        <v>#REF!</v>
      </c>
      <c r="AD28" s="277" t="e">
        <f t="shared" si="14"/>
        <v>#REF!</v>
      </c>
      <c r="AE28" s="277" t="e">
        <f t="shared" si="6"/>
        <v>#REF!</v>
      </c>
      <c r="AF28" s="277" t="e">
        <f t="shared" si="15"/>
        <v>#REF!</v>
      </c>
      <c r="AJ28" s="68" t="s">
        <v>53</v>
      </c>
      <c r="AK28" s="428" t="e">
        <f t="shared" si="27"/>
        <v>#REF!</v>
      </c>
      <c r="AL28" s="428" t="e">
        <f t="shared" si="28"/>
        <v>#REF!</v>
      </c>
      <c r="AM28" s="428" t="e">
        <f t="shared" si="29"/>
        <v>#REF!</v>
      </c>
      <c r="AN28" s="428" t="e">
        <f t="shared" si="30"/>
        <v>#REF!</v>
      </c>
      <c r="AO28" s="466" t="e">
        <f t="shared" si="31"/>
        <v>#REF!</v>
      </c>
      <c r="AP28" s="466" t="e">
        <f t="shared" si="32"/>
        <v>#REF!</v>
      </c>
      <c r="AU28" s="1296"/>
      <c r="AV28" s="59"/>
      <c r="AW28" s="59"/>
      <c r="AX28" s="59"/>
      <c r="AY28" s="59"/>
      <c r="AZ28" s="59"/>
      <c r="BA28" s="59"/>
      <c r="BB28" s="59"/>
      <c r="BC28" s="59"/>
      <c r="BD28" s="59"/>
      <c r="BE28" s="59"/>
      <c r="BF28" s="59"/>
    </row>
    <row r="29" spans="1:59" ht="32.25" customHeight="1" x14ac:dyDescent="0.3">
      <c r="A29" s="63" t="str">
        <f>'G-1 All Habitats'!B28</f>
        <v>Heathland and shrub - Gorse scrub</v>
      </c>
      <c r="B29" s="52" t="str">
        <f>'G-1 All Habitats'!F28</f>
        <v>Heathland and shrub</v>
      </c>
      <c r="C29" s="52" t="str">
        <f>'G-1 All Habitats'!K28</f>
        <v>Medium</v>
      </c>
      <c r="D29" s="52" t="str">
        <f>'G-1 All Habitats'!M28</f>
        <v>Same broad habitat or a higher distinctiveness habitat required (≥)</v>
      </c>
      <c r="E29" s="277">
        <f>IF(C29="V.High",SUMIF('A-1 On-Site Habitat Baseline'!$AV$11:$AV$258,'G-2 Habitat groups'!A29,'A-1 On-Site Habitat Baseline'!$S$11:$S$258)+SUMIF('A-1 On-Site Habitat Baseline'!$AV$11:$AV$258,'G-2 Habitat groups'!A29,'A-1 On-Site Habitat Baseline'!$T$11:$T$258),SUMIF('A-1 On-Site Habitat Baseline'!$AV$11:$AV$258,'G-2 Habitat groups'!A29,'A-1 On-Site Habitat Baseline'!$H$11:$H$258))</f>
        <v>0</v>
      </c>
      <c r="F29" s="277">
        <f>SUMIF('A-1 On-Site Habitat Baseline'!$AV$11:$AV$258,'G-2 Habitat groups'!A29,'A-1 On-Site Habitat Baseline'!$Q$11:$Q$258)</f>
        <v>0</v>
      </c>
      <c r="G29" s="277">
        <f>SUMIF('A-1 On-Site Habitat Baseline'!$AV$11:$AV$258,'G-2 Habitat groups'!A29,'A-1 On-Site Habitat Baseline'!$S$11:$S$258)</f>
        <v>0</v>
      </c>
      <c r="H29" s="277">
        <f>SUMIF('A-1 On-Site Habitat Baseline'!$AV$11:$AV$258,'G-2 Habitat groups'!A29,'A-1 On-Site Habitat Baseline'!$U$11:$U$258)</f>
        <v>0</v>
      </c>
      <c r="I29" s="277">
        <f>SUMIF('A-1 On-Site Habitat Baseline'!$AV$11:$AV$258,'G-2 Habitat groups'!A29,'A-1 On-Site Habitat Baseline'!$W$11:$W$258)</f>
        <v>0</v>
      </c>
      <c r="J29" s="277">
        <f>SUMIF('A-1 On-Site Habitat Baseline'!$AV$11:$AV$258,'G-2 Habitat groups'!A29,'A-1 On-Site Habitat Baseline'!$X$11:$X$258)</f>
        <v>0</v>
      </c>
      <c r="K29" s="277">
        <f>SUMIF('A-2 On-Site Habitat Creation'!$F$11:$F$256,'G-2 Habitat groups'!A29,'A-2 On-Site Habitat Creation'!$G$11:$G$256)</f>
        <v>0</v>
      </c>
      <c r="L29" s="277">
        <f>SUMIF('A-2 On-Site Habitat Creation'!$F$11:$F$256,'G-2 Habitat groups'!A29,'A-2 On-Site Habitat Creation'!$Y$11:$Y$256)</f>
        <v>0</v>
      </c>
      <c r="M29" s="277">
        <f>SUMIF('A-3 On-Site Habitat Enhancement'!$S$12:$S$257,'G-2 Habitat groups'!A29,'A-3 On-Site Habitat Enhancement'!$V$12:$V$257)</f>
        <v>0</v>
      </c>
      <c r="N29" s="277">
        <f>SUMIF('A-3 On-Site Habitat Enhancement'!$S$12:$S$257,'G-2 Habitat groups'!A29,'A-3 On-Site Habitat Enhancement'!$AN$12:$AN$257)</f>
        <v>0</v>
      </c>
      <c r="O29" s="277">
        <f t="shared" si="0"/>
        <v>0</v>
      </c>
      <c r="P29" s="277">
        <f t="shared" si="1"/>
        <v>0</v>
      </c>
      <c r="Q29" s="277">
        <f t="shared" si="2"/>
        <v>0</v>
      </c>
      <c r="R29" s="277">
        <f t="shared" si="3"/>
        <v>0</v>
      </c>
      <c r="S29" s="277" t="e">
        <f>IF(C29="V.High",SUMIF(#REF!,'G-2 Habitat groups'!A29,#REF!)+SUMIF(#REF!,'G-2 Habitat groups'!A29,#REF!),SUMIF(#REF!,'G-2 Habitat groups'!A29,#REF!))</f>
        <v>#REF!</v>
      </c>
      <c r="T29" s="277" t="e">
        <f>SUMIF(#REF!,'G-2 Habitat groups'!A29,#REF!)</f>
        <v>#REF!</v>
      </c>
      <c r="U29" s="277" t="e">
        <f>SUMIF(#REF!,'G-2 Habitat groups'!A29,#REF!)</f>
        <v>#REF!</v>
      </c>
      <c r="V29" s="277" t="e">
        <f>SUMIF(#REF!,'G-2 Habitat groups'!A29,#REF!)</f>
        <v>#REF!</v>
      </c>
      <c r="W29" s="277" t="e">
        <f>SUMIF(#REF!,'G-2 Habitat groups'!A29,#REF!)</f>
        <v>#REF!</v>
      </c>
      <c r="X29" s="277" t="e">
        <f>SUMIF(#REF!,'G-2 Habitat groups'!A29,#REF!)</f>
        <v>#REF!</v>
      </c>
      <c r="Y29" s="277" t="e">
        <f>SUMIF(#REF!,'G-2 Habitat groups'!A29,#REF!)</f>
        <v>#REF!</v>
      </c>
      <c r="Z29" s="277" t="e">
        <f>SUMIF(#REF!,'G-2 Habitat groups'!A29,#REF!)</f>
        <v>#REF!</v>
      </c>
      <c r="AA29" s="277" t="e">
        <f t="shared" si="4"/>
        <v>#REF!</v>
      </c>
      <c r="AB29" s="277" t="e">
        <f t="shared" si="13"/>
        <v>#REF!</v>
      </c>
      <c r="AC29" s="277" t="e">
        <f t="shared" si="5"/>
        <v>#REF!</v>
      </c>
      <c r="AD29" s="277" t="e">
        <f t="shared" si="14"/>
        <v>#REF!</v>
      </c>
      <c r="AE29" s="277" t="e">
        <f t="shared" si="6"/>
        <v>#REF!</v>
      </c>
      <c r="AF29" s="277" t="e">
        <f t="shared" si="15"/>
        <v>#REF!</v>
      </c>
      <c r="AJ29" s="68" t="s">
        <v>54</v>
      </c>
      <c r="AK29" s="428" t="e">
        <f t="shared" si="27"/>
        <v>#REF!</v>
      </c>
      <c r="AL29" s="428" t="e">
        <f t="shared" si="28"/>
        <v>#REF!</v>
      </c>
      <c r="AM29" s="428" t="e">
        <f t="shared" si="29"/>
        <v>#REF!</v>
      </c>
      <c r="AN29" s="428" t="e">
        <f t="shared" si="30"/>
        <v>#REF!</v>
      </c>
      <c r="AO29" s="466" t="e">
        <f t="shared" si="31"/>
        <v>#REF!</v>
      </c>
      <c r="AP29" s="466" t="e">
        <f t="shared" si="32"/>
        <v>#REF!</v>
      </c>
      <c r="AU29" s="78" t="s">
        <v>789</v>
      </c>
      <c r="AV29" s="81" t="s">
        <v>96</v>
      </c>
      <c r="AW29" s="81" t="s">
        <v>790</v>
      </c>
      <c r="AX29" s="81" t="s">
        <v>791</v>
      </c>
      <c r="AY29" s="81" t="s">
        <v>792</v>
      </c>
      <c r="AZ29" s="81" t="s">
        <v>793</v>
      </c>
      <c r="BA29" s="81" t="s">
        <v>794</v>
      </c>
      <c r="BB29" s="81" t="s">
        <v>806</v>
      </c>
      <c r="BC29" s="81" t="s">
        <v>796</v>
      </c>
      <c r="BD29" s="81" t="s">
        <v>797</v>
      </c>
      <c r="BE29" s="81" t="s">
        <v>798</v>
      </c>
      <c r="BF29" s="81" t="s">
        <v>799</v>
      </c>
    </row>
    <row r="30" spans="1:59" x14ac:dyDescent="0.3">
      <c r="A30" s="63" t="str">
        <f>'G-1 All Habitats'!B29</f>
        <v>Heathland and shrub - Hawthorn scrub</v>
      </c>
      <c r="B30" s="52" t="str">
        <f>'G-1 All Habitats'!F29</f>
        <v>Heathland and shrub</v>
      </c>
      <c r="C30" s="52" t="str">
        <f>'G-1 All Habitats'!K29</f>
        <v>Medium</v>
      </c>
      <c r="D30" s="52" t="str">
        <f>'G-1 All Habitats'!M29</f>
        <v>Same broad habitat or a higher distinctiveness habitat required (≥)</v>
      </c>
      <c r="E30" s="277">
        <f>IF(C30="V.High",SUMIF('A-1 On-Site Habitat Baseline'!$AV$11:$AV$258,'G-2 Habitat groups'!A30,'A-1 On-Site Habitat Baseline'!$S$11:$S$258)+SUMIF('A-1 On-Site Habitat Baseline'!$AV$11:$AV$258,'G-2 Habitat groups'!A30,'A-1 On-Site Habitat Baseline'!$T$11:$T$258),SUMIF('A-1 On-Site Habitat Baseline'!$AV$11:$AV$258,'G-2 Habitat groups'!A30,'A-1 On-Site Habitat Baseline'!$H$11:$H$258))</f>
        <v>0</v>
      </c>
      <c r="F30" s="277">
        <f>SUMIF('A-1 On-Site Habitat Baseline'!$AV$11:$AV$258,'G-2 Habitat groups'!A30,'A-1 On-Site Habitat Baseline'!$Q$11:$Q$258)</f>
        <v>0</v>
      </c>
      <c r="G30" s="277">
        <f>SUMIF('A-1 On-Site Habitat Baseline'!$AV$11:$AV$258,'G-2 Habitat groups'!A30,'A-1 On-Site Habitat Baseline'!$S$11:$S$258)</f>
        <v>0</v>
      </c>
      <c r="H30" s="277">
        <f>SUMIF('A-1 On-Site Habitat Baseline'!$AV$11:$AV$258,'G-2 Habitat groups'!A30,'A-1 On-Site Habitat Baseline'!$U$11:$U$258)</f>
        <v>0</v>
      </c>
      <c r="I30" s="277">
        <f>SUMIF('A-1 On-Site Habitat Baseline'!$AV$11:$AV$258,'G-2 Habitat groups'!A30,'A-1 On-Site Habitat Baseline'!$W$11:$W$258)</f>
        <v>0</v>
      </c>
      <c r="J30" s="277">
        <f>SUMIF('A-1 On-Site Habitat Baseline'!$AV$11:$AV$258,'G-2 Habitat groups'!A30,'A-1 On-Site Habitat Baseline'!$X$11:$X$258)</f>
        <v>0</v>
      </c>
      <c r="K30" s="277">
        <f>SUMIF('A-2 On-Site Habitat Creation'!$F$11:$F$256,'G-2 Habitat groups'!A30,'A-2 On-Site Habitat Creation'!$G$11:$G$256)</f>
        <v>0</v>
      </c>
      <c r="L30" s="277">
        <f>SUMIF('A-2 On-Site Habitat Creation'!$F$11:$F$256,'G-2 Habitat groups'!A30,'A-2 On-Site Habitat Creation'!$Y$11:$Y$256)</f>
        <v>0</v>
      </c>
      <c r="M30" s="277">
        <f>SUMIF('A-3 On-Site Habitat Enhancement'!$S$12:$S$257,'G-2 Habitat groups'!A30,'A-3 On-Site Habitat Enhancement'!$V$12:$V$257)</f>
        <v>0</v>
      </c>
      <c r="N30" s="277">
        <f>SUMIF('A-3 On-Site Habitat Enhancement'!$S$12:$S$257,'G-2 Habitat groups'!A30,'A-3 On-Site Habitat Enhancement'!$AN$12:$AN$257)</f>
        <v>0</v>
      </c>
      <c r="O30" s="277">
        <f t="shared" si="0"/>
        <v>0</v>
      </c>
      <c r="P30" s="277">
        <f t="shared" si="1"/>
        <v>0</v>
      </c>
      <c r="Q30" s="277">
        <f t="shared" si="2"/>
        <v>0</v>
      </c>
      <c r="R30" s="277">
        <f t="shared" si="3"/>
        <v>0</v>
      </c>
      <c r="S30" s="277" t="e">
        <f>IF(C30="V.High",SUMIF(#REF!,'G-2 Habitat groups'!A30,#REF!)+SUMIF(#REF!,'G-2 Habitat groups'!A30,#REF!),SUMIF(#REF!,'G-2 Habitat groups'!A30,#REF!))</f>
        <v>#REF!</v>
      </c>
      <c r="T30" s="277" t="e">
        <f>SUMIF(#REF!,'G-2 Habitat groups'!A30,#REF!)</f>
        <v>#REF!</v>
      </c>
      <c r="U30" s="277" t="e">
        <f>SUMIF(#REF!,'G-2 Habitat groups'!A30,#REF!)</f>
        <v>#REF!</v>
      </c>
      <c r="V30" s="277" t="e">
        <f>SUMIF(#REF!,'G-2 Habitat groups'!A30,#REF!)</f>
        <v>#REF!</v>
      </c>
      <c r="W30" s="277" t="e">
        <f>SUMIF(#REF!,'G-2 Habitat groups'!A30,#REF!)</f>
        <v>#REF!</v>
      </c>
      <c r="X30" s="277" t="e">
        <f>SUMIF(#REF!,'G-2 Habitat groups'!A30,#REF!)</f>
        <v>#REF!</v>
      </c>
      <c r="Y30" s="277" t="e">
        <f>SUMIF(#REF!,'G-2 Habitat groups'!A30,#REF!)</f>
        <v>#REF!</v>
      </c>
      <c r="Z30" s="277" t="e">
        <f>SUMIF(#REF!,'G-2 Habitat groups'!A30,#REF!)</f>
        <v>#REF!</v>
      </c>
      <c r="AA30" s="277" t="e">
        <f t="shared" si="4"/>
        <v>#REF!</v>
      </c>
      <c r="AB30" s="277" t="e">
        <f t="shared" si="13"/>
        <v>#REF!</v>
      </c>
      <c r="AC30" s="277" t="e">
        <f t="shared" si="5"/>
        <v>#REF!</v>
      </c>
      <c r="AD30" s="277" t="e">
        <f t="shared" si="14"/>
        <v>#REF!</v>
      </c>
      <c r="AE30" s="277" t="e">
        <f t="shared" si="6"/>
        <v>#REF!</v>
      </c>
      <c r="AF30" s="277" t="e">
        <f t="shared" si="15"/>
        <v>#REF!</v>
      </c>
      <c r="AJ30" s="68" t="s">
        <v>55</v>
      </c>
      <c r="AK30" s="427">
        <f t="shared" si="27"/>
        <v>0</v>
      </c>
      <c r="AL30" s="427">
        <f t="shared" si="28"/>
        <v>0</v>
      </c>
      <c r="AM30" s="427">
        <f t="shared" si="29"/>
        <v>0</v>
      </c>
      <c r="AN30" s="427">
        <f t="shared" si="30"/>
        <v>0</v>
      </c>
      <c r="AO30" s="466">
        <f t="shared" si="31"/>
        <v>0</v>
      </c>
      <c r="AP30" s="466">
        <f t="shared" si="32"/>
        <v>0</v>
      </c>
      <c r="AU30" s="70" t="s">
        <v>339</v>
      </c>
      <c r="AV30" s="52" t="s">
        <v>47</v>
      </c>
      <c r="AW30" s="288">
        <f t="shared" ref="AW30:AW73" si="33">VLOOKUP($AU30,AllHabsSummaryData,5,FALSE)</f>
        <v>0</v>
      </c>
      <c r="AX30" s="288">
        <f t="shared" ref="AX30:AX73" si="34">VLOOKUP($AU30,AllHabsSummaryData,10,FALSE)</f>
        <v>0</v>
      </c>
      <c r="AY30" s="288">
        <f t="shared" ref="AY30:AY73" si="35">VLOOKUP($AU30,AllHabsSummaryData,15,FALSE)</f>
        <v>0</v>
      </c>
      <c r="AZ30" s="288">
        <f t="shared" ref="AZ30:AZ73" si="36">VLOOKUP($AU30,AllHabsSummaryData,16,FALSE)</f>
        <v>0</v>
      </c>
      <c r="BA30" s="288">
        <f t="shared" ref="BA30:BA73" si="37">VLOOKUP($AU30,AllHabsSummaryData,17,FALSE)</f>
        <v>0</v>
      </c>
      <c r="BB30" s="288">
        <f t="shared" ref="BB30:BB73" si="38">VLOOKUP($AU30,AllHabsSummaryData,18,FALSE)</f>
        <v>0</v>
      </c>
      <c r="BC30" s="288" t="e">
        <f t="shared" ref="BC30:BC73" si="39">VLOOKUP($AU30,AllHabsSummaryData,27,FALSE)</f>
        <v>#REF!</v>
      </c>
      <c r="BD30" s="288" t="e">
        <f t="shared" ref="BD30:BD73" si="40">VLOOKUP($AU30,AllHabsSummaryData,30,FALSE)</f>
        <v>#REF!</v>
      </c>
      <c r="BE30" s="288" t="e">
        <f t="shared" ref="BE30:BE73" si="41">BB30+BD30</f>
        <v>#REF!</v>
      </c>
      <c r="BF30" s="288" t="e">
        <f t="shared" ref="BF30:BF73" si="42">IF(BE30&lt;0,BE30,"")</f>
        <v>#REF!</v>
      </c>
    </row>
    <row r="31" spans="1:59" x14ac:dyDescent="0.3">
      <c r="A31" s="63" t="str">
        <f>'G-1 All Habitats'!B30</f>
        <v>Heathland and shrub - Hazel scrub</v>
      </c>
      <c r="B31" s="52" t="str">
        <f>'G-1 All Habitats'!F30</f>
        <v>Heathland and shrub</v>
      </c>
      <c r="C31" s="52" t="str">
        <f>'G-1 All Habitats'!K30</f>
        <v>Medium</v>
      </c>
      <c r="D31" s="52" t="str">
        <f>'G-1 All Habitats'!M30</f>
        <v>Same broad habitat or a higher distinctiveness habitat required (≥)</v>
      </c>
      <c r="E31" s="277">
        <f>IF(C31="V.High",SUMIF('A-1 On-Site Habitat Baseline'!$AV$11:$AV$258,'G-2 Habitat groups'!A31,'A-1 On-Site Habitat Baseline'!$S$11:$S$258)+SUMIF('A-1 On-Site Habitat Baseline'!$AV$11:$AV$258,'G-2 Habitat groups'!A31,'A-1 On-Site Habitat Baseline'!$T$11:$T$258),SUMIF('A-1 On-Site Habitat Baseline'!$AV$11:$AV$258,'G-2 Habitat groups'!A31,'A-1 On-Site Habitat Baseline'!$H$11:$H$258))</f>
        <v>0</v>
      </c>
      <c r="F31" s="277">
        <f>SUMIF('A-1 On-Site Habitat Baseline'!$AV$11:$AV$258,'G-2 Habitat groups'!A31,'A-1 On-Site Habitat Baseline'!$Q$11:$Q$258)</f>
        <v>0</v>
      </c>
      <c r="G31" s="277">
        <f>SUMIF('A-1 On-Site Habitat Baseline'!$AV$11:$AV$258,'G-2 Habitat groups'!A31,'A-1 On-Site Habitat Baseline'!$S$11:$S$258)</f>
        <v>0</v>
      </c>
      <c r="H31" s="277">
        <f>SUMIF('A-1 On-Site Habitat Baseline'!$AV$11:$AV$258,'G-2 Habitat groups'!A31,'A-1 On-Site Habitat Baseline'!$U$11:$U$258)</f>
        <v>0</v>
      </c>
      <c r="I31" s="277">
        <f>SUMIF('A-1 On-Site Habitat Baseline'!$AV$11:$AV$258,'G-2 Habitat groups'!A31,'A-1 On-Site Habitat Baseline'!$W$11:$W$258)</f>
        <v>0</v>
      </c>
      <c r="J31" s="277">
        <f>SUMIF('A-1 On-Site Habitat Baseline'!$AV$11:$AV$258,'G-2 Habitat groups'!A31,'A-1 On-Site Habitat Baseline'!$X$11:$X$258)</f>
        <v>0</v>
      </c>
      <c r="K31" s="277">
        <f>SUMIF('A-2 On-Site Habitat Creation'!$F$11:$F$256,'G-2 Habitat groups'!A31,'A-2 On-Site Habitat Creation'!$G$11:$G$256)</f>
        <v>0</v>
      </c>
      <c r="L31" s="277">
        <f>SUMIF('A-2 On-Site Habitat Creation'!$F$11:$F$256,'G-2 Habitat groups'!A31,'A-2 On-Site Habitat Creation'!$Y$11:$Y$256)</f>
        <v>0</v>
      </c>
      <c r="M31" s="277">
        <f>SUMIF('A-3 On-Site Habitat Enhancement'!$S$12:$S$257,'G-2 Habitat groups'!A31,'A-3 On-Site Habitat Enhancement'!$V$12:$V$257)</f>
        <v>0</v>
      </c>
      <c r="N31" s="277">
        <f>SUMIF('A-3 On-Site Habitat Enhancement'!$S$12:$S$257,'G-2 Habitat groups'!A31,'A-3 On-Site Habitat Enhancement'!$AN$12:$AN$257)</f>
        <v>0</v>
      </c>
      <c r="O31" s="277">
        <f t="shared" si="0"/>
        <v>0</v>
      </c>
      <c r="P31" s="277">
        <f t="shared" si="1"/>
        <v>0</v>
      </c>
      <c r="Q31" s="277">
        <f t="shared" si="2"/>
        <v>0</v>
      </c>
      <c r="R31" s="277">
        <f t="shared" si="3"/>
        <v>0</v>
      </c>
      <c r="S31" s="277" t="e">
        <f>IF(C31="V.High",SUMIF(#REF!,'G-2 Habitat groups'!A31,#REF!)+SUMIF(#REF!,'G-2 Habitat groups'!A31,#REF!),SUMIF(#REF!,'G-2 Habitat groups'!A31,#REF!))</f>
        <v>#REF!</v>
      </c>
      <c r="T31" s="277" t="e">
        <f>SUMIF(#REF!,'G-2 Habitat groups'!A31,#REF!)</f>
        <v>#REF!</v>
      </c>
      <c r="U31" s="277" t="e">
        <f>SUMIF(#REF!,'G-2 Habitat groups'!A31,#REF!)</f>
        <v>#REF!</v>
      </c>
      <c r="V31" s="277" t="e">
        <f>SUMIF(#REF!,'G-2 Habitat groups'!A31,#REF!)</f>
        <v>#REF!</v>
      </c>
      <c r="W31" s="277" t="e">
        <f>SUMIF(#REF!,'G-2 Habitat groups'!A31,#REF!)</f>
        <v>#REF!</v>
      </c>
      <c r="X31" s="277" t="e">
        <f>SUMIF(#REF!,'G-2 Habitat groups'!A31,#REF!)</f>
        <v>#REF!</v>
      </c>
      <c r="Y31" s="277" t="e">
        <f>SUMIF(#REF!,'G-2 Habitat groups'!A31,#REF!)</f>
        <v>#REF!</v>
      </c>
      <c r="Z31" s="277" t="e">
        <f>SUMIF(#REF!,'G-2 Habitat groups'!A31,#REF!)</f>
        <v>#REF!</v>
      </c>
      <c r="AA31" s="277" t="e">
        <f t="shared" si="4"/>
        <v>#REF!</v>
      </c>
      <c r="AB31" s="277" t="e">
        <f t="shared" si="13"/>
        <v>#REF!</v>
      </c>
      <c r="AC31" s="277" t="e">
        <f t="shared" si="5"/>
        <v>#REF!</v>
      </c>
      <c r="AD31" s="277" t="e">
        <f t="shared" si="14"/>
        <v>#REF!</v>
      </c>
      <c r="AE31" s="277" t="e">
        <f t="shared" si="6"/>
        <v>#REF!</v>
      </c>
      <c r="AF31" s="277" t="e">
        <f t="shared" si="15"/>
        <v>#REF!</v>
      </c>
      <c r="AJ31" s="68" t="s">
        <v>56</v>
      </c>
      <c r="AK31" s="427">
        <f t="shared" si="27"/>
        <v>0</v>
      </c>
      <c r="AL31" s="427">
        <f t="shared" si="28"/>
        <v>0</v>
      </c>
      <c r="AM31" s="427">
        <f t="shared" si="29"/>
        <v>0</v>
      </c>
      <c r="AN31" s="427">
        <f t="shared" si="30"/>
        <v>0</v>
      </c>
      <c r="AO31" s="466">
        <f t="shared" si="31"/>
        <v>0</v>
      </c>
      <c r="AP31" s="466">
        <f t="shared" si="32"/>
        <v>0</v>
      </c>
      <c r="AU31" s="70" t="s">
        <v>346</v>
      </c>
      <c r="AV31" s="52" t="s">
        <v>47</v>
      </c>
      <c r="AW31" s="288">
        <f t="shared" si="33"/>
        <v>0</v>
      </c>
      <c r="AX31" s="288">
        <f t="shared" si="34"/>
        <v>0</v>
      </c>
      <c r="AY31" s="288">
        <f t="shared" si="35"/>
        <v>0</v>
      </c>
      <c r="AZ31" s="288">
        <f t="shared" si="36"/>
        <v>0</v>
      </c>
      <c r="BA31" s="288">
        <f t="shared" si="37"/>
        <v>0</v>
      </c>
      <c r="BB31" s="288">
        <f t="shared" si="38"/>
        <v>0</v>
      </c>
      <c r="BC31" s="288" t="e">
        <f t="shared" si="39"/>
        <v>#REF!</v>
      </c>
      <c r="BD31" s="288" t="e">
        <f t="shared" si="40"/>
        <v>#REF!</v>
      </c>
      <c r="BE31" s="288" t="e">
        <f t="shared" si="41"/>
        <v>#REF!</v>
      </c>
      <c r="BF31" s="288" t="e">
        <f t="shared" si="42"/>
        <v>#REF!</v>
      </c>
    </row>
    <row r="32" spans="1:59" x14ac:dyDescent="0.3">
      <c r="A32" s="63" t="str">
        <f>'G-1 All Habitats'!B31</f>
        <v>Heathland and shrub - Lowland heathland</v>
      </c>
      <c r="B32" s="52" t="str">
        <f>'G-1 All Habitats'!F31</f>
        <v>Heathland and shrub</v>
      </c>
      <c r="C32" s="52" t="str">
        <f>'G-1 All Habitats'!K31</f>
        <v>High</v>
      </c>
      <c r="D32" s="52" t="str">
        <f>'G-1 All Habitats'!M31</f>
        <v>Same habitat required =</v>
      </c>
      <c r="E32" s="277">
        <f>IF(C32="V.High",SUMIF('A-1 On-Site Habitat Baseline'!$AV$11:$AV$258,'G-2 Habitat groups'!A32,'A-1 On-Site Habitat Baseline'!$S$11:$S$258)+SUMIF('A-1 On-Site Habitat Baseline'!$AV$11:$AV$258,'G-2 Habitat groups'!A32,'A-1 On-Site Habitat Baseline'!$T$11:$T$258),SUMIF('A-1 On-Site Habitat Baseline'!$AV$11:$AV$258,'G-2 Habitat groups'!A32,'A-1 On-Site Habitat Baseline'!$H$11:$H$258))</f>
        <v>0</v>
      </c>
      <c r="F32" s="277">
        <f>SUMIF('A-1 On-Site Habitat Baseline'!$AV$11:$AV$258,'G-2 Habitat groups'!A32,'A-1 On-Site Habitat Baseline'!$Q$11:$Q$258)</f>
        <v>0</v>
      </c>
      <c r="G32" s="277">
        <f>SUMIF('A-1 On-Site Habitat Baseline'!$AV$11:$AV$258,'G-2 Habitat groups'!A32,'A-1 On-Site Habitat Baseline'!$S$11:$S$258)</f>
        <v>0</v>
      </c>
      <c r="H32" s="277">
        <f>SUMIF('A-1 On-Site Habitat Baseline'!$AV$11:$AV$258,'G-2 Habitat groups'!A32,'A-1 On-Site Habitat Baseline'!$U$11:$U$258)</f>
        <v>0</v>
      </c>
      <c r="I32" s="277">
        <f>SUMIF('A-1 On-Site Habitat Baseline'!$AV$11:$AV$258,'G-2 Habitat groups'!A32,'A-1 On-Site Habitat Baseline'!$W$11:$W$258)</f>
        <v>0</v>
      </c>
      <c r="J32" s="277">
        <f>SUMIF('A-1 On-Site Habitat Baseline'!$AV$11:$AV$258,'G-2 Habitat groups'!A32,'A-1 On-Site Habitat Baseline'!$X$11:$X$258)</f>
        <v>0</v>
      </c>
      <c r="K32" s="277">
        <f>SUMIF('A-2 On-Site Habitat Creation'!$F$11:$F$256,'G-2 Habitat groups'!A32,'A-2 On-Site Habitat Creation'!$G$11:$G$256)</f>
        <v>0</v>
      </c>
      <c r="L32" s="277">
        <f>SUMIF('A-2 On-Site Habitat Creation'!$F$11:$F$256,'G-2 Habitat groups'!A32,'A-2 On-Site Habitat Creation'!$Y$11:$Y$256)</f>
        <v>0</v>
      </c>
      <c r="M32" s="277">
        <f>SUMIF('A-3 On-Site Habitat Enhancement'!$S$12:$S$257,'G-2 Habitat groups'!A32,'A-3 On-Site Habitat Enhancement'!$V$12:$V$257)</f>
        <v>0</v>
      </c>
      <c r="N32" s="277">
        <f>SUMIF('A-3 On-Site Habitat Enhancement'!$S$12:$S$257,'G-2 Habitat groups'!A32,'A-3 On-Site Habitat Enhancement'!$AN$12:$AN$257)</f>
        <v>0</v>
      </c>
      <c r="O32" s="277">
        <f t="shared" si="0"/>
        <v>0</v>
      </c>
      <c r="P32" s="277">
        <f t="shared" si="1"/>
        <v>0</v>
      </c>
      <c r="Q32" s="277">
        <f t="shared" si="2"/>
        <v>0</v>
      </c>
      <c r="R32" s="277">
        <f t="shared" si="3"/>
        <v>0</v>
      </c>
      <c r="S32" s="277" t="e">
        <f>IF(C32="V.High",SUMIF(#REF!,'G-2 Habitat groups'!A32,#REF!)+SUMIF(#REF!,'G-2 Habitat groups'!A32,#REF!),SUMIF(#REF!,'G-2 Habitat groups'!A32,#REF!))</f>
        <v>#REF!</v>
      </c>
      <c r="T32" s="277" t="e">
        <f>SUMIF(#REF!,'G-2 Habitat groups'!A32,#REF!)</f>
        <v>#REF!</v>
      </c>
      <c r="U32" s="277" t="e">
        <f>SUMIF(#REF!,'G-2 Habitat groups'!A32,#REF!)</f>
        <v>#REF!</v>
      </c>
      <c r="V32" s="277" t="e">
        <f>SUMIF(#REF!,'G-2 Habitat groups'!A32,#REF!)</f>
        <v>#REF!</v>
      </c>
      <c r="W32" s="277" t="e">
        <f>SUMIF(#REF!,'G-2 Habitat groups'!A32,#REF!)</f>
        <v>#REF!</v>
      </c>
      <c r="X32" s="277" t="e">
        <f>SUMIF(#REF!,'G-2 Habitat groups'!A32,#REF!)</f>
        <v>#REF!</v>
      </c>
      <c r="Y32" s="277" t="e">
        <f>SUMIF(#REF!,'G-2 Habitat groups'!A32,#REF!)</f>
        <v>#REF!</v>
      </c>
      <c r="Z32" s="277" t="e">
        <f>SUMIF(#REF!,'G-2 Habitat groups'!A32,#REF!)</f>
        <v>#REF!</v>
      </c>
      <c r="AA32" s="277" t="e">
        <f t="shared" si="4"/>
        <v>#REF!</v>
      </c>
      <c r="AB32" s="277" t="e">
        <f t="shared" si="13"/>
        <v>#REF!</v>
      </c>
      <c r="AC32" s="277" t="e">
        <f t="shared" si="5"/>
        <v>#REF!</v>
      </c>
      <c r="AD32" s="277" t="e">
        <f t="shared" si="14"/>
        <v>#REF!</v>
      </c>
      <c r="AE32" s="277" t="e">
        <f t="shared" si="6"/>
        <v>#REF!</v>
      </c>
      <c r="AF32" s="277" t="e">
        <f t="shared" si="15"/>
        <v>#REF!</v>
      </c>
      <c r="AJ32" s="68" t="s">
        <v>57</v>
      </c>
      <c r="AK32" s="428" t="e">
        <f t="shared" si="27"/>
        <v>#REF!</v>
      </c>
      <c r="AL32" s="428" t="e">
        <f t="shared" si="28"/>
        <v>#REF!</v>
      </c>
      <c r="AM32" s="428" t="e">
        <f t="shared" si="29"/>
        <v>#REF!</v>
      </c>
      <c r="AN32" s="428" t="e">
        <f t="shared" si="30"/>
        <v>#REF!</v>
      </c>
      <c r="AO32" s="466" t="e">
        <f t="shared" si="31"/>
        <v>#REF!</v>
      </c>
      <c r="AP32" s="466" t="e">
        <f t="shared" si="32"/>
        <v>#REF!</v>
      </c>
      <c r="AU32" s="70" t="s">
        <v>351</v>
      </c>
      <c r="AV32" s="52" t="s">
        <v>47</v>
      </c>
      <c r="AW32" s="288">
        <f t="shared" si="33"/>
        <v>0</v>
      </c>
      <c r="AX32" s="288">
        <f t="shared" si="34"/>
        <v>0</v>
      </c>
      <c r="AY32" s="288">
        <f t="shared" si="35"/>
        <v>0</v>
      </c>
      <c r="AZ32" s="288">
        <f t="shared" si="36"/>
        <v>0</v>
      </c>
      <c r="BA32" s="288">
        <f t="shared" si="37"/>
        <v>0</v>
      </c>
      <c r="BB32" s="288">
        <f t="shared" si="38"/>
        <v>0</v>
      </c>
      <c r="BC32" s="288" t="e">
        <f t="shared" si="39"/>
        <v>#REF!</v>
      </c>
      <c r="BD32" s="288" t="e">
        <f t="shared" si="40"/>
        <v>#REF!</v>
      </c>
      <c r="BE32" s="288" t="e">
        <f t="shared" si="41"/>
        <v>#REF!</v>
      </c>
      <c r="BF32" s="288" t="e">
        <f t="shared" si="42"/>
        <v>#REF!</v>
      </c>
    </row>
    <row r="33" spans="1:58" x14ac:dyDescent="0.3">
      <c r="A33" s="63" t="str">
        <f>'G-1 All Habitats'!B32</f>
        <v>Heathland and shrub - Mixed scrub</v>
      </c>
      <c r="B33" s="52" t="str">
        <f>'G-1 All Habitats'!F32</f>
        <v>Heathland and shrub</v>
      </c>
      <c r="C33" s="52" t="str">
        <f>'G-1 All Habitats'!K32</f>
        <v>Medium</v>
      </c>
      <c r="D33" s="52" t="str">
        <f>'G-1 All Habitats'!M32</f>
        <v>Same broad habitat or a higher distinctiveness habitat required (≥)</v>
      </c>
      <c r="E33" s="277">
        <f>IF(C33="V.High",SUMIF('A-1 On-Site Habitat Baseline'!$AV$11:$AV$258,'G-2 Habitat groups'!A33,'A-1 On-Site Habitat Baseline'!$S$11:$S$258)+SUMIF('A-1 On-Site Habitat Baseline'!$AV$11:$AV$258,'G-2 Habitat groups'!A33,'A-1 On-Site Habitat Baseline'!$T$11:$T$258),SUMIF('A-1 On-Site Habitat Baseline'!$AV$11:$AV$258,'G-2 Habitat groups'!A33,'A-1 On-Site Habitat Baseline'!$H$11:$H$258))</f>
        <v>0</v>
      </c>
      <c r="F33" s="277">
        <f>SUMIF('A-1 On-Site Habitat Baseline'!$AV$11:$AV$258,'G-2 Habitat groups'!A33,'A-1 On-Site Habitat Baseline'!$Q$11:$Q$258)</f>
        <v>0</v>
      </c>
      <c r="G33" s="277">
        <f>SUMIF('A-1 On-Site Habitat Baseline'!$AV$11:$AV$258,'G-2 Habitat groups'!A33,'A-1 On-Site Habitat Baseline'!$S$11:$S$258)</f>
        <v>0</v>
      </c>
      <c r="H33" s="277">
        <f>SUMIF('A-1 On-Site Habitat Baseline'!$AV$11:$AV$258,'G-2 Habitat groups'!A33,'A-1 On-Site Habitat Baseline'!$U$11:$U$258)</f>
        <v>0</v>
      </c>
      <c r="I33" s="277">
        <f>SUMIF('A-1 On-Site Habitat Baseline'!$AV$11:$AV$258,'G-2 Habitat groups'!A33,'A-1 On-Site Habitat Baseline'!$W$11:$W$258)</f>
        <v>0</v>
      </c>
      <c r="J33" s="277">
        <f>SUMIF('A-1 On-Site Habitat Baseline'!$AV$11:$AV$258,'G-2 Habitat groups'!A33,'A-1 On-Site Habitat Baseline'!$X$11:$X$258)</f>
        <v>0</v>
      </c>
      <c r="K33" s="277">
        <f>SUMIF('A-2 On-Site Habitat Creation'!$F$11:$F$256,'G-2 Habitat groups'!A33,'A-2 On-Site Habitat Creation'!$G$11:$G$256)</f>
        <v>0</v>
      </c>
      <c r="L33" s="277">
        <f>SUMIF('A-2 On-Site Habitat Creation'!$F$11:$F$256,'G-2 Habitat groups'!A33,'A-2 On-Site Habitat Creation'!$Y$11:$Y$256)</f>
        <v>0</v>
      </c>
      <c r="M33" s="277">
        <f>SUMIF('A-3 On-Site Habitat Enhancement'!$S$12:$S$257,'G-2 Habitat groups'!A33,'A-3 On-Site Habitat Enhancement'!$V$12:$V$257)</f>
        <v>0</v>
      </c>
      <c r="N33" s="277">
        <f>SUMIF('A-3 On-Site Habitat Enhancement'!$S$12:$S$257,'G-2 Habitat groups'!A33,'A-3 On-Site Habitat Enhancement'!$AN$12:$AN$257)</f>
        <v>0</v>
      </c>
      <c r="O33" s="277">
        <f t="shared" si="0"/>
        <v>0</v>
      </c>
      <c r="P33" s="277">
        <f t="shared" si="1"/>
        <v>0</v>
      </c>
      <c r="Q33" s="277">
        <f t="shared" si="2"/>
        <v>0</v>
      </c>
      <c r="R33" s="277">
        <f t="shared" si="3"/>
        <v>0</v>
      </c>
      <c r="S33" s="277" t="e">
        <f>IF(C33="V.High",SUMIF(#REF!,'G-2 Habitat groups'!A33,#REF!)+SUMIF(#REF!,'G-2 Habitat groups'!A33,#REF!),SUMIF(#REF!,'G-2 Habitat groups'!A33,#REF!))</f>
        <v>#REF!</v>
      </c>
      <c r="T33" s="277" t="e">
        <f>SUMIF(#REF!,'G-2 Habitat groups'!A33,#REF!)</f>
        <v>#REF!</v>
      </c>
      <c r="U33" s="277" t="e">
        <f>SUMIF(#REF!,'G-2 Habitat groups'!A33,#REF!)</f>
        <v>#REF!</v>
      </c>
      <c r="V33" s="277" t="e">
        <f>SUMIF(#REF!,'G-2 Habitat groups'!A33,#REF!)</f>
        <v>#REF!</v>
      </c>
      <c r="W33" s="277" t="e">
        <f>SUMIF(#REF!,'G-2 Habitat groups'!A33,#REF!)</f>
        <v>#REF!</v>
      </c>
      <c r="X33" s="277" t="e">
        <f>SUMIF(#REF!,'G-2 Habitat groups'!A33,#REF!)</f>
        <v>#REF!</v>
      </c>
      <c r="Y33" s="277" t="e">
        <f>SUMIF(#REF!,'G-2 Habitat groups'!A33,#REF!)</f>
        <v>#REF!</v>
      </c>
      <c r="Z33" s="277" t="e">
        <f>SUMIF(#REF!,'G-2 Habitat groups'!A33,#REF!)</f>
        <v>#REF!</v>
      </c>
      <c r="AA33" s="277" t="e">
        <f t="shared" si="4"/>
        <v>#REF!</v>
      </c>
      <c r="AB33" s="277" t="e">
        <f t="shared" si="13"/>
        <v>#REF!</v>
      </c>
      <c r="AC33" s="277" t="e">
        <f t="shared" si="5"/>
        <v>#REF!</v>
      </c>
      <c r="AD33" s="277" t="e">
        <f t="shared" si="14"/>
        <v>#REF!</v>
      </c>
      <c r="AE33" s="277" t="e">
        <f t="shared" si="6"/>
        <v>#REF!</v>
      </c>
      <c r="AF33" s="277" t="e">
        <f t="shared" si="15"/>
        <v>#REF!</v>
      </c>
      <c r="AJ33" s="68" t="s">
        <v>58</v>
      </c>
      <c r="AK33" s="428" t="e">
        <f t="shared" si="27"/>
        <v>#REF!</v>
      </c>
      <c r="AL33" s="428" t="e">
        <f t="shared" si="28"/>
        <v>#REF!</v>
      </c>
      <c r="AM33" s="428" t="e">
        <f t="shared" si="29"/>
        <v>#REF!</v>
      </c>
      <c r="AN33" s="428" t="e">
        <f t="shared" si="30"/>
        <v>#REF!</v>
      </c>
      <c r="AO33" s="466" t="e">
        <f t="shared" si="31"/>
        <v>#REF!</v>
      </c>
      <c r="AP33" s="466" t="e">
        <f t="shared" si="32"/>
        <v>#REF!</v>
      </c>
      <c r="AU33" s="70" t="s">
        <v>378</v>
      </c>
      <c r="AV33" s="52" t="s">
        <v>47</v>
      </c>
      <c r="AW33" s="288">
        <f t="shared" si="33"/>
        <v>0</v>
      </c>
      <c r="AX33" s="288">
        <f t="shared" si="34"/>
        <v>0</v>
      </c>
      <c r="AY33" s="288">
        <f t="shared" si="35"/>
        <v>0</v>
      </c>
      <c r="AZ33" s="288">
        <f t="shared" si="36"/>
        <v>0</v>
      </c>
      <c r="BA33" s="288">
        <f t="shared" si="37"/>
        <v>0</v>
      </c>
      <c r="BB33" s="288">
        <f t="shared" si="38"/>
        <v>0</v>
      </c>
      <c r="BC33" s="288" t="e">
        <f t="shared" si="39"/>
        <v>#REF!</v>
      </c>
      <c r="BD33" s="288" t="e">
        <f t="shared" si="40"/>
        <v>#REF!</v>
      </c>
      <c r="BE33" s="288" t="e">
        <f t="shared" si="41"/>
        <v>#REF!</v>
      </c>
      <c r="BF33" s="288" t="e">
        <f t="shared" si="42"/>
        <v>#REF!</v>
      </c>
    </row>
    <row r="34" spans="1:58" x14ac:dyDescent="0.3">
      <c r="A34" s="63" t="str">
        <f>'G-1 All Habitats'!B33</f>
        <v>Heathland and shrub - Mountain heaths and willow scrub</v>
      </c>
      <c r="B34" s="52" t="str">
        <f>'G-1 All Habitats'!F33</f>
        <v>Heathland and shrub</v>
      </c>
      <c r="C34" s="52" t="str">
        <f>'G-1 All Habitats'!K33</f>
        <v>V.High</v>
      </c>
      <c r="D34" s="52" t="str">
        <f>'G-1 All Habitats'!M33</f>
        <v>Bespoke compensation likely to be required 🛠</v>
      </c>
      <c r="E34" s="277">
        <f>IF(C34="V.High",SUMIF('A-1 On-Site Habitat Baseline'!$AV$11:$AV$258,'G-2 Habitat groups'!A34,'A-1 On-Site Habitat Baseline'!$S$11:$S$258)+SUMIF('A-1 On-Site Habitat Baseline'!$AV$11:$AV$258,'G-2 Habitat groups'!A34,'A-1 On-Site Habitat Baseline'!$T$11:$T$258),SUMIF('A-1 On-Site Habitat Baseline'!$AV$11:$AV$258,'G-2 Habitat groups'!A34,'A-1 On-Site Habitat Baseline'!$H$11:$H$258))</f>
        <v>0</v>
      </c>
      <c r="F34" s="277">
        <f>SUMIF('A-1 On-Site Habitat Baseline'!$AV$11:$AV$258,'G-2 Habitat groups'!A34,'A-1 On-Site Habitat Baseline'!$Q$11:$Q$258)</f>
        <v>0</v>
      </c>
      <c r="G34" s="277">
        <f>SUMIF('A-1 On-Site Habitat Baseline'!$AV$11:$AV$258,'G-2 Habitat groups'!A34,'A-1 On-Site Habitat Baseline'!$S$11:$S$258)</f>
        <v>0</v>
      </c>
      <c r="H34" s="277">
        <f>SUMIF('A-1 On-Site Habitat Baseline'!$AV$11:$AV$258,'G-2 Habitat groups'!A34,'A-1 On-Site Habitat Baseline'!$U$11:$U$258)</f>
        <v>0</v>
      </c>
      <c r="I34" s="277">
        <f>SUMIF('A-1 On-Site Habitat Baseline'!$AV$11:$AV$258,'G-2 Habitat groups'!A34,'A-1 On-Site Habitat Baseline'!$W$11:$W$258)</f>
        <v>0</v>
      </c>
      <c r="J34" s="277">
        <f>SUMIF('A-1 On-Site Habitat Baseline'!$AV$11:$AV$258,'G-2 Habitat groups'!A34,'A-1 On-Site Habitat Baseline'!$X$11:$X$258)</f>
        <v>0</v>
      </c>
      <c r="K34" s="277">
        <f>SUMIF('A-2 On-Site Habitat Creation'!$F$11:$F$256,'G-2 Habitat groups'!A34,'A-2 On-Site Habitat Creation'!$G$11:$G$256)</f>
        <v>0</v>
      </c>
      <c r="L34" s="277">
        <f>SUMIF('A-2 On-Site Habitat Creation'!$F$11:$F$256,'G-2 Habitat groups'!A34,'A-2 On-Site Habitat Creation'!$Y$11:$Y$256)</f>
        <v>0</v>
      </c>
      <c r="M34" s="277">
        <f>SUMIF('A-3 On-Site Habitat Enhancement'!$S$12:$S$257,'G-2 Habitat groups'!A34,'A-3 On-Site Habitat Enhancement'!$V$12:$V$257)</f>
        <v>0</v>
      </c>
      <c r="N34" s="277">
        <f>SUMIF('A-3 On-Site Habitat Enhancement'!$S$12:$S$257,'G-2 Habitat groups'!A34,'A-3 On-Site Habitat Enhancement'!$AN$12:$AN$257)</f>
        <v>0</v>
      </c>
      <c r="O34" s="277">
        <f t="shared" si="0"/>
        <v>0</v>
      </c>
      <c r="P34" s="277">
        <f t="shared" si="1"/>
        <v>0</v>
      </c>
      <c r="Q34" s="277">
        <f t="shared" si="2"/>
        <v>0</v>
      </c>
      <c r="R34" s="277">
        <f t="shared" si="3"/>
        <v>0</v>
      </c>
      <c r="S34" s="277" t="e">
        <f>IF(C34="V.High",SUMIF(#REF!,'G-2 Habitat groups'!A34,#REF!)+SUMIF(#REF!,'G-2 Habitat groups'!A34,#REF!),SUMIF(#REF!,'G-2 Habitat groups'!A34,#REF!))</f>
        <v>#REF!</v>
      </c>
      <c r="T34" s="277" t="e">
        <f>SUMIF(#REF!,'G-2 Habitat groups'!A34,#REF!)</f>
        <v>#REF!</v>
      </c>
      <c r="U34" s="277" t="e">
        <f>SUMIF(#REF!,'G-2 Habitat groups'!A34,#REF!)</f>
        <v>#REF!</v>
      </c>
      <c r="V34" s="277" t="e">
        <f>SUMIF(#REF!,'G-2 Habitat groups'!A34,#REF!)</f>
        <v>#REF!</v>
      </c>
      <c r="W34" s="277" t="e">
        <f>SUMIF(#REF!,'G-2 Habitat groups'!A34,#REF!)</f>
        <v>#REF!</v>
      </c>
      <c r="X34" s="277" t="e">
        <f>SUMIF(#REF!,'G-2 Habitat groups'!A34,#REF!)</f>
        <v>#REF!</v>
      </c>
      <c r="Y34" s="277" t="e">
        <f>SUMIF(#REF!,'G-2 Habitat groups'!A34,#REF!)</f>
        <v>#REF!</v>
      </c>
      <c r="Z34" s="277" t="e">
        <f>SUMIF(#REF!,'G-2 Habitat groups'!A34,#REF!)</f>
        <v>#REF!</v>
      </c>
      <c r="AA34" s="277" t="e">
        <f t="shared" si="4"/>
        <v>#REF!</v>
      </c>
      <c r="AB34" s="277" t="e">
        <f t="shared" si="13"/>
        <v>#REF!</v>
      </c>
      <c r="AC34" s="277" t="e">
        <f t="shared" si="5"/>
        <v>#REF!</v>
      </c>
      <c r="AD34" s="277" t="e">
        <f t="shared" si="14"/>
        <v>#REF!</v>
      </c>
      <c r="AE34" s="277" t="e">
        <f t="shared" si="6"/>
        <v>#REF!</v>
      </c>
      <c r="AF34" s="277" t="e">
        <f t="shared" si="15"/>
        <v>#REF!</v>
      </c>
      <c r="AJ34" s="465" t="s">
        <v>60</v>
      </c>
      <c r="AK34" s="428" t="e">
        <f>SUMIF($B:$B,$AJ34,S:S)</f>
        <v>#REF!</v>
      </c>
      <c r="AL34" s="428" t="e">
        <f t="shared" si="28"/>
        <v>#REF!</v>
      </c>
      <c r="AM34" s="428" t="e">
        <f t="shared" si="29"/>
        <v>#REF!</v>
      </c>
      <c r="AN34" s="428" t="e">
        <f t="shared" si="30"/>
        <v>#REF!</v>
      </c>
      <c r="AO34" s="428" t="e">
        <f t="shared" si="31"/>
        <v>#REF!</v>
      </c>
      <c r="AP34" s="428" t="e">
        <f t="shared" si="32"/>
        <v>#REF!</v>
      </c>
      <c r="AU34" s="70" t="s">
        <v>385</v>
      </c>
      <c r="AV34" s="52" t="s">
        <v>47</v>
      </c>
      <c r="AW34" s="288">
        <f t="shared" si="33"/>
        <v>0</v>
      </c>
      <c r="AX34" s="288">
        <f t="shared" si="34"/>
        <v>0</v>
      </c>
      <c r="AY34" s="288">
        <f t="shared" si="35"/>
        <v>0</v>
      </c>
      <c r="AZ34" s="288">
        <f t="shared" si="36"/>
        <v>0</v>
      </c>
      <c r="BA34" s="288">
        <f t="shared" si="37"/>
        <v>0</v>
      </c>
      <c r="BB34" s="288">
        <f t="shared" si="38"/>
        <v>0</v>
      </c>
      <c r="BC34" s="288" t="e">
        <f t="shared" si="39"/>
        <v>#REF!</v>
      </c>
      <c r="BD34" s="288" t="e">
        <f t="shared" si="40"/>
        <v>#REF!</v>
      </c>
      <c r="BE34" s="288" t="e">
        <f t="shared" si="41"/>
        <v>#REF!</v>
      </c>
      <c r="BF34" s="288" t="e">
        <f t="shared" si="42"/>
        <v>#REF!</v>
      </c>
    </row>
    <row r="35" spans="1:58" x14ac:dyDescent="0.3">
      <c r="A35" s="63" t="str">
        <f>'G-1 All Habitats'!B34</f>
        <v>Heathland and shrub - Rhododendron scrub</v>
      </c>
      <c r="B35" s="52" t="str">
        <f>'G-1 All Habitats'!F34</f>
        <v>Heathland and shrub</v>
      </c>
      <c r="C35" s="52" t="str">
        <f>'G-1 All Habitats'!K34</f>
        <v>Low</v>
      </c>
      <c r="D35" s="52" t="str">
        <f>'G-1 All Habitats'!M34</f>
        <v>Same distinctiveness or better habitat required ≥</v>
      </c>
      <c r="E35" s="277">
        <f>IF(C35="V.High",SUMIF('A-1 On-Site Habitat Baseline'!$AV$11:$AV$258,'G-2 Habitat groups'!A35,'A-1 On-Site Habitat Baseline'!$S$11:$S$258)+SUMIF('A-1 On-Site Habitat Baseline'!$AV$11:$AV$258,'G-2 Habitat groups'!A35,'A-1 On-Site Habitat Baseline'!$T$11:$T$258),SUMIF('A-1 On-Site Habitat Baseline'!$AV$11:$AV$258,'G-2 Habitat groups'!A35,'A-1 On-Site Habitat Baseline'!$H$11:$H$258))</f>
        <v>0</v>
      </c>
      <c r="F35" s="277">
        <f>SUMIF('A-1 On-Site Habitat Baseline'!$AV$11:$AV$258,'G-2 Habitat groups'!A35,'A-1 On-Site Habitat Baseline'!$Q$11:$Q$258)</f>
        <v>0</v>
      </c>
      <c r="G35" s="277">
        <f>SUMIF('A-1 On-Site Habitat Baseline'!$AV$11:$AV$258,'G-2 Habitat groups'!A35,'A-1 On-Site Habitat Baseline'!$S$11:$S$258)</f>
        <v>0</v>
      </c>
      <c r="H35" s="277">
        <f>SUMIF('A-1 On-Site Habitat Baseline'!$AV$11:$AV$258,'G-2 Habitat groups'!A35,'A-1 On-Site Habitat Baseline'!$U$11:$U$258)</f>
        <v>0</v>
      </c>
      <c r="I35" s="277">
        <f>SUMIF('A-1 On-Site Habitat Baseline'!$AV$11:$AV$258,'G-2 Habitat groups'!A35,'A-1 On-Site Habitat Baseline'!$W$11:$W$258)</f>
        <v>0</v>
      </c>
      <c r="J35" s="277">
        <f>SUMIF('A-1 On-Site Habitat Baseline'!$AV$11:$AV$258,'G-2 Habitat groups'!A35,'A-1 On-Site Habitat Baseline'!$X$11:$X$258)</f>
        <v>0</v>
      </c>
      <c r="K35" s="277">
        <f>SUMIF('A-2 On-Site Habitat Creation'!$F$11:$F$256,'G-2 Habitat groups'!A35,'A-2 On-Site Habitat Creation'!$G$11:$G$256)</f>
        <v>0</v>
      </c>
      <c r="L35" s="277">
        <f>SUMIF('A-2 On-Site Habitat Creation'!$F$11:$F$256,'G-2 Habitat groups'!A35,'A-2 On-Site Habitat Creation'!$Y$11:$Y$256)</f>
        <v>0</v>
      </c>
      <c r="M35" s="277">
        <f>SUMIF('A-3 On-Site Habitat Enhancement'!$S$12:$S$257,'G-2 Habitat groups'!A35,'A-3 On-Site Habitat Enhancement'!$V$12:$V$257)</f>
        <v>0</v>
      </c>
      <c r="N35" s="277">
        <f>SUMIF('A-3 On-Site Habitat Enhancement'!$S$12:$S$257,'G-2 Habitat groups'!A35,'A-3 On-Site Habitat Enhancement'!$AN$12:$AN$257)</f>
        <v>0</v>
      </c>
      <c r="O35" s="277">
        <f t="shared" ref="O35:O68" si="43">G35+K35+M35</f>
        <v>0</v>
      </c>
      <c r="P35" s="277">
        <f t="shared" ref="P35:P68" si="44">H35+L35+N35</f>
        <v>0</v>
      </c>
      <c r="Q35" s="277">
        <f t="shared" ref="Q35:Q68" si="45">O35-E35</f>
        <v>0</v>
      </c>
      <c r="R35" s="277">
        <f t="shared" ref="R35:R68" si="46">P35-F35</f>
        <v>0</v>
      </c>
      <c r="S35" s="277" t="e">
        <f>IF(C35="V.High",SUMIF(#REF!,'G-2 Habitat groups'!A35,#REF!)+SUMIF(#REF!,'G-2 Habitat groups'!A35,#REF!),SUMIF(#REF!,'G-2 Habitat groups'!A35,#REF!))</f>
        <v>#REF!</v>
      </c>
      <c r="T35" s="277" t="e">
        <f>SUMIF(#REF!,'G-2 Habitat groups'!A35,#REF!)</f>
        <v>#REF!</v>
      </c>
      <c r="U35" s="277" t="e">
        <f>SUMIF(#REF!,'G-2 Habitat groups'!A35,#REF!)</f>
        <v>#REF!</v>
      </c>
      <c r="V35" s="277" t="e">
        <f>SUMIF(#REF!,'G-2 Habitat groups'!A35,#REF!)</f>
        <v>#REF!</v>
      </c>
      <c r="W35" s="277" t="e">
        <f>SUMIF(#REF!,'G-2 Habitat groups'!A35,#REF!)</f>
        <v>#REF!</v>
      </c>
      <c r="X35" s="277" t="e">
        <f>SUMIF(#REF!,'G-2 Habitat groups'!A35,#REF!)</f>
        <v>#REF!</v>
      </c>
      <c r="Y35" s="277" t="e">
        <f>SUMIF(#REF!,'G-2 Habitat groups'!A35,#REF!)</f>
        <v>#REF!</v>
      </c>
      <c r="Z35" s="277" t="e">
        <f>SUMIF(#REF!,'G-2 Habitat groups'!A35,#REF!)</f>
        <v>#REF!</v>
      </c>
      <c r="AA35" s="277" t="e">
        <f t="shared" ref="AA35:AA68" si="47">U35+W35+Y35</f>
        <v>#REF!</v>
      </c>
      <c r="AB35" s="277" t="e">
        <f t="shared" ref="AB35:AB68" si="48">V35+X35+Z35</f>
        <v>#REF!</v>
      </c>
      <c r="AC35" s="277" t="e">
        <f t="shared" ref="AC35:AC68" si="49">AA35-S35</f>
        <v>#REF!</v>
      </c>
      <c r="AD35" s="277" t="e">
        <f t="shared" ref="AD35:AD68" si="50">AB35-T35</f>
        <v>#REF!</v>
      </c>
      <c r="AE35" s="277" t="e">
        <f t="shared" ref="AE35:AE68" si="51">Q35+AC35</f>
        <v>#REF!</v>
      </c>
      <c r="AF35" s="277" t="e">
        <f t="shared" ref="AF35:AF68" si="52">R35+AD35</f>
        <v>#REF!</v>
      </c>
      <c r="AJ35" s="465" t="s">
        <v>59</v>
      </c>
      <c r="AK35" s="428" t="e">
        <f t="shared" si="27"/>
        <v>#REF!</v>
      </c>
      <c r="AL35" s="428" t="e">
        <f t="shared" si="28"/>
        <v>#REF!</v>
      </c>
      <c r="AM35" s="428" t="e">
        <f t="shared" si="29"/>
        <v>#REF!</v>
      </c>
      <c r="AN35" s="428" t="e">
        <f t="shared" si="30"/>
        <v>#REF!</v>
      </c>
      <c r="AO35" s="428" t="e">
        <f t="shared" si="31"/>
        <v>#REF!</v>
      </c>
      <c r="AP35" s="428" t="e">
        <f t="shared" si="32"/>
        <v>#REF!</v>
      </c>
      <c r="AU35" s="70" t="s">
        <v>807</v>
      </c>
      <c r="AV35" s="52" t="s">
        <v>48</v>
      </c>
      <c r="AW35" s="288">
        <f t="shared" si="33"/>
        <v>0</v>
      </c>
      <c r="AX35" s="288">
        <f t="shared" si="34"/>
        <v>0</v>
      </c>
      <c r="AY35" s="288">
        <f t="shared" si="35"/>
        <v>0</v>
      </c>
      <c r="AZ35" s="288">
        <f t="shared" si="36"/>
        <v>0</v>
      </c>
      <c r="BA35" s="288">
        <f t="shared" si="37"/>
        <v>0</v>
      </c>
      <c r="BB35" s="288">
        <f t="shared" si="38"/>
        <v>0</v>
      </c>
      <c r="BC35" s="288" t="e">
        <f t="shared" si="39"/>
        <v>#REF!</v>
      </c>
      <c r="BD35" s="288" t="e">
        <f t="shared" si="40"/>
        <v>#REF!</v>
      </c>
      <c r="BE35" s="288" t="e">
        <f t="shared" si="41"/>
        <v>#REF!</v>
      </c>
      <c r="BF35" s="288" t="e">
        <f t="shared" si="42"/>
        <v>#REF!</v>
      </c>
    </row>
    <row r="36" spans="1:58" x14ac:dyDescent="0.3">
      <c r="A36" s="63" t="str">
        <f>'G-1 All Habitats'!B35</f>
        <v>Heathland and shrub - Dunes with sea buckthorn (H2160)</v>
      </c>
      <c r="B36" s="52" t="str">
        <f>'G-1 All Habitats'!F35</f>
        <v>Heathland and shrub</v>
      </c>
      <c r="C36" s="52" t="str">
        <f>'G-1 All Habitats'!K35</f>
        <v>High</v>
      </c>
      <c r="D36" s="52" t="str">
        <f>'G-1 All Habitats'!M35</f>
        <v>Same habitat required =</v>
      </c>
      <c r="E36" s="277">
        <f>IF(C36="V.High",SUMIF('A-1 On-Site Habitat Baseline'!$AV$11:$AV$258,'G-2 Habitat groups'!A36,'A-1 On-Site Habitat Baseline'!$S$11:$S$258)+SUMIF('A-1 On-Site Habitat Baseline'!$AV$11:$AV$258,'G-2 Habitat groups'!A36,'A-1 On-Site Habitat Baseline'!$T$11:$T$258),SUMIF('A-1 On-Site Habitat Baseline'!$AV$11:$AV$258,'G-2 Habitat groups'!A36,'A-1 On-Site Habitat Baseline'!$H$11:$H$258))</f>
        <v>0</v>
      </c>
      <c r="F36" s="277">
        <f>SUMIF('A-1 On-Site Habitat Baseline'!$AV$11:$AV$258,'G-2 Habitat groups'!A36,'A-1 On-Site Habitat Baseline'!$Q$11:$Q$258)</f>
        <v>0</v>
      </c>
      <c r="G36" s="277">
        <f>SUMIF('A-1 On-Site Habitat Baseline'!$AV$11:$AV$258,'G-2 Habitat groups'!A36,'A-1 On-Site Habitat Baseline'!$S$11:$S$258)</f>
        <v>0</v>
      </c>
      <c r="H36" s="277">
        <f>SUMIF('A-1 On-Site Habitat Baseline'!$AV$11:$AV$258,'G-2 Habitat groups'!A36,'A-1 On-Site Habitat Baseline'!$U$11:$U$258)</f>
        <v>0</v>
      </c>
      <c r="I36" s="277">
        <f>SUMIF('A-1 On-Site Habitat Baseline'!$AV$11:$AV$258,'G-2 Habitat groups'!A36,'A-1 On-Site Habitat Baseline'!$W$11:$W$258)</f>
        <v>0</v>
      </c>
      <c r="J36" s="277">
        <f>SUMIF('A-1 On-Site Habitat Baseline'!$AV$11:$AV$258,'G-2 Habitat groups'!A36,'A-1 On-Site Habitat Baseline'!$X$11:$X$258)</f>
        <v>0</v>
      </c>
      <c r="K36" s="277">
        <f>SUMIF('A-2 On-Site Habitat Creation'!$F$11:$F$256,'G-2 Habitat groups'!A36,'A-2 On-Site Habitat Creation'!$G$11:$G$256)</f>
        <v>0</v>
      </c>
      <c r="L36" s="277">
        <f>SUMIF('A-2 On-Site Habitat Creation'!$F$11:$F$256,'G-2 Habitat groups'!A36,'A-2 On-Site Habitat Creation'!$Y$11:$Y$256)</f>
        <v>0</v>
      </c>
      <c r="M36" s="277">
        <f>SUMIF('A-3 On-Site Habitat Enhancement'!$S$12:$S$257,'G-2 Habitat groups'!A36,'A-3 On-Site Habitat Enhancement'!$V$12:$V$257)</f>
        <v>0</v>
      </c>
      <c r="N36" s="277">
        <f>SUMIF('A-3 On-Site Habitat Enhancement'!$S$12:$S$257,'G-2 Habitat groups'!A36,'A-3 On-Site Habitat Enhancement'!$AN$12:$AN$257)</f>
        <v>0</v>
      </c>
      <c r="O36" s="277">
        <f t="shared" si="43"/>
        <v>0</v>
      </c>
      <c r="P36" s="277">
        <f t="shared" si="44"/>
        <v>0</v>
      </c>
      <c r="Q36" s="277">
        <f t="shared" si="45"/>
        <v>0</v>
      </c>
      <c r="R36" s="277">
        <f t="shared" si="46"/>
        <v>0</v>
      </c>
      <c r="S36" s="277" t="e">
        <f>IF(C36="V.High",SUMIF(#REF!,'G-2 Habitat groups'!A36,#REF!)+SUMIF(#REF!,'G-2 Habitat groups'!A36,#REF!),SUMIF(#REF!,'G-2 Habitat groups'!A36,#REF!))</f>
        <v>#REF!</v>
      </c>
      <c r="T36" s="277" t="e">
        <f>SUMIF(#REF!,'G-2 Habitat groups'!A36,#REF!)</f>
        <v>#REF!</v>
      </c>
      <c r="U36" s="277" t="e">
        <f>SUMIF(#REF!,'G-2 Habitat groups'!A36,#REF!)</f>
        <v>#REF!</v>
      </c>
      <c r="V36" s="277" t="e">
        <f>SUMIF(#REF!,'G-2 Habitat groups'!A36,#REF!)</f>
        <v>#REF!</v>
      </c>
      <c r="W36" s="277" t="e">
        <f>SUMIF(#REF!,'G-2 Habitat groups'!A36,#REF!)</f>
        <v>#REF!</v>
      </c>
      <c r="X36" s="277" t="e">
        <f>SUMIF(#REF!,'G-2 Habitat groups'!A36,#REF!)</f>
        <v>#REF!</v>
      </c>
      <c r="Y36" s="277" t="e">
        <f>SUMIF(#REF!,'G-2 Habitat groups'!A36,#REF!)</f>
        <v>#REF!</v>
      </c>
      <c r="Z36" s="277" t="e">
        <f>SUMIF(#REF!,'G-2 Habitat groups'!A36,#REF!)</f>
        <v>#REF!</v>
      </c>
      <c r="AA36" s="277" t="e">
        <f t="shared" si="47"/>
        <v>#REF!</v>
      </c>
      <c r="AB36" s="277" t="e">
        <f t="shared" si="48"/>
        <v>#REF!</v>
      </c>
      <c r="AC36" s="277" t="e">
        <f t="shared" si="49"/>
        <v>#REF!</v>
      </c>
      <c r="AD36" s="277" t="e">
        <f t="shared" si="50"/>
        <v>#REF!</v>
      </c>
      <c r="AE36" s="277" t="e">
        <f t="shared" si="51"/>
        <v>#REF!</v>
      </c>
      <c r="AF36" s="277" t="e">
        <f t="shared" si="52"/>
        <v>#REF!</v>
      </c>
      <c r="AU36" s="70" t="s">
        <v>425</v>
      </c>
      <c r="AV36" s="52" t="s">
        <v>48</v>
      </c>
      <c r="AW36" s="288">
        <f t="shared" si="33"/>
        <v>0</v>
      </c>
      <c r="AX36" s="288">
        <f t="shared" si="34"/>
        <v>0</v>
      </c>
      <c r="AY36" s="288">
        <f t="shared" si="35"/>
        <v>0</v>
      </c>
      <c r="AZ36" s="288">
        <f t="shared" si="36"/>
        <v>0</v>
      </c>
      <c r="BA36" s="288">
        <f t="shared" si="37"/>
        <v>0</v>
      </c>
      <c r="BB36" s="288">
        <f t="shared" si="38"/>
        <v>0</v>
      </c>
      <c r="BC36" s="288" t="e">
        <f t="shared" si="39"/>
        <v>#REF!</v>
      </c>
      <c r="BD36" s="288" t="e">
        <f t="shared" si="40"/>
        <v>#REF!</v>
      </c>
      <c r="BE36" s="288" t="e">
        <f t="shared" si="41"/>
        <v>#REF!</v>
      </c>
      <c r="BF36" s="288" t="e">
        <f t="shared" si="42"/>
        <v>#REF!</v>
      </c>
    </row>
    <row r="37" spans="1:58" x14ac:dyDescent="0.3">
      <c r="A37" s="63" t="str">
        <f>'G-1 All Habitats'!B36</f>
        <v>Heathland and shrub - Other sea buckthorn scrub</v>
      </c>
      <c r="B37" s="52" t="str">
        <f>'G-1 All Habitats'!F36</f>
        <v>Heathland and shrub</v>
      </c>
      <c r="C37" s="52" t="str">
        <f>'G-1 All Habitats'!K36</f>
        <v>Low</v>
      </c>
      <c r="D37" s="52" t="str">
        <f>'G-1 All Habitats'!M36</f>
        <v>Same distinctiveness or better habitat required ≥</v>
      </c>
      <c r="E37" s="277">
        <f>IF(C37="V.High",SUMIF('A-1 On-Site Habitat Baseline'!$AV$11:$AV$258,'G-2 Habitat groups'!A37,'A-1 On-Site Habitat Baseline'!$S$11:$S$258)+SUMIF('A-1 On-Site Habitat Baseline'!$AV$11:$AV$258,'G-2 Habitat groups'!A37,'A-1 On-Site Habitat Baseline'!$T$11:$T$258),SUMIF('A-1 On-Site Habitat Baseline'!$AV$11:$AV$258,'G-2 Habitat groups'!A37,'A-1 On-Site Habitat Baseline'!$H$11:$H$258))</f>
        <v>0</v>
      </c>
      <c r="F37" s="277">
        <f>SUMIF('A-1 On-Site Habitat Baseline'!$AV$11:$AV$258,'G-2 Habitat groups'!A37,'A-1 On-Site Habitat Baseline'!$Q$11:$Q$258)</f>
        <v>0</v>
      </c>
      <c r="G37" s="277">
        <f>SUMIF('A-1 On-Site Habitat Baseline'!$AV$11:$AV$258,'G-2 Habitat groups'!A37,'A-1 On-Site Habitat Baseline'!$S$11:$S$258)</f>
        <v>0</v>
      </c>
      <c r="H37" s="277">
        <f>SUMIF('A-1 On-Site Habitat Baseline'!$AV$11:$AV$258,'G-2 Habitat groups'!A37,'A-1 On-Site Habitat Baseline'!$U$11:$U$258)</f>
        <v>0</v>
      </c>
      <c r="I37" s="277">
        <f>SUMIF('A-1 On-Site Habitat Baseline'!$AV$11:$AV$258,'G-2 Habitat groups'!A37,'A-1 On-Site Habitat Baseline'!$W$11:$W$258)</f>
        <v>0</v>
      </c>
      <c r="J37" s="277">
        <f>SUMIF('A-1 On-Site Habitat Baseline'!$AV$11:$AV$258,'G-2 Habitat groups'!A37,'A-1 On-Site Habitat Baseline'!$X$11:$X$258)</f>
        <v>0</v>
      </c>
      <c r="K37" s="277">
        <f>SUMIF('A-2 On-Site Habitat Creation'!$F$11:$F$256,'G-2 Habitat groups'!A37,'A-2 On-Site Habitat Creation'!$G$11:$G$256)</f>
        <v>0</v>
      </c>
      <c r="L37" s="277">
        <f>SUMIF('A-2 On-Site Habitat Creation'!$F$11:$F$256,'G-2 Habitat groups'!A37,'A-2 On-Site Habitat Creation'!$Y$11:$Y$256)</f>
        <v>0</v>
      </c>
      <c r="M37" s="277">
        <f>SUMIF('A-3 On-Site Habitat Enhancement'!$S$12:$S$257,'G-2 Habitat groups'!A37,'A-3 On-Site Habitat Enhancement'!$V$12:$V$257)</f>
        <v>0</v>
      </c>
      <c r="N37" s="277">
        <f>SUMIF('A-3 On-Site Habitat Enhancement'!$S$12:$S$257,'G-2 Habitat groups'!A37,'A-3 On-Site Habitat Enhancement'!$AN$12:$AN$257)</f>
        <v>0</v>
      </c>
      <c r="O37" s="277">
        <f t="shared" si="43"/>
        <v>0</v>
      </c>
      <c r="P37" s="277">
        <f t="shared" si="44"/>
        <v>0</v>
      </c>
      <c r="Q37" s="277">
        <f t="shared" si="45"/>
        <v>0</v>
      </c>
      <c r="R37" s="277">
        <f t="shared" si="46"/>
        <v>0</v>
      </c>
      <c r="S37" s="277" t="e">
        <f>IF(C37="V.High",SUMIF(#REF!,'G-2 Habitat groups'!A37,#REF!)+SUMIF(#REF!,'G-2 Habitat groups'!A37,#REF!),SUMIF(#REF!,'G-2 Habitat groups'!A37,#REF!))</f>
        <v>#REF!</v>
      </c>
      <c r="T37" s="277" t="e">
        <f>SUMIF(#REF!,'G-2 Habitat groups'!A37,#REF!)</f>
        <v>#REF!</v>
      </c>
      <c r="U37" s="277" t="e">
        <f>SUMIF(#REF!,'G-2 Habitat groups'!A37,#REF!)</f>
        <v>#REF!</v>
      </c>
      <c r="V37" s="277" t="e">
        <f>SUMIF(#REF!,'G-2 Habitat groups'!A37,#REF!)</f>
        <v>#REF!</v>
      </c>
      <c r="W37" s="277" t="e">
        <f>SUMIF(#REF!,'G-2 Habitat groups'!A37,#REF!)</f>
        <v>#REF!</v>
      </c>
      <c r="X37" s="277" t="e">
        <f>SUMIF(#REF!,'G-2 Habitat groups'!A37,#REF!)</f>
        <v>#REF!</v>
      </c>
      <c r="Y37" s="277" t="e">
        <f>SUMIF(#REF!,'G-2 Habitat groups'!A37,#REF!)</f>
        <v>#REF!</v>
      </c>
      <c r="Z37" s="277" t="e">
        <f>SUMIF(#REF!,'G-2 Habitat groups'!A37,#REF!)</f>
        <v>#REF!</v>
      </c>
      <c r="AA37" s="277" t="e">
        <f t="shared" si="47"/>
        <v>#REF!</v>
      </c>
      <c r="AB37" s="277" t="e">
        <f t="shared" si="48"/>
        <v>#REF!</v>
      </c>
      <c r="AC37" s="277" t="e">
        <f t="shared" si="49"/>
        <v>#REF!</v>
      </c>
      <c r="AD37" s="277" t="e">
        <f t="shared" si="50"/>
        <v>#REF!</v>
      </c>
      <c r="AE37" s="277" t="e">
        <f t="shared" si="51"/>
        <v>#REF!</v>
      </c>
      <c r="AF37" s="277" t="e">
        <f t="shared" si="52"/>
        <v>#REF!</v>
      </c>
      <c r="AU37" s="70" t="s">
        <v>437</v>
      </c>
      <c r="AV37" s="52" t="s">
        <v>48</v>
      </c>
      <c r="AW37" s="288">
        <f t="shared" si="33"/>
        <v>0</v>
      </c>
      <c r="AX37" s="288">
        <f t="shared" si="34"/>
        <v>0</v>
      </c>
      <c r="AY37" s="288">
        <f t="shared" si="35"/>
        <v>0</v>
      </c>
      <c r="AZ37" s="288">
        <f t="shared" si="36"/>
        <v>0</v>
      </c>
      <c r="BA37" s="288">
        <f t="shared" si="37"/>
        <v>0</v>
      </c>
      <c r="BB37" s="288">
        <f t="shared" si="38"/>
        <v>0</v>
      </c>
      <c r="BC37" s="288" t="e">
        <f t="shared" si="39"/>
        <v>#REF!</v>
      </c>
      <c r="BD37" s="288" t="e">
        <f t="shared" si="40"/>
        <v>#REF!</v>
      </c>
      <c r="BE37" s="288" t="e">
        <f t="shared" si="41"/>
        <v>#REF!</v>
      </c>
      <c r="BF37" s="288" t="e">
        <f t="shared" si="42"/>
        <v>#REF!</v>
      </c>
    </row>
    <row r="38" spans="1:58" x14ac:dyDescent="0.3">
      <c r="A38" s="63" t="s">
        <v>434</v>
      </c>
      <c r="B38" s="52" t="s">
        <v>48</v>
      </c>
      <c r="C38" s="52" t="s">
        <v>38</v>
      </c>
      <c r="D38" s="52" t="s">
        <v>91</v>
      </c>
      <c r="E38" s="277">
        <f>IF(C38="V.High",SUMIF('A-1 On-Site Habitat Baseline'!$AV$11:$AV$258,'G-2 Habitat groups'!A38,'A-1 On-Site Habitat Baseline'!$S$11:$S$258)+SUMIF('A-1 On-Site Habitat Baseline'!$AV$11:$AV$258,'G-2 Habitat groups'!A38,'A-1 On-Site Habitat Baseline'!$T$11:$T$258),SUMIF('A-1 On-Site Habitat Baseline'!$AV$11:$AV$258,'G-2 Habitat groups'!A38,'A-1 On-Site Habitat Baseline'!$H$11:$H$258))</f>
        <v>0</v>
      </c>
      <c r="F38" s="277">
        <f>SUMIF('A-1 On-Site Habitat Baseline'!$AV$11:$AV$258,'G-2 Habitat groups'!A38,'A-1 On-Site Habitat Baseline'!$Q$11:$Q$258)</f>
        <v>0</v>
      </c>
      <c r="G38" s="277">
        <f>SUMIF('A-1 On-Site Habitat Baseline'!$AV$11:$AV$258,'G-2 Habitat groups'!A38,'A-1 On-Site Habitat Baseline'!$S$11:$S$258)</f>
        <v>0</v>
      </c>
      <c r="H38" s="277">
        <f>SUMIF('A-1 On-Site Habitat Baseline'!$AV$11:$AV$258,'G-2 Habitat groups'!A38,'A-1 On-Site Habitat Baseline'!$U$11:$U$258)</f>
        <v>0</v>
      </c>
      <c r="I38" s="277">
        <f>SUMIF('A-1 On-Site Habitat Baseline'!$AV$11:$AV$258,'G-2 Habitat groups'!A38,'A-1 On-Site Habitat Baseline'!$W$11:$W$258)</f>
        <v>0</v>
      </c>
      <c r="J38" s="277">
        <f>SUMIF('A-1 On-Site Habitat Baseline'!$AV$11:$AV$258,'G-2 Habitat groups'!A38,'A-1 On-Site Habitat Baseline'!$X$11:$X$258)</f>
        <v>0</v>
      </c>
      <c r="K38" s="277">
        <f>SUMIF('A-2 On-Site Habitat Creation'!$F$11:$F$256,'G-2 Habitat groups'!A38,'A-2 On-Site Habitat Creation'!$G$11:$G$256)</f>
        <v>0</v>
      </c>
      <c r="L38" s="277">
        <f>SUMIF('A-2 On-Site Habitat Creation'!$F$11:$F$256,'G-2 Habitat groups'!A38,'A-2 On-Site Habitat Creation'!$Y$11:$Y$256)</f>
        <v>0</v>
      </c>
      <c r="M38" s="277">
        <f>SUMIF('A-3 On-Site Habitat Enhancement'!$S$12:$S$257,'G-2 Habitat groups'!A38,'A-3 On-Site Habitat Enhancement'!$V$12:$V$257)</f>
        <v>0</v>
      </c>
      <c r="N38" s="277">
        <f>SUMIF('A-3 On-Site Habitat Enhancement'!$S$12:$S$257,'G-2 Habitat groups'!A38,'A-3 On-Site Habitat Enhancement'!$AN$12:$AN$257)</f>
        <v>0</v>
      </c>
      <c r="O38" s="277">
        <f t="shared" si="43"/>
        <v>0</v>
      </c>
      <c r="P38" s="277">
        <f t="shared" si="44"/>
        <v>0</v>
      </c>
      <c r="Q38" s="277">
        <f t="shared" si="45"/>
        <v>0</v>
      </c>
      <c r="R38" s="277">
        <f t="shared" si="46"/>
        <v>0</v>
      </c>
      <c r="S38" s="277" t="e">
        <f>IF(C38="V.High",SUMIF(#REF!,'G-2 Habitat groups'!A38,#REF!)+SUMIF(#REF!,'G-2 Habitat groups'!A38,#REF!),SUMIF(#REF!,'G-2 Habitat groups'!A38,#REF!))</f>
        <v>#REF!</v>
      </c>
      <c r="T38" s="277" t="e">
        <f>SUMIF(#REF!,'G-2 Habitat groups'!A38,#REF!)</f>
        <v>#REF!</v>
      </c>
      <c r="U38" s="277" t="e">
        <f>SUMIF(#REF!,'G-2 Habitat groups'!A38,#REF!)</f>
        <v>#REF!</v>
      </c>
      <c r="V38" s="277" t="e">
        <f>SUMIF(#REF!,'G-2 Habitat groups'!A38,#REF!)</f>
        <v>#REF!</v>
      </c>
      <c r="W38" s="277" t="e">
        <f>SUMIF(#REF!,'G-2 Habitat groups'!A38,#REF!)</f>
        <v>#REF!</v>
      </c>
      <c r="X38" s="277" t="e">
        <f>SUMIF(#REF!,'G-2 Habitat groups'!A38,#REF!)</f>
        <v>#REF!</v>
      </c>
      <c r="Y38" s="277" t="e">
        <f>SUMIF(#REF!,'G-2 Habitat groups'!A38,#REF!)</f>
        <v>#REF!</v>
      </c>
      <c r="Z38" s="277" t="e">
        <f>SUMIF(#REF!,'G-2 Habitat groups'!A38,#REF!)</f>
        <v>#REF!</v>
      </c>
      <c r="AA38" s="277" t="e">
        <f t="shared" si="47"/>
        <v>#REF!</v>
      </c>
      <c r="AB38" s="277" t="e">
        <f t="shared" si="48"/>
        <v>#REF!</v>
      </c>
      <c r="AC38" s="277" t="e">
        <f t="shared" si="49"/>
        <v>#REF!</v>
      </c>
      <c r="AD38" s="277" t="e">
        <f t="shared" si="50"/>
        <v>#REF!</v>
      </c>
      <c r="AE38" s="277" t="e">
        <f t="shared" si="51"/>
        <v>#REF!</v>
      </c>
      <c r="AF38" s="277" t="e">
        <f t="shared" si="52"/>
        <v>#REF!</v>
      </c>
      <c r="AU38" s="70"/>
      <c r="AV38" s="52"/>
      <c r="AW38" s="288"/>
      <c r="AX38" s="288"/>
      <c r="AY38" s="288"/>
      <c r="AZ38" s="288"/>
      <c r="BA38" s="288"/>
      <c r="BB38" s="288"/>
      <c r="BC38" s="288"/>
      <c r="BD38" s="288"/>
      <c r="BE38" s="288"/>
      <c r="BF38" s="288"/>
    </row>
    <row r="39" spans="1:58" x14ac:dyDescent="0.3">
      <c r="A39" s="63" t="str">
        <f>'G-1 All Habitats'!B38</f>
        <v>Heathland and shrub - Upland heathland</v>
      </c>
      <c r="B39" s="52" t="str">
        <f>'G-1 All Habitats'!F38</f>
        <v>Heathland and shrub</v>
      </c>
      <c r="C39" s="52" t="str">
        <f>'G-1 All Habitats'!K38</f>
        <v>High</v>
      </c>
      <c r="D39" s="52" t="str">
        <f>'G-1 All Habitats'!M38</f>
        <v>Same habitat required =</v>
      </c>
      <c r="E39" s="277">
        <f>IF(C39="V.High",SUMIF('A-1 On-Site Habitat Baseline'!$AV$11:$AV$258,'G-2 Habitat groups'!A39,'A-1 On-Site Habitat Baseline'!$S$11:$S$258)+SUMIF('A-1 On-Site Habitat Baseline'!$AV$11:$AV$258,'G-2 Habitat groups'!A39,'A-1 On-Site Habitat Baseline'!$T$11:$T$258),SUMIF('A-1 On-Site Habitat Baseline'!$AV$11:$AV$258,'G-2 Habitat groups'!A39,'A-1 On-Site Habitat Baseline'!$H$11:$H$258))</f>
        <v>0</v>
      </c>
      <c r="F39" s="277">
        <f>SUMIF('A-1 On-Site Habitat Baseline'!$AV$11:$AV$258,'G-2 Habitat groups'!A39,'A-1 On-Site Habitat Baseline'!$Q$11:$Q$258)</f>
        <v>0</v>
      </c>
      <c r="G39" s="277">
        <f>SUMIF('A-1 On-Site Habitat Baseline'!$AV$11:$AV$258,'G-2 Habitat groups'!A39,'A-1 On-Site Habitat Baseline'!$S$11:$S$258)</f>
        <v>0</v>
      </c>
      <c r="H39" s="277">
        <f>SUMIF('A-1 On-Site Habitat Baseline'!$AV$11:$AV$258,'G-2 Habitat groups'!A39,'A-1 On-Site Habitat Baseline'!$U$11:$U$258)</f>
        <v>0</v>
      </c>
      <c r="I39" s="277">
        <f>SUMIF('A-1 On-Site Habitat Baseline'!$AV$11:$AV$258,'G-2 Habitat groups'!A39,'A-1 On-Site Habitat Baseline'!$W$11:$W$258)</f>
        <v>0</v>
      </c>
      <c r="J39" s="277">
        <f>SUMIF('A-1 On-Site Habitat Baseline'!$AV$11:$AV$258,'G-2 Habitat groups'!A39,'A-1 On-Site Habitat Baseline'!$X$11:$X$258)</f>
        <v>0</v>
      </c>
      <c r="K39" s="277">
        <f>SUMIF('A-2 On-Site Habitat Creation'!$F$11:$F$256,'G-2 Habitat groups'!A39,'A-2 On-Site Habitat Creation'!$G$11:$G$256)</f>
        <v>0</v>
      </c>
      <c r="L39" s="277">
        <f>SUMIF('A-2 On-Site Habitat Creation'!$F$11:$F$256,'G-2 Habitat groups'!A39,'A-2 On-Site Habitat Creation'!$Y$11:$Y$256)</f>
        <v>0</v>
      </c>
      <c r="M39" s="277">
        <f>SUMIF('A-3 On-Site Habitat Enhancement'!$S$12:$S$257,'G-2 Habitat groups'!A39,'A-3 On-Site Habitat Enhancement'!$V$12:$V$257)</f>
        <v>0</v>
      </c>
      <c r="N39" s="277">
        <f>SUMIF('A-3 On-Site Habitat Enhancement'!$S$12:$S$257,'G-2 Habitat groups'!A39,'A-3 On-Site Habitat Enhancement'!$AN$12:$AN$257)</f>
        <v>0</v>
      </c>
      <c r="O39" s="277">
        <f t="shared" si="43"/>
        <v>0</v>
      </c>
      <c r="P39" s="277">
        <f t="shared" si="44"/>
        <v>0</v>
      </c>
      <c r="Q39" s="277">
        <f t="shared" si="45"/>
        <v>0</v>
      </c>
      <c r="R39" s="277">
        <f t="shared" si="46"/>
        <v>0</v>
      </c>
      <c r="S39" s="277" t="e">
        <f>IF(C39="V.High",SUMIF(#REF!,'G-2 Habitat groups'!A39,#REF!)+SUMIF(#REF!,'G-2 Habitat groups'!A39,#REF!),SUMIF(#REF!,'G-2 Habitat groups'!A39,#REF!))</f>
        <v>#REF!</v>
      </c>
      <c r="T39" s="277" t="e">
        <f>SUMIF(#REF!,'G-2 Habitat groups'!A39,#REF!)</f>
        <v>#REF!</v>
      </c>
      <c r="U39" s="277" t="e">
        <f>SUMIF(#REF!,'G-2 Habitat groups'!A39,#REF!)</f>
        <v>#REF!</v>
      </c>
      <c r="V39" s="277" t="e">
        <f>SUMIF(#REF!,'G-2 Habitat groups'!A39,#REF!)</f>
        <v>#REF!</v>
      </c>
      <c r="W39" s="277" t="e">
        <f>SUMIF(#REF!,'G-2 Habitat groups'!A39,#REF!)</f>
        <v>#REF!</v>
      </c>
      <c r="X39" s="277" t="e">
        <f>SUMIF(#REF!,'G-2 Habitat groups'!A39,#REF!)</f>
        <v>#REF!</v>
      </c>
      <c r="Y39" s="277" t="e">
        <f>SUMIF(#REF!,'G-2 Habitat groups'!A39,#REF!)</f>
        <v>#REF!</v>
      </c>
      <c r="Z39" s="277" t="e">
        <f>SUMIF(#REF!,'G-2 Habitat groups'!A39,#REF!)</f>
        <v>#REF!</v>
      </c>
      <c r="AA39" s="277" t="e">
        <f t="shared" si="47"/>
        <v>#REF!</v>
      </c>
      <c r="AB39" s="277" t="e">
        <f t="shared" si="48"/>
        <v>#REF!</v>
      </c>
      <c r="AC39" s="277" t="e">
        <f t="shared" si="49"/>
        <v>#REF!</v>
      </c>
      <c r="AD39" s="277" t="e">
        <f t="shared" si="50"/>
        <v>#REF!</v>
      </c>
      <c r="AE39" s="277" t="e">
        <f t="shared" si="51"/>
        <v>#REF!</v>
      </c>
      <c r="AF39" s="277" t="e">
        <f t="shared" si="52"/>
        <v>#REF!</v>
      </c>
      <c r="AU39" s="70" t="s">
        <v>449</v>
      </c>
      <c r="AV39" s="52" t="s">
        <v>49</v>
      </c>
      <c r="AW39" s="288">
        <f t="shared" si="33"/>
        <v>0</v>
      </c>
      <c r="AX39" s="288">
        <f t="shared" si="34"/>
        <v>0</v>
      </c>
      <c r="AY39" s="288">
        <f t="shared" si="35"/>
        <v>0</v>
      </c>
      <c r="AZ39" s="288">
        <f t="shared" si="36"/>
        <v>0</v>
      </c>
      <c r="BA39" s="288">
        <f t="shared" si="37"/>
        <v>0</v>
      </c>
      <c r="BB39" s="288">
        <f t="shared" si="38"/>
        <v>0</v>
      </c>
      <c r="BC39" s="288" t="e">
        <f t="shared" si="39"/>
        <v>#REF!</v>
      </c>
      <c r="BD39" s="288" t="e">
        <f t="shared" si="40"/>
        <v>#REF!</v>
      </c>
      <c r="BE39" s="288" t="e">
        <f t="shared" si="41"/>
        <v>#REF!</v>
      </c>
      <c r="BF39" s="288" t="e">
        <f t="shared" si="42"/>
        <v>#REF!</v>
      </c>
    </row>
    <row r="40" spans="1:58" x14ac:dyDescent="0.3">
      <c r="A40" s="63" t="str">
        <f>'G-1 All Habitats'!B39</f>
        <v>Lakes - Aquifer fed naturally fluctuating water bodies</v>
      </c>
      <c r="B40" s="52" t="str">
        <f>'G-1 All Habitats'!F39</f>
        <v>Rivers and lakes</v>
      </c>
      <c r="C40" s="52" t="str">
        <f>'G-1 All Habitats'!K39</f>
        <v>V.High</v>
      </c>
      <c r="D40" s="52" t="str">
        <f>'G-1 All Habitats'!M39</f>
        <v>Bespoke compensation likely to be required 🛠</v>
      </c>
      <c r="E40" s="277">
        <f>IF(C40="V.High",SUMIF('A-1 On-Site Habitat Baseline'!$AV$11:$AV$258,'G-2 Habitat groups'!A40,'A-1 On-Site Habitat Baseline'!$S$11:$S$258)+SUMIF('A-1 On-Site Habitat Baseline'!$AV$11:$AV$258,'G-2 Habitat groups'!A40,'A-1 On-Site Habitat Baseline'!$T$11:$T$258),SUMIF('A-1 On-Site Habitat Baseline'!$AV$11:$AV$258,'G-2 Habitat groups'!A40,'A-1 On-Site Habitat Baseline'!$H$11:$H$258))</f>
        <v>0</v>
      </c>
      <c r="F40" s="277">
        <f>SUMIF('A-1 On-Site Habitat Baseline'!$AV$11:$AV$258,'G-2 Habitat groups'!A40,'A-1 On-Site Habitat Baseline'!$Q$11:$Q$258)</f>
        <v>0</v>
      </c>
      <c r="G40" s="277">
        <f>SUMIF('A-1 On-Site Habitat Baseline'!$AV$11:$AV$258,'G-2 Habitat groups'!A40,'A-1 On-Site Habitat Baseline'!$S$11:$S$258)</f>
        <v>0</v>
      </c>
      <c r="H40" s="277">
        <f>SUMIF('A-1 On-Site Habitat Baseline'!$AV$11:$AV$258,'G-2 Habitat groups'!A40,'A-1 On-Site Habitat Baseline'!$U$11:$U$258)</f>
        <v>0</v>
      </c>
      <c r="I40" s="277">
        <f>SUMIF('A-1 On-Site Habitat Baseline'!$AV$11:$AV$258,'G-2 Habitat groups'!A40,'A-1 On-Site Habitat Baseline'!$W$11:$W$258)</f>
        <v>0</v>
      </c>
      <c r="J40" s="277">
        <f>SUMIF('A-1 On-Site Habitat Baseline'!$AV$11:$AV$258,'G-2 Habitat groups'!A40,'A-1 On-Site Habitat Baseline'!$X$11:$X$258)</f>
        <v>0</v>
      </c>
      <c r="K40" s="277">
        <f>SUMIF('A-2 On-Site Habitat Creation'!$F$11:$F$256,'G-2 Habitat groups'!A40,'A-2 On-Site Habitat Creation'!$G$11:$G$256)</f>
        <v>0</v>
      </c>
      <c r="L40" s="277">
        <f>SUMIF('A-2 On-Site Habitat Creation'!$F$11:$F$256,'G-2 Habitat groups'!A40,'A-2 On-Site Habitat Creation'!$Y$11:$Y$256)</f>
        <v>0</v>
      </c>
      <c r="M40" s="277">
        <f>SUMIF('A-3 On-Site Habitat Enhancement'!$S$12:$S$257,'G-2 Habitat groups'!A40,'A-3 On-Site Habitat Enhancement'!$V$12:$V$257)</f>
        <v>0</v>
      </c>
      <c r="N40" s="277">
        <f>SUMIF('A-3 On-Site Habitat Enhancement'!$S$12:$S$257,'G-2 Habitat groups'!A40,'A-3 On-Site Habitat Enhancement'!$AN$12:$AN$257)</f>
        <v>0</v>
      </c>
      <c r="O40" s="277">
        <f t="shared" si="43"/>
        <v>0</v>
      </c>
      <c r="P40" s="277">
        <f t="shared" si="44"/>
        <v>0</v>
      </c>
      <c r="Q40" s="277">
        <f t="shared" si="45"/>
        <v>0</v>
      </c>
      <c r="R40" s="277">
        <f t="shared" si="46"/>
        <v>0</v>
      </c>
      <c r="S40" s="277" t="e">
        <f>IF(C40="V.High",SUMIF(#REF!,'G-2 Habitat groups'!A40,#REF!)+SUMIF(#REF!,'G-2 Habitat groups'!A40,#REF!),SUMIF(#REF!,'G-2 Habitat groups'!A40,#REF!))</f>
        <v>#REF!</v>
      </c>
      <c r="T40" s="277" t="e">
        <f>SUMIF(#REF!,'G-2 Habitat groups'!A40,#REF!)</f>
        <v>#REF!</v>
      </c>
      <c r="U40" s="277" t="e">
        <f>SUMIF(#REF!,'G-2 Habitat groups'!A40,#REF!)</f>
        <v>#REF!</v>
      </c>
      <c r="V40" s="277" t="e">
        <f>SUMIF(#REF!,'G-2 Habitat groups'!A40,#REF!)</f>
        <v>#REF!</v>
      </c>
      <c r="W40" s="277" t="e">
        <f>SUMIF(#REF!,'G-2 Habitat groups'!A40,#REF!)</f>
        <v>#REF!</v>
      </c>
      <c r="X40" s="277" t="e">
        <f>SUMIF(#REF!,'G-2 Habitat groups'!A40,#REF!)</f>
        <v>#REF!</v>
      </c>
      <c r="Y40" s="277" t="e">
        <f>SUMIF(#REF!,'G-2 Habitat groups'!A40,#REF!)</f>
        <v>#REF!</v>
      </c>
      <c r="Z40" s="277" t="e">
        <f>SUMIF(#REF!,'G-2 Habitat groups'!A40,#REF!)</f>
        <v>#REF!</v>
      </c>
      <c r="AA40" s="277" t="e">
        <f t="shared" si="47"/>
        <v>#REF!</v>
      </c>
      <c r="AB40" s="277" t="e">
        <f t="shared" si="48"/>
        <v>#REF!</v>
      </c>
      <c r="AC40" s="277" t="e">
        <f t="shared" si="49"/>
        <v>#REF!</v>
      </c>
      <c r="AD40" s="277" t="e">
        <f t="shared" si="50"/>
        <v>#REF!</v>
      </c>
      <c r="AE40" s="277" t="e">
        <f t="shared" si="51"/>
        <v>#REF!</v>
      </c>
      <c r="AF40" s="277" t="e">
        <f t="shared" si="52"/>
        <v>#REF!</v>
      </c>
      <c r="AU40" s="70" t="s">
        <v>452</v>
      </c>
      <c r="AV40" s="52" t="s">
        <v>49</v>
      </c>
      <c r="AW40" s="288">
        <f t="shared" si="33"/>
        <v>0</v>
      </c>
      <c r="AX40" s="288">
        <f t="shared" si="34"/>
        <v>0</v>
      </c>
      <c r="AY40" s="288">
        <f t="shared" si="35"/>
        <v>0</v>
      </c>
      <c r="AZ40" s="288">
        <f t="shared" si="36"/>
        <v>0</v>
      </c>
      <c r="BA40" s="288">
        <f t="shared" si="37"/>
        <v>0</v>
      </c>
      <c r="BB40" s="288">
        <f t="shared" si="38"/>
        <v>0</v>
      </c>
      <c r="BC40" s="288" t="e">
        <f t="shared" si="39"/>
        <v>#REF!</v>
      </c>
      <c r="BD40" s="288" t="e">
        <f t="shared" si="40"/>
        <v>#REF!</v>
      </c>
      <c r="BE40" s="288" t="e">
        <f t="shared" si="41"/>
        <v>#REF!</v>
      </c>
      <c r="BF40" s="288" t="e">
        <f t="shared" si="42"/>
        <v>#REF!</v>
      </c>
    </row>
    <row r="41" spans="1:58" x14ac:dyDescent="0.3">
      <c r="A41" s="63" t="str">
        <f>'G-1 All Habitats'!B40</f>
        <v>Lakes - Ornamental lake or pond</v>
      </c>
      <c r="B41" s="52" t="str">
        <f>'G-1 All Habitats'!F40</f>
        <v>Freshwater</v>
      </c>
      <c r="C41" s="52" t="str">
        <f>'G-1 All Habitats'!K40</f>
        <v>Low</v>
      </c>
      <c r="D41" s="52" t="str">
        <f>'G-1 All Habitats'!M40</f>
        <v>Same distinctiveness or better habitat required ≥</v>
      </c>
      <c r="E41" s="277">
        <f>IF(C41="V.High",SUMIF('A-1 On-Site Habitat Baseline'!$AV$11:$AV$258,'G-2 Habitat groups'!A41,'A-1 On-Site Habitat Baseline'!$S$11:$S$258)+SUMIF('A-1 On-Site Habitat Baseline'!$AV$11:$AV$258,'G-2 Habitat groups'!A41,'A-1 On-Site Habitat Baseline'!$T$11:$T$258),SUMIF('A-1 On-Site Habitat Baseline'!$AV$11:$AV$258,'G-2 Habitat groups'!A41,'A-1 On-Site Habitat Baseline'!$H$11:$H$258))</f>
        <v>0</v>
      </c>
      <c r="F41" s="277">
        <f>SUMIF('A-1 On-Site Habitat Baseline'!$AV$11:$AV$258,'G-2 Habitat groups'!A41,'A-1 On-Site Habitat Baseline'!$Q$11:$Q$258)</f>
        <v>0</v>
      </c>
      <c r="G41" s="277">
        <f>SUMIF('A-1 On-Site Habitat Baseline'!$AV$11:$AV$258,'G-2 Habitat groups'!A41,'A-1 On-Site Habitat Baseline'!$S$11:$S$258)</f>
        <v>0</v>
      </c>
      <c r="H41" s="277">
        <f>SUMIF('A-1 On-Site Habitat Baseline'!$AV$11:$AV$258,'G-2 Habitat groups'!A41,'A-1 On-Site Habitat Baseline'!$U$11:$U$258)</f>
        <v>0</v>
      </c>
      <c r="I41" s="277">
        <f>SUMIF('A-1 On-Site Habitat Baseline'!$AV$11:$AV$258,'G-2 Habitat groups'!A41,'A-1 On-Site Habitat Baseline'!$W$11:$W$258)</f>
        <v>0</v>
      </c>
      <c r="J41" s="277">
        <f>SUMIF('A-1 On-Site Habitat Baseline'!$AV$11:$AV$258,'G-2 Habitat groups'!A41,'A-1 On-Site Habitat Baseline'!$X$11:$X$258)</f>
        <v>0</v>
      </c>
      <c r="K41" s="277">
        <f>SUMIF('A-2 On-Site Habitat Creation'!$F$11:$F$256,'G-2 Habitat groups'!A41,'A-2 On-Site Habitat Creation'!$G$11:$G$256)</f>
        <v>0</v>
      </c>
      <c r="L41" s="277">
        <f>SUMIF('A-2 On-Site Habitat Creation'!$F$11:$F$256,'G-2 Habitat groups'!A41,'A-2 On-Site Habitat Creation'!$Y$11:$Y$256)</f>
        <v>0</v>
      </c>
      <c r="M41" s="277">
        <f>SUMIF('A-3 On-Site Habitat Enhancement'!$S$12:$S$257,'G-2 Habitat groups'!A41,'A-3 On-Site Habitat Enhancement'!$V$12:$V$257)</f>
        <v>0</v>
      </c>
      <c r="N41" s="277">
        <f>SUMIF('A-3 On-Site Habitat Enhancement'!$S$12:$S$257,'G-2 Habitat groups'!A41,'A-3 On-Site Habitat Enhancement'!$AN$12:$AN$257)</f>
        <v>0</v>
      </c>
      <c r="O41" s="277">
        <f t="shared" si="43"/>
        <v>0</v>
      </c>
      <c r="P41" s="277">
        <f t="shared" si="44"/>
        <v>0</v>
      </c>
      <c r="Q41" s="277">
        <f t="shared" si="45"/>
        <v>0</v>
      </c>
      <c r="R41" s="277">
        <f t="shared" si="46"/>
        <v>0</v>
      </c>
      <c r="S41" s="277" t="e">
        <f>IF(C41="V.High",SUMIF(#REF!,'G-2 Habitat groups'!A41,#REF!)+SUMIF(#REF!,'G-2 Habitat groups'!A41,#REF!),SUMIF(#REF!,'G-2 Habitat groups'!A41,#REF!))</f>
        <v>#REF!</v>
      </c>
      <c r="T41" s="277" t="e">
        <f>SUMIF(#REF!,'G-2 Habitat groups'!A41,#REF!)</f>
        <v>#REF!</v>
      </c>
      <c r="U41" s="277" t="e">
        <f>SUMIF(#REF!,'G-2 Habitat groups'!A41,#REF!)</f>
        <v>#REF!</v>
      </c>
      <c r="V41" s="277" t="e">
        <f>SUMIF(#REF!,'G-2 Habitat groups'!A41,#REF!)</f>
        <v>#REF!</v>
      </c>
      <c r="W41" s="277" t="e">
        <f>SUMIF(#REF!,'G-2 Habitat groups'!A41,#REF!)</f>
        <v>#REF!</v>
      </c>
      <c r="X41" s="277" t="e">
        <f>SUMIF(#REF!,'G-2 Habitat groups'!A41,#REF!)</f>
        <v>#REF!</v>
      </c>
      <c r="Y41" s="277" t="e">
        <f>SUMIF(#REF!,'G-2 Habitat groups'!A41,#REF!)</f>
        <v>#REF!</v>
      </c>
      <c r="Z41" s="277" t="e">
        <f>SUMIF(#REF!,'G-2 Habitat groups'!A41,#REF!)</f>
        <v>#REF!</v>
      </c>
      <c r="AA41" s="277" t="e">
        <f t="shared" si="47"/>
        <v>#REF!</v>
      </c>
      <c r="AB41" s="277" t="e">
        <f t="shared" si="48"/>
        <v>#REF!</v>
      </c>
      <c r="AC41" s="277" t="e">
        <f t="shared" si="49"/>
        <v>#REF!</v>
      </c>
      <c r="AD41" s="277" t="e">
        <f t="shared" si="50"/>
        <v>#REF!</v>
      </c>
      <c r="AE41" s="277" t="e">
        <f t="shared" si="51"/>
        <v>#REF!</v>
      </c>
      <c r="AF41" s="277" t="e">
        <f t="shared" si="52"/>
        <v>#REF!</v>
      </c>
      <c r="AU41" s="70" t="s">
        <v>455</v>
      </c>
      <c r="AV41" s="52" t="s">
        <v>49</v>
      </c>
      <c r="AW41" s="288">
        <f t="shared" si="33"/>
        <v>0</v>
      </c>
      <c r="AX41" s="288">
        <f t="shared" si="34"/>
        <v>0</v>
      </c>
      <c r="AY41" s="288">
        <f t="shared" si="35"/>
        <v>0</v>
      </c>
      <c r="AZ41" s="288">
        <f t="shared" si="36"/>
        <v>0</v>
      </c>
      <c r="BA41" s="288">
        <f t="shared" si="37"/>
        <v>0</v>
      </c>
      <c r="BB41" s="288">
        <f t="shared" si="38"/>
        <v>0</v>
      </c>
      <c r="BC41" s="288" t="e">
        <f t="shared" si="39"/>
        <v>#REF!</v>
      </c>
      <c r="BD41" s="288" t="e">
        <f t="shared" si="40"/>
        <v>#REF!</v>
      </c>
      <c r="BE41" s="288" t="e">
        <f t="shared" si="41"/>
        <v>#REF!</v>
      </c>
      <c r="BF41" s="288" t="e">
        <f t="shared" si="42"/>
        <v>#REF!</v>
      </c>
    </row>
    <row r="42" spans="1:58" x14ac:dyDescent="0.3">
      <c r="A42" s="63" t="str">
        <f>'G-1 All Habitats'!B41</f>
        <v>Lakes - High alkalinity lakes</v>
      </c>
      <c r="B42" s="52">
        <f>'G-1 All Habitats'!F41</f>
        <v>0</v>
      </c>
      <c r="C42" s="52" t="str">
        <f>'G-1 All Habitats'!K41</f>
        <v>High</v>
      </c>
      <c r="D42" s="52" t="str">
        <f>'G-1 All Habitats'!M41</f>
        <v>Same habitat required =</v>
      </c>
      <c r="E42" s="277">
        <f>IF(C42="V.High",SUMIF('A-1 On-Site Habitat Baseline'!$AV$11:$AV$258,'G-2 Habitat groups'!A42,'A-1 On-Site Habitat Baseline'!$S$11:$S$258)+SUMIF('A-1 On-Site Habitat Baseline'!$AV$11:$AV$258,'G-2 Habitat groups'!A42,'A-1 On-Site Habitat Baseline'!$T$11:$T$258),SUMIF('A-1 On-Site Habitat Baseline'!$AV$11:$AV$258,'G-2 Habitat groups'!A42,'A-1 On-Site Habitat Baseline'!$H$11:$H$258))</f>
        <v>0</v>
      </c>
      <c r="F42" s="277">
        <f>SUMIF('A-1 On-Site Habitat Baseline'!$AV$11:$AV$258,'G-2 Habitat groups'!A42,'A-1 On-Site Habitat Baseline'!$Q$11:$Q$258)</f>
        <v>0</v>
      </c>
      <c r="G42" s="277">
        <f>SUMIF('A-1 On-Site Habitat Baseline'!$AV$11:$AV$258,'G-2 Habitat groups'!A42,'A-1 On-Site Habitat Baseline'!$S$11:$S$258)</f>
        <v>0</v>
      </c>
      <c r="H42" s="277">
        <f>SUMIF('A-1 On-Site Habitat Baseline'!$AV$11:$AV$258,'G-2 Habitat groups'!A42,'A-1 On-Site Habitat Baseline'!$U$11:$U$258)</f>
        <v>0</v>
      </c>
      <c r="I42" s="277">
        <f>SUMIF('A-1 On-Site Habitat Baseline'!$AV$11:$AV$258,'G-2 Habitat groups'!A42,'A-1 On-Site Habitat Baseline'!$W$11:$W$258)</f>
        <v>0</v>
      </c>
      <c r="J42" s="277">
        <f>SUMIF('A-1 On-Site Habitat Baseline'!$AV$11:$AV$258,'G-2 Habitat groups'!A42,'A-1 On-Site Habitat Baseline'!$X$11:$X$258)</f>
        <v>0</v>
      </c>
      <c r="K42" s="277">
        <f>SUMIF('A-2 On-Site Habitat Creation'!$F$11:$F$256,'G-2 Habitat groups'!A42,'A-2 On-Site Habitat Creation'!$G$11:$G$256)</f>
        <v>0</v>
      </c>
      <c r="L42" s="277">
        <f>SUMIF('A-2 On-Site Habitat Creation'!$F$11:$F$256,'G-2 Habitat groups'!A42,'A-2 On-Site Habitat Creation'!$Y$11:$Y$256)</f>
        <v>0</v>
      </c>
      <c r="M42" s="277">
        <f>SUMIF('A-3 On-Site Habitat Enhancement'!$S$12:$S$257,'G-2 Habitat groups'!A42,'A-3 On-Site Habitat Enhancement'!$V$12:$V$257)</f>
        <v>0</v>
      </c>
      <c r="N42" s="277">
        <f>SUMIF('A-3 On-Site Habitat Enhancement'!$S$12:$S$257,'G-2 Habitat groups'!A42,'A-3 On-Site Habitat Enhancement'!$AN$12:$AN$257)</f>
        <v>0</v>
      </c>
      <c r="O42" s="277">
        <f t="shared" si="43"/>
        <v>0</v>
      </c>
      <c r="P42" s="277">
        <f t="shared" si="44"/>
        <v>0</v>
      </c>
      <c r="Q42" s="277">
        <f t="shared" si="45"/>
        <v>0</v>
      </c>
      <c r="R42" s="277">
        <f t="shared" si="46"/>
        <v>0</v>
      </c>
      <c r="S42" s="277" t="e">
        <f>IF(C42="V.High",SUMIF(#REF!,'G-2 Habitat groups'!A42,#REF!)+SUMIF(#REF!,'G-2 Habitat groups'!A42,#REF!),SUMIF(#REF!,'G-2 Habitat groups'!A42,#REF!))</f>
        <v>#REF!</v>
      </c>
      <c r="T42" s="277" t="e">
        <f>SUMIF(#REF!,'G-2 Habitat groups'!A42,#REF!)</f>
        <v>#REF!</v>
      </c>
      <c r="U42" s="277" t="e">
        <f>SUMIF(#REF!,'G-2 Habitat groups'!A42,#REF!)</f>
        <v>#REF!</v>
      </c>
      <c r="V42" s="277" t="e">
        <f>SUMIF(#REF!,'G-2 Habitat groups'!A42,#REF!)</f>
        <v>#REF!</v>
      </c>
      <c r="W42" s="277" t="e">
        <f>SUMIF(#REF!,'G-2 Habitat groups'!A42,#REF!)</f>
        <v>#REF!</v>
      </c>
      <c r="X42" s="277" t="e">
        <f>SUMIF(#REF!,'G-2 Habitat groups'!A42,#REF!)</f>
        <v>#REF!</v>
      </c>
      <c r="Y42" s="277" t="e">
        <f>SUMIF(#REF!,'G-2 Habitat groups'!A42,#REF!)</f>
        <v>#REF!</v>
      </c>
      <c r="Z42" s="277" t="e">
        <f>SUMIF(#REF!,'G-2 Habitat groups'!A42,#REF!)</f>
        <v>#REF!</v>
      </c>
      <c r="AA42" s="277" t="e">
        <f t="shared" si="47"/>
        <v>#REF!</v>
      </c>
      <c r="AB42" s="277" t="e">
        <f t="shared" si="48"/>
        <v>#REF!</v>
      </c>
      <c r="AC42" s="277" t="e">
        <f t="shared" si="49"/>
        <v>#REF!</v>
      </c>
      <c r="AD42" s="277" t="e">
        <f t="shared" si="50"/>
        <v>#REF!</v>
      </c>
      <c r="AE42" s="277" t="e">
        <f t="shared" si="51"/>
        <v>#REF!</v>
      </c>
      <c r="AF42" s="277" t="e">
        <f t="shared" si="52"/>
        <v>#REF!</v>
      </c>
      <c r="AU42" s="70" t="s">
        <v>458</v>
      </c>
      <c r="AV42" s="52" t="s">
        <v>49</v>
      </c>
      <c r="AW42" s="288">
        <f t="shared" si="33"/>
        <v>0</v>
      </c>
      <c r="AX42" s="288">
        <f t="shared" si="34"/>
        <v>0</v>
      </c>
      <c r="AY42" s="288">
        <f t="shared" si="35"/>
        <v>0</v>
      </c>
      <c r="AZ42" s="288">
        <f t="shared" si="36"/>
        <v>0</v>
      </c>
      <c r="BA42" s="288">
        <f t="shared" si="37"/>
        <v>0</v>
      </c>
      <c r="BB42" s="288">
        <f t="shared" si="38"/>
        <v>0</v>
      </c>
      <c r="BC42" s="288" t="e">
        <f t="shared" si="39"/>
        <v>#REF!</v>
      </c>
      <c r="BD42" s="288" t="e">
        <f t="shared" si="40"/>
        <v>#REF!</v>
      </c>
      <c r="BE42" s="288" t="e">
        <f t="shared" si="41"/>
        <v>#REF!</v>
      </c>
      <c r="BF42" s="288" t="e">
        <f t="shared" si="42"/>
        <v>#REF!</v>
      </c>
    </row>
    <row r="43" spans="1:58" x14ac:dyDescent="0.3">
      <c r="A43" s="63" t="str">
        <f>'G-1 All Habitats'!B42</f>
        <v>Lakes - Low alkalinity lakes</v>
      </c>
      <c r="B43" s="52">
        <f>'G-1 All Habitats'!F42</f>
        <v>0</v>
      </c>
      <c r="C43" s="52" t="str">
        <f>'G-1 All Habitats'!K42</f>
        <v>High</v>
      </c>
      <c r="D43" s="52" t="str">
        <f>'G-1 All Habitats'!M42</f>
        <v>Same habitat required =</v>
      </c>
      <c r="E43" s="277">
        <f>IF(C43="V.High",SUMIF('A-1 On-Site Habitat Baseline'!$AV$11:$AV$258,'G-2 Habitat groups'!A43,'A-1 On-Site Habitat Baseline'!$S$11:$S$258)+SUMIF('A-1 On-Site Habitat Baseline'!$AV$11:$AV$258,'G-2 Habitat groups'!A43,'A-1 On-Site Habitat Baseline'!$T$11:$T$258),SUMIF('A-1 On-Site Habitat Baseline'!$AV$11:$AV$258,'G-2 Habitat groups'!A43,'A-1 On-Site Habitat Baseline'!$H$11:$H$258))</f>
        <v>0</v>
      </c>
      <c r="F43" s="277">
        <f>SUMIF('A-1 On-Site Habitat Baseline'!$AV$11:$AV$258,'G-2 Habitat groups'!A43,'A-1 On-Site Habitat Baseline'!$Q$11:$Q$258)</f>
        <v>0</v>
      </c>
      <c r="G43" s="277">
        <f>SUMIF('A-1 On-Site Habitat Baseline'!$AV$11:$AV$258,'G-2 Habitat groups'!A43,'A-1 On-Site Habitat Baseline'!$S$11:$S$258)</f>
        <v>0</v>
      </c>
      <c r="H43" s="277">
        <f>SUMIF('A-1 On-Site Habitat Baseline'!$AV$11:$AV$258,'G-2 Habitat groups'!A43,'A-1 On-Site Habitat Baseline'!$U$11:$U$258)</f>
        <v>0</v>
      </c>
      <c r="I43" s="277">
        <f>SUMIF('A-1 On-Site Habitat Baseline'!$AV$11:$AV$258,'G-2 Habitat groups'!A43,'A-1 On-Site Habitat Baseline'!$W$11:$W$258)</f>
        <v>0</v>
      </c>
      <c r="J43" s="277">
        <f>SUMIF('A-1 On-Site Habitat Baseline'!$AV$11:$AV$258,'G-2 Habitat groups'!A43,'A-1 On-Site Habitat Baseline'!$X$11:$X$258)</f>
        <v>0</v>
      </c>
      <c r="K43" s="277">
        <f>SUMIF('A-2 On-Site Habitat Creation'!$F$11:$F$256,'G-2 Habitat groups'!A43,'A-2 On-Site Habitat Creation'!$G$11:$G$256)</f>
        <v>0</v>
      </c>
      <c r="L43" s="277">
        <f>SUMIF('A-2 On-Site Habitat Creation'!$F$11:$F$256,'G-2 Habitat groups'!A43,'A-2 On-Site Habitat Creation'!$Y$11:$Y$256)</f>
        <v>0</v>
      </c>
      <c r="M43" s="277">
        <f>SUMIF('A-3 On-Site Habitat Enhancement'!$S$12:$S$257,'G-2 Habitat groups'!A43,'A-3 On-Site Habitat Enhancement'!$V$12:$V$257)</f>
        <v>0</v>
      </c>
      <c r="N43" s="277">
        <f>SUMIF('A-3 On-Site Habitat Enhancement'!$S$12:$S$257,'G-2 Habitat groups'!A43,'A-3 On-Site Habitat Enhancement'!$AN$12:$AN$257)</f>
        <v>0</v>
      </c>
      <c r="O43" s="277">
        <f t="shared" si="43"/>
        <v>0</v>
      </c>
      <c r="P43" s="277">
        <f t="shared" si="44"/>
        <v>0</v>
      </c>
      <c r="Q43" s="277">
        <f t="shared" si="45"/>
        <v>0</v>
      </c>
      <c r="R43" s="277">
        <f t="shared" si="46"/>
        <v>0</v>
      </c>
      <c r="S43" s="277" t="e">
        <f>IF(C43="V.High",SUMIF(#REF!,'G-2 Habitat groups'!A43,#REF!)+SUMIF(#REF!,'G-2 Habitat groups'!A43,#REF!),SUMIF(#REF!,'G-2 Habitat groups'!A43,#REF!))</f>
        <v>#REF!</v>
      </c>
      <c r="T43" s="277" t="e">
        <f>SUMIF(#REF!,'G-2 Habitat groups'!A43,#REF!)</f>
        <v>#REF!</v>
      </c>
      <c r="U43" s="277" t="e">
        <f>SUMIF(#REF!,'G-2 Habitat groups'!A43,#REF!)</f>
        <v>#REF!</v>
      </c>
      <c r="V43" s="277" t="e">
        <f>SUMIF(#REF!,'G-2 Habitat groups'!A43,#REF!)</f>
        <v>#REF!</v>
      </c>
      <c r="W43" s="277" t="e">
        <f>SUMIF(#REF!,'G-2 Habitat groups'!A43,#REF!)</f>
        <v>#REF!</v>
      </c>
      <c r="X43" s="277" t="e">
        <f>SUMIF(#REF!,'G-2 Habitat groups'!A43,#REF!)</f>
        <v>#REF!</v>
      </c>
      <c r="Y43" s="277" t="e">
        <f>SUMIF(#REF!,'G-2 Habitat groups'!A43,#REF!)</f>
        <v>#REF!</v>
      </c>
      <c r="Z43" s="277" t="e">
        <f>SUMIF(#REF!,'G-2 Habitat groups'!A43,#REF!)</f>
        <v>#REF!</v>
      </c>
      <c r="AA43" s="277" t="e">
        <f t="shared" si="47"/>
        <v>#REF!</v>
      </c>
      <c r="AB43" s="277" t="e">
        <f t="shared" si="48"/>
        <v>#REF!</v>
      </c>
      <c r="AC43" s="277" t="e">
        <f t="shared" si="49"/>
        <v>#REF!</v>
      </c>
      <c r="AD43" s="277" t="e">
        <f t="shared" si="50"/>
        <v>#REF!</v>
      </c>
      <c r="AE43" s="277" t="e">
        <f t="shared" si="51"/>
        <v>#REF!</v>
      </c>
      <c r="AF43" s="277" t="e">
        <f t="shared" si="52"/>
        <v>#REF!</v>
      </c>
      <c r="AU43" s="70" t="s">
        <v>461</v>
      </c>
      <c r="AV43" s="52" t="s">
        <v>49</v>
      </c>
      <c r="AW43" s="288">
        <f t="shared" si="33"/>
        <v>0</v>
      </c>
      <c r="AX43" s="288">
        <f t="shared" si="34"/>
        <v>0</v>
      </c>
      <c r="AY43" s="288">
        <f t="shared" si="35"/>
        <v>0</v>
      </c>
      <c r="AZ43" s="288">
        <f t="shared" si="36"/>
        <v>0</v>
      </c>
      <c r="BA43" s="288">
        <f t="shared" si="37"/>
        <v>0</v>
      </c>
      <c r="BB43" s="288">
        <f t="shared" si="38"/>
        <v>0</v>
      </c>
      <c r="BC43" s="288" t="e">
        <f t="shared" si="39"/>
        <v>#REF!</v>
      </c>
      <c r="BD43" s="288" t="e">
        <f t="shared" si="40"/>
        <v>#REF!</v>
      </c>
      <c r="BE43" s="288" t="e">
        <f t="shared" si="41"/>
        <v>#REF!</v>
      </c>
      <c r="BF43" s="288" t="e">
        <f t="shared" si="42"/>
        <v>#REF!</v>
      </c>
    </row>
    <row r="44" spans="1:58" x14ac:dyDescent="0.3">
      <c r="A44" s="63" t="str">
        <f>'G-1 All Habitats'!B43</f>
        <v>Lakes - Marl lakes</v>
      </c>
      <c r="B44" s="52">
        <f>'G-1 All Habitats'!F43</f>
        <v>0</v>
      </c>
      <c r="C44" s="52" t="str">
        <f>'G-1 All Habitats'!K43</f>
        <v>High</v>
      </c>
      <c r="D44" s="52" t="str">
        <f>'G-1 All Habitats'!M43</f>
        <v>Same habitat required =</v>
      </c>
      <c r="E44" s="277">
        <f>IF(C44="V.High",SUMIF('A-1 On-Site Habitat Baseline'!$AV$11:$AV$258,'G-2 Habitat groups'!A44,'A-1 On-Site Habitat Baseline'!$S$11:$S$258)+SUMIF('A-1 On-Site Habitat Baseline'!$AV$11:$AV$258,'G-2 Habitat groups'!A44,'A-1 On-Site Habitat Baseline'!$T$11:$T$258),SUMIF('A-1 On-Site Habitat Baseline'!$AV$11:$AV$258,'G-2 Habitat groups'!A44,'A-1 On-Site Habitat Baseline'!$H$11:$H$258))</f>
        <v>0</v>
      </c>
      <c r="F44" s="277">
        <f>SUMIF('A-1 On-Site Habitat Baseline'!$AV$11:$AV$258,'G-2 Habitat groups'!A44,'A-1 On-Site Habitat Baseline'!$Q$11:$Q$258)</f>
        <v>0</v>
      </c>
      <c r="G44" s="277">
        <f>SUMIF('A-1 On-Site Habitat Baseline'!$AV$11:$AV$258,'G-2 Habitat groups'!A44,'A-1 On-Site Habitat Baseline'!$S$11:$S$258)</f>
        <v>0</v>
      </c>
      <c r="H44" s="277">
        <f>SUMIF('A-1 On-Site Habitat Baseline'!$AV$11:$AV$258,'G-2 Habitat groups'!A44,'A-1 On-Site Habitat Baseline'!$U$11:$U$258)</f>
        <v>0</v>
      </c>
      <c r="I44" s="277">
        <f>SUMIF('A-1 On-Site Habitat Baseline'!$AV$11:$AV$258,'G-2 Habitat groups'!A44,'A-1 On-Site Habitat Baseline'!$W$11:$W$258)</f>
        <v>0</v>
      </c>
      <c r="J44" s="277">
        <f>SUMIF('A-1 On-Site Habitat Baseline'!$AV$11:$AV$258,'G-2 Habitat groups'!A44,'A-1 On-Site Habitat Baseline'!$X$11:$X$258)</f>
        <v>0</v>
      </c>
      <c r="K44" s="277">
        <f>SUMIF('A-2 On-Site Habitat Creation'!$F$11:$F$256,'G-2 Habitat groups'!A44,'A-2 On-Site Habitat Creation'!$G$11:$G$256)</f>
        <v>0</v>
      </c>
      <c r="L44" s="277">
        <f>SUMIF('A-2 On-Site Habitat Creation'!$F$11:$F$256,'G-2 Habitat groups'!A44,'A-2 On-Site Habitat Creation'!$Y$11:$Y$256)</f>
        <v>0</v>
      </c>
      <c r="M44" s="277">
        <f>SUMIF('A-3 On-Site Habitat Enhancement'!$S$12:$S$257,'G-2 Habitat groups'!A44,'A-3 On-Site Habitat Enhancement'!$V$12:$V$257)</f>
        <v>0</v>
      </c>
      <c r="N44" s="277">
        <f>SUMIF('A-3 On-Site Habitat Enhancement'!$S$12:$S$257,'G-2 Habitat groups'!A44,'A-3 On-Site Habitat Enhancement'!$AN$12:$AN$257)</f>
        <v>0</v>
      </c>
      <c r="O44" s="277">
        <f t="shared" si="43"/>
        <v>0</v>
      </c>
      <c r="P44" s="277">
        <f t="shared" si="44"/>
        <v>0</v>
      </c>
      <c r="Q44" s="277">
        <f t="shared" si="45"/>
        <v>0</v>
      </c>
      <c r="R44" s="277">
        <f t="shared" si="46"/>
        <v>0</v>
      </c>
      <c r="S44" s="277" t="e">
        <f>IF(C44="V.High",SUMIF(#REF!,'G-2 Habitat groups'!A44,#REF!)+SUMIF(#REF!,'G-2 Habitat groups'!A44,#REF!),SUMIF(#REF!,'G-2 Habitat groups'!A44,#REF!))</f>
        <v>#REF!</v>
      </c>
      <c r="T44" s="277" t="e">
        <f>SUMIF(#REF!,'G-2 Habitat groups'!A44,#REF!)</f>
        <v>#REF!</v>
      </c>
      <c r="U44" s="277" t="e">
        <f>SUMIF(#REF!,'G-2 Habitat groups'!A44,#REF!)</f>
        <v>#REF!</v>
      </c>
      <c r="V44" s="277" t="e">
        <f>SUMIF(#REF!,'G-2 Habitat groups'!A44,#REF!)</f>
        <v>#REF!</v>
      </c>
      <c r="W44" s="277" t="e">
        <f>SUMIF(#REF!,'G-2 Habitat groups'!A44,#REF!)</f>
        <v>#REF!</v>
      </c>
      <c r="X44" s="277" t="e">
        <f>SUMIF(#REF!,'G-2 Habitat groups'!A44,#REF!)</f>
        <v>#REF!</v>
      </c>
      <c r="Y44" s="277" t="e">
        <f>SUMIF(#REF!,'G-2 Habitat groups'!A44,#REF!)</f>
        <v>#REF!</v>
      </c>
      <c r="Z44" s="277" t="e">
        <f>SUMIF(#REF!,'G-2 Habitat groups'!A44,#REF!)</f>
        <v>#REF!</v>
      </c>
      <c r="AA44" s="277" t="e">
        <f t="shared" si="47"/>
        <v>#REF!</v>
      </c>
      <c r="AB44" s="277" t="e">
        <f t="shared" si="48"/>
        <v>#REF!</v>
      </c>
      <c r="AC44" s="277" t="e">
        <f t="shared" si="49"/>
        <v>#REF!</v>
      </c>
      <c r="AD44" s="277" t="e">
        <f t="shared" si="50"/>
        <v>#REF!</v>
      </c>
      <c r="AE44" s="277" t="e">
        <f t="shared" si="51"/>
        <v>#REF!</v>
      </c>
      <c r="AF44" s="277" t="e">
        <f t="shared" si="52"/>
        <v>#REF!</v>
      </c>
      <c r="AU44" s="69" t="s">
        <v>464</v>
      </c>
      <c r="AV44" s="52" t="s">
        <v>49</v>
      </c>
      <c r="AW44" s="288">
        <f t="shared" si="33"/>
        <v>0</v>
      </c>
      <c r="AX44" s="288">
        <f t="shared" si="34"/>
        <v>0</v>
      </c>
      <c r="AY44" s="288">
        <f t="shared" si="35"/>
        <v>0</v>
      </c>
      <c r="AZ44" s="288">
        <f t="shared" si="36"/>
        <v>0</v>
      </c>
      <c r="BA44" s="288">
        <f t="shared" si="37"/>
        <v>0</v>
      </c>
      <c r="BB44" s="288">
        <f t="shared" si="38"/>
        <v>0</v>
      </c>
      <c r="BC44" s="288" t="e">
        <f t="shared" si="39"/>
        <v>#REF!</v>
      </c>
      <c r="BD44" s="288" t="e">
        <f t="shared" si="40"/>
        <v>#REF!</v>
      </c>
      <c r="BE44" s="288" t="e">
        <f t="shared" si="41"/>
        <v>#REF!</v>
      </c>
      <c r="BF44" s="288" t="e">
        <f t="shared" si="42"/>
        <v>#REF!</v>
      </c>
    </row>
    <row r="45" spans="1:58" x14ac:dyDescent="0.3">
      <c r="A45" s="63" t="str">
        <f>'G-1 All Habitats'!B44</f>
        <v>Lakes - Moderate alkalinity lakes</v>
      </c>
      <c r="B45" s="52" t="str">
        <f>'G-1 All Habitats'!F44</f>
        <v>Lakes</v>
      </c>
      <c r="C45" s="52" t="str">
        <f>'G-1 All Habitats'!K44</f>
        <v>High</v>
      </c>
      <c r="D45" s="52" t="str">
        <f>'G-1 All Habitats'!M44</f>
        <v>Same habitat required =</v>
      </c>
      <c r="E45" s="277">
        <f>IF(C45="V.High",SUMIF('A-1 On-Site Habitat Baseline'!$AV$11:$AV$258,'G-2 Habitat groups'!A45,'A-1 On-Site Habitat Baseline'!$S$11:$S$258)+SUMIF('A-1 On-Site Habitat Baseline'!$AV$11:$AV$258,'G-2 Habitat groups'!A45,'A-1 On-Site Habitat Baseline'!$T$11:$T$258),SUMIF('A-1 On-Site Habitat Baseline'!$AV$11:$AV$258,'G-2 Habitat groups'!A45,'A-1 On-Site Habitat Baseline'!$H$11:$H$258))</f>
        <v>0</v>
      </c>
      <c r="F45" s="277">
        <f>SUMIF('A-1 On-Site Habitat Baseline'!$AV$11:$AV$258,'G-2 Habitat groups'!A45,'A-1 On-Site Habitat Baseline'!$Q$11:$Q$258)</f>
        <v>0</v>
      </c>
      <c r="G45" s="277">
        <f>SUMIF('A-1 On-Site Habitat Baseline'!$AV$11:$AV$258,'G-2 Habitat groups'!A45,'A-1 On-Site Habitat Baseline'!$S$11:$S$258)</f>
        <v>0</v>
      </c>
      <c r="H45" s="277">
        <f>SUMIF('A-1 On-Site Habitat Baseline'!$AV$11:$AV$258,'G-2 Habitat groups'!A45,'A-1 On-Site Habitat Baseline'!$U$11:$U$258)</f>
        <v>0</v>
      </c>
      <c r="I45" s="277">
        <f>SUMIF('A-1 On-Site Habitat Baseline'!$AV$11:$AV$258,'G-2 Habitat groups'!A45,'A-1 On-Site Habitat Baseline'!$W$11:$W$258)</f>
        <v>0</v>
      </c>
      <c r="J45" s="277">
        <f>SUMIF('A-1 On-Site Habitat Baseline'!$AV$11:$AV$258,'G-2 Habitat groups'!A45,'A-1 On-Site Habitat Baseline'!$X$11:$X$258)</f>
        <v>0</v>
      </c>
      <c r="K45" s="277">
        <f>SUMIF('A-2 On-Site Habitat Creation'!$F$11:$F$256,'G-2 Habitat groups'!A45,'A-2 On-Site Habitat Creation'!$G$11:$G$256)</f>
        <v>0</v>
      </c>
      <c r="L45" s="277">
        <f>SUMIF('A-2 On-Site Habitat Creation'!$F$11:$F$256,'G-2 Habitat groups'!A45,'A-2 On-Site Habitat Creation'!$Y$11:$Y$256)</f>
        <v>0</v>
      </c>
      <c r="M45" s="277">
        <f>SUMIF('A-3 On-Site Habitat Enhancement'!$S$12:$S$257,'G-2 Habitat groups'!A45,'A-3 On-Site Habitat Enhancement'!$V$12:$V$257)</f>
        <v>0</v>
      </c>
      <c r="N45" s="277">
        <f>SUMIF('A-3 On-Site Habitat Enhancement'!$S$12:$S$257,'G-2 Habitat groups'!A45,'A-3 On-Site Habitat Enhancement'!$AN$12:$AN$257)</f>
        <v>0</v>
      </c>
      <c r="O45" s="277">
        <f t="shared" si="43"/>
        <v>0</v>
      </c>
      <c r="P45" s="277">
        <f t="shared" si="44"/>
        <v>0</v>
      </c>
      <c r="Q45" s="277">
        <f t="shared" si="45"/>
        <v>0</v>
      </c>
      <c r="R45" s="277">
        <f t="shared" si="46"/>
        <v>0</v>
      </c>
      <c r="S45" s="277" t="e">
        <f>IF(C45="V.High",SUMIF(#REF!,'G-2 Habitat groups'!A45,#REF!)+SUMIF(#REF!,'G-2 Habitat groups'!A45,#REF!),SUMIF(#REF!,'G-2 Habitat groups'!A45,#REF!))</f>
        <v>#REF!</v>
      </c>
      <c r="T45" s="277" t="e">
        <f>SUMIF(#REF!,'G-2 Habitat groups'!A45,#REF!)</f>
        <v>#REF!</v>
      </c>
      <c r="U45" s="277" t="e">
        <f>SUMIF(#REF!,'G-2 Habitat groups'!A45,#REF!)</f>
        <v>#REF!</v>
      </c>
      <c r="V45" s="277" t="e">
        <f>SUMIF(#REF!,'G-2 Habitat groups'!A45,#REF!)</f>
        <v>#REF!</v>
      </c>
      <c r="W45" s="277" t="e">
        <f>SUMIF(#REF!,'G-2 Habitat groups'!A45,#REF!)</f>
        <v>#REF!</v>
      </c>
      <c r="X45" s="277" t="e">
        <f>SUMIF(#REF!,'G-2 Habitat groups'!A45,#REF!)</f>
        <v>#REF!</v>
      </c>
      <c r="Y45" s="277" t="e">
        <f>SUMIF(#REF!,'G-2 Habitat groups'!A45,#REF!)</f>
        <v>#REF!</v>
      </c>
      <c r="Z45" s="277" t="e">
        <f>SUMIF(#REF!,'G-2 Habitat groups'!A45,#REF!)</f>
        <v>#REF!</v>
      </c>
      <c r="AA45" s="277" t="e">
        <f t="shared" si="47"/>
        <v>#REF!</v>
      </c>
      <c r="AB45" s="277" t="e">
        <f t="shared" si="48"/>
        <v>#REF!</v>
      </c>
      <c r="AC45" s="277" t="e">
        <f t="shared" si="49"/>
        <v>#REF!</v>
      </c>
      <c r="AD45" s="277" t="e">
        <f t="shared" si="50"/>
        <v>#REF!</v>
      </c>
      <c r="AE45" s="277" t="e">
        <f t="shared" si="51"/>
        <v>#REF!</v>
      </c>
      <c r="AF45" s="277" t="e">
        <f t="shared" si="52"/>
        <v>#REF!</v>
      </c>
      <c r="AU45" s="70" t="s">
        <v>472</v>
      </c>
      <c r="AV45" s="52" t="s">
        <v>49</v>
      </c>
      <c r="AW45" s="288">
        <f t="shared" si="33"/>
        <v>0</v>
      </c>
      <c r="AX45" s="288">
        <f t="shared" si="34"/>
        <v>0</v>
      </c>
      <c r="AY45" s="288">
        <f t="shared" si="35"/>
        <v>0</v>
      </c>
      <c r="AZ45" s="288">
        <f t="shared" si="36"/>
        <v>0</v>
      </c>
      <c r="BA45" s="288">
        <f t="shared" si="37"/>
        <v>0</v>
      </c>
      <c r="BB45" s="288">
        <f t="shared" si="38"/>
        <v>0</v>
      </c>
      <c r="BC45" s="288" t="e">
        <f t="shared" si="39"/>
        <v>#REF!</v>
      </c>
      <c r="BD45" s="288" t="e">
        <f t="shared" si="40"/>
        <v>#REF!</v>
      </c>
      <c r="BE45" s="288" t="e">
        <f t="shared" si="41"/>
        <v>#REF!</v>
      </c>
      <c r="BF45" s="288" t="e">
        <f t="shared" si="42"/>
        <v>#REF!</v>
      </c>
    </row>
    <row r="46" spans="1:58" x14ac:dyDescent="0.3">
      <c r="A46" s="63" t="str">
        <f>'G-1 All Habitats'!B45</f>
        <v>Lakes - Peat lakes</v>
      </c>
      <c r="B46" s="52" t="str">
        <f>'G-1 All Habitats'!F45</f>
        <v>Lakes</v>
      </c>
      <c r="C46" s="52" t="str">
        <f>'G-1 All Habitats'!K45</f>
        <v>High</v>
      </c>
      <c r="D46" s="52" t="str">
        <f>'G-1 All Habitats'!M45</f>
        <v>Same habitat required =</v>
      </c>
      <c r="E46" s="277">
        <f>IF(C46="V.High",SUMIF('A-1 On-Site Habitat Baseline'!$AV$11:$AV$258,'G-2 Habitat groups'!A46,'A-1 On-Site Habitat Baseline'!$S$11:$S$258)+SUMIF('A-1 On-Site Habitat Baseline'!$AV$11:$AV$258,'G-2 Habitat groups'!A46,'A-1 On-Site Habitat Baseline'!$T$11:$T$258),SUMIF('A-1 On-Site Habitat Baseline'!$AV$11:$AV$258,'G-2 Habitat groups'!A46,'A-1 On-Site Habitat Baseline'!$H$11:$H$258))</f>
        <v>0</v>
      </c>
      <c r="F46" s="277">
        <f>SUMIF('A-1 On-Site Habitat Baseline'!$AV$11:$AV$258,'G-2 Habitat groups'!A46,'A-1 On-Site Habitat Baseline'!$Q$11:$Q$258)</f>
        <v>0</v>
      </c>
      <c r="G46" s="277">
        <f>SUMIF('A-1 On-Site Habitat Baseline'!$AV$11:$AV$258,'G-2 Habitat groups'!A46,'A-1 On-Site Habitat Baseline'!$S$11:$S$258)</f>
        <v>0</v>
      </c>
      <c r="H46" s="277">
        <f>SUMIF('A-1 On-Site Habitat Baseline'!$AV$11:$AV$258,'G-2 Habitat groups'!A46,'A-1 On-Site Habitat Baseline'!$U$11:$U$258)</f>
        <v>0</v>
      </c>
      <c r="I46" s="277">
        <f>SUMIF('A-1 On-Site Habitat Baseline'!$AV$11:$AV$258,'G-2 Habitat groups'!A46,'A-1 On-Site Habitat Baseline'!$W$11:$W$258)</f>
        <v>0</v>
      </c>
      <c r="J46" s="277">
        <f>SUMIF('A-1 On-Site Habitat Baseline'!$AV$11:$AV$258,'G-2 Habitat groups'!A46,'A-1 On-Site Habitat Baseline'!$X$11:$X$258)</f>
        <v>0</v>
      </c>
      <c r="K46" s="277">
        <f>SUMIF('A-2 On-Site Habitat Creation'!$F$11:$F$256,'G-2 Habitat groups'!A46,'A-2 On-Site Habitat Creation'!$G$11:$G$256)</f>
        <v>0</v>
      </c>
      <c r="L46" s="277">
        <f>SUMIF('A-2 On-Site Habitat Creation'!$F$11:$F$256,'G-2 Habitat groups'!A46,'A-2 On-Site Habitat Creation'!$Y$11:$Y$256)</f>
        <v>0</v>
      </c>
      <c r="M46" s="277">
        <f>SUMIF('A-3 On-Site Habitat Enhancement'!$S$12:$S$257,'G-2 Habitat groups'!A46,'A-3 On-Site Habitat Enhancement'!$V$12:$V$257)</f>
        <v>0</v>
      </c>
      <c r="N46" s="277">
        <f>SUMIF('A-3 On-Site Habitat Enhancement'!$S$12:$S$257,'G-2 Habitat groups'!A46,'A-3 On-Site Habitat Enhancement'!$AN$12:$AN$257)</f>
        <v>0</v>
      </c>
      <c r="O46" s="277">
        <f t="shared" si="43"/>
        <v>0</v>
      </c>
      <c r="P46" s="277">
        <f t="shared" si="44"/>
        <v>0</v>
      </c>
      <c r="Q46" s="277">
        <f t="shared" si="45"/>
        <v>0</v>
      </c>
      <c r="R46" s="277">
        <f t="shared" si="46"/>
        <v>0</v>
      </c>
      <c r="S46" s="277" t="e">
        <f>IF(C46="V.High",SUMIF(#REF!,'G-2 Habitat groups'!A46,#REF!)+SUMIF(#REF!,'G-2 Habitat groups'!A46,#REF!),SUMIF(#REF!,'G-2 Habitat groups'!A46,#REF!))</f>
        <v>#REF!</v>
      </c>
      <c r="T46" s="277" t="e">
        <f>SUMIF(#REF!,'G-2 Habitat groups'!A46,#REF!)</f>
        <v>#REF!</v>
      </c>
      <c r="U46" s="277" t="e">
        <f>SUMIF(#REF!,'G-2 Habitat groups'!A46,#REF!)</f>
        <v>#REF!</v>
      </c>
      <c r="V46" s="277" t="e">
        <f>SUMIF(#REF!,'G-2 Habitat groups'!A46,#REF!)</f>
        <v>#REF!</v>
      </c>
      <c r="W46" s="277" t="e">
        <f>SUMIF(#REF!,'G-2 Habitat groups'!A46,#REF!)</f>
        <v>#REF!</v>
      </c>
      <c r="X46" s="277" t="e">
        <f>SUMIF(#REF!,'G-2 Habitat groups'!A46,#REF!)</f>
        <v>#REF!</v>
      </c>
      <c r="Y46" s="277" t="e">
        <f>SUMIF(#REF!,'G-2 Habitat groups'!A46,#REF!)</f>
        <v>#REF!</v>
      </c>
      <c r="Z46" s="277" t="e">
        <f>SUMIF(#REF!,'G-2 Habitat groups'!A46,#REF!)</f>
        <v>#REF!</v>
      </c>
      <c r="AA46" s="277" t="e">
        <f t="shared" si="47"/>
        <v>#REF!</v>
      </c>
      <c r="AB46" s="277" t="e">
        <f t="shared" si="48"/>
        <v>#REF!</v>
      </c>
      <c r="AC46" s="277" t="e">
        <f t="shared" si="49"/>
        <v>#REF!</v>
      </c>
      <c r="AD46" s="277" t="e">
        <f t="shared" si="50"/>
        <v>#REF!</v>
      </c>
      <c r="AE46" s="277" t="e">
        <f t="shared" si="51"/>
        <v>#REF!</v>
      </c>
      <c r="AF46" s="277" t="e">
        <f t="shared" si="52"/>
        <v>#REF!</v>
      </c>
      <c r="AU46" s="70" t="s">
        <v>480</v>
      </c>
      <c r="AV46" s="52" t="s">
        <v>50</v>
      </c>
      <c r="AW46" s="288">
        <f t="shared" si="33"/>
        <v>0</v>
      </c>
      <c r="AX46" s="288">
        <f t="shared" si="34"/>
        <v>0</v>
      </c>
      <c r="AY46" s="288">
        <f t="shared" si="35"/>
        <v>0</v>
      </c>
      <c r="AZ46" s="288">
        <f t="shared" si="36"/>
        <v>0</v>
      </c>
      <c r="BA46" s="288">
        <f t="shared" si="37"/>
        <v>0</v>
      </c>
      <c r="BB46" s="288">
        <f t="shared" si="38"/>
        <v>0</v>
      </c>
      <c r="BC46" s="288" t="e">
        <f t="shared" si="39"/>
        <v>#REF!</v>
      </c>
      <c r="BD46" s="288" t="e">
        <f t="shared" si="40"/>
        <v>#REF!</v>
      </c>
      <c r="BE46" s="288" t="e">
        <f t="shared" si="41"/>
        <v>#REF!</v>
      </c>
      <c r="BF46" s="288" t="e">
        <f t="shared" si="42"/>
        <v>#REF!</v>
      </c>
    </row>
    <row r="47" spans="1:58" x14ac:dyDescent="0.3">
      <c r="A47" s="63" t="str">
        <f>'G-1 All Habitats'!B46</f>
        <v>Lakes - Ponds (priority habitat)</v>
      </c>
      <c r="B47" s="52">
        <f>'G-1 All Habitats'!F46</f>
        <v>0</v>
      </c>
      <c r="C47" s="52" t="str">
        <f>'G-1 All Habitats'!K46</f>
        <v>High</v>
      </c>
      <c r="D47" s="52" t="str">
        <f>'G-1 All Habitats'!M46</f>
        <v>Same habitat required =</v>
      </c>
      <c r="E47" s="277">
        <f>IF(C47="V.High",SUMIF('A-1 On-Site Habitat Baseline'!$AV$11:$AV$258,'G-2 Habitat groups'!A47,'A-1 On-Site Habitat Baseline'!$S$11:$S$258)+SUMIF('A-1 On-Site Habitat Baseline'!$AV$11:$AV$258,'G-2 Habitat groups'!A47,'A-1 On-Site Habitat Baseline'!$T$11:$T$258),SUMIF('A-1 On-Site Habitat Baseline'!$AV$11:$AV$258,'G-2 Habitat groups'!A47,'A-1 On-Site Habitat Baseline'!$H$11:$H$258))</f>
        <v>0</v>
      </c>
      <c r="F47" s="277">
        <f>SUMIF('A-1 On-Site Habitat Baseline'!$AV$11:$AV$258,'G-2 Habitat groups'!A47,'A-1 On-Site Habitat Baseline'!$Q$11:$Q$258)</f>
        <v>0</v>
      </c>
      <c r="G47" s="277">
        <f>SUMIF('A-1 On-Site Habitat Baseline'!$AV$11:$AV$258,'G-2 Habitat groups'!A47,'A-1 On-Site Habitat Baseline'!$S$11:$S$258)</f>
        <v>0</v>
      </c>
      <c r="H47" s="277">
        <f>SUMIF('A-1 On-Site Habitat Baseline'!$AV$11:$AV$258,'G-2 Habitat groups'!A47,'A-1 On-Site Habitat Baseline'!$U$11:$U$258)</f>
        <v>0</v>
      </c>
      <c r="I47" s="277">
        <f>SUMIF('A-1 On-Site Habitat Baseline'!$AV$11:$AV$258,'G-2 Habitat groups'!A47,'A-1 On-Site Habitat Baseline'!$W$11:$W$258)</f>
        <v>0</v>
      </c>
      <c r="J47" s="277">
        <f>SUMIF('A-1 On-Site Habitat Baseline'!$AV$11:$AV$258,'G-2 Habitat groups'!A47,'A-1 On-Site Habitat Baseline'!$X$11:$X$258)</f>
        <v>0</v>
      </c>
      <c r="K47" s="277">
        <f>SUMIF('A-2 On-Site Habitat Creation'!$F$11:$F$256,'G-2 Habitat groups'!A47,'A-2 On-Site Habitat Creation'!$G$11:$G$256)</f>
        <v>0</v>
      </c>
      <c r="L47" s="277">
        <f>SUMIF('A-2 On-Site Habitat Creation'!$F$11:$F$256,'G-2 Habitat groups'!A47,'A-2 On-Site Habitat Creation'!$Y$11:$Y$256)</f>
        <v>0</v>
      </c>
      <c r="M47" s="277">
        <f>SUMIF('A-3 On-Site Habitat Enhancement'!$S$12:$S$257,'G-2 Habitat groups'!A47,'A-3 On-Site Habitat Enhancement'!$V$12:$V$257)</f>
        <v>0</v>
      </c>
      <c r="N47" s="277">
        <f>SUMIF('A-3 On-Site Habitat Enhancement'!$S$12:$S$257,'G-2 Habitat groups'!A47,'A-3 On-Site Habitat Enhancement'!$AN$12:$AN$257)</f>
        <v>0</v>
      </c>
      <c r="O47" s="277">
        <f t="shared" si="43"/>
        <v>0</v>
      </c>
      <c r="P47" s="277">
        <f t="shared" si="44"/>
        <v>0</v>
      </c>
      <c r="Q47" s="277">
        <f t="shared" si="45"/>
        <v>0</v>
      </c>
      <c r="R47" s="277">
        <f t="shared" si="46"/>
        <v>0</v>
      </c>
      <c r="S47" s="277" t="e">
        <f>IF(C47="V.High",SUMIF(#REF!,'G-2 Habitat groups'!A47,#REF!)+SUMIF(#REF!,'G-2 Habitat groups'!A47,#REF!),SUMIF(#REF!,'G-2 Habitat groups'!A47,#REF!))</f>
        <v>#REF!</v>
      </c>
      <c r="T47" s="277" t="e">
        <f>SUMIF(#REF!,'G-2 Habitat groups'!A47,#REF!)</f>
        <v>#REF!</v>
      </c>
      <c r="U47" s="277" t="e">
        <f>SUMIF(#REF!,'G-2 Habitat groups'!A47,#REF!)</f>
        <v>#REF!</v>
      </c>
      <c r="V47" s="277" t="e">
        <f>SUMIF(#REF!,'G-2 Habitat groups'!A47,#REF!)</f>
        <v>#REF!</v>
      </c>
      <c r="W47" s="277" t="e">
        <f>SUMIF(#REF!,'G-2 Habitat groups'!A47,#REF!)</f>
        <v>#REF!</v>
      </c>
      <c r="X47" s="277" t="e">
        <f>SUMIF(#REF!,'G-2 Habitat groups'!A47,#REF!)</f>
        <v>#REF!</v>
      </c>
      <c r="Y47" s="277" t="e">
        <f>SUMIF(#REF!,'G-2 Habitat groups'!A47,#REF!)</f>
        <v>#REF!</v>
      </c>
      <c r="Z47" s="277" t="e">
        <f>SUMIF(#REF!,'G-2 Habitat groups'!A47,#REF!)</f>
        <v>#REF!</v>
      </c>
      <c r="AA47" s="277" t="e">
        <f t="shared" si="47"/>
        <v>#REF!</v>
      </c>
      <c r="AB47" s="277" t="e">
        <f t="shared" si="48"/>
        <v>#REF!</v>
      </c>
      <c r="AC47" s="277" t="e">
        <f t="shared" si="49"/>
        <v>#REF!</v>
      </c>
      <c r="AD47" s="277" t="e">
        <f t="shared" si="50"/>
        <v>#REF!</v>
      </c>
      <c r="AE47" s="277" t="e">
        <f t="shared" si="51"/>
        <v>#REF!</v>
      </c>
      <c r="AF47" s="277" t="e">
        <f t="shared" si="52"/>
        <v>#REF!</v>
      </c>
      <c r="AU47" s="70" t="s">
        <v>484</v>
      </c>
      <c r="AV47" s="52" t="s">
        <v>50</v>
      </c>
      <c r="AW47" s="288">
        <f t="shared" si="33"/>
        <v>0</v>
      </c>
      <c r="AX47" s="288">
        <f t="shared" si="34"/>
        <v>0</v>
      </c>
      <c r="AY47" s="288">
        <f t="shared" si="35"/>
        <v>0</v>
      </c>
      <c r="AZ47" s="288">
        <f t="shared" si="36"/>
        <v>0</v>
      </c>
      <c r="BA47" s="288">
        <f t="shared" si="37"/>
        <v>0</v>
      </c>
      <c r="BB47" s="288">
        <f t="shared" si="38"/>
        <v>0</v>
      </c>
      <c r="BC47" s="288" t="e">
        <f t="shared" si="39"/>
        <v>#REF!</v>
      </c>
      <c r="BD47" s="288" t="e">
        <f t="shared" si="40"/>
        <v>#REF!</v>
      </c>
      <c r="BE47" s="288" t="e">
        <f t="shared" si="41"/>
        <v>#REF!</v>
      </c>
      <c r="BF47" s="288" t="e">
        <f t="shared" si="42"/>
        <v>#REF!</v>
      </c>
    </row>
    <row r="48" spans="1:58" x14ac:dyDescent="0.3">
      <c r="A48" s="63" t="str">
        <f>'G-1 All Habitats'!B47</f>
        <v>Lakes - Ponds (non-priority habitat)</v>
      </c>
      <c r="B48" s="52" t="str">
        <f>'G-1 All Habitats'!F47</f>
        <v>Freshwater</v>
      </c>
      <c r="C48" s="52" t="str">
        <f>'G-1 All Habitats'!K47</f>
        <v>Medium</v>
      </c>
      <c r="D48" s="52" t="str">
        <f>'G-1 All Habitats'!M47</f>
        <v>Same broad habitat or a higher distinctiveness habitat required (≥)</v>
      </c>
      <c r="E48" s="277">
        <f>IF(C48="V.High",SUMIF('A-1 On-Site Habitat Baseline'!$AV$11:$AV$258,'G-2 Habitat groups'!A48,'A-1 On-Site Habitat Baseline'!$S$11:$S$258)+SUMIF('A-1 On-Site Habitat Baseline'!$AV$11:$AV$258,'G-2 Habitat groups'!A48,'A-1 On-Site Habitat Baseline'!$T$11:$T$258),SUMIF('A-1 On-Site Habitat Baseline'!$AV$11:$AV$258,'G-2 Habitat groups'!A48,'A-1 On-Site Habitat Baseline'!$H$11:$H$258))</f>
        <v>0</v>
      </c>
      <c r="F48" s="277">
        <f>SUMIF('A-1 On-Site Habitat Baseline'!$AV$11:$AV$258,'G-2 Habitat groups'!A48,'A-1 On-Site Habitat Baseline'!$Q$11:$Q$258)</f>
        <v>0</v>
      </c>
      <c r="G48" s="277">
        <f>SUMIF('A-1 On-Site Habitat Baseline'!$AV$11:$AV$258,'G-2 Habitat groups'!A48,'A-1 On-Site Habitat Baseline'!$S$11:$S$258)</f>
        <v>0</v>
      </c>
      <c r="H48" s="277">
        <f>SUMIF('A-1 On-Site Habitat Baseline'!$AV$11:$AV$258,'G-2 Habitat groups'!A48,'A-1 On-Site Habitat Baseline'!$U$11:$U$258)</f>
        <v>0</v>
      </c>
      <c r="I48" s="277">
        <f>SUMIF('A-1 On-Site Habitat Baseline'!$AV$11:$AV$258,'G-2 Habitat groups'!A48,'A-1 On-Site Habitat Baseline'!$W$11:$W$258)</f>
        <v>0</v>
      </c>
      <c r="J48" s="277">
        <f>SUMIF('A-1 On-Site Habitat Baseline'!$AV$11:$AV$258,'G-2 Habitat groups'!A48,'A-1 On-Site Habitat Baseline'!$X$11:$X$258)</f>
        <v>0</v>
      </c>
      <c r="K48" s="277">
        <f>SUMIF('A-2 On-Site Habitat Creation'!$F$11:$F$256,'G-2 Habitat groups'!A48,'A-2 On-Site Habitat Creation'!$G$11:$G$256)</f>
        <v>0</v>
      </c>
      <c r="L48" s="277">
        <f>SUMIF('A-2 On-Site Habitat Creation'!$F$11:$F$256,'G-2 Habitat groups'!A48,'A-2 On-Site Habitat Creation'!$Y$11:$Y$256)</f>
        <v>0</v>
      </c>
      <c r="M48" s="277">
        <f>SUMIF('A-3 On-Site Habitat Enhancement'!$S$12:$S$257,'G-2 Habitat groups'!A48,'A-3 On-Site Habitat Enhancement'!$V$12:$V$257)</f>
        <v>0</v>
      </c>
      <c r="N48" s="277">
        <f>SUMIF('A-3 On-Site Habitat Enhancement'!$S$12:$S$257,'G-2 Habitat groups'!A48,'A-3 On-Site Habitat Enhancement'!$AN$12:$AN$257)</f>
        <v>0</v>
      </c>
      <c r="O48" s="277">
        <f t="shared" si="43"/>
        <v>0</v>
      </c>
      <c r="P48" s="277">
        <f t="shared" si="44"/>
        <v>0</v>
      </c>
      <c r="Q48" s="277">
        <f t="shared" si="45"/>
        <v>0</v>
      </c>
      <c r="R48" s="277">
        <f t="shared" si="46"/>
        <v>0</v>
      </c>
      <c r="S48" s="277" t="e">
        <f>IF(C48="V.High",SUMIF(#REF!,'G-2 Habitat groups'!A48,#REF!)+SUMIF(#REF!,'G-2 Habitat groups'!A48,#REF!),SUMIF(#REF!,'G-2 Habitat groups'!A48,#REF!))</f>
        <v>#REF!</v>
      </c>
      <c r="T48" s="277" t="e">
        <f>SUMIF(#REF!,'G-2 Habitat groups'!A48,#REF!)</f>
        <v>#REF!</v>
      </c>
      <c r="U48" s="277" t="e">
        <f>SUMIF(#REF!,'G-2 Habitat groups'!A48,#REF!)</f>
        <v>#REF!</v>
      </c>
      <c r="V48" s="277" t="e">
        <f>SUMIF(#REF!,'G-2 Habitat groups'!A48,#REF!)</f>
        <v>#REF!</v>
      </c>
      <c r="W48" s="277" t="e">
        <f>SUMIF(#REF!,'G-2 Habitat groups'!A48,#REF!)</f>
        <v>#REF!</v>
      </c>
      <c r="X48" s="277" t="e">
        <f>SUMIF(#REF!,'G-2 Habitat groups'!A48,#REF!)</f>
        <v>#REF!</v>
      </c>
      <c r="Y48" s="277" t="e">
        <f>SUMIF(#REF!,'G-2 Habitat groups'!A48,#REF!)</f>
        <v>#REF!</v>
      </c>
      <c r="Z48" s="277" t="e">
        <f>SUMIF(#REF!,'G-2 Habitat groups'!A48,#REF!)</f>
        <v>#REF!</v>
      </c>
      <c r="AA48" s="277" t="e">
        <f t="shared" si="47"/>
        <v>#REF!</v>
      </c>
      <c r="AB48" s="277" t="e">
        <f t="shared" si="48"/>
        <v>#REF!</v>
      </c>
      <c r="AC48" s="277" t="e">
        <f t="shared" si="49"/>
        <v>#REF!</v>
      </c>
      <c r="AD48" s="277" t="e">
        <f t="shared" si="50"/>
        <v>#REF!</v>
      </c>
      <c r="AE48" s="277" t="e">
        <f t="shared" si="51"/>
        <v>#REF!</v>
      </c>
      <c r="AF48" s="277" t="e">
        <f t="shared" si="52"/>
        <v>#REF!</v>
      </c>
      <c r="AU48" s="70" t="s">
        <v>493</v>
      </c>
      <c r="AV48" s="52" t="s">
        <v>50</v>
      </c>
      <c r="AW48" s="288">
        <f t="shared" si="33"/>
        <v>0</v>
      </c>
      <c r="AX48" s="288">
        <f t="shared" si="34"/>
        <v>0</v>
      </c>
      <c r="AY48" s="288">
        <f t="shared" si="35"/>
        <v>0</v>
      </c>
      <c r="AZ48" s="288">
        <f t="shared" si="36"/>
        <v>0</v>
      </c>
      <c r="BA48" s="288">
        <f t="shared" si="37"/>
        <v>0</v>
      </c>
      <c r="BB48" s="288">
        <f t="shared" si="38"/>
        <v>0</v>
      </c>
      <c r="BC48" s="288" t="e">
        <f t="shared" si="39"/>
        <v>#REF!</v>
      </c>
      <c r="BD48" s="288" t="e">
        <f t="shared" si="40"/>
        <v>#REF!</v>
      </c>
      <c r="BE48" s="288" t="e">
        <f t="shared" si="41"/>
        <v>#REF!</v>
      </c>
      <c r="BF48" s="288" t="e">
        <f t="shared" si="42"/>
        <v>#REF!</v>
      </c>
    </row>
    <row r="49" spans="1:58" x14ac:dyDescent="0.3">
      <c r="A49" s="63" t="str">
        <f>'G-1 All Habitats'!B48</f>
        <v>Lakes - Reservoirs</v>
      </c>
      <c r="B49" s="52" t="str">
        <f>'G-1 All Habitats'!F48</f>
        <v>Freshwater</v>
      </c>
      <c r="C49" s="52" t="str">
        <f>'G-1 All Habitats'!K48</f>
        <v>Medium</v>
      </c>
      <c r="D49" s="52" t="str">
        <f>'G-1 All Habitats'!M48</f>
        <v>Same broad habitat or a higher distinctiveness habitat required (≥)</v>
      </c>
      <c r="E49" s="277">
        <f>IF(C49="V.High",SUMIF('A-1 On-Site Habitat Baseline'!$AV$11:$AV$258,'G-2 Habitat groups'!A49,'A-1 On-Site Habitat Baseline'!$S$11:$S$258)+SUMIF('A-1 On-Site Habitat Baseline'!$AV$11:$AV$258,'G-2 Habitat groups'!A49,'A-1 On-Site Habitat Baseline'!$T$11:$T$258),SUMIF('A-1 On-Site Habitat Baseline'!$AV$11:$AV$258,'G-2 Habitat groups'!A49,'A-1 On-Site Habitat Baseline'!$H$11:$H$258))</f>
        <v>0</v>
      </c>
      <c r="F49" s="277">
        <f>SUMIF('A-1 On-Site Habitat Baseline'!$AV$11:$AV$258,'G-2 Habitat groups'!A49,'A-1 On-Site Habitat Baseline'!$Q$11:$Q$258)</f>
        <v>0</v>
      </c>
      <c r="G49" s="277">
        <f>SUMIF('A-1 On-Site Habitat Baseline'!$AV$11:$AV$258,'G-2 Habitat groups'!A49,'A-1 On-Site Habitat Baseline'!$S$11:$S$258)</f>
        <v>0</v>
      </c>
      <c r="H49" s="277">
        <f>SUMIF('A-1 On-Site Habitat Baseline'!$AV$11:$AV$258,'G-2 Habitat groups'!A49,'A-1 On-Site Habitat Baseline'!$U$11:$U$258)</f>
        <v>0</v>
      </c>
      <c r="I49" s="277">
        <f>SUMIF('A-1 On-Site Habitat Baseline'!$AV$11:$AV$258,'G-2 Habitat groups'!A49,'A-1 On-Site Habitat Baseline'!$W$11:$W$258)</f>
        <v>0</v>
      </c>
      <c r="J49" s="277">
        <f>SUMIF('A-1 On-Site Habitat Baseline'!$AV$11:$AV$258,'G-2 Habitat groups'!A49,'A-1 On-Site Habitat Baseline'!$X$11:$X$258)</f>
        <v>0</v>
      </c>
      <c r="K49" s="277">
        <f>SUMIF('A-2 On-Site Habitat Creation'!$F$11:$F$256,'G-2 Habitat groups'!A49,'A-2 On-Site Habitat Creation'!$G$11:$G$256)</f>
        <v>0</v>
      </c>
      <c r="L49" s="277">
        <f>SUMIF('A-2 On-Site Habitat Creation'!$F$11:$F$256,'G-2 Habitat groups'!A49,'A-2 On-Site Habitat Creation'!$Y$11:$Y$256)</f>
        <v>0</v>
      </c>
      <c r="M49" s="277">
        <f>SUMIF('A-3 On-Site Habitat Enhancement'!$S$12:$S$257,'G-2 Habitat groups'!A49,'A-3 On-Site Habitat Enhancement'!$V$12:$V$257)</f>
        <v>0</v>
      </c>
      <c r="N49" s="277">
        <f>SUMIF('A-3 On-Site Habitat Enhancement'!$S$12:$S$257,'G-2 Habitat groups'!A49,'A-3 On-Site Habitat Enhancement'!$AN$12:$AN$257)</f>
        <v>0</v>
      </c>
      <c r="O49" s="277">
        <f t="shared" si="43"/>
        <v>0</v>
      </c>
      <c r="P49" s="277">
        <f t="shared" si="44"/>
        <v>0</v>
      </c>
      <c r="Q49" s="277">
        <f t="shared" si="45"/>
        <v>0</v>
      </c>
      <c r="R49" s="277">
        <f t="shared" si="46"/>
        <v>0</v>
      </c>
      <c r="S49" s="277" t="e">
        <f>IF(C49="V.High",SUMIF(#REF!,'G-2 Habitat groups'!A49,#REF!)+SUMIF(#REF!,'G-2 Habitat groups'!A49,#REF!),SUMIF(#REF!,'G-2 Habitat groups'!A49,#REF!))</f>
        <v>#REF!</v>
      </c>
      <c r="T49" s="277" t="e">
        <f>SUMIF(#REF!,'G-2 Habitat groups'!A49,#REF!)</f>
        <v>#REF!</v>
      </c>
      <c r="U49" s="277" t="e">
        <f>SUMIF(#REF!,'G-2 Habitat groups'!A49,#REF!)</f>
        <v>#REF!</v>
      </c>
      <c r="V49" s="277" t="e">
        <f>SUMIF(#REF!,'G-2 Habitat groups'!A49,#REF!)</f>
        <v>#REF!</v>
      </c>
      <c r="W49" s="277" t="e">
        <f>SUMIF(#REF!,'G-2 Habitat groups'!A49,#REF!)</f>
        <v>#REF!</v>
      </c>
      <c r="X49" s="277" t="e">
        <f>SUMIF(#REF!,'G-2 Habitat groups'!A49,#REF!)</f>
        <v>#REF!</v>
      </c>
      <c r="Y49" s="277" t="e">
        <f>SUMIF(#REF!,'G-2 Habitat groups'!A49,#REF!)</f>
        <v>#REF!</v>
      </c>
      <c r="Z49" s="277" t="e">
        <f>SUMIF(#REF!,'G-2 Habitat groups'!A49,#REF!)</f>
        <v>#REF!</v>
      </c>
      <c r="AA49" s="277" t="e">
        <f t="shared" si="47"/>
        <v>#REF!</v>
      </c>
      <c r="AB49" s="277" t="e">
        <f t="shared" si="48"/>
        <v>#REF!</v>
      </c>
      <c r="AC49" s="277" t="e">
        <f t="shared" si="49"/>
        <v>#REF!</v>
      </c>
      <c r="AD49" s="277" t="e">
        <f t="shared" si="50"/>
        <v>#REF!</v>
      </c>
      <c r="AE49" s="277" t="e">
        <f t="shared" si="51"/>
        <v>#REF!</v>
      </c>
      <c r="AF49" s="277" t="e">
        <f t="shared" si="52"/>
        <v>#REF!</v>
      </c>
      <c r="AU49" s="70" t="s">
        <v>501</v>
      </c>
      <c r="AV49" s="52" t="s">
        <v>50</v>
      </c>
      <c r="AW49" s="288">
        <f t="shared" si="33"/>
        <v>0</v>
      </c>
      <c r="AX49" s="288">
        <f t="shared" si="34"/>
        <v>0</v>
      </c>
      <c r="AY49" s="288">
        <f t="shared" si="35"/>
        <v>0</v>
      </c>
      <c r="AZ49" s="288">
        <f t="shared" si="36"/>
        <v>0</v>
      </c>
      <c r="BA49" s="288">
        <f t="shared" si="37"/>
        <v>0</v>
      </c>
      <c r="BB49" s="288">
        <f t="shared" si="38"/>
        <v>0</v>
      </c>
      <c r="BC49" s="288" t="e">
        <f t="shared" si="39"/>
        <v>#REF!</v>
      </c>
      <c r="BD49" s="288" t="e">
        <f t="shared" si="40"/>
        <v>#REF!</v>
      </c>
      <c r="BE49" s="288" t="e">
        <f t="shared" si="41"/>
        <v>#REF!</v>
      </c>
      <c r="BF49" s="288" t="e">
        <f t="shared" si="42"/>
        <v>#REF!</v>
      </c>
    </row>
    <row r="50" spans="1:58" x14ac:dyDescent="0.3">
      <c r="A50" s="63" t="str">
        <f>'G-1 All Habitats'!B49</f>
        <v>Lakes - Temporary lakes ponds and pools (H3170)</v>
      </c>
      <c r="B50" s="52">
        <f>'G-1 All Habitats'!F49</f>
        <v>0</v>
      </c>
      <c r="C50" s="52" t="str">
        <f>'G-1 All Habitats'!K49</f>
        <v>High</v>
      </c>
      <c r="D50" s="52" t="str">
        <f>'G-1 All Habitats'!M49</f>
        <v>Same habitat required =</v>
      </c>
      <c r="E50" s="277">
        <f>IF(C50="V.High",SUMIF('A-1 On-Site Habitat Baseline'!$AV$11:$AV$258,'G-2 Habitat groups'!A50,'A-1 On-Site Habitat Baseline'!$S$11:$S$258)+SUMIF('A-1 On-Site Habitat Baseline'!$AV$11:$AV$258,'G-2 Habitat groups'!A50,'A-1 On-Site Habitat Baseline'!$T$11:$T$258),SUMIF('A-1 On-Site Habitat Baseline'!$AV$11:$AV$258,'G-2 Habitat groups'!A50,'A-1 On-Site Habitat Baseline'!$H$11:$H$258))</f>
        <v>0</v>
      </c>
      <c r="F50" s="277">
        <f>SUMIF('A-1 On-Site Habitat Baseline'!$AV$11:$AV$258,'G-2 Habitat groups'!A50,'A-1 On-Site Habitat Baseline'!$Q$11:$Q$258)</f>
        <v>0</v>
      </c>
      <c r="G50" s="277">
        <f>SUMIF('A-1 On-Site Habitat Baseline'!$AV$11:$AV$258,'G-2 Habitat groups'!A50,'A-1 On-Site Habitat Baseline'!$S$11:$S$258)</f>
        <v>0</v>
      </c>
      <c r="H50" s="277">
        <f>SUMIF('A-1 On-Site Habitat Baseline'!$AV$11:$AV$258,'G-2 Habitat groups'!A50,'A-1 On-Site Habitat Baseline'!$U$11:$U$258)</f>
        <v>0</v>
      </c>
      <c r="I50" s="277">
        <f>SUMIF('A-1 On-Site Habitat Baseline'!$AV$11:$AV$258,'G-2 Habitat groups'!A50,'A-1 On-Site Habitat Baseline'!$W$11:$W$258)</f>
        <v>0</v>
      </c>
      <c r="J50" s="277">
        <f>SUMIF('A-1 On-Site Habitat Baseline'!$AV$11:$AV$258,'G-2 Habitat groups'!A50,'A-1 On-Site Habitat Baseline'!$X$11:$X$258)</f>
        <v>0</v>
      </c>
      <c r="K50" s="277">
        <f>SUMIF('A-2 On-Site Habitat Creation'!$F$11:$F$256,'G-2 Habitat groups'!A50,'A-2 On-Site Habitat Creation'!$G$11:$G$256)</f>
        <v>0</v>
      </c>
      <c r="L50" s="277">
        <f>SUMIF('A-2 On-Site Habitat Creation'!$F$11:$F$256,'G-2 Habitat groups'!A50,'A-2 On-Site Habitat Creation'!$Y$11:$Y$256)</f>
        <v>0</v>
      </c>
      <c r="M50" s="277">
        <f>SUMIF('A-3 On-Site Habitat Enhancement'!$S$12:$S$257,'G-2 Habitat groups'!A50,'A-3 On-Site Habitat Enhancement'!$V$12:$V$257)</f>
        <v>0</v>
      </c>
      <c r="N50" s="277">
        <f>SUMIF('A-3 On-Site Habitat Enhancement'!$S$12:$S$257,'G-2 Habitat groups'!A50,'A-3 On-Site Habitat Enhancement'!$AN$12:$AN$257)</f>
        <v>0</v>
      </c>
      <c r="O50" s="277">
        <f t="shared" si="43"/>
        <v>0</v>
      </c>
      <c r="P50" s="277">
        <f t="shared" si="44"/>
        <v>0</v>
      </c>
      <c r="Q50" s="277">
        <f t="shared" si="45"/>
        <v>0</v>
      </c>
      <c r="R50" s="277">
        <f t="shared" si="46"/>
        <v>0</v>
      </c>
      <c r="S50" s="277" t="e">
        <f>IF(C50="V.High",SUMIF(#REF!,'G-2 Habitat groups'!A50,#REF!)+SUMIF(#REF!,'G-2 Habitat groups'!A50,#REF!),SUMIF(#REF!,'G-2 Habitat groups'!A50,#REF!))</f>
        <v>#REF!</v>
      </c>
      <c r="T50" s="277" t="e">
        <f>SUMIF(#REF!,'G-2 Habitat groups'!A50,#REF!)</f>
        <v>#REF!</v>
      </c>
      <c r="U50" s="277" t="e">
        <f>SUMIF(#REF!,'G-2 Habitat groups'!A50,#REF!)</f>
        <v>#REF!</v>
      </c>
      <c r="V50" s="277" t="e">
        <f>SUMIF(#REF!,'G-2 Habitat groups'!A50,#REF!)</f>
        <v>#REF!</v>
      </c>
      <c r="W50" s="277" t="e">
        <f>SUMIF(#REF!,'G-2 Habitat groups'!A50,#REF!)</f>
        <v>#REF!</v>
      </c>
      <c r="X50" s="277" t="e">
        <f>SUMIF(#REF!,'G-2 Habitat groups'!A50,#REF!)</f>
        <v>#REF!</v>
      </c>
      <c r="Y50" s="277" t="e">
        <f>SUMIF(#REF!,'G-2 Habitat groups'!A50,#REF!)</f>
        <v>#REF!</v>
      </c>
      <c r="Z50" s="277" t="e">
        <f>SUMIF(#REF!,'G-2 Habitat groups'!A50,#REF!)</f>
        <v>#REF!</v>
      </c>
      <c r="AA50" s="277" t="e">
        <f t="shared" si="47"/>
        <v>#REF!</v>
      </c>
      <c r="AB50" s="277" t="e">
        <f t="shared" si="48"/>
        <v>#REF!</v>
      </c>
      <c r="AC50" s="277" t="e">
        <f t="shared" si="49"/>
        <v>#REF!</v>
      </c>
      <c r="AD50" s="277" t="e">
        <f t="shared" si="50"/>
        <v>#REF!</v>
      </c>
      <c r="AE50" s="277" t="e">
        <f t="shared" si="51"/>
        <v>#REF!</v>
      </c>
      <c r="AF50" s="277" t="e">
        <f t="shared" si="52"/>
        <v>#REF!</v>
      </c>
      <c r="AU50" s="70" t="s">
        <v>539</v>
      </c>
      <c r="AV50" s="52" t="s">
        <v>51</v>
      </c>
      <c r="AW50" s="288">
        <f t="shared" si="33"/>
        <v>0</v>
      </c>
      <c r="AX50" s="288">
        <f t="shared" si="34"/>
        <v>0</v>
      </c>
      <c r="AY50" s="288">
        <f t="shared" si="35"/>
        <v>0</v>
      </c>
      <c r="AZ50" s="288">
        <f t="shared" si="36"/>
        <v>0</v>
      </c>
      <c r="BA50" s="288">
        <f t="shared" si="37"/>
        <v>0</v>
      </c>
      <c r="BB50" s="288">
        <f t="shared" si="38"/>
        <v>0</v>
      </c>
      <c r="BC50" s="288" t="e">
        <f t="shared" si="39"/>
        <v>#REF!</v>
      </c>
      <c r="BD50" s="288" t="e">
        <f t="shared" si="40"/>
        <v>#REF!</v>
      </c>
      <c r="BE50" s="288" t="e">
        <f t="shared" si="41"/>
        <v>#REF!</v>
      </c>
      <c r="BF50" s="288" t="e">
        <f t="shared" si="42"/>
        <v>#REF!</v>
      </c>
    </row>
    <row r="51" spans="1:58" x14ac:dyDescent="0.3">
      <c r="A51" s="63" t="str">
        <f>'G-1 All Habitats'!B50</f>
        <v>Sparsely vegetated land - Calaminarian grasslands</v>
      </c>
      <c r="B51" s="52" t="str">
        <f>'G-1 All Habitats'!F50</f>
        <v>Sparsely vegetated land</v>
      </c>
      <c r="C51" s="52" t="str">
        <f>'G-1 All Habitats'!K50</f>
        <v>V.High</v>
      </c>
      <c r="D51" s="52" t="str">
        <f>'G-1 All Habitats'!M50</f>
        <v>Bespoke compensation likely to be required 🛠</v>
      </c>
      <c r="E51" s="277">
        <f>IF(C51="V.High",SUMIF('A-1 On-Site Habitat Baseline'!$AV$11:$AV$258,'G-2 Habitat groups'!A51,'A-1 On-Site Habitat Baseline'!$S$11:$S$258)+SUMIF('A-1 On-Site Habitat Baseline'!$AV$11:$AV$258,'G-2 Habitat groups'!A51,'A-1 On-Site Habitat Baseline'!$T$11:$T$258),SUMIF('A-1 On-Site Habitat Baseline'!$AV$11:$AV$258,'G-2 Habitat groups'!A51,'A-1 On-Site Habitat Baseline'!$H$11:$H$258))</f>
        <v>0</v>
      </c>
      <c r="F51" s="277">
        <f>SUMIF('A-1 On-Site Habitat Baseline'!$AV$11:$AV$258,'G-2 Habitat groups'!A51,'A-1 On-Site Habitat Baseline'!$Q$11:$Q$258)</f>
        <v>0</v>
      </c>
      <c r="G51" s="277">
        <f>SUMIF('A-1 On-Site Habitat Baseline'!$AV$11:$AV$258,'G-2 Habitat groups'!A51,'A-1 On-Site Habitat Baseline'!$S$11:$S$258)</f>
        <v>0</v>
      </c>
      <c r="H51" s="277">
        <f>SUMIF('A-1 On-Site Habitat Baseline'!$AV$11:$AV$258,'G-2 Habitat groups'!A51,'A-1 On-Site Habitat Baseline'!$U$11:$U$258)</f>
        <v>0</v>
      </c>
      <c r="I51" s="277">
        <f>SUMIF('A-1 On-Site Habitat Baseline'!$AV$11:$AV$258,'G-2 Habitat groups'!A51,'A-1 On-Site Habitat Baseline'!$W$11:$W$258)</f>
        <v>0</v>
      </c>
      <c r="J51" s="277">
        <f>SUMIF('A-1 On-Site Habitat Baseline'!$AV$11:$AV$258,'G-2 Habitat groups'!A51,'A-1 On-Site Habitat Baseline'!$X$11:$X$258)</f>
        <v>0</v>
      </c>
      <c r="K51" s="277">
        <f>SUMIF('A-2 On-Site Habitat Creation'!$F$11:$F$256,'G-2 Habitat groups'!A51,'A-2 On-Site Habitat Creation'!$G$11:$G$256)</f>
        <v>0</v>
      </c>
      <c r="L51" s="277">
        <f>SUMIF('A-2 On-Site Habitat Creation'!$F$11:$F$256,'G-2 Habitat groups'!A51,'A-2 On-Site Habitat Creation'!$Y$11:$Y$256)</f>
        <v>0</v>
      </c>
      <c r="M51" s="277">
        <f>SUMIF('A-3 On-Site Habitat Enhancement'!$S$12:$S$257,'G-2 Habitat groups'!A51,'A-3 On-Site Habitat Enhancement'!$V$12:$V$257)</f>
        <v>0</v>
      </c>
      <c r="N51" s="277">
        <f>SUMIF('A-3 On-Site Habitat Enhancement'!$S$12:$S$257,'G-2 Habitat groups'!A51,'A-3 On-Site Habitat Enhancement'!$AN$12:$AN$257)</f>
        <v>0</v>
      </c>
      <c r="O51" s="277">
        <f t="shared" si="43"/>
        <v>0</v>
      </c>
      <c r="P51" s="277">
        <f t="shared" si="44"/>
        <v>0</v>
      </c>
      <c r="Q51" s="277">
        <f t="shared" si="45"/>
        <v>0</v>
      </c>
      <c r="R51" s="277">
        <f t="shared" si="46"/>
        <v>0</v>
      </c>
      <c r="S51" s="277" t="e">
        <f>IF(C51="V.High",SUMIF(#REF!,'G-2 Habitat groups'!A51,#REF!)+SUMIF(#REF!,'G-2 Habitat groups'!A51,#REF!),SUMIF(#REF!,'G-2 Habitat groups'!A51,#REF!))</f>
        <v>#REF!</v>
      </c>
      <c r="T51" s="277" t="e">
        <f>SUMIF(#REF!,'G-2 Habitat groups'!A51,#REF!)</f>
        <v>#REF!</v>
      </c>
      <c r="U51" s="277" t="e">
        <f>SUMIF(#REF!,'G-2 Habitat groups'!A51,#REF!)</f>
        <v>#REF!</v>
      </c>
      <c r="V51" s="277" t="e">
        <f>SUMIF(#REF!,'G-2 Habitat groups'!A51,#REF!)</f>
        <v>#REF!</v>
      </c>
      <c r="W51" s="277" t="e">
        <f>SUMIF(#REF!,'G-2 Habitat groups'!A51,#REF!)</f>
        <v>#REF!</v>
      </c>
      <c r="X51" s="277" t="e">
        <f>SUMIF(#REF!,'G-2 Habitat groups'!A51,#REF!)</f>
        <v>#REF!</v>
      </c>
      <c r="Y51" s="277" t="e">
        <f>SUMIF(#REF!,'G-2 Habitat groups'!A51,#REF!)</f>
        <v>#REF!</v>
      </c>
      <c r="Z51" s="277" t="e">
        <f>SUMIF(#REF!,'G-2 Habitat groups'!A51,#REF!)</f>
        <v>#REF!</v>
      </c>
      <c r="AA51" s="277" t="e">
        <f t="shared" si="47"/>
        <v>#REF!</v>
      </c>
      <c r="AB51" s="277" t="e">
        <f t="shared" si="48"/>
        <v>#REF!</v>
      </c>
      <c r="AC51" s="277" t="e">
        <f t="shared" si="49"/>
        <v>#REF!</v>
      </c>
      <c r="AD51" s="277" t="e">
        <f t="shared" si="50"/>
        <v>#REF!</v>
      </c>
      <c r="AE51" s="277" t="e">
        <f t="shared" si="51"/>
        <v>#REF!</v>
      </c>
      <c r="AF51" s="277" t="e">
        <f t="shared" si="52"/>
        <v>#REF!</v>
      </c>
      <c r="AU51" s="70" t="s">
        <v>596</v>
      </c>
      <c r="AV51" s="52" t="s">
        <v>52</v>
      </c>
      <c r="AW51" s="288">
        <f t="shared" si="33"/>
        <v>0</v>
      </c>
      <c r="AX51" s="288">
        <f t="shared" si="34"/>
        <v>0</v>
      </c>
      <c r="AY51" s="288">
        <f t="shared" si="35"/>
        <v>0</v>
      </c>
      <c r="AZ51" s="288">
        <f t="shared" si="36"/>
        <v>0</v>
      </c>
      <c r="BA51" s="288">
        <f t="shared" si="37"/>
        <v>0</v>
      </c>
      <c r="BB51" s="288">
        <f t="shared" si="38"/>
        <v>0</v>
      </c>
      <c r="BC51" s="288" t="e">
        <f t="shared" si="39"/>
        <v>#REF!</v>
      </c>
      <c r="BD51" s="288" t="e">
        <f t="shared" si="40"/>
        <v>#REF!</v>
      </c>
      <c r="BE51" s="288" t="e">
        <f t="shared" si="41"/>
        <v>#REF!</v>
      </c>
      <c r="BF51" s="288" t="e">
        <f t="shared" si="42"/>
        <v>#REF!</v>
      </c>
    </row>
    <row r="52" spans="1:58" x14ac:dyDescent="0.3">
      <c r="A52" s="63" t="str">
        <f>'G-1 All Habitats'!B51</f>
        <v>Sparsely vegetated land - Coastal sand dunes</v>
      </c>
      <c r="B52" s="52" t="str">
        <f>'G-1 All Habitats'!F51</f>
        <v>Sparsely vegetated land</v>
      </c>
      <c r="C52" s="52" t="str">
        <f>'G-1 All Habitats'!K51</f>
        <v>High</v>
      </c>
      <c r="D52" s="52" t="str">
        <f>'G-1 All Habitats'!M51</f>
        <v>Same habitat required =</v>
      </c>
      <c r="E52" s="277">
        <f>IF(C52="V.High",SUMIF('A-1 On-Site Habitat Baseline'!$AV$11:$AV$258,'G-2 Habitat groups'!A52,'A-1 On-Site Habitat Baseline'!$S$11:$S$258)+SUMIF('A-1 On-Site Habitat Baseline'!$AV$11:$AV$258,'G-2 Habitat groups'!A52,'A-1 On-Site Habitat Baseline'!$T$11:$T$258),SUMIF('A-1 On-Site Habitat Baseline'!$AV$11:$AV$258,'G-2 Habitat groups'!A52,'A-1 On-Site Habitat Baseline'!$H$11:$H$258))</f>
        <v>0</v>
      </c>
      <c r="F52" s="277">
        <f>SUMIF('A-1 On-Site Habitat Baseline'!$AV$11:$AV$258,'G-2 Habitat groups'!A52,'A-1 On-Site Habitat Baseline'!$Q$11:$Q$258)</f>
        <v>0</v>
      </c>
      <c r="G52" s="277">
        <f>SUMIF('A-1 On-Site Habitat Baseline'!$AV$11:$AV$258,'G-2 Habitat groups'!A52,'A-1 On-Site Habitat Baseline'!$S$11:$S$258)</f>
        <v>0</v>
      </c>
      <c r="H52" s="277">
        <f>SUMIF('A-1 On-Site Habitat Baseline'!$AV$11:$AV$258,'G-2 Habitat groups'!A52,'A-1 On-Site Habitat Baseline'!$U$11:$U$258)</f>
        <v>0</v>
      </c>
      <c r="I52" s="277">
        <f>SUMIF('A-1 On-Site Habitat Baseline'!$AV$11:$AV$258,'G-2 Habitat groups'!A52,'A-1 On-Site Habitat Baseline'!$W$11:$W$258)</f>
        <v>0</v>
      </c>
      <c r="J52" s="277">
        <f>SUMIF('A-1 On-Site Habitat Baseline'!$AV$11:$AV$258,'G-2 Habitat groups'!A52,'A-1 On-Site Habitat Baseline'!$X$11:$X$258)</f>
        <v>0</v>
      </c>
      <c r="K52" s="277">
        <f>SUMIF('A-2 On-Site Habitat Creation'!$F$11:$F$256,'G-2 Habitat groups'!A52,'A-2 On-Site Habitat Creation'!$G$11:$G$256)</f>
        <v>0</v>
      </c>
      <c r="L52" s="277">
        <f>SUMIF('A-2 On-Site Habitat Creation'!$F$11:$F$256,'G-2 Habitat groups'!A52,'A-2 On-Site Habitat Creation'!$Y$11:$Y$256)</f>
        <v>0</v>
      </c>
      <c r="M52" s="277">
        <f>SUMIF('A-3 On-Site Habitat Enhancement'!$S$12:$S$257,'G-2 Habitat groups'!A52,'A-3 On-Site Habitat Enhancement'!$V$12:$V$257)</f>
        <v>0</v>
      </c>
      <c r="N52" s="277">
        <f>SUMIF('A-3 On-Site Habitat Enhancement'!$S$12:$S$257,'G-2 Habitat groups'!A52,'A-3 On-Site Habitat Enhancement'!$AN$12:$AN$257)</f>
        <v>0</v>
      </c>
      <c r="O52" s="277">
        <f t="shared" si="43"/>
        <v>0</v>
      </c>
      <c r="P52" s="277">
        <f t="shared" si="44"/>
        <v>0</v>
      </c>
      <c r="Q52" s="277">
        <f t="shared" si="45"/>
        <v>0</v>
      </c>
      <c r="R52" s="277">
        <f t="shared" si="46"/>
        <v>0</v>
      </c>
      <c r="S52" s="277" t="e">
        <f>IF(C52="V.High",SUMIF(#REF!,'G-2 Habitat groups'!A52,#REF!)+SUMIF(#REF!,'G-2 Habitat groups'!A52,#REF!),SUMIF(#REF!,'G-2 Habitat groups'!A52,#REF!))</f>
        <v>#REF!</v>
      </c>
      <c r="T52" s="277" t="e">
        <f>SUMIF(#REF!,'G-2 Habitat groups'!A52,#REF!)</f>
        <v>#REF!</v>
      </c>
      <c r="U52" s="277" t="e">
        <f>SUMIF(#REF!,'G-2 Habitat groups'!A52,#REF!)</f>
        <v>#REF!</v>
      </c>
      <c r="V52" s="277" t="e">
        <f>SUMIF(#REF!,'G-2 Habitat groups'!A52,#REF!)</f>
        <v>#REF!</v>
      </c>
      <c r="W52" s="277" t="e">
        <f>SUMIF(#REF!,'G-2 Habitat groups'!A52,#REF!)</f>
        <v>#REF!</v>
      </c>
      <c r="X52" s="277" t="e">
        <f>SUMIF(#REF!,'G-2 Habitat groups'!A52,#REF!)</f>
        <v>#REF!</v>
      </c>
      <c r="Y52" s="277" t="e">
        <f>SUMIF(#REF!,'G-2 Habitat groups'!A52,#REF!)</f>
        <v>#REF!</v>
      </c>
      <c r="Z52" s="277" t="e">
        <f>SUMIF(#REF!,'G-2 Habitat groups'!A52,#REF!)</f>
        <v>#REF!</v>
      </c>
      <c r="AA52" s="277" t="e">
        <f t="shared" si="47"/>
        <v>#REF!</v>
      </c>
      <c r="AB52" s="277" t="e">
        <f t="shared" si="48"/>
        <v>#REF!</v>
      </c>
      <c r="AC52" s="277" t="e">
        <f t="shared" si="49"/>
        <v>#REF!</v>
      </c>
      <c r="AD52" s="277" t="e">
        <f t="shared" si="50"/>
        <v>#REF!</v>
      </c>
      <c r="AE52" s="277" t="e">
        <f t="shared" si="51"/>
        <v>#REF!</v>
      </c>
      <c r="AF52" s="277" t="e">
        <f t="shared" si="52"/>
        <v>#REF!</v>
      </c>
      <c r="AU52" s="52" t="s">
        <v>601</v>
      </c>
      <c r="AV52" s="52" t="s">
        <v>53</v>
      </c>
      <c r="AW52" s="288">
        <f t="shared" si="33"/>
        <v>0</v>
      </c>
      <c r="AX52" s="288">
        <f t="shared" si="34"/>
        <v>0</v>
      </c>
      <c r="AY52" s="288">
        <f t="shared" si="35"/>
        <v>0</v>
      </c>
      <c r="AZ52" s="288">
        <f t="shared" si="36"/>
        <v>0</v>
      </c>
      <c r="BA52" s="288">
        <f t="shared" si="37"/>
        <v>0</v>
      </c>
      <c r="BB52" s="288">
        <f t="shared" si="38"/>
        <v>0</v>
      </c>
      <c r="BC52" s="288" t="e">
        <f t="shared" si="39"/>
        <v>#REF!</v>
      </c>
      <c r="BD52" s="288" t="e">
        <f t="shared" si="40"/>
        <v>#REF!</v>
      </c>
      <c r="BE52" s="288" t="e">
        <f t="shared" si="41"/>
        <v>#REF!</v>
      </c>
      <c r="BF52" s="288" t="e">
        <f t="shared" si="42"/>
        <v>#REF!</v>
      </c>
    </row>
    <row r="53" spans="1:58" x14ac:dyDescent="0.3">
      <c r="A53" s="63" t="str">
        <f>'G-1 All Habitats'!B52</f>
        <v>Sparsely vegetated land - Coastal vegetated shingle</v>
      </c>
      <c r="B53" s="52" t="str">
        <f>'G-1 All Habitats'!F52</f>
        <v>Sparsely vegetated land</v>
      </c>
      <c r="C53" s="52" t="str">
        <f>'G-1 All Habitats'!K52</f>
        <v>High</v>
      </c>
      <c r="D53" s="52" t="str">
        <f>'G-1 All Habitats'!M52</f>
        <v>Same habitat required =</v>
      </c>
      <c r="E53" s="277">
        <f>IF(C53="V.High",SUMIF('A-1 On-Site Habitat Baseline'!$AV$11:$AV$258,'G-2 Habitat groups'!A53,'A-1 On-Site Habitat Baseline'!$S$11:$S$258)+SUMIF('A-1 On-Site Habitat Baseline'!$AV$11:$AV$258,'G-2 Habitat groups'!A53,'A-1 On-Site Habitat Baseline'!$T$11:$T$258),SUMIF('A-1 On-Site Habitat Baseline'!$AV$11:$AV$258,'G-2 Habitat groups'!A53,'A-1 On-Site Habitat Baseline'!$H$11:$H$258))</f>
        <v>0</v>
      </c>
      <c r="F53" s="277">
        <f>SUMIF('A-1 On-Site Habitat Baseline'!$AV$11:$AV$258,'G-2 Habitat groups'!A53,'A-1 On-Site Habitat Baseline'!$Q$11:$Q$258)</f>
        <v>0</v>
      </c>
      <c r="G53" s="277">
        <f>SUMIF('A-1 On-Site Habitat Baseline'!$AV$11:$AV$258,'G-2 Habitat groups'!A53,'A-1 On-Site Habitat Baseline'!$S$11:$S$258)</f>
        <v>0</v>
      </c>
      <c r="H53" s="277">
        <f>SUMIF('A-1 On-Site Habitat Baseline'!$AV$11:$AV$258,'G-2 Habitat groups'!A53,'A-1 On-Site Habitat Baseline'!$U$11:$U$258)</f>
        <v>0</v>
      </c>
      <c r="I53" s="277">
        <f>SUMIF('A-1 On-Site Habitat Baseline'!$AV$11:$AV$258,'G-2 Habitat groups'!A53,'A-1 On-Site Habitat Baseline'!$W$11:$W$258)</f>
        <v>0</v>
      </c>
      <c r="J53" s="277">
        <f>SUMIF('A-1 On-Site Habitat Baseline'!$AV$11:$AV$258,'G-2 Habitat groups'!A53,'A-1 On-Site Habitat Baseline'!$X$11:$X$258)</f>
        <v>0</v>
      </c>
      <c r="K53" s="277">
        <f>SUMIF('A-2 On-Site Habitat Creation'!$F$11:$F$256,'G-2 Habitat groups'!A53,'A-2 On-Site Habitat Creation'!$G$11:$G$256)</f>
        <v>0</v>
      </c>
      <c r="L53" s="277">
        <f>SUMIF('A-2 On-Site Habitat Creation'!$F$11:$F$256,'G-2 Habitat groups'!A53,'A-2 On-Site Habitat Creation'!$Y$11:$Y$256)</f>
        <v>0</v>
      </c>
      <c r="M53" s="277">
        <f>SUMIF('A-3 On-Site Habitat Enhancement'!$S$12:$S$257,'G-2 Habitat groups'!A53,'A-3 On-Site Habitat Enhancement'!$V$12:$V$257)</f>
        <v>0</v>
      </c>
      <c r="N53" s="277">
        <f>SUMIF('A-3 On-Site Habitat Enhancement'!$S$12:$S$257,'G-2 Habitat groups'!A53,'A-3 On-Site Habitat Enhancement'!$AN$12:$AN$257)</f>
        <v>0</v>
      </c>
      <c r="O53" s="277">
        <f t="shared" si="43"/>
        <v>0</v>
      </c>
      <c r="P53" s="277">
        <f t="shared" si="44"/>
        <v>0</v>
      </c>
      <c r="Q53" s="277">
        <f t="shared" si="45"/>
        <v>0</v>
      </c>
      <c r="R53" s="277">
        <f t="shared" si="46"/>
        <v>0</v>
      </c>
      <c r="S53" s="277" t="e">
        <f>IF(C53="V.High",SUMIF(#REF!,'G-2 Habitat groups'!A53,#REF!)+SUMIF(#REF!,'G-2 Habitat groups'!A53,#REF!),SUMIF(#REF!,'G-2 Habitat groups'!A53,#REF!))</f>
        <v>#REF!</v>
      </c>
      <c r="T53" s="277" t="e">
        <f>SUMIF(#REF!,'G-2 Habitat groups'!A53,#REF!)</f>
        <v>#REF!</v>
      </c>
      <c r="U53" s="277" t="e">
        <f>SUMIF(#REF!,'G-2 Habitat groups'!A53,#REF!)</f>
        <v>#REF!</v>
      </c>
      <c r="V53" s="277" t="e">
        <f>SUMIF(#REF!,'G-2 Habitat groups'!A53,#REF!)</f>
        <v>#REF!</v>
      </c>
      <c r="W53" s="277" t="e">
        <f>SUMIF(#REF!,'G-2 Habitat groups'!A53,#REF!)</f>
        <v>#REF!</v>
      </c>
      <c r="X53" s="277" t="e">
        <f>SUMIF(#REF!,'G-2 Habitat groups'!A53,#REF!)</f>
        <v>#REF!</v>
      </c>
      <c r="Y53" s="277" t="e">
        <f>SUMIF(#REF!,'G-2 Habitat groups'!A53,#REF!)</f>
        <v>#REF!</v>
      </c>
      <c r="Z53" s="277" t="e">
        <f>SUMIF(#REF!,'G-2 Habitat groups'!A53,#REF!)</f>
        <v>#REF!</v>
      </c>
      <c r="AA53" s="277" t="e">
        <f t="shared" si="47"/>
        <v>#REF!</v>
      </c>
      <c r="AB53" s="277" t="e">
        <f t="shared" si="48"/>
        <v>#REF!</v>
      </c>
      <c r="AC53" s="277" t="e">
        <f t="shared" si="49"/>
        <v>#REF!</v>
      </c>
      <c r="AD53" s="277" t="e">
        <f t="shared" si="50"/>
        <v>#REF!</v>
      </c>
      <c r="AE53" s="277" t="e">
        <f t="shared" si="51"/>
        <v>#REF!</v>
      </c>
      <c r="AF53" s="277" t="e">
        <f t="shared" si="52"/>
        <v>#REF!</v>
      </c>
      <c r="AU53" s="70" t="s">
        <v>604</v>
      </c>
      <c r="AV53" s="52" t="s">
        <v>53</v>
      </c>
      <c r="AW53" s="288">
        <f t="shared" si="33"/>
        <v>0</v>
      </c>
      <c r="AX53" s="288">
        <f t="shared" si="34"/>
        <v>0</v>
      </c>
      <c r="AY53" s="288">
        <f t="shared" si="35"/>
        <v>0</v>
      </c>
      <c r="AZ53" s="288">
        <f t="shared" si="36"/>
        <v>0</v>
      </c>
      <c r="BA53" s="288">
        <f t="shared" si="37"/>
        <v>0</v>
      </c>
      <c r="BB53" s="288">
        <f t="shared" si="38"/>
        <v>0</v>
      </c>
      <c r="BC53" s="288" t="e">
        <f t="shared" si="39"/>
        <v>#REF!</v>
      </c>
      <c r="BD53" s="288" t="e">
        <f t="shared" si="40"/>
        <v>#REF!</v>
      </c>
      <c r="BE53" s="288" t="e">
        <f t="shared" si="41"/>
        <v>#REF!</v>
      </c>
      <c r="BF53" s="288" t="e">
        <f t="shared" si="42"/>
        <v>#REF!</v>
      </c>
    </row>
    <row r="54" spans="1:58" x14ac:dyDescent="0.3">
      <c r="A54" s="63" t="str">
        <f>'G-1 All Habitats'!B53</f>
        <v>Sparsely vegetated land - Ruderal/Ephemeral</v>
      </c>
      <c r="B54" s="52" t="str">
        <f>'G-1 All Habitats'!F53</f>
        <v>Built environment</v>
      </c>
      <c r="C54" s="52" t="str">
        <f>'G-1 All Habitats'!K53</f>
        <v>Low</v>
      </c>
      <c r="D54" s="52" t="str">
        <f>'G-1 All Habitats'!M53</f>
        <v>Same distinctiveness or better habitat required ≥</v>
      </c>
      <c r="E54" s="277">
        <f>IF(C54="V.High",SUMIF('A-1 On-Site Habitat Baseline'!$AV$11:$AV$258,'G-2 Habitat groups'!A54,'A-1 On-Site Habitat Baseline'!$S$11:$S$258)+SUMIF('A-1 On-Site Habitat Baseline'!$AV$11:$AV$258,'G-2 Habitat groups'!A54,'A-1 On-Site Habitat Baseline'!$T$11:$T$258),SUMIF('A-1 On-Site Habitat Baseline'!$AV$11:$AV$258,'G-2 Habitat groups'!A54,'A-1 On-Site Habitat Baseline'!$H$11:$H$258))</f>
        <v>0</v>
      </c>
      <c r="F54" s="277">
        <f>SUMIF('A-1 On-Site Habitat Baseline'!$AV$11:$AV$258,'G-2 Habitat groups'!A54,'A-1 On-Site Habitat Baseline'!$Q$11:$Q$258)</f>
        <v>0</v>
      </c>
      <c r="G54" s="277">
        <f>SUMIF('A-1 On-Site Habitat Baseline'!$AV$11:$AV$258,'G-2 Habitat groups'!A54,'A-1 On-Site Habitat Baseline'!$S$11:$S$258)</f>
        <v>0</v>
      </c>
      <c r="H54" s="277">
        <f>SUMIF('A-1 On-Site Habitat Baseline'!$AV$11:$AV$258,'G-2 Habitat groups'!A54,'A-1 On-Site Habitat Baseline'!$U$11:$U$258)</f>
        <v>0</v>
      </c>
      <c r="I54" s="277">
        <f>SUMIF('A-1 On-Site Habitat Baseline'!$AV$11:$AV$258,'G-2 Habitat groups'!A54,'A-1 On-Site Habitat Baseline'!$W$11:$W$258)</f>
        <v>0</v>
      </c>
      <c r="J54" s="277">
        <f>SUMIF('A-1 On-Site Habitat Baseline'!$AV$11:$AV$258,'G-2 Habitat groups'!A54,'A-1 On-Site Habitat Baseline'!$X$11:$X$258)</f>
        <v>0</v>
      </c>
      <c r="K54" s="277">
        <f>SUMIF('A-2 On-Site Habitat Creation'!$F$11:$F$256,'G-2 Habitat groups'!A54,'A-2 On-Site Habitat Creation'!$G$11:$G$256)</f>
        <v>0</v>
      </c>
      <c r="L54" s="277">
        <f>SUMIF('A-2 On-Site Habitat Creation'!$F$11:$F$256,'G-2 Habitat groups'!A54,'A-2 On-Site Habitat Creation'!$Y$11:$Y$256)</f>
        <v>0</v>
      </c>
      <c r="M54" s="277">
        <f>SUMIF('A-3 On-Site Habitat Enhancement'!$S$12:$S$257,'G-2 Habitat groups'!A54,'A-3 On-Site Habitat Enhancement'!$V$12:$V$257)</f>
        <v>0</v>
      </c>
      <c r="N54" s="277">
        <f>SUMIF('A-3 On-Site Habitat Enhancement'!$S$12:$S$257,'G-2 Habitat groups'!A54,'A-3 On-Site Habitat Enhancement'!$AN$12:$AN$257)</f>
        <v>0</v>
      </c>
      <c r="O54" s="277">
        <f t="shared" si="43"/>
        <v>0</v>
      </c>
      <c r="P54" s="277">
        <f t="shared" si="44"/>
        <v>0</v>
      </c>
      <c r="Q54" s="277">
        <f t="shared" si="45"/>
        <v>0</v>
      </c>
      <c r="R54" s="277">
        <f t="shared" si="46"/>
        <v>0</v>
      </c>
      <c r="S54" s="277" t="e">
        <f>IF(C54="V.High",SUMIF(#REF!,'G-2 Habitat groups'!A54,#REF!)+SUMIF(#REF!,'G-2 Habitat groups'!A54,#REF!),SUMIF(#REF!,'G-2 Habitat groups'!A54,#REF!))</f>
        <v>#REF!</v>
      </c>
      <c r="T54" s="277" t="e">
        <f>SUMIF(#REF!,'G-2 Habitat groups'!A54,#REF!)</f>
        <v>#REF!</v>
      </c>
      <c r="U54" s="277" t="e">
        <f>SUMIF(#REF!,'G-2 Habitat groups'!A54,#REF!)</f>
        <v>#REF!</v>
      </c>
      <c r="V54" s="277" t="e">
        <f>SUMIF(#REF!,'G-2 Habitat groups'!A54,#REF!)</f>
        <v>#REF!</v>
      </c>
      <c r="W54" s="277" t="e">
        <f>SUMIF(#REF!,'G-2 Habitat groups'!A54,#REF!)</f>
        <v>#REF!</v>
      </c>
      <c r="X54" s="277" t="e">
        <f>SUMIF(#REF!,'G-2 Habitat groups'!A54,#REF!)</f>
        <v>#REF!</v>
      </c>
      <c r="Y54" s="277" t="e">
        <f>SUMIF(#REF!,'G-2 Habitat groups'!A54,#REF!)</f>
        <v>#REF!</v>
      </c>
      <c r="Z54" s="277" t="e">
        <f>SUMIF(#REF!,'G-2 Habitat groups'!A54,#REF!)</f>
        <v>#REF!</v>
      </c>
      <c r="AA54" s="277" t="e">
        <f t="shared" si="47"/>
        <v>#REF!</v>
      </c>
      <c r="AB54" s="277" t="e">
        <f t="shared" si="48"/>
        <v>#REF!</v>
      </c>
      <c r="AC54" s="277" t="e">
        <f t="shared" si="49"/>
        <v>#REF!</v>
      </c>
      <c r="AD54" s="277" t="e">
        <f t="shared" si="50"/>
        <v>#REF!</v>
      </c>
      <c r="AE54" s="277" t="e">
        <f t="shared" si="51"/>
        <v>#REF!</v>
      </c>
      <c r="AF54" s="277" t="e">
        <f t="shared" si="52"/>
        <v>#REF!</v>
      </c>
      <c r="AU54" s="70" t="s">
        <v>608</v>
      </c>
      <c r="AV54" s="52" t="s">
        <v>53</v>
      </c>
      <c r="AW54" s="288">
        <f t="shared" si="33"/>
        <v>0</v>
      </c>
      <c r="AX54" s="288">
        <f t="shared" si="34"/>
        <v>0</v>
      </c>
      <c r="AY54" s="288">
        <f t="shared" si="35"/>
        <v>0</v>
      </c>
      <c r="AZ54" s="288">
        <f t="shared" si="36"/>
        <v>0</v>
      </c>
      <c r="BA54" s="288">
        <f t="shared" si="37"/>
        <v>0</v>
      </c>
      <c r="BB54" s="288">
        <f t="shared" si="38"/>
        <v>0</v>
      </c>
      <c r="BC54" s="288" t="e">
        <f t="shared" si="39"/>
        <v>#REF!</v>
      </c>
      <c r="BD54" s="288" t="e">
        <f t="shared" si="40"/>
        <v>#REF!</v>
      </c>
      <c r="BE54" s="288" t="e">
        <f t="shared" si="41"/>
        <v>#REF!</v>
      </c>
      <c r="BF54" s="288" t="e">
        <f t="shared" si="42"/>
        <v>#REF!</v>
      </c>
    </row>
    <row r="55" spans="1:58" x14ac:dyDescent="0.3">
      <c r="A55" s="63" t="s">
        <v>491</v>
      </c>
      <c r="B55" s="52" t="str">
        <f>'G-1 All Habitats'!F54</f>
        <v>Grasslands and heathlands</v>
      </c>
      <c r="C55" s="52" t="s">
        <v>92</v>
      </c>
      <c r="D55" s="52" t="s">
        <v>93</v>
      </c>
      <c r="E55" s="277">
        <f>IF(C55="V.High",SUMIF('A-1 On-Site Habitat Baseline'!$AV$11:$AV$258,'G-2 Habitat groups'!A55,'A-1 On-Site Habitat Baseline'!$S$11:$S$258)+SUMIF('A-1 On-Site Habitat Baseline'!$AV$11:$AV$258,'G-2 Habitat groups'!A55,'A-1 On-Site Habitat Baseline'!$T$11:$T$258),SUMIF('A-1 On-Site Habitat Baseline'!$AV$11:$AV$258,'G-2 Habitat groups'!A55,'A-1 On-Site Habitat Baseline'!$H$11:$H$258))</f>
        <v>0</v>
      </c>
      <c r="F55" s="277">
        <f>SUMIF('A-1 On-Site Habitat Baseline'!$AV$11:$AV$258,'G-2 Habitat groups'!A55,'A-1 On-Site Habitat Baseline'!$Q$11:$Q$258)</f>
        <v>0</v>
      </c>
      <c r="G55" s="277">
        <f>SUMIF('A-1 On-Site Habitat Baseline'!$AV$11:$AV$258,'G-2 Habitat groups'!A55,'A-1 On-Site Habitat Baseline'!$S$11:$S$258)</f>
        <v>0</v>
      </c>
      <c r="H55" s="277">
        <f>SUMIF('A-1 On-Site Habitat Baseline'!$AV$11:$AV$258,'G-2 Habitat groups'!A55,'A-1 On-Site Habitat Baseline'!$U$11:$U$258)</f>
        <v>0</v>
      </c>
      <c r="I55" s="277">
        <f>SUMIF('A-1 On-Site Habitat Baseline'!$AV$11:$AV$258,'G-2 Habitat groups'!A55,'A-1 On-Site Habitat Baseline'!$W$11:$W$258)</f>
        <v>0</v>
      </c>
      <c r="J55" s="277">
        <f>SUMIF('A-1 On-Site Habitat Baseline'!$AV$11:$AV$258,'G-2 Habitat groups'!A55,'A-1 On-Site Habitat Baseline'!$X$11:$X$258)</f>
        <v>0</v>
      </c>
      <c r="K55" s="277">
        <f>SUMIF('A-2 On-Site Habitat Creation'!$F$11:$F$256,'G-2 Habitat groups'!A55,'A-2 On-Site Habitat Creation'!$G$11:$G$256)</f>
        <v>0</v>
      </c>
      <c r="L55" s="277">
        <f>SUMIF('A-2 On-Site Habitat Creation'!$F$11:$F$256,'G-2 Habitat groups'!A55,'A-2 On-Site Habitat Creation'!$Y$11:$Y$256)</f>
        <v>0</v>
      </c>
      <c r="M55" s="277">
        <f>SUMIF('A-3 On-Site Habitat Enhancement'!$S$12:$S$257,'G-2 Habitat groups'!A55,'A-3 On-Site Habitat Enhancement'!$V$12:$V$257)</f>
        <v>0</v>
      </c>
      <c r="N55" s="277">
        <f>SUMIF('A-3 On-Site Habitat Enhancement'!$S$12:$S$257,'G-2 Habitat groups'!A55,'A-3 On-Site Habitat Enhancement'!$AN$12:$AN$257)</f>
        <v>0</v>
      </c>
      <c r="O55" s="277">
        <f t="shared" si="43"/>
        <v>0</v>
      </c>
      <c r="P55" s="277">
        <f t="shared" si="44"/>
        <v>0</v>
      </c>
      <c r="Q55" s="277">
        <f t="shared" si="45"/>
        <v>0</v>
      </c>
      <c r="R55" s="277">
        <f t="shared" si="46"/>
        <v>0</v>
      </c>
      <c r="S55" s="277" t="e">
        <f>IF(C55="V.High",SUMIF(#REF!,'G-2 Habitat groups'!A55,#REF!)+SUMIF(#REF!,'G-2 Habitat groups'!A55,#REF!),SUMIF(#REF!,'G-2 Habitat groups'!A55,#REF!))</f>
        <v>#REF!</v>
      </c>
      <c r="T55" s="277" t="e">
        <f>SUMIF(#REF!,'G-2 Habitat groups'!A55,#REF!)</f>
        <v>#REF!</v>
      </c>
      <c r="U55" s="277" t="e">
        <f>SUMIF(#REF!,'G-2 Habitat groups'!A55,#REF!)</f>
        <v>#REF!</v>
      </c>
      <c r="V55" s="277" t="e">
        <f>SUMIF(#REF!,'G-2 Habitat groups'!A55,#REF!)</f>
        <v>#REF!</v>
      </c>
      <c r="W55" s="277" t="e">
        <f>SUMIF(#REF!,'G-2 Habitat groups'!A55,#REF!)</f>
        <v>#REF!</v>
      </c>
      <c r="X55" s="277" t="e">
        <f>SUMIF(#REF!,'G-2 Habitat groups'!A55,#REF!)</f>
        <v>#REF!</v>
      </c>
      <c r="Y55" s="277" t="e">
        <f>SUMIF(#REF!,'G-2 Habitat groups'!A55,#REF!)</f>
        <v>#REF!</v>
      </c>
      <c r="Z55" s="277" t="e">
        <f>SUMIF(#REF!,'G-2 Habitat groups'!A55,#REF!)</f>
        <v>#REF!</v>
      </c>
      <c r="AA55" s="277" t="e">
        <f t="shared" si="47"/>
        <v>#REF!</v>
      </c>
      <c r="AB55" s="277" t="e">
        <f t="shared" si="48"/>
        <v>#REF!</v>
      </c>
      <c r="AC55" s="277" t="e">
        <f t="shared" si="49"/>
        <v>#REF!</v>
      </c>
      <c r="AD55" s="277" t="e">
        <f t="shared" si="50"/>
        <v>#REF!</v>
      </c>
      <c r="AE55" s="277" t="e">
        <f t="shared" si="51"/>
        <v>#REF!</v>
      </c>
      <c r="AF55" s="277" t="e">
        <f t="shared" si="52"/>
        <v>#REF!</v>
      </c>
      <c r="AU55" s="70"/>
      <c r="AV55" s="52"/>
      <c r="AW55" s="288"/>
      <c r="AX55" s="288"/>
      <c r="AY55" s="288"/>
      <c r="AZ55" s="288"/>
      <c r="BA55" s="288"/>
      <c r="BB55" s="288"/>
      <c r="BC55" s="288"/>
      <c r="BD55" s="288"/>
      <c r="BE55" s="288"/>
      <c r="BF55" s="288"/>
    </row>
    <row r="56" spans="1:58" x14ac:dyDescent="0.3">
      <c r="A56" s="63" t="str">
        <f>'G-1 All Habitats'!B55</f>
        <v>Sparsely vegetated land - Inland rock outcrop and scree habitats</v>
      </c>
      <c r="B56" s="52" t="str">
        <f>'G-1 All Habitats'!F55</f>
        <v>Sparsely vegetated land</v>
      </c>
      <c r="C56" s="52" t="str">
        <f>'G-1 All Habitats'!K55</f>
        <v>High</v>
      </c>
      <c r="D56" s="52" t="str">
        <f>'G-1 All Habitats'!M55</f>
        <v>Same habitat required =</v>
      </c>
      <c r="E56" s="277">
        <f>IF(C56="V.High",SUMIF('A-1 On-Site Habitat Baseline'!$AV$11:$AV$258,'G-2 Habitat groups'!A56,'A-1 On-Site Habitat Baseline'!$S$11:$S$258)+SUMIF('A-1 On-Site Habitat Baseline'!$AV$11:$AV$258,'G-2 Habitat groups'!A56,'A-1 On-Site Habitat Baseline'!$T$11:$T$258),SUMIF('A-1 On-Site Habitat Baseline'!$AV$11:$AV$258,'G-2 Habitat groups'!A56,'A-1 On-Site Habitat Baseline'!$H$11:$H$258))</f>
        <v>0</v>
      </c>
      <c r="F56" s="277">
        <f>SUMIF('A-1 On-Site Habitat Baseline'!$AV$11:$AV$258,'G-2 Habitat groups'!A56,'A-1 On-Site Habitat Baseline'!$Q$11:$Q$258)</f>
        <v>0</v>
      </c>
      <c r="G56" s="277">
        <f>SUMIF('A-1 On-Site Habitat Baseline'!$AV$11:$AV$258,'G-2 Habitat groups'!A56,'A-1 On-Site Habitat Baseline'!$S$11:$S$258)</f>
        <v>0</v>
      </c>
      <c r="H56" s="277">
        <f>SUMIF('A-1 On-Site Habitat Baseline'!$AV$11:$AV$258,'G-2 Habitat groups'!A56,'A-1 On-Site Habitat Baseline'!$U$11:$U$258)</f>
        <v>0</v>
      </c>
      <c r="I56" s="277">
        <f>SUMIF('A-1 On-Site Habitat Baseline'!$AV$11:$AV$258,'G-2 Habitat groups'!A56,'A-1 On-Site Habitat Baseline'!$W$11:$W$258)</f>
        <v>0</v>
      </c>
      <c r="J56" s="277">
        <f>SUMIF('A-1 On-Site Habitat Baseline'!$AV$11:$AV$258,'G-2 Habitat groups'!A56,'A-1 On-Site Habitat Baseline'!$X$11:$X$258)</f>
        <v>0</v>
      </c>
      <c r="K56" s="277">
        <f>SUMIF('A-2 On-Site Habitat Creation'!$F$11:$F$256,'G-2 Habitat groups'!A56,'A-2 On-Site Habitat Creation'!$G$11:$G$256)</f>
        <v>0</v>
      </c>
      <c r="L56" s="277">
        <f>SUMIF('A-2 On-Site Habitat Creation'!$F$11:$F$256,'G-2 Habitat groups'!A56,'A-2 On-Site Habitat Creation'!$Y$11:$Y$256)</f>
        <v>0</v>
      </c>
      <c r="M56" s="277">
        <f>SUMIF('A-3 On-Site Habitat Enhancement'!$S$12:$S$257,'G-2 Habitat groups'!A56,'A-3 On-Site Habitat Enhancement'!$V$12:$V$257)</f>
        <v>0</v>
      </c>
      <c r="N56" s="277">
        <f>SUMIF('A-3 On-Site Habitat Enhancement'!$S$12:$S$257,'G-2 Habitat groups'!A56,'A-3 On-Site Habitat Enhancement'!$AN$12:$AN$257)</f>
        <v>0</v>
      </c>
      <c r="O56" s="277">
        <f t="shared" si="43"/>
        <v>0</v>
      </c>
      <c r="P56" s="277">
        <f t="shared" si="44"/>
        <v>0</v>
      </c>
      <c r="Q56" s="277">
        <f t="shared" si="45"/>
        <v>0</v>
      </c>
      <c r="R56" s="277">
        <f t="shared" si="46"/>
        <v>0</v>
      </c>
      <c r="S56" s="277" t="e">
        <f>IF(C56="V.High",SUMIF(#REF!,'G-2 Habitat groups'!A56,#REF!)+SUMIF(#REF!,'G-2 Habitat groups'!A56,#REF!),SUMIF(#REF!,'G-2 Habitat groups'!A56,#REF!))</f>
        <v>#REF!</v>
      </c>
      <c r="T56" s="277" t="e">
        <f>SUMIF(#REF!,'G-2 Habitat groups'!A56,#REF!)</f>
        <v>#REF!</v>
      </c>
      <c r="U56" s="277" t="e">
        <f>SUMIF(#REF!,'G-2 Habitat groups'!A56,#REF!)</f>
        <v>#REF!</v>
      </c>
      <c r="V56" s="277" t="e">
        <f>SUMIF(#REF!,'G-2 Habitat groups'!A56,#REF!)</f>
        <v>#REF!</v>
      </c>
      <c r="W56" s="277" t="e">
        <f>SUMIF(#REF!,'G-2 Habitat groups'!A56,#REF!)</f>
        <v>#REF!</v>
      </c>
      <c r="X56" s="277" t="e">
        <f>SUMIF(#REF!,'G-2 Habitat groups'!A56,#REF!)</f>
        <v>#REF!</v>
      </c>
      <c r="Y56" s="277" t="e">
        <f>SUMIF(#REF!,'G-2 Habitat groups'!A56,#REF!)</f>
        <v>#REF!</v>
      </c>
      <c r="Z56" s="277" t="e">
        <f>SUMIF(#REF!,'G-2 Habitat groups'!A56,#REF!)</f>
        <v>#REF!</v>
      </c>
      <c r="AA56" s="277" t="e">
        <f t="shared" si="47"/>
        <v>#REF!</v>
      </c>
      <c r="AB56" s="277" t="e">
        <f t="shared" si="48"/>
        <v>#REF!</v>
      </c>
      <c r="AC56" s="277" t="e">
        <f t="shared" si="49"/>
        <v>#REF!</v>
      </c>
      <c r="AD56" s="277" t="e">
        <f t="shared" si="50"/>
        <v>#REF!</v>
      </c>
      <c r="AE56" s="277" t="e">
        <f t="shared" si="51"/>
        <v>#REF!</v>
      </c>
      <c r="AF56" s="277" t="e">
        <f t="shared" si="52"/>
        <v>#REF!</v>
      </c>
      <c r="AU56" s="70" t="s">
        <v>611</v>
      </c>
      <c r="AV56" s="52" t="s">
        <v>53</v>
      </c>
      <c r="AW56" s="288">
        <f t="shared" si="33"/>
        <v>0</v>
      </c>
      <c r="AX56" s="288">
        <f t="shared" si="34"/>
        <v>0</v>
      </c>
      <c r="AY56" s="288">
        <f t="shared" si="35"/>
        <v>0</v>
      </c>
      <c r="AZ56" s="288">
        <f t="shared" si="36"/>
        <v>0</v>
      </c>
      <c r="BA56" s="288">
        <f t="shared" si="37"/>
        <v>0</v>
      </c>
      <c r="BB56" s="288">
        <f t="shared" si="38"/>
        <v>0</v>
      </c>
      <c r="BC56" s="288" t="e">
        <f t="shared" si="39"/>
        <v>#REF!</v>
      </c>
      <c r="BD56" s="288" t="e">
        <f t="shared" si="40"/>
        <v>#REF!</v>
      </c>
      <c r="BE56" s="288" t="e">
        <f t="shared" si="41"/>
        <v>#REF!</v>
      </c>
      <c r="BF56" s="288" t="e">
        <f t="shared" si="42"/>
        <v>#REF!</v>
      </c>
    </row>
    <row r="57" spans="1:58" x14ac:dyDescent="0.3">
      <c r="A57" s="63" t="str">
        <f>'G-1 All Habitats'!B56</f>
        <v>Sparsely vegetated land - Limestone pavement</v>
      </c>
      <c r="B57" s="52" t="str">
        <f>'G-1 All Habitats'!F56</f>
        <v>Sparsely vegetated land</v>
      </c>
      <c r="C57" s="52" t="str">
        <f>'G-1 All Habitats'!K56</f>
        <v>V.High</v>
      </c>
      <c r="D57" s="52" t="str">
        <f>'G-1 All Habitats'!M56</f>
        <v>Bespoke compensation likely to be required 🛠</v>
      </c>
      <c r="E57" s="277">
        <f>IF(C57="V.High",SUMIF('A-1 On-Site Habitat Baseline'!$AV$11:$AV$258,'G-2 Habitat groups'!A57,'A-1 On-Site Habitat Baseline'!$S$11:$S$258)+SUMIF('A-1 On-Site Habitat Baseline'!$AV$11:$AV$258,'G-2 Habitat groups'!A57,'A-1 On-Site Habitat Baseline'!$T$11:$T$258),SUMIF('A-1 On-Site Habitat Baseline'!$AV$11:$AV$258,'G-2 Habitat groups'!A57,'A-1 On-Site Habitat Baseline'!$H$11:$H$258))</f>
        <v>0</v>
      </c>
      <c r="F57" s="277">
        <f>SUMIF('A-1 On-Site Habitat Baseline'!$AV$11:$AV$258,'G-2 Habitat groups'!A57,'A-1 On-Site Habitat Baseline'!$Q$11:$Q$258)</f>
        <v>0</v>
      </c>
      <c r="G57" s="277">
        <f>SUMIF('A-1 On-Site Habitat Baseline'!$AV$11:$AV$258,'G-2 Habitat groups'!A57,'A-1 On-Site Habitat Baseline'!$S$11:$S$258)</f>
        <v>0</v>
      </c>
      <c r="H57" s="277">
        <f>SUMIF('A-1 On-Site Habitat Baseline'!$AV$11:$AV$258,'G-2 Habitat groups'!A57,'A-1 On-Site Habitat Baseline'!$U$11:$U$258)</f>
        <v>0</v>
      </c>
      <c r="I57" s="277">
        <f>SUMIF('A-1 On-Site Habitat Baseline'!$AV$11:$AV$258,'G-2 Habitat groups'!A57,'A-1 On-Site Habitat Baseline'!$W$11:$W$258)</f>
        <v>0</v>
      </c>
      <c r="J57" s="277">
        <f>SUMIF('A-1 On-Site Habitat Baseline'!$AV$11:$AV$258,'G-2 Habitat groups'!A57,'A-1 On-Site Habitat Baseline'!$X$11:$X$258)</f>
        <v>0</v>
      </c>
      <c r="K57" s="277">
        <f>SUMIF('A-2 On-Site Habitat Creation'!$F$11:$F$256,'G-2 Habitat groups'!A57,'A-2 On-Site Habitat Creation'!$G$11:$G$256)</f>
        <v>0</v>
      </c>
      <c r="L57" s="277">
        <f>SUMIF('A-2 On-Site Habitat Creation'!$F$11:$F$256,'G-2 Habitat groups'!A57,'A-2 On-Site Habitat Creation'!$Y$11:$Y$256)</f>
        <v>0</v>
      </c>
      <c r="M57" s="277">
        <f>SUMIF('A-3 On-Site Habitat Enhancement'!$S$12:$S$257,'G-2 Habitat groups'!A57,'A-3 On-Site Habitat Enhancement'!$V$12:$V$257)</f>
        <v>0</v>
      </c>
      <c r="N57" s="277">
        <f>SUMIF('A-3 On-Site Habitat Enhancement'!$S$12:$S$257,'G-2 Habitat groups'!A57,'A-3 On-Site Habitat Enhancement'!$AN$12:$AN$257)</f>
        <v>0</v>
      </c>
      <c r="O57" s="277">
        <f t="shared" si="43"/>
        <v>0</v>
      </c>
      <c r="P57" s="277">
        <f t="shared" si="44"/>
        <v>0</v>
      </c>
      <c r="Q57" s="277">
        <f t="shared" si="45"/>
        <v>0</v>
      </c>
      <c r="R57" s="277">
        <f t="shared" si="46"/>
        <v>0</v>
      </c>
      <c r="S57" s="277" t="e">
        <f>IF(C57="V.High",SUMIF(#REF!,'G-2 Habitat groups'!A57,#REF!)+SUMIF(#REF!,'G-2 Habitat groups'!A57,#REF!),SUMIF(#REF!,'G-2 Habitat groups'!A57,#REF!))</f>
        <v>#REF!</v>
      </c>
      <c r="T57" s="277" t="e">
        <f>SUMIF(#REF!,'G-2 Habitat groups'!A57,#REF!)</f>
        <v>#REF!</v>
      </c>
      <c r="U57" s="277" t="e">
        <f>SUMIF(#REF!,'G-2 Habitat groups'!A57,#REF!)</f>
        <v>#REF!</v>
      </c>
      <c r="V57" s="277" t="e">
        <f>SUMIF(#REF!,'G-2 Habitat groups'!A57,#REF!)</f>
        <v>#REF!</v>
      </c>
      <c r="W57" s="277" t="e">
        <f>SUMIF(#REF!,'G-2 Habitat groups'!A57,#REF!)</f>
        <v>#REF!</v>
      </c>
      <c r="X57" s="277" t="e">
        <f>SUMIF(#REF!,'G-2 Habitat groups'!A57,#REF!)</f>
        <v>#REF!</v>
      </c>
      <c r="Y57" s="277" t="e">
        <f>SUMIF(#REF!,'G-2 Habitat groups'!A57,#REF!)</f>
        <v>#REF!</v>
      </c>
      <c r="Z57" s="277" t="e">
        <f>SUMIF(#REF!,'G-2 Habitat groups'!A57,#REF!)</f>
        <v>#REF!</v>
      </c>
      <c r="AA57" s="277" t="e">
        <f t="shared" si="47"/>
        <v>#REF!</v>
      </c>
      <c r="AB57" s="277" t="e">
        <f t="shared" si="48"/>
        <v>#REF!</v>
      </c>
      <c r="AC57" s="277" t="e">
        <f t="shared" si="49"/>
        <v>#REF!</v>
      </c>
      <c r="AD57" s="277" t="e">
        <f t="shared" si="50"/>
        <v>#REF!</v>
      </c>
      <c r="AE57" s="277" t="e">
        <f t="shared" si="51"/>
        <v>#REF!</v>
      </c>
      <c r="AF57" s="277" t="e">
        <f t="shared" si="52"/>
        <v>#REF!</v>
      </c>
      <c r="AU57" s="70" t="s">
        <v>629</v>
      </c>
      <c r="AV57" s="52" t="s">
        <v>53</v>
      </c>
      <c r="AW57" s="288">
        <f t="shared" si="33"/>
        <v>0</v>
      </c>
      <c r="AX57" s="288">
        <f t="shared" si="34"/>
        <v>0</v>
      </c>
      <c r="AY57" s="288">
        <f t="shared" si="35"/>
        <v>0</v>
      </c>
      <c r="AZ57" s="288">
        <f t="shared" si="36"/>
        <v>0</v>
      </c>
      <c r="BA57" s="288">
        <f t="shared" si="37"/>
        <v>0</v>
      </c>
      <c r="BB57" s="288">
        <f t="shared" si="38"/>
        <v>0</v>
      </c>
      <c r="BC57" s="288" t="e">
        <f t="shared" si="39"/>
        <v>#REF!</v>
      </c>
      <c r="BD57" s="288" t="e">
        <f t="shared" si="40"/>
        <v>#REF!</v>
      </c>
      <c r="BE57" s="288" t="e">
        <f t="shared" si="41"/>
        <v>#REF!</v>
      </c>
      <c r="BF57" s="288" t="e">
        <f t="shared" si="42"/>
        <v>#REF!</v>
      </c>
    </row>
    <row r="58" spans="1:58" x14ac:dyDescent="0.3">
      <c r="A58" s="63" t="str">
        <f>'G-1 All Habitats'!B57</f>
        <v>Sparsely vegetated land - Maritime cliff and slopes</v>
      </c>
      <c r="B58" s="52" t="str">
        <f>'G-1 All Habitats'!F57</f>
        <v>Sparsely vegetated land</v>
      </c>
      <c r="C58" s="52" t="str">
        <f>'G-1 All Habitats'!K57</f>
        <v>High</v>
      </c>
      <c r="D58" s="52" t="str">
        <f>'G-1 All Habitats'!M57</f>
        <v>Same habitat required =</v>
      </c>
      <c r="E58" s="277">
        <f>IF(C58="V.High",SUMIF('A-1 On-Site Habitat Baseline'!$AV$11:$AV$258,'G-2 Habitat groups'!A58,'A-1 On-Site Habitat Baseline'!$S$11:$S$258)+SUMIF('A-1 On-Site Habitat Baseline'!$AV$11:$AV$258,'G-2 Habitat groups'!A58,'A-1 On-Site Habitat Baseline'!$T$11:$T$258),SUMIF('A-1 On-Site Habitat Baseline'!$AV$11:$AV$258,'G-2 Habitat groups'!A58,'A-1 On-Site Habitat Baseline'!$H$11:$H$258))</f>
        <v>0</v>
      </c>
      <c r="F58" s="277">
        <f>SUMIF('A-1 On-Site Habitat Baseline'!$AV$11:$AV$258,'G-2 Habitat groups'!A58,'A-1 On-Site Habitat Baseline'!$Q$11:$Q$258)</f>
        <v>0</v>
      </c>
      <c r="G58" s="277">
        <f>SUMIF('A-1 On-Site Habitat Baseline'!$AV$11:$AV$258,'G-2 Habitat groups'!A58,'A-1 On-Site Habitat Baseline'!$S$11:$S$258)</f>
        <v>0</v>
      </c>
      <c r="H58" s="277">
        <f>SUMIF('A-1 On-Site Habitat Baseline'!$AV$11:$AV$258,'G-2 Habitat groups'!A58,'A-1 On-Site Habitat Baseline'!$U$11:$U$258)</f>
        <v>0</v>
      </c>
      <c r="I58" s="277">
        <f>SUMIF('A-1 On-Site Habitat Baseline'!$AV$11:$AV$258,'G-2 Habitat groups'!A58,'A-1 On-Site Habitat Baseline'!$W$11:$W$258)</f>
        <v>0</v>
      </c>
      <c r="J58" s="277">
        <f>SUMIF('A-1 On-Site Habitat Baseline'!$AV$11:$AV$258,'G-2 Habitat groups'!A58,'A-1 On-Site Habitat Baseline'!$X$11:$X$258)</f>
        <v>0</v>
      </c>
      <c r="K58" s="277">
        <f>SUMIF('A-2 On-Site Habitat Creation'!$F$11:$F$256,'G-2 Habitat groups'!A58,'A-2 On-Site Habitat Creation'!$G$11:$G$256)</f>
        <v>0</v>
      </c>
      <c r="L58" s="277">
        <f>SUMIF('A-2 On-Site Habitat Creation'!$F$11:$F$256,'G-2 Habitat groups'!A58,'A-2 On-Site Habitat Creation'!$Y$11:$Y$256)</f>
        <v>0</v>
      </c>
      <c r="M58" s="277">
        <f>SUMIF('A-3 On-Site Habitat Enhancement'!$S$12:$S$257,'G-2 Habitat groups'!A58,'A-3 On-Site Habitat Enhancement'!$V$12:$V$257)</f>
        <v>0</v>
      </c>
      <c r="N58" s="277">
        <f>SUMIF('A-3 On-Site Habitat Enhancement'!$S$12:$S$257,'G-2 Habitat groups'!A58,'A-3 On-Site Habitat Enhancement'!$AN$12:$AN$257)</f>
        <v>0</v>
      </c>
      <c r="O58" s="277">
        <f t="shared" si="43"/>
        <v>0</v>
      </c>
      <c r="P58" s="277">
        <f t="shared" si="44"/>
        <v>0</v>
      </c>
      <c r="Q58" s="277">
        <f t="shared" si="45"/>
        <v>0</v>
      </c>
      <c r="R58" s="277">
        <f t="shared" si="46"/>
        <v>0</v>
      </c>
      <c r="S58" s="277" t="e">
        <f>IF(C58="V.High",SUMIF(#REF!,'G-2 Habitat groups'!A58,#REF!)+SUMIF(#REF!,'G-2 Habitat groups'!A58,#REF!),SUMIF(#REF!,'G-2 Habitat groups'!A58,#REF!))</f>
        <v>#REF!</v>
      </c>
      <c r="T58" s="277" t="e">
        <f>SUMIF(#REF!,'G-2 Habitat groups'!A58,#REF!)</f>
        <v>#REF!</v>
      </c>
      <c r="U58" s="277" t="e">
        <f>SUMIF(#REF!,'G-2 Habitat groups'!A58,#REF!)</f>
        <v>#REF!</v>
      </c>
      <c r="V58" s="277" t="e">
        <f>SUMIF(#REF!,'G-2 Habitat groups'!A58,#REF!)</f>
        <v>#REF!</v>
      </c>
      <c r="W58" s="277" t="e">
        <f>SUMIF(#REF!,'G-2 Habitat groups'!A58,#REF!)</f>
        <v>#REF!</v>
      </c>
      <c r="X58" s="277" t="e">
        <f>SUMIF(#REF!,'G-2 Habitat groups'!A58,#REF!)</f>
        <v>#REF!</v>
      </c>
      <c r="Y58" s="277" t="e">
        <f>SUMIF(#REF!,'G-2 Habitat groups'!A58,#REF!)</f>
        <v>#REF!</v>
      </c>
      <c r="Z58" s="277" t="e">
        <f>SUMIF(#REF!,'G-2 Habitat groups'!A58,#REF!)</f>
        <v>#REF!</v>
      </c>
      <c r="AA58" s="277" t="e">
        <f t="shared" si="47"/>
        <v>#REF!</v>
      </c>
      <c r="AB58" s="277" t="e">
        <f t="shared" si="48"/>
        <v>#REF!</v>
      </c>
      <c r="AC58" s="277" t="e">
        <f t="shared" si="49"/>
        <v>#REF!</v>
      </c>
      <c r="AD58" s="277" t="e">
        <f t="shared" si="50"/>
        <v>#REF!</v>
      </c>
      <c r="AE58" s="277" t="e">
        <f t="shared" si="51"/>
        <v>#REF!</v>
      </c>
      <c r="AF58" s="277" t="e">
        <f t="shared" si="52"/>
        <v>#REF!</v>
      </c>
      <c r="AU58" s="70" t="s">
        <v>632</v>
      </c>
      <c r="AV58" s="52" t="s">
        <v>53</v>
      </c>
      <c r="AW58" s="288">
        <f t="shared" si="33"/>
        <v>0</v>
      </c>
      <c r="AX58" s="288">
        <f t="shared" si="34"/>
        <v>0</v>
      </c>
      <c r="AY58" s="288">
        <f t="shared" si="35"/>
        <v>0</v>
      </c>
      <c r="AZ58" s="288">
        <f t="shared" si="36"/>
        <v>0</v>
      </c>
      <c r="BA58" s="288">
        <f t="shared" si="37"/>
        <v>0</v>
      </c>
      <c r="BB58" s="288">
        <f t="shared" si="38"/>
        <v>0</v>
      </c>
      <c r="BC58" s="288" t="e">
        <f t="shared" si="39"/>
        <v>#REF!</v>
      </c>
      <c r="BD58" s="288" t="e">
        <f t="shared" si="40"/>
        <v>#REF!</v>
      </c>
      <c r="BE58" s="288" t="e">
        <f t="shared" si="41"/>
        <v>#REF!</v>
      </c>
      <c r="BF58" s="288" t="e">
        <f t="shared" si="42"/>
        <v>#REF!</v>
      </c>
    </row>
    <row r="59" spans="1:58" x14ac:dyDescent="0.3">
      <c r="A59" s="63" t="str">
        <f>'G-1 All Habitats'!B58</f>
        <v>Sparsely vegetated land - Other inland rock and scree</v>
      </c>
      <c r="B59" s="52" t="str">
        <f>'G-1 All Habitats'!F58</f>
        <v>Sparsely vegetated land</v>
      </c>
      <c r="C59" s="52" t="str">
        <f>'G-1 All Habitats'!K58</f>
        <v>Medium</v>
      </c>
      <c r="D59" s="52" t="str">
        <f>'G-1 All Habitats'!M58</f>
        <v>Same broad habitat or a higher distinctiveness habitat required (≥)</v>
      </c>
      <c r="E59" s="277">
        <f>IF(C59="V.High",SUMIF('A-1 On-Site Habitat Baseline'!$AV$11:$AV$258,'G-2 Habitat groups'!A59,'A-1 On-Site Habitat Baseline'!$S$11:$S$258)+SUMIF('A-1 On-Site Habitat Baseline'!$AV$11:$AV$258,'G-2 Habitat groups'!A59,'A-1 On-Site Habitat Baseline'!$T$11:$T$258),SUMIF('A-1 On-Site Habitat Baseline'!$AV$11:$AV$258,'G-2 Habitat groups'!A59,'A-1 On-Site Habitat Baseline'!$H$11:$H$258))</f>
        <v>0</v>
      </c>
      <c r="F59" s="277">
        <f>SUMIF('A-1 On-Site Habitat Baseline'!$AV$11:$AV$258,'G-2 Habitat groups'!A59,'A-1 On-Site Habitat Baseline'!$Q$11:$Q$258)</f>
        <v>0</v>
      </c>
      <c r="G59" s="277">
        <f>SUMIF('A-1 On-Site Habitat Baseline'!$AV$11:$AV$258,'G-2 Habitat groups'!A59,'A-1 On-Site Habitat Baseline'!$S$11:$S$258)</f>
        <v>0</v>
      </c>
      <c r="H59" s="277">
        <f>SUMIF('A-1 On-Site Habitat Baseline'!$AV$11:$AV$258,'G-2 Habitat groups'!A59,'A-1 On-Site Habitat Baseline'!$U$11:$U$258)</f>
        <v>0</v>
      </c>
      <c r="I59" s="277">
        <f>SUMIF('A-1 On-Site Habitat Baseline'!$AV$11:$AV$258,'G-2 Habitat groups'!A59,'A-1 On-Site Habitat Baseline'!$W$11:$W$258)</f>
        <v>0</v>
      </c>
      <c r="J59" s="277">
        <f>SUMIF('A-1 On-Site Habitat Baseline'!$AV$11:$AV$258,'G-2 Habitat groups'!A59,'A-1 On-Site Habitat Baseline'!$X$11:$X$258)</f>
        <v>0</v>
      </c>
      <c r="K59" s="277">
        <f>SUMIF('A-2 On-Site Habitat Creation'!$F$11:$F$256,'G-2 Habitat groups'!A59,'A-2 On-Site Habitat Creation'!$G$11:$G$256)</f>
        <v>0</v>
      </c>
      <c r="L59" s="277">
        <f>SUMIF('A-2 On-Site Habitat Creation'!$F$11:$F$256,'G-2 Habitat groups'!A59,'A-2 On-Site Habitat Creation'!$Y$11:$Y$256)</f>
        <v>0</v>
      </c>
      <c r="M59" s="277">
        <f>SUMIF('A-3 On-Site Habitat Enhancement'!$S$12:$S$257,'G-2 Habitat groups'!A59,'A-3 On-Site Habitat Enhancement'!$V$12:$V$257)</f>
        <v>0</v>
      </c>
      <c r="N59" s="277">
        <f>SUMIF('A-3 On-Site Habitat Enhancement'!$S$12:$S$257,'G-2 Habitat groups'!A59,'A-3 On-Site Habitat Enhancement'!$AN$12:$AN$257)</f>
        <v>0</v>
      </c>
      <c r="O59" s="277">
        <f t="shared" si="43"/>
        <v>0</v>
      </c>
      <c r="P59" s="277">
        <f t="shared" si="44"/>
        <v>0</v>
      </c>
      <c r="Q59" s="277">
        <f t="shared" si="45"/>
        <v>0</v>
      </c>
      <c r="R59" s="277">
        <f t="shared" si="46"/>
        <v>0</v>
      </c>
      <c r="S59" s="277" t="e">
        <f>IF(C59="V.High",SUMIF(#REF!,'G-2 Habitat groups'!A59,#REF!)+SUMIF(#REF!,'G-2 Habitat groups'!A59,#REF!),SUMIF(#REF!,'G-2 Habitat groups'!A59,#REF!))</f>
        <v>#REF!</v>
      </c>
      <c r="T59" s="277" t="e">
        <f>SUMIF(#REF!,'G-2 Habitat groups'!A59,#REF!)</f>
        <v>#REF!</v>
      </c>
      <c r="U59" s="277" t="e">
        <f>SUMIF(#REF!,'G-2 Habitat groups'!A59,#REF!)</f>
        <v>#REF!</v>
      </c>
      <c r="V59" s="277" t="e">
        <f>SUMIF(#REF!,'G-2 Habitat groups'!A59,#REF!)</f>
        <v>#REF!</v>
      </c>
      <c r="W59" s="277" t="e">
        <f>SUMIF(#REF!,'G-2 Habitat groups'!A59,#REF!)</f>
        <v>#REF!</v>
      </c>
      <c r="X59" s="277" t="e">
        <f>SUMIF(#REF!,'G-2 Habitat groups'!A59,#REF!)</f>
        <v>#REF!</v>
      </c>
      <c r="Y59" s="277" t="e">
        <f>SUMIF(#REF!,'G-2 Habitat groups'!A59,#REF!)</f>
        <v>#REF!</v>
      </c>
      <c r="Z59" s="277" t="e">
        <f>SUMIF(#REF!,'G-2 Habitat groups'!A59,#REF!)</f>
        <v>#REF!</v>
      </c>
      <c r="AA59" s="277" t="e">
        <f t="shared" si="47"/>
        <v>#REF!</v>
      </c>
      <c r="AB59" s="277" t="e">
        <f t="shared" si="48"/>
        <v>#REF!</v>
      </c>
      <c r="AC59" s="277" t="e">
        <f t="shared" si="49"/>
        <v>#REF!</v>
      </c>
      <c r="AD59" s="277" t="e">
        <f t="shared" si="50"/>
        <v>#REF!</v>
      </c>
      <c r="AE59" s="277" t="e">
        <f t="shared" si="51"/>
        <v>#REF!</v>
      </c>
      <c r="AF59" s="277" t="e">
        <f t="shared" si="52"/>
        <v>#REF!</v>
      </c>
      <c r="AU59" s="70" t="s">
        <v>635</v>
      </c>
      <c r="AV59" s="52" t="s">
        <v>53</v>
      </c>
      <c r="AW59" s="288">
        <f t="shared" si="33"/>
        <v>0</v>
      </c>
      <c r="AX59" s="288">
        <f t="shared" si="34"/>
        <v>0</v>
      </c>
      <c r="AY59" s="288">
        <f t="shared" si="35"/>
        <v>0</v>
      </c>
      <c r="AZ59" s="288">
        <f t="shared" si="36"/>
        <v>0</v>
      </c>
      <c r="BA59" s="288">
        <f t="shared" si="37"/>
        <v>0</v>
      </c>
      <c r="BB59" s="288">
        <f t="shared" si="38"/>
        <v>0</v>
      </c>
      <c r="BC59" s="288" t="e">
        <f t="shared" si="39"/>
        <v>#REF!</v>
      </c>
      <c r="BD59" s="288" t="e">
        <f t="shared" si="40"/>
        <v>#REF!</v>
      </c>
      <c r="BE59" s="288" t="e">
        <f t="shared" si="41"/>
        <v>#REF!</v>
      </c>
      <c r="BF59" s="288" t="e">
        <f t="shared" si="42"/>
        <v>#REF!</v>
      </c>
    </row>
    <row r="60" spans="1:58" x14ac:dyDescent="0.3">
      <c r="A60" s="63" t="str">
        <f>'G-1 All Habitats'!B59</f>
        <v>Urban - Allotments</v>
      </c>
      <c r="B60" s="52" t="str">
        <f>'G-1 All Habitats'!F59</f>
        <v>Built environment</v>
      </c>
      <c r="C60" s="52" t="str">
        <f>'G-1 All Habitats'!K59</f>
        <v>Low</v>
      </c>
      <c r="D60" s="52" t="str">
        <f>'G-1 All Habitats'!M59</f>
        <v>Same distinctiveness or better habitat required ≥</v>
      </c>
      <c r="E60" s="277">
        <f>IF(C60="V.High",SUMIF('A-1 On-Site Habitat Baseline'!$AV$11:$AV$258,'G-2 Habitat groups'!A60,'A-1 On-Site Habitat Baseline'!$S$11:$S$258)+SUMIF('A-1 On-Site Habitat Baseline'!$AV$11:$AV$258,'G-2 Habitat groups'!A60,'A-1 On-Site Habitat Baseline'!$T$11:$T$258),SUMIF('A-1 On-Site Habitat Baseline'!$AV$11:$AV$258,'G-2 Habitat groups'!A60,'A-1 On-Site Habitat Baseline'!$H$11:$H$258))</f>
        <v>0</v>
      </c>
      <c r="F60" s="277">
        <f>SUMIF('A-1 On-Site Habitat Baseline'!$AV$11:$AV$258,'G-2 Habitat groups'!A60,'A-1 On-Site Habitat Baseline'!$Q$11:$Q$258)</f>
        <v>0</v>
      </c>
      <c r="G60" s="277">
        <f>SUMIF('A-1 On-Site Habitat Baseline'!$AV$11:$AV$258,'G-2 Habitat groups'!A60,'A-1 On-Site Habitat Baseline'!$S$11:$S$258)</f>
        <v>0</v>
      </c>
      <c r="H60" s="277">
        <f>SUMIF('A-1 On-Site Habitat Baseline'!$AV$11:$AV$258,'G-2 Habitat groups'!A60,'A-1 On-Site Habitat Baseline'!$U$11:$U$258)</f>
        <v>0</v>
      </c>
      <c r="I60" s="277">
        <f>SUMIF('A-1 On-Site Habitat Baseline'!$AV$11:$AV$258,'G-2 Habitat groups'!A60,'A-1 On-Site Habitat Baseline'!$W$11:$W$258)</f>
        <v>0</v>
      </c>
      <c r="J60" s="277">
        <f>SUMIF('A-1 On-Site Habitat Baseline'!$AV$11:$AV$258,'G-2 Habitat groups'!A60,'A-1 On-Site Habitat Baseline'!$X$11:$X$258)</f>
        <v>0</v>
      </c>
      <c r="K60" s="277">
        <f>SUMIF('A-2 On-Site Habitat Creation'!$F$11:$F$256,'G-2 Habitat groups'!A60,'A-2 On-Site Habitat Creation'!$G$11:$G$256)</f>
        <v>0</v>
      </c>
      <c r="L60" s="277">
        <f>SUMIF('A-2 On-Site Habitat Creation'!$F$11:$F$256,'G-2 Habitat groups'!A60,'A-2 On-Site Habitat Creation'!$Y$11:$Y$256)</f>
        <v>0</v>
      </c>
      <c r="M60" s="277">
        <f>SUMIF('A-3 On-Site Habitat Enhancement'!$S$12:$S$257,'G-2 Habitat groups'!A60,'A-3 On-Site Habitat Enhancement'!$V$12:$V$257)</f>
        <v>0</v>
      </c>
      <c r="N60" s="277">
        <f>SUMIF('A-3 On-Site Habitat Enhancement'!$S$12:$S$257,'G-2 Habitat groups'!A60,'A-3 On-Site Habitat Enhancement'!$AN$12:$AN$257)</f>
        <v>0</v>
      </c>
      <c r="O60" s="277">
        <f t="shared" si="43"/>
        <v>0</v>
      </c>
      <c r="P60" s="277">
        <f t="shared" si="44"/>
        <v>0</v>
      </c>
      <c r="Q60" s="277">
        <f t="shared" si="45"/>
        <v>0</v>
      </c>
      <c r="R60" s="277">
        <f t="shared" si="46"/>
        <v>0</v>
      </c>
      <c r="S60" s="277" t="e">
        <f>IF(C60="V.High",SUMIF(#REF!,'G-2 Habitat groups'!A60,#REF!)+SUMIF(#REF!,'G-2 Habitat groups'!A60,#REF!),SUMIF(#REF!,'G-2 Habitat groups'!A60,#REF!))</f>
        <v>#REF!</v>
      </c>
      <c r="T60" s="277" t="e">
        <f>SUMIF(#REF!,'G-2 Habitat groups'!A60,#REF!)</f>
        <v>#REF!</v>
      </c>
      <c r="U60" s="277" t="e">
        <f>SUMIF(#REF!,'G-2 Habitat groups'!A60,#REF!)</f>
        <v>#REF!</v>
      </c>
      <c r="V60" s="277" t="e">
        <f>SUMIF(#REF!,'G-2 Habitat groups'!A60,#REF!)</f>
        <v>#REF!</v>
      </c>
      <c r="W60" s="277" t="e">
        <f>SUMIF(#REF!,'G-2 Habitat groups'!A60,#REF!)</f>
        <v>#REF!</v>
      </c>
      <c r="X60" s="277" t="e">
        <f>SUMIF(#REF!,'G-2 Habitat groups'!A60,#REF!)</f>
        <v>#REF!</v>
      </c>
      <c r="Y60" s="277" t="e">
        <f>SUMIF(#REF!,'G-2 Habitat groups'!A60,#REF!)</f>
        <v>#REF!</v>
      </c>
      <c r="Z60" s="277" t="e">
        <f>SUMIF(#REF!,'G-2 Habitat groups'!A60,#REF!)</f>
        <v>#REF!</v>
      </c>
      <c r="AA60" s="277" t="e">
        <f t="shared" si="47"/>
        <v>#REF!</v>
      </c>
      <c r="AB60" s="277" t="e">
        <f t="shared" si="48"/>
        <v>#REF!</v>
      </c>
      <c r="AC60" s="277" t="e">
        <f t="shared" si="49"/>
        <v>#REF!</v>
      </c>
      <c r="AD60" s="277" t="e">
        <f t="shared" si="50"/>
        <v>#REF!</v>
      </c>
      <c r="AE60" s="277" t="e">
        <f t="shared" si="51"/>
        <v>#REF!</v>
      </c>
      <c r="AF60" s="277" t="e">
        <f t="shared" si="52"/>
        <v>#REF!</v>
      </c>
      <c r="AU60" s="70" t="s">
        <v>640</v>
      </c>
      <c r="AV60" s="52" t="s">
        <v>53</v>
      </c>
      <c r="AW60" s="288">
        <f t="shared" si="33"/>
        <v>0</v>
      </c>
      <c r="AX60" s="288">
        <f t="shared" si="34"/>
        <v>0</v>
      </c>
      <c r="AY60" s="288">
        <f t="shared" si="35"/>
        <v>0</v>
      </c>
      <c r="AZ60" s="288">
        <f t="shared" si="36"/>
        <v>0</v>
      </c>
      <c r="BA60" s="288">
        <f t="shared" si="37"/>
        <v>0</v>
      </c>
      <c r="BB60" s="288">
        <f t="shared" si="38"/>
        <v>0</v>
      </c>
      <c r="BC60" s="288" t="e">
        <f t="shared" si="39"/>
        <v>#REF!</v>
      </c>
      <c r="BD60" s="288" t="e">
        <f t="shared" si="40"/>
        <v>#REF!</v>
      </c>
      <c r="BE60" s="288" t="e">
        <f t="shared" si="41"/>
        <v>#REF!</v>
      </c>
      <c r="BF60" s="288" t="e">
        <f t="shared" si="42"/>
        <v>#REF!</v>
      </c>
    </row>
    <row r="61" spans="1:58" x14ac:dyDescent="0.3">
      <c r="A61" s="63" t="str">
        <f>'G-1 All Habitats'!B60</f>
        <v>Urban - Artificial unvegetated, unsealed surface</v>
      </c>
      <c r="B61" s="52" t="str">
        <f>'G-1 All Habitats'!F60</f>
        <v>Urban</v>
      </c>
      <c r="C61" s="52" t="str">
        <f>'G-1 All Habitats'!K60</f>
        <v>V.Low</v>
      </c>
      <c r="D61" s="52" t="str">
        <f>'G-1 All Habitats'!M60</f>
        <v>Compensation Not Required</v>
      </c>
      <c r="E61" s="277">
        <f>IF(C61="V.High",SUMIF('A-1 On-Site Habitat Baseline'!$AV$11:$AV$258,'G-2 Habitat groups'!A61,'A-1 On-Site Habitat Baseline'!$S$11:$S$258)+SUMIF('A-1 On-Site Habitat Baseline'!$AV$11:$AV$258,'G-2 Habitat groups'!A61,'A-1 On-Site Habitat Baseline'!$T$11:$T$258),SUMIF('A-1 On-Site Habitat Baseline'!$AV$11:$AV$258,'G-2 Habitat groups'!A61,'A-1 On-Site Habitat Baseline'!$H$11:$H$258))</f>
        <v>0</v>
      </c>
      <c r="F61" s="277">
        <f>SUMIF('A-1 On-Site Habitat Baseline'!$AV$11:$AV$258,'G-2 Habitat groups'!A61,'A-1 On-Site Habitat Baseline'!$Q$11:$Q$258)</f>
        <v>0</v>
      </c>
      <c r="G61" s="277">
        <f>SUMIF('A-1 On-Site Habitat Baseline'!$AV$11:$AV$258,'G-2 Habitat groups'!A61,'A-1 On-Site Habitat Baseline'!$S$11:$S$258)</f>
        <v>0</v>
      </c>
      <c r="H61" s="277">
        <f>SUMIF('A-1 On-Site Habitat Baseline'!$AV$11:$AV$258,'G-2 Habitat groups'!A61,'A-1 On-Site Habitat Baseline'!$U$11:$U$258)</f>
        <v>0</v>
      </c>
      <c r="I61" s="277">
        <f>SUMIF('A-1 On-Site Habitat Baseline'!$AV$11:$AV$258,'G-2 Habitat groups'!A61,'A-1 On-Site Habitat Baseline'!$W$11:$W$258)</f>
        <v>0</v>
      </c>
      <c r="J61" s="277">
        <f>SUMIF('A-1 On-Site Habitat Baseline'!$AV$11:$AV$258,'G-2 Habitat groups'!A61,'A-1 On-Site Habitat Baseline'!$X$11:$X$258)</f>
        <v>0</v>
      </c>
      <c r="K61" s="277">
        <f>SUMIF('A-2 On-Site Habitat Creation'!$F$11:$F$256,'G-2 Habitat groups'!A61,'A-2 On-Site Habitat Creation'!$G$11:$G$256)</f>
        <v>0</v>
      </c>
      <c r="L61" s="277">
        <f>SUMIF('A-2 On-Site Habitat Creation'!$F$11:$F$256,'G-2 Habitat groups'!A61,'A-2 On-Site Habitat Creation'!$Y$11:$Y$256)</f>
        <v>0</v>
      </c>
      <c r="M61" s="277">
        <f>SUMIF('A-3 On-Site Habitat Enhancement'!$S$12:$S$257,'G-2 Habitat groups'!A61,'A-3 On-Site Habitat Enhancement'!$V$12:$V$257)</f>
        <v>0</v>
      </c>
      <c r="N61" s="277">
        <f>SUMIF('A-3 On-Site Habitat Enhancement'!$S$12:$S$257,'G-2 Habitat groups'!A61,'A-3 On-Site Habitat Enhancement'!$AN$12:$AN$257)</f>
        <v>0</v>
      </c>
      <c r="O61" s="277">
        <f t="shared" si="43"/>
        <v>0</v>
      </c>
      <c r="P61" s="277">
        <f t="shared" si="44"/>
        <v>0</v>
      </c>
      <c r="Q61" s="277">
        <f t="shared" si="45"/>
        <v>0</v>
      </c>
      <c r="R61" s="277">
        <f t="shared" si="46"/>
        <v>0</v>
      </c>
      <c r="S61" s="277" t="e">
        <f>IF(C61="V.High",SUMIF(#REF!,'G-2 Habitat groups'!A61,#REF!)+SUMIF(#REF!,'G-2 Habitat groups'!A61,#REF!),SUMIF(#REF!,'G-2 Habitat groups'!A61,#REF!))</f>
        <v>#REF!</v>
      </c>
      <c r="T61" s="277" t="e">
        <f>SUMIF(#REF!,'G-2 Habitat groups'!A61,#REF!)</f>
        <v>#REF!</v>
      </c>
      <c r="U61" s="277" t="e">
        <f>SUMIF(#REF!,'G-2 Habitat groups'!A61,#REF!)</f>
        <v>#REF!</v>
      </c>
      <c r="V61" s="277" t="e">
        <f>SUMIF(#REF!,'G-2 Habitat groups'!A61,#REF!)</f>
        <v>#REF!</v>
      </c>
      <c r="W61" s="277" t="e">
        <f>SUMIF(#REF!,'G-2 Habitat groups'!A61,#REF!)</f>
        <v>#REF!</v>
      </c>
      <c r="X61" s="277" t="e">
        <f>SUMIF(#REF!,'G-2 Habitat groups'!A61,#REF!)</f>
        <v>#REF!</v>
      </c>
      <c r="Y61" s="277" t="e">
        <f>SUMIF(#REF!,'G-2 Habitat groups'!A61,#REF!)</f>
        <v>#REF!</v>
      </c>
      <c r="Z61" s="277" t="e">
        <f>SUMIF(#REF!,'G-2 Habitat groups'!A61,#REF!)</f>
        <v>#REF!</v>
      </c>
      <c r="AA61" s="277" t="e">
        <f t="shared" si="47"/>
        <v>#REF!</v>
      </c>
      <c r="AB61" s="277" t="e">
        <f t="shared" si="48"/>
        <v>#REF!</v>
      </c>
      <c r="AC61" s="277" t="e">
        <f t="shared" si="49"/>
        <v>#REF!</v>
      </c>
      <c r="AD61" s="277" t="e">
        <f t="shared" si="50"/>
        <v>#REF!</v>
      </c>
      <c r="AE61" s="277" t="e">
        <f t="shared" si="51"/>
        <v>#REF!</v>
      </c>
      <c r="AF61" s="277" t="e">
        <f t="shared" si="52"/>
        <v>#REF!</v>
      </c>
      <c r="AU61" s="70" t="s">
        <v>644</v>
      </c>
      <c r="AV61" s="52" t="s">
        <v>57</v>
      </c>
      <c r="AW61" s="288">
        <f t="shared" si="33"/>
        <v>0</v>
      </c>
      <c r="AX61" s="288">
        <f t="shared" si="34"/>
        <v>0</v>
      </c>
      <c r="AY61" s="288">
        <f t="shared" si="35"/>
        <v>0</v>
      </c>
      <c r="AZ61" s="288">
        <f t="shared" si="36"/>
        <v>0</v>
      </c>
      <c r="BA61" s="288">
        <f t="shared" si="37"/>
        <v>0</v>
      </c>
      <c r="BB61" s="288">
        <f t="shared" si="38"/>
        <v>0</v>
      </c>
      <c r="BC61" s="288" t="e">
        <f t="shared" si="39"/>
        <v>#REF!</v>
      </c>
      <c r="BD61" s="288" t="e">
        <f t="shared" si="40"/>
        <v>#REF!</v>
      </c>
      <c r="BE61" s="288" t="e">
        <f t="shared" si="41"/>
        <v>#REF!</v>
      </c>
      <c r="BF61" s="288" t="e">
        <f t="shared" si="42"/>
        <v>#REF!</v>
      </c>
    </row>
    <row r="62" spans="1:58" x14ac:dyDescent="0.3">
      <c r="A62" s="63" t="str">
        <f>'G-1 All Habitats'!B61</f>
        <v>Urban - Bioswale</v>
      </c>
      <c r="B62" s="52" t="str">
        <f>'G-1 All Habitats'!F61</f>
        <v>Built environment</v>
      </c>
      <c r="C62" s="52" t="str">
        <f>'G-1 All Habitats'!K61</f>
        <v>Low</v>
      </c>
      <c r="D62" s="52" t="str">
        <f>'G-1 All Habitats'!M61</f>
        <v>Same distinctiveness or better habitat required ≥</v>
      </c>
      <c r="E62" s="277">
        <f>IF(C62="V.High",SUMIF('A-1 On-Site Habitat Baseline'!$AV$11:$AV$258,'G-2 Habitat groups'!A62,'A-1 On-Site Habitat Baseline'!$S$11:$S$258)+SUMIF('A-1 On-Site Habitat Baseline'!$AV$11:$AV$258,'G-2 Habitat groups'!A62,'A-1 On-Site Habitat Baseline'!$T$11:$T$258),SUMIF('A-1 On-Site Habitat Baseline'!$AV$11:$AV$258,'G-2 Habitat groups'!A62,'A-1 On-Site Habitat Baseline'!$H$11:$H$258))</f>
        <v>0</v>
      </c>
      <c r="F62" s="277">
        <f>SUMIF('A-1 On-Site Habitat Baseline'!$AV$11:$AV$258,'G-2 Habitat groups'!A62,'A-1 On-Site Habitat Baseline'!$Q$11:$Q$258)</f>
        <v>0</v>
      </c>
      <c r="G62" s="277">
        <f>SUMIF('A-1 On-Site Habitat Baseline'!$AV$11:$AV$258,'G-2 Habitat groups'!A62,'A-1 On-Site Habitat Baseline'!$S$11:$S$258)</f>
        <v>0</v>
      </c>
      <c r="H62" s="277">
        <f>SUMIF('A-1 On-Site Habitat Baseline'!$AV$11:$AV$258,'G-2 Habitat groups'!A62,'A-1 On-Site Habitat Baseline'!$U$11:$U$258)</f>
        <v>0</v>
      </c>
      <c r="I62" s="277">
        <f>SUMIF('A-1 On-Site Habitat Baseline'!$AV$11:$AV$258,'G-2 Habitat groups'!A62,'A-1 On-Site Habitat Baseline'!$W$11:$W$258)</f>
        <v>0</v>
      </c>
      <c r="J62" s="277">
        <f>SUMIF('A-1 On-Site Habitat Baseline'!$AV$11:$AV$258,'G-2 Habitat groups'!A62,'A-1 On-Site Habitat Baseline'!$X$11:$X$258)</f>
        <v>0</v>
      </c>
      <c r="K62" s="277">
        <f>SUMIF('A-2 On-Site Habitat Creation'!$F$11:$F$256,'G-2 Habitat groups'!A62,'A-2 On-Site Habitat Creation'!$G$11:$G$256)</f>
        <v>0</v>
      </c>
      <c r="L62" s="277">
        <f>SUMIF('A-2 On-Site Habitat Creation'!$F$11:$F$256,'G-2 Habitat groups'!A62,'A-2 On-Site Habitat Creation'!$Y$11:$Y$256)</f>
        <v>0</v>
      </c>
      <c r="M62" s="277">
        <f>SUMIF('A-3 On-Site Habitat Enhancement'!$S$12:$S$257,'G-2 Habitat groups'!A62,'A-3 On-Site Habitat Enhancement'!$V$12:$V$257)</f>
        <v>0</v>
      </c>
      <c r="N62" s="277">
        <f>SUMIF('A-3 On-Site Habitat Enhancement'!$S$12:$S$257,'G-2 Habitat groups'!A62,'A-3 On-Site Habitat Enhancement'!$AN$12:$AN$257)</f>
        <v>0</v>
      </c>
      <c r="O62" s="277">
        <f t="shared" si="43"/>
        <v>0</v>
      </c>
      <c r="P62" s="277">
        <f t="shared" si="44"/>
        <v>0</v>
      </c>
      <c r="Q62" s="277">
        <f t="shared" si="45"/>
        <v>0</v>
      </c>
      <c r="R62" s="277">
        <f t="shared" si="46"/>
        <v>0</v>
      </c>
      <c r="S62" s="277" t="e">
        <f>IF(C62="V.High",SUMIF(#REF!,'G-2 Habitat groups'!A62,#REF!)+SUMIF(#REF!,'G-2 Habitat groups'!A62,#REF!),SUMIF(#REF!,'G-2 Habitat groups'!A62,#REF!))</f>
        <v>#REF!</v>
      </c>
      <c r="T62" s="277" t="e">
        <f>SUMIF(#REF!,'G-2 Habitat groups'!A62,#REF!)</f>
        <v>#REF!</v>
      </c>
      <c r="U62" s="277" t="e">
        <f>SUMIF(#REF!,'G-2 Habitat groups'!A62,#REF!)</f>
        <v>#REF!</v>
      </c>
      <c r="V62" s="277" t="e">
        <f>SUMIF(#REF!,'G-2 Habitat groups'!A62,#REF!)</f>
        <v>#REF!</v>
      </c>
      <c r="W62" s="277" t="e">
        <f>SUMIF(#REF!,'G-2 Habitat groups'!A62,#REF!)</f>
        <v>#REF!</v>
      </c>
      <c r="X62" s="277" t="e">
        <f>SUMIF(#REF!,'G-2 Habitat groups'!A62,#REF!)</f>
        <v>#REF!</v>
      </c>
      <c r="Y62" s="277" t="e">
        <f>SUMIF(#REF!,'G-2 Habitat groups'!A62,#REF!)</f>
        <v>#REF!</v>
      </c>
      <c r="Z62" s="277" t="e">
        <f>SUMIF(#REF!,'G-2 Habitat groups'!A62,#REF!)</f>
        <v>#REF!</v>
      </c>
      <c r="AA62" s="277" t="e">
        <f t="shared" si="47"/>
        <v>#REF!</v>
      </c>
      <c r="AB62" s="277" t="e">
        <f t="shared" si="48"/>
        <v>#REF!</v>
      </c>
      <c r="AC62" s="277" t="e">
        <f t="shared" si="49"/>
        <v>#REF!</v>
      </c>
      <c r="AD62" s="277" t="e">
        <f t="shared" si="50"/>
        <v>#REF!</v>
      </c>
      <c r="AE62" s="277" t="e">
        <f t="shared" si="51"/>
        <v>#REF!</v>
      </c>
      <c r="AF62" s="277" t="e">
        <f t="shared" si="52"/>
        <v>#REF!</v>
      </c>
      <c r="AU62" s="52" t="s">
        <v>649</v>
      </c>
      <c r="AV62" s="52" t="s">
        <v>805</v>
      </c>
      <c r="AW62" s="288">
        <f t="shared" si="33"/>
        <v>0</v>
      </c>
      <c r="AX62" s="288">
        <f t="shared" si="34"/>
        <v>0</v>
      </c>
      <c r="AY62" s="288">
        <f t="shared" si="35"/>
        <v>0</v>
      </c>
      <c r="AZ62" s="288">
        <f t="shared" si="36"/>
        <v>0</v>
      </c>
      <c r="BA62" s="288">
        <f t="shared" si="37"/>
        <v>0</v>
      </c>
      <c r="BB62" s="288">
        <f t="shared" si="38"/>
        <v>0</v>
      </c>
      <c r="BC62" s="288" t="e">
        <f t="shared" si="39"/>
        <v>#REF!</v>
      </c>
      <c r="BD62" s="288" t="e">
        <f t="shared" si="40"/>
        <v>#REF!</v>
      </c>
      <c r="BE62" s="288" t="e">
        <f t="shared" si="41"/>
        <v>#REF!</v>
      </c>
      <c r="BF62" s="288" t="e">
        <f t="shared" si="42"/>
        <v>#REF!</v>
      </c>
    </row>
    <row r="63" spans="1:58" x14ac:dyDescent="0.3">
      <c r="A63" s="63" t="str">
        <f>'G-1 All Habitats'!B62</f>
        <v>Urban - Intensive green roof</v>
      </c>
      <c r="B63" s="52" t="str">
        <f>'G-1 All Habitats'!F62</f>
        <v>Built environment</v>
      </c>
      <c r="C63" s="52" t="str">
        <f>'G-1 All Habitats'!K62</f>
        <v>Low</v>
      </c>
      <c r="D63" s="52" t="str">
        <f>'G-1 All Habitats'!M62</f>
        <v>Same distinctiveness or better habitat required ≥</v>
      </c>
      <c r="E63" s="277">
        <f>IF(C63="V.High",SUMIF('A-1 On-Site Habitat Baseline'!$AV$11:$AV$258,'G-2 Habitat groups'!A63,'A-1 On-Site Habitat Baseline'!$S$11:$S$258)+SUMIF('A-1 On-Site Habitat Baseline'!$AV$11:$AV$258,'G-2 Habitat groups'!A63,'A-1 On-Site Habitat Baseline'!$T$11:$T$258),SUMIF('A-1 On-Site Habitat Baseline'!$AV$11:$AV$258,'G-2 Habitat groups'!A63,'A-1 On-Site Habitat Baseline'!$H$11:$H$258))</f>
        <v>0</v>
      </c>
      <c r="F63" s="277">
        <f>SUMIF('A-1 On-Site Habitat Baseline'!$AV$11:$AV$258,'G-2 Habitat groups'!A63,'A-1 On-Site Habitat Baseline'!$Q$11:$Q$258)</f>
        <v>0</v>
      </c>
      <c r="G63" s="277">
        <f>SUMIF('A-1 On-Site Habitat Baseline'!$AV$11:$AV$258,'G-2 Habitat groups'!A63,'A-1 On-Site Habitat Baseline'!$S$11:$S$258)</f>
        <v>0</v>
      </c>
      <c r="H63" s="277">
        <f>SUMIF('A-1 On-Site Habitat Baseline'!$AV$11:$AV$258,'G-2 Habitat groups'!A63,'A-1 On-Site Habitat Baseline'!$U$11:$U$258)</f>
        <v>0</v>
      </c>
      <c r="I63" s="277">
        <f>SUMIF('A-1 On-Site Habitat Baseline'!$AV$11:$AV$258,'G-2 Habitat groups'!A63,'A-1 On-Site Habitat Baseline'!$W$11:$W$258)</f>
        <v>0</v>
      </c>
      <c r="J63" s="277">
        <f>SUMIF('A-1 On-Site Habitat Baseline'!$AV$11:$AV$258,'G-2 Habitat groups'!A63,'A-1 On-Site Habitat Baseline'!$X$11:$X$258)</f>
        <v>0</v>
      </c>
      <c r="K63" s="277">
        <f>SUMIF('A-2 On-Site Habitat Creation'!$F$11:$F$256,'G-2 Habitat groups'!A63,'A-2 On-Site Habitat Creation'!$G$11:$G$256)</f>
        <v>0</v>
      </c>
      <c r="L63" s="277">
        <f>SUMIF('A-2 On-Site Habitat Creation'!$F$11:$F$256,'G-2 Habitat groups'!A63,'A-2 On-Site Habitat Creation'!$Y$11:$Y$256)</f>
        <v>0</v>
      </c>
      <c r="M63" s="277">
        <f>SUMIF('A-3 On-Site Habitat Enhancement'!$S$12:$S$257,'G-2 Habitat groups'!A63,'A-3 On-Site Habitat Enhancement'!$V$12:$V$257)</f>
        <v>0</v>
      </c>
      <c r="N63" s="277">
        <f>SUMIF('A-3 On-Site Habitat Enhancement'!$S$12:$S$257,'G-2 Habitat groups'!A63,'A-3 On-Site Habitat Enhancement'!$AN$12:$AN$257)</f>
        <v>0</v>
      </c>
      <c r="O63" s="277">
        <f t="shared" si="43"/>
        <v>0</v>
      </c>
      <c r="P63" s="277">
        <f t="shared" si="44"/>
        <v>0</v>
      </c>
      <c r="Q63" s="277">
        <f t="shared" si="45"/>
        <v>0</v>
      </c>
      <c r="R63" s="277">
        <f t="shared" si="46"/>
        <v>0</v>
      </c>
      <c r="S63" s="277" t="e">
        <f>IF(C63="V.High",SUMIF(#REF!,'G-2 Habitat groups'!A63,#REF!)+SUMIF(#REF!,'G-2 Habitat groups'!A63,#REF!),SUMIF(#REF!,'G-2 Habitat groups'!A63,#REF!))</f>
        <v>#REF!</v>
      </c>
      <c r="T63" s="277" t="e">
        <f>SUMIF(#REF!,'G-2 Habitat groups'!A63,#REF!)</f>
        <v>#REF!</v>
      </c>
      <c r="U63" s="277" t="e">
        <f>SUMIF(#REF!,'G-2 Habitat groups'!A63,#REF!)</f>
        <v>#REF!</v>
      </c>
      <c r="V63" s="277" t="e">
        <f>SUMIF(#REF!,'G-2 Habitat groups'!A63,#REF!)</f>
        <v>#REF!</v>
      </c>
      <c r="W63" s="277" t="e">
        <f>SUMIF(#REF!,'G-2 Habitat groups'!A63,#REF!)</f>
        <v>#REF!</v>
      </c>
      <c r="X63" s="277" t="e">
        <f>SUMIF(#REF!,'G-2 Habitat groups'!A63,#REF!)</f>
        <v>#REF!</v>
      </c>
      <c r="Y63" s="277" t="e">
        <f>SUMIF(#REF!,'G-2 Habitat groups'!A63,#REF!)</f>
        <v>#REF!</v>
      </c>
      <c r="Z63" s="277" t="e">
        <f>SUMIF(#REF!,'G-2 Habitat groups'!A63,#REF!)</f>
        <v>#REF!</v>
      </c>
      <c r="AA63" s="277" t="e">
        <f t="shared" si="47"/>
        <v>#REF!</v>
      </c>
      <c r="AB63" s="277" t="e">
        <f t="shared" si="48"/>
        <v>#REF!</v>
      </c>
      <c r="AC63" s="277" t="e">
        <f t="shared" si="49"/>
        <v>#REF!</v>
      </c>
      <c r="AD63" s="277" t="e">
        <f t="shared" si="50"/>
        <v>#REF!</v>
      </c>
      <c r="AE63" s="277" t="e">
        <f t="shared" si="51"/>
        <v>#REF!</v>
      </c>
      <c r="AF63" s="277" t="e">
        <f t="shared" si="52"/>
        <v>#REF!</v>
      </c>
      <c r="AU63" s="52" t="s">
        <v>657</v>
      </c>
      <c r="AV63" s="52" t="s">
        <v>805</v>
      </c>
      <c r="AW63" s="288">
        <f t="shared" si="33"/>
        <v>0</v>
      </c>
      <c r="AX63" s="288">
        <f t="shared" si="34"/>
        <v>0</v>
      </c>
      <c r="AY63" s="288">
        <f t="shared" si="35"/>
        <v>0</v>
      </c>
      <c r="AZ63" s="288">
        <f t="shared" si="36"/>
        <v>0</v>
      </c>
      <c r="BA63" s="288">
        <f t="shared" si="37"/>
        <v>0</v>
      </c>
      <c r="BB63" s="288">
        <f t="shared" si="38"/>
        <v>0</v>
      </c>
      <c r="BC63" s="288" t="e">
        <f t="shared" si="39"/>
        <v>#REF!</v>
      </c>
      <c r="BD63" s="288" t="e">
        <f t="shared" si="40"/>
        <v>#REF!</v>
      </c>
      <c r="BE63" s="288" t="e">
        <f t="shared" si="41"/>
        <v>#REF!</v>
      </c>
      <c r="BF63" s="288" t="e">
        <f t="shared" si="42"/>
        <v>#REF!</v>
      </c>
    </row>
    <row r="64" spans="1:58" x14ac:dyDescent="0.3">
      <c r="A64" s="63" t="str">
        <f>'G-1 All Habitats'!B63</f>
        <v>Urban - Built linear features</v>
      </c>
      <c r="B64" s="52" t="str">
        <f>'G-1 All Habitats'!F63</f>
        <v>Urban</v>
      </c>
      <c r="C64" s="52" t="str">
        <f>'G-1 All Habitats'!K63</f>
        <v>V.Low</v>
      </c>
      <c r="D64" s="52" t="str">
        <f>'G-1 All Habitats'!M63</f>
        <v>Compensation Not Required</v>
      </c>
      <c r="E64" s="277">
        <f>IF(C64="V.High",SUMIF('A-1 On-Site Habitat Baseline'!$AV$11:$AV$258,'G-2 Habitat groups'!A64,'A-1 On-Site Habitat Baseline'!$S$11:$S$258)+SUMIF('A-1 On-Site Habitat Baseline'!$AV$11:$AV$258,'G-2 Habitat groups'!A64,'A-1 On-Site Habitat Baseline'!$T$11:$T$258),SUMIF('A-1 On-Site Habitat Baseline'!$AV$11:$AV$258,'G-2 Habitat groups'!A64,'A-1 On-Site Habitat Baseline'!$H$11:$H$258))</f>
        <v>0</v>
      </c>
      <c r="F64" s="277">
        <f>SUMIF('A-1 On-Site Habitat Baseline'!$AV$11:$AV$258,'G-2 Habitat groups'!A64,'A-1 On-Site Habitat Baseline'!$Q$11:$Q$258)</f>
        <v>0</v>
      </c>
      <c r="G64" s="277">
        <f>SUMIF('A-1 On-Site Habitat Baseline'!$AV$11:$AV$258,'G-2 Habitat groups'!A64,'A-1 On-Site Habitat Baseline'!$S$11:$S$258)</f>
        <v>0</v>
      </c>
      <c r="H64" s="277">
        <f>SUMIF('A-1 On-Site Habitat Baseline'!$AV$11:$AV$258,'G-2 Habitat groups'!A64,'A-1 On-Site Habitat Baseline'!$U$11:$U$258)</f>
        <v>0</v>
      </c>
      <c r="I64" s="277">
        <f>SUMIF('A-1 On-Site Habitat Baseline'!$AV$11:$AV$258,'G-2 Habitat groups'!A64,'A-1 On-Site Habitat Baseline'!$W$11:$W$258)</f>
        <v>0</v>
      </c>
      <c r="J64" s="277">
        <f>SUMIF('A-1 On-Site Habitat Baseline'!$AV$11:$AV$258,'G-2 Habitat groups'!A64,'A-1 On-Site Habitat Baseline'!$X$11:$X$258)</f>
        <v>0</v>
      </c>
      <c r="K64" s="277">
        <f>SUMIF('A-2 On-Site Habitat Creation'!$F$11:$F$256,'G-2 Habitat groups'!A64,'A-2 On-Site Habitat Creation'!$G$11:$G$256)</f>
        <v>0</v>
      </c>
      <c r="L64" s="277">
        <f>SUMIF('A-2 On-Site Habitat Creation'!$F$11:$F$256,'G-2 Habitat groups'!A64,'A-2 On-Site Habitat Creation'!$Y$11:$Y$256)</f>
        <v>0</v>
      </c>
      <c r="M64" s="277">
        <f>SUMIF('A-3 On-Site Habitat Enhancement'!$S$12:$S$257,'G-2 Habitat groups'!A64,'A-3 On-Site Habitat Enhancement'!$V$12:$V$257)</f>
        <v>0</v>
      </c>
      <c r="N64" s="277">
        <f>SUMIF('A-3 On-Site Habitat Enhancement'!$S$12:$S$257,'G-2 Habitat groups'!A64,'A-3 On-Site Habitat Enhancement'!$AN$12:$AN$257)</f>
        <v>0</v>
      </c>
      <c r="O64" s="277">
        <f t="shared" si="43"/>
        <v>0</v>
      </c>
      <c r="P64" s="277">
        <f t="shared" si="44"/>
        <v>0</v>
      </c>
      <c r="Q64" s="277">
        <f t="shared" si="45"/>
        <v>0</v>
      </c>
      <c r="R64" s="277">
        <f t="shared" si="46"/>
        <v>0</v>
      </c>
      <c r="S64" s="277" t="e">
        <f>IF(C64="V.High",SUMIF(#REF!,'G-2 Habitat groups'!A64,#REF!)+SUMIF(#REF!,'G-2 Habitat groups'!A64,#REF!),SUMIF(#REF!,'G-2 Habitat groups'!A64,#REF!))</f>
        <v>#REF!</v>
      </c>
      <c r="T64" s="277" t="e">
        <f>SUMIF(#REF!,'G-2 Habitat groups'!A64,#REF!)</f>
        <v>#REF!</v>
      </c>
      <c r="U64" s="277" t="e">
        <f>SUMIF(#REF!,'G-2 Habitat groups'!A64,#REF!)</f>
        <v>#REF!</v>
      </c>
      <c r="V64" s="277" t="e">
        <f>SUMIF(#REF!,'G-2 Habitat groups'!A64,#REF!)</f>
        <v>#REF!</v>
      </c>
      <c r="W64" s="277" t="e">
        <f>SUMIF(#REF!,'G-2 Habitat groups'!A64,#REF!)</f>
        <v>#REF!</v>
      </c>
      <c r="X64" s="277" t="e">
        <f>SUMIF(#REF!,'G-2 Habitat groups'!A64,#REF!)</f>
        <v>#REF!</v>
      </c>
      <c r="Y64" s="277" t="e">
        <f>SUMIF(#REF!,'G-2 Habitat groups'!A64,#REF!)</f>
        <v>#REF!</v>
      </c>
      <c r="Z64" s="277" t="e">
        <f>SUMIF(#REF!,'G-2 Habitat groups'!A64,#REF!)</f>
        <v>#REF!</v>
      </c>
      <c r="AA64" s="277" t="e">
        <f t="shared" si="47"/>
        <v>#REF!</v>
      </c>
      <c r="AB64" s="277" t="e">
        <f t="shared" si="48"/>
        <v>#REF!</v>
      </c>
      <c r="AC64" s="277" t="e">
        <f t="shared" si="49"/>
        <v>#REF!</v>
      </c>
      <c r="AD64" s="277" t="e">
        <f t="shared" si="50"/>
        <v>#REF!</v>
      </c>
      <c r="AE64" s="277" t="e">
        <f t="shared" si="51"/>
        <v>#REF!</v>
      </c>
      <c r="AF64" s="277" t="e">
        <f t="shared" si="52"/>
        <v>#REF!</v>
      </c>
      <c r="AU64" s="52" t="s">
        <v>664</v>
      </c>
      <c r="AV64" s="52" t="s">
        <v>805</v>
      </c>
      <c r="AW64" s="288">
        <f t="shared" si="33"/>
        <v>0</v>
      </c>
      <c r="AX64" s="288">
        <f t="shared" si="34"/>
        <v>0</v>
      </c>
      <c r="AY64" s="288">
        <f t="shared" si="35"/>
        <v>0</v>
      </c>
      <c r="AZ64" s="288">
        <f t="shared" si="36"/>
        <v>0</v>
      </c>
      <c r="BA64" s="288">
        <f t="shared" si="37"/>
        <v>0</v>
      </c>
      <c r="BB64" s="288">
        <f t="shared" si="38"/>
        <v>0</v>
      </c>
      <c r="BC64" s="288" t="e">
        <f t="shared" si="39"/>
        <v>#REF!</v>
      </c>
      <c r="BD64" s="288" t="e">
        <f t="shared" si="40"/>
        <v>#REF!</v>
      </c>
      <c r="BE64" s="288" t="e">
        <f t="shared" si="41"/>
        <v>#REF!</v>
      </c>
      <c r="BF64" s="288" t="e">
        <f t="shared" si="42"/>
        <v>#REF!</v>
      </c>
    </row>
    <row r="65" spans="1:59" x14ac:dyDescent="0.3">
      <c r="A65" s="63" t="str">
        <f>'G-1 All Habitats'!B64</f>
        <v>Urban - Cemeteries and churchyards</v>
      </c>
      <c r="B65" s="52" t="str">
        <f>'G-1 All Habitats'!F64</f>
        <v>Built environment</v>
      </c>
      <c r="C65" s="52" t="str">
        <f>'G-1 All Habitats'!K64</f>
        <v>Medium</v>
      </c>
      <c r="D65" s="52" t="str">
        <f>'G-1 All Habitats'!M64</f>
        <v>Same broad habitat or a higher distinctiveness habitat required (≥)</v>
      </c>
      <c r="E65" s="277">
        <f>IF(C65="V.High",SUMIF('A-1 On-Site Habitat Baseline'!$AV$11:$AV$258,'G-2 Habitat groups'!A65,'A-1 On-Site Habitat Baseline'!$S$11:$S$258)+SUMIF('A-1 On-Site Habitat Baseline'!$AV$11:$AV$258,'G-2 Habitat groups'!A65,'A-1 On-Site Habitat Baseline'!$T$11:$T$258),SUMIF('A-1 On-Site Habitat Baseline'!$AV$11:$AV$258,'G-2 Habitat groups'!A65,'A-1 On-Site Habitat Baseline'!$H$11:$H$258))</f>
        <v>0</v>
      </c>
      <c r="F65" s="277">
        <f>SUMIF('A-1 On-Site Habitat Baseline'!$AV$11:$AV$258,'G-2 Habitat groups'!A65,'A-1 On-Site Habitat Baseline'!$Q$11:$Q$258)</f>
        <v>0</v>
      </c>
      <c r="G65" s="277">
        <f>SUMIF('A-1 On-Site Habitat Baseline'!$AV$11:$AV$258,'G-2 Habitat groups'!A65,'A-1 On-Site Habitat Baseline'!$S$11:$S$258)</f>
        <v>0</v>
      </c>
      <c r="H65" s="277">
        <f>SUMIF('A-1 On-Site Habitat Baseline'!$AV$11:$AV$258,'G-2 Habitat groups'!A65,'A-1 On-Site Habitat Baseline'!$U$11:$U$258)</f>
        <v>0</v>
      </c>
      <c r="I65" s="277">
        <f>SUMIF('A-1 On-Site Habitat Baseline'!$AV$11:$AV$258,'G-2 Habitat groups'!A65,'A-1 On-Site Habitat Baseline'!$W$11:$W$258)</f>
        <v>0</v>
      </c>
      <c r="J65" s="277">
        <f>SUMIF('A-1 On-Site Habitat Baseline'!$AV$11:$AV$258,'G-2 Habitat groups'!A65,'A-1 On-Site Habitat Baseline'!$X$11:$X$258)</f>
        <v>0</v>
      </c>
      <c r="K65" s="277">
        <f>SUMIF('A-2 On-Site Habitat Creation'!$F$11:$F$256,'G-2 Habitat groups'!A65,'A-2 On-Site Habitat Creation'!$G$11:$G$256)</f>
        <v>0</v>
      </c>
      <c r="L65" s="277">
        <f>SUMIF('A-2 On-Site Habitat Creation'!$F$11:$F$256,'G-2 Habitat groups'!A65,'A-2 On-Site Habitat Creation'!$Y$11:$Y$256)</f>
        <v>0</v>
      </c>
      <c r="M65" s="277">
        <f>SUMIF('A-3 On-Site Habitat Enhancement'!$S$12:$S$257,'G-2 Habitat groups'!A65,'A-3 On-Site Habitat Enhancement'!$V$12:$V$257)</f>
        <v>0</v>
      </c>
      <c r="N65" s="277">
        <f>SUMIF('A-3 On-Site Habitat Enhancement'!$S$12:$S$257,'G-2 Habitat groups'!A65,'A-3 On-Site Habitat Enhancement'!$AN$12:$AN$257)</f>
        <v>0</v>
      </c>
      <c r="O65" s="277">
        <f t="shared" si="43"/>
        <v>0</v>
      </c>
      <c r="P65" s="277">
        <f t="shared" si="44"/>
        <v>0</v>
      </c>
      <c r="Q65" s="277">
        <f t="shared" si="45"/>
        <v>0</v>
      </c>
      <c r="R65" s="277">
        <f t="shared" si="46"/>
        <v>0</v>
      </c>
      <c r="S65" s="277" t="e">
        <f>IF(C65="V.High",SUMIF(#REF!,'G-2 Habitat groups'!A65,#REF!)+SUMIF(#REF!,'G-2 Habitat groups'!A65,#REF!),SUMIF(#REF!,'G-2 Habitat groups'!A65,#REF!))</f>
        <v>#REF!</v>
      </c>
      <c r="T65" s="277" t="e">
        <f>SUMIF(#REF!,'G-2 Habitat groups'!A65,#REF!)</f>
        <v>#REF!</v>
      </c>
      <c r="U65" s="277" t="e">
        <f>SUMIF(#REF!,'G-2 Habitat groups'!A65,#REF!)</f>
        <v>#REF!</v>
      </c>
      <c r="V65" s="277" t="e">
        <f>SUMIF(#REF!,'G-2 Habitat groups'!A65,#REF!)</f>
        <v>#REF!</v>
      </c>
      <c r="W65" s="277" t="e">
        <f>SUMIF(#REF!,'G-2 Habitat groups'!A65,#REF!)</f>
        <v>#REF!</v>
      </c>
      <c r="X65" s="277" t="e">
        <f>SUMIF(#REF!,'G-2 Habitat groups'!A65,#REF!)</f>
        <v>#REF!</v>
      </c>
      <c r="Y65" s="277" t="e">
        <f>SUMIF(#REF!,'G-2 Habitat groups'!A65,#REF!)</f>
        <v>#REF!</v>
      </c>
      <c r="Z65" s="277" t="e">
        <f>SUMIF(#REF!,'G-2 Habitat groups'!A65,#REF!)</f>
        <v>#REF!</v>
      </c>
      <c r="AA65" s="277" t="e">
        <f t="shared" si="47"/>
        <v>#REF!</v>
      </c>
      <c r="AB65" s="277" t="e">
        <f t="shared" si="48"/>
        <v>#REF!</v>
      </c>
      <c r="AC65" s="277" t="e">
        <f t="shared" si="49"/>
        <v>#REF!</v>
      </c>
      <c r="AD65" s="277" t="e">
        <f t="shared" si="50"/>
        <v>#REF!</v>
      </c>
      <c r="AE65" s="277" t="e">
        <f t="shared" si="51"/>
        <v>#REF!</v>
      </c>
      <c r="AF65" s="277" t="e">
        <f t="shared" si="52"/>
        <v>#REF!</v>
      </c>
      <c r="AU65" s="52" t="s">
        <v>671</v>
      </c>
      <c r="AV65" s="52" t="s">
        <v>805</v>
      </c>
      <c r="AW65" s="288">
        <f t="shared" si="33"/>
        <v>0</v>
      </c>
      <c r="AX65" s="288">
        <f t="shared" si="34"/>
        <v>0</v>
      </c>
      <c r="AY65" s="288">
        <f t="shared" si="35"/>
        <v>0</v>
      </c>
      <c r="AZ65" s="288">
        <f t="shared" si="36"/>
        <v>0</v>
      </c>
      <c r="BA65" s="288">
        <f t="shared" si="37"/>
        <v>0</v>
      </c>
      <c r="BB65" s="288">
        <f t="shared" si="38"/>
        <v>0</v>
      </c>
      <c r="BC65" s="288" t="e">
        <f t="shared" si="39"/>
        <v>#REF!</v>
      </c>
      <c r="BD65" s="288" t="e">
        <f t="shared" si="40"/>
        <v>#REF!</v>
      </c>
      <c r="BE65" s="288" t="e">
        <f t="shared" si="41"/>
        <v>#REF!</v>
      </c>
      <c r="BF65" s="288" t="e">
        <f t="shared" si="42"/>
        <v>#REF!</v>
      </c>
    </row>
    <row r="66" spans="1:59" x14ac:dyDescent="0.3">
      <c r="A66" s="63" t="str">
        <f>'G-1 All Habitats'!B65</f>
        <v>Urban - Developed land; sealed surface</v>
      </c>
      <c r="B66" s="52" t="str">
        <f>'G-1 All Habitats'!F65</f>
        <v>Urban</v>
      </c>
      <c r="C66" s="52" t="str">
        <f>'G-1 All Habitats'!K65</f>
        <v>V.Low</v>
      </c>
      <c r="D66" s="52" t="str">
        <f>'G-1 All Habitats'!M65</f>
        <v>Compensation Not Required</v>
      </c>
      <c r="E66" s="277">
        <f>IF(C66="V.High",SUMIF('A-1 On-Site Habitat Baseline'!$AV$11:$AV$258,'G-2 Habitat groups'!A66,'A-1 On-Site Habitat Baseline'!$S$11:$S$258)+SUMIF('A-1 On-Site Habitat Baseline'!$AV$11:$AV$258,'G-2 Habitat groups'!A66,'A-1 On-Site Habitat Baseline'!$T$11:$T$258),SUMIF('A-1 On-Site Habitat Baseline'!$AV$11:$AV$258,'G-2 Habitat groups'!A66,'A-1 On-Site Habitat Baseline'!$H$11:$H$258))</f>
        <v>0</v>
      </c>
      <c r="F66" s="277">
        <f>SUMIF('A-1 On-Site Habitat Baseline'!$AV$11:$AV$258,'G-2 Habitat groups'!A66,'A-1 On-Site Habitat Baseline'!$Q$11:$Q$258)</f>
        <v>0</v>
      </c>
      <c r="G66" s="277">
        <f>SUMIF('A-1 On-Site Habitat Baseline'!$AV$11:$AV$258,'G-2 Habitat groups'!A66,'A-1 On-Site Habitat Baseline'!$S$11:$S$258)</f>
        <v>0</v>
      </c>
      <c r="H66" s="277">
        <f>SUMIF('A-1 On-Site Habitat Baseline'!$AV$11:$AV$258,'G-2 Habitat groups'!A66,'A-1 On-Site Habitat Baseline'!$U$11:$U$258)</f>
        <v>0</v>
      </c>
      <c r="I66" s="277">
        <f>SUMIF('A-1 On-Site Habitat Baseline'!$AV$11:$AV$258,'G-2 Habitat groups'!A66,'A-1 On-Site Habitat Baseline'!$W$11:$W$258)</f>
        <v>0</v>
      </c>
      <c r="J66" s="277">
        <f>SUMIF('A-1 On-Site Habitat Baseline'!$AV$11:$AV$258,'G-2 Habitat groups'!A66,'A-1 On-Site Habitat Baseline'!$X$11:$X$258)</f>
        <v>0</v>
      </c>
      <c r="K66" s="277">
        <f>SUMIF('A-2 On-Site Habitat Creation'!$F$11:$F$256,'G-2 Habitat groups'!A66,'A-2 On-Site Habitat Creation'!$G$11:$G$256)</f>
        <v>0</v>
      </c>
      <c r="L66" s="277">
        <f>SUMIF('A-2 On-Site Habitat Creation'!$F$11:$F$256,'G-2 Habitat groups'!A66,'A-2 On-Site Habitat Creation'!$Y$11:$Y$256)</f>
        <v>0</v>
      </c>
      <c r="M66" s="277">
        <f>SUMIF('A-3 On-Site Habitat Enhancement'!$S$12:$S$257,'G-2 Habitat groups'!A66,'A-3 On-Site Habitat Enhancement'!$V$12:$V$257)</f>
        <v>0</v>
      </c>
      <c r="N66" s="277">
        <f>SUMIF('A-3 On-Site Habitat Enhancement'!$S$12:$S$257,'G-2 Habitat groups'!A66,'A-3 On-Site Habitat Enhancement'!$AN$12:$AN$257)</f>
        <v>0</v>
      </c>
      <c r="O66" s="277">
        <f t="shared" si="43"/>
        <v>0</v>
      </c>
      <c r="P66" s="277">
        <f t="shared" si="44"/>
        <v>0</v>
      </c>
      <c r="Q66" s="277">
        <f t="shared" si="45"/>
        <v>0</v>
      </c>
      <c r="R66" s="277">
        <f t="shared" si="46"/>
        <v>0</v>
      </c>
      <c r="S66" s="277" t="e">
        <f>IF(C66="V.High",SUMIF(#REF!,'G-2 Habitat groups'!A66,#REF!)+SUMIF(#REF!,'G-2 Habitat groups'!A66,#REF!),SUMIF(#REF!,'G-2 Habitat groups'!A66,#REF!))</f>
        <v>#REF!</v>
      </c>
      <c r="T66" s="277" t="e">
        <f>SUMIF(#REF!,'G-2 Habitat groups'!A66,#REF!)</f>
        <v>#REF!</v>
      </c>
      <c r="U66" s="277" t="e">
        <f>SUMIF(#REF!,'G-2 Habitat groups'!A66,#REF!)</f>
        <v>#REF!</v>
      </c>
      <c r="V66" s="277" t="e">
        <f>SUMIF(#REF!,'G-2 Habitat groups'!A66,#REF!)</f>
        <v>#REF!</v>
      </c>
      <c r="W66" s="277" t="e">
        <f>SUMIF(#REF!,'G-2 Habitat groups'!A66,#REF!)</f>
        <v>#REF!</v>
      </c>
      <c r="X66" s="277" t="e">
        <f>SUMIF(#REF!,'G-2 Habitat groups'!A66,#REF!)</f>
        <v>#REF!</v>
      </c>
      <c r="Y66" s="277" t="e">
        <f>SUMIF(#REF!,'G-2 Habitat groups'!A66,#REF!)</f>
        <v>#REF!</v>
      </c>
      <c r="Z66" s="277" t="e">
        <f>SUMIF(#REF!,'G-2 Habitat groups'!A66,#REF!)</f>
        <v>#REF!</v>
      </c>
      <c r="AA66" s="277" t="e">
        <f t="shared" si="47"/>
        <v>#REF!</v>
      </c>
      <c r="AB66" s="277" t="e">
        <f t="shared" si="48"/>
        <v>#REF!</v>
      </c>
      <c r="AC66" s="277" t="e">
        <f t="shared" si="49"/>
        <v>#REF!</v>
      </c>
      <c r="AD66" s="277" t="e">
        <f t="shared" si="50"/>
        <v>#REF!</v>
      </c>
      <c r="AE66" s="277" t="e">
        <f t="shared" si="51"/>
        <v>#REF!</v>
      </c>
      <c r="AF66" s="277" t="e">
        <f t="shared" si="52"/>
        <v>#REF!</v>
      </c>
      <c r="AU66" s="52" t="s">
        <v>689</v>
      </c>
      <c r="AV66" s="52" t="s">
        <v>54</v>
      </c>
      <c r="AW66" s="288">
        <f t="shared" si="33"/>
        <v>0</v>
      </c>
      <c r="AX66" s="288">
        <f t="shared" si="34"/>
        <v>0</v>
      </c>
      <c r="AY66" s="288">
        <f t="shared" si="35"/>
        <v>0</v>
      </c>
      <c r="AZ66" s="288">
        <f t="shared" si="36"/>
        <v>0</v>
      </c>
      <c r="BA66" s="288">
        <f t="shared" si="37"/>
        <v>0</v>
      </c>
      <c r="BB66" s="288">
        <f t="shared" si="38"/>
        <v>0</v>
      </c>
      <c r="BC66" s="288" t="e">
        <f t="shared" si="39"/>
        <v>#REF!</v>
      </c>
      <c r="BD66" s="288" t="e">
        <f t="shared" si="40"/>
        <v>#REF!</v>
      </c>
      <c r="BE66" s="288" t="e">
        <f t="shared" si="41"/>
        <v>#REF!</v>
      </c>
      <c r="BF66" s="288" t="e">
        <f t="shared" si="42"/>
        <v>#REF!</v>
      </c>
    </row>
    <row r="67" spans="1:59" x14ac:dyDescent="0.3">
      <c r="A67" s="63" t="str">
        <f>'G-1 All Habitats'!B66</f>
        <v>Urban - Other green roof</v>
      </c>
      <c r="B67" s="52" t="str">
        <f>'G-1 All Habitats'!F66</f>
        <v>Built environment</v>
      </c>
      <c r="C67" s="52" t="str">
        <f>'G-1 All Habitats'!K66</f>
        <v>Low</v>
      </c>
      <c r="D67" s="52" t="str">
        <f>'G-1 All Habitats'!M66</f>
        <v>Same distinctiveness or better habitat required ≥</v>
      </c>
      <c r="E67" s="277">
        <f>IF(C67="V.High",SUMIF('A-1 On-Site Habitat Baseline'!$AV$11:$AV$258,'G-2 Habitat groups'!A67,'A-1 On-Site Habitat Baseline'!$S$11:$S$258)+SUMIF('A-1 On-Site Habitat Baseline'!$AV$11:$AV$258,'G-2 Habitat groups'!A67,'A-1 On-Site Habitat Baseline'!$T$11:$T$258),SUMIF('A-1 On-Site Habitat Baseline'!$AV$11:$AV$258,'G-2 Habitat groups'!A67,'A-1 On-Site Habitat Baseline'!$H$11:$H$258))</f>
        <v>0</v>
      </c>
      <c r="F67" s="277">
        <f>SUMIF('A-1 On-Site Habitat Baseline'!$AV$11:$AV$258,'G-2 Habitat groups'!A67,'A-1 On-Site Habitat Baseline'!$Q$11:$Q$258)</f>
        <v>0</v>
      </c>
      <c r="G67" s="277">
        <f>SUMIF('A-1 On-Site Habitat Baseline'!$AV$11:$AV$258,'G-2 Habitat groups'!A67,'A-1 On-Site Habitat Baseline'!$S$11:$S$258)</f>
        <v>0</v>
      </c>
      <c r="H67" s="277">
        <f>SUMIF('A-1 On-Site Habitat Baseline'!$AV$11:$AV$258,'G-2 Habitat groups'!A67,'A-1 On-Site Habitat Baseline'!$U$11:$U$258)</f>
        <v>0</v>
      </c>
      <c r="I67" s="277">
        <f>SUMIF('A-1 On-Site Habitat Baseline'!$AV$11:$AV$258,'G-2 Habitat groups'!A67,'A-1 On-Site Habitat Baseline'!$W$11:$W$258)</f>
        <v>0</v>
      </c>
      <c r="J67" s="277">
        <f>SUMIF('A-1 On-Site Habitat Baseline'!$AV$11:$AV$258,'G-2 Habitat groups'!A67,'A-1 On-Site Habitat Baseline'!$X$11:$X$258)</f>
        <v>0</v>
      </c>
      <c r="K67" s="277">
        <f>SUMIF('A-2 On-Site Habitat Creation'!$F$11:$F$256,'G-2 Habitat groups'!A67,'A-2 On-Site Habitat Creation'!$G$11:$G$256)</f>
        <v>0</v>
      </c>
      <c r="L67" s="277">
        <f>SUMIF('A-2 On-Site Habitat Creation'!$F$11:$F$256,'G-2 Habitat groups'!A67,'A-2 On-Site Habitat Creation'!$Y$11:$Y$256)</f>
        <v>0</v>
      </c>
      <c r="M67" s="277">
        <f>SUMIF('A-3 On-Site Habitat Enhancement'!$S$12:$S$257,'G-2 Habitat groups'!A67,'A-3 On-Site Habitat Enhancement'!$V$12:$V$257)</f>
        <v>0</v>
      </c>
      <c r="N67" s="277">
        <f>SUMIF('A-3 On-Site Habitat Enhancement'!$S$12:$S$257,'G-2 Habitat groups'!A67,'A-3 On-Site Habitat Enhancement'!$AN$12:$AN$257)</f>
        <v>0</v>
      </c>
      <c r="O67" s="277">
        <f t="shared" si="43"/>
        <v>0</v>
      </c>
      <c r="P67" s="277">
        <f t="shared" si="44"/>
        <v>0</v>
      </c>
      <c r="Q67" s="277">
        <f t="shared" si="45"/>
        <v>0</v>
      </c>
      <c r="R67" s="277">
        <f t="shared" si="46"/>
        <v>0</v>
      </c>
      <c r="S67" s="277" t="e">
        <f>IF(C67="V.High",SUMIF(#REF!,'G-2 Habitat groups'!A67,#REF!)+SUMIF(#REF!,'G-2 Habitat groups'!A67,#REF!),SUMIF(#REF!,'G-2 Habitat groups'!A67,#REF!))</f>
        <v>#REF!</v>
      </c>
      <c r="T67" s="277" t="e">
        <f>SUMIF(#REF!,'G-2 Habitat groups'!A67,#REF!)</f>
        <v>#REF!</v>
      </c>
      <c r="U67" s="277" t="e">
        <f>SUMIF(#REF!,'G-2 Habitat groups'!A67,#REF!)</f>
        <v>#REF!</v>
      </c>
      <c r="V67" s="277" t="e">
        <f>SUMIF(#REF!,'G-2 Habitat groups'!A67,#REF!)</f>
        <v>#REF!</v>
      </c>
      <c r="W67" s="277" t="e">
        <f>SUMIF(#REF!,'G-2 Habitat groups'!A67,#REF!)</f>
        <v>#REF!</v>
      </c>
      <c r="X67" s="277" t="e">
        <f>SUMIF(#REF!,'G-2 Habitat groups'!A67,#REF!)</f>
        <v>#REF!</v>
      </c>
      <c r="Y67" s="277" t="e">
        <f>SUMIF(#REF!,'G-2 Habitat groups'!A67,#REF!)</f>
        <v>#REF!</v>
      </c>
      <c r="Z67" s="277" t="e">
        <f>SUMIF(#REF!,'G-2 Habitat groups'!A67,#REF!)</f>
        <v>#REF!</v>
      </c>
      <c r="AA67" s="277" t="e">
        <f t="shared" si="47"/>
        <v>#REF!</v>
      </c>
      <c r="AB67" s="277" t="e">
        <f t="shared" si="48"/>
        <v>#REF!</v>
      </c>
      <c r="AC67" s="277" t="e">
        <f t="shared" si="49"/>
        <v>#REF!</v>
      </c>
      <c r="AD67" s="277" t="e">
        <f t="shared" si="50"/>
        <v>#REF!</v>
      </c>
      <c r="AE67" s="277" t="e">
        <f t="shared" si="51"/>
        <v>#REF!</v>
      </c>
      <c r="AF67" s="277" t="e">
        <f t="shared" si="52"/>
        <v>#REF!</v>
      </c>
      <c r="AU67" s="52" t="s">
        <v>692</v>
      </c>
      <c r="AV67" s="52" t="s">
        <v>54</v>
      </c>
      <c r="AW67" s="288">
        <f t="shared" si="33"/>
        <v>0</v>
      </c>
      <c r="AX67" s="288">
        <f t="shared" si="34"/>
        <v>0</v>
      </c>
      <c r="AY67" s="288">
        <f t="shared" si="35"/>
        <v>0</v>
      </c>
      <c r="AZ67" s="288">
        <f t="shared" si="36"/>
        <v>0</v>
      </c>
      <c r="BA67" s="288">
        <f t="shared" si="37"/>
        <v>0</v>
      </c>
      <c r="BB67" s="288">
        <f t="shared" si="38"/>
        <v>0</v>
      </c>
      <c r="BC67" s="288" t="e">
        <f t="shared" si="39"/>
        <v>#REF!</v>
      </c>
      <c r="BD67" s="288" t="e">
        <f t="shared" si="40"/>
        <v>#REF!</v>
      </c>
      <c r="BE67" s="288" t="e">
        <f t="shared" si="41"/>
        <v>#REF!</v>
      </c>
      <c r="BF67" s="288" t="e">
        <f t="shared" si="42"/>
        <v>#REF!</v>
      </c>
    </row>
    <row r="68" spans="1:59" x14ac:dyDescent="0.3">
      <c r="A68" s="63" t="str">
        <f>'G-1 All Habitats'!B67</f>
        <v>Urban - Facade-bound green wall</v>
      </c>
      <c r="B68" s="52" t="str">
        <f>'G-1 All Habitats'!F67</f>
        <v>Built environment</v>
      </c>
      <c r="C68" s="52" t="str">
        <f>'G-1 All Habitats'!K67</f>
        <v>Low</v>
      </c>
      <c r="D68" s="52" t="str">
        <f>'G-1 All Habitats'!M67</f>
        <v>Same distinctiveness or better habitat required ≥</v>
      </c>
      <c r="E68" s="277">
        <f>IF(C68="V.High",SUMIF('A-1 On-Site Habitat Baseline'!$AV$11:$AV$258,'G-2 Habitat groups'!A68,'A-1 On-Site Habitat Baseline'!$S$11:$S$258)+SUMIF('A-1 On-Site Habitat Baseline'!$AV$11:$AV$258,'G-2 Habitat groups'!A68,'A-1 On-Site Habitat Baseline'!$T$11:$T$258),SUMIF('A-1 On-Site Habitat Baseline'!$AV$11:$AV$258,'G-2 Habitat groups'!A68,'A-1 On-Site Habitat Baseline'!$H$11:$H$258))</f>
        <v>0</v>
      </c>
      <c r="F68" s="277">
        <f>SUMIF('A-1 On-Site Habitat Baseline'!$AV$11:$AV$258,'G-2 Habitat groups'!A68,'A-1 On-Site Habitat Baseline'!$Q$11:$Q$258)</f>
        <v>0</v>
      </c>
      <c r="G68" s="277">
        <f>SUMIF('A-1 On-Site Habitat Baseline'!$AV$11:$AV$258,'G-2 Habitat groups'!A68,'A-1 On-Site Habitat Baseline'!$S$11:$S$258)</f>
        <v>0</v>
      </c>
      <c r="H68" s="277">
        <f>SUMIF('A-1 On-Site Habitat Baseline'!$AV$11:$AV$258,'G-2 Habitat groups'!A68,'A-1 On-Site Habitat Baseline'!$U$11:$U$258)</f>
        <v>0</v>
      </c>
      <c r="I68" s="277">
        <f>SUMIF('A-1 On-Site Habitat Baseline'!$AV$11:$AV$258,'G-2 Habitat groups'!A68,'A-1 On-Site Habitat Baseline'!$W$11:$W$258)</f>
        <v>0</v>
      </c>
      <c r="J68" s="277">
        <f>SUMIF('A-1 On-Site Habitat Baseline'!$AV$11:$AV$258,'G-2 Habitat groups'!A68,'A-1 On-Site Habitat Baseline'!$X$11:$X$258)</f>
        <v>0</v>
      </c>
      <c r="K68" s="277">
        <f>SUMIF('A-2 On-Site Habitat Creation'!$F$11:$F$256,'G-2 Habitat groups'!A68,'A-2 On-Site Habitat Creation'!$G$11:$G$256)</f>
        <v>0</v>
      </c>
      <c r="L68" s="277">
        <f>SUMIF('A-2 On-Site Habitat Creation'!$F$11:$F$256,'G-2 Habitat groups'!A68,'A-2 On-Site Habitat Creation'!$Y$11:$Y$256)</f>
        <v>0</v>
      </c>
      <c r="M68" s="277">
        <f>SUMIF('A-3 On-Site Habitat Enhancement'!$S$12:$S$257,'G-2 Habitat groups'!A68,'A-3 On-Site Habitat Enhancement'!$V$12:$V$257)</f>
        <v>0</v>
      </c>
      <c r="N68" s="277">
        <f>SUMIF('A-3 On-Site Habitat Enhancement'!$S$12:$S$257,'G-2 Habitat groups'!A68,'A-3 On-Site Habitat Enhancement'!$AN$12:$AN$257)</f>
        <v>0</v>
      </c>
      <c r="O68" s="277">
        <f t="shared" si="43"/>
        <v>0</v>
      </c>
      <c r="P68" s="277">
        <f t="shared" si="44"/>
        <v>0</v>
      </c>
      <c r="Q68" s="277">
        <f t="shared" si="45"/>
        <v>0</v>
      </c>
      <c r="R68" s="277">
        <f t="shared" si="46"/>
        <v>0</v>
      </c>
      <c r="S68" s="277" t="e">
        <f>IF(C68="V.High",SUMIF(#REF!,'G-2 Habitat groups'!A68,#REF!)+SUMIF(#REF!,'G-2 Habitat groups'!A68,#REF!),SUMIF(#REF!,'G-2 Habitat groups'!A68,#REF!))</f>
        <v>#REF!</v>
      </c>
      <c r="T68" s="277" t="e">
        <f>SUMIF(#REF!,'G-2 Habitat groups'!A68,#REF!)</f>
        <v>#REF!</v>
      </c>
      <c r="U68" s="277" t="e">
        <f>SUMIF(#REF!,'G-2 Habitat groups'!A68,#REF!)</f>
        <v>#REF!</v>
      </c>
      <c r="V68" s="277" t="e">
        <f>SUMIF(#REF!,'G-2 Habitat groups'!A68,#REF!)</f>
        <v>#REF!</v>
      </c>
      <c r="W68" s="277" t="e">
        <f>SUMIF(#REF!,'G-2 Habitat groups'!A68,#REF!)</f>
        <v>#REF!</v>
      </c>
      <c r="X68" s="277" t="e">
        <f>SUMIF(#REF!,'G-2 Habitat groups'!A68,#REF!)</f>
        <v>#REF!</v>
      </c>
      <c r="Y68" s="277" t="e">
        <f>SUMIF(#REF!,'G-2 Habitat groups'!A68,#REF!)</f>
        <v>#REF!</v>
      </c>
      <c r="Z68" s="277" t="e">
        <f>SUMIF(#REF!,'G-2 Habitat groups'!A68,#REF!)</f>
        <v>#REF!</v>
      </c>
      <c r="AA68" s="277" t="e">
        <f t="shared" si="47"/>
        <v>#REF!</v>
      </c>
      <c r="AB68" s="277" t="e">
        <f t="shared" si="48"/>
        <v>#REF!</v>
      </c>
      <c r="AC68" s="277" t="e">
        <f t="shared" si="49"/>
        <v>#REF!</v>
      </c>
      <c r="AD68" s="277" t="e">
        <f t="shared" si="50"/>
        <v>#REF!</v>
      </c>
      <c r="AE68" s="277" t="e">
        <f t="shared" si="51"/>
        <v>#REF!</v>
      </c>
      <c r="AF68" s="277" t="e">
        <f t="shared" si="52"/>
        <v>#REF!</v>
      </c>
      <c r="AU68" s="52" t="s">
        <v>678</v>
      </c>
      <c r="AV68" s="52" t="s">
        <v>808</v>
      </c>
      <c r="AW68" s="288">
        <f t="shared" si="33"/>
        <v>0</v>
      </c>
      <c r="AX68" s="288">
        <f t="shared" si="34"/>
        <v>0</v>
      </c>
      <c r="AY68" s="288">
        <f t="shared" si="35"/>
        <v>0</v>
      </c>
      <c r="AZ68" s="288">
        <f t="shared" si="36"/>
        <v>0</v>
      </c>
      <c r="BA68" s="288">
        <f t="shared" si="37"/>
        <v>0</v>
      </c>
      <c r="BB68" s="288">
        <f t="shared" si="38"/>
        <v>0</v>
      </c>
      <c r="BC68" s="288" t="e">
        <f t="shared" si="39"/>
        <v>#REF!</v>
      </c>
      <c r="BD68" s="288" t="e">
        <f t="shared" si="40"/>
        <v>#REF!</v>
      </c>
      <c r="BE68" s="288" t="e">
        <f t="shared" si="41"/>
        <v>#REF!</v>
      </c>
      <c r="BF68" s="288" t="e">
        <f t="shared" si="42"/>
        <v>#REF!</v>
      </c>
    </row>
    <row r="69" spans="1:59" x14ac:dyDescent="0.3">
      <c r="A69" s="63" t="str">
        <f>'G-1 All Habitats'!B68</f>
        <v>Urban - Ground based green wall</v>
      </c>
      <c r="B69" s="52" t="str">
        <f>'G-1 All Habitats'!F68</f>
        <v>Built environment</v>
      </c>
      <c r="C69" s="52" t="str">
        <f>'G-1 All Habitats'!K68</f>
        <v>Low</v>
      </c>
      <c r="D69" s="52" t="str">
        <f>'G-1 All Habitats'!M68</f>
        <v>Same distinctiveness or better habitat required ≥</v>
      </c>
      <c r="E69" s="277">
        <f>IF(C69="V.High",SUMIF('A-1 On-Site Habitat Baseline'!$AV$11:$AV$258,'G-2 Habitat groups'!A69,'A-1 On-Site Habitat Baseline'!$S$11:$S$258)+SUMIF('A-1 On-Site Habitat Baseline'!$AV$11:$AV$258,'G-2 Habitat groups'!A69,'A-1 On-Site Habitat Baseline'!$T$11:$T$258),SUMIF('A-1 On-Site Habitat Baseline'!$AV$11:$AV$258,'G-2 Habitat groups'!A69,'A-1 On-Site Habitat Baseline'!$H$11:$H$258))</f>
        <v>0</v>
      </c>
      <c r="F69" s="277">
        <f>SUMIF('A-1 On-Site Habitat Baseline'!$AV$11:$AV$258,'G-2 Habitat groups'!A69,'A-1 On-Site Habitat Baseline'!$Q$11:$Q$258)</f>
        <v>0</v>
      </c>
      <c r="G69" s="277">
        <f>SUMIF('A-1 On-Site Habitat Baseline'!$AV$11:$AV$258,'G-2 Habitat groups'!A69,'A-1 On-Site Habitat Baseline'!$S$11:$S$258)</f>
        <v>0</v>
      </c>
      <c r="H69" s="277">
        <f>SUMIF('A-1 On-Site Habitat Baseline'!$AV$11:$AV$258,'G-2 Habitat groups'!A69,'A-1 On-Site Habitat Baseline'!$U$11:$U$258)</f>
        <v>0</v>
      </c>
      <c r="I69" s="277">
        <f>SUMIF('A-1 On-Site Habitat Baseline'!$AV$11:$AV$258,'G-2 Habitat groups'!A69,'A-1 On-Site Habitat Baseline'!$W$11:$W$258)</f>
        <v>0</v>
      </c>
      <c r="J69" s="277">
        <f>SUMIF('A-1 On-Site Habitat Baseline'!$AV$11:$AV$258,'G-2 Habitat groups'!A69,'A-1 On-Site Habitat Baseline'!$X$11:$X$258)</f>
        <v>0</v>
      </c>
      <c r="K69" s="277">
        <f>SUMIF('A-2 On-Site Habitat Creation'!$F$11:$F$256,'G-2 Habitat groups'!A69,'A-2 On-Site Habitat Creation'!$G$11:$G$256)</f>
        <v>0</v>
      </c>
      <c r="L69" s="277">
        <f>SUMIF('A-2 On-Site Habitat Creation'!$F$11:$F$256,'G-2 Habitat groups'!A69,'A-2 On-Site Habitat Creation'!$Y$11:$Y$256)</f>
        <v>0</v>
      </c>
      <c r="M69" s="277">
        <f>SUMIF('A-3 On-Site Habitat Enhancement'!$S$12:$S$257,'G-2 Habitat groups'!A69,'A-3 On-Site Habitat Enhancement'!$V$12:$V$257)</f>
        <v>0</v>
      </c>
      <c r="N69" s="277">
        <f>SUMIF('A-3 On-Site Habitat Enhancement'!$S$12:$S$257,'G-2 Habitat groups'!A69,'A-3 On-Site Habitat Enhancement'!$AN$12:$AN$257)</f>
        <v>0</v>
      </c>
      <c r="O69" s="277">
        <f t="shared" ref="O69:O101" si="53">G69+K69+M69</f>
        <v>0</v>
      </c>
      <c r="P69" s="277">
        <f t="shared" ref="P69:P101" si="54">H69+L69+N69</f>
        <v>0</v>
      </c>
      <c r="Q69" s="277">
        <f t="shared" ref="Q69:Q101" si="55">O69-E69</f>
        <v>0</v>
      </c>
      <c r="R69" s="277">
        <f t="shared" ref="R69:R101" si="56">P69-F69</f>
        <v>0</v>
      </c>
      <c r="S69" s="277" t="e">
        <f>IF(C69="V.High",SUMIF(#REF!,'G-2 Habitat groups'!A69,#REF!)+SUMIF(#REF!,'G-2 Habitat groups'!A69,#REF!),SUMIF(#REF!,'G-2 Habitat groups'!A69,#REF!))</f>
        <v>#REF!</v>
      </c>
      <c r="T69" s="277" t="e">
        <f>SUMIF(#REF!,'G-2 Habitat groups'!A69,#REF!)</f>
        <v>#REF!</v>
      </c>
      <c r="U69" s="277" t="e">
        <f>SUMIF(#REF!,'G-2 Habitat groups'!A69,#REF!)</f>
        <v>#REF!</v>
      </c>
      <c r="V69" s="277" t="e">
        <f>SUMIF(#REF!,'G-2 Habitat groups'!A69,#REF!)</f>
        <v>#REF!</v>
      </c>
      <c r="W69" s="277" t="e">
        <f>SUMIF(#REF!,'G-2 Habitat groups'!A69,#REF!)</f>
        <v>#REF!</v>
      </c>
      <c r="X69" s="277" t="e">
        <f>SUMIF(#REF!,'G-2 Habitat groups'!A69,#REF!)</f>
        <v>#REF!</v>
      </c>
      <c r="Y69" s="277" t="e">
        <f>SUMIF(#REF!,'G-2 Habitat groups'!A69,#REF!)</f>
        <v>#REF!</v>
      </c>
      <c r="Z69" s="277" t="e">
        <f>SUMIF(#REF!,'G-2 Habitat groups'!A69,#REF!)</f>
        <v>#REF!</v>
      </c>
      <c r="AA69" s="277" t="e">
        <f t="shared" ref="AA69:AA101" si="57">U69+W69+Y69</f>
        <v>#REF!</v>
      </c>
      <c r="AB69" s="277" t="e">
        <f t="shared" ref="AB69:AB101" si="58">V69+X69+Z69</f>
        <v>#REF!</v>
      </c>
      <c r="AC69" s="277" t="e">
        <f t="shared" ref="AC69:AC101" si="59">AA69-S69</f>
        <v>#REF!</v>
      </c>
      <c r="AD69" s="277" t="e">
        <f t="shared" ref="AD69:AD101" si="60">AB69-T69</f>
        <v>#REF!</v>
      </c>
      <c r="AE69" s="277" t="e">
        <f t="shared" ref="AE69:AE101" si="61">Q69+AC69</f>
        <v>#REF!</v>
      </c>
      <c r="AF69" s="277" t="e">
        <f t="shared" ref="AF69:AF101" si="62">R69+AD69</f>
        <v>#REF!</v>
      </c>
      <c r="AU69" s="75" t="s">
        <v>702</v>
      </c>
      <c r="AV69" s="52" t="s">
        <v>54</v>
      </c>
      <c r="AW69" s="288">
        <f t="shared" si="33"/>
        <v>0</v>
      </c>
      <c r="AX69" s="288">
        <f t="shared" si="34"/>
        <v>0</v>
      </c>
      <c r="AY69" s="288">
        <f t="shared" si="35"/>
        <v>0</v>
      </c>
      <c r="AZ69" s="288">
        <f t="shared" si="36"/>
        <v>0</v>
      </c>
      <c r="BA69" s="288">
        <f t="shared" si="37"/>
        <v>0</v>
      </c>
      <c r="BB69" s="288">
        <f t="shared" si="38"/>
        <v>0</v>
      </c>
      <c r="BC69" s="288" t="e">
        <f t="shared" si="39"/>
        <v>#REF!</v>
      </c>
      <c r="BD69" s="288" t="e">
        <f t="shared" si="40"/>
        <v>#REF!</v>
      </c>
      <c r="BE69" s="288" t="e">
        <f t="shared" si="41"/>
        <v>#REF!</v>
      </c>
      <c r="BF69" s="288" t="e">
        <f t="shared" si="42"/>
        <v>#REF!</v>
      </c>
    </row>
    <row r="70" spans="1:59" x14ac:dyDescent="0.3">
      <c r="A70" s="63" t="str">
        <f>'G-1 All Habitats'!B69</f>
        <v>Urban - Ground level planters</v>
      </c>
      <c r="B70" s="52" t="str">
        <f>'G-1 All Habitats'!F69</f>
        <v>Built environment</v>
      </c>
      <c r="C70" s="52" t="str">
        <f>'G-1 All Habitats'!K69</f>
        <v>Low</v>
      </c>
      <c r="D70" s="52" t="str">
        <f>'G-1 All Habitats'!M69</f>
        <v>Same distinctiveness or better habitat required ≥</v>
      </c>
      <c r="E70" s="277">
        <f>IF(C70="V.High",SUMIF('A-1 On-Site Habitat Baseline'!$AV$11:$AV$258,'G-2 Habitat groups'!A70,'A-1 On-Site Habitat Baseline'!$S$11:$S$258)+SUMIF('A-1 On-Site Habitat Baseline'!$AV$11:$AV$258,'G-2 Habitat groups'!A70,'A-1 On-Site Habitat Baseline'!$T$11:$T$258),SUMIF('A-1 On-Site Habitat Baseline'!$AV$11:$AV$258,'G-2 Habitat groups'!A70,'A-1 On-Site Habitat Baseline'!$H$11:$H$258))</f>
        <v>0</v>
      </c>
      <c r="F70" s="277">
        <f>SUMIF('A-1 On-Site Habitat Baseline'!$AV$11:$AV$258,'G-2 Habitat groups'!A70,'A-1 On-Site Habitat Baseline'!$Q$11:$Q$258)</f>
        <v>0</v>
      </c>
      <c r="G70" s="277">
        <f>SUMIF('A-1 On-Site Habitat Baseline'!$AV$11:$AV$258,'G-2 Habitat groups'!A70,'A-1 On-Site Habitat Baseline'!$S$11:$S$258)</f>
        <v>0</v>
      </c>
      <c r="H70" s="277">
        <f>SUMIF('A-1 On-Site Habitat Baseline'!$AV$11:$AV$258,'G-2 Habitat groups'!A70,'A-1 On-Site Habitat Baseline'!$U$11:$U$258)</f>
        <v>0</v>
      </c>
      <c r="I70" s="277">
        <f>SUMIF('A-1 On-Site Habitat Baseline'!$AV$11:$AV$258,'G-2 Habitat groups'!A70,'A-1 On-Site Habitat Baseline'!$W$11:$W$258)</f>
        <v>0</v>
      </c>
      <c r="J70" s="277">
        <f>SUMIF('A-1 On-Site Habitat Baseline'!$AV$11:$AV$258,'G-2 Habitat groups'!A70,'A-1 On-Site Habitat Baseline'!$X$11:$X$258)</f>
        <v>0</v>
      </c>
      <c r="K70" s="277">
        <f>SUMIF('A-2 On-Site Habitat Creation'!$F$11:$F$256,'G-2 Habitat groups'!A70,'A-2 On-Site Habitat Creation'!$G$11:$G$256)</f>
        <v>0</v>
      </c>
      <c r="L70" s="277">
        <f>SUMIF('A-2 On-Site Habitat Creation'!$F$11:$F$256,'G-2 Habitat groups'!A70,'A-2 On-Site Habitat Creation'!$Y$11:$Y$256)</f>
        <v>0</v>
      </c>
      <c r="M70" s="277">
        <f>SUMIF('A-3 On-Site Habitat Enhancement'!$S$12:$S$257,'G-2 Habitat groups'!A70,'A-3 On-Site Habitat Enhancement'!$V$12:$V$257)</f>
        <v>0</v>
      </c>
      <c r="N70" s="277">
        <f>SUMIF('A-3 On-Site Habitat Enhancement'!$S$12:$S$257,'G-2 Habitat groups'!A70,'A-3 On-Site Habitat Enhancement'!$AN$12:$AN$257)</f>
        <v>0</v>
      </c>
      <c r="O70" s="277">
        <f t="shared" si="53"/>
        <v>0</v>
      </c>
      <c r="P70" s="277">
        <f t="shared" si="54"/>
        <v>0</v>
      </c>
      <c r="Q70" s="277">
        <f t="shared" si="55"/>
        <v>0</v>
      </c>
      <c r="R70" s="277">
        <f t="shared" si="56"/>
        <v>0</v>
      </c>
      <c r="S70" s="277" t="e">
        <f>IF(C70="V.High",SUMIF(#REF!,'G-2 Habitat groups'!A70,#REF!)+SUMIF(#REF!,'G-2 Habitat groups'!A70,#REF!),SUMIF(#REF!,'G-2 Habitat groups'!A70,#REF!))</f>
        <v>#REF!</v>
      </c>
      <c r="T70" s="277" t="e">
        <f>SUMIF(#REF!,'G-2 Habitat groups'!A70,#REF!)</f>
        <v>#REF!</v>
      </c>
      <c r="U70" s="277" t="e">
        <f>SUMIF(#REF!,'G-2 Habitat groups'!A70,#REF!)</f>
        <v>#REF!</v>
      </c>
      <c r="V70" s="277" t="e">
        <f>SUMIF(#REF!,'G-2 Habitat groups'!A70,#REF!)</f>
        <v>#REF!</v>
      </c>
      <c r="W70" s="277" t="e">
        <f>SUMIF(#REF!,'G-2 Habitat groups'!A70,#REF!)</f>
        <v>#REF!</v>
      </c>
      <c r="X70" s="277" t="e">
        <f>SUMIF(#REF!,'G-2 Habitat groups'!A70,#REF!)</f>
        <v>#REF!</v>
      </c>
      <c r="Y70" s="277" t="e">
        <f>SUMIF(#REF!,'G-2 Habitat groups'!A70,#REF!)</f>
        <v>#REF!</v>
      </c>
      <c r="Z70" s="277" t="e">
        <f>SUMIF(#REF!,'G-2 Habitat groups'!A70,#REF!)</f>
        <v>#REF!</v>
      </c>
      <c r="AA70" s="277" t="e">
        <f t="shared" si="57"/>
        <v>#REF!</v>
      </c>
      <c r="AB70" s="277" t="e">
        <f t="shared" si="58"/>
        <v>#REF!</v>
      </c>
      <c r="AC70" s="277" t="e">
        <f t="shared" si="59"/>
        <v>#REF!</v>
      </c>
      <c r="AD70" s="277" t="e">
        <f t="shared" si="60"/>
        <v>#REF!</v>
      </c>
      <c r="AE70" s="277" t="e">
        <f t="shared" si="61"/>
        <v>#REF!</v>
      </c>
      <c r="AF70" s="277" t="e">
        <f t="shared" si="62"/>
        <v>#REF!</v>
      </c>
      <c r="AU70" s="75" t="s">
        <v>706</v>
      </c>
      <c r="AV70" s="52" t="s">
        <v>54</v>
      </c>
      <c r="AW70" s="288">
        <f t="shared" si="33"/>
        <v>0</v>
      </c>
      <c r="AX70" s="288">
        <f t="shared" si="34"/>
        <v>0</v>
      </c>
      <c r="AY70" s="288">
        <f t="shared" si="35"/>
        <v>0</v>
      </c>
      <c r="AZ70" s="288">
        <f t="shared" si="36"/>
        <v>0</v>
      </c>
      <c r="BA70" s="288">
        <f t="shared" si="37"/>
        <v>0</v>
      </c>
      <c r="BB70" s="288">
        <f t="shared" si="38"/>
        <v>0</v>
      </c>
      <c r="BC70" s="288" t="e">
        <f t="shared" si="39"/>
        <v>#REF!</v>
      </c>
      <c r="BD70" s="288" t="e">
        <f t="shared" si="40"/>
        <v>#REF!</v>
      </c>
      <c r="BE70" s="288" t="e">
        <f t="shared" si="41"/>
        <v>#REF!</v>
      </c>
      <c r="BF70" s="288" t="e">
        <f t="shared" si="42"/>
        <v>#REF!</v>
      </c>
    </row>
    <row r="71" spans="1:59" x14ac:dyDescent="0.3">
      <c r="A71" s="63" t="str">
        <f>'G-1 All Habitats'!B70</f>
        <v>Urban - Biodiverse green roof</v>
      </c>
      <c r="B71" s="52" t="str">
        <f>'G-1 All Habitats'!F70</f>
        <v>Built environment</v>
      </c>
      <c r="C71" s="52" t="str">
        <f>'G-1 All Habitats'!K70</f>
        <v>Medium</v>
      </c>
      <c r="D71" s="52" t="str">
        <f>'G-1 All Habitats'!M70</f>
        <v>Same broad habitat or a higher distinctiveness habitat required (≥)</v>
      </c>
      <c r="E71" s="277">
        <f>IF(C71="V.High",SUMIF('A-1 On-Site Habitat Baseline'!$AV$11:$AV$258,'G-2 Habitat groups'!A71,'A-1 On-Site Habitat Baseline'!$S$11:$S$258)+SUMIF('A-1 On-Site Habitat Baseline'!$AV$11:$AV$258,'G-2 Habitat groups'!A71,'A-1 On-Site Habitat Baseline'!$T$11:$T$258),SUMIF('A-1 On-Site Habitat Baseline'!$AV$11:$AV$258,'G-2 Habitat groups'!A71,'A-1 On-Site Habitat Baseline'!$H$11:$H$258))</f>
        <v>0</v>
      </c>
      <c r="F71" s="277">
        <f>SUMIF('A-1 On-Site Habitat Baseline'!$AV$11:$AV$258,'G-2 Habitat groups'!A71,'A-1 On-Site Habitat Baseline'!$Q$11:$Q$258)</f>
        <v>0</v>
      </c>
      <c r="G71" s="277">
        <f>SUMIF('A-1 On-Site Habitat Baseline'!$AV$11:$AV$258,'G-2 Habitat groups'!A71,'A-1 On-Site Habitat Baseline'!$S$11:$S$258)</f>
        <v>0</v>
      </c>
      <c r="H71" s="277">
        <f>SUMIF('A-1 On-Site Habitat Baseline'!$AV$11:$AV$258,'G-2 Habitat groups'!A71,'A-1 On-Site Habitat Baseline'!$U$11:$U$258)</f>
        <v>0</v>
      </c>
      <c r="I71" s="277">
        <f>SUMIF('A-1 On-Site Habitat Baseline'!$AV$11:$AV$258,'G-2 Habitat groups'!A71,'A-1 On-Site Habitat Baseline'!$W$11:$W$258)</f>
        <v>0</v>
      </c>
      <c r="J71" s="277">
        <f>SUMIF('A-1 On-Site Habitat Baseline'!$AV$11:$AV$258,'G-2 Habitat groups'!A71,'A-1 On-Site Habitat Baseline'!$X$11:$X$258)</f>
        <v>0</v>
      </c>
      <c r="K71" s="277">
        <f>SUMIF('A-2 On-Site Habitat Creation'!$F$11:$F$256,'G-2 Habitat groups'!A71,'A-2 On-Site Habitat Creation'!$G$11:$G$256)</f>
        <v>0</v>
      </c>
      <c r="L71" s="277">
        <f>SUMIF('A-2 On-Site Habitat Creation'!$F$11:$F$256,'G-2 Habitat groups'!A71,'A-2 On-Site Habitat Creation'!$Y$11:$Y$256)</f>
        <v>0</v>
      </c>
      <c r="M71" s="277">
        <f>SUMIF('A-3 On-Site Habitat Enhancement'!$S$12:$S$257,'G-2 Habitat groups'!A71,'A-3 On-Site Habitat Enhancement'!$V$12:$V$257)</f>
        <v>0</v>
      </c>
      <c r="N71" s="277">
        <f>SUMIF('A-3 On-Site Habitat Enhancement'!$S$12:$S$257,'G-2 Habitat groups'!A71,'A-3 On-Site Habitat Enhancement'!$AN$12:$AN$257)</f>
        <v>0</v>
      </c>
      <c r="O71" s="277">
        <f t="shared" si="53"/>
        <v>0</v>
      </c>
      <c r="P71" s="277">
        <f t="shared" si="54"/>
        <v>0</v>
      </c>
      <c r="Q71" s="277">
        <f t="shared" si="55"/>
        <v>0</v>
      </c>
      <c r="R71" s="277">
        <f t="shared" si="56"/>
        <v>0</v>
      </c>
      <c r="S71" s="277" t="e">
        <f>IF(C71="V.High",SUMIF(#REF!,'G-2 Habitat groups'!A71,#REF!)+SUMIF(#REF!,'G-2 Habitat groups'!A71,#REF!),SUMIF(#REF!,'G-2 Habitat groups'!A71,#REF!))</f>
        <v>#REF!</v>
      </c>
      <c r="T71" s="277" t="e">
        <f>SUMIF(#REF!,'G-2 Habitat groups'!A71,#REF!)</f>
        <v>#REF!</v>
      </c>
      <c r="U71" s="277" t="e">
        <f>SUMIF(#REF!,'G-2 Habitat groups'!A71,#REF!)</f>
        <v>#REF!</v>
      </c>
      <c r="V71" s="277" t="e">
        <f>SUMIF(#REF!,'G-2 Habitat groups'!A71,#REF!)</f>
        <v>#REF!</v>
      </c>
      <c r="W71" s="277" t="e">
        <f>SUMIF(#REF!,'G-2 Habitat groups'!A71,#REF!)</f>
        <v>#REF!</v>
      </c>
      <c r="X71" s="277" t="e">
        <f>SUMIF(#REF!,'G-2 Habitat groups'!A71,#REF!)</f>
        <v>#REF!</v>
      </c>
      <c r="Y71" s="277" t="e">
        <f>SUMIF(#REF!,'G-2 Habitat groups'!A71,#REF!)</f>
        <v>#REF!</v>
      </c>
      <c r="Z71" s="277" t="e">
        <f>SUMIF(#REF!,'G-2 Habitat groups'!A71,#REF!)</f>
        <v>#REF!</v>
      </c>
      <c r="AA71" s="277" t="e">
        <f t="shared" si="57"/>
        <v>#REF!</v>
      </c>
      <c r="AB71" s="277" t="e">
        <f t="shared" si="58"/>
        <v>#REF!</v>
      </c>
      <c r="AC71" s="277" t="e">
        <f t="shared" si="59"/>
        <v>#REF!</v>
      </c>
      <c r="AD71" s="277" t="e">
        <f t="shared" si="60"/>
        <v>#REF!</v>
      </c>
      <c r="AE71" s="277" t="e">
        <f t="shared" si="61"/>
        <v>#REF!</v>
      </c>
      <c r="AF71" s="277" t="e">
        <f t="shared" si="62"/>
        <v>#REF!</v>
      </c>
      <c r="AU71" s="52" t="s">
        <v>709</v>
      </c>
      <c r="AV71" s="52" t="s">
        <v>54</v>
      </c>
      <c r="AW71" s="288">
        <f t="shared" si="33"/>
        <v>0</v>
      </c>
      <c r="AX71" s="288">
        <f t="shared" si="34"/>
        <v>0</v>
      </c>
      <c r="AY71" s="288">
        <f t="shared" si="35"/>
        <v>0</v>
      </c>
      <c r="AZ71" s="288">
        <f t="shared" si="36"/>
        <v>0</v>
      </c>
      <c r="BA71" s="288">
        <f t="shared" si="37"/>
        <v>0</v>
      </c>
      <c r="BB71" s="288">
        <f t="shared" si="38"/>
        <v>0</v>
      </c>
      <c r="BC71" s="288" t="e">
        <f t="shared" si="39"/>
        <v>#REF!</v>
      </c>
      <c r="BD71" s="288" t="e">
        <f t="shared" si="40"/>
        <v>#REF!</v>
      </c>
      <c r="BE71" s="288" t="e">
        <f t="shared" si="41"/>
        <v>#REF!</v>
      </c>
      <c r="BF71" s="288" t="e">
        <f t="shared" si="42"/>
        <v>#REF!</v>
      </c>
    </row>
    <row r="72" spans="1:59" x14ac:dyDescent="0.3">
      <c r="A72" s="63" t="str">
        <f>'G-1 All Habitats'!B71</f>
        <v>Urban - Introduced shrub</v>
      </c>
      <c r="B72" s="52" t="str">
        <f>'G-1 All Habitats'!F71</f>
        <v>Built environment</v>
      </c>
      <c r="C72" s="52" t="str">
        <f>'G-1 All Habitats'!K71</f>
        <v>Low</v>
      </c>
      <c r="D72" s="52" t="str">
        <f>'G-1 All Habitats'!M71</f>
        <v>Same distinctiveness or better habitat required ≥</v>
      </c>
      <c r="E72" s="277">
        <f>IF(C72="V.High",SUMIF('A-1 On-Site Habitat Baseline'!$AV$11:$AV$258,'G-2 Habitat groups'!A72,'A-1 On-Site Habitat Baseline'!$S$11:$S$258)+SUMIF('A-1 On-Site Habitat Baseline'!$AV$11:$AV$258,'G-2 Habitat groups'!A72,'A-1 On-Site Habitat Baseline'!$T$11:$T$258),SUMIF('A-1 On-Site Habitat Baseline'!$AV$11:$AV$258,'G-2 Habitat groups'!A72,'A-1 On-Site Habitat Baseline'!$H$11:$H$258))</f>
        <v>0</v>
      </c>
      <c r="F72" s="277">
        <f>SUMIF('A-1 On-Site Habitat Baseline'!$AV$11:$AV$258,'G-2 Habitat groups'!A72,'A-1 On-Site Habitat Baseline'!$Q$11:$Q$258)</f>
        <v>0</v>
      </c>
      <c r="G72" s="277">
        <f>SUMIF('A-1 On-Site Habitat Baseline'!$AV$11:$AV$258,'G-2 Habitat groups'!A72,'A-1 On-Site Habitat Baseline'!$S$11:$S$258)</f>
        <v>0</v>
      </c>
      <c r="H72" s="277">
        <f>SUMIF('A-1 On-Site Habitat Baseline'!$AV$11:$AV$258,'G-2 Habitat groups'!A72,'A-1 On-Site Habitat Baseline'!$U$11:$U$258)</f>
        <v>0</v>
      </c>
      <c r="I72" s="277">
        <f>SUMIF('A-1 On-Site Habitat Baseline'!$AV$11:$AV$258,'G-2 Habitat groups'!A72,'A-1 On-Site Habitat Baseline'!$W$11:$W$258)</f>
        <v>0</v>
      </c>
      <c r="J72" s="277">
        <f>SUMIF('A-1 On-Site Habitat Baseline'!$AV$11:$AV$258,'G-2 Habitat groups'!A72,'A-1 On-Site Habitat Baseline'!$X$11:$X$258)</f>
        <v>0</v>
      </c>
      <c r="K72" s="277">
        <f>SUMIF('A-2 On-Site Habitat Creation'!$F$11:$F$256,'G-2 Habitat groups'!A72,'A-2 On-Site Habitat Creation'!$G$11:$G$256)</f>
        <v>0</v>
      </c>
      <c r="L72" s="277">
        <f>SUMIF('A-2 On-Site Habitat Creation'!$F$11:$F$256,'G-2 Habitat groups'!A72,'A-2 On-Site Habitat Creation'!$Y$11:$Y$256)</f>
        <v>0</v>
      </c>
      <c r="M72" s="277">
        <f>SUMIF('A-3 On-Site Habitat Enhancement'!$S$12:$S$257,'G-2 Habitat groups'!A72,'A-3 On-Site Habitat Enhancement'!$V$12:$V$257)</f>
        <v>0</v>
      </c>
      <c r="N72" s="277">
        <f>SUMIF('A-3 On-Site Habitat Enhancement'!$S$12:$S$257,'G-2 Habitat groups'!A72,'A-3 On-Site Habitat Enhancement'!$AN$12:$AN$257)</f>
        <v>0</v>
      </c>
      <c r="O72" s="277">
        <f t="shared" si="53"/>
        <v>0</v>
      </c>
      <c r="P72" s="277">
        <f t="shared" si="54"/>
        <v>0</v>
      </c>
      <c r="Q72" s="277">
        <f t="shared" si="55"/>
        <v>0</v>
      </c>
      <c r="R72" s="277">
        <f t="shared" si="56"/>
        <v>0</v>
      </c>
      <c r="S72" s="277" t="e">
        <f>IF(C72="V.High",SUMIF(#REF!,'G-2 Habitat groups'!A72,#REF!)+SUMIF(#REF!,'G-2 Habitat groups'!A72,#REF!),SUMIF(#REF!,'G-2 Habitat groups'!A72,#REF!))</f>
        <v>#REF!</v>
      </c>
      <c r="T72" s="277" t="e">
        <f>SUMIF(#REF!,'G-2 Habitat groups'!A72,#REF!)</f>
        <v>#REF!</v>
      </c>
      <c r="U72" s="277" t="e">
        <f>SUMIF(#REF!,'G-2 Habitat groups'!A72,#REF!)</f>
        <v>#REF!</v>
      </c>
      <c r="V72" s="277" t="e">
        <f>SUMIF(#REF!,'G-2 Habitat groups'!A72,#REF!)</f>
        <v>#REF!</v>
      </c>
      <c r="W72" s="277" t="e">
        <f>SUMIF(#REF!,'G-2 Habitat groups'!A72,#REF!)</f>
        <v>#REF!</v>
      </c>
      <c r="X72" s="277" t="e">
        <f>SUMIF(#REF!,'G-2 Habitat groups'!A72,#REF!)</f>
        <v>#REF!</v>
      </c>
      <c r="Y72" s="277" t="e">
        <f>SUMIF(#REF!,'G-2 Habitat groups'!A72,#REF!)</f>
        <v>#REF!</v>
      </c>
      <c r="Z72" s="277" t="e">
        <f>SUMIF(#REF!,'G-2 Habitat groups'!A72,#REF!)</f>
        <v>#REF!</v>
      </c>
      <c r="AA72" s="277" t="e">
        <f t="shared" si="57"/>
        <v>#REF!</v>
      </c>
      <c r="AB72" s="277" t="e">
        <f t="shared" si="58"/>
        <v>#REF!</v>
      </c>
      <c r="AC72" s="277" t="e">
        <f t="shared" si="59"/>
        <v>#REF!</v>
      </c>
      <c r="AD72" s="277" t="e">
        <f t="shared" si="60"/>
        <v>#REF!</v>
      </c>
      <c r="AE72" s="277" t="e">
        <f t="shared" si="61"/>
        <v>#REF!</v>
      </c>
      <c r="AF72" s="277" t="e">
        <f t="shared" si="62"/>
        <v>#REF!</v>
      </c>
      <c r="AU72" s="64" t="s">
        <v>736</v>
      </c>
      <c r="AV72" s="52" t="s">
        <v>54</v>
      </c>
      <c r="AW72" s="288">
        <f t="shared" si="33"/>
        <v>0</v>
      </c>
      <c r="AX72" s="288">
        <f t="shared" si="34"/>
        <v>0</v>
      </c>
      <c r="AY72" s="288">
        <f t="shared" si="35"/>
        <v>0</v>
      </c>
      <c r="AZ72" s="288">
        <f t="shared" si="36"/>
        <v>0</v>
      </c>
      <c r="BA72" s="288">
        <f t="shared" si="37"/>
        <v>0</v>
      </c>
      <c r="BB72" s="288">
        <f t="shared" si="38"/>
        <v>0</v>
      </c>
      <c r="BC72" s="288" t="e">
        <f t="shared" si="39"/>
        <v>#REF!</v>
      </c>
      <c r="BD72" s="288" t="e">
        <f t="shared" si="40"/>
        <v>#REF!</v>
      </c>
      <c r="BE72" s="288" t="e">
        <f t="shared" si="41"/>
        <v>#REF!</v>
      </c>
      <c r="BF72" s="288" t="e">
        <f t="shared" si="42"/>
        <v>#REF!</v>
      </c>
    </row>
    <row r="73" spans="1:59" x14ac:dyDescent="0.3">
      <c r="A73" s="63" t="str">
        <f>'G-1 All Habitats'!B72</f>
        <v>Urban - Open mosaic habitats on previously developed land</v>
      </c>
      <c r="B73" s="52" t="str">
        <f>'G-1 All Habitats'!F72</f>
        <v>Built environment</v>
      </c>
      <c r="C73" s="52" t="str">
        <f>'G-1 All Habitats'!K72</f>
        <v>High</v>
      </c>
      <c r="D73" s="52" t="str">
        <f>'G-1 All Habitats'!M72</f>
        <v>Same habitat required =</v>
      </c>
      <c r="E73" s="277">
        <f>IF(C73="V.High",SUMIF('A-1 On-Site Habitat Baseline'!$AV$11:$AV$258,'G-2 Habitat groups'!A73,'A-1 On-Site Habitat Baseline'!$S$11:$S$258)+SUMIF('A-1 On-Site Habitat Baseline'!$AV$11:$AV$258,'G-2 Habitat groups'!A73,'A-1 On-Site Habitat Baseline'!$T$11:$T$258),SUMIF('A-1 On-Site Habitat Baseline'!$AV$11:$AV$258,'G-2 Habitat groups'!A73,'A-1 On-Site Habitat Baseline'!$H$11:$H$258))</f>
        <v>0</v>
      </c>
      <c r="F73" s="277">
        <f>SUMIF('A-1 On-Site Habitat Baseline'!$AV$11:$AV$258,'G-2 Habitat groups'!A73,'A-1 On-Site Habitat Baseline'!$Q$11:$Q$258)</f>
        <v>0</v>
      </c>
      <c r="G73" s="277">
        <f>SUMIF('A-1 On-Site Habitat Baseline'!$AV$11:$AV$258,'G-2 Habitat groups'!A73,'A-1 On-Site Habitat Baseline'!$S$11:$S$258)</f>
        <v>0</v>
      </c>
      <c r="H73" s="277">
        <f>SUMIF('A-1 On-Site Habitat Baseline'!$AV$11:$AV$258,'G-2 Habitat groups'!A73,'A-1 On-Site Habitat Baseline'!$U$11:$U$258)</f>
        <v>0</v>
      </c>
      <c r="I73" s="277">
        <f>SUMIF('A-1 On-Site Habitat Baseline'!$AV$11:$AV$258,'G-2 Habitat groups'!A73,'A-1 On-Site Habitat Baseline'!$W$11:$W$258)</f>
        <v>0</v>
      </c>
      <c r="J73" s="277">
        <f>SUMIF('A-1 On-Site Habitat Baseline'!$AV$11:$AV$258,'G-2 Habitat groups'!A73,'A-1 On-Site Habitat Baseline'!$X$11:$X$258)</f>
        <v>0</v>
      </c>
      <c r="K73" s="277">
        <f>SUMIF('A-2 On-Site Habitat Creation'!$F$11:$F$256,'G-2 Habitat groups'!A73,'A-2 On-Site Habitat Creation'!$G$11:$G$256)</f>
        <v>0</v>
      </c>
      <c r="L73" s="277">
        <f>SUMIF('A-2 On-Site Habitat Creation'!$F$11:$F$256,'G-2 Habitat groups'!A73,'A-2 On-Site Habitat Creation'!$Y$11:$Y$256)</f>
        <v>0</v>
      </c>
      <c r="M73" s="277">
        <f>SUMIF('A-3 On-Site Habitat Enhancement'!$S$12:$S$257,'G-2 Habitat groups'!A73,'A-3 On-Site Habitat Enhancement'!$V$12:$V$257)</f>
        <v>0</v>
      </c>
      <c r="N73" s="277">
        <f>SUMIF('A-3 On-Site Habitat Enhancement'!$S$12:$S$257,'G-2 Habitat groups'!A73,'A-3 On-Site Habitat Enhancement'!$AN$12:$AN$257)</f>
        <v>0</v>
      </c>
      <c r="O73" s="277">
        <f t="shared" si="53"/>
        <v>0</v>
      </c>
      <c r="P73" s="277">
        <f t="shared" si="54"/>
        <v>0</v>
      </c>
      <c r="Q73" s="277">
        <f t="shared" si="55"/>
        <v>0</v>
      </c>
      <c r="R73" s="277">
        <f t="shared" si="56"/>
        <v>0</v>
      </c>
      <c r="S73" s="277" t="e">
        <f>IF(C73="V.High",SUMIF(#REF!,'G-2 Habitat groups'!A73,#REF!)+SUMIF(#REF!,'G-2 Habitat groups'!A73,#REF!),SUMIF(#REF!,'G-2 Habitat groups'!A73,#REF!))</f>
        <v>#REF!</v>
      </c>
      <c r="T73" s="277" t="e">
        <f>SUMIF(#REF!,'G-2 Habitat groups'!A73,#REF!)</f>
        <v>#REF!</v>
      </c>
      <c r="U73" s="277" t="e">
        <f>SUMIF(#REF!,'G-2 Habitat groups'!A73,#REF!)</f>
        <v>#REF!</v>
      </c>
      <c r="V73" s="277" t="e">
        <f>SUMIF(#REF!,'G-2 Habitat groups'!A73,#REF!)</f>
        <v>#REF!</v>
      </c>
      <c r="W73" s="277" t="e">
        <f>SUMIF(#REF!,'G-2 Habitat groups'!A73,#REF!)</f>
        <v>#REF!</v>
      </c>
      <c r="X73" s="277" t="e">
        <f>SUMIF(#REF!,'G-2 Habitat groups'!A73,#REF!)</f>
        <v>#REF!</v>
      </c>
      <c r="Y73" s="277" t="e">
        <f>SUMIF(#REF!,'G-2 Habitat groups'!A73,#REF!)</f>
        <v>#REF!</v>
      </c>
      <c r="Z73" s="277" t="e">
        <f>SUMIF(#REF!,'G-2 Habitat groups'!A73,#REF!)</f>
        <v>#REF!</v>
      </c>
      <c r="AA73" s="277" t="e">
        <f t="shared" si="57"/>
        <v>#REF!</v>
      </c>
      <c r="AB73" s="277" t="e">
        <f t="shared" si="58"/>
        <v>#REF!</v>
      </c>
      <c r="AC73" s="277" t="e">
        <f t="shared" si="59"/>
        <v>#REF!</v>
      </c>
      <c r="AD73" s="277" t="e">
        <f t="shared" si="60"/>
        <v>#REF!</v>
      </c>
      <c r="AE73" s="277" t="e">
        <f t="shared" si="61"/>
        <v>#REF!</v>
      </c>
      <c r="AF73" s="277" t="e">
        <f t="shared" si="62"/>
        <v>#REF!</v>
      </c>
      <c r="AU73" s="465" t="s">
        <v>103</v>
      </c>
      <c r="AV73" s="465" t="s">
        <v>54</v>
      </c>
      <c r="AW73" s="288">
        <f t="shared" si="33"/>
        <v>0</v>
      </c>
      <c r="AX73" s="288">
        <f t="shared" si="34"/>
        <v>0</v>
      </c>
      <c r="AY73" s="288">
        <f t="shared" si="35"/>
        <v>0</v>
      </c>
      <c r="AZ73" s="288">
        <f t="shared" si="36"/>
        <v>0</v>
      </c>
      <c r="BA73" s="288">
        <f t="shared" si="37"/>
        <v>0</v>
      </c>
      <c r="BB73" s="288">
        <f t="shared" si="38"/>
        <v>0</v>
      </c>
      <c r="BC73" s="288" t="e">
        <f t="shared" si="39"/>
        <v>#REF!</v>
      </c>
      <c r="BD73" s="288" t="e">
        <f t="shared" si="40"/>
        <v>#REF!</v>
      </c>
      <c r="BE73" s="288" t="e">
        <f t="shared" si="41"/>
        <v>#REF!</v>
      </c>
      <c r="BF73" s="288" t="e">
        <f t="shared" si="42"/>
        <v>#REF!</v>
      </c>
    </row>
    <row r="74" spans="1:59" x14ac:dyDescent="0.3">
      <c r="A74" s="63" t="str">
        <f>'G-1 All Habitats'!B73</f>
        <v>Urban - Rain garden</v>
      </c>
      <c r="B74" s="52" t="str">
        <f>'G-1 All Habitats'!F73</f>
        <v>Built environment</v>
      </c>
      <c r="C74" s="52" t="str">
        <f>'G-1 All Habitats'!K73</f>
        <v>Low</v>
      </c>
      <c r="D74" s="52" t="str">
        <f>'G-1 All Habitats'!M73</f>
        <v>Same distinctiveness or better habitat required ≥</v>
      </c>
      <c r="E74" s="277">
        <f>IF(C74="V.High",SUMIF('A-1 On-Site Habitat Baseline'!$AV$11:$AV$258,'G-2 Habitat groups'!A74,'A-1 On-Site Habitat Baseline'!$S$11:$S$258)+SUMIF('A-1 On-Site Habitat Baseline'!$AV$11:$AV$258,'G-2 Habitat groups'!A74,'A-1 On-Site Habitat Baseline'!$T$11:$T$258),SUMIF('A-1 On-Site Habitat Baseline'!$AV$11:$AV$258,'G-2 Habitat groups'!A74,'A-1 On-Site Habitat Baseline'!$H$11:$H$258))</f>
        <v>0</v>
      </c>
      <c r="F74" s="277">
        <f>SUMIF('A-1 On-Site Habitat Baseline'!$AV$11:$AV$258,'G-2 Habitat groups'!A74,'A-1 On-Site Habitat Baseline'!$Q$11:$Q$258)</f>
        <v>0</v>
      </c>
      <c r="G74" s="277">
        <f>SUMIF('A-1 On-Site Habitat Baseline'!$AV$11:$AV$258,'G-2 Habitat groups'!A74,'A-1 On-Site Habitat Baseline'!$S$11:$S$258)</f>
        <v>0</v>
      </c>
      <c r="H74" s="277">
        <f>SUMIF('A-1 On-Site Habitat Baseline'!$AV$11:$AV$258,'G-2 Habitat groups'!A74,'A-1 On-Site Habitat Baseline'!$U$11:$U$258)</f>
        <v>0</v>
      </c>
      <c r="I74" s="277">
        <f>SUMIF('A-1 On-Site Habitat Baseline'!$AV$11:$AV$258,'G-2 Habitat groups'!A74,'A-1 On-Site Habitat Baseline'!$W$11:$W$258)</f>
        <v>0</v>
      </c>
      <c r="J74" s="277">
        <f>SUMIF('A-1 On-Site Habitat Baseline'!$AV$11:$AV$258,'G-2 Habitat groups'!A74,'A-1 On-Site Habitat Baseline'!$X$11:$X$258)</f>
        <v>0</v>
      </c>
      <c r="K74" s="277">
        <f>SUMIF('A-2 On-Site Habitat Creation'!$F$11:$F$256,'G-2 Habitat groups'!A74,'A-2 On-Site Habitat Creation'!$G$11:$G$256)</f>
        <v>0</v>
      </c>
      <c r="L74" s="277">
        <f>SUMIF('A-2 On-Site Habitat Creation'!$F$11:$F$256,'G-2 Habitat groups'!A74,'A-2 On-Site Habitat Creation'!$Y$11:$Y$256)</f>
        <v>0</v>
      </c>
      <c r="M74" s="277">
        <f>SUMIF('A-3 On-Site Habitat Enhancement'!$S$12:$S$257,'G-2 Habitat groups'!A74,'A-3 On-Site Habitat Enhancement'!$V$12:$V$257)</f>
        <v>0</v>
      </c>
      <c r="N74" s="277">
        <f>SUMIF('A-3 On-Site Habitat Enhancement'!$S$12:$S$257,'G-2 Habitat groups'!A74,'A-3 On-Site Habitat Enhancement'!$AN$12:$AN$257)</f>
        <v>0</v>
      </c>
      <c r="O74" s="277">
        <f t="shared" si="53"/>
        <v>0</v>
      </c>
      <c r="P74" s="277">
        <f t="shared" si="54"/>
        <v>0</v>
      </c>
      <c r="Q74" s="277">
        <f t="shared" si="55"/>
        <v>0</v>
      </c>
      <c r="R74" s="277">
        <f t="shared" si="56"/>
        <v>0</v>
      </c>
      <c r="S74" s="277" t="e">
        <f>IF(C74="V.High",SUMIF(#REF!,'G-2 Habitat groups'!A74,#REF!)+SUMIF(#REF!,'G-2 Habitat groups'!A74,#REF!),SUMIF(#REF!,'G-2 Habitat groups'!A74,#REF!))</f>
        <v>#REF!</v>
      </c>
      <c r="T74" s="277" t="e">
        <f>SUMIF(#REF!,'G-2 Habitat groups'!A74,#REF!)</f>
        <v>#REF!</v>
      </c>
      <c r="U74" s="277" t="e">
        <f>SUMIF(#REF!,'G-2 Habitat groups'!A74,#REF!)</f>
        <v>#REF!</v>
      </c>
      <c r="V74" s="277" t="e">
        <f>SUMIF(#REF!,'G-2 Habitat groups'!A74,#REF!)</f>
        <v>#REF!</v>
      </c>
      <c r="W74" s="277" t="e">
        <f>SUMIF(#REF!,'G-2 Habitat groups'!A74,#REF!)</f>
        <v>#REF!</v>
      </c>
      <c r="X74" s="277" t="e">
        <f>SUMIF(#REF!,'G-2 Habitat groups'!A74,#REF!)</f>
        <v>#REF!</v>
      </c>
      <c r="Y74" s="277" t="e">
        <f>SUMIF(#REF!,'G-2 Habitat groups'!A74,#REF!)</f>
        <v>#REF!</v>
      </c>
      <c r="Z74" s="277" t="e">
        <f>SUMIF(#REF!,'G-2 Habitat groups'!A74,#REF!)</f>
        <v>#REF!</v>
      </c>
      <c r="AA74" s="277" t="e">
        <f t="shared" si="57"/>
        <v>#REF!</v>
      </c>
      <c r="AB74" s="277" t="e">
        <f t="shared" si="58"/>
        <v>#REF!</v>
      </c>
      <c r="AC74" s="277" t="e">
        <f t="shared" si="59"/>
        <v>#REF!</v>
      </c>
      <c r="AD74" s="277" t="e">
        <f t="shared" si="60"/>
        <v>#REF!</v>
      </c>
      <c r="AE74" s="277" t="e">
        <f t="shared" si="61"/>
        <v>#REF!</v>
      </c>
      <c r="AF74" s="277" t="e">
        <f t="shared" si="62"/>
        <v>#REF!</v>
      </c>
    </row>
    <row r="75" spans="1:59" x14ac:dyDescent="0.3">
      <c r="A75" s="63" t="str">
        <f>'G-1 All Habitats'!B74</f>
        <v>Urban - Actively worked sand pit quarry or open cast mine</v>
      </c>
      <c r="B75" s="52" t="str">
        <f>'G-1 All Habitats'!F74</f>
        <v>Built environment</v>
      </c>
      <c r="C75" s="52" t="str">
        <f>'G-1 All Habitats'!K74</f>
        <v>Low</v>
      </c>
      <c r="D75" s="52" t="str">
        <f>'G-1 All Habitats'!M74</f>
        <v>Same distinctiveness or better habitat required ≥</v>
      </c>
      <c r="E75" s="277">
        <f>IF(C75="V.High",SUMIF('A-1 On-Site Habitat Baseline'!$AV$11:$AV$258,'G-2 Habitat groups'!A75,'A-1 On-Site Habitat Baseline'!$S$11:$S$258)+SUMIF('A-1 On-Site Habitat Baseline'!$AV$11:$AV$258,'G-2 Habitat groups'!A75,'A-1 On-Site Habitat Baseline'!$T$11:$T$258),SUMIF('A-1 On-Site Habitat Baseline'!$AV$11:$AV$258,'G-2 Habitat groups'!A75,'A-1 On-Site Habitat Baseline'!$H$11:$H$258))</f>
        <v>0</v>
      </c>
      <c r="F75" s="277">
        <f>SUMIF('A-1 On-Site Habitat Baseline'!$AV$11:$AV$258,'G-2 Habitat groups'!A75,'A-1 On-Site Habitat Baseline'!$Q$11:$Q$258)</f>
        <v>0</v>
      </c>
      <c r="G75" s="277">
        <f>SUMIF('A-1 On-Site Habitat Baseline'!$AV$11:$AV$258,'G-2 Habitat groups'!A75,'A-1 On-Site Habitat Baseline'!$S$11:$S$258)</f>
        <v>0</v>
      </c>
      <c r="H75" s="277">
        <f>SUMIF('A-1 On-Site Habitat Baseline'!$AV$11:$AV$258,'G-2 Habitat groups'!A75,'A-1 On-Site Habitat Baseline'!$U$11:$U$258)</f>
        <v>0</v>
      </c>
      <c r="I75" s="277">
        <f>SUMIF('A-1 On-Site Habitat Baseline'!$AV$11:$AV$258,'G-2 Habitat groups'!A75,'A-1 On-Site Habitat Baseline'!$W$11:$W$258)</f>
        <v>0</v>
      </c>
      <c r="J75" s="277">
        <f>SUMIF('A-1 On-Site Habitat Baseline'!$AV$11:$AV$258,'G-2 Habitat groups'!A75,'A-1 On-Site Habitat Baseline'!$X$11:$X$258)</f>
        <v>0</v>
      </c>
      <c r="K75" s="277">
        <f>SUMIF('A-2 On-Site Habitat Creation'!$F$11:$F$256,'G-2 Habitat groups'!A75,'A-2 On-Site Habitat Creation'!$G$11:$G$256)</f>
        <v>0</v>
      </c>
      <c r="L75" s="277">
        <f>SUMIF('A-2 On-Site Habitat Creation'!$F$11:$F$256,'G-2 Habitat groups'!A75,'A-2 On-Site Habitat Creation'!$Y$11:$Y$256)</f>
        <v>0</v>
      </c>
      <c r="M75" s="277">
        <f>SUMIF('A-3 On-Site Habitat Enhancement'!$S$12:$S$257,'G-2 Habitat groups'!A75,'A-3 On-Site Habitat Enhancement'!$V$12:$V$257)</f>
        <v>0</v>
      </c>
      <c r="N75" s="277">
        <f>SUMIF('A-3 On-Site Habitat Enhancement'!$S$12:$S$257,'G-2 Habitat groups'!A75,'A-3 On-Site Habitat Enhancement'!$AN$12:$AN$257)</f>
        <v>0</v>
      </c>
      <c r="O75" s="277">
        <f t="shared" si="53"/>
        <v>0</v>
      </c>
      <c r="P75" s="277">
        <f t="shared" si="54"/>
        <v>0</v>
      </c>
      <c r="Q75" s="277">
        <f t="shared" si="55"/>
        <v>0</v>
      </c>
      <c r="R75" s="277">
        <f t="shared" si="56"/>
        <v>0</v>
      </c>
      <c r="S75" s="277" t="e">
        <f>IF(C75="V.High",SUMIF(#REF!,'G-2 Habitat groups'!A75,#REF!)+SUMIF(#REF!,'G-2 Habitat groups'!A75,#REF!),SUMIF(#REF!,'G-2 Habitat groups'!A75,#REF!))</f>
        <v>#REF!</v>
      </c>
      <c r="T75" s="277" t="e">
        <f>SUMIF(#REF!,'G-2 Habitat groups'!A75,#REF!)</f>
        <v>#REF!</v>
      </c>
      <c r="U75" s="277" t="e">
        <f>SUMIF(#REF!,'G-2 Habitat groups'!A75,#REF!)</f>
        <v>#REF!</v>
      </c>
      <c r="V75" s="277" t="e">
        <f>SUMIF(#REF!,'G-2 Habitat groups'!A75,#REF!)</f>
        <v>#REF!</v>
      </c>
      <c r="W75" s="277" t="e">
        <f>SUMIF(#REF!,'G-2 Habitat groups'!A75,#REF!)</f>
        <v>#REF!</v>
      </c>
      <c r="X75" s="277" t="e">
        <f>SUMIF(#REF!,'G-2 Habitat groups'!A75,#REF!)</f>
        <v>#REF!</v>
      </c>
      <c r="Y75" s="277" t="e">
        <f>SUMIF(#REF!,'G-2 Habitat groups'!A75,#REF!)</f>
        <v>#REF!</v>
      </c>
      <c r="Z75" s="277" t="e">
        <f>SUMIF(#REF!,'G-2 Habitat groups'!A75,#REF!)</f>
        <v>#REF!</v>
      </c>
      <c r="AA75" s="277" t="e">
        <f t="shared" si="57"/>
        <v>#REF!</v>
      </c>
      <c r="AB75" s="277" t="e">
        <f t="shared" si="58"/>
        <v>#REF!</v>
      </c>
      <c r="AC75" s="277" t="e">
        <f t="shared" si="59"/>
        <v>#REF!</v>
      </c>
      <c r="AD75" s="277" t="e">
        <f t="shared" si="60"/>
        <v>#REF!</v>
      </c>
      <c r="AE75" s="277" t="e">
        <f t="shared" si="61"/>
        <v>#REF!</v>
      </c>
      <c r="AF75" s="277" t="e">
        <f t="shared" si="62"/>
        <v>#REF!</v>
      </c>
    </row>
    <row r="76" spans="1:59" x14ac:dyDescent="0.3">
      <c r="A76" s="63" t="str">
        <f>'G-1 All Habitats'!B80</f>
        <v>Individual trees - Urban tree</v>
      </c>
      <c r="B76" s="52" t="str">
        <f>'G-1 All Habitats'!F80</f>
        <v>Individual trees</v>
      </c>
      <c r="C76" s="52" t="str">
        <f>'G-1 All Habitats'!K80</f>
        <v>Medium</v>
      </c>
      <c r="D76" s="52" t="str">
        <f>'G-1 All Habitats'!M80</f>
        <v>Same broad habitat or a higher distinctiveness habitat required (≥)</v>
      </c>
      <c r="E76" s="277">
        <f>IF(C76="V.High",SUMIF('A-1 On-Site Habitat Baseline'!$AV$11:$AV$258,'G-2 Habitat groups'!A76,'A-1 On-Site Habitat Baseline'!$S$11:$S$258)+SUMIF('A-1 On-Site Habitat Baseline'!$AV$11:$AV$258,'G-2 Habitat groups'!A76,'A-1 On-Site Habitat Baseline'!$T$11:$T$258),SUMIF('A-1 On-Site Habitat Baseline'!$AV$11:$AV$258,'G-2 Habitat groups'!A76,'A-1 On-Site Habitat Baseline'!$H$11:$H$258))</f>
        <v>0</v>
      </c>
      <c r="F76" s="277">
        <f>SUMIF('A-1 On-Site Habitat Baseline'!$AV$11:$AV$258,'G-2 Habitat groups'!A76,'A-1 On-Site Habitat Baseline'!$Q$11:$Q$258)</f>
        <v>0</v>
      </c>
      <c r="G76" s="277">
        <f>SUMIF('A-1 On-Site Habitat Baseline'!$AV$11:$AV$258,'G-2 Habitat groups'!A76,'A-1 On-Site Habitat Baseline'!$S$11:$S$258)</f>
        <v>0</v>
      </c>
      <c r="H76" s="277">
        <f>SUMIF('A-1 On-Site Habitat Baseline'!$AV$11:$AV$258,'G-2 Habitat groups'!A76,'A-1 On-Site Habitat Baseline'!$U$11:$U$258)</f>
        <v>0</v>
      </c>
      <c r="I76" s="277">
        <f>SUMIF('A-1 On-Site Habitat Baseline'!$AV$11:$AV$258,'G-2 Habitat groups'!A76,'A-1 On-Site Habitat Baseline'!$W$11:$W$258)</f>
        <v>0</v>
      </c>
      <c r="J76" s="277">
        <f>SUMIF('A-1 On-Site Habitat Baseline'!$AV$11:$AV$258,'G-2 Habitat groups'!A76,'A-1 On-Site Habitat Baseline'!$X$11:$X$258)</f>
        <v>0</v>
      </c>
      <c r="K76" s="277">
        <f>SUMIF('A-2 On-Site Habitat Creation'!$F$11:$F$256,'G-2 Habitat groups'!A76,'A-2 On-Site Habitat Creation'!$G$11:$G$256)</f>
        <v>0</v>
      </c>
      <c r="L76" s="277">
        <f>SUMIF('A-2 On-Site Habitat Creation'!$F$11:$F$256,'G-2 Habitat groups'!A76,'A-2 On-Site Habitat Creation'!$Y$11:$Y$256)</f>
        <v>0</v>
      </c>
      <c r="M76" s="277">
        <f>SUMIF('A-3 On-Site Habitat Enhancement'!$S$12:$S$257,'G-2 Habitat groups'!A76,'A-3 On-Site Habitat Enhancement'!$V$12:$V$257)</f>
        <v>0</v>
      </c>
      <c r="N76" s="277">
        <f>SUMIF('A-3 On-Site Habitat Enhancement'!$S$12:$S$257,'G-2 Habitat groups'!A76,'A-3 On-Site Habitat Enhancement'!$AN$12:$AN$257)</f>
        <v>0</v>
      </c>
      <c r="O76" s="277">
        <f t="shared" si="53"/>
        <v>0</v>
      </c>
      <c r="P76" s="277">
        <f t="shared" si="54"/>
        <v>0</v>
      </c>
      <c r="Q76" s="277">
        <f t="shared" si="55"/>
        <v>0</v>
      </c>
      <c r="R76" s="277">
        <f t="shared" si="56"/>
        <v>0</v>
      </c>
      <c r="S76" s="277" t="e">
        <f>IF(C76="V.High",SUMIF(#REF!,'G-2 Habitat groups'!A76,#REF!)+SUMIF(#REF!,'G-2 Habitat groups'!A76,#REF!),SUMIF(#REF!,'G-2 Habitat groups'!A76,#REF!))</f>
        <v>#REF!</v>
      </c>
      <c r="T76" s="277" t="e">
        <f>SUMIF(#REF!,'G-2 Habitat groups'!A76,#REF!)</f>
        <v>#REF!</v>
      </c>
      <c r="U76" s="277" t="e">
        <f>SUMIF(#REF!,'G-2 Habitat groups'!A76,#REF!)</f>
        <v>#REF!</v>
      </c>
      <c r="V76" s="277" t="e">
        <f>SUMIF(#REF!,'G-2 Habitat groups'!A76,#REF!)</f>
        <v>#REF!</v>
      </c>
      <c r="W76" s="277" t="e">
        <f>SUMIF(#REF!,'G-2 Habitat groups'!A76,#REF!)</f>
        <v>#REF!</v>
      </c>
      <c r="X76" s="277" t="e">
        <f>SUMIF(#REF!,'G-2 Habitat groups'!A76,#REF!)</f>
        <v>#REF!</v>
      </c>
      <c r="Y76" s="277" t="e">
        <f>SUMIF(#REF!,'G-2 Habitat groups'!A76,#REF!)</f>
        <v>#REF!</v>
      </c>
      <c r="Z76" s="277" t="e">
        <f>SUMIF(#REF!,'G-2 Habitat groups'!A76,#REF!)</f>
        <v>#REF!</v>
      </c>
      <c r="AA76" s="277" t="e">
        <f t="shared" si="57"/>
        <v>#REF!</v>
      </c>
      <c r="AB76" s="277" t="e">
        <f t="shared" si="58"/>
        <v>#REF!</v>
      </c>
      <c r="AC76" s="277" t="e">
        <f t="shared" si="59"/>
        <v>#REF!</v>
      </c>
      <c r="AD76" s="277" t="e">
        <f t="shared" si="60"/>
        <v>#REF!</v>
      </c>
      <c r="AE76" s="277" t="e">
        <f t="shared" si="61"/>
        <v>#REF!</v>
      </c>
      <c r="AF76" s="277" t="e">
        <f t="shared" si="62"/>
        <v>#REF!</v>
      </c>
    </row>
    <row r="77" spans="1:59" ht="35" x14ac:dyDescent="0.7">
      <c r="A77" s="63" t="str">
        <f>'G-1 All Habitats'!B75</f>
        <v>Urban - Sustainable drainage system</v>
      </c>
      <c r="B77" s="52" t="str">
        <f>'G-1 All Habitats'!F75</f>
        <v>Built environment</v>
      </c>
      <c r="C77" s="52" t="str">
        <f>'G-1 All Habitats'!K75</f>
        <v>Low</v>
      </c>
      <c r="D77" s="52" t="str">
        <f>'G-1 All Habitats'!M75</f>
        <v>Same distinctiveness or better habitat required ≥</v>
      </c>
      <c r="E77" s="277">
        <f>IF(C77="V.High",SUMIF('A-1 On-Site Habitat Baseline'!$AV$11:$AV$258,'G-2 Habitat groups'!A77,'A-1 On-Site Habitat Baseline'!$S$11:$S$258)+SUMIF('A-1 On-Site Habitat Baseline'!$AV$11:$AV$258,'G-2 Habitat groups'!A77,'A-1 On-Site Habitat Baseline'!$T$11:$T$258),SUMIF('A-1 On-Site Habitat Baseline'!$AV$11:$AV$258,'G-2 Habitat groups'!A77,'A-1 On-Site Habitat Baseline'!$H$11:$H$258))</f>
        <v>0</v>
      </c>
      <c r="F77" s="277">
        <f>SUMIF('A-1 On-Site Habitat Baseline'!$AV$11:$AV$258,'G-2 Habitat groups'!A77,'A-1 On-Site Habitat Baseline'!$Q$11:$Q$258)</f>
        <v>0</v>
      </c>
      <c r="G77" s="277">
        <f>SUMIF('A-1 On-Site Habitat Baseline'!$AV$11:$AV$258,'G-2 Habitat groups'!A77,'A-1 On-Site Habitat Baseline'!$S$11:$S$258)</f>
        <v>0</v>
      </c>
      <c r="H77" s="277">
        <f>SUMIF('A-1 On-Site Habitat Baseline'!$AV$11:$AV$258,'G-2 Habitat groups'!A77,'A-1 On-Site Habitat Baseline'!$U$11:$U$258)</f>
        <v>0</v>
      </c>
      <c r="I77" s="277">
        <f>SUMIF('A-1 On-Site Habitat Baseline'!$AV$11:$AV$258,'G-2 Habitat groups'!A77,'A-1 On-Site Habitat Baseline'!$W$11:$W$258)</f>
        <v>0</v>
      </c>
      <c r="J77" s="277">
        <f>SUMIF('A-1 On-Site Habitat Baseline'!$AV$11:$AV$258,'G-2 Habitat groups'!A77,'A-1 On-Site Habitat Baseline'!$X$11:$X$258)</f>
        <v>0</v>
      </c>
      <c r="K77" s="277">
        <f>SUMIF('A-2 On-Site Habitat Creation'!$F$11:$F$256,'G-2 Habitat groups'!A77,'A-2 On-Site Habitat Creation'!$G$11:$G$256)</f>
        <v>0</v>
      </c>
      <c r="L77" s="277">
        <f>SUMIF('A-2 On-Site Habitat Creation'!$F$11:$F$256,'G-2 Habitat groups'!A77,'A-2 On-Site Habitat Creation'!$Y$11:$Y$256)</f>
        <v>0</v>
      </c>
      <c r="M77" s="277">
        <f>SUMIF('A-3 On-Site Habitat Enhancement'!$S$12:$S$257,'G-2 Habitat groups'!A77,'A-3 On-Site Habitat Enhancement'!$V$12:$V$257)</f>
        <v>0</v>
      </c>
      <c r="N77" s="277">
        <f>SUMIF('A-3 On-Site Habitat Enhancement'!$S$12:$S$257,'G-2 Habitat groups'!A77,'A-3 On-Site Habitat Enhancement'!$AN$12:$AN$257)</f>
        <v>0</v>
      </c>
      <c r="O77" s="277">
        <f t="shared" si="53"/>
        <v>0</v>
      </c>
      <c r="P77" s="277">
        <f t="shared" si="54"/>
        <v>0</v>
      </c>
      <c r="Q77" s="277">
        <f t="shared" si="55"/>
        <v>0</v>
      </c>
      <c r="R77" s="277">
        <f t="shared" si="56"/>
        <v>0</v>
      </c>
      <c r="S77" s="277" t="e">
        <f>IF(C77="V.High",SUMIF(#REF!,'G-2 Habitat groups'!A77,#REF!)+SUMIF(#REF!,'G-2 Habitat groups'!A77,#REF!),SUMIF(#REF!,'G-2 Habitat groups'!A77,#REF!))</f>
        <v>#REF!</v>
      </c>
      <c r="T77" s="277" t="e">
        <f>SUMIF(#REF!,'G-2 Habitat groups'!A77,#REF!)</f>
        <v>#REF!</v>
      </c>
      <c r="U77" s="277" t="e">
        <f>SUMIF(#REF!,'G-2 Habitat groups'!A77,#REF!)</f>
        <v>#REF!</v>
      </c>
      <c r="V77" s="277" t="e">
        <f>SUMIF(#REF!,'G-2 Habitat groups'!A77,#REF!)</f>
        <v>#REF!</v>
      </c>
      <c r="W77" s="277" t="e">
        <f>SUMIF(#REF!,'G-2 Habitat groups'!A77,#REF!)</f>
        <v>#REF!</v>
      </c>
      <c r="X77" s="277" t="e">
        <f>SUMIF(#REF!,'G-2 Habitat groups'!A77,#REF!)</f>
        <v>#REF!</v>
      </c>
      <c r="Y77" s="277" t="e">
        <f>SUMIF(#REF!,'G-2 Habitat groups'!A77,#REF!)</f>
        <v>#REF!</v>
      </c>
      <c r="Z77" s="277" t="e">
        <f>SUMIF(#REF!,'G-2 Habitat groups'!A77,#REF!)</f>
        <v>#REF!</v>
      </c>
      <c r="AA77" s="277" t="e">
        <f t="shared" si="57"/>
        <v>#REF!</v>
      </c>
      <c r="AB77" s="277" t="e">
        <f t="shared" si="58"/>
        <v>#REF!</v>
      </c>
      <c r="AC77" s="277" t="e">
        <f t="shared" si="59"/>
        <v>#REF!</v>
      </c>
      <c r="AD77" s="277" t="e">
        <f t="shared" si="60"/>
        <v>#REF!</v>
      </c>
      <c r="AE77" s="277" t="e">
        <f t="shared" si="61"/>
        <v>#REF!</v>
      </c>
      <c r="AF77" s="277" t="e">
        <f t="shared" si="62"/>
        <v>#REF!</v>
      </c>
      <c r="AU77" s="234" t="s">
        <v>38</v>
      </c>
      <c r="AV77" s="60"/>
      <c r="AW77" s="60"/>
      <c r="AX77" s="60"/>
      <c r="AY77" s="60"/>
      <c r="AZ77" s="60"/>
      <c r="BA77" s="60"/>
      <c r="BB77" s="60"/>
      <c r="BC77" s="60"/>
      <c r="BD77" s="60"/>
      <c r="BE77" s="60"/>
      <c r="BF77" s="60"/>
      <c r="BG77" s="76"/>
    </row>
    <row r="78" spans="1:59" ht="33.75" customHeight="1" x14ac:dyDescent="0.3">
      <c r="A78" s="63" t="str">
        <f>'G-1 All Habitats'!B76</f>
        <v>Urban - Unvegetated garden</v>
      </c>
      <c r="B78" s="52" t="str">
        <f>'G-1 All Habitats'!F76</f>
        <v>Built environment</v>
      </c>
      <c r="C78" s="52" t="str">
        <f>'G-1 All Habitats'!K76</f>
        <v>V.Low</v>
      </c>
      <c r="D78" s="52" t="str">
        <f>'G-1 All Habitats'!M76</f>
        <v>Compensation Not Required</v>
      </c>
      <c r="E78" s="277">
        <f>IF(C78="V.High",SUMIF('A-1 On-Site Habitat Baseline'!$AV$11:$AV$258,'G-2 Habitat groups'!A78,'A-1 On-Site Habitat Baseline'!$S$11:$S$258)+SUMIF('A-1 On-Site Habitat Baseline'!$AV$11:$AV$258,'G-2 Habitat groups'!A78,'A-1 On-Site Habitat Baseline'!$T$11:$T$258),SUMIF('A-1 On-Site Habitat Baseline'!$AV$11:$AV$258,'G-2 Habitat groups'!A78,'A-1 On-Site Habitat Baseline'!$H$11:$H$258))</f>
        <v>0</v>
      </c>
      <c r="F78" s="277">
        <f>SUMIF('A-1 On-Site Habitat Baseline'!$AV$11:$AV$258,'G-2 Habitat groups'!A78,'A-1 On-Site Habitat Baseline'!$Q$11:$Q$258)</f>
        <v>0</v>
      </c>
      <c r="G78" s="277">
        <f>SUMIF('A-1 On-Site Habitat Baseline'!$AV$11:$AV$258,'G-2 Habitat groups'!A78,'A-1 On-Site Habitat Baseline'!$S$11:$S$258)</f>
        <v>0</v>
      </c>
      <c r="H78" s="277">
        <f>SUMIF('A-1 On-Site Habitat Baseline'!$AV$11:$AV$258,'G-2 Habitat groups'!A78,'A-1 On-Site Habitat Baseline'!$U$11:$U$258)</f>
        <v>0</v>
      </c>
      <c r="I78" s="277">
        <f>SUMIF('A-1 On-Site Habitat Baseline'!$AV$11:$AV$258,'G-2 Habitat groups'!A78,'A-1 On-Site Habitat Baseline'!$W$11:$W$258)</f>
        <v>0</v>
      </c>
      <c r="J78" s="277">
        <f>SUMIF('A-1 On-Site Habitat Baseline'!$AV$11:$AV$258,'G-2 Habitat groups'!A78,'A-1 On-Site Habitat Baseline'!$X$11:$X$258)</f>
        <v>0</v>
      </c>
      <c r="K78" s="277">
        <f>SUMIF('A-2 On-Site Habitat Creation'!$F$11:$F$256,'G-2 Habitat groups'!A78,'A-2 On-Site Habitat Creation'!$G$11:$G$256)</f>
        <v>0</v>
      </c>
      <c r="L78" s="277">
        <f>SUMIF('A-2 On-Site Habitat Creation'!$F$11:$F$256,'G-2 Habitat groups'!A78,'A-2 On-Site Habitat Creation'!$Y$11:$Y$256)</f>
        <v>0</v>
      </c>
      <c r="M78" s="277">
        <f>SUMIF('A-3 On-Site Habitat Enhancement'!$S$12:$S$257,'G-2 Habitat groups'!A78,'A-3 On-Site Habitat Enhancement'!$V$12:$V$257)</f>
        <v>0</v>
      </c>
      <c r="N78" s="277">
        <f>SUMIF('A-3 On-Site Habitat Enhancement'!$S$12:$S$257,'G-2 Habitat groups'!A78,'A-3 On-Site Habitat Enhancement'!$AN$12:$AN$257)</f>
        <v>0</v>
      </c>
      <c r="O78" s="277">
        <f t="shared" si="53"/>
        <v>0</v>
      </c>
      <c r="P78" s="277">
        <f t="shared" si="54"/>
        <v>0</v>
      </c>
      <c r="Q78" s="277">
        <f t="shared" si="55"/>
        <v>0</v>
      </c>
      <c r="R78" s="277">
        <f t="shared" si="56"/>
        <v>0</v>
      </c>
      <c r="S78" s="277" t="e">
        <f>IF(C78="V.High",SUMIF(#REF!,'G-2 Habitat groups'!A78,#REF!)+SUMIF(#REF!,'G-2 Habitat groups'!A78,#REF!),SUMIF(#REF!,'G-2 Habitat groups'!A78,#REF!))</f>
        <v>#REF!</v>
      </c>
      <c r="T78" s="277" t="e">
        <f>SUMIF(#REF!,'G-2 Habitat groups'!A78,#REF!)</f>
        <v>#REF!</v>
      </c>
      <c r="U78" s="277" t="e">
        <f>SUMIF(#REF!,'G-2 Habitat groups'!A78,#REF!)</f>
        <v>#REF!</v>
      </c>
      <c r="V78" s="277" t="e">
        <f>SUMIF(#REF!,'G-2 Habitat groups'!A78,#REF!)</f>
        <v>#REF!</v>
      </c>
      <c r="W78" s="277" t="e">
        <f>SUMIF(#REF!,'G-2 Habitat groups'!A78,#REF!)</f>
        <v>#REF!</v>
      </c>
      <c r="X78" s="277" t="e">
        <f>SUMIF(#REF!,'G-2 Habitat groups'!A78,#REF!)</f>
        <v>#REF!</v>
      </c>
      <c r="Y78" s="277" t="e">
        <f>SUMIF(#REF!,'G-2 Habitat groups'!A78,#REF!)</f>
        <v>#REF!</v>
      </c>
      <c r="Z78" s="277" t="e">
        <f>SUMIF(#REF!,'G-2 Habitat groups'!A78,#REF!)</f>
        <v>#REF!</v>
      </c>
      <c r="AA78" s="277" t="e">
        <f t="shared" si="57"/>
        <v>#REF!</v>
      </c>
      <c r="AB78" s="277" t="e">
        <f t="shared" si="58"/>
        <v>#REF!</v>
      </c>
      <c r="AC78" s="277" t="e">
        <f t="shared" si="59"/>
        <v>#REF!</v>
      </c>
      <c r="AD78" s="277" t="e">
        <f t="shared" si="60"/>
        <v>#REF!</v>
      </c>
      <c r="AE78" s="277" t="e">
        <f t="shared" si="61"/>
        <v>#REF!</v>
      </c>
      <c r="AF78" s="277" t="e">
        <f t="shared" si="62"/>
        <v>#REF!</v>
      </c>
      <c r="AU78" s="78" t="s">
        <v>789</v>
      </c>
      <c r="AV78" s="81" t="s">
        <v>96</v>
      </c>
      <c r="AW78" s="82" t="s">
        <v>790</v>
      </c>
      <c r="AX78" s="82" t="s">
        <v>791</v>
      </c>
      <c r="AY78" s="82" t="s">
        <v>792</v>
      </c>
      <c r="AZ78" s="82" t="s">
        <v>793</v>
      </c>
      <c r="BA78" s="82" t="s">
        <v>794</v>
      </c>
      <c r="BB78" s="82" t="s">
        <v>795</v>
      </c>
      <c r="BC78" s="82" t="s">
        <v>796</v>
      </c>
      <c r="BD78" s="81" t="s">
        <v>797</v>
      </c>
      <c r="BE78" s="82" t="s">
        <v>798</v>
      </c>
      <c r="BF78" s="82" t="s">
        <v>809</v>
      </c>
      <c r="BG78" s="77"/>
    </row>
    <row r="79" spans="1:59" x14ac:dyDescent="0.3">
      <c r="A79" s="63" t="str">
        <f>'G-1 All Habitats'!B77</f>
        <v>Urban - Vacant or derelict land</v>
      </c>
      <c r="B79" s="52" t="str">
        <f>'G-1 All Habitats'!F77</f>
        <v>Built environment</v>
      </c>
      <c r="C79" s="52" t="str">
        <f>'G-1 All Habitats'!K77</f>
        <v>Low</v>
      </c>
      <c r="D79" s="52" t="str">
        <f>'G-1 All Habitats'!M77</f>
        <v>Same distinctiveness or better habitat required ≥</v>
      </c>
      <c r="E79" s="277">
        <f>IF(C79="V.High",SUMIF('A-1 On-Site Habitat Baseline'!$AV$11:$AV$258,'G-2 Habitat groups'!A79,'A-1 On-Site Habitat Baseline'!$S$11:$S$258)+SUMIF('A-1 On-Site Habitat Baseline'!$AV$11:$AV$258,'G-2 Habitat groups'!A79,'A-1 On-Site Habitat Baseline'!$T$11:$T$258),SUMIF('A-1 On-Site Habitat Baseline'!$AV$11:$AV$258,'G-2 Habitat groups'!A79,'A-1 On-Site Habitat Baseline'!$H$11:$H$258))</f>
        <v>0</v>
      </c>
      <c r="F79" s="277">
        <f>SUMIF('A-1 On-Site Habitat Baseline'!$AV$11:$AV$258,'G-2 Habitat groups'!A79,'A-1 On-Site Habitat Baseline'!$Q$11:$Q$258)</f>
        <v>0</v>
      </c>
      <c r="G79" s="277">
        <f>SUMIF('A-1 On-Site Habitat Baseline'!$AV$11:$AV$258,'G-2 Habitat groups'!A79,'A-1 On-Site Habitat Baseline'!$S$11:$S$258)</f>
        <v>0</v>
      </c>
      <c r="H79" s="277">
        <f>SUMIF('A-1 On-Site Habitat Baseline'!$AV$11:$AV$258,'G-2 Habitat groups'!A79,'A-1 On-Site Habitat Baseline'!$U$11:$U$258)</f>
        <v>0</v>
      </c>
      <c r="I79" s="277">
        <f>SUMIF('A-1 On-Site Habitat Baseline'!$AV$11:$AV$258,'G-2 Habitat groups'!A79,'A-1 On-Site Habitat Baseline'!$W$11:$W$258)</f>
        <v>0</v>
      </c>
      <c r="J79" s="277">
        <f>SUMIF('A-1 On-Site Habitat Baseline'!$AV$11:$AV$258,'G-2 Habitat groups'!A79,'A-1 On-Site Habitat Baseline'!$X$11:$X$258)</f>
        <v>0</v>
      </c>
      <c r="K79" s="277">
        <f>SUMIF('A-2 On-Site Habitat Creation'!$F$11:$F$256,'G-2 Habitat groups'!A79,'A-2 On-Site Habitat Creation'!$G$11:$G$256)</f>
        <v>0</v>
      </c>
      <c r="L79" s="277">
        <f>SUMIF('A-2 On-Site Habitat Creation'!$F$11:$F$256,'G-2 Habitat groups'!A79,'A-2 On-Site Habitat Creation'!$Y$11:$Y$256)</f>
        <v>0</v>
      </c>
      <c r="M79" s="277">
        <f>SUMIF('A-3 On-Site Habitat Enhancement'!$S$12:$S$257,'G-2 Habitat groups'!A79,'A-3 On-Site Habitat Enhancement'!$V$12:$V$257)</f>
        <v>0</v>
      </c>
      <c r="N79" s="277">
        <f>SUMIF('A-3 On-Site Habitat Enhancement'!$S$12:$S$257,'G-2 Habitat groups'!A79,'A-3 On-Site Habitat Enhancement'!$AN$12:$AN$257)</f>
        <v>0</v>
      </c>
      <c r="O79" s="277">
        <f t="shared" si="53"/>
        <v>0</v>
      </c>
      <c r="P79" s="277">
        <f t="shared" si="54"/>
        <v>0</v>
      </c>
      <c r="Q79" s="277">
        <f t="shared" si="55"/>
        <v>0</v>
      </c>
      <c r="R79" s="277">
        <f t="shared" si="56"/>
        <v>0</v>
      </c>
      <c r="S79" s="277" t="e">
        <f>IF(C79="V.High",SUMIF(#REF!,'G-2 Habitat groups'!A79,#REF!)+SUMIF(#REF!,'G-2 Habitat groups'!A79,#REF!),SUMIF(#REF!,'G-2 Habitat groups'!A79,#REF!))</f>
        <v>#REF!</v>
      </c>
      <c r="T79" s="277" t="e">
        <f>SUMIF(#REF!,'G-2 Habitat groups'!A79,#REF!)</f>
        <v>#REF!</v>
      </c>
      <c r="U79" s="277" t="e">
        <f>SUMIF(#REF!,'G-2 Habitat groups'!A79,#REF!)</f>
        <v>#REF!</v>
      </c>
      <c r="V79" s="277" t="e">
        <f>SUMIF(#REF!,'G-2 Habitat groups'!A79,#REF!)</f>
        <v>#REF!</v>
      </c>
      <c r="W79" s="277" t="e">
        <f>SUMIF(#REF!,'G-2 Habitat groups'!A79,#REF!)</f>
        <v>#REF!</v>
      </c>
      <c r="X79" s="277" t="e">
        <f>SUMIF(#REF!,'G-2 Habitat groups'!A79,#REF!)</f>
        <v>#REF!</v>
      </c>
      <c r="Y79" s="277" t="e">
        <f>SUMIF(#REF!,'G-2 Habitat groups'!A79,#REF!)</f>
        <v>#REF!</v>
      </c>
      <c r="Z79" s="277" t="e">
        <f>SUMIF(#REF!,'G-2 Habitat groups'!A79,#REF!)</f>
        <v>#REF!</v>
      </c>
      <c r="AA79" s="277" t="e">
        <f t="shared" si="57"/>
        <v>#REF!</v>
      </c>
      <c r="AB79" s="277" t="e">
        <f t="shared" si="58"/>
        <v>#REF!</v>
      </c>
      <c r="AC79" s="277" t="e">
        <f t="shared" si="59"/>
        <v>#REF!</v>
      </c>
      <c r="AD79" s="277" t="e">
        <f t="shared" si="60"/>
        <v>#REF!</v>
      </c>
      <c r="AE79" s="277" t="e">
        <f t="shared" si="61"/>
        <v>#REF!</v>
      </c>
      <c r="AF79" s="277" t="e">
        <f t="shared" si="62"/>
        <v>#REF!</v>
      </c>
      <c r="AU79" s="63" t="s">
        <v>292</v>
      </c>
      <c r="AV79" s="52" t="s">
        <v>46</v>
      </c>
      <c r="AW79" s="288">
        <f>VLOOKUP($AU79,AllHabsSummaryData,5,FALSE)</f>
        <v>0</v>
      </c>
      <c r="AX79" s="288">
        <f>VLOOKUP($AU79,AllHabsSummaryData,10,FALSE)</f>
        <v>0</v>
      </c>
      <c r="AY79" s="288">
        <f>VLOOKUP($AU79,AllHabsSummaryData,15,FALSE)</f>
        <v>0</v>
      </c>
      <c r="AZ79" s="288">
        <f>VLOOKUP($AU79,AllHabsSummaryData,16,FALSE)</f>
        <v>0</v>
      </c>
      <c r="BA79" s="288">
        <f>VLOOKUP($AU79,AllHabsSummaryData,17,FALSE)</f>
        <v>0</v>
      </c>
      <c r="BB79" s="288">
        <f>VLOOKUP($AU79,AllHabsSummaryData,18,FALSE)</f>
        <v>0</v>
      </c>
      <c r="BC79" s="288" t="e">
        <f>VLOOKUP($AU79,AllHabsSummaryData,27,FALSE)</f>
        <v>#REF!</v>
      </c>
      <c r="BD79" s="288" t="e">
        <f>VLOOKUP($AU79,AllHabsSummaryData,30,FALSE)</f>
        <v>#REF!</v>
      </c>
      <c r="BE79" s="288" t="e">
        <f>BB79+BD79</f>
        <v>#REF!</v>
      </c>
      <c r="BF79" s="288" t="e">
        <f>IF(BE79&lt;0,BE79,"")</f>
        <v>#REF!</v>
      </c>
    </row>
    <row r="80" spans="1:59" x14ac:dyDescent="0.3">
      <c r="A80" s="63" t="s">
        <v>559</v>
      </c>
      <c r="B80" s="52" t="s">
        <v>51</v>
      </c>
      <c r="C80" s="52" t="s">
        <v>92</v>
      </c>
      <c r="D80" s="52" t="s">
        <v>93</v>
      </c>
      <c r="E80" s="277">
        <f>IF(C80="V.High",SUMIF('A-1 On-Site Habitat Baseline'!$AV$11:$AV$258,'G-2 Habitat groups'!A80,'A-1 On-Site Habitat Baseline'!$S$11:$S$258)+SUMIF('A-1 On-Site Habitat Baseline'!$AV$11:$AV$258,'G-2 Habitat groups'!A80,'A-1 On-Site Habitat Baseline'!$T$11:$T$258),SUMIF('A-1 On-Site Habitat Baseline'!$AV$11:$AV$258,'G-2 Habitat groups'!A80,'A-1 On-Site Habitat Baseline'!$H$11:$H$258))</f>
        <v>0</v>
      </c>
      <c r="F80" s="277">
        <f>SUMIF('A-1 On-Site Habitat Baseline'!$AV$11:$AV$258,'G-2 Habitat groups'!A80,'A-1 On-Site Habitat Baseline'!$Q$11:$Q$258)</f>
        <v>0</v>
      </c>
      <c r="G80" s="277">
        <f>SUMIF('A-1 On-Site Habitat Baseline'!$AV$11:$AV$258,'G-2 Habitat groups'!A80,'A-1 On-Site Habitat Baseline'!$S$11:$S$258)</f>
        <v>0</v>
      </c>
      <c r="H80" s="277">
        <f>SUMIF('A-1 On-Site Habitat Baseline'!$AV$11:$AV$258,'G-2 Habitat groups'!A80,'A-1 On-Site Habitat Baseline'!$U$11:$U$258)</f>
        <v>0</v>
      </c>
      <c r="I80" s="277">
        <f>SUMIF('A-1 On-Site Habitat Baseline'!$AV$11:$AV$258,'G-2 Habitat groups'!A80,'A-1 On-Site Habitat Baseline'!$W$11:$W$258)</f>
        <v>0</v>
      </c>
      <c r="J80" s="277">
        <f>SUMIF('A-1 On-Site Habitat Baseline'!$AV$11:$AV$258,'G-2 Habitat groups'!A80,'A-1 On-Site Habitat Baseline'!$X$11:$X$258)</f>
        <v>0</v>
      </c>
      <c r="K80" s="277">
        <f>SUMIF('A-2 On-Site Habitat Creation'!$F$11:$F$256,'G-2 Habitat groups'!A80,'A-2 On-Site Habitat Creation'!$G$11:$G$256)</f>
        <v>0</v>
      </c>
      <c r="L80" s="277">
        <f>SUMIF('A-2 On-Site Habitat Creation'!$F$11:$F$256,'G-2 Habitat groups'!A80,'A-2 On-Site Habitat Creation'!$Y$11:$Y$256)</f>
        <v>0</v>
      </c>
      <c r="M80" s="277">
        <f>SUMIF('A-3 On-Site Habitat Enhancement'!$S$12:$S$257,'G-2 Habitat groups'!A80,'A-3 On-Site Habitat Enhancement'!$V$12:$V$257)</f>
        <v>0</v>
      </c>
      <c r="N80" s="277">
        <f>SUMIF('A-3 On-Site Habitat Enhancement'!$S$12:$S$257,'G-2 Habitat groups'!A80,'A-3 On-Site Habitat Enhancement'!$AN$12:$AN$257)</f>
        <v>0</v>
      </c>
      <c r="O80" s="277">
        <f t="shared" si="53"/>
        <v>0</v>
      </c>
      <c r="P80" s="277">
        <f t="shared" si="54"/>
        <v>0</v>
      </c>
      <c r="Q80" s="277">
        <f t="shared" si="55"/>
        <v>0</v>
      </c>
      <c r="R80" s="277">
        <f t="shared" si="56"/>
        <v>0</v>
      </c>
      <c r="S80" s="277" t="e">
        <f>IF(C80="V.High",SUMIF(#REF!,'G-2 Habitat groups'!A80,#REF!)+SUMIF(#REF!,'G-2 Habitat groups'!A80,#REF!),SUMIF(#REF!,'G-2 Habitat groups'!A80,#REF!))</f>
        <v>#REF!</v>
      </c>
      <c r="T80" s="277" t="e">
        <f>SUMIF(#REF!,'G-2 Habitat groups'!A80,#REF!)</f>
        <v>#REF!</v>
      </c>
      <c r="U80" s="277" t="e">
        <f>SUMIF(#REF!,'G-2 Habitat groups'!A80,#REF!)</f>
        <v>#REF!</v>
      </c>
      <c r="V80" s="277" t="e">
        <f>SUMIF(#REF!,'G-2 Habitat groups'!A80,#REF!)</f>
        <v>#REF!</v>
      </c>
      <c r="W80" s="277" t="e">
        <f>SUMIF(#REF!,'G-2 Habitat groups'!A80,#REF!)</f>
        <v>#REF!</v>
      </c>
      <c r="X80" s="277" t="e">
        <f>SUMIF(#REF!,'G-2 Habitat groups'!A80,#REF!)</f>
        <v>#REF!</v>
      </c>
      <c r="Y80" s="277" t="e">
        <f>SUMIF(#REF!,'G-2 Habitat groups'!A80,#REF!)</f>
        <v>#REF!</v>
      </c>
      <c r="Z80" s="277" t="e">
        <f>SUMIF(#REF!,'G-2 Habitat groups'!A80,#REF!)</f>
        <v>#REF!</v>
      </c>
      <c r="AA80" s="277" t="e">
        <f t="shared" si="57"/>
        <v>#REF!</v>
      </c>
      <c r="AB80" s="277" t="e">
        <f t="shared" si="58"/>
        <v>#REF!</v>
      </c>
      <c r="AC80" s="277" t="e">
        <f t="shared" si="59"/>
        <v>#REF!</v>
      </c>
      <c r="AD80" s="277" t="e">
        <f t="shared" si="60"/>
        <v>#REF!</v>
      </c>
      <c r="AE80" s="277" t="e">
        <f t="shared" si="61"/>
        <v>#REF!</v>
      </c>
      <c r="AF80" s="277" t="e">
        <f t="shared" si="62"/>
        <v>#REF!</v>
      </c>
      <c r="AU80" s="63" t="s">
        <v>567</v>
      </c>
      <c r="AV80" s="52" t="s">
        <v>60</v>
      </c>
      <c r="AW80" s="288">
        <f>VLOOKUP($AU80,AllHabsSummaryData,5,FALSE)</f>
        <v>0</v>
      </c>
      <c r="AX80" s="288">
        <f>VLOOKUP($AU80,AllHabsSummaryData,10,FALSE)</f>
        <v>0</v>
      </c>
      <c r="AY80" s="288">
        <f>VLOOKUP($AU80,AllHabsSummaryData,15,FALSE)</f>
        <v>0</v>
      </c>
      <c r="AZ80" s="288">
        <f>VLOOKUP($AU80,AllHabsSummaryData,16,FALSE)</f>
        <v>0</v>
      </c>
      <c r="BA80" s="288">
        <f>VLOOKUP($AU80,AllHabsSummaryData,17,FALSE)</f>
        <v>0</v>
      </c>
      <c r="BB80" s="288">
        <f>VLOOKUP($AU80,AllHabsSummaryData,18,FALSE)</f>
        <v>0</v>
      </c>
      <c r="BC80" s="288" t="e">
        <f>VLOOKUP($AU80,AllHabsSummaryData,27,FALSE)</f>
        <v>#REF!</v>
      </c>
      <c r="BD80" s="288" t="e">
        <f>VLOOKUP($AU80,AllHabsSummaryData,30,FALSE)</f>
        <v>#REF!</v>
      </c>
      <c r="BE80" s="288" t="e">
        <f>BB80+BD80</f>
        <v>#REF!</v>
      </c>
      <c r="BF80" s="288" t="e">
        <f>IF(BE80&lt;0,BE80,"")</f>
        <v>#REF!</v>
      </c>
    </row>
    <row r="81" spans="1:58" x14ac:dyDescent="0.3">
      <c r="A81" s="63" t="str">
        <f>'G-1 All Habitats'!B79</f>
        <v>Urban - Vegetated garden</v>
      </c>
      <c r="B81" s="52" t="str">
        <f>'G-1 All Habitats'!F79</f>
        <v>Built environment</v>
      </c>
      <c r="C81" s="52" t="str">
        <f>'G-1 All Habitats'!K79</f>
        <v>Low</v>
      </c>
      <c r="D81" s="52" t="str">
        <f>'G-1 All Habitats'!M79</f>
        <v>Same distinctiveness or better habitat required ≥</v>
      </c>
      <c r="E81" s="277">
        <f>IF(C81="V.High",SUMIF('A-1 On-Site Habitat Baseline'!$AV$11:$AV$258,'G-2 Habitat groups'!A81,'A-1 On-Site Habitat Baseline'!$S$11:$S$258)+SUMIF('A-1 On-Site Habitat Baseline'!$AV$11:$AV$258,'G-2 Habitat groups'!A81,'A-1 On-Site Habitat Baseline'!$T$11:$T$258),SUMIF('A-1 On-Site Habitat Baseline'!$AV$11:$AV$258,'G-2 Habitat groups'!A81,'A-1 On-Site Habitat Baseline'!$H$11:$H$258))</f>
        <v>0</v>
      </c>
      <c r="F81" s="277">
        <f>SUMIF('A-1 On-Site Habitat Baseline'!$AV$11:$AV$258,'G-2 Habitat groups'!A81,'A-1 On-Site Habitat Baseline'!$Q$11:$Q$258)</f>
        <v>0</v>
      </c>
      <c r="G81" s="277">
        <f>SUMIF('A-1 On-Site Habitat Baseline'!$AV$11:$AV$258,'G-2 Habitat groups'!A81,'A-1 On-Site Habitat Baseline'!$S$11:$S$258)</f>
        <v>0</v>
      </c>
      <c r="H81" s="277">
        <f>SUMIF('A-1 On-Site Habitat Baseline'!$AV$11:$AV$258,'G-2 Habitat groups'!A81,'A-1 On-Site Habitat Baseline'!$U$11:$U$258)</f>
        <v>0</v>
      </c>
      <c r="I81" s="277">
        <f>SUMIF('A-1 On-Site Habitat Baseline'!$AV$11:$AV$258,'G-2 Habitat groups'!A81,'A-1 On-Site Habitat Baseline'!$W$11:$W$258)</f>
        <v>0</v>
      </c>
      <c r="J81" s="277">
        <f>SUMIF('A-1 On-Site Habitat Baseline'!$AV$11:$AV$258,'G-2 Habitat groups'!A81,'A-1 On-Site Habitat Baseline'!$X$11:$X$258)</f>
        <v>0</v>
      </c>
      <c r="K81" s="277">
        <f>SUMIF('A-2 On-Site Habitat Creation'!$F$11:$F$256,'G-2 Habitat groups'!A81,'A-2 On-Site Habitat Creation'!$G$11:$G$256)</f>
        <v>0</v>
      </c>
      <c r="L81" s="277">
        <f>SUMIF('A-2 On-Site Habitat Creation'!$F$11:$F$256,'G-2 Habitat groups'!A81,'A-2 On-Site Habitat Creation'!$Y$11:$Y$256)</f>
        <v>0</v>
      </c>
      <c r="M81" s="277">
        <f>SUMIF('A-3 On-Site Habitat Enhancement'!$S$12:$S$257,'G-2 Habitat groups'!A81,'A-3 On-Site Habitat Enhancement'!$V$12:$V$257)</f>
        <v>0</v>
      </c>
      <c r="N81" s="277">
        <f>SUMIF('A-3 On-Site Habitat Enhancement'!$S$12:$S$257,'G-2 Habitat groups'!A81,'A-3 On-Site Habitat Enhancement'!$AN$12:$AN$257)</f>
        <v>0</v>
      </c>
      <c r="O81" s="277">
        <f t="shared" si="53"/>
        <v>0</v>
      </c>
      <c r="P81" s="277">
        <f t="shared" si="54"/>
        <v>0</v>
      </c>
      <c r="Q81" s="277">
        <f t="shared" si="55"/>
        <v>0</v>
      </c>
      <c r="R81" s="277">
        <f t="shared" si="56"/>
        <v>0</v>
      </c>
      <c r="S81" s="277" t="e">
        <f>IF(C81="V.High",SUMIF(#REF!,'G-2 Habitat groups'!A81,#REF!)+SUMIF(#REF!,'G-2 Habitat groups'!A81,#REF!),SUMIF(#REF!,'G-2 Habitat groups'!A81,#REF!))</f>
        <v>#REF!</v>
      </c>
      <c r="T81" s="277" t="e">
        <f>SUMIF(#REF!,'G-2 Habitat groups'!A81,#REF!)</f>
        <v>#REF!</v>
      </c>
      <c r="U81" s="277" t="e">
        <f>SUMIF(#REF!,'G-2 Habitat groups'!A81,#REF!)</f>
        <v>#REF!</v>
      </c>
      <c r="V81" s="277" t="e">
        <f>SUMIF(#REF!,'G-2 Habitat groups'!A81,#REF!)</f>
        <v>#REF!</v>
      </c>
      <c r="W81" s="277" t="e">
        <f>SUMIF(#REF!,'G-2 Habitat groups'!A81,#REF!)</f>
        <v>#REF!</v>
      </c>
      <c r="X81" s="277" t="e">
        <f>SUMIF(#REF!,'G-2 Habitat groups'!A81,#REF!)</f>
        <v>#REF!</v>
      </c>
      <c r="Y81" s="277" t="e">
        <f>SUMIF(#REF!,'G-2 Habitat groups'!A81,#REF!)</f>
        <v>#REF!</v>
      </c>
      <c r="Z81" s="277" t="e">
        <f>SUMIF(#REF!,'G-2 Habitat groups'!A81,#REF!)</f>
        <v>#REF!</v>
      </c>
      <c r="AA81" s="277" t="e">
        <f t="shared" si="57"/>
        <v>#REF!</v>
      </c>
      <c r="AB81" s="277" t="e">
        <f t="shared" si="58"/>
        <v>#REF!</v>
      </c>
      <c r="AC81" s="277" t="e">
        <f t="shared" si="59"/>
        <v>#REF!</v>
      </c>
      <c r="AD81" s="277" t="e">
        <f t="shared" si="60"/>
        <v>#REF!</v>
      </c>
      <c r="AE81" s="277" t="e">
        <f t="shared" si="61"/>
        <v>#REF!</v>
      </c>
      <c r="AF81" s="277" t="e">
        <f t="shared" si="62"/>
        <v>#REF!</v>
      </c>
      <c r="AU81" s="63" t="s">
        <v>300</v>
      </c>
      <c r="AV81" s="52" t="s">
        <v>46</v>
      </c>
      <c r="AW81" s="288">
        <f>VLOOKUP($AU81,AllHabsSummaryData,5,FALSE)</f>
        <v>0</v>
      </c>
      <c r="AX81" s="288">
        <f>VLOOKUP($AU81,AllHabsSummaryData,10,FALSE)</f>
        <v>0</v>
      </c>
      <c r="AY81" s="288">
        <f>VLOOKUP($AU81,AllHabsSummaryData,15,FALSE)</f>
        <v>0</v>
      </c>
      <c r="AZ81" s="288">
        <f>VLOOKUP($AU81,AllHabsSummaryData,16,FALSE)</f>
        <v>0</v>
      </c>
      <c r="BA81" s="288">
        <f>VLOOKUP($AU81,AllHabsSummaryData,17,FALSE)</f>
        <v>0</v>
      </c>
      <c r="BB81" s="288">
        <f>VLOOKUP($AU81,AllHabsSummaryData,18,FALSE)</f>
        <v>0</v>
      </c>
      <c r="BC81" s="288" t="e">
        <f>VLOOKUP($AU81,AllHabsSummaryData,27,FALSE)</f>
        <v>#REF!</v>
      </c>
      <c r="BD81" s="288" t="e">
        <f>VLOOKUP($AU81,AllHabsSummaryData,30,FALSE)</f>
        <v>#REF!</v>
      </c>
      <c r="BE81" s="288" t="e">
        <f>BB81+BD81</f>
        <v>#REF!</v>
      </c>
      <c r="BF81" s="288" t="e">
        <f>IF(BE81&lt;0,BE81,"")</f>
        <v>#REF!</v>
      </c>
    </row>
    <row r="82" spans="1:58" x14ac:dyDescent="0.3">
      <c r="A82" s="63" t="str">
        <f>'G-1 All Habitats'!B82</f>
        <v>Wetland - Blanket bog</v>
      </c>
      <c r="B82" s="52" t="str">
        <f>'G-1 All Habitats'!F82</f>
        <v>Wetland</v>
      </c>
      <c r="C82" s="52" t="str">
        <f>'G-1 All Habitats'!K82</f>
        <v>V.High</v>
      </c>
      <c r="D82" s="52" t="str">
        <f>'G-1 All Habitats'!M82</f>
        <v>Bespoke compensation likely to be required 🛠</v>
      </c>
      <c r="E82" s="277">
        <f>IF(C82="V.High",SUMIF('A-1 On-Site Habitat Baseline'!$AV$11:$AV$258,'G-2 Habitat groups'!A82,'A-1 On-Site Habitat Baseline'!$S$11:$S$258)+SUMIF('A-1 On-Site Habitat Baseline'!$AV$11:$AV$258,'G-2 Habitat groups'!A82,'A-1 On-Site Habitat Baseline'!$T$11:$T$258),SUMIF('A-1 On-Site Habitat Baseline'!$AV$11:$AV$258,'G-2 Habitat groups'!A82,'A-1 On-Site Habitat Baseline'!$H$11:$H$258))</f>
        <v>0</v>
      </c>
      <c r="F82" s="277">
        <f>SUMIF('A-1 On-Site Habitat Baseline'!$AV$11:$AV$258,'G-2 Habitat groups'!A82,'A-1 On-Site Habitat Baseline'!$Q$11:$Q$258)</f>
        <v>0</v>
      </c>
      <c r="G82" s="277">
        <f>SUMIF('A-1 On-Site Habitat Baseline'!$AV$11:$AV$258,'G-2 Habitat groups'!A82,'A-1 On-Site Habitat Baseline'!$S$11:$S$258)</f>
        <v>0</v>
      </c>
      <c r="H82" s="277">
        <f>SUMIF('A-1 On-Site Habitat Baseline'!$AV$11:$AV$258,'G-2 Habitat groups'!A82,'A-1 On-Site Habitat Baseline'!$U$11:$U$258)</f>
        <v>0</v>
      </c>
      <c r="I82" s="277">
        <f>SUMIF('A-1 On-Site Habitat Baseline'!$AV$11:$AV$258,'G-2 Habitat groups'!A82,'A-1 On-Site Habitat Baseline'!$W$11:$W$258)</f>
        <v>0</v>
      </c>
      <c r="J82" s="277">
        <f>SUMIF('A-1 On-Site Habitat Baseline'!$AV$11:$AV$258,'G-2 Habitat groups'!A82,'A-1 On-Site Habitat Baseline'!$X$11:$X$258)</f>
        <v>0</v>
      </c>
      <c r="K82" s="277">
        <f>SUMIF('A-2 On-Site Habitat Creation'!$F$11:$F$256,'G-2 Habitat groups'!A82,'A-2 On-Site Habitat Creation'!$G$11:$G$256)</f>
        <v>0</v>
      </c>
      <c r="L82" s="277">
        <f>SUMIF('A-2 On-Site Habitat Creation'!$F$11:$F$256,'G-2 Habitat groups'!A82,'A-2 On-Site Habitat Creation'!$Y$11:$Y$256)</f>
        <v>0</v>
      </c>
      <c r="M82" s="277">
        <f>SUMIF('A-3 On-Site Habitat Enhancement'!$S$12:$S$257,'G-2 Habitat groups'!A82,'A-3 On-Site Habitat Enhancement'!$V$12:$V$257)</f>
        <v>0</v>
      </c>
      <c r="N82" s="277">
        <f>SUMIF('A-3 On-Site Habitat Enhancement'!$S$12:$S$257,'G-2 Habitat groups'!A82,'A-3 On-Site Habitat Enhancement'!$AN$12:$AN$257)</f>
        <v>0</v>
      </c>
      <c r="O82" s="277">
        <f t="shared" si="53"/>
        <v>0</v>
      </c>
      <c r="P82" s="277">
        <f t="shared" si="54"/>
        <v>0</v>
      </c>
      <c r="Q82" s="277">
        <f t="shared" si="55"/>
        <v>0</v>
      </c>
      <c r="R82" s="277">
        <f t="shared" si="56"/>
        <v>0</v>
      </c>
      <c r="S82" s="277" t="e">
        <f>IF(C82="V.High",SUMIF(#REF!,'G-2 Habitat groups'!A82,#REF!)+SUMIF(#REF!,'G-2 Habitat groups'!A82,#REF!),SUMIF(#REF!,'G-2 Habitat groups'!A82,#REF!))</f>
        <v>#REF!</v>
      </c>
      <c r="T82" s="277" t="e">
        <f>SUMIF(#REF!,'G-2 Habitat groups'!A82,#REF!)</f>
        <v>#REF!</v>
      </c>
      <c r="U82" s="277" t="e">
        <f>SUMIF(#REF!,'G-2 Habitat groups'!A82,#REF!)</f>
        <v>#REF!</v>
      </c>
      <c r="V82" s="277" t="e">
        <f>SUMIF(#REF!,'G-2 Habitat groups'!A82,#REF!)</f>
        <v>#REF!</v>
      </c>
      <c r="W82" s="277" t="e">
        <f>SUMIF(#REF!,'G-2 Habitat groups'!A82,#REF!)</f>
        <v>#REF!</v>
      </c>
      <c r="X82" s="277" t="e">
        <f>SUMIF(#REF!,'G-2 Habitat groups'!A82,#REF!)</f>
        <v>#REF!</v>
      </c>
      <c r="Y82" s="277" t="e">
        <f>SUMIF(#REF!,'G-2 Habitat groups'!A82,#REF!)</f>
        <v>#REF!</v>
      </c>
      <c r="Z82" s="277" t="e">
        <f>SUMIF(#REF!,'G-2 Habitat groups'!A82,#REF!)</f>
        <v>#REF!</v>
      </c>
      <c r="AA82" s="277" t="e">
        <f t="shared" si="57"/>
        <v>#REF!</v>
      </c>
      <c r="AB82" s="277" t="e">
        <f t="shared" si="58"/>
        <v>#REF!</v>
      </c>
      <c r="AC82" s="277" t="e">
        <f t="shared" si="59"/>
        <v>#REF!</v>
      </c>
      <c r="AD82" s="277" t="e">
        <f t="shared" si="60"/>
        <v>#REF!</v>
      </c>
      <c r="AE82" s="277" t="e">
        <f t="shared" si="61"/>
        <v>#REF!</v>
      </c>
      <c r="AF82" s="277" t="e">
        <f t="shared" si="62"/>
        <v>#REF!</v>
      </c>
      <c r="AU82" s="224" t="s">
        <v>304</v>
      </c>
      <c r="AV82" s="52" t="s">
        <v>46</v>
      </c>
      <c r="AW82" s="288">
        <f>VLOOKUP($AU82,AllHabsSummaryData,5,FALSE)</f>
        <v>0</v>
      </c>
      <c r="AX82" s="288">
        <f>VLOOKUP($AU82,AllHabsSummaryData,10,FALSE)</f>
        <v>0</v>
      </c>
      <c r="AY82" s="288">
        <f>VLOOKUP($AU82,AllHabsSummaryData,15,FALSE)</f>
        <v>0</v>
      </c>
      <c r="AZ82" s="288">
        <f>VLOOKUP($AU82,AllHabsSummaryData,16,FALSE)</f>
        <v>0</v>
      </c>
      <c r="BA82" s="288">
        <f>VLOOKUP($AU82,AllHabsSummaryData,17,FALSE)</f>
        <v>0</v>
      </c>
      <c r="BB82" s="288">
        <f>VLOOKUP($AU82,AllHabsSummaryData,18,FALSE)</f>
        <v>0</v>
      </c>
      <c r="BC82" s="288" t="e">
        <f>VLOOKUP($AU82,AllHabsSummaryData,27,FALSE)</f>
        <v>#REF!</v>
      </c>
      <c r="BD82" s="288" t="e">
        <f>VLOOKUP($AU82,AllHabsSummaryData,30,FALSE)</f>
        <v>#REF!</v>
      </c>
      <c r="BE82" s="288" t="e">
        <f>BB82+BD82</f>
        <v>#REF!</v>
      </c>
      <c r="BF82" s="288" t="e">
        <f>IF(BE82&lt;0,BE82,"")</f>
        <v>#REF!</v>
      </c>
    </row>
    <row r="83" spans="1:58" x14ac:dyDescent="0.3">
      <c r="A83" s="63" t="str">
        <f>'G-1 All Habitats'!B83</f>
        <v>Wetland - Depressions on peat substrates (H7150)</v>
      </c>
      <c r="B83" s="52" t="str">
        <f>'G-1 All Habitats'!F83</f>
        <v>Wetland</v>
      </c>
      <c r="C83" s="52" t="str">
        <f>'G-1 All Habitats'!K83</f>
        <v>V.High</v>
      </c>
      <c r="D83" s="52" t="str">
        <f>'G-1 All Habitats'!M83</f>
        <v>Bespoke compensation likely to be required 🛠</v>
      </c>
      <c r="E83" s="277">
        <f>IF(C83="V.High",SUMIF('A-1 On-Site Habitat Baseline'!$AV$11:$AV$258,'G-2 Habitat groups'!A83,'A-1 On-Site Habitat Baseline'!$S$11:$S$258)+SUMIF('A-1 On-Site Habitat Baseline'!$AV$11:$AV$258,'G-2 Habitat groups'!A83,'A-1 On-Site Habitat Baseline'!$T$11:$T$258),SUMIF('A-1 On-Site Habitat Baseline'!$AV$11:$AV$258,'G-2 Habitat groups'!A83,'A-1 On-Site Habitat Baseline'!$H$11:$H$258))</f>
        <v>0</v>
      </c>
      <c r="F83" s="277">
        <f>SUMIF('A-1 On-Site Habitat Baseline'!$AV$11:$AV$258,'G-2 Habitat groups'!A83,'A-1 On-Site Habitat Baseline'!$Q$11:$Q$258)</f>
        <v>0</v>
      </c>
      <c r="G83" s="277">
        <f>SUMIF('A-1 On-Site Habitat Baseline'!$AV$11:$AV$258,'G-2 Habitat groups'!A83,'A-1 On-Site Habitat Baseline'!$S$11:$S$258)</f>
        <v>0</v>
      </c>
      <c r="H83" s="277">
        <f>SUMIF('A-1 On-Site Habitat Baseline'!$AV$11:$AV$258,'G-2 Habitat groups'!A83,'A-1 On-Site Habitat Baseline'!$U$11:$U$258)</f>
        <v>0</v>
      </c>
      <c r="I83" s="277">
        <f>SUMIF('A-1 On-Site Habitat Baseline'!$AV$11:$AV$258,'G-2 Habitat groups'!A83,'A-1 On-Site Habitat Baseline'!$W$11:$W$258)</f>
        <v>0</v>
      </c>
      <c r="J83" s="277">
        <f>SUMIF('A-1 On-Site Habitat Baseline'!$AV$11:$AV$258,'G-2 Habitat groups'!A83,'A-1 On-Site Habitat Baseline'!$X$11:$X$258)</f>
        <v>0</v>
      </c>
      <c r="K83" s="277">
        <f>SUMIF('A-2 On-Site Habitat Creation'!$F$11:$F$256,'G-2 Habitat groups'!A83,'A-2 On-Site Habitat Creation'!$G$11:$G$256)</f>
        <v>0</v>
      </c>
      <c r="L83" s="277">
        <f>SUMIF('A-2 On-Site Habitat Creation'!$F$11:$F$256,'G-2 Habitat groups'!A83,'A-2 On-Site Habitat Creation'!$Y$11:$Y$256)</f>
        <v>0</v>
      </c>
      <c r="M83" s="277">
        <f>SUMIF('A-3 On-Site Habitat Enhancement'!$S$12:$S$257,'G-2 Habitat groups'!A83,'A-3 On-Site Habitat Enhancement'!$V$12:$V$257)</f>
        <v>0</v>
      </c>
      <c r="N83" s="277">
        <f>SUMIF('A-3 On-Site Habitat Enhancement'!$S$12:$S$257,'G-2 Habitat groups'!A83,'A-3 On-Site Habitat Enhancement'!$AN$12:$AN$257)</f>
        <v>0</v>
      </c>
      <c r="O83" s="277">
        <f t="shared" si="53"/>
        <v>0</v>
      </c>
      <c r="P83" s="277">
        <f t="shared" si="54"/>
        <v>0</v>
      </c>
      <c r="Q83" s="277">
        <f t="shared" si="55"/>
        <v>0</v>
      </c>
      <c r="R83" s="277">
        <f t="shared" si="56"/>
        <v>0</v>
      </c>
      <c r="S83" s="277" t="e">
        <f>IF(C83="V.High",SUMIF(#REF!,'G-2 Habitat groups'!A83,#REF!)+SUMIF(#REF!,'G-2 Habitat groups'!A83,#REF!),SUMIF(#REF!,'G-2 Habitat groups'!A83,#REF!))</f>
        <v>#REF!</v>
      </c>
      <c r="T83" s="277" t="e">
        <f>SUMIF(#REF!,'G-2 Habitat groups'!A83,#REF!)</f>
        <v>#REF!</v>
      </c>
      <c r="U83" s="277" t="e">
        <f>SUMIF(#REF!,'G-2 Habitat groups'!A83,#REF!)</f>
        <v>#REF!</v>
      </c>
      <c r="V83" s="277" t="e">
        <f>SUMIF(#REF!,'G-2 Habitat groups'!A83,#REF!)</f>
        <v>#REF!</v>
      </c>
      <c r="W83" s="277" t="e">
        <f>SUMIF(#REF!,'G-2 Habitat groups'!A83,#REF!)</f>
        <v>#REF!</v>
      </c>
      <c r="X83" s="277" t="e">
        <f>SUMIF(#REF!,'G-2 Habitat groups'!A83,#REF!)</f>
        <v>#REF!</v>
      </c>
      <c r="Y83" s="277" t="e">
        <f>SUMIF(#REF!,'G-2 Habitat groups'!A83,#REF!)</f>
        <v>#REF!</v>
      </c>
      <c r="Z83" s="277" t="e">
        <f>SUMIF(#REF!,'G-2 Habitat groups'!A83,#REF!)</f>
        <v>#REF!</v>
      </c>
      <c r="AA83" s="277" t="e">
        <f t="shared" si="57"/>
        <v>#REF!</v>
      </c>
      <c r="AB83" s="277" t="e">
        <f t="shared" si="58"/>
        <v>#REF!</v>
      </c>
      <c r="AC83" s="277" t="e">
        <f t="shared" si="59"/>
        <v>#REF!</v>
      </c>
      <c r="AD83" s="277" t="e">
        <f t="shared" si="60"/>
        <v>#REF!</v>
      </c>
      <c r="AE83" s="277" t="e">
        <f t="shared" si="61"/>
        <v>#REF!</v>
      </c>
      <c r="AF83" s="277" t="e">
        <f t="shared" si="62"/>
        <v>#REF!</v>
      </c>
      <c r="AU83" s="63" t="s">
        <v>308</v>
      </c>
      <c r="AV83" s="52" t="s">
        <v>46</v>
      </c>
      <c r="AW83" s="288">
        <f>VLOOKUP($AU83,AllHabsSummaryData,5,FALSE)</f>
        <v>0</v>
      </c>
      <c r="AX83" s="288">
        <f>VLOOKUP($AU83,AllHabsSummaryData,10,FALSE)</f>
        <v>0</v>
      </c>
      <c r="AY83" s="288">
        <f>VLOOKUP($AU83,AllHabsSummaryData,15,FALSE)</f>
        <v>0</v>
      </c>
      <c r="AZ83" s="288">
        <f>VLOOKUP($AU83,AllHabsSummaryData,16,FALSE)</f>
        <v>0</v>
      </c>
      <c r="BA83" s="288">
        <f>VLOOKUP($AU83,AllHabsSummaryData,17,FALSE)</f>
        <v>0</v>
      </c>
      <c r="BB83" s="288">
        <f>VLOOKUP($AU83,AllHabsSummaryData,18,FALSE)</f>
        <v>0</v>
      </c>
      <c r="BC83" s="288" t="e">
        <f>VLOOKUP($AU83,AllHabsSummaryData,27,FALSE)</f>
        <v>#REF!</v>
      </c>
      <c r="BD83" s="288" t="e">
        <f>VLOOKUP($AU83,AllHabsSummaryData,30,FALSE)</f>
        <v>#REF!</v>
      </c>
      <c r="BE83" s="288" t="e">
        <f>BB83+BD83</f>
        <v>#REF!</v>
      </c>
      <c r="BF83" s="288" t="e">
        <f>IF(BE83&lt;0,BE83,"")</f>
        <v>#REF!</v>
      </c>
    </row>
    <row r="84" spans="1:58" x14ac:dyDescent="0.3">
      <c r="A84" s="63" t="str">
        <f>'G-1 All Habitats'!B84</f>
        <v>Wetland - Fens (upland and lowland)</v>
      </c>
      <c r="B84" s="52">
        <f>'G-1 All Habitats'!F84</f>
        <v>0</v>
      </c>
      <c r="C84" s="52" t="str">
        <f>'G-1 All Habitats'!K84</f>
        <v>V.High</v>
      </c>
      <c r="D84" s="52" t="str">
        <f>'G-1 All Habitats'!M84</f>
        <v>Bespoke compensation likely to be required 🛠</v>
      </c>
      <c r="E84" s="277">
        <f>IF(C84="V.High",SUMIF('A-1 On-Site Habitat Baseline'!$AV$11:$AV$258,'G-2 Habitat groups'!A84,'A-1 On-Site Habitat Baseline'!$S$11:$S$258)+SUMIF('A-1 On-Site Habitat Baseline'!$AV$11:$AV$258,'G-2 Habitat groups'!A84,'A-1 On-Site Habitat Baseline'!$T$11:$T$258),SUMIF('A-1 On-Site Habitat Baseline'!$AV$11:$AV$258,'G-2 Habitat groups'!A84,'A-1 On-Site Habitat Baseline'!$H$11:$H$258))</f>
        <v>0</v>
      </c>
      <c r="F84" s="277">
        <f>SUMIF('A-1 On-Site Habitat Baseline'!$AV$11:$AV$258,'G-2 Habitat groups'!A84,'A-1 On-Site Habitat Baseline'!$Q$11:$Q$258)</f>
        <v>0</v>
      </c>
      <c r="G84" s="277">
        <f>SUMIF('A-1 On-Site Habitat Baseline'!$AV$11:$AV$258,'G-2 Habitat groups'!A84,'A-1 On-Site Habitat Baseline'!$S$11:$S$258)</f>
        <v>0</v>
      </c>
      <c r="H84" s="277">
        <f>SUMIF('A-1 On-Site Habitat Baseline'!$AV$11:$AV$258,'G-2 Habitat groups'!A84,'A-1 On-Site Habitat Baseline'!$U$11:$U$258)</f>
        <v>0</v>
      </c>
      <c r="I84" s="277">
        <f>SUMIF('A-1 On-Site Habitat Baseline'!$AV$11:$AV$258,'G-2 Habitat groups'!A84,'A-1 On-Site Habitat Baseline'!$W$11:$W$258)</f>
        <v>0</v>
      </c>
      <c r="J84" s="277">
        <f>SUMIF('A-1 On-Site Habitat Baseline'!$AV$11:$AV$258,'G-2 Habitat groups'!A84,'A-1 On-Site Habitat Baseline'!$X$11:$X$258)</f>
        <v>0</v>
      </c>
      <c r="K84" s="277">
        <f>SUMIF('A-2 On-Site Habitat Creation'!$F$11:$F$256,'G-2 Habitat groups'!A84,'A-2 On-Site Habitat Creation'!$G$11:$G$256)</f>
        <v>0</v>
      </c>
      <c r="L84" s="277">
        <f>SUMIF('A-2 On-Site Habitat Creation'!$F$11:$F$256,'G-2 Habitat groups'!A84,'A-2 On-Site Habitat Creation'!$Y$11:$Y$256)</f>
        <v>0</v>
      </c>
      <c r="M84" s="277">
        <f>SUMIF('A-3 On-Site Habitat Enhancement'!$S$12:$S$257,'G-2 Habitat groups'!A84,'A-3 On-Site Habitat Enhancement'!$V$12:$V$257)</f>
        <v>0</v>
      </c>
      <c r="N84" s="277">
        <f>SUMIF('A-3 On-Site Habitat Enhancement'!$S$12:$S$257,'G-2 Habitat groups'!A84,'A-3 On-Site Habitat Enhancement'!$AN$12:$AN$257)</f>
        <v>0</v>
      </c>
      <c r="O84" s="277">
        <f t="shared" si="53"/>
        <v>0</v>
      </c>
      <c r="P84" s="277">
        <f t="shared" si="54"/>
        <v>0</v>
      </c>
      <c r="Q84" s="277">
        <f t="shared" si="55"/>
        <v>0</v>
      </c>
      <c r="R84" s="277">
        <f t="shared" si="56"/>
        <v>0</v>
      </c>
      <c r="S84" s="277" t="e">
        <f>IF(C84="V.High",SUMIF(#REF!,'G-2 Habitat groups'!A84,#REF!)+SUMIF(#REF!,'G-2 Habitat groups'!A84,#REF!),SUMIF(#REF!,'G-2 Habitat groups'!A84,#REF!))</f>
        <v>#REF!</v>
      </c>
      <c r="T84" s="277" t="e">
        <f>SUMIF(#REF!,'G-2 Habitat groups'!A84,#REF!)</f>
        <v>#REF!</v>
      </c>
      <c r="U84" s="277" t="e">
        <f>SUMIF(#REF!,'G-2 Habitat groups'!A84,#REF!)</f>
        <v>#REF!</v>
      </c>
      <c r="V84" s="277" t="e">
        <f>SUMIF(#REF!,'G-2 Habitat groups'!A84,#REF!)</f>
        <v>#REF!</v>
      </c>
      <c r="W84" s="277" t="e">
        <f>SUMIF(#REF!,'G-2 Habitat groups'!A84,#REF!)</f>
        <v>#REF!</v>
      </c>
      <c r="X84" s="277" t="e">
        <f>SUMIF(#REF!,'G-2 Habitat groups'!A84,#REF!)</f>
        <v>#REF!</v>
      </c>
      <c r="Y84" s="277" t="e">
        <f>SUMIF(#REF!,'G-2 Habitat groups'!A84,#REF!)</f>
        <v>#REF!</v>
      </c>
      <c r="Z84" s="277" t="e">
        <f>SUMIF(#REF!,'G-2 Habitat groups'!A84,#REF!)</f>
        <v>#REF!</v>
      </c>
      <c r="AA84" s="277" t="e">
        <f t="shared" si="57"/>
        <v>#REF!</v>
      </c>
      <c r="AB84" s="277" t="e">
        <f t="shared" si="58"/>
        <v>#REF!</v>
      </c>
      <c r="AC84" s="277" t="e">
        <f t="shared" si="59"/>
        <v>#REF!</v>
      </c>
      <c r="AD84" s="277" t="e">
        <f t="shared" si="60"/>
        <v>#REF!</v>
      </c>
      <c r="AE84" s="277" t="e">
        <f t="shared" si="61"/>
        <v>#REF!</v>
      </c>
      <c r="AF84" s="277" t="e">
        <f t="shared" si="62"/>
        <v>#REF!</v>
      </c>
      <c r="AU84" s="63" t="s">
        <v>372</v>
      </c>
      <c r="AV84" s="52" t="s">
        <v>47</v>
      </c>
      <c r="AW84" s="288">
        <f t="shared" ref="AW84:AW103" si="63">VLOOKUP($AU84,AllHabsSummaryData,5,FALSE)</f>
        <v>0</v>
      </c>
      <c r="AX84" s="288">
        <f t="shared" ref="AX84:AX104" si="64">VLOOKUP($AU84,AllHabsSummaryData,10,FALSE)</f>
        <v>0</v>
      </c>
      <c r="AY84" s="288">
        <f t="shared" ref="AY84:AY104" si="65">VLOOKUP($AU84,AllHabsSummaryData,15,FALSE)</f>
        <v>0</v>
      </c>
      <c r="AZ84" s="288">
        <f t="shared" ref="AZ84:AZ104" si="66">VLOOKUP($AU84,AllHabsSummaryData,16,FALSE)</f>
        <v>0</v>
      </c>
      <c r="BA84" s="288">
        <f t="shared" ref="BA84:BA104" si="67">VLOOKUP($AU84,AllHabsSummaryData,17,FALSE)</f>
        <v>0</v>
      </c>
      <c r="BB84" s="288">
        <f t="shared" ref="BB84:BB104" si="68">VLOOKUP($AU84,AllHabsSummaryData,18,FALSE)</f>
        <v>0</v>
      </c>
      <c r="BC84" s="288" t="e">
        <f t="shared" ref="BC84:BC104" si="69">VLOOKUP($AU84,AllHabsSummaryData,27,FALSE)</f>
        <v>#REF!</v>
      </c>
      <c r="BD84" s="288" t="e">
        <f t="shared" ref="BD84:BD104" si="70">VLOOKUP($AU84,AllHabsSummaryData,30,FALSE)</f>
        <v>#REF!</v>
      </c>
      <c r="BE84" s="288" t="e">
        <f t="shared" ref="BE84:BE92" si="71">BB84+BD84</f>
        <v>#REF!</v>
      </c>
      <c r="BF84" s="288" t="e">
        <f t="shared" ref="BF84:BF92" si="72">IF(BE84&lt;0,BE84,"")</f>
        <v>#REF!</v>
      </c>
    </row>
    <row r="85" spans="1:58" x14ac:dyDescent="0.3">
      <c r="A85" s="63" t="str">
        <f>'G-1 All Habitats'!B85</f>
        <v>Wetland - Lowland raised bog</v>
      </c>
      <c r="B85" s="52" t="str">
        <f>'G-1 All Habitats'!F85</f>
        <v>Wetland</v>
      </c>
      <c r="C85" s="52" t="str">
        <f>'G-1 All Habitats'!K85</f>
        <v>V.High</v>
      </c>
      <c r="D85" s="52" t="str">
        <f>'G-1 All Habitats'!M85</f>
        <v>Bespoke compensation likely to be required 🛠</v>
      </c>
      <c r="E85" s="277">
        <f>IF(C85="V.High",SUMIF('A-1 On-Site Habitat Baseline'!$AV$11:$AV$258,'G-2 Habitat groups'!A85,'A-1 On-Site Habitat Baseline'!$S$11:$S$258)+SUMIF('A-1 On-Site Habitat Baseline'!$AV$11:$AV$258,'G-2 Habitat groups'!A85,'A-1 On-Site Habitat Baseline'!$T$11:$T$258),SUMIF('A-1 On-Site Habitat Baseline'!$AV$11:$AV$258,'G-2 Habitat groups'!A85,'A-1 On-Site Habitat Baseline'!$H$11:$H$258))</f>
        <v>0</v>
      </c>
      <c r="F85" s="277">
        <f>SUMIF('A-1 On-Site Habitat Baseline'!$AV$11:$AV$258,'G-2 Habitat groups'!A85,'A-1 On-Site Habitat Baseline'!$Q$11:$Q$258)</f>
        <v>0</v>
      </c>
      <c r="G85" s="277">
        <f>SUMIF('A-1 On-Site Habitat Baseline'!$AV$11:$AV$258,'G-2 Habitat groups'!A85,'A-1 On-Site Habitat Baseline'!$S$11:$S$258)</f>
        <v>0</v>
      </c>
      <c r="H85" s="277">
        <f>SUMIF('A-1 On-Site Habitat Baseline'!$AV$11:$AV$258,'G-2 Habitat groups'!A85,'A-1 On-Site Habitat Baseline'!$U$11:$U$258)</f>
        <v>0</v>
      </c>
      <c r="I85" s="277">
        <f>SUMIF('A-1 On-Site Habitat Baseline'!$AV$11:$AV$258,'G-2 Habitat groups'!A85,'A-1 On-Site Habitat Baseline'!$W$11:$W$258)</f>
        <v>0</v>
      </c>
      <c r="J85" s="277">
        <f>SUMIF('A-1 On-Site Habitat Baseline'!$AV$11:$AV$258,'G-2 Habitat groups'!A85,'A-1 On-Site Habitat Baseline'!$X$11:$X$258)</f>
        <v>0</v>
      </c>
      <c r="K85" s="277">
        <f>SUMIF('A-2 On-Site Habitat Creation'!$F$11:$F$256,'G-2 Habitat groups'!A85,'A-2 On-Site Habitat Creation'!$G$11:$G$256)</f>
        <v>0</v>
      </c>
      <c r="L85" s="277">
        <f>SUMIF('A-2 On-Site Habitat Creation'!$F$11:$F$256,'G-2 Habitat groups'!A85,'A-2 On-Site Habitat Creation'!$Y$11:$Y$256)</f>
        <v>0</v>
      </c>
      <c r="M85" s="277">
        <f>SUMIF('A-3 On-Site Habitat Enhancement'!$S$12:$S$257,'G-2 Habitat groups'!A85,'A-3 On-Site Habitat Enhancement'!$V$12:$V$257)</f>
        <v>0</v>
      </c>
      <c r="N85" s="277">
        <f>SUMIF('A-3 On-Site Habitat Enhancement'!$S$12:$S$257,'G-2 Habitat groups'!A85,'A-3 On-Site Habitat Enhancement'!$AN$12:$AN$257)</f>
        <v>0</v>
      </c>
      <c r="O85" s="277">
        <f t="shared" si="53"/>
        <v>0</v>
      </c>
      <c r="P85" s="277">
        <f t="shared" si="54"/>
        <v>0</v>
      </c>
      <c r="Q85" s="277">
        <f t="shared" si="55"/>
        <v>0</v>
      </c>
      <c r="R85" s="277">
        <f t="shared" si="56"/>
        <v>0</v>
      </c>
      <c r="S85" s="277" t="e">
        <f>IF(C85="V.High",SUMIF(#REF!,'G-2 Habitat groups'!A85,#REF!)+SUMIF(#REF!,'G-2 Habitat groups'!A85,#REF!),SUMIF(#REF!,'G-2 Habitat groups'!A85,#REF!))</f>
        <v>#REF!</v>
      </c>
      <c r="T85" s="277" t="e">
        <f>SUMIF(#REF!,'G-2 Habitat groups'!A85,#REF!)</f>
        <v>#REF!</v>
      </c>
      <c r="U85" s="277" t="e">
        <f>SUMIF(#REF!,'G-2 Habitat groups'!A85,#REF!)</f>
        <v>#REF!</v>
      </c>
      <c r="V85" s="277" t="e">
        <f>SUMIF(#REF!,'G-2 Habitat groups'!A85,#REF!)</f>
        <v>#REF!</v>
      </c>
      <c r="W85" s="277" t="e">
        <f>SUMIF(#REF!,'G-2 Habitat groups'!A85,#REF!)</f>
        <v>#REF!</v>
      </c>
      <c r="X85" s="277" t="e">
        <f>SUMIF(#REF!,'G-2 Habitat groups'!A85,#REF!)</f>
        <v>#REF!</v>
      </c>
      <c r="Y85" s="277" t="e">
        <f>SUMIF(#REF!,'G-2 Habitat groups'!A85,#REF!)</f>
        <v>#REF!</v>
      </c>
      <c r="Z85" s="277" t="e">
        <f>SUMIF(#REF!,'G-2 Habitat groups'!A85,#REF!)</f>
        <v>#REF!</v>
      </c>
      <c r="AA85" s="277" t="e">
        <f t="shared" si="57"/>
        <v>#REF!</v>
      </c>
      <c r="AB85" s="277" t="e">
        <f t="shared" si="58"/>
        <v>#REF!</v>
      </c>
      <c r="AC85" s="277" t="e">
        <f t="shared" si="59"/>
        <v>#REF!</v>
      </c>
      <c r="AD85" s="277" t="e">
        <f t="shared" si="60"/>
        <v>#REF!</v>
      </c>
      <c r="AE85" s="277" t="e">
        <f t="shared" si="61"/>
        <v>#REF!</v>
      </c>
      <c r="AF85" s="277" t="e">
        <f t="shared" si="62"/>
        <v>#REF!</v>
      </c>
      <c r="AU85" s="63" t="s">
        <v>375</v>
      </c>
      <c r="AV85" s="52" t="s">
        <v>47</v>
      </c>
      <c r="AW85" s="288">
        <f t="shared" si="63"/>
        <v>0</v>
      </c>
      <c r="AX85" s="288">
        <f t="shared" si="64"/>
        <v>0</v>
      </c>
      <c r="AY85" s="288">
        <f t="shared" si="65"/>
        <v>0</v>
      </c>
      <c r="AZ85" s="288">
        <f t="shared" si="66"/>
        <v>0</v>
      </c>
      <c r="BA85" s="288">
        <f t="shared" si="67"/>
        <v>0</v>
      </c>
      <c r="BB85" s="288">
        <f t="shared" si="68"/>
        <v>0</v>
      </c>
      <c r="BC85" s="288" t="e">
        <f t="shared" si="69"/>
        <v>#REF!</v>
      </c>
      <c r="BD85" s="288" t="e">
        <f t="shared" si="70"/>
        <v>#REF!</v>
      </c>
      <c r="BE85" s="288" t="e">
        <f t="shared" si="71"/>
        <v>#REF!</v>
      </c>
      <c r="BF85" s="288" t="e">
        <f t="shared" si="72"/>
        <v>#REF!</v>
      </c>
    </row>
    <row r="86" spans="1:58" x14ac:dyDescent="0.3">
      <c r="A86" s="63" t="str">
        <f>'G-1 All Habitats'!B86</f>
        <v>Wetland - Oceanic valley mire[1] (D2.1)</v>
      </c>
      <c r="B86" s="52">
        <f>'G-1 All Habitats'!F86</f>
        <v>0</v>
      </c>
      <c r="C86" s="52" t="str">
        <f>'G-1 All Habitats'!K86</f>
        <v>V.High</v>
      </c>
      <c r="D86" s="52" t="str">
        <f>'G-1 All Habitats'!M86</f>
        <v>Bespoke compensation likely to be required 🛠</v>
      </c>
      <c r="E86" s="277">
        <f>IF(C86="V.High",SUMIF('A-1 On-Site Habitat Baseline'!$AV$11:$AV$258,'G-2 Habitat groups'!A86,'A-1 On-Site Habitat Baseline'!$S$11:$S$258)+SUMIF('A-1 On-Site Habitat Baseline'!$AV$11:$AV$258,'G-2 Habitat groups'!A86,'A-1 On-Site Habitat Baseline'!$T$11:$T$258),SUMIF('A-1 On-Site Habitat Baseline'!$AV$11:$AV$258,'G-2 Habitat groups'!A86,'A-1 On-Site Habitat Baseline'!$H$11:$H$258))</f>
        <v>0</v>
      </c>
      <c r="F86" s="277">
        <f>SUMIF('A-1 On-Site Habitat Baseline'!$AV$11:$AV$258,'G-2 Habitat groups'!A86,'A-1 On-Site Habitat Baseline'!$Q$11:$Q$258)</f>
        <v>0</v>
      </c>
      <c r="G86" s="277">
        <f>SUMIF('A-1 On-Site Habitat Baseline'!$AV$11:$AV$258,'G-2 Habitat groups'!A86,'A-1 On-Site Habitat Baseline'!$S$11:$S$258)</f>
        <v>0</v>
      </c>
      <c r="H86" s="277">
        <f>SUMIF('A-1 On-Site Habitat Baseline'!$AV$11:$AV$258,'G-2 Habitat groups'!A86,'A-1 On-Site Habitat Baseline'!$U$11:$U$258)</f>
        <v>0</v>
      </c>
      <c r="I86" s="277">
        <f>SUMIF('A-1 On-Site Habitat Baseline'!$AV$11:$AV$258,'G-2 Habitat groups'!A86,'A-1 On-Site Habitat Baseline'!$W$11:$W$258)</f>
        <v>0</v>
      </c>
      <c r="J86" s="277">
        <f>SUMIF('A-1 On-Site Habitat Baseline'!$AV$11:$AV$258,'G-2 Habitat groups'!A86,'A-1 On-Site Habitat Baseline'!$X$11:$X$258)</f>
        <v>0</v>
      </c>
      <c r="K86" s="277">
        <f>SUMIF('A-2 On-Site Habitat Creation'!$F$11:$F$256,'G-2 Habitat groups'!A86,'A-2 On-Site Habitat Creation'!$G$11:$G$256)</f>
        <v>0</v>
      </c>
      <c r="L86" s="277">
        <f>SUMIF('A-2 On-Site Habitat Creation'!$F$11:$F$256,'G-2 Habitat groups'!A86,'A-2 On-Site Habitat Creation'!$Y$11:$Y$256)</f>
        <v>0</v>
      </c>
      <c r="M86" s="277">
        <f>SUMIF('A-3 On-Site Habitat Enhancement'!$S$12:$S$257,'G-2 Habitat groups'!A86,'A-3 On-Site Habitat Enhancement'!$V$12:$V$257)</f>
        <v>0</v>
      </c>
      <c r="N86" s="277">
        <f>SUMIF('A-3 On-Site Habitat Enhancement'!$S$12:$S$257,'G-2 Habitat groups'!A86,'A-3 On-Site Habitat Enhancement'!$AN$12:$AN$257)</f>
        <v>0</v>
      </c>
      <c r="O86" s="277">
        <f t="shared" si="53"/>
        <v>0</v>
      </c>
      <c r="P86" s="277">
        <f t="shared" si="54"/>
        <v>0</v>
      </c>
      <c r="Q86" s="277">
        <f t="shared" si="55"/>
        <v>0</v>
      </c>
      <c r="R86" s="277">
        <f t="shared" si="56"/>
        <v>0</v>
      </c>
      <c r="S86" s="277" t="e">
        <f>IF(C86="V.High",SUMIF(#REF!,'G-2 Habitat groups'!A86,#REF!)+SUMIF(#REF!,'G-2 Habitat groups'!A86,#REF!),SUMIF(#REF!,'G-2 Habitat groups'!A86,#REF!))</f>
        <v>#REF!</v>
      </c>
      <c r="T86" s="277" t="e">
        <f>SUMIF(#REF!,'G-2 Habitat groups'!A86,#REF!)</f>
        <v>#REF!</v>
      </c>
      <c r="U86" s="277" t="e">
        <f>SUMIF(#REF!,'G-2 Habitat groups'!A86,#REF!)</f>
        <v>#REF!</v>
      </c>
      <c r="V86" s="277" t="e">
        <f>SUMIF(#REF!,'G-2 Habitat groups'!A86,#REF!)</f>
        <v>#REF!</v>
      </c>
      <c r="W86" s="277" t="e">
        <f>SUMIF(#REF!,'G-2 Habitat groups'!A86,#REF!)</f>
        <v>#REF!</v>
      </c>
      <c r="X86" s="277" t="e">
        <f>SUMIF(#REF!,'G-2 Habitat groups'!A86,#REF!)</f>
        <v>#REF!</v>
      </c>
      <c r="Y86" s="277" t="e">
        <f>SUMIF(#REF!,'G-2 Habitat groups'!A86,#REF!)</f>
        <v>#REF!</v>
      </c>
      <c r="Z86" s="277" t="e">
        <f>SUMIF(#REF!,'G-2 Habitat groups'!A86,#REF!)</f>
        <v>#REF!</v>
      </c>
      <c r="AA86" s="277" t="e">
        <f t="shared" si="57"/>
        <v>#REF!</v>
      </c>
      <c r="AB86" s="277" t="e">
        <f t="shared" si="58"/>
        <v>#REF!</v>
      </c>
      <c r="AC86" s="277" t="e">
        <f t="shared" si="59"/>
        <v>#REF!</v>
      </c>
      <c r="AD86" s="277" t="e">
        <f t="shared" si="60"/>
        <v>#REF!</v>
      </c>
      <c r="AE86" s="277" t="e">
        <f t="shared" si="61"/>
        <v>#REF!</v>
      </c>
      <c r="AF86" s="277" t="e">
        <f t="shared" si="62"/>
        <v>#REF!</v>
      </c>
      <c r="AU86" s="63" t="s">
        <v>382</v>
      </c>
      <c r="AV86" s="52" t="s">
        <v>47</v>
      </c>
      <c r="AW86" s="288">
        <f t="shared" si="63"/>
        <v>0</v>
      </c>
      <c r="AX86" s="288">
        <f t="shared" si="64"/>
        <v>0</v>
      </c>
      <c r="AY86" s="288">
        <f t="shared" si="65"/>
        <v>0</v>
      </c>
      <c r="AZ86" s="288">
        <f t="shared" si="66"/>
        <v>0</v>
      </c>
      <c r="BA86" s="288">
        <f t="shared" si="67"/>
        <v>0</v>
      </c>
      <c r="BB86" s="288">
        <f t="shared" si="68"/>
        <v>0</v>
      </c>
      <c r="BC86" s="288" t="e">
        <f t="shared" si="69"/>
        <v>#REF!</v>
      </c>
      <c r="BD86" s="288" t="e">
        <f t="shared" si="70"/>
        <v>#REF!</v>
      </c>
      <c r="BE86" s="288" t="e">
        <f t="shared" si="71"/>
        <v>#REF!</v>
      </c>
      <c r="BF86" s="288" t="e">
        <f t="shared" si="72"/>
        <v>#REF!</v>
      </c>
    </row>
    <row r="87" spans="1:58" x14ac:dyDescent="0.3">
      <c r="A87" s="63" t="str">
        <f>'G-1 All Habitats'!B87</f>
        <v>Wetland - Purple moor grass and rush pastures</v>
      </c>
      <c r="B87" s="52" t="str">
        <f>'G-1 All Habitats'!F87</f>
        <v>Wetland</v>
      </c>
      <c r="C87" s="52" t="str">
        <f>'G-1 All Habitats'!K87</f>
        <v>V.High</v>
      </c>
      <c r="D87" s="52" t="str">
        <f>'G-1 All Habitats'!M87</f>
        <v>Bespoke compensation likely to be required 🛠</v>
      </c>
      <c r="E87" s="277">
        <f>IF(C87="V.High",SUMIF('A-1 On-Site Habitat Baseline'!$AV$11:$AV$258,'G-2 Habitat groups'!A87,'A-1 On-Site Habitat Baseline'!$S$11:$S$258)+SUMIF('A-1 On-Site Habitat Baseline'!$AV$11:$AV$258,'G-2 Habitat groups'!A87,'A-1 On-Site Habitat Baseline'!$T$11:$T$258),SUMIF('A-1 On-Site Habitat Baseline'!$AV$11:$AV$258,'G-2 Habitat groups'!A87,'A-1 On-Site Habitat Baseline'!$H$11:$H$258))</f>
        <v>0</v>
      </c>
      <c r="F87" s="277">
        <f>SUMIF('A-1 On-Site Habitat Baseline'!$AV$11:$AV$258,'G-2 Habitat groups'!A87,'A-1 On-Site Habitat Baseline'!$Q$11:$Q$258)</f>
        <v>0</v>
      </c>
      <c r="G87" s="277">
        <f>SUMIF('A-1 On-Site Habitat Baseline'!$AV$11:$AV$258,'G-2 Habitat groups'!A87,'A-1 On-Site Habitat Baseline'!$S$11:$S$258)</f>
        <v>0</v>
      </c>
      <c r="H87" s="277">
        <f>SUMIF('A-1 On-Site Habitat Baseline'!$AV$11:$AV$258,'G-2 Habitat groups'!A87,'A-1 On-Site Habitat Baseline'!$U$11:$U$258)</f>
        <v>0</v>
      </c>
      <c r="I87" s="277">
        <f>SUMIF('A-1 On-Site Habitat Baseline'!$AV$11:$AV$258,'G-2 Habitat groups'!A87,'A-1 On-Site Habitat Baseline'!$W$11:$W$258)</f>
        <v>0</v>
      </c>
      <c r="J87" s="277">
        <f>SUMIF('A-1 On-Site Habitat Baseline'!$AV$11:$AV$258,'G-2 Habitat groups'!A87,'A-1 On-Site Habitat Baseline'!$X$11:$X$258)</f>
        <v>0</v>
      </c>
      <c r="K87" s="277">
        <f>SUMIF('A-2 On-Site Habitat Creation'!$F$11:$F$256,'G-2 Habitat groups'!A87,'A-2 On-Site Habitat Creation'!$G$11:$G$256)</f>
        <v>0</v>
      </c>
      <c r="L87" s="277">
        <f>SUMIF('A-2 On-Site Habitat Creation'!$F$11:$F$256,'G-2 Habitat groups'!A87,'A-2 On-Site Habitat Creation'!$Y$11:$Y$256)</f>
        <v>0</v>
      </c>
      <c r="M87" s="277">
        <f>SUMIF('A-3 On-Site Habitat Enhancement'!$S$12:$S$257,'G-2 Habitat groups'!A87,'A-3 On-Site Habitat Enhancement'!$V$12:$V$257)</f>
        <v>0</v>
      </c>
      <c r="N87" s="277">
        <f>SUMIF('A-3 On-Site Habitat Enhancement'!$S$12:$S$257,'G-2 Habitat groups'!A87,'A-3 On-Site Habitat Enhancement'!$AN$12:$AN$257)</f>
        <v>0</v>
      </c>
      <c r="O87" s="277">
        <f t="shared" si="53"/>
        <v>0</v>
      </c>
      <c r="P87" s="277">
        <f t="shared" si="54"/>
        <v>0</v>
      </c>
      <c r="Q87" s="277">
        <f t="shared" si="55"/>
        <v>0</v>
      </c>
      <c r="R87" s="277">
        <f t="shared" si="56"/>
        <v>0</v>
      </c>
      <c r="S87" s="277" t="e">
        <f>IF(C87="V.High",SUMIF(#REF!,'G-2 Habitat groups'!A87,#REF!)+SUMIF(#REF!,'G-2 Habitat groups'!A87,#REF!),SUMIF(#REF!,'G-2 Habitat groups'!A87,#REF!))</f>
        <v>#REF!</v>
      </c>
      <c r="T87" s="277" t="e">
        <f>SUMIF(#REF!,'G-2 Habitat groups'!A87,#REF!)</f>
        <v>#REF!</v>
      </c>
      <c r="U87" s="277" t="e">
        <f>SUMIF(#REF!,'G-2 Habitat groups'!A87,#REF!)</f>
        <v>#REF!</v>
      </c>
      <c r="V87" s="277" t="e">
        <f>SUMIF(#REF!,'G-2 Habitat groups'!A87,#REF!)</f>
        <v>#REF!</v>
      </c>
      <c r="W87" s="277" t="e">
        <f>SUMIF(#REF!,'G-2 Habitat groups'!A87,#REF!)</f>
        <v>#REF!</v>
      </c>
      <c r="X87" s="277" t="e">
        <f>SUMIF(#REF!,'G-2 Habitat groups'!A87,#REF!)</f>
        <v>#REF!</v>
      </c>
      <c r="Y87" s="277" t="e">
        <f>SUMIF(#REF!,'G-2 Habitat groups'!A87,#REF!)</f>
        <v>#REF!</v>
      </c>
      <c r="Z87" s="277" t="e">
        <f>SUMIF(#REF!,'G-2 Habitat groups'!A87,#REF!)</f>
        <v>#REF!</v>
      </c>
      <c r="AA87" s="277" t="e">
        <f t="shared" si="57"/>
        <v>#REF!</v>
      </c>
      <c r="AB87" s="277" t="e">
        <f t="shared" si="58"/>
        <v>#REF!</v>
      </c>
      <c r="AC87" s="277" t="e">
        <f t="shared" si="59"/>
        <v>#REF!</v>
      </c>
      <c r="AD87" s="277" t="e">
        <f t="shared" si="60"/>
        <v>#REF!</v>
      </c>
      <c r="AE87" s="277" t="e">
        <f t="shared" si="61"/>
        <v>#REF!</v>
      </c>
      <c r="AF87" s="277" t="e">
        <f t="shared" si="62"/>
        <v>#REF!</v>
      </c>
      <c r="AU87" s="63" t="s">
        <v>391</v>
      </c>
      <c r="AV87" s="52" t="s">
        <v>48</v>
      </c>
      <c r="AW87" s="288">
        <f t="shared" si="63"/>
        <v>0</v>
      </c>
      <c r="AX87" s="288">
        <f t="shared" si="64"/>
        <v>0</v>
      </c>
      <c r="AY87" s="288">
        <f t="shared" si="65"/>
        <v>0</v>
      </c>
      <c r="AZ87" s="288">
        <f t="shared" si="66"/>
        <v>0</v>
      </c>
      <c r="BA87" s="288">
        <f t="shared" si="67"/>
        <v>0</v>
      </c>
      <c r="BB87" s="288">
        <f t="shared" si="68"/>
        <v>0</v>
      </c>
      <c r="BC87" s="288" t="e">
        <f t="shared" si="69"/>
        <v>#REF!</v>
      </c>
      <c r="BD87" s="288" t="e">
        <f t="shared" si="70"/>
        <v>#REF!</v>
      </c>
      <c r="BE87" s="288" t="e">
        <f t="shared" si="71"/>
        <v>#REF!</v>
      </c>
      <c r="BF87" s="288" t="e">
        <f t="shared" si="72"/>
        <v>#REF!</v>
      </c>
    </row>
    <row r="88" spans="1:58" x14ac:dyDescent="0.3">
      <c r="A88" s="63" t="str">
        <f>'G-1 All Habitats'!B88</f>
        <v>Wetland - Reedbeds</v>
      </c>
      <c r="B88" s="52" t="str">
        <f>'G-1 All Habitats'!F88</f>
        <v>Wetland</v>
      </c>
      <c r="C88" s="52" t="str">
        <f>'G-1 All Habitats'!K88</f>
        <v>High</v>
      </c>
      <c r="D88" s="52" t="str">
        <f>'G-1 All Habitats'!M88</f>
        <v>Same habitat required =</v>
      </c>
      <c r="E88" s="277">
        <f>IF(C88="V.High",SUMIF('A-1 On-Site Habitat Baseline'!$AV$11:$AV$258,'G-2 Habitat groups'!A88,'A-1 On-Site Habitat Baseline'!$S$11:$S$258)+SUMIF('A-1 On-Site Habitat Baseline'!$AV$11:$AV$258,'G-2 Habitat groups'!A88,'A-1 On-Site Habitat Baseline'!$T$11:$T$258),SUMIF('A-1 On-Site Habitat Baseline'!$AV$11:$AV$258,'G-2 Habitat groups'!A88,'A-1 On-Site Habitat Baseline'!$H$11:$H$258))</f>
        <v>0</v>
      </c>
      <c r="F88" s="277">
        <f>SUMIF('A-1 On-Site Habitat Baseline'!$AV$11:$AV$258,'G-2 Habitat groups'!A88,'A-1 On-Site Habitat Baseline'!$Q$11:$Q$258)</f>
        <v>0</v>
      </c>
      <c r="G88" s="277">
        <f>SUMIF('A-1 On-Site Habitat Baseline'!$AV$11:$AV$258,'G-2 Habitat groups'!A88,'A-1 On-Site Habitat Baseline'!$S$11:$S$258)</f>
        <v>0</v>
      </c>
      <c r="H88" s="277">
        <f>SUMIF('A-1 On-Site Habitat Baseline'!$AV$11:$AV$258,'G-2 Habitat groups'!A88,'A-1 On-Site Habitat Baseline'!$U$11:$U$258)</f>
        <v>0</v>
      </c>
      <c r="I88" s="277">
        <f>SUMIF('A-1 On-Site Habitat Baseline'!$AV$11:$AV$258,'G-2 Habitat groups'!A88,'A-1 On-Site Habitat Baseline'!$W$11:$W$258)</f>
        <v>0</v>
      </c>
      <c r="J88" s="277">
        <f>SUMIF('A-1 On-Site Habitat Baseline'!$AV$11:$AV$258,'G-2 Habitat groups'!A88,'A-1 On-Site Habitat Baseline'!$X$11:$X$258)</f>
        <v>0</v>
      </c>
      <c r="K88" s="277">
        <f>SUMIF('A-2 On-Site Habitat Creation'!$F$11:$F$256,'G-2 Habitat groups'!A88,'A-2 On-Site Habitat Creation'!$G$11:$G$256)</f>
        <v>0</v>
      </c>
      <c r="L88" s="277">
        <f>SUMIF('A-2 On-Site Habitat Creation'!$F$11:$F$256,'G-2 Habitat groups'!A88,'A-2 On-Site Habitat Creation'!$Y$11:$Y$256)</f>
        <v>0</v>
      </c>
      <c r="M88" s="277">
        <f>SUMIF('A-3 On-Site Habitat Enhancement'!$S$12:$S$257,'G-2 Habitat groups'!A88,'A-3 On-Site Habitat Enhancement'!$V$12:$V$257)</f>
        <v>0</v>
      </c>
      <c r="N88" s="277">
        <f>SUMIF('A-3 On-Site Habitat Enhancement'!$S$12:$S$257,'G-2 Habitat groups'!A88,'A-3 On-Site Habitat Enhancement'!$AN$12:$AN$257)</f>
        <v>0</v>
      </c>
      <c r="O88" s="277">
        <f t="shared" si="53"/>
        <v>0</v>
      </c>
      <c r="P88" s="277">
        <f t="shared" si="54"/>
        <v>0</v>
      </c>
      <c r="Q88" s="277">
        <f t="shared" si="55"/>
        <v>0</v>
      </c>
      <c r="R88" s="277">
        <f t="shared" si="56"/>
        <v>0</v>
      </c>
      <c r="S88" s="277" t="e">
        <f>IF(C88="V.High",SUMIF(#REF!,'G-2 Habitat groups'!A88,#REF!)+SUMIF(#REF!,'G-2 Habitat groups'!A88,#REF!),SUMIF(#REF!,'G-2 Habitat groups'!A88,#REF!))</f>
        <v>#REF!</v>
      </c>
      <c r="T88" s="277" t="e">
        <f>SUMIF(#REF!,'G-2 Habitat groups'!A88,#REF!)</f>
        <v>#REF!</v>
      </c>
      <c r="U88" s="277" t="e">
        <f>SUMIF(#REF!,'G-2 Habitat groups'!A88,#REF!)</f>
        <v>#REF!</v>
      </c>
      <c r="V88" s="277" t="e">
        <f>SUMIF(#REF!,'G-2 Habitat groups'!A88,#REF!)</f>
        <v>#REF!</v>
      </c>
      <c r="W88" s="277" t="e">
        <f>SUMIF(#REF!,'G-2 Habitat groups'!A88,#REF!)</f>
        <v>#REF!</v>
      </c>
      <c r="X88" s="277" t="e">
        <f>SUMIF(#REF!,'G-2 Habitat groups'!A88,#REF!)</f>
        <v>#REF!</v>
      </c>
      <c r="Y88" s="277" t="e">
        <f>SUMIF(#REF!,'G-2 Habitat groups'!A88,#REF!)</f>
        <v>#REF!</v>
      </c>
      <c r="Z88" s="277" t="e">
        <f>SUMIF(#REF!,'G-2 Habitat groups'!A88,#REF!)</f>
        <v>#REF!</v>
      </c>
      <c r="AA88" s="277" t="e">
        <f t="shared" si="57"/>
        <v>#REF!</v>
      </c>
      <c r="AB88" s="277" t="e">
        <f t="shared" si="58"/>
        <v>#REF!</v>
      </c>
      <c r="AC88" s="277" t="e">
        <f t="shared" si="59"/>
        <v>#REF!</v>
      </c>
      <c r="AD88" s="277" t="e">
        <f t="shared" si="60"/>
        <v>#REF!</v>
      </c>
      <c r="AE88" s="277" t="e">
        <f t="shared" si="61"/>
        <v>#REF!</v>
      </c>
      <c r="AF88" s="277" t="e">
        <f t="shared" si="62"/>
        <v>#REF!</v>
      </c>
      <c r="AU88" s="63" t="s">
        <v>396</v>
      </c>
      <c r="AV88" s="52" t="s">
        <v>48</v>
      </c>
      <c r="AW88" s="288">
        <f t="shared" si="63"/>
        <v>0</v>
      </c>
      <c r="AX88" s="288">
        <f t="shared" si="64"/>
        <v>0</v>
      </c>
      <c r="AY88" s="288">
        <f t="shared" si="65"/>
        <v>0</v>
      </c>
      <c r="AZ88" s="288">
        <f t="shared" si="66"/>
        <v>0</v>
      </c>
      <c r="BA88" s="288">
        <f t="shared" si="67"/>
        <v>0</v>
      </c>
      <c r="BB88" s="288">
        <f t="shared" si="68"/>
        <v>0</v>
      </c>
      <c r="BC88" s="288" t="e">
        <f t="shared" si="69"/>
        <v>#REF!</v>
      </c>
      <c r="BD88" s="288" t="e">
        <f t="shared" si="70"/>
        <v>#REF!</v>
      </c>
      <c r="BE88" s="288" t="e">
        <f t="shared" si="71"/>
        <v>#REF!</v>
      </c>
      <c r="BF88" s="288" t="e">
        <f t="shared" si="72"/>
        <v>#REF!</v>
      </c>
    </row>
    <row r="89" spans="1:58" x14ac:dyDescent="0.3">
      <c r="A89" s="63" t="str">
        <f>'G-1 All Habitats'!B89</f>
        <v>Wetland - Transition mires and quaking bogs (H7140)</v>
      </c>
      <c r="B89" s="52">
        <f>'G-1 All Habitats'!F89</f>
        <v>0</v>
      </c>
      <c r="C89" s="52" t="str">
        <f>'G-1 All Habitats'!K89</f>
        <v>V.High</v>
      </c>
      <c r="D89" s="52" t="str">
        <f>'G-1 All Habitats'!M89</f>
        <v>Bespoke compensation likely to be required 🛠</v>
      </c>
      <c r="E89" s="277">
        <f>IF(C89="V.High",SUMIF('A-1 On-Site Habitat Baseline'!$AV$11:$AV$258,'G-2 Habitat groups'!A89,'A-1 On-Site Habitat Baseline'!$S$11:$S$258)+SUMIF('A-1 On-Site Habitat Baseline'!$AV$11:$AV$258,'G-2 Habitat groups'!A89,'A-1 On-Site Habitat Baseline'!$T$11:$T$258),SUMIF('A-1 On-Site Habitat Baseline'!$AV$11:$AV$258,'G-2 Habitat groups'!A89,'A-1 On-Site Habitat Baseline'!$H$11:$H$258))</f>
        <v>0</v>
      </c>
      <c r="F89" s="277">
        <f>SUMIF('A-1 On-Site Habitat Baseline'!$AV$11:$AV$258,'G-2 Habitat groups'!A89,'A-1 On-Site Habitat Baseline'!$Q$11:$Q$258)</f>
        <v>0</v>
      </c>
      <c r="G89" s="277">
        <f>SUMIF('A-1 On-Site Habitat Baseline'!$AV$11:$AV$258,'G-2 Habitat groups'!A89,'A-1 On-Site Habitat Baseline'!$S$11:$S$258)</f>
        <v>0</v>
      </c>
      <c r="H89" s="277">
        <f>SUMIF('A-1 On-Site Habitat Baseline'!$AV$11:$AV$258,'G-2 Habitat groups'!A89,'A-1 On-Site Habitat Baseline'!$U$11:$U$258)</f>
        <v>0</v>
      </c>
      <c r="I89" s="277">
        <f>SUMIF('A-1 On-Site Habitat Baseline'!$AV$11:$AV$258,'G-2 Habitat groups'!A89,'A-1 On-Site Habitat Baseline'!$W$11:$W$258)</f>
        <v>0</v>
      </c>
      <c r="J89" s="277">
        <f>SUMIF('A-1 On-Site Habitat Baseline'!$AV$11:$AV$258,'G-2 Habitat groups'!A89,'A-1 On-Site Habitat Baseline'!$X$11:$X$258)</f>
        <v>0</v>
      </c>
      <c r="K89" s="277">
        <f>SUMIF('A-2 On-Site Habitat Creation'!$F$11:$F$256,'G-2 Habitat groups'!A89,'A-2 On-Site Habitat Creation'!$G$11:$G$256)</f>
        <v>0</v>
      </c>
      <c r="L89" s="277">
        <f>SUMIF('A-2 On-Site Habitat Creation'!$F$11:$F$256,'G-2 Habitat groups'!A89,'A-2 On-Site Habitat Creation'!$Y$11:$Y$256)</f>
        <v>0</v>
      </c>
      <c r="M89" s="277">
        <f>SUMIF('A-3 On-Site Habitat Enhancement'!$S$12:$S$257,'G-2 Habitat groups'!A89,'A-3 On-Site Habitat Enhancement'!$V$12:$V$257)</f>
        <v>0</v>
      </c>
      <c r="N89" s="277">
        <f>SUMIF('A-3 On-Site Habitat Enhancement'!$S$12:$S$257,'G-2 Habitat groups'!A89,'A-3 On-Site Habitat Enhancement'!$AN$12:$AN$257)</f>
        <v>0</v>
      </c>
      <c r="O89" s="277">
        <f t="shared" si="53"/>
        <v>0</v>
      </c>
      <c r="P89" s="277">
        <f t="shared" si="54"/>
        <v>0</v>
      </c>
      <c r="Q89" s="277">
        <f t="shared" si="55"/>
        <v>0</v>
      </c>
      <c r="R89" s="277">
        <f t="shared" si="56"/>
        <v>0</v>
      </c>
      <c r="S89" s="277" t="e">
        <f>IF(C89="V.High",SUMIF(#REF!,'G-2 Habitat groups'!A89,#REF!)+SUMIF(#REF!,'G-2 Habitat groups'!A89,#REF!),SUMIF(#REF!,'G-2 Habitat groups'!A89,#REF!))</f>
        <v>#REF!</v>
      </c>
      <c r="T89" s="277" t="e">
        <f>SUMIF(#REF!,'G-2 Habitat groups'!A89,#REF!)</f>
        <v>#REF!</v>
      </c>
      <c r="U89" s="277" t="e">
        <f>SUMIF(#REF!,'G-2 Habitat groups'!A89,#REF!)</f>
        <v>#REF!</v>
      </c>
      <c r="V89" s="277" t="e">
        <f>SUMIF(#REF!,'G-2 Habitat groups'!A89,#REF!)</f>
        <v>#REF!</v>
      </c>
      <c r="W89" s="277" t="e">
        <f>SUMIF(#REF!,'G-2 Habitat groups'!A89,#REF!)</f>
        <v>#REF!</v>
      </c>
      <c r="X89" s="277" t="e">
        <f>SUMIF(#REF!,'G-2 Habitat groups'!A89,#REF!)</f>
        <v>#REF!</v>
      </c>
      <c r="Y89" s="277" t="e">
        <f>SUMIF(#REF!,'G-2 Habitat groups'!A89,#REF!)</f>
        <v>#REF!</v>
      </c>
      <c r="Z89" s="277" t="e">
        <f>SUMIF(#REF!,'G-2 Habitat groups'!A89,#REF!)</f>
        <v>#REF!</v>
      </c>
      <c r="AA89" s="277" t="e">
        <f t="shared" si="57"/>
        <v>#REF!</v>
      </c>
      <c r="AB89" s="277" t="e">
        <f t="shared" si="58"/>
        <v>#REF!</v>
      </c>
      <c r="AC89" s="277" t="e">
        <f t="shared" si="59"/>
        <v>#REF!</v>
      </c>
      <c r="AD89" s="277" t="e">
        <f t="shared" si="60"/>
        <v>#REF!</v>
      </c>
      <c r="AE89" s="277" t="e">
        <f t="shared" si="61"/>
        <v>#REF!</v>
      </c>
      <c r="AF89" s="277" t="e">
        <f t="shared" si="62"/>
        <v>#REF!</v>
      </c>
      <c r="AU89" s="63" t="s">
        <v>399</v>
      </c>
      <c r="AV89" s="52" t="s">
        <v>48</v>
      </c>
      <c r="AW89" s="288">
        <f t="shared" si="63"/>
        <v>0</v>
      </c>
      <c r="AX89" s="288">
        <f t="shared" si="64"/>
        <v>0</v>
      </c>
      <c r="AY89" s="288">
        <f t="shared" si="65"/>
        <v>0</v>
      </c>
      <c r="AZ89" s="288">
        <f t="shared" si="66"/>
        <v>0</v>
      </c>
      <c r="BA89" s="288">
        <f t="shared" si="67"/>
        <v>0</v>
      </c>
      <c r="BB89" s="288">
        <f t="shared" si="68"/>
        <v>0</v>
      </c>
      <c r="BC89" s="288" t="e">
        <f t="shared" si="69"/>
        <v>#REF!</v>
      </c>
      <c r="BD89" s="288" t="e">
        <f t="shared" si="70"/>
        <v>#REF!</v>
      </c>
      <c r="BE89" s="288" t="e">
        <f t="shared" si="71"/>
        <v>#REF!</v>
      </c>
      <c r="BF89" s="288" t="e">
        <f t="shared" si="72"/>
        <v>#REF!</v>
      </c>
    </row>
    <row r="90" spans="1:58" x14ac:dyDescent="0.3">
      <c r="A90" s="63" t="str">
        <f>'G-1 All Habitats'!B90</f>
        <v>Woodland and forest - Felled</v>
      </c>
      <c r="B90" s="52" t="str">
        <f>'G-1 All Habitats'!F90</f>
        <v>Woodlands and Trees</v>
      </c>
      <c r="C90" s="52" t="str">
        <f>'G-1 All Habitats'!K90</f>
        <v>High</v>
      </c>
      <c r="D90" s="52" t="str">
        <f>'G-1 All Habitats'!M90</f>
        <v>Same habitat required =</v>
      </c>
      <c r="E90" s="277">
        <f>IF(C90="V.High",SUMIF('A-1 On-Site Habitat Baseline'!$AV$11:$AV$258,'G-2 Habitat groups'!A90,'A-1 On-Site Habitat Baseline'!$S$11:$S$258)+SUMIF('A-1 On-Site Habitat Baseline'!$AV$11:$AV$258,'G-2 Habitat groups'!A90,'A-1 On-Site Habitat Baseline'!$T$11:$T$258),SUMIF('A-1 On-Site Habitat Baseline'!$AV$11:$AV$258,'G-2 Habitat groups'!A90,'A-1 On-Site Habitat Baseline'!$H$11:$H$258))</f>
        <v>0</v>
      </c>
      <c r="F90" s="277">
        <f>SUMIF('A-1 On-Site Habitat Baseline'!$AV$11:$AV$258,'G-2 Habitat groups'!A90,'A-1 On-Site Habitat Baseline'!$Q$11:$Q$258)</f>
        <v>0</v>
      </c>
      <c r="G90" s="277">
        <f>SUMIF('A-1 On-Site Habitat Baseline'!$AV$11:$AV$258,'G-2 Habitat groups'!A90,'A-1 On-Site Habitat Baseline'!$S$11:$S$258)</f>
        <v>0</v>
      </c>
      <c r="H90" s="277">
        <f>SUMIF('A-1 On-Site Habitat Baseline'!$AV$11:$AV$258,'G-2 Habitat groups'!A90,'A-1 On-Site Habitat Baseline'!$U$11:$U$258)</f>
        <v>0</v>
      </c>
      <c r="I90" s="277">
        <f>SUMIF('A-1 On-Site Habitat Baseline'!$AV$11:$AV$258,'G-2 Habitat groups'!A90,'A-1 On-Site Habitat Baseline'!$W$11:$W$258)</f>
        <v>0</v>
      </c>
      <c r="J90" s="277">
        <f>SUMIF('A-1 On-Site Habitat Baseline'!$AV$11:$AV$258,'G-2 Habitat groups'!A90,'A-1 On-Site Habitat Baseline'!$X$11:$X$258)</f>
        <v>0</v>
      </c>
      <c r="K90" s="277">
        <f>SUMIF('A-2 On-Site Habitat Creation'!$F$11:$F$256,'G-2 Habitat groups'!A90,'A-2 On-Site Habitat Creation'!$G$11:$G$256)</f>
        <v>0</v>
      </c>
      <c r="L90" s="277">
        <f>SUMIF('A-2 On-Site Habitat Creation'!$F$11:$F$256,'G-2 Habitat groups'!A90,'A-2 On-Site Habitat Creation'!$Y$11:$Y$256)</f>
        <v>0</v>
      </c>
      <c r="M90" s="277">
        <f>SUMIF('A-3 On-Site Habitat Enhancement'!$S$12:$S$257,'G-2 Habitat groups'!A90,'A-3 On-Site Habitat Enhancement'!$V$12:$V$257)</f>
        <v>0</v>
      </c>
      <c r="N90" s="277">
        <f>SUMIF('A-3 On-Site Habitat Enhancement'!$S$12:$S$257,'G-2 Habitat groups'!A90,'A-3 On-Site Habitat Enhancement'!$AN$12:$AN$257)</f>
        <v>0</v>
      </c>
      <c r="O90" s="277">
        <f t="shared" si="53"/>
        <v>0</v>
      </c>
      <c r="P90" s="277">
        <f t="shared" si="54"/>
        <v>0</v>
      </c>
      <c r="Q90" s="277">
        <f t="shared" si="55"/>
        <v>0</v>
      </c>
      <c r="R90" s="277">
        <f t="shared" si="56"/>
        <v>0</v>
      </c>
      <c r="S90" s="277" t="e">
        <f>IF(C90="V.High",SUMIF(#REF!,'G-2 Habitat groups'!A90,#REF!)+SUMIF(#REF!,'G-2 Habitat groups'!A90,#REF!),SUMIF(#REF!,'G-2 Habitat groups'!A90,#REF!))</f>
        <v>#REF!</v>
      </c>
      <c r="T90" s="277" t="e">
        <f>SUMIF(#REF!,'G-2 Habitat groups'!A90,#REF!)</f>
        <v>#REF!</v>
      </c>
      <c r="U90" s="277" t="e">
        <f>SUMIF(#REF!,'G-2 Habitat groups'!A90,#REF!)</f>
        <v>#REF!</v>
      </c>
      <c r="V90" s="277" t="e">
        <f>SUMIF(#REF!,'G-2 Habitat groups'!A90,#REF!)</f>
        <v>#REF!</v>
      </c>
      <c r="W90" s="277" t="e">
        <f>SUMIF(#REF!,'G-2 Habitat groups'!A90,#REF!)</f>
        <v>#REF!</v>
      </c>
      <c r="X90" s="277" t="e">
        <f>SUMIF(#REF!,'G-2 Habitat groups'!A90,#REF!)</f>
        <v>#REF!</v>
      </c>
      <c r="Y90" s="277" t="e">
        <f>SUMIF(#REF!,'G-2 Habitat groups'!A90,#REF!)</f>
        <v>#REF!</v>
      </c>
      <c r="Z90" s="277" t="e">
        <f>SUMIF(#REF!,'G-2 Habitat groups'!A90,#REF!)</f>
        <v>#REF!</v>
      </c>
      <c r="AA90" s="277" t="e">
        <f t="shared" si="57"/>
        <v>#REF!</v>
      </c>
      <c r="AB90" s="277" t="e">
        <f t="shared" si="58"/>
        <v>#REF!</v>
      </c>
      <c r="AC90" s="277" t="e">
        <f t="shared" si="59"/>
        <v>#REF!</v>
      </c>
      <c r="AD90" s="277" t="e">
        <f t="shared" si="60"/>
        <v>#REF!</v>
      </c>
      <c r="AE90" s="277" t="e">
        <f t="shared" si="61"/>
        <v>#REF!</v>
      </c>
      <c r="AF90" s="277" t="e">
        <f t="shared" si="62"/>
        <v>#REF!</v>
      </c>
      <c r="AU90" s="63" t="s">
        <v>402</v>
      </c>
      <c r="AV90" s="52" t="s">
        <v>48</v>
      </c>
      <c r="AW90" s="288">
        <f t="shared" si="63"/>
        <v>0</v>
      </c>
      <c r="AX90" s="288">
        <f t="shared" si="64"/>
        <v>0</v>
      </c>
      <c r="AY90" s="288">
        <f t="shared" si="65"/>
        <v>0</v>
      </c>
      <c r="AZ90" s="288">
        <f t="shared" si="66"/>
        <v>0</v>
      </c>
      <c r="BA90" s="288">
        <f t="shared" si="67"/>
        <v>0</v>
      </c>
      <c r="BB90" s="288">
        <f t="shared" si="68"/>
        <v>0</v>
      </c>
      <c r="BC90" s="288" t="e">
        <f t="shared" si="69"/>
        <v>#REF!</v>
      </c>
      <c r="BD90" s="288" t="e">
        <f t="shared" si="70"/>
        <v>#REF!</v>
      </c>
      <c r="BE90" s="288" t="e">
        <f t="shared" si="71"/>
        <v>#REF!</v>
      </c>
      <c r="BF90" s="288" t="e">
        <f t="shared" si="72"/>
        <v>#REF!</v>
      </c>
    </row>
    <row r="91" spans="1:58" x14ac:dyDescent="0.3">
      <c r="A91" s="63" t="str">
        <f>'G-1 All Habitats'!B91</f>
        <v>Woodland and forest - Lowland beech and yew woodland</v>
      </c>
      <c r="B91" s="52" t="str">
        <f>'G-1 All Habitats'!F91</f>
        <v>Woodland and forest</v>
      </c>
      <c r="C91" s="52" t="str">
        <f>'G-1 All Habitats'!K91</f>
        <v>High</v>
      </c>
      <c r="D91" s="52" t="str">
        <f>'G-1 All Habitats'!M91</f>
        <v>Same habitat required =</v>
      </c>
      <c r="E91" s="277">
        <f>IF(C91="V.High",SUMIF('A-1 On-Site Habitat Baseline'!$AV$11:$AV$258,'G-2 Habitat groups'!A91,'A-1 On-Site Habitat Baseline'!$S$11:$S$258)+SUMIF('A-1 On-Site Habitat Baseline'!$AV$11:$AV$258,'G-2 Habitat groups'!A91,'A-1 On-Site Habitat Baseline'!$T$11:$T$258),SUMIF('A-1 On-Site Habitat Baseline'!$AV$11:$AV$258,'G-2 Habitat groups'!A91,'A-1 On-Site Habitat Baseline'!$H$11:$H$258))</f>
        <v>0</v>
      </c>
      <c r="F91" s="277">
        <f>SUMIF('A-1 On-Site Habitat Baseline'!$AV$11:$AV$258,'G-2 Habitat groups'!A91,'A-1 On-Site Habitat Baseline'!$Q$11:$Q$258)</f>
        <v>0</v>
      </c>
      <c r="G91" s="277">
        <f>SUMIF('A-1 On-Site Habitat Baseline'!$AV$11:$AV$258,'G-2 Habitat groups'!A91,'A-1 On-Site Habitat Baseline'!$S$11:$S$258)</f>
        <v>0</v>
      </c>
      <c r="H91" s="277">
        <f>SUMIF('A-1 On-Site Habitat Baseline'!$AV$11:$AV$258,'G-2 Habitat groups'!A91,'A-1 On-Site Habitat Baseline'!$U$11:$U$258)</f>
        <v>0</v>
      </c>
      <c r="I91" s="277">
        <f>SUMIF('A-1 On-Site Habitat Baseline'!$AV$11:$AV$258,'G-2 Habitat groups'!A91,'A-1 On-Site Habitat Baseline'!$W$11:$W$258)</f>
        <v>0</v>
      </c>
      <c r="J91" s="277">
        <f>SUMIF('A-1 On-Site Habitat Baseline'!$AV$11:$AV$258,'G-2 Habitat groups'!A91,'A-1 On-Site Habitat Baseline'!$X$11:$X$258)</f>
        <v>0</v>
      </c>
      <c r="K91" s="277">
        <f>SUMIF('A-2 On-Site Habitat Creation'!$F$11:$F$256,'G-2 Habitat groups'!A91,'A-2 On-Site Habitat Creation'!$G$11:$G$256)</f>
        <v>0</v>
      </c>
      <c r="L91" s="277">
        <f>SUMIF('A-2 On-Site Habitat Creation'!$F$11:$F$256,'G-2 Habitat groups'!A91,'A-2 On-Site Habitat Creation'!$Y$11:$Y$256)</f>
        <v>0</v>
      </c>
      <c r="M91" s="277">
        <f>SUMIF('A-3 On-Site Habitat Enhancement'!$S$12:$S$257,'G-2 Habitat groups'!A91,'A-3 On-Site Habitat Enhancement'!$V$12:$V$257)</f>
        <v>0</v>
      </c>
      <c r="N91" s="277">
        <f>SUMIF('A-3 On-Site Habitat Enhancement'!$S$12:$S$257,'G-2 Habitat groups'!A91,'A-3 On-Site Habitat Enhancement'!$AN$12:$AN$257)</f>
        <v>0</v>
      </c>
      <c r="O91" s="277">
        <f t="shared" si="53"/>
        <v>0</v>
      </c>
      <c r="P91" s="277">
        <f t="shared" si="54"/>
        <v>0</v>
      </c>
      <c r="Q91" s="277">
        <f t="shared" si="55"/>
        <v>0</v>
      </c>
      <c r="R91" s="277">
        <f t="shared" si="56"/>
        <v>0</v>
      </c>
      <c r="S91" s="277" t="e">
        <f>IF(C91="V.High",SUMIF(#REF!,'G-2 Habitat groups'!A91,#REF!)+SUMIF(#REF!,'G-2 Habitat groups'!A91,#REF!),SUMIF(#REF!,'G-2 Habitat groups'!A91,#REF!))</f>
        <v>#REF!</v>
      </c>
      <c r="T91" s="277" t="e">
        <f>SUMIF(#REF!,'G-2 Habitat groups'!A91,#REF!)</f>
        <v>#REF!</v>
      </c>
      <c r="U91" s="277" t="e">
        <f>SUMIF(#REF!,'G-2 Habitat groups'!A91,#REF!)</f>
        <v>#REF!</v>
      </c>
      <c r="V91" s="277" t="e">
        <f>SUMIF(#REF!,'G-2 Habitat groups'!A91,#REF!)</f>
        <v>#REF!</v>
      </c>
      <c r="W91" s="277" t="e">
        <f>SUMIF(#REF!,'G-2 Habitat groups'!A91,#REF!)</f>
        <v>#REF!</v>
      </c>
      <c r="X91" s="277" t="e">
        <f>SUMIF(#REF!,'G-2 Habitat groups'!A91,#REF!)</f>
        <v>#REF!</v>
      </c>
      <c r="Y91" s="277" t="e">
        <f>SUMIF(#REF!,'G-2 Habitat groups'!A91,#REF!)</f>
        <v>#REF!</v>
      </c>
      <c r="Z91" s="277" t="e">
        <f>SUMIF(#REF!,'G-2 Habitat groups'!A91,#REF!)</f>
        <v>#REF!</v>
      </c>
      <c r="AA91" s="277" t="e">
        <f t="shared" si="57"/>
        <v>#REF!</v>
      </c>
      <c r="AB91" s="277" t="e">
        <f t="shared" si="58"/>
        <v>#REF!</v>
      </c>
      <c r="AC91" s="277" t="e">
        <f t="shared" si="59"/>
        <v>#REF!</v>
      </c>
      <c r="AD91" s="277" t="e">
        <f t="shared" si="60"/>
        <v>#REF!</v>
      </c>
      <c r="AE91" s="277" t="e">
        <f t="shared" si="61"/>
        <v>#REF!</v>
      </c>
      <c r="AF91" s="277" t="e">
        <f t="shared" si="62"/>
        <v>#REF!</v>
      </c>
      <c r="AU91" s="63" t="s">
        <v>405</v>
      </c>
      <c r="AV91" s="52" t="s">
        <v>48</v>
      </c>
      <c r="AW91" s="288">
        <f t="shared" si="63"/>
        <v>0</v>
      </c>
      <c r="AX91" s="288">
        <f t="shared" si="64"/>
        <v>0</v>
      </c>
      <c r="AY91" s="288">
        <f t="shared" si="65"/>
        <v>0</v>
      </c>
      <c r="AZ91" s="288">
        <f t="shared" si="66"/>
        <v>0</v>
      </c>
      <c r="BA91" s="288">
        <f t="shared" si="67"/>
        <v>0</v>
      </c>
      <c r="BB91" s="288">
        <f t="shared" si="68"/>
        <v>0</v>
      </c>
      <c r="BC91" s="288" t="e">
        <f t="shared" si="69"/>
        <v>#REF!</v>
      </c>
      <c r="BD91" s="288" t="e">
        <f t="shared" si="70"/>
        <v>#REF!</v>
      </c>
      <c r="BE91" s="288" t="e">
        <f t="shared" si="71"/>
        <v>#REF!</v>
      </c>
      <c r="BF91" s="288" t="e">
        <f t="shared" si="72"/>
        <v>#REF!</v>
      </c>
    </row>
    <row r="92" spans="1:58" x14ac:dyDescent="0.3">
      <c r="A92" s="63" t="str">
        <f>'G-1 All Habitats'!B92</f>
        <v>Woodland and forest - Lowland mixed deciduous woodland</v>
      </c>
      <c r="B92" s="52" t="str">
        <f>'G-1 All Habitats'!F92</f>
        <v>Woodland and forest</v>
      </c>
      <c r="C92" s="52" t="str">
        <f>'G-1 All Habitats'!K92</f>
        <v>High</v>
      </c>
      <c r="D92" s="52" t="str">
        <f>'G-1 All Habitats'!M92</f>
        <v>Same habitat required =</v>
      </c>
      <c r="E92" s="277">
        <f>IF(C92="V.High",SUMIF('A-1 On-Site Habitat Baseline'!$AV$11:$AV$258,'G-2 Habitat groups'!A92,'A-1 On-Site Habitat Baseline'!$S$11:$S$258)+SUMIF('A-1 On-Site Habitat Baseline'!$AV$11:$AV$258,'G-2 Habitat groups'!A92,'A-1 On-Site Habitat Baseline'!$T$11:$T$258),SUMIF('A-1 On-Site Habitat Baseline'!$AV$11:$AV$258,'G-2 Habitat groups'!A92,'A-1 On-Site Habitat Baseline'!$H$11:$H$258))</f>
        <v>0</v>
      </c>
      <c r="F92" s="277">
        <f>SUMIF('A-1 On-Site Habitat Baseline'!$AV$11:$AV$258,'G-2 Habitat groups'!A92,'A-1 On-Site Habitat Baseline'!$Q$11:$Q$258)</f>
        <v>0</v>
      </c>
      <c r="G92" s="277">
        <f>SUMIF('A-1 On-Site Habitat Baseline'!$AV$11:$AV$258,'G-2 Habitat groups'!A92,'A-1 On-Site Habitat Baseline'!$S$11:$S$258)</f>
        <v>0</v>
      </c>
      <c r="H92" s="277">
        <f>SUMIF('A-1 On-Site Habitat Baseline'!$AV$11:$AV$258,'G-2 Habitat groups'!A92,'A-1 On-Site Habitat Baseline'!$U$11:$U$258)</f>
        <v>0</v>
      </c>
      <c r="I92" s="277">
        <f>SUMIF('A-1 On-Site Habitat Baseline'!$AV$11:$AV$258,'G-2 Habitat groups'!A92,'A-1 On-Site Habitat Baseline'!$W$11:$W$258)</f>
        <v>0</v>
      </c>
      <c r="J92" s="277">
        <f>SUMIF('A-1 On-Site Habitat Baseline'!$AV$11:$AV$258,'G-2 Habitat groups'!A92,'A-1 On-Site Habitat Baseline'!$X$11:$X$258)</f>
        <v>0</v>
      </c>
      <c r="K92" s="277">
        <f>SUMIF('A-2 On-Site Habitat Creation'!$F$11:$F$256,'G-2 Habitat groups'!A92,'A-2 On-Site Habitat Creation'!$G$11:$G$256)</f>
        <v>0</v>
      </c>
      <c r="L92" s="277">
        <f>SUMIF('A-2 On-Site Habitat Creation'!$F$11:$F$256,'G-2 Habitat groups'!A92,'A-2 On-Site Habitat Creation'!$Y$11:$Y$256)</f>
        <v>0</v>
      </c>
      <c r="M92" s="277">
        <f>SUMIF('A-3 On-Site Habitat Enhancement'!$S$12:$S$257,'G-2 Habitat groups'!A92,'A-3 On-Site Habitat Enhancement'!$V$12:$V$257)</f>
        <v>0</v>
      </c>
      <c r="N92" s="277">
        <f>SUMIF('A-3 On-Site Habitat Enhancement'!$S$12:$S$257,'G-2 Habitat groups'!A92,'A-3 On-Site Habitat Enhancement'!$AN$12:$AN$257)</f>
        <v>0</v>
      </c>
      <c r="O92" s="277">
        <f t="shared" si="53"/>
        <v>0</v>
      </c>
      <c r="P92" s="277">
        <f t="shared" si="54"/>
        <v>0</v>
      </c>
      <c r="Q92" s="277">
        <f t="shared" si="55"/>
        <v>0</v>
      </c>
      <c r="R92" s="277">
        <f t="shared" si="56"/>
        <v>0</v>
      </c>
      <c r="S92" s="277" t="e">
        <f>IF(C92="V.High",SUMIF(#REF!,'G-2 Habitat groups'!A92,#REF!)+SUMIF(#REF!,'G-2 Habitat groups'!A92,#REF!),SUMIF(#REF!,'G-2 Habitat groups'!A92,#REF!))</f>
        <v>#REF!</v>
      </c>
      <c r="T92" s="277" t="e">
        <f>SUMIF(#REF!,'G-2 Habitat groups'!A92,#REF!)</f>
        <v>#REF!</v>
      </c>
      <c r="U92" s="277" t="e">
        <f>SUMIF(#REF!,'G-2 Habitat groups'!A92,#REF!)</f>
        <v>#REF!</v>
      </c>
      <c r="V92" s="277" t="e">
        <f>SUMIF(#REF!,'G-2 Habitat groups'!A92,#REF!)</f>
        <v>#REF!</v>
      </c>
      <c r="W92" s="277" t="e">
        <f>SUMIF(#REF!,'G-2 Habitat groups'!A92,#REF!)</f>
        <v>#REF!</v>
      </c>
      <c r="X92" s="277" t="e">
        <f>SUMIF(#REF!,'G-2 Habitat groups'!A92,#REF!)</f>
        <v>#REF!</v>
      </c>
      <c r="Y92" s="277" t="e">
        <f>SUMIF(#REF!,'G-2 Habitat groups'!A92,#REF!)</f>
        <v>#REF!</v>
      </c>
      <c r="Z92" s="277" t="e">
        <f>SUMIF(#REF!,'G-2 Habitat groups'!A92,#REF!)</f>
        <v>#REF!</v>
      </c>
      <c r="AA92" s="277" t="e">
        <f t="shared" si="57"/>
        <v>#REF!</v>
      </c>
      <c r="AB92" s="277" t="e">
        <f t="shared" si="58"/>
        <v>#REF!</v>
      </c>
      <c r="AC92" s="277" t="e">
        <f t="shared" si="59"/>
        <v>#REF!</v>
      </c>
      <c r="AD92" s="277" t="e">
        <f t="shared" si="60"/>
        <v>#REF!</v>
      </c>
      <c r="AE92" s="277" t="e">
        <f t="shared" si="61"/>
        <v>#REF!</v>
      </c>
      <c r="AF92" s="277" t="e">
        <f t="shared" si="62"/>
        <v>#REF!</v>
      </c>
      <c r="AU92" s="63" t="s">
        <v>415</v>
      </c>
      <c r="AV92" s="52" t="s">
        <v>48</v>
      </c>
      <c r="AW92" s="288">
        <f t="shared" si="63"/>
        <v>0</v>
      </c>
      <c r="AX92" s="288">
        <f t="shared" si="64"/>
        <v>0</v>
      </c>
      <c r="AY92" s="288">
        <f t="shared" si="65"/>
        <v>0</v>
      </c>
      <c r="AZ92" s="288">
        <f t="shared" si="66"/>
        <v>0</v>
      </c>
      <c r="BA92" s="288">
        <f t="shared" si="67"/>
        <v>0</v>
      </c>
      <c r="BB92" s="288">
        <f t="shared" si="68"/>
        <v>0</v>
      </c>
      <c r="BC92" s="288" t="e">
        <f t="shared" si="69"/>
        <v>#REF!</v>
      </c>
      <c r="BD92" s="288" t="e">
        <f t="shared" si="70"/>
        <v>#REF!</v>
      </c>
      <c r="BE92" s="288" t="e">
        <f t="shared" si="71"/>
        <v>#REF!</v>
      </c>
      <c r="BF92" s="288" t="e">
        <f t="shared" si="72"/>
        <v>#REF!</v>
      </c>
    </row>
    <row r="93" spans="1:58" x14ac:dyDescent="0.3">
      <c r="A93" s="63" t="str">
        <f>'G-1 All Habitats'!B93</f>
        <v>Woodland and forest - Native pine woodlands</v>
      </c>
      <c r="B93" s="52" t="str">
        <f>'G-1 All Habitats'!F93</f>
        <v>Woodland and forest</v>
      </c>
      <c r="C93" s="52" t="str">
        <f>'G-1 All Habitats'!K93</f>
        <v>High</v>
      </c>
      <c r="D93" s="52" t="str">
        <f>'G-1 All Habitats'!M93</f>
        <v>Same habitat required =</v>
      </c>
      <c r="E93" s="277">
        <f>IF(C93="V.High",SUMIF('A-1 On-Site Habitat Baseline'!$AV$11:$AV$258,'G-2 Habitat groups'!A93,'A-1 On-Site Habitat Baseline'!$S$11:$S$258)+SUMIF('A-1 On-Site Habitat Baseline'!$AV$11:$AV$258,'G-2 Habitat groups'!A93,'A-1 On-Site Habitat Baseline'!$T$11:$T$258),SUMIF('A-1 On-Site Habitat Baseline'!$AV$11:$AV$258,'G-2 Habitat groups'!A93,'A-1 On-Site Habitat Baseline'!$H$11:$H$258))</f>
        <v>0</v>
      </c>
      <c r="F93" s="277">
        <f>SUMIF('A-1 On-Site Habitat Baseline'!$AV$11:$AV$258,'G-2 Habitat groups'!A93,'A-1 On-Site Habitat Baseline'!$Q$11:$Q$258)</f>
        <v>0</v>
      </c>
      <c r="G93" s="277">
        <f>SUMIF('A-1 On-Site Habitat Baseline'!$AV$11:$AV$258,'G-2 Habitat groups'!A93,'A-1 On-Site Habitat Baseline'!$S$11:$S$258)</f>
        <v>0</v>
      </c>
      <c r="H93" s="277">
        <f>SUMIF('A-1 On-Site Habitat Baseline'!$AV$11:$AV$258,'G-2 Habitat groups'!A93,'A-1 On-Site Habitat Baseline'!$U$11:$U$258)</f>
        <v>0</v>
      </c>
      <c r="I93" s="277">
        <f>SUMIF('A-1 On-Site Habitat Baseline'!$AV$11:$AV$258,'G-2 Habitat groups'!A93,'A-1 On-Site Habitat Baseline'!$W$11:$W$258)</f>
        <v>0</v>
      </c>
      <c r="J93" s="277">
        <f>SUMIF('A-1 On-Site Habitat Baseline'!$AV$11:$AV$258,'G-2 Habitat groups'!A93,'A-1 On-Site Habitat Baseline'!$X$11:$X$258)</f>
        <v>0</v>
      </c>
      <c r="K93" s="277">
        <f>SUMIF('A-2 On-Site Habitat Creation'!$F$11:$F$256,'G-2 Habitat groups'!A93,'A-2 On-Site Habitat Creation'!$G$11:$G$256)</f>
        <v>0</v>
      </c>
      <c r="L93" s="277">
        <f>SUMIF('A-2 On-Site Habitat Creation'!$F$11:$F$256,'G-2 Habitat groups'!A93,'A-2 On-Site Habitat Creation'!$Y$11:$Y$256)</f>
        <v>0</v>
      </c>
      <c r="M93" s="277">
        <f>SUMIF('A-3 On-Site Habitat Enhancement'!$S$12:$S$257,'G-2 Habitat groups'!A93,'A-3 On-Site Habitat Enhancement'!$V$12:$V$257)</f>
        <v>0</v>
      </c>
      <c r="N93" s="277">
        <f>SUMIF('A-3 On-Site Habitat Enhancement'!$S$12:$S$257,'G-2 Habitat groups'!A93,'A-3 On-Site Habitat Enhancement'!$AN$12:$AN$257)</f>
        <v>0</v>
      </c>
      <c r="O93" s="277">
        <f t="shared" si="53"/>
        <v>0</v>
      </c>
      <c r="P93" s="277">
        <f t="shared" si="54"/>
        <v>0</v>
      </c>
      <c r="Q93" s="277">
        <f t="shared" si="55"/>
        <v>0</v>
      </c>
      <c r="R93" s="277">
        <f t="shared" si="56"/>
        <v>0</v>
      </c>
      <c r="S93" s="277" t="e">
        <f>IF(C93="V.High",SUMIF(#REF!,'G-2 Habitat groups'!A93,#REF!)+SUMIF(#REF!,'G-2 Habitat groups'!A93,#REF!),SUMIF(#REF!,'G-2 Habitat groups'!A93,#REF!))</f>
        <v>#REF!</v>
      </c>
      <c r="T93" s="277" t="e">
        <f>SUMIF(#REF!,'G-2 Habitat groups'!A93,#REF!)</f>
        <v>#REF!</v>
      </c>
      <c r="U93" s="277" t="e">
        <f>SUMIF(#REF!,'G-2 Habitat groups'!A93,#REF!)</f>
        <v>#REF!</v>
      </c>
      <c r="V93" s="277" t="e">
        <f>SUMIF(#REF!,'G-2 Habitat groups'!A93,#REF!)</f>
        <v>#REF!</v>
      </c>
      <c r="W93" s="277" t="e">
        <f>SUMIF(#REF!,'G-2 Habitat groups'!A93,#REF!)</f>
        <v>#REF!</v>
      </c>
      <c r="X93" s="277" t="e">
        <f>SUMIF(#REF!,'G-2 Habitat groups'!A93,#REF!)</f>
        <v>#REF!</v>
      </c>
      <c r="Y93" s="277" t="e">
        <f>SUMIF(#REF!,'G-2 Habitat groups'!A93,#REF!)</f>
        <v>#REF!</v>
      </c>
      <c r="Z93" s="277" t="e">
        <f>SUMIF(#REF!,'G-2 Habitat groups'!A93,#REF!)</f>
        <v>#REF!</v>
      </c>
      <c r="AA93" s="277" t="e">
        <f t="shared" si="57"/>
        <v>#REF!</v>
      </c>
      <c r="AB93" s="277" t="e">
        <f t="shared" si="58"/>
        <v>#REF!</v>
      </c>
      <c r="AC93" s="277" t="e">
        <f t="shared" si="59"/>
        <v>#REF!</v>
      </c>
      <c r="AD93" s="277" t="e">
        <f t="shared" si="60"/>
        <v>#REF!</v>
      </c>
      <c r="AE93" s="277" t="e">
        <f t="shared" si="61"/>
        <v>#REF!</v>
      </c>
      <c r="AF93" s="277" t="e">
        <f t="shared" si="62"/>
        <v>#REF!</v>
      </c>
      <c r="AU93" s="224" t="s">
        <v>467</v>
      </c>
      <c r="AV93" s="52" t="s">
        <v>49</v>
      </c>
      <c r="AW93" s="288">
        <f t="shared" si="63"/>
        <v>0</v>
      </c>
      <c r="AX93" s="288">
        <f t="shared" si="64"/>
        <v>0</v>
      </c>
      <c r="AY93" s="288">
        <f t="shared" si="65"/>
        <v>0</v>
      </c>
      <c r="AZ93" s="288">
        <f t="shared" si="66"/>
        <v>0</v>
      </c>
      <c r="BA93" s="288">
        <f t="shared" si="67"/>
        <v>0</v>
      </c>
      <c r="BB93" s="288">
        <f t="shared" si="68"/>
        <v>0</v>
      </c>
      <c r="BC93" s="288" t="e">
        <f t="shared" si="69"/>
        <v>#REF!</v>
      </c>
      <c r="BD93" s="288" t="e">
        <f t="shared" si="70"/>
        <v>#REF!</v>
      </c>
      <c r="BE93" s="288" t="e">
        <f t="shared" ref="BE93:BE104" si="73">BB93+BD93</f>
        <v>#REF!</v>
      </c>
      <c r="BF93" s="288" t="e">
        <f t="shared" ref="BF93:BF104" si="74">IF(BE93&lt;0,BE93,"")</f>
        <v>#REF!</v>
      </c>
    </row>
    <row r="94" spans="1:58" x14ac:dyDescent="0.3">
      <c r="A94" s="63" t="str">
        <f>'G-1 All Habitats'!B94</f>
        <v>Woodland and forest - Other coniferous woodland</v>
      </c>
      <c r="B94" s="52" t="str">
        <f>'G-1 All Habitats'!F94</f>
        <v>Woodland and forest</v>
      </c>
      <c r="C94" s="52" t="str">
        <f>'G-1 All Habitats'!K94</f>
        <v>Low</v>
      </c>
      <c r="D94" s="52" t="str">
        <f>'G-1 All Habitats'!M94</f>
        <v>Same distinctiveness or better habitat required ≥</v>
      </c>
      <c r="E94" s="277">
        <f>IF(C94="V.High",SUMIF('A-1 On-Site Habitat Baseline'!$AV$11:$AV$258,'G-2 Habitat groups'!A94,'A-1 On-Site Habitat Baseline'!$S$11:$S$258)+SUMIF('A-1 On-Site Habitat Baseline'!$AV$11:$AV$258,'G-2 Habitat groups'!A94,'A-1 On-Site Habitat Baseline'!$T$11:$T$258),SUMIF('A-1 On-Site Habitat Baseline'!$AV$11:$AV$258,'G-2 Habitat groups'!A94,'A-1 On-Site Habitat Baseline'!$H$11:$H$258))</f>
        <v>0</v>
      </c>
      <c r="F94" s="277">
        <f>SUMIF('A-1 On-Site Habitat Baseline'!$AV$11:$AV$258,'G-2 Habitat groups'!A94,'A-1 On-Site Habitat Baseline'!$Q$11:$Q$258)</f>
        <v>0</v>
      </c>
      <c r="G94" s="277">
        <f>SUMIF('A-1 On-Site Habitat Baseline'!$AV$11:$AV$258,'G-2 Habitat groups'!A94,'A-1 On-Site Habitat Baseline'!$S$11:$S$258)</f>
        <v>0</v>
      </c>
      <c r="H94" s="277">
        <f>SUMIF('A-1 On-Site Habitat Baseline'!$AV$11:$AV$258,'G-2 Habitat groups'!A94,'A-1 On-Site Habitat Baseline'!$U$11:$U$258)</f>
        <v>0</v>
      </c>
      <c r="I94" s="277">
        <f>SUMIF('A-1 On-Site Habitat Baseline'!$AV$11:$AV$258,'G-2 Habitat groups'!A94,'A-1 On-Site Habitat Baseline'!$W$11:$W$258)</f>
        <v>0</v>
      </c>
      <c r="J94" s="277">
        <f>SUMIF('A-1 On-Site Habitat Baseline'!$AV$11:$AV$258,'G-2 Habitat groups'!A94,'A-1 On-Site Habitat Baseline'!$X$11:$X$258)</f>
        <v>0</v>
      </c>
      <c r="K94" s="277">
        <f>SUMIF('A-2 On-Site Habitat Creation'!$F$11:$F$256,'G-2 Habitat groups'!A94,'A-2 On-Site Habitat Creation'!$G$11:$G$256)</f>
        <v>0</v>
      </c>
      <c r="L94" s="277">
        <f>SUMIF('A-2 On-Site Habitat Creation'!$F$11:$F$256,'G-2 Habitat groups'!A94,'A-2 On-Site Habitat Creation'!$Y$11:$Y$256)</f>
        <v>0</v>
      </c>
      <c r="M94" s="277">
        <f>SUMIF('A-3 On-Site Habitat Enhancement'!$S$12:$S$257,'G-2 Habitat groups'!A94,'A-3 On-Site Habitat Enhancement'!$V$12:$V$257)</f>
        <v>0</v>
      </c>
      <c r="N94" s="277">
        <f>SUMIF('A-3 On-Site Habitat Enhancement'!$S$12:$S$257,'G-2 Habitat groups'!A94,'A-3 On-Site Habitat Enhancement'!$AN$12:$AN$257)</f>
        <v>0</v>
      </c>
      <c r="O94" s="277">
        <f t="shared" si="53"/>
        <v>0</v>
      </c>
      <c r="P94" s="277">
        <f t="shared" si="54"/>
        <v>0</v>
      </c>
      <c r="Q94" s="277">
        <f t="shared" si="55"/>
        <v>0</v>
      </c>
      <c r="R94" s="277">
        <f t="shared" si="56"/>
        <v>0</v>
      </c>
      <c r="S94" s="277" t="e">
        <f>IF(C94="V.High",SUMIF(#REF!,'G-2 Habitat groups'!A94,#REF!)+SUMIF(#REF!,'G-2 Habitat groups'!A94,#REF!),SUMIF(#REF!,'G-2 Habitat groups'!A94,#REF!))</f>
        <v>#REF!</v>
      </c>
      <c r="T94" s="277" t="e">
        <f>SUMIF(#REF!,'G-2 Habitat groups'!A94,#REF!)</f>
        <v>#REF!</v>
      </c>
      <c r="U94" s="277" t="e">
        <f>SUMIF(#REF!,'G-2 Habitat groups'!A94,#REF!)</f>
        <v>#REF!</v>
      </c>
      <c r="V94" s="277" t="e">
        <f>SUMIF(#REF!,'G-2 Habitat groups'!A94,#REF!)</f>
        <v>#REF!</v>
      </c>
      <c r="W94" s="277" t="e">
        <f>SUMIF(#REF!,'G-2 Habitat groups'!A94,#REF!)</f>
        <v>#REF!</v>
      </c>
      <c r="X94" s="277" t="e">
        <f>SUMIF(#REF!,'G-2 Habitat groups'!A94,#REF!)</f>
        <v>#REF!</v>
      </c>
      <c r="Y94" s="277" t="e">
        <f>SUMIF(#REF!,'G-2 Habitat groups'!A94,#REF!)</f>
        <v>#REF!</v>
      </c>
      <c r="Z94" s="277" t="e">
        <f>SUMIF(#REF!,'G-2 Habitat groups'!A94,#REF!)</f>
        <v>#REF!</v>
      </c>
      <c r="AA94" s="277" t="e">
        <f t="shared" si="57"/>
        <v>#REF!</v>
      </c>
      <c r="AB94" s="277" t="e">
        <f t="shared" si="58"/>
        <v>#REF!</v>
      </c>
      <c r="AC94" s="277" t="e">
        <f t="shared" si="59"/>
        <v>#REF!</v>
      </c>
      <c r="AD94" s="277" t="e">
        <f t="shared" si="60"/>
        <v>#REF!</v>
      </c>
      <c r="AE94" s="277" t="e">
        <f t="shared" si="61"/>
        <v>#REF!</v>
      </c>
      <c r="AF94" s="277" t="e">
        <f t="shared" si="62"/>
        <v>#REF!</v>
      </c>
      <c r="AU94" s="63" t="s">
        <v>470</v>
      </c>
      <c r="AV94" s="52" t="s">
        <v>49</v>
      </c>
      <c r="AW94" s="288">
        <f t="shared" si="63"/>
        <v>0</v>
      </c>
      <c r="AX94" s="288">
        <f t="shared" si="64"/>
        <v>0</v>
      </c>
      <c r="AY94" s="288">
        <f t="shared" si="65"/>
        <v>0</v>
      </c>
      <c r="AZ94" s="288">
        <f t="shared" si="66"/>
        <v>0</v>
      </c>
      <c r="BA94" s="288">
        <f t="shared" si="67"/>
        <v>0</v>
      </c>
      <c r="BB94" s="288">
        <f t="shared" si="68"/>
        <v>0</v>
      </c>
      <c r="BC94" s="288" t="e">
        <f t="shared" si="69"/>
        <v>#REF!</v>
      </c>
      <c r="BD94" s="288" t="e">
        <f t="shared" si="70"/>
        <v>#REF!</v>
      </c>
      <c r="BE94" s="288" t="e">
        <f t="shared" si="73"/>
        <v>#REF!</v>
      </c>
      <c r="BF94" s="288" t="e">
        <f t="shared" si="74"/>
        <v>#REF!</v>
      </c>
    </row>
    <row r="95" spans="1:58" x14ac:dyDescent="0.3">
      <c r="A95" s="63" t="str">
        <f>'G-1 All Habitats'!B95</f>
        <v>Woodland and forest - Other Scot's pine woodland</v>
      </c>
      <c r="B95" s="52" t="str">
        <f>'G-1 All Habitats'!F95</f>
        <v>Woodland and forest</v>
      </c>
      <c r="C95" s="52" t="str">
        <f>'G-1 All Habitats'!K95</f>
        <v>Medium</v>
      </c>
      <c r="D95" s="52" t="str">
        <f>'G-1 All Habitats'!M95</f>
        <v>Same broad habitat or a higher distinctiveness habitat required (≥)</v>
      </c>
      <c r="E95" s="277">
        <f>IF(C95="V.High",SUMIF('A-1 On-Site Habitat Baseline'!$AV$11:$AV$258,'G-2 Habitat groups'!A95,'A-1 On-Site Habitat Baseline'!$S$11:$S$258)+SUMIF('A-1 On-Site Habitat Baseline'!$AV$11:$AV$258,'G-2 Habitat groups'!A95,'A-1 On-Site Habitat Baseline'!$T$11:$T$258),SUMIF('A-1 On-Site Habitat Baseline'!$AV$11:$AV$258,'G-2 Habitat groups'!A95,'A-1 On-Site Habitat Baseline'!$H$11:$H$258))</f>
        <v>0</v>
      </c>
      <c r="F95" s="277">
        <f>SUMIF('A-1 On-Site Habitat Baseline'!$AV$11:$AV$258,'G-2 Habitat groups'!A95,'A-1 On-Site Habitat Baseline'!$Q$11:$Q$258)</f>
        <v>0</v>
      </c>
      <c r="G95" s="277">
        <f>SUMIF('A-1 On-Site Habitat Baseline'!$AV$11:$AV$258,'G-2 Habitat groups'!A95,'A-1 On-Site Habitat Baseline'!$S$11:$S$258)</f>
        <v>0</v>
      </c>
      <c r="H95" s="277">
        <f>SUMIF('A-1 On-Site Habitat Baseline'!$AV$11:$AV$258,'G-2 Habitat groups'!A95,'A-1 On-Site Habitat Baseline'!$U$11:$U$258)</f>
        <v>0</v>
      </c>
      <c r="I95" s="277">
        <f>SUMIF('A-1 On-Site Habitat Baseline'!$AV$11:$AV$258,'G-2 Habitat groups'!A95,'A-1 On-Site Habitat Baseline'!$W$11:$W$258)</f>
        <v>0</v>
      </c>
      <c r="J95" s="277">
        <f>SUMIF('A-1 On-Site Habitat Baseline'!$AV$11:$AV$258,'G-2 Habitat groups'!A95,'A-1 On-Site Habitat Baseline'!$X$11:$X$258)</f>
        <v>0</v>
      </c>
      <c r="K95" s="277">
        <f>SUMIF('A-2 On-Site Habitat Creation'!$F$11:$F$256,'G-2 Habitat groups'!A95,'A-2 On-Site Habitat Creation'!$G$11:$G$256)</f>
        <v>0</v>
      </c>
      <c r="L95" s="277">
        <f>SUMIF('A-2 On-Site Habitat Creation'!$F$11:$F$256,'G-2 Habitat groups'!A95,'A-2 On-Site Habitat Creation'!$Y$11:$Y$256)</f>
        <v>0</v>
      </c>
      <c r="M95" s="277">
        <f>SUMIF('A-3 On-Site Habitat Enhancement'!$S$12:$S$257,'G-2 Habitat groups'!A95,'A-3 On-Site Habitat Enhancement'!$V$12:$V$257)</f>
        <v>0</v>
      </c>
      <c r="N95" s="277">
        <f>SUMIF('A-3 On-Site Habitat Enhancement'!$S$12:$S$257,'G-2 Habitat groups'!A95,'A-3 On-Site Habitat Enhancement'!$AN$12:$AN$257)</f>
        <v>0</v>
      </c>
      <c r="O95" s="277">
        <f t="shared" si="53"/>
        <v>0</v>
      </c>
      <c r="P95" s="277">
        <f t="shared" si="54"/>
        <v>0</v>
      </c>
      <c r="Q95" s="277">
        <f t="shared" si="55"/>
        <v>0</v>
      </c>
      <c r="R95" s="277">
        <f t="shared" si="56"/>
        <v>0</v>
      </c>
      <c r="S95" s="277" t="e">
        <f>IF(C95="V.High",SUMIF(#REF!,'G-2 Habitat groups'!A95,#REF!)+SUMIF(#REF!,'G-2 Habitat groups'!A95,#REF!),SUMIF(#REF!,'G-2 Habitat groups'!A95,#REF!))</f>
        <v>#REF!</v>
      </c>
      <c r="T95" s="277" t="e">
        <f>SUMIF(#REF!,'G-2 Habitat groups'!A95,#REF!)</f>
        <v>#REF!</v>
      </c>
      <c r="U95" s="277" t="e">
        <f>SUMIF(#REF!,'G-2 Habitat groups'!A95,#REF!)</f>
        <v>#REF!</v>
      </c>
      <c r="V95" s="277" t="e">
        <f>SUMIF(#REF!,'G-2 Habitat groups'!A95,#REF!)</f>
        <v>#REF!</v>
      </c>
      <c r="W95" s="277" t="e">
        <f>SUMIF(#REF!,'G-2 Habitat groups'!A95,#REF!)</f>
        <v>#REF!</v>
      </c>
      <c r="X95" s="277" t="e">
        <f>SUMIF(#REF!,'G-2 Habitat groups'!A95,#REF!)</f>
        <v>#REF!</v>
      </c>
      <c r="Y95" s="277" t="e">
        <f>SUMIF(#REF!,'G-2 Habitat groups'!A95,#REF!)</f>
        <v>#REF!</v>
      </c>
      <c r="Z95" s="277" t="e">
        <f>SUMIF(#REF!,'G-2 Habitat groups'!A95,#REF!)</f>
        <v>#REF!</v>
      </c>
      <c r="AA95" s="277" t="e">
        <f t="shared" si="57"/>
        <v>#REF!</v>
      </c>
      <c r="AB95" s="277" t="e">
        <f t="shared" si="58"/>
        <v>#REF!</v>
      </c>
      <c r="AC95" s="277" t="e">
        <f t="shared" si="59"/>
        <v>#REF!</v>
      </c>
      <c r="AD95" s="277" t="e">
        <f t="shared" si="60"/>
        <v>#REF!</v>
      </c>
      <c r="AE95" s="277" t="e">
        <f t="shared" si="61"/>
        <v>#REF!</v>
      </c>
      <c r="AF95" s="277" t="e">
        <f t="shared" si="62"/>
        <v>#REF!</v>
      </c>
      <c r="AU95" s="63" t="s">
        <v>506</v>
      </c>
      <c r="AV95" s="52" t="s">
        <v>50</v>
      </c>
      <c r="AW95" s="288">
        <f t="shared" si="63"/>
        <v>0</v>
      </c>
      <c r="AX95" s="288">
        <f t="shared" si="64"/>
        <v>0</v>
      </c>
      <c r="AY95" s="288">
        <f t="shared" si="65"/>
        <v>0</v>
      </c>
      <c r="AZ95" s="288">
        <f t="shared" si="66"/>
        <v>0</v>
      </c>
      <c r="BA95" s="288">
        <f t="shared" si="67"/>
        <v>0</v>
      </c>
      <c r="BB95" s="288">
        <f t="shared" si="68"/>
        <v>0</v>
      </c>
      <c r="BC95" s="288" t="e">
        <f t="shared" si="69"/>
        <v>#REF!</v>
      </c>
      <c r="BD95" s="288" t="e">
        <f t="shared" si="70"/>
        <v>#REF!</v>
      </c>
      <c r="BE95" s="288" t="e">
        <f t="shared" si="73"/>
        <v>#REF!</v>
      </c>
      <c r="BF95" s="288" t="e">
        <f t="shared" si="74"/>
        <v>#REF!</v>
      </c>
    </row>
    <row r="96" spans="1:58" x14ac:dyDescent="0.3">
      <c r="A96" s="63" t="str">
        <f>'G-1 All Habitats'!B96</f>
        <v>Woodland and forest - Other woodland; broadleaved</v>
      </c>
      <c r="B96" s="52" t="str">
        <f>'G-1 All Habitats'!F96</f>
        <v>Woodland and forest</v>
      </c>
      <c r="C96" s="52" t="str">
        <f>'G-1 All Habitats'!K96</f>
        <v>Medium</v>
      </c>
      <c r="D96" s="52" t="str">
        <f>'G-1 All Habitats'!M96</f>
        <v>Same broad habitat or a higher distinctiveness habitat required (≥)</v>
      </c>
      <c r="E96" s="277">
        <f>IF(C96="V.High",SUMIF('A-1 On-Site Habitat Baseline'!$AV$11:$AV$258,'G-2 Habitat groups'!A96,'A-1 On-Site Habitat Baseline'!$S$11:$S$258)+SUMIF('A-1 On-Site Habitat Baseline'!$AV$11:$AV$258,'G-2 Habitat groups'!A96,'A-1 On-Site Habitat Baseline'!$T$11:$T$258),SUMIF('A-1 On-Site Habitat Baseline'!$AV$11:$AV$258,'G-2 Habitat groups'!A96,'A-1 On-Site Habitat Baseline'!$H$11:$H$258))</f>
        <v>0</v>
      </c>
      <c r="F96" s="277">
        <f>SUMIF('A-1 On-Site Habitat Baseline'!$AV$11:$AV$258,'G-2 Habitat groups'!A96,'A-1 On-Site Habitat Baseline'!$Q$11:$Q$258)</f>
        <v>0</v>
      </c>
      <c r="G96" s="277">
        <f>SUMIF('A-1 On-Site Habitat Baseline'!$AV$11:$AV$258,'G-2 Habitat groups'!A96,'A-1 On-Site Habitat Baseline'!$S$11:$S$258)</f>
        <v>0</v>
      </c>
      <c r="H96" s="277">
        <f>SUMIF('A-1 On-Site Habitat Baseline'!$AV$11:$AV$258,'G-2 Habitat groups'!A96,'A-1 On-Site Habitat Baseline'!$U$11:$U$258)</f>
        <v>0</v>
      </c>
      <c r="I96" s="277">
        <f>SUMIF('A-1 On-Site Habitat Baseline'!$AV$11:$AV$258,'G-2 Habitat groups'!A96,'A-1 On-Site Habitat Baseline'!$W$11:$W$258)</f>
        <v>0</v>
      </c>
      <c r="J96" s="277">
        <f>SUMIF('A-1 On-Site Habitat Baseline'!$AV$11:$AV$258,'G-2 Habitat groups'!A96,'A-1 On-Site Habitat Baseline'!$X$11:$X$258)</f>
        <v>0</v>
      </c>
      <c r="K96" s="277">
        <f>SUMIF('A-2 On-Site Habitat Creation'!$F$11:$F$256,'G-2 Habitat groups'!A96,'A-2 On-Site Habitat Creation'!$G$11:$G$256)</f>
        <v>0</v>
      </c>
      <c r="L96" s="277">
        <f>SUMIF('A-2 On-Site Habitat Creation'!$F$11:$F$256,'G-2 Habitat groups'!A96,'A-2 On-Site Habitat Creation'!$Y$11:$Y$256)</f>
        <v>0</v>
      </c>
      <c r="M96" s="277">
        <f>SUMIF('A-3 On-Site Habitat Enhancement'!$S$12:$S$257,'G-2 Habitat groups'!A96,'A-3 On-Site Habitat Enhancement'!$V$12:$V$257)</f>
        <v>0</v>
      </c>
      <c r="N96" s="277">
        <f>SUMIF('A-3 On-Site Habitat Enhancement'!$S$12:$S$257,'G-2 Habitat groups'!A96,'A-3 On-Site Habitat Enhancement'!$AN$12:$AN$257)</f>
        <v>0</v>
      </c>
      <c r="O96" s="277">
        <f t="shared" si="53"/>
        <v>0</v>
      </c>
      <c r="P96" s="277">
        <f t="shared" si="54"/>
        <v>0</v>
      </c>
      <c r="Q96" s="277">
        <f t="shared" si="55"/>
        <v>0</v>
      </c>
      <c r="R96" s="277">
        <f t="shared" si="56"/>
        <v>0</v>
      </c>
      <c r="S96" s="277" t="e">
        <f>IF(C96="V.High",SUMIF(#REF!,'G-2 Habitat groups'!A96,#REF!)+SUMIF(#REF!,'G-2 Habitat groups'!A96,#REF!),SUMIF(#REF!,'G-2 Habitat groups'!A96,#REF!))</f>
        <v>#REF!</v>
      </c>
      <c r="T96" s="277" t="e">
        <f>SUMIF(#REF!,'G-2 Habitat groups'!A96,#REF!)</f>
        <v>#REF!</v>
      </c>
      <c r="U96" s="277" t="e">
        <f>SUMIF(#REF!,'G-2 Habitat groups'!A96,#REF!)</f>
        <v>#REF!</v>
      </c>
      <c r="V96" s="277" t="e">
        <f>SUMIF(#REF!,'G-2 Habitat groups'!A96,#REF!)</f>
        <v>#REF!</v>
      </c>
      <c r="W96" s="277" t="e">
        <f>SUMIF(#REF!,'G-2 Habitat groups'!A96,#REF!)</f>
        <v>#REF!</v>
      </c>
      <c r="X96" s="277" t="e">
        <f>SUMIF(#REF!,'G-2 Habitat groups'!A96,#REF!)</f>
        <v>#REF!</v>
      </c>
      <c r="Y96" s="277" t="e">
        <f>SUMIF(#REF!,'G-2 Habitat groups'!A96,#REF!)</f>
        <v>#REF!</v>
      </c>
      <c r="Z96" s="277" t="e">
        <f>SUMIF(#REF!,'G-2 Habitat groups'!A96,#REF!)</f>
        <v>#REF!</v>
      </c>
      <c r="AA96" s="277" t="e">
        <f t="shared" si="57"/>
        <v>#REF!</v>
      </c>
      <c r="AB96" s="277" t="e">
        <f t="shared" si="58"/>
        <v>#REF!</v>
      </c>
      <c r="AC96" s="277" t="e">
        <f t="shared" si="59"/>
        <v>#REF!</v>
      </c>
      <c r="AD96" s="277" t="e">
        <f t="shared" si="60"/>
        <v>#REF!</v>
      </c>
      <c r="AE96" s="277" t="e">
        <f t="shared" si="61"/>
        <v>#REF!</v>
      </c>
      <c r="AF96" s="277" t="e">
        <f t="shared" si="62"/>
        <v>#REF!</v>
      </c>
      <c r="AU96" s="63" t="s">
        <v>521</v>
      </c>
      <c r="AV96" s="52" t="s">
        <v>51</v>
      </c>
      <c r="AW96" s="288">
        <f t="shared" si="63"/>
        <v>0</v>
      </c>
      <c r="AX96" s="288">
        <f t="shared" si="64"/>
        <v>0</v>
      </c>
      <c r="AY96" s="288">
        <f t="shared" si="65"/>
        <v>0</v>
      </c>
      <c r="AZ96" s="288">
        <f t="shared" si="66"/>
        <v>0</v>
      </c>
      <c r="BA96" s="288">
        <f t="shared" si="67"/>
        <v>0</v>
      </c>
      <c r="BB96" s="288">
        <f t="shared" si="68"/>
        <v>0</v>
      </c>
      <c r="BC96" s="288" t="e">
        <f t="shared" si="69"/>
        <v>#REF!</v>
      </c>
      <c r="BD96" s="288" t="e">
        <f t="shared" si="70"/>
        <v>#REF!</v>
      </c>
      <c r="BE96" s="288" t="e">
        <f t="shared" si="73"/>
        <v>#REF!</v>
      </c>
      <c r="BF96" s="288" t="e">
        <f t="shared" si="74"/>
        <v>#REF!</v>
      </c>
    </row>
    <row r="97" spans="1:59" x14ac:dyDescent="0.3">
      <c r="A97" s="63" t="str">
        <f>'G-1 All Habitats'!B97</f>
        <v>Woodland and forest - Other woodland; mixed</v>
      </c>
      <c r="B97" s="52" t="str">
        <f>'G-1 All Habitats'!F97</f>
        <v>Woodland and forest</v>
      </c>
      <c r="C97" s="52" t="str">
        <f>'G-1 All Habitats'!K97</f>
        <v>Medium</v>
      </c>
      <c r="D97" s="52" t="str">
        <f>'G-1 All Habitats'!M97</f>
        <v>Same broad habitat or a higher distinctiveness habitat required (≥)</v>
      </c>
      <c r="E97" s="277">
        <f>IF(C97="V.High",SUMIF('A-1 On-Site Habitat Baseline'!$AV$11:$AV$258,'G-2 Habitat groups'!A97,'A-1 On-Site Habitat Baseline'!$S$11:$S$258)+SUMIF('A-1 On-Site Habitat Baseline'!$AV$11:$AV$258,'G-2 Habitat groups'!A97,'A-1 On-Site Habitat Baseline'!$T$11:$T$258),SUMIF('A-1 On-Site Habitat Baseline'!$AV$11:$AV$258,'G-2 Habitat groups'!A97,'A-1 On-Site Habitat Baseline'!$H$11:$H$258))</f>
        <v>0</v>
      </c>
      <c r="F97" s="277">
        <f>SUMIF('A-1 On-Site Habitat Baseline'!$AV$11:$AV$258,'G-2 Habitat groups'!A97,'A-1 On-Site Habitat Baseline'!$Q$11:$Q$258)</f>
        <v>0</v>
      </c>
      <c r="G97" s="277">
        <f>SUMIF('A-1 On-Site Habitat Baseline'!$AV$11:$AV$258,'G-2 Habitat groups'!A97,'A-1 On-Site Habitat Baseline'!$S$11:$S$258)</f>
        <v>0</v>
      </c>
      <c r="H97" s="277">
        <f>SUMIF('A-1 On-Site Habitat Baseline'!$AV$11:$AV$258,'G-2 Habitat groups'!A97,'A-1 On-Site Habitat Baseline'!$U$11:$U$258)</f>
        <v>0</v>
      </c>
      <c r="I97" s="277">
        <f>SUMIF('A-1 On-Site Habitat Baseline'!$AV$11:$AV$258,'G-2 Habitat groups'!A97,'A-1 On-Site Habitat Baseline'!$W$11:$W$258)</f>
        <v>0</v>
      </c>
      <c r="J97" s="277">
        <f>SUMIF('A-1 On-Site Habitat Baseline'!$AV$11:$AV$258,'G-2 Habitat groups'!A97,'A-1 On-Site Habitat Baseline'!$X$11:$X$258)</f>
        <v>0</v>
      </c>
      <c r="K97" s="277">
        <f>SUMIF('A-2 On-Site Habitat Creation'!$F$11:$F$256,'G-2 Habitat groups'!A97,'A-2 On-Site Habitat Creation'!$G$11:$G$256)</f>
        <v>0</v>
      </c>
      <c r="L97" s="277">
        <f>SUMIF('A-2 On-Site Habitat Creation'!$F$11:$F$256,'G-2 Habitat groups'!A97,'A-2 On-Site Habitat Creation'!$Y$11:$Y$256)</f>
        <v>0</v>
      </c>
      <c r="M97" s="277">
        <f>SUMIF('A-3 On-Site Habitat Enhancement'!$S$12:$S$257,'G-2 Habitat groups'!A97,'A-3 On-Site Habitat Enhancement'!$V$12:$V$257)</f>
        <v>0</v>
      </c>
      <c r="N97" s="277">
        <f>SUMIF('A-3 On-Site Habitat Enhancement'!$S$12:$S$257,'G-2 Habitat groups'!A97,'A-3 On-Site Habitat Enhancement'!$AN$12:$AN$257)</f>
        <v>0</v>
      </c>
      <c r="O97" s="277">
        <f t="shared" si="53"/>
        <v>0</v>
      </c>
      <c r="P97" s="277">
        <f t="shared" si="54"/>
        <v>0</v>
      </c>
      <c r="Q97" s="277">
        <f t="shared" si="55"/>
        <v>0</v>
      </c>
      <c r="R97" s="277">
        <f t="shared" si="56"/>
        <v>0</v>
      </c>
      <c r="S97" s="277" t="e">
        <f>IF(C97="V.High",SUMIF(#REF!,'G-2 Habitat groups'!A97,#REF!)+SUMIF(#REF!,'G-2 Habitat groups'!A97,#REF!),SUMIF(#REF!,'G-2 Habitat groups'!A97,#REF!))</f>
        <v>#REF!</v>
      </c>
      <c r="T97" s="277" t="e">
        <f>SUMIF(#REF!,'G-2 Habitat groups'!A97,#REF!)</f>
        <v>#REF!</v>
      </c>
      <c r="U97" s="277" t="e">
        <f>SUMIF(#REF!,'G-2 Habitat groups'!A97,#REF!)</f>
        <v>#REF!</v>
      </c>
      <c r="V97" s="277" t="e">
        <f>SUMIF(#REF!,'G-2 Habitat groups'!A97,#REF!)</f>
        <v>#REF!</v>
      </c>
      <c r="W97" s="277" t="e">
        <f>SUMIF(#REF!,'G-2 Habitat groups'!A97,#REF!)</f>
        <v>#REF!</v>
      </c>
      <c r="X97" s="277" t="e">
        <f>SUMIF(#REF!,'G-2 Habitat groups'!A97,#REF!)</f>
        <v>#REF!</v>
      </c>
      <c r="Y97" s="277" t="e">
        <f>SUMIF(#REF!,'G-2 Habitat groups'!A97,#REF!)</f>
        <v>#REF!</v>
      </c>
      <c r="Z97" s="277" t="e">
        <f>SUMIF(#REF!,'G-2 Habitat groups'!A97,#REF!)</f>
        <v>#REF!</v>
      </c>
      <c r="AA97" s="277" t="e">
        <f t="shared" si="57"/>
        <v>#REF!</v>
      </c>
      <c r="AB97" s="277" t="e">
        <f t="shared" si="58"/>
        <v>#REF!</v>
      </c>
      <c r="AC97" s="277" t="e">
        <f t="shared" si="59"/>
        <v>#REF!</v>
      </c>
      <c r="AD97" s="277" t="e">
        <f t="shared" si="60"/>
        <v>#REF!</v>
      </c>
      <c r="AE97" s="277" t="e">
        <f t="shared" si="61"/>
        <v>#REF!</v>
      </c>
      <c r="AF97" s="277" t="e">
        <f t="shared" si="62"/>
        <v>#REF!</v>
      </c>
      <c r="AU97" s="63" t="s">
        <v>535</v>
      </c>
      <c r="AV97" s="52" t="s">
        <v>51</v>
      </c>
      <c r="AW97" s="288">
        <f t="shared" si="63"/>
        <v>0</v>
      </c>
      <c r="AX97" s="288">
        <f t="shared" si="64"/>
        <v>0</v>
      </c>
      <c r="AY97" s="288">
        <f t="shared" si="65"/>
        <v>0</v>
      </c>
      <c r="AZ97" s="288">
        <f t="shared" si="66"/>
        <v>0</v>
      </c>
      <c r="BA97" s="288">
        <f t="shared" si="67"/>
        <v>0</v>
      </c>
      <c r="BB97" s="288">
        <f t="shared" si="68"/>
        <v>0</v>
      </c>
      <c r="BC97" s="288" t="e">
        <f t="shared" si="69"/>
        <v>#REF!</v>
      </c>
      <c r="BD97" s="288" t="e">
        <f t="shared" si="70"/>
        <v>#REF!</v>
      </c>
      <c r="BE97" s="288" t="e">
        <f t="shared" si="73"/>
        <v>#REF!</v>
      </c>
      <c r="BF97" s="288" t="e">
        <f t="shared" si="74"/>
        <v>#REF!</v>
      </c>
    </row>
    <row r="98" spans="1:59" x14ac:dyDescent="0.3">
      <c r="A98" s="63" t="str">
        <f>'G-1 All Habitats'!B98</f>
        <v>Woodland and forest - Upland birchwoods</v>
      </c>
      <c r="B98" s="52" t="str">
        <f>'G-1 All Habitats'!F98</f>
        <v>Woodland and forest</v>
      </c>
      <c r="C98" s="52" t="str">
        <f>'G-1 All Habitats'!K98</f>
        <v>High</v>
      </c>
      <c r="D98" s="52" t="str">
        <f>'G-1 All Habitats'!M98</f>
        <v>Same habitat required =</v>
      </c>
      <c r="E98" s="277">
        <f>IF(C98="V.High",SUMIF('A-1 On-Site Habitat Baseline'!$AV$11:$AV$258,'G-2 Habitat groups'!A98,'A-1 On-Site Habitat Baseline'!$S$11:$S$258)+SUMIF('A-1 On-Site Habitat Baseline'!$AV$11:$AV$258,'G-2 Habitat groups'!A98,'A-1 On-Site Habitat Baseline'!$T$11:$T$258),SUMIF('A-1 On-Site Habitat Baseline'!$AV$11:$AV$258,'G-2 Habitat groups'!A98,'A-1 On-Site Habitat Baseline'!$H$11:$H$258))</f>
        <v>0</v>
      </c>
      <c r="F98" s="277">
        <f>SUMIF('A-1 On-Site Habitat Baseline'!$AV$11:$AV$258,'G-2 Habitat groups'!A98,'A-1 On-Site Habitat Baseline'!$Q$11:$Q$258)</f>
        <v>0</v>
      </c>
      <c r="G98" s="277">
        <f>SUMIF('A-1 On-Site Habitat Baseline'!$AV$11:$AV$258,'G-2 Habitat groups'!A98,'A-1 On-Site Habitat Baseline'!$S$11:$S$258)</f>
        <v>0</v>
      </c>
      <c r="H98" s="277">
        <f>SUMIF('A-1 On-Site Habitat Baseline'!$AV$11:$AV$258,'G-2 Habitat groups'!A98,'A-1 On-Site Habitat Baseline'!$U$11:$U$258)</f>
        <v>0</v>
      </c>
      <c r="I98" s="277">
        <f>SUMIF('A-1 On-Site Habitat Baseline'!$AV$11:$AV$258,'G-2 Habitat groups'!A98,'A-1 On-Site Habitat Baseline'!$W$11:$W$258)</f>
        <v>0</v>
      </c>
      <c r="J98" s="277">
        <f>SUMIF('A-1 On-Site Habitat Baseline'!$AV$11:$AV$258,'G-2 Habitat groups'!A98,'A-1 On-Site Habitat Baseline'!$X$11:$X$258)</f>
        <v>0</v>
      </c>
      <c r="K98" s="277">
        <f>SUMIF('A-2 On-Site Habitat Creation'!$F$11:$F$256,'G-2 Habitat groups'!A98,'A-2 On-Site Habitat Creation'!$G$11:$G$256)</f>
        <v>0</v>
      </c>
      <c r="L98" s="277">
        <f>SUMIF('A-2 On-Site Habitat Creation'!$F$11:$F$256,'G-2 Habitat groups'!A98,'A-2 On-Site Habitat Creation'!$Y$11:$Y$256)</f>
        <v>0</v>
      </c>
      <c r="M98" s="277">
        <f>SUMIF('A-3 On-Site Habitat Enhancement'!$S$12:$S$257,'G-2 Habitat groups'!A98,'A-3 On-Site Habitat Enhancement'!$V$12:$V$257)</f>
        <v>0</v>
      </c>
      <c r="N98" s="277">
        <f>SUMIF('A-3 On-Site Habitat Enhancement'!$S$12:$S$257,'G-2 Habitat groups'!A98,'A-3 On-Site Habitat Enhancement'!$AN$12:$AN$257)</f>
        <v>0</v>
      </c>
      <c r="O98" s="277">
        <f t="shared" si="53"/>
        <v>0</v>
      </c>
      <c r="P98" s="277">
        <f t="shared" si="54"/>
        <v>0</v>
      </c>
      <c r="Q98" s="277">
        <f t="shared" si="55"/>
        <v>0</v>
      </c>
      <c r="R98" s="277">
        <f t="shared" si="56"/>
        <v>0</v>
      </c>
      <c r="S98" s="277" t="e">
        <f>IF(C98="V.High",SUMIF(#REF!,'G-2 Habitat groups'!A98,#REF!)+SUMIF(#REF!,'G-2 Habitat groups'!A98,#REF!),SUMIF(#REF!,'G-2 Habitat groups'!A98,#REF!))</f>
        <v>#REF!</v>
      </c>
      <c r="T98" s="277" t="e">
        <f>SUMIF(#REF!,'G-2 Habitat groups'!A98,#REF!)</f>
        <v>#REF!</v>
      </c>
      <c r="U98" s="277" t="e">
        <f>SUMIF(#REF!,'G-2 Habitat groups'!A98,#REF!)</f>
        <v>#REF!</v>
      </c>
      <c r="V98" s="277" t="e">
        <f>SUMIF(#REF!,'G-2 Habitat groups'!A98,#REF!)</f>
        <v>#REF!</v>
      </c>
      <c r="W98" s="277" t="e">
        <f>SUMIF(#REF!,'G-2 Habitat groups'!A98,#REF!)</f>
        <v>#REF!</v>
      </c>
      <c r="X98" s="277" t="e">
        <f>SUMIF(#REF!,'G-2 Habitat groups'!A98,#REF!)</f>
        <v>#REF!</v>
      </c>
      <c r="Y98" s="277" t="e">
        <f>SUMIF(#REF!,'G-2 Habitat groups'!A98,#REF!)</f>
        <v>#REF!</v>
      </c>
      <c r="Z98" s="277" t="e">
        <f>SUMIF(#REF!,'G-2 Habitat groups'!A98,#REF!)</f>
        <v>#REF!</v>
      </c>
      <c r="AA98" s="277" t="e">
        <f t="shared" si="57"/>
        <v>#REF!</v>
      </c>
      <c r="AB98" s="277" t="e">
        <f t="shared" si="58"/>
        <v>#REF!</v>
      </c>
      <c r="AC98" s="277" t="e">
        <f t="shared" si="59"/>
        <v>#REF!</v>
      </c>
      <c r="AD98" s="277" t="e">
        <f t="shared" si="60"/>
        <v>#REF!</v>
      </c>
      <c r="AE98" s="277" t="e">
        <f t="shared" si="61"/>
        <v>#REF!</v>
      </c>
      <c r="AF98" s="277" t="e">
        <f t="shared" si="62"/>
        <v>#REF!</v>
      </c>
      <c r="AU98" s="63" t="s">
        <v>619</v>
      </c>
      <c r="AV98" s="52" t="s">
        <v>53</v>
      </c>
      <c r="AW98" s="288">
        <f t="shared" si="63"/>
        <v>0</v>
      </c>
      <c r="AX98" s="288">
        <f t="shared" si="64"/>
        <v>0</v>
      </c>
      <c r="AY98" s="288">
        <f t="shared" si="65"/>
        <v>0</v>
      </c>
      <c r="AZ98" s="288">
        <f t="shared" si="66"/>
        <v>0</v>
      </c>
      <c r="BA98" s="288">
        <f t="shared" si="67"/>
        <v>0</v>
      </c>
      <c r="BB98" s="288">
        <f t="shared" si="68"/>
        <v>0</v>
      </c>
      <c r="BC98" s="288" t="e">
        <f t="shared" si="69"/>
        <v>#REF!</v>
      </c>
      <c r="BD98" s="288" t="e">
        <f t="shared" si="70"/>
        <v>#REF!</v>
      </c>
      <c r="BE98" s="288" t="e">
        <f t="shared" si="73"/>
        <v>#REF!</v>
      </c>
      <c r="BF98" s="288" t="e">
        <f t="shared" si="74"/>
        <v>#REF!</v>
      </c>
    </row>
    <row r="99" spans="1:59" x14ac:dyDescent="0.3">
      <c r="A99" s="63" t="str">
        <f>'G-1 All Habitats'!B99</f>
        <v>Woodland and forest - Upland mixed ashwoods</v>
      </c>
      <c r="B99" s="52" t="str">
        <f>'G-1 All Habitats'!F99</f>
        <v>Woodland and forest</v>
      </c>
      <c r="C99" s="52" t="str">
        <f>'G-1 All Habitats'!K99</f>
        <v>High</v>
      </c>
      <c r="D99" s="52" t="str">
        <f>'G-1 All Habitats'!M99</f>
        <v>Same habitat required =</v>
      </c>
      <c r="E99" s="277">
        <f>IF(C99="V.High",SUMIF('A-1 On-Site Habitat Baseline'!$AV$11:$AV$258,'G-2 Habitat groups'!A99,'A-1 On-Site Habitat Baseline'!$S$11:$S$258)+SUMIF('A-1 On-Site Habitat Baseline'!$AV$11:$AV$258,'G-2 Habitat groups'!A99,'A-1 On-Site Habitat Baseline'!$T$11:$T$258),SUMIF('A-1 On-Site Habitat Baseline'!$AV$11:$AV$258,'G-2 Habitat groups'!A99,'A-1 On-Site Habitat Baseline'!$H$11:$H$258))</f>
        <v>0</v>
      </c>
      <c r="F99" s="277">
        <f>SUMIF('A-1 On-Site Habitat Baseline'!$AV$11:$AV$258,'G-2 Habitat groups'!A99,'A-1 On-Site Habitat Baseline'!$Q$11:$Q$258)</f>
        <v>0</v>
      </c>
      <c r="G99" s="277">
        <f>SUMIF('A-1 On-Site Habitat Baseline'!$AV$11:$AV$258,'G-2 Habitat groups'!A99,'A-1 On-Site Habitat Baseline'!$S$11:$S$258)</f>
        <v>0</v>
      </c>
      <c r="H99" s="277">
        <f>SUMIF('A-1 On-Site Habitat Baseline'!$AV$11:$AV$258,'G-2 Habitat groups'!A99,'A-1 On-Site Habitat Baseline'!$U$11:$U$258)</f>
        <v>0</v>
      </c>
      <c r="I99" s="277">
        <f>SUMIF('A-1 On-Site Habitat Baseline'!$AV$11:$AV$258,'G-2 Habitat groups'!A99,'A-1 On-Site Habitat Baseline'!$W$11:$W$258)</f>
        <v>0</v>
      </c>
      <c r="J99" s="277">
        <f>SUMIF('A-1 On-Site Habitat Baseline'!$AV$11:$AV$258,'G-2 Habitat groups'!A99,'A-1 On-Site Habitat Baseline'!$X$11:$X$258)</f>
        <v>0</v>
      </c>
      <c r="K99" s="277">
        <f>SUMIF('A-2 On-Site Habitat Creation'!$F$11:$F$256,'G-2 Habitat groups'!A99,'A-2 On-Site Habitat Creation'!$G$11:$G$256)</f>
        <v>0</v>
      </c>
      <c r="L99" s="277">
        <f>SUMIF('A-2 On-Site Habitat Creation'!$F$11:$F$256,'G-2 Habitat groups'!A99,'A-2 On-Site Habitat Creation'!$Y$11:$Y$256)</f>
        <v>0</v>
      </c>
      <c r="M99" s="277">
        <f>SUMIF('A-3 On-Site Habitat Enhancement'!$S$12:$S$257,'G-2 Habitat groups'!A99,'A-3 On-Site Habitat Enhancement'!$V$12:$V$257)</f>
        <v>0</v>
      </c>
      <c r="N99" s="277">
        <f>SUMIF('A-3 On-Site Habitat Enhancement'!$S$12:$S$257,'G-2 Habitat groups'!A99,'A-3 On-Site Habitat Enhancement'!$AN$12:$AN$257)</f>
        <v>0</v>
      </c>
      <c r="O99" s="277">
        <f t="shared" si="53"/>
        <v>0</v>
      </c>
      <c r="P99" s="277">
        <f t="shared" si="54"/>
        <v>0</v>
      </c>
      <c r="Q99" s="277">
        <f t="shared" si="55"/>
        <v>0</v>
      </c>
      <c r="R99" s="277">
        <f t="shared" si="56"/>
        <v>0</v>
      </c>
      <c r="S99" s="277" t="e">
        <f>IF(C99="V.High",SUMIF(#REF!,'G-2 Habitat groups'!A99,#REF!)+SUMIF(#REF!,'G-2 Habitat groups'!A99,#REF!),SUMIF(#REF!,'G-2 Habitat groups'!A99,#REF!))</f>
        <v>#REF!</v>
      </c>
      <c r="T99" s="277" t="e">
        <f>SUMIF(#REF!,'G-2 Habitat groups'!A99,#REF!)</f>
        <v>#REF!</v>
      </c>
      <c r="U99" s="277" t="e">
        <f>SUMIF(#REF!,'G-2 Habitat groups'!A99,#REF!)</f>
        <v>#REF!</v>
      </c>
      <c r="V99" s="277" t="e">
        <f>SUMIF(#REF!,'G-2 Habitat groups'!A99,#REF!)</f>
        <v>#REF!</v>
      </c>
      <c r="W99" s="277" t="e">
        <f>SUMIF(#REF!,'G-2 Habitat groups'!A99,#REF!)</f>
        <v>#REF!</v>
      </c>
      <c r="X99" s="277" t="e">
        <f>SUMIF(#REF!,'G-2 Habitat groups'!A99,#REF!)</f>
        <v>#REF!</v>
      </c>
      <c r="Y99" s="277" t="e">
        <f>SUMIF(#REF!,'G-2 Habitat groups'!A99,#REF!)</f>
        <v>#REF!</v>
      </c>
      <c r="Z99" s="277" t="e">
        <f>SUMIF(#REF!,'G-2 Habitat groups'!A99,#REF!)</f>
        <v>#REF!</v>
      </c>
      <c r="AA99" s="277" t="e">
        <f t="shared" si="57"/>
        <v>#REF!</v>
      </c>
      <c r="AB99" s="277" t="e">
        <f t="shared" si="58"/>
        <v>#REF!</v>
      </c>
      <c r="AC99" s="277" t="e">
        <f t="shared" si="59"/>
        <v>#REF!</v>
      </c>
      <c r="AD99" s="277" t="e">
        <f t="shared" si="60"/>
        <v>#REF!</v>
      </c>
      <c r="AE99" s="277" t="e">
        <f t="shared" si="61"/>
        <v>#REF!</v>
      </c>
      <c r="AF99" s="277" t="e">
        <f t="shared" si="62"/>
        <v>#REF!</v>
      </c>
      <c r="AU99" s="63" t="s">
        <v>623</v>
      </c>
      <c r="AV99" s="52" t="s">
        <v>53</v>
      </c>
      <c r="AW99" s="288">
        <f t="shared" si="63"/>
        <v>0</v>
      </c>
      <c r="AX99" s="288">
        <f t="shared" si="64"/>
        <v>0</v>
      </c>
      <c r="AY99" s="288">
        <f t="shared" si="65"/>
        <v>0</v>
      </c>
      <c r="AZ99" s="288">
        <f t="shared" si="66"/>
        <v>0</v>
      </c>
      <c r="BA99" s="288">
        <f t="shared" si="67"/>
        <v>0</v>
      </c>
      <c r="BB99" s="288">
        <f t="shared" si="68"/>
        <v>0</v>
      </c>
      <c r="BC99" s="288" t="e">
        <f t="shared" si="69"/>
        <v>#REF!</v>
      </c>
      <c r="BD99" s="288" t="e">
        <f t="shared" si="70"/>
        <v>#REF!</v>
      </c>
      <c r="BE99" s="288" t="e">
        <f t="shared" si="73"/>
        <v>#REF!</v>
      </c>
      <c r="BF99" s="288" t="e">
        <f t="shared" si="74"/>
        <v>#REF!</v>
      </c>
    </row>
    <row r="100" spans="1:59" x14ac:dyDescent="0.3">
      <c r="A100" s="63" t="str">
        <f>'G-1 All Habitats'!B100</f>
        <v>Woodland and forest - Upland oakwood</v>
      </c>
      <c r="B100" s="52" t="str">
        <f>'G-1 All Habitats'!F100</f>
        <v>Woodland and forest</v>
      </c>
      <c r="C100" s="52" t="str">
        <f>'G-1 All Habitats'!K100</f>
        <v>High</v>
      </c>
      <c r="D100" s="52" t="str">
        <f>'G-1 All Habitats'!M100</f>
        <v>Same habitat required =</v>
      </c>
      <c r="E100" s="277">
        <f>IF(C100="V.High",SUMIF('A-1 On-Site Habitat Baseline'!$AV$11:$AV$258,'G-2 Habitat groups'!A100,'A-1 On-Site Habitat Baseline'!$S$11:$S$258)+SUMIF('A-1 On-Site Habitat Baseline'!$AV$11:$AV$258,'G-2 Habitat groups'!A100,'A-1 On-Site Habitat Baseline'!$T$11:$T$258),SUMIF('A-1 On-Site Habitat Baseline'!$AV$11:$AV$258,'G-2 Habitat groups'!A100,'A-1 On-Site Habitat Baseline'!$H$11:$H$258))</f>
        <v>0</v>
      </c>
      <c r="F100" s="277">
        <f>SUMIF('A-1 On-Site Habitat Baseline'!$AV$11:$AV$258,'G-2 Habitat groups'!A100,'A-1 On-Site Habitat Baseline'!$Q$11:$Q$258)</f>
        <v>0</v>
      </c>
      <c r="G100" s="277">
        <f>SUMIF('A-1 On-Site Habitat Baseline'!$AV$11:$AV$258,'G-2 Habitat groups'!A100,'A-1 On-Site Habitat Baseline'!$S$11:$S$258)</f>
        <v>0</v>
      </c>
      <c r="H100" s="277">
        <f>SUMIF('A-1 On-Site Habitat Baseline'!$AV$11:$AV$258,'G-2 Habitat groups'!A100,'A-1 On-Site Habitat Baseline'!$U$11:$U$258)</f>
        <v>0</v>
      </c>
      <c r="I100" s="277">
        <f>SUMIF('A-1 On-Site Habitat Baseline'!$AV$11:$AV$258,'G-2 Habitat groups'!A100,'A-1 On-Site Habitat Baseline'!$W$11:$W$258)</f>
        <v>0</v>
      </c>
      <c r="J100" s="277">
        <f>SUMIF('A-1 On-Site Habitat Baseline'!$AV$11:$AV$258,'G-2 Habitat groups'!A100,'A-1 On-Site Habitat Baseline'!$X$11:$X$258)</f>
        <v>0</v>
      </c>
      <c r="K100" s="277">
        <f>SUMIF('A-2 On-Site Habitat Creation'!$F$11:$F$256,'G-2 Habitat groups'!A100,'A-2 On-Site Habitat Creation'!$G$11:$G$256)</f>
        <v>0</v>
      </c>
      <c r="L100" s="277">
        <f>SUMIF('A-2 On-Site Habitat Creation'!$F$11:$F$256,'G-2 Habitat groups'!A100,'A-2 On-Site Habitat Creation'!$Y$11:$Y$256)</f>
        <v>0</v>
      </c>
      <c r="M100" s="277">
        <f>SUMIF('A-3 On-Site Habitat Enhancement'!$S$12:$S$257,'G-2 Habitat groups'!A100,'A-3 On-Site Habitat Enhancement'!$V$12:$V$257)</f>
        <v>0</v>
      </c>
      <c r="N100" s="277">
        <f>SUMIF('A-3 On-Site Habitat Enhancement'!$S$12:$S$257,'G-2 Habitat groups'!A100,'A-3 On-Site Habitat Enhancement'!$AN$12:$AN$257)</f>
        <v>0</v>
      </c>
      <c r="O100" s="277">
        <f t="shared" si="53"/>
        <v>0</v>
      </c>
      <c r="P100" s="277">
        <f t="shared" si="54"/>
        <v>0</v>
      </c>
      <c r="Q100" s="277">
        <f t="shared" si="55"/>
        <v>0</v>
      </c>
      <c r="R100" s="277">
        <f t="shared" si="56"/>
        <v>0</v>
      </c>
      <c r="S100" s="277" t="e">
        <f>IF(C100="V.High",SUMIF(#REF!,'G-2 Habitat groups'!A100,#REF!)+SUMIF(#REF!,'G-2 Habitat groups'!A100,#REF!),SUMIF(#REF!,'G-2 Habitat groups'!A100,#REF!))</f>
        <v>#REF!</v>
      </c>
      <c r="T100" s="277" t="e">
        <f>SUMIF(#REF!,'G-2 Habitat groups'!A100,#REF!)</f>
        <v>#REF!</v>
      </c>
      <c r="U100" s="277" t="e">
        <f>SUMIF(#REF!,'G-2 Habitat groups'!A100,#REF!)</f>
        <v>#REF!</v>
      </c>
      <c r="V100" s="277" t="e">
        <f>SUMIF(#REF!,'G-2 Habitat groups'!A100,#REF!)</f>
        <v>#REF!</v>
      </c>
      <c r="W100" s="277" t="e">
        <f>SUMIF(#REF!,'G-2 Habitat groups'!A100,#REF!)</f>
        <v>#REF!</v>
      </c>
      <c r="X100" s="277" t="e">
        <f>SUMIF(#REF!,'G-2 Habitat groups'!A100,#REF!)</f>
        <v>#REF!</v>
      </c>
      <c r="Y100" s="277" t="e">
        <f>SUMIF(#REF!,'G-2 Habitat groups'!A100,#REF!)</f>
        <v>#REF!</v>
      </c>
      <c r="Z100" s="277" t="e">
        <f>SUMIF(#REF!,'G-2 Habitat groups'!A100,#REF!)</f>
        <v>#REF!</v>
      </c>
      <c r="AA100" s="277" t="e">
        <f t="shared" si="57"/>
        <v>#REF!</v>
      </c>
      <c r="AB100" s="277" t="e">
        <f t="shared" si="58"/>
        <v>#REF!</v>
      </c>
      <c r="AC100" s="277" t="e">
        <f t="shared" si="59"/>
        <v>#REF!</v>
      </c>
      <c r="AD100" s="277" t="e">
        <f t="shared" si="60"/>
        <v>#REF!</v>
      </c>
      <c r="AE100" s="277" t="e">
        <f t="shared" si="61"/>
        <v>#REF!</v>
      </c>
      <c r="AF100" s="277" t="e">
        <f t="shared" si="62"/>
        <v>#REF!</v>
      </c>
      <c r="AU100" s="63" t="s">
        <v>626</v>
      </c>
      <c r="AV100" s="52" t="s">
        <v>53</v>
      </c>
      <c r="AW100" s="288">
        <f t="shared" si="63"/>
        <v>0</v>
      </c>
      <c r="AX100" s="288">
        <f t="shared" si="64"/>
        <v>0</v>
      </c>
      <c r="AY100" s="288">
        <f t="shared" si="65"/>
        <v>0</v>
      </c>
      <c r="AZ100" s="288">
        <f t="shared" si="66"/>
        <v>0</v>
      </c>
      <c r="BA100" s="288">
        <f t="shared" si="67"/>
        <v>0</v>
      </c>
      <c r="BB100" s="288">
        <f t="shared" si="68"/>
        <v>0</v>
      </c>
      <c r="BC100" s="288" t="e">
        <f t="shared" si="69"/>
        <v>#REF!</v>
      </c>
      <c r="BD100" s="288" t="e">
        <f t="shared" si="70"/>
        <v>#REF!</v>
      </c>
      <c r="BE100" s="288" t="e">
        <f t="shared" si="73"/>
        <v>#REF!</v>
      </c>
      <c r="BF100" s="288" t="e">
        <f t="shared" si="74"/>
        <v>#REF!</v>
      </c>
    </row>
    <row r="101" spans="1:59" x14ac:dyDescent="0.3">
      <c r="A101" s="63" t="str">
        <f>'G-1 All Habitats'!B101</f>
        <v>Woodland and forest - Wet woodland</v>
      </c>
      <c r="B101" s="52" t="str">
        <f>'G-1 All Habitats'!F101</f>
        <v>Woodland and forest</v>
      </c>
      <c r="C101" s="52" t="str">
        <f>'G-1 All Habitats'!K101</f>
        <v>High</v>
      </c>
      <c r="D101" s="52" t="str">
        <f>'G-1 All Habitats'!M101</f>
        <v>Same habitat required =</v>
      </c>
      <c r="E101" s="277">
        <f>IF(C101="V.High",SUMIF('A-1 On-Site Habitat Baseline'!$AV$11:$AV$258,'G-2 Habitat groups'!A101,'A-1 On-Site Habitat Baseline'!$S$11:$S$258)+SUMIF('A-1 On-Site Habitat Baseline'!$AV$11:$AV$258,'G-2 Habitat groups'!A101,'A-1 On-Site Habitat Baseline'!$T$11:$T$258),SUMIF('A-1 On-Site Habitat Baseline'!$AV$11:$AV$258,'G-2 Habitat groups'!A101,'A-1 On-Site Habitat Baseline'!$H$11:$H$258))</f>
        <v>0</v>
      </c>
      <c r="F101" s="277">
        <f>SUMIF('A-1 On-Site Habitat Baseline'!$AV$11:$AV$258,'G-2 Habitat groups'!A101,'A-1 On-Site Habitat Baseline'!$Q$11:$Q$258)</f>
        <v>0</v>
      </c>
      <c r="G101" s="277">
        <f>SUMIF('A-1 On-Site Habitat Baseline'!$AV$11:$AV$258,'G-2 Habitat groups'!A101,'A-1 On-Site Habitat Baseline'!$S$11:$S$258)</f>
        <v>0</v>
      </c>
      <c r="H101" s="277">
        <f>SUMIF('A-1 On-Site Habitat Baseline'!$AV$11:$AV$258,'G-2 Habitat groups'!A101,'A-1 On-Site Habitat Baseline'!$U$11:$U$258)</f>
        <v>0</v>
      </c>
      <c r="I101" s="277">
        <f>SUMIF('A-1 On-Site Habitat Baseline'!$AV$11:$AV$258,'G-2 Habitat groups'!A101,'A-1 On-Site Habitat Baseline'!$W$11:$W$258)</f>
        <v>0</v>
      </c>
      <c r="J101" s="277">
        <f>SUMIF('A-1 On-Site Habitat Baseline'!$AV$11:$AV$258,'G-2 Habitat groups'!A101,'A-1 On-Site Habitat Baseline'!$X$11:$X$258)</f>
        <v>0</v>
      </c>
      <c r="K101" s="277">
        <f>SUMIF('A-2 On-Site Habitat Creation'!$F$11:$F$256,'G-2 Habitat groups'!A101,'A-2 On-Site Habitat Creation'!$G$11:$G$256)</f>
        <v>0</v>
      </c>
      <c r="L101" s="277">
        <f>SUMIF('A-2 On-Site Habitat Creation'!$F$11:$F$256,'G-2 Habitat groups'!A101,'A-2 On-Site Habitat Creation'!$Y$11:$Y$256)</f>
        <v>0</v>
      </c>
      <c r="M101" s="277">
        <f>SUMIF('A-3 On-Site Habitat Enhancement'!$S$12:$S$257,'G-2 Habitat groups'!A101,'A-3 On-Site Habitat Enhancement'!$V$12:$V$257)</f>
        <v>0</v>
      </c>
      <c r="N101" s="277">
        <f>SUMIF('A-3 On-Site Habitat Enhancement'!$S$12:$S$257,'G-2 Habitat groups'!A101,'A-3 On-Site Habitat Enhancement'!$AN$12:$AN$257)</f>
        <v>0</v>
      </c>
      <c r="O101" s="277">
        <f t="shared" si="53"/>
        <v>0</v>
      </c>
      <c r="P101" s="277">
        <f t="shared" si="54"/>
        <v>0</v>
      </c>
      <c r="Q101" s="277">
        <f t="shared" si="55"/>
        <v>0</v>
      </c>
      <c r="R101" s="277">
        <f t="shared" si="56"/>
        <v>0</v>
      </c>
      <c r="S101" s="277" t="e">
        <f>IF(C101="V.High",SUMIF(#REF!,'G-2 Habitat groups'!A101,#REF!)+SUMIF(#REF!,'G-2 Habitat groups'!A101,#REF!),SUMIF(#REF!,'G-2 Habitat groups'!A101,#REF!))</f>
        <v>#REF!</v>
      </c>
      <c r="T101" s="277" t="e">
        <f>SUMIF(#REF!,'G-2 Habitat groups'!A101,#REF!)</f>
        <v>#REF!</v>
      </c>
      <c r="U101" s="277" t="e">
        <f>SUMIF(#REF!,'G-2 Habitat groups'!A101,#REF!)</f>
        <v>#REF!</v>
      </c>
      <c r="V101" s="277" t="e">
        <f>SUMIF(#REF!,'G-2 Habitat groups'!A101,#REF!)</f>
        <v>#REF!</v>
      </c>
      <c r="W101" s="277" t="e">
        <f>SUMIF(#REF!,'G-2 Habitat groups'!A101,#REF!)</f>
        <v>#REF!</v>
      </c>
      <c r="X101" s="277" t="e">
        <f>SUMIF(#REF!,'G-2 Habitat groups'!A101,#REF!)</f>
        <v>#REF!</v>
      </c>
      <c r="Y101" s="277" t="e">
        <f>SUMIF(#REF!,'G-2 Habitat groups'!A101,#REF!)</f>
        <v>#REF!</v>
      </c>
      <c r="Z101" s="277" t="e">
        <f>SUMIF(#REF!,'G-2 Habitat groups'!A101,#REF!)</f>
        <v>#REF!</v>
      </c>
      <c r="AA101" s="277" t="e">
        <f t="shared" si="57"/>
        <v>#REF!</v>
      </c>
      <c r="AB101" s="277" t="e">
        <f t="shared" si="58"/>
        <v>#REF!</v>
      </c>
      <c r="AC101" s="277" t="e">
        <f t="shared" si="59"/>
        <v>#REF!</v>
      </c>
      <c r="AD101" s="277" t="e">
        <f t="shared" si="60"/>
        <v>#REF!</v>
      </c>
      <c r="AE101" s="277" t="e">
        <f t="shared" si="61"/>
        <v>#REF!</v>
      </c>
      <c r="AF101" s="277" t="e">
        <f t="shared" si="62"/>
        <v>#REF!</v>
      </c>
      <c r="AU101" s="63" t="s">
        <v>686</v>
      </c>
      <c r="AV101" s="52" t="s">
        <v>54</v>
      </c>
      <c r="AW101" s="288">
        <f t="shared" si="63"/>
        <v>0</v>
      </c>
      <c r="AX101" s="288">
        <f t="shared" si="64"/>
        <v>0</v>
      </c>
      <c r="AY101" s="288">
        <f t="shared" si="65"/>
        <v>0</v>
      </c>
      <c r="AZ101" s="288">
        <f t="shared" si="66"/>
        <v>0</v>
      </c>
      <c r="BA101" s="288">
        <f t="shared" si="67"/>
        <v>0</v>
      </c>
      <c r="BB101" s="288">
        <f t="shared" si="68"/>
        <v>0</v>
      </c>
      <c r="BC101" s="288" t="e">
        <f t="shared" si="69"/>
        <v>#REF!</v>
      </c>
      <c r="BD101" s="288" t="e">
        <f t="shared" si="70"/>
        <v>#REF!</v>
      </c>
      <c r="BE101" s="288" t="e">
        <f t="shared" si="73"/>
        <v>#REF!</v>
      </c>
      <c r="BF101" s="288" t="e">
        <f t="shared" si="74"/>
        <v>#REF!</v>
      </c>
    </row>
    <row r="102" spans="1:59" x14ac:dyDescent="0.3">
      <c r="A102" s="63" t="str">
        <f>'G-1 All Habitats'!B102</f>
        <v>Woodland and forest - Wood-pasture and parkland</v>
      </c>
      <c r="B102" s="52" t="str">
        <f>'G-1 All Habitats'!F102</f>
        <v>Woodlands and Trees</v>
      </c>
      <c r="C102" s="52" t="str">
        <f>'G-1 All Habitats'!K102</f>
        <v>V.High</v>
      </c>
      <c r="D102" s="52" t="str">
        <f>'G-1 All Habitats'!M102</f>
        <v>Bespoke compensation likely to be required 🛠</v>
      </c>
      <c r="E102" s="277">
        <f>IF(C102="V.High",SUMIF('A-1 On-Site Habitat Baseline'!$AV$11:$AV$258,'G-2 Habitat groups'!A102,'A-1 On-Site Habitat Baseline'!$S$11:$S$258)+SUMIF('A-1 On-Site Habitat Baseline'!$AV$11:$AV$258,'G-2 Habitat groups'!A102,'A-1 On-Site Habitat Baseline'!$T$11:$T$258),SUMIF('A-1 On-Site Habitat Baseline'!$AV$11:$AV$258,'G-2 Habitat groups'!A102,'A-1 On-Site Habitat Baseline'!$H$11:$H$258))</f>
        <v>0</v>
      </c>
      <c r="F102" s="277">
        <f>SUMIF('A-1 On-Site Habitat Baseline'!$AV$11:$AV$258,'G-2 Habitat groups'!A102,'A-1 On-Site Habitat Baseline'!$Q$11:$Q$258)</f>
        <v>0</v>
      </c>
      <c r="G102" s="277">
        <f>SUMIF('A-1 On-Site Habitat Baseline'!$AV$11:$AV$258,'G-2 Habitat groups'!A102,'A-1 On-Site Habitat Baseline'!$S$11:$S$258)</f>
        <v>0</v>
      </c>
      <c r="H102" s="277">
        <f>SUMIF('A-1 On-Site Habitat Baseline'!$AV$11:$AV$258,'G-2 Habitat groups'!A102,'A-1 On-Site Habitat Baseline'!$U$11:$U$258)</f>
        <v>0</v>
      </c>
      <c r="I102" s="277">
        <f>SUMIF('A-1 On-Site Habitat Baseline'!$AV$11:$AV$258,'G-2 Habitat groups'!A102,'A-1 On-Site Habitat Baseline'!$W$11:$W$258)</f>
        <v>0</v>
      </c>
      <c r="J102" s="277">
        <f>SUMIF('A-1 On-Site Habitat Baseline'!$AV$11:$AV$258,'G-2 Habitat groups'!A102,'A-1 On-Site Habitat Baseline'!$X$11:$X$258)</f>
        <v>0</v>
      </c>
      <c r="K102" s="277">
        <f>SUMIF('A-2 On-Site Habitat Creation'!$F$11:$F$256,'G-2 Habitat groups'!A102,'A-2 On-Site Habitat Creation'!$G$11:$G$256)</f>
        <v>0</v>
      </c>
      <c r="L102" s="277">
        <f>SUMIF('A-2 On-Site Habitat Creation'!$F$11:$F$256,'G-2 Habitat groups'!A102,'A-2 On-Site Habitat Creation'!$Y$11:$Y$256)</f>
        <v>0</v>
      </c>
      <c r="M102" s="277">
        <f>SUMIF('A-3 On-Site Habitat Enhancement'!$S$12:$S$257,'G-2 Habitat groups'!A102,'A-3 On-Site Habitat Enhancement'!$V$12:$V$257)</f>
        <v>0</v>
      </c>
      <c r="N102" s="277">
        <f>SUMIF('A-3 On-Site Habitat Enhancement'!$S$12:$S$257,'G-2 Habitat groups'!A102,'A-3 On-Site Habitat Enhancement'!$AN$12:$AN$257)</f>
        <v>0</v>
      </c>
      <c r="O102" s="277">
        <f t="shared" ref="O102:O134" si="75">G102+K102+M102</f>
        <v>0</v>
      </c>
      <c r="P102" s="277">
        <f t="shared" ref="P102:P134" si="76">H102+L102+N102</f>
        <v>0</v>
      </c>
      <c r="Q102" s="277">
        <f t="shared" ref="Q102:Q134" si="77">O102-E102</f>
        <v>0</v>
      </c>
      <c r="R102" s="277">
        <f t="shared" ref="R102:R134" si="78">P102-F102</f>
        <v>0</v>
      </c>
      <c r="S102" s="277" t="e">
        <f>IF(C102="V.High",SUMIF(#REF!,'G-2 Habitat groups'!A102,#REF!)+SUMIF(#REF!,'G-2 Habitat groups'!A102,#REF!),SUMIF(#REF!,'G-2 Habitat groups'!A102,#REF!))</f>
        <v>#REF!</v>
      </c>
      <c r="T102" s="277" t="e">
        <f>SUMIF(#REF!,'G-2 Habitat groups'!A102,#REF!)</f>
        <v>#REF!</v>
      </c>
      <c r="U102" s="277" t="e">
        <f>SUMIF(#REF!,'G-2 Habitat groups'!A102,#REF!)</f>
        <v>#REF!</v>
      </c>
      <c r="V102" s="277" t="e">
        <f>SUMIF(#REF!,'G-2 Habitat groups'!A102,#REF!)</f>
        <v>#REF!</v>
      </c>
      <c r="W102" s="277" t="e">
        <f>SUMIF(#REF!,'G-2 Habitat groups'!A102,#REF!)</f>
        <v>#REF!</v>
      </c>
      <c r="X102" s="277" t="e">
        <f>SUMIF(#REF!,'G-2 Habitat groups'!A102,#REF!)</f>
        <v>#REF!</v>
      </c>
      <c r="Y102" s="277" t="e">
        <f>SUMIF(#REF!,'G-2 Habitat groups'!A102,#REF!)</f>
        <v>#REF!</v>
      </c>
      <c r="Z102" s="277" t="e">
        <f>SUMIF(#REF!,'G-2 Habitat groups'!A102,#REF!)</f>
        <v>#REF!</v>
      </c>
      <c r="AA102" s="277" t="e">
        <f t="shared" ref="AA102:AA135" si="79">U102+W102+Y102</f>
        <v>#REF!</v>
      </c>
      <c r="AB102" s="277" t="e">
        <f t="shared" ref="AB102:AB135" si="80">V102+X102+Z102</f>
        <v>#REF!</v>
      </c>
      <c r="AC102" s="277" t="e">
        <f t="shared" ref="AC102:AC134" si="81">AA102-S102</f>
        <v>#REF!</v>
      </c>
      <c r="AD102" s="277" t="e">
        <f t="shared" ref="AD102:AD134" si="82">AB102-T102</f>
        <v>#REF!</v>
      </c>
      <c r="AE102" s="277" t="e">
        <f t="shared" ref="AE102:AE134" si="83">Q102+AC102</f>
        <v>#REF!</v>
      </c>
      <c r="AF102" s="277" t="e">
        <f t="shared" ref="AF102:AF134" si="84">R102+AD102</f>
        <v>#REF!</v>
      </c>
      <c r="AU102" s="84" t="s">
        <v>733</v>
      </c>
      <c r="AV102" s="52" t="s">
        <v>54</v>
      </c>
      <c r="AW102" s="288">
        <f t="shared" si="63"/>
        <v>0</v>
      </c>
      <c r="AX102" s="288">
        <f t="shared" si="64"/>
        <v>0</v>
      </c>
      <c r="AY102" s="288">
        <f t="shared" si="65"/>
        <v>0</v>
      </c>
      <c r="AZ102" s="288">
        <f t="shared" si="66"/>
        <v>0</v>
      </c>
      <c r="BA102" s="288">
        <f t="shared" si="67"/>
        <v>0</v>
      </c>
      <c r="BB102" s="288">
        <f t="shared" si="68"/>
        <v>0</v>
      </c>
      <c r="BC102" s="288" t="e">
        <f t="shared" si="69"/>
        <v>#REF!</v>
      </c>
      <c r="BD102" s="288" t="e">
        <f t="shared" si="70"/>
        <v>#REF!</v>
      </c>
      <c r="BE102" s="288" t="e">
        <f t="shared" si="73"/>
        <v>#REF!</v>
      </c>
      <c r="BF102" s="288" t="e">
        <f t="shared" si="74"/>
        <v>#REF!</v>
      </c>
    </row>
    <row r="103" spans="1:59" ht="28" x14ac:dyDescent="0.3">
      <c r="A103" s="63" t="str">
        <f>'G-1 All Habitats'!B104</f>
        <v>Coastal lagoons - Coastal lagoons</v>
      </c>
      <c r="B103" s="52" t="str">
        <f>'G-1 All Habitats'!F104</f>
        <v>Coastal lagoons</v>
      </c>
      <c r="C103" s="52" t="str">
        <f>'G-1 All Habitats'!K104</f>
        <v>High</v>
      </c>
      <c r="D103" s="52" t="str">
        <f>'G-1 All Habitats'!M104</f>
        <v>Same habitat required =</v>
      </c>
      <c r="E103" s="277">
        <f>IF(C103="V.High",SUMIF('A-1 On-Site Habitat Baseline'!$AV$11:$AV$258,'G-2 Habitat groups'!A103,'A-1 On-Site Habitat Baseline'!$S$11:$S$258)+SUMIF('A-1 On-Site Habitat Baseline'!$AV$11:$AV$258,'G-2 Habitat groups'!A103,'A-1 On-Site Habitat Baseline'!$T$11:$T$258),SUMIF('A-1 On-Site Habitat Baseline'!$AV$11:$AV$258,'G-2 Habitat groups'!A103,'A-1 On-Site Habitat Baseline'!$H$11:$H$258))</f>
        <v>0</v>
      </c>
      <c r="F103" s="277">
        <f>SUMIF('A-1 On-Site Habitat Baseline'!$AV$11:$AV$258,'G-2 Habitat groups'!A103,'A-1 On-Site Habitat Baseline'!$Q$11:$Q$258)</f>
        <v>0</v>
      </c>
      <c r="G103" s="277">
        <f>SUMIF('A-1 On-Site Habitat Baseline'!$AV$11:$AV$258,'G-2 Habitat groups'!A103,'A-1 On-Site Habitat Baseline'!$S$11:$S$258)</f>
        <v>0</v>
      </c>
      <c r="H103" s="277">
        <f>SUMIF('A-1 On-Site Habitat Baseline'!$AV$11:$AV$258,'G-2 Habitat groups'!A103,'A-1 On-Site Habitat Baseline'!$U$11:$U$258)</f>
        <v>0</v>
      </c>
      <c r="I103" s="277">
        <f>SUMIF('A-1 On-Site Habitat Baseline'!$AV$11:$AV$258,'G-2 Habitat groups'!A103,'A-1 On-Site Habitat Baseline'!$W$11:$W$258)</f>
        <v>0</v>
      </c>
      <c r="J103" s="277">
        <f>SUMIF('A-1 On-Site Habitat Baseline'!$AV$11:$AV$258,'G-2 Habitat groups'!A103,'A-1 On-Site Habitat Baseline'!$X$11:$X$258)</f>
        <v>0</v>
      </c>
      <c r="K103" s="277">
        <f>SUMIF('A-2 On-Site Habitat Creation'!$F$11:$F$256,'G-2 Habitat groups'!A103,'A-2 On-Site Habitat Creation'!$G$11:$G$256)</f>
        <v>0</v>
      </c>
      <c r="L103" s="277">
        <f>SUMIF('A-2 On-Site Habitat Creation'!$F$11:$F$256,'G-2 Habitat groups'!A103,'A-2 On-Site Habitat Creation'!$Y$11:$Y$256)</f>
        <v>0</v>
      </c>
      <c r="M103" s="277">
        <f>SUMIF('A-3 On-Site Habitat Enhancement'!$S$12:$S$257,'G-2 Habitat groups'!A103,'A-3 On-Site Habitat Enhancement'!$V$12:$V$257)</f>
        <v>0</v>
      </c>
      <c r="N103" s="277">
        <f>SUMIF('A-3 On-Site Habitat Enhancement'!$S$12:$S$257,'G-2 Habitat groups'!A103,'A-3 On-Site Habitat Enhancement'!$AN$12:$AN$257)</f>
        <v>0</v>
      </c>
      <c r="O103" s="277">
        <f t="shared" si="75"/>
        <v>0</v>
      </c>
      <c r="P103" s="277">
        <f t="shared" si="76"/>
        <v>0</v>
      </c>
      <c r="Q103" s="277">
        <f t="shared" si="77"/>
        <v>0</v>
      </c>
      <c r="R103" s="277">
        <f t="shared" si="78"/>
        <v>0</v>
      </c>
      <c r="S103" s="277" t="e">
        <f>IF(C103="V.High",SUMIF(#REF!,'G-2 Habitat groups'!A103,#REF!)+SUMIF(#REF!,'G-2 Habitat groups'!A103,#REF!),SUMIF(#REF!,'G-2 Habitat groups'!A103,#REF!))</f>
        <v>#REF!</v>
      </c>
      <c r="T103" s="277" t="e">
        <f>SUMIF(#REF!,'G-2 Habitat groups'!A103,#REF!)</f>
        <v>#REF!</v>
      </c>
      <c r="U103" s="277" t="e">
        <f>SUMIF(#REF!,'G-2 Habitat groups'!A103,#REF!)</f>
        <v>#REF!</v>
      </c>
      <c r="V103" s="277" t="e">
        <f>SUMIF(#REF!,'G-2 Habitat groups'!A103,#REF!)</f>
        <v>#REF!</v>
      </c>
      <c r="W103" s="277" t="e">
        <f>SUMIF(#REF!,'G-2 Habitat groups'!A103,#REF!)</f>
        <v>#REF!</v>
      </c>
      <c r="X103" s="277" t="e">
        <f>SUMIF(#REF!,'G-2 Habitat groups'!A103,#REF!)</f>
        <v>#REF!</v>
      </c>
      <c r="Y103" s="277" t="e">
        <f>SUMIF(#REF!,'G-2 Habitat groups'!A103,#REF!)</f>
        <v>#REF!</v>
      </c>
      <c r="Z103" s="277" t="e">
        <f>SUMIF(#REF!,'G-2 Habitat groups'!A103,#REF!)</f>
        <v>#REF!</v>
      </c>
      <c r="AA103" s="277" t="e">
        <f t="shared" si="79"/>
        <v>#REF!</v>
      </c>
      <c r="AB103" s="277" t="e">
        <f t="shared" si="80"/>
        <v>#REF!</v>
      </c>
      <c r="AC103" s="277" t="e">
        <f t="shared" si="81"/>
        <v>#REF!</v>
      </c>
      <c r="AD103" s="277" t="e">
        <f t="shared" si="82"/>
        <v>#REF!</v>
      </c>
      <c r="AE103" s="277" t="e">
        <f t="shared" si="83"/>
        <v>#REF!</v>
      </c>
      <c r="AF103" s="277" t="e">
        <f t="shared" si="84"/>
        <v>#REF!</v>
      </c>
      <c r="AU103" s="84" t="s">
        <v>745</v>
      </c>
      <c r="AV103" s="220" t="s">
        <v>58</v>
      </c>
      <c r="AW103" s="359">
        <f t="shared" si="63"/>
        <v>0</v>
      </c>
      <c r="AX103" s="359">
        <f t="shared" si="64"/>
        <v>0</v>
      </c>
      <c r="AY103" s="359">
        <f t="shared" si="65"/>
        <v>0</v>
      </c>
      <c r="AZ103" s="359">
        <f t="shared" si="66"/>
        <v>0</v>
      </c>
      <c r="BA103" s="359">
        <f t="shared" si="67"/>
        <v>0</v>
      </c>
      <c r="BB103" s="359">
        <f t="shared" si="68"/>
        <v>0</v>
      </c>
      <c r="BC103" s="359" t="e">
        <f t="shared" si="69"/>
        <v>#REF!</v>
      </c>
      <c r="BD103" s="359" t="e">
        <f t="shared" si="70"/>
        <v>#REF!</v>
      </c>
      <c r="BE103" s="359" t="e">
        <f t="shared" si="73"/>
        <v>#REF!</v>
      </c>
      <c r="BF103" s="359" t="e">
        <f t="shared" si="74"/>
        <v>#REF!</v>
      </c>
    </row>
    <row r="104" spans="1:59" x14ac:dyDescent="0.3">
      <c r="A104" s="63" t="str">
        <f>'G-1 All Habitats'!B105</f>
        <v>Rocky shore - High energy littoral rock</v>
      </c>
      <c r="B104" s="52" t="str">
        <f>'G-1 All Habitats'!F105</f>
        <v>Rocky shore</v>
      </c>
      <c r="C104" s="52" t="str">
        <f>'G-1 All Habitats'!K105</f>
        <v>High</v>
      </c>
      <c r="D104" s="52" t="str">
        <f>'G-1 All Habitats'!M105</f>
        <v>Same habitat required =</v>
      </c>
      <c r="E104" s="277">
        <f>IF(C104="V.High",SUMIF('A-1 On-Site Habitat Baseline'!$AV$11:$AV$258,'G-2 Habitat groups'!A104,'A-1 On-Site Habitat Baseline'!$S$11:$S$258)+SUMIF('A-1 On-Site Habitat Baseline'!$AV$11:$AV$258,'G-2 Habitat groups'!A104,'A-1 On-Site Habitat Baseline'!$T$11:$T$258),SUMIF('A-1 On-Site Habitat Baseline'!$AV$11:$AV$258,'G-2 Habitat groups'!A104,'A-1 On-Site Habitat Baseline'!$H$11:$H$258))</f>
        <v>0</v>
      </c>
      <c r="F104" s="277">
        <f>SUMIF('A-1 On-Site Habitat Baseline'!$AV$11:$AV$258,'G-2 Habitat groups'!A104,'A-1 On-Site Habitat Baseline'!$Q$11:$Q$258)</f>
        <v>0</v>
      </c>
      <c r="G104" s="277">
        <f>SUMIF('A-1 On-Site Habitat Baseline'!$AV$11:$AV$258,'G-2 Habitat groups'!A104,'A-1 On-Site Habitat Baseline'!$S$11:$S$258)</f>
        <v>0</v>
      </c>
      <c r="H104" s="277">
        <f>SUMIF('A-1 On-Site Habitat Baseline'!$AV$11:$AV$258,'G-2 Habitat groups'!A104,'A-1 On-Site Habitat Baseline'!$U$11:$U$258)</f>
        <v>0</v>
      </c>
      <c r="I104" s="277">
        <f>SUMIF('A-1 On-Site Habitat Baseline'!$AV$11:$AV$258,'G-2 Habitat groups'!A104,'A-1 On-Site Habitat Baseline'!$W$11:$W$258)</f>
        <v>0</v>
      </c>
      <c r="J104" s="277">
        <f>SUMIF('A-1 On-Site Habitat Baseline'!$AV$11:$AV$258,'G-2 Habitat groups'!A104,'A-1 On-Site Habitat Baseline'!$X$11:$X$258)</f>
        <v>0</v>
      </c>
      <c r="K104" s="277">
        <f>SUMIF('A-2 On-Site Habitat Creation'!$F$11:$F$256,'G-2 Habitat groups'!A104,'A-2 On-Site Habitat Creation'!$G$11:$G$256)</f>
        <v>0</v>
      </c>
      <c r="L104" s="277">
        <f>SUMIF('A-2 On-Site Habitat Creation'!$F$11:$F$256,'G-2 Habitat groups'!A104,'A-2 On-Site Habitat Creation'!$Y$11:$Y$256)</f>
        <v>0</v>
      </c>
      <c r="M104" s="277">
        <f>SUMIF('A-3 On-Site Habitat Enhancement'!$S$12:$S$257,'G-2 Habitat groups'!A104,'A-3 On-Site Habitat Enhancement'!$V$12:$V$257)</f>
        <v>0</v>
      </c>
      <c r="N104" s="277">
        <f>SUMIF('A-3 On-Site Habitat Enhancement'!$S$12:$S$257,'G-2 Habitat groups'!A104,'A-3 On-Site Habitat Enhancement'!$AN$12:$AN$257)</f>
        <v>0</v>
      </c>
      <c r="O104" s="277">
        <f t="shared" si="75"/>
        <v>0</v>
      </c>
      <c r="P104" s="277">
        <f t="shared" si="76"/>
        <v>0</v>
      </c>
      <c r="Q104" s="277">
        <f t="shared" si="77"/>
        <v>0</v>
      </c>
      <c r="R104" s="277">
        <f t="shared" si="78"/>
        <v>0</v>
      </c>
      <c r="S104" s="277" t="e">
        <f>IF(C104="V.High",SUMIF(#REF!,'G-2 Habitat groups'!A104,#REF!)+SUMIF(#REF!,'G-2 Habitat groups'!A104,#REF!),SUMIF(#REF!,'G-2 Habitat groups'!A104,#REF!))</f>
        <v>#REF!</v>
      </c>
      <c r="T104" s="277" t="e">
        <f>SUMIF(#REF!,'G-2 Habitat groups'!A104,#REF!)</f>
        <v>#REF!</v>
      </c>
      <c r="U104" s="277" t="e">
        <f>SUMIF(#REF!,'G-2 Habitat groups'!A104,#REF!)</f>
        <v>#REF!</v>
      </c>
      <c r="V104" s="277" t="e">
        <f>SUMIF(#REF!,'G-2 Habitat groups'!A104,#REF!)</f>
        <v>#REF!</v>
      </c>
      <c r="W104" s="277" t="e">
        <f>SUMIF(#REF!,'G-2 Habitat groups'!A104,#REF!)</f>
        <v>#REF!</v>
      </c>
      <c r="X104" s="277" t="e">
        <f>SUMIF(#REF!,'G-2 Habitat groups'!A104,#REF!)</f>
        <v>#REF!</v>
      </c>
      <c r="Y104" s="277" t="e">
        <f>SUMIF(#REF!,'G-2 Habitat groups'!A104,#REF!)</f>
        <v>#REF!</v>
      </c>
      <c r="Z104" s="277" t="e">
        <f>SUMIF(#REF!,'G-2 Habitat groups'!A104,#REF!)</f>
        <v>#REF!</v>
      </c>
      <c r="AA104" s="277" t="e">
        <f t="shared" si="79"/>
        <v>#REF!</v>
      </c>
      <c r="AB104" s="277" t="e">
        <f t="shared" si="80"/>
        <v>#REF!</v>
      </c>
      <c r="AC104" s="277" t="e">
        <f t="shared" si="81"/>
        <v>#REF!</v>
      </c>
      <c r="AD104" s="277" t="e">
        <f t="shared" si="82"/>
        <v>#REF!</v>
      </c>
      <c r="AE104" s="277" t="e">
        <f t="shared" si="83"/>
        <v>#REF!</v>
      </c>
      <c r="AF104" s="277" t="e">
        <f t="shared" si="84"/>
        <v>#REF!</v>
      </c>
      <c r="AU104" s="63" t="s">
        <v>434</v>
      </c>
      <c r="AV104" s="52" t="s">
        <v>48</v>
      </c>
      <c r="AW104" s="359">
        <f>VLOOKUP($AU104,AllHabsSummaryData,5,FALSE)</f>
        <v>0</v>
      </c>
      <c r="AX104" s="359">
        <f t="shared" si="64"/>
        <v>0</v>
      </c>
      <c r="AY104" s="359">
        <f t="shared" si="65"/>
        <v>0</v>
      </c>
      <c r="AZ104" s="359">
        <f t="shared" si="66"/>
        <v>0</v>
      </c>
      <c r="BA104" s="359">
        <f t="shared" si="67"/>
        <v>0</v>
      </c>
      <c r="BB104" s="359">
        <f t="shared" si="68"/>
        <v>0</v>
      </c>
      <c r="BC104" s="359" t="e">
        <f t="shared" si="69"/>
        <v>#REF!</v>
      </c>
      <c r="BD104" s="359" t="e">
        <f t="shared" si="70"/>
        <v>#REF!</v>
      </c>
      <c r="BE104" s="359" t="e">
        <f t="shared" si="73"/>
        <v>#REF!</v>
      </c>
      <c r="BF104" s="359" t="e">
        <f t="shared" si="74"/>
        <v>#REF!</v>
      </c>
    </row>
    <row r="105" spans="1:59" x14ac:dyDescent="0.3">
      <c r="A105" s="63" t="str">
        <f>'G-1 All Habitats'!B106</f>
        <v>Rocky shore - High energy littoral rock - on peat, clay or chalk</v>
      </c>
      <c r="B105" s="52" t="str">
        <f>'G-1 All Habitats'!F106</f>
        <v>Rocky shore</v>
      </c>
      <c r="C105" s="52" t="str">
        <f>'G-1 All Habitats'!K106</f>
        <v>V.High</v>
      </c>
      <c r="D105" s="52" t="str">
        <f>'G-1 All Habitats'!M106</f>
        <v>Bespoke compensation likely to be required 🛠</v>
      </c>
      <c r="E105" s="277">
        <f>IF(C105="V.High",SUMIF('A-1 On-Site Habitat Baseline'!$AV$11:$AV$258,'G-2 Habitat groups'!A105,'A-1 On-Site Habitat Baseline'!$S$11:$S$258)+SUMIF('A-1 On-Site Habitat Baseline'!$AV$11:$AV$258,'G-2 Habitat groups'!A105,'A-1 On-Site Habitat Baseline'!$T$11:$T$258),SUMIF('A-1 On-Site Habitat Baseline'!$AV$11:$AV$258,'G-2 Habitat groups'!A105,'A-1 On-Site Habitat Baseline'!$H$11:$H$258))</f>
        <v>0</v>
      </c>
      <c r="F105" s="277">
        <f>SUMIF('A-1 On-Site Habitat Baseline'!$AV$11:$AV$258,'G-2 Habitat groups'!A105,'A-1 On-Site Habitat Baseline'!$Q$11:$Q$258)</f>
        <v>0</v>
      </c>
      <c r="G105" s="277">
        <f>SUMIF('A-1 On-Site Habitat Baseline'!$AV$11:$AV$258,'G-2 Habitat groups'!A105,'A-1 On-Site Habitat Baseline'!$S$11:$S$258)</f>
        <v>0</v>
      </c>
      <c r="H105" s="277">
        <f>SUMIF('A-1 On-Site Habitat Baseline'!$AV$11:$AV$258,'G-2 Habitat groups'!A105,'A-1 On-Site Habitat Baseline'!$U$11:$U$258)</f>
        <v>0</v>
      </c>
      <c r="I105" s="277">
        <f>SUMIF('A-1 On-Site Habitat Baseline'!$AV$11:$AV$258,'G-2 Habitat groups'!A105,'A-1 On-Site Habitat Baseline'!$W$11:$W$258)</f>
        <v>0</v>
      </c>
      <c r="J105" s="277">
        <f>SUMIF('A-1 On-Site Habitat Baseline'!$AV$11:$AV$258,'G-2 Habitat groups'!A105,'A-1 On-Site Habitat Baseline'!$X$11:$X$258)</f>
        <v>0</v>
      </c>
      <c r="K105" s="277">
        <f>SUMIF('A-2 On-Site Habitat Creation'!$F$11:$F$256,'G-2 Habitat groups'!A105,'A-2 On-Site Habitat Creation'!$G$11:$G$256)</f>
        <v>0</v>
      </c>
      <c r="L105" s="277">
        <f>SUMIF('A-2 On-Site Habitat Creation'!$F$11:$F$256,'G-2 Habitat groups'!A105,'A-2 On-Site Habitat Creation'!$Y$11:$Y$256)</f>
        <v>0</v>
      </c>
      <c r="M105" s="277">
        <f>SUMIF('A-3 On-Site Habitat Enhancement'!$S$12:$S$257,'G-2 Habitat groups'!A105,'A-3 On-Site Habitat Enhancement'!$V$12:$V$257)</f>
        <v>0</v>
      </c>
      <c r="N105" s="277">
        <f>SUMIF('A-3 On-Site Habitat Enhancement'!$S$12:$S$257,'G-2 Habitat groups'!A105,'A-3 On-Site Habitat Enhancement'!$AN$12:$AN$257)</f>
        <v>0</v>
      </c>
      <c r="O105" s="277">
        <f t="shared" si="75"/>
        <v>0</v>
      </c>
      <c r="P105" s="277">
        <f t="shared" si="76"/>
        <v>0</v>
      </c>
      <c r="Q105" s="277">
        <f t="shared" si="77"/>
        <v>0</v>
      </c>
      <c r="R105" s="277">
        <f t="shared" si="78"/>
        <v>0</v>
      </c>
      <c r="S105" s="277" t="e">
        <f>IF(C105="V.High",SUMIF(#REF!,'G-2 Habitat groups'!A105,#REF!)+SUMIF(#REF!,'G-2 Habitat groups'!A105,#REF!),SUMIF(#REF!,'G-2 Habitat groups'!A105,#REF!))</f>
        <v>#REF!</v>
      </c>
      <c r="T105" s="277" t="e">
        <f>SUMIF(#REF!,'G-2 Habitat groups'!A105,#REF!)</f>
        <v>#REF!</v>
      </c>
      <c r="U105" s="277" t="e">
        <f>SUMIF(#REF!,'G-2 Habitat groups'!A105,#REF!)</f>
        <v>#REF!</v>
      </c>
      <c r="V105" s="277" t="e">
        <f>SUMIF(#REF!,'G-2 Habitat groups'!A105,#REF!)</f>
        <v>#REF!</v>
      </c>
      <c r="W105" s="277" t="e">
        <f>SUMIF(#REF!,'G-2 Habitat groups'!A105,#REF!)</f>
        <v>#REF!</v>
      </c>
      <c r="X105" s="277" t="e">
        <f>SUMIF(#REF!,'G-2 Habitat groups'!A105,#REF!)</f>
        <v>#REF!</v>
      </c>
      <c r="Y105" s="277" t="e">
        <f>SUMIF(#REF!,'G-2 Habitat groups'!A105,#REF!)</f>
        <v>#REF!</v>
      </c>
      <c r="Z105" s="277" t="e">
        <f>SUMIF(#REF!,'G-2 Habitat groups'!A105,#REF!)</f>
        <v>#REF!</v>
      </c>
      <c r="AA105" s="277" t="e">
        <f t="shared" si="79"/>
        <v>#REF!</v>
      </c>
      <c r="AB105" s="277" t="e">
        <f t="shared" si="80"/>
        <v>#REF!</v>
      </c>
      <c r="AC105" s="277" t="e">
        <f t="shared" si="81"/>
        <v>#REF!</v>
      </c>
      <c r="AD105" s="277" t="e">
        <f t="shared" si="82"/>
        <v>#REF!</v>
      </c>
      <c r="AE105" s="277" t="e">
        <f t="shared" si="83"/>
        <v>#REF!</v>
      </c>
      <c r="AF105" s="277" t="e">
        <f t="shared" si="84"/>
        <v>#REF!</v>
      </c>
      <c r="AU105" s="63" t="s">
        <v>563</v>
      </c>
      <c r="AV105" s="52" t="s">
        <v>60</v>
      </c>
      <c r="AW105" s="359">
        <f>VLOOKUP($AU105,AllHabsSummaryData,5,FALSE)</f>
        <v>0</v>
      </c>
      <c r="AX105" s="359">
        <f>VLOOKUP($AU105,AllHabsSummaryData,10,FALSE)</f>
        <v>0</v>
      </c>
      <c r="AY105" s="359">
        <f>VLOOKUP($AU105,AllHabsSummaryData,15,FALSE)</f>
        <v>0</v>
      </c>
      <c r="AZ105" s="359">
        <f>VLOOKUP($AU105,AllHabsSummaryData,16,FALSE)</f>
        <v>0</v>
      </c>
      <c r="BA105" s="359">
        <f>VLOOKUP($AU105,AllHabsSummaryData,17,FALSE)</f>
        <v>0</v>
      </c>
      <c r="BB105" s="359">
        <f>VLOOKUP($AU105,AllHabsSummaryData,18,FALSE)</f>
        <v>0</v>
      </c>
      <c r="BC105" s="359" t="e">
        <f>VLOOKUP($AU105,AllHabsSummaryData,27,FALSE)</f>
        <v>#REF!</v>
      </c>
      <c r="BD105" s="359" t="e">
        <f>VLOOKUP($AU105,AllHabsSummaryData,30,FALSE)</f>
        <v>#REF!</v>
      </c>
      <c r="BE105" s="359" t="e">
        <f>BB105+BD105</f>
        <v>#REF!</v>
      </c>
      <c r="BF105" s="359" t="e">
        <f>IF(BE105&lt;0,BE105,"")</f>
        <v>#REF!</v>
      </c>
    </row>
    <row r="106" spans="1:59" x14ac:dyDescent="0.3">
      <c r="A106" s="63" t="str">
        <f>'G-1 All Habitats'!B107</f>
        <v>Rocky shore - Moderate energy littoral rock</v>
      </c>
      <c r="B106" s="52" t="str">
        <f>'G-1 All Habitats'!F107</f>
        <v>Rocky shore</v>
      </c>
      <c r="C106" s="52" t="str">
        <f>'G-1 All Habitats'!K107</f>
        <v>High</v>
      </c>
      <c r="D106" s="52" t="str">
        <f>'G-1 All Habitats'!M107</f>
        <v>Same habitat required =</v>
      </c>
      <c r="E106" s="277">
        <f>IF(C106="V.High",SUMIF('A-1 On-Site Habitat Baseline'!$AV$11:$AV$258,'G-2 Habitat groups'!A106,'A-1 On-Site Habitat Baseline'!$S$11:$S$258)+SUMIF('A-1 On-Site Habitat Baseline'!$AV$11:$AV$258,'G-2 Habitat groups'!A106,'A-1 On-Site Habitat Baseline'!$T$11:$T$258),SUMIF('A-1 On-Site Habitat Baseline'!$AV$11:$AV$258,'G-2 Habitat groups'!A106,'A-1 On-Site Habitat Baseline'!$H$11:$H$258))</f>
        <v>0</v>
      </c>
      <c r="F106" s="277">
        <f>SUMIF('A-1 On-Site Habitat Baseline'!$AV$11:$AV$258,'G-2 Habitat groups'!A106,'A-1 On-Site Habitat Baseline'!$Q$11:$Q$258)</f>
        <v>0</v>
      </c>
      <c r="G106" s="277">
        <f>SUMIF('A-1 On-Site Habitat Baseline'!$AV$11:$AV$258,'G-2 Habitat groups'!A106,'A-1 On-Site Habitat Baseline'!$S$11:$S$258)</f>
        <v>0</v>
      </c>
      <c r="H106" s="277">
        <f>SUMIF('A-1 On-Site Habitat Baseline'!$AV$11:$AV$258,'G-2 Habitat groups'!A106,'A-1 On-Site Habitat Baseline'!$U$11:$U$258)</f>
        <v>0</v>
      </c>
      <c r="I106" s="277">
        <f>SUMIF('A-1 On-Site Habitat Baseline'!$AV$11:$AV$258,'G-2 Habitat groups'!A106,'A-1 On-Site Habitat Baseline'!$W$11:$W$258)</f>
        <v>0</v>
      </c>
      <c r="J106" s="277">
        <f>SUMIF('A-1 On-Site Habitat Baseline'!$AV$11:$AV$258,'G-2 Habitat groups'!A106,'A-1 On-Site Habitat Baseline'!$X$11:$X$258)</f>
        <v>0</v>
      </c>
      <c r="K106" s="277">
        <f>SUMIF('A-2 On-Site Habitat Creation'!$F$11:$F$256,'G-2 Habitat groups'!A106,'A-2 On-Site Habitat Creation'!$G$11:$G$256)</f>
        <v>0</v>
      </c>
      <c r="L106" s="277">
        <f>SUMIF('A-2 On-Site Habitat Creation'!$F$11:$F$256,'G-2 Habitat groups'!A106,'A-2 On-Site Habitat Creation'!$Y$11:$Y$256)</f>
        <v>0</v>
      </c>
      <c r="M106" s="277">
        <f>SUMIF('A-3 On-Site Habitat Enhancement'!$S$12:$S$257,'G-2 Habitat groups'!A106,'A-3 On-Site Habitat Enhancement'!$V$12:$V$257)</f>
        <v>0</v>
      </c>
      <c r="N106" s="277">
        <f>SUMIF('A-3 On-Site Habitat Enhancement'!$S$12:$S$257,'G-2 Habitat groups'!A106,'A-3 On-Site Habitat Enhancement'!$AN$12:$AN$257)</f>
        <v>0</v>
      </c>
      <c r="O106" s="277">
        <f t="shared" si="75"/>
        <v>0</v>
      </c>
      <c r="P106" s="277">
        <f t="shared" si="76"/>
        <v>0</v>
      </c>
      <c r="Q106" s="277">
        <f t="shared" si="77"/>
        <v>0</v>
      </c>
      <c r="R106" s="277">
        <f t="shared" si="78"/>
        <v>0</v>
      </c>
      <c r="S106" s="277" t="e">
        <f>IF(C106="V.High",SUMIF(#REF!,'G-2 Habitat groups'!A106,#REF!)+SUMIF(#REF!,'G-2 Habitat groups'!A106,#REF!),SUMIF(#REF!,'G-2 Habitat groups'!A106,#REF!))</f>
        <v>#REF!</v>
      </c>
      <c r="T106" s="277" t="e">
        <f>SUMIF(#REF!,'G-2 Habitat groups'!A106,#REF!)</f>
        <v>#REF!</v>
      </c>
      <c r="U106" s="277" t="e">
        <f>SUMIF(#REF!,'G-2 Habitat groups'!A106,#REF!)</f>
        <v>#REF!</v>
      </c>
      <c r="V106" s="277" t="e">
        <f>SUMIF(#REF!,'G-2 Habitat groups'!A106,#REF!)</f>
        <v>#REF!</v>
      </c>
      <c r="W106" s="277" t="e">
        <f>SUMIF(#REF!,'G-2 Habitat groups'!A106,#REF!)</f>
        <v>#REF!</v>
      </c>
      <c r="X106" s="277" t="e">
        <f>SUMIF(#REF!,'G-2 Habitat groups'!A106,#REF!)</f>
        <v>#REF!</v>
      </c>
      <c r="Y106" s="277" t="e">
        <f>SUMIF(#REF!,'G-2 Habitat groups'!A106,#REF!)</f>
        <v>#REF!</v>
      </c>
      <c r="Z106" s="277" t="e">
        <f>SUMIF(#REF!,'G-2 Habitat groups'!A106,#REF!)</f>
        <v>#REF!</v>
      </c>
      <c r="AA106" s="277" t="e">
        <f t="shared" si="79"/>
        <v>#REF!</v>
      </c>
      <c r="AB106" s="277" t="e">
        <f t="shared" si="80"/>
        <v>#REF!</v>
      </c>
      <c r="AC106" s="277" t="e">
        <f t="shared" si="81"/>
        <v>#REF!</v>
      </c>
      <c r="AD106" s="277" t="e">
        <f t="shared" si="82"/>
        <v>#REF!</v>
      </c>
      <c r="AE106" s="277" t="e">
        <f t="shared" si="83"/>
        <v>#REF!</v>
      </c>
      <c r="AF106" s="277" t="e">
        <f t="shared" si="84"/>
        <v>#REF!</v>
      </c>
    </row>
    <row r="107" spans="1:59" x14ac:dyDescent="0.3">
      <c r="A107" s="63" t="str">
        <f>'G-1 All Habitats'!B108</f>
        <v>Rocky shore - Moderate energy littoral rock - on peat, clay or chalk</v>
      </c>
      <c r="B107" s="52" t="str">
        <f>'G-1 All Habitats'!F108</f>
        <v>Rocky shore</v>
      </c>
      <c r="C107" s="52" t="str">
        <f>'G-1 All Habitats'!K108</f>
        <v>V.High</v>
      </c>
      <c r="D107" s="52" t="str">
        <f>'G-1 All Habitats'!M108</f>
        <v>Bespoke compensation likely to be required 🛠</v>
      </c>
      <c r="E107" s="277">
        <f>IF(C107="V.High",SUMIF('A-1 On-Site Habitat Baseline'!$AV$11:$AV$258,'G-2 Habitat groups'!A107,'A-1 On-Site Habitat Baseline'!$S$11:$S$258)+SUMIF('A-1 On-Site Habitat Baseline'!$AV$11:$AV$258,'G-2 Habitat groups'!A107,'A-1 On-Site Habitat Baseline'!$T$11:$T$258),SUMIF('A-1 On-Site Habitat Baseline'!$AV$11:$AV$258,'G-2 Habitat groups'!A107,'A-1 On-Site Habitat Baseline'!$H$11:$H$258))</f>
        <v>0</v>
      </c>
      <c r="F107" s="277">
        <f>SUMIF('A-1 On-Site Habitat Baseline'!$AV$11:$AV$258,'G-2 Habitat groups'!A107,'A-1 On-Site Habitat Baseline'!$Q$11:$Q$258)</f>
        <v>0</v>
      </c>
      <c r="G107" s="277">
        <f>SUMIF('A-1 On-Site Habitat Baseline'!$AV$11:$AV$258,'G-2 Habitat groups'!A107,'A-1 On-Site Habitat Baseline'!$S$11:$S$258)</f>
        <v>0</v>
      </c>
      <c r="H107" s="277">
        <f>SUMIF('A-1 On-Site Habitat Baseline'!$AV$11:$AV$258,'G-2 Habitat groups'!A107,'A-1 On-Site Habitat Baseline'!$U$11:$U$258)</f>
        <v>0</v>
      </c>
      <c r="I107" s="277">
        <f>SUMIF('A-1 On-Site Habitat Baseline'!$AV$11:$AV$258,'G-2 Habitat groups'!A107,'A-1 On-Site Habitat Baseline'!$W$11:$W$258)</f>
        <v>0</v>
      </c>
      <c r="J107" s="277">
        <f>SUMIF('A-1 On-Site Habitat Baseline'!$AV$11:$AV$258,'G-2 Habitat groups'!A107,'A-1 On-Site Habitat Baseline'!$X$11:$X$258)</f>
        <v>0</v>
      </c>
      <c r="K107" s="277">
        <f>SUMIF('A-2 On-Site Habitat Creation'!$F$11:$F$256,'G-2 Habitat groups'!A107,'A-2 On-Site Habitat Creation'!$G$11:$G$256)</f>
        <v>0</v>
      </c>
      <c r="L107" s="277">
        <f>SUMIF('A-2 On-Site Habitat Creation'!$F$11:$F$256,'G-2 Habitat groups'!A107,'A-2 On-Site Habitat Creation'!$Y$11:$Y$256)</f>
        <v>0</v>
      </c>
      <c r="M107" s="277">
        <f>SUMIF('A-3 On-Site Habitat Enhancement'!$S$12:$S$257,'G-2 Habitat groups'!A107,'A-3 On-Site Habitat Enhancement'!$V$12:$V$257)</f>
        <v>0</v>
      </c>
      <c r="N107" s="277">
        <f>SUMIF('A-3 On-Site Habitat Enhancement'!$S$12:$S$257,'G-2 Habitat groups'!A107,'A-3 On-Site Habitat Enhancement'!$AN$12:$AN$257)</f>
        <v>0</v>
      </c>
      <c r="O107" s="277">
        <f t="shared" si="75"/>
        <v>0</v>
      </c>
      <c r="P107" s="277">
        <f t="shared" si="76"/>
        <v>0</v>
      </c>
      <c r="Q107" s="277">
        <f t="shared" si="77"/>
        <v>0</v>
      </c>
      <c r="R107" s="277">
        <f t="shared" si="78"/>
        <v>0</v>
      </c>
      <c r="S107" s="277" t="e">
        <f>IF(C107="V.High",SUMIF(#REF!,'G-2 Habitat groups'!A107,#REF!)+SUMIF(#REF!,'G-2 Habitat groups'!A107,#REF!),SUMIF(#REF!,'G-2 Habitat groups'!A107,#REF!))</f>
        <v>#REF!</v>
      </c>
      <c r="T107" s="277" t="e">
        <f>SUMIF(#REF!,'G-2 Habitat groups'!A107,#REF!)</f>
        <v>#REF!</v>
      </c>
      <c r="U107" s="277" t="e">
        <f>SUMIF(#REF!,'G-2 Habitat groups'!A107,#REF!)</f>
        <v>#REF!</v>
      </c>
      <c r="V107" s="277" t="e">
        <f>SUMIF(#REF!,'G-2 Habitat groups'!A107,#REF!)</f>
        <v>#REF!</v>
      </c>
      <c r="W107" s="277" t="e">
        <f>SUMIF(#REF!,'G-2 Habitat groups'!A107,#REF!)</f>
        <v>#REF!</v>
      </c>
      <c r="X107" s="277" t="e">
        <f>SUMIF(#REF!,'G-2 Habitat groups'!A107,#REF!)</f>
        <v>#REF!</v>
      </c>
      <c r="Y107" s="277" t="e">
        <f>SUMIF(#REF!,'G-2 Habitat groups'!A107,#REF!)</f>
        <v>#REF!</v>
      </c>
      <c r="Z107" s="277" t="e">
        <f>SUMIF(#REF!,'G-2 Habitat groups'!A107,#REF!)</f>
        <v>#REF!</v>
      </c>
      <c r="AA107" s="277" t="e">
        <f t="shared" si="79"/>
        <v>#REF!</v>
      </c>
      <c r="AB107" s="277" t="e">
        <f t="shared" si="80"/>
        <v>#REF!</v>
      </c>
      <c r="AC107" s="277" t="e">
        <f t="shared" si="81"/>
        <v>#REF!</v>
      </c>
      <c r="AD107" s="277" t="e">
        <f t="shared" si="82"/>
        <v>#REF!</v>
      </c>
      <c r="AE107" s="277" t="e">
        <f t="shared" si="83"/>
        <v>#REF!</v>
      </c>
      <c r="AF107" s="277" t="e">
        <f t="shared" si="84"/>
        <v>#REF!</v>
      </c>
    </row>
    <row r="108" spans="1:59" x14ac:dyDescent="0.3">
      <c r="A108" s="63" t="str">
        <f>'G-1 All Habitats'!B109</f>
        <v>Rocky shore - Low energy littoral rock</v>
      </c>
      <c r="B108" s="52" t="str">
        <f>'G-1 All Habitats'!F109</f>
        <v>Rocky shore</v>
      </c>
      <c r="C108" s="52" t="str">
        <f>'G-1 All Habitats'!K109</f>
        <v>High</v>
      </c>
      <c r="D108" s="52" t="str">
        <f>'G-1 All Habitats'!M109</f>
        <v>Same habitat required =</v>
      </c>
      <c r="E108" s="277">
        <f>IF(C108="V.High",SUMIF('A-1 On-Site Habitat Baseline'!$AV$11:$AV$258,'G-2 Habitat groups'!A108,'A-1 On-Site Habitat Baseline'!$S$11:$S$258)+SUMIF('A-1 On-Site Habitat Baseline'!$AV$11:$AV$258,'G-2 Habitat groups'!A108,'A-1 On-Site Habitat Baseline'!$T$11:$T$258),SUMIF('A-1 On-Site Habitat Baseline'!$AV$11:$AV$258,'G-2 Habitat groups'!A108,'A-1 On-Site Habitat Baseline'!$H$11:$H$258))</f>
        <v>0</v>
      </c>
      <c r="F108" s="277">
        <f>SUMIF('A-1 On-Site Habitat Baseline'!$AV$11:$AV$258,'G-2 Habitat groups'!A108,'A-1 On-Site Habitat Baseline'!$Q$11:$Q$258)</f>
        <v>0</v>
      </c>
      <c r="G108" s="277">
        <f>SUMIF('A-1 On-Site Habitat Baseline'!$AV$11:$AV$258,'G-2 Habitat groups'!A108,'A-1 On-Site Habitat Baseline'!$S$11:$S$258)</f>
        <v>0</v>
      </c>
      <c r="H108" s="277">
        <f>SUMIF('A-1 On-Site Habitat Baseline'!$AV$11:$AV$258,'G-2 Habitat groups'!A108,'A-1 On-Site Habitat Baseline'!$U$11:$U$258)</f>
        <v>0</v>
      </c>
      <c r="I108" s="277">
        <f>SUMIF('A-1 On-Site Habitat Baseline'!$AV$11:$AV$258,'G-2 Habitat groups'!A108,'A-1 On-Site Habitat Baseline'!$W$11:$W$258)</f>
        <v>0</v>
      </c>
      <c r="J108" s="277">
        <f>SUMIF('A-1 On-Site Habitat Baseline'!$AV$11:$AV$258,'G-2 Habitat groups'!A108,'A-1 On-Site Habitat Baseline'!$X$11:$X$258)</f>
        <v>0</v>
      </c>
      <c r="K108" s="277">
        <f>SUMIF('A-2 On-Site Habitat Creation'!$F$11:$F$256,'G-2 Habitat groups'!A108,'A-2 On-Site Habitat Creation'!$G$11:$G$256)</f>
        <v>0</v>
      </c>
      <c r="L108" s="277">
        <f>SUMIF('A-2 On-Site Habitat Creation'!$F$11:$F$256,'G-2 Habitat groups'!A108,'A-2 On-Site Habitat Creation'!$Y$11:$Y$256)</f>
        <v>0</v>
      </c>
      <c r="M108" s="277">
        <f>SUMIF('A-3 On-Site Habitat Enhancement'!$S$12:$S$257,'G-2 Habitat groups'!A108,'A-3 On-Site Habitat Enhancement'!$V$12:$V$257)</f>
        <v>0</v>
      </c>
      <c r="N108" s="277">
        <f>SUMIF('A-3 On-Site Habitat Enhancement'!$S$12:$S$257,'G-2 Habitat groups'!A108,'A-3 On-Site Habitat Enhancement'!$AN$12:$AN$257)</f>
        <v>0</v>
      </c>
      <c r="O108" s="277">
        <f t="shared" si="75"/>
        <v>0</v>
      </c>
      <c r="P108" s="277">
        <f t="shared" si="76"/>
        <v>0</v>
      </c>
      <c r="Q108" s="277">
        <f t="shared" si="77"/>
        <v>0</v>
      </c>
      <c r="R108" s="277">
        <f t="shared" si="78"/>
        <v>0</v>
      </c>
      <c r="S108" s="277" t="e">
        <f>IF(C108="V.High",SUMIF(#REF!,'G-2 Habitat groups'!A108,#REF!)+SUMIF(#REF!,'G-2 Habitat groups'!A108,#REF!),SUMIF(#REF!,'G-2 Habitat groups'!A108,#REF!))</f>
        <v>#REF!</v>
      </c>
      <c r="T108" s="277" t="e">
        <f>SUMIF(#REF!,'G-2 Habitat groups'!A108,#REF!)</f>
        <v>#REF!</v>
      </c>
      <c r="U108" s="277" t="e">
        <f>SUMIF(#REF!,'G-2 Habitat groups'!A108,#REF!)</f>
        <v>#REF!</v>
      </c>
      <c r="V108" s="277" t="e">
        <f>SUMIF(#REF!,'G-2 Habitat groups'!A108,#REF!)</f>
        <v>#REF!</v>
      </c>
      <c r="W108" s="277" t="e">
        <f>SUMIF(#REF!,'G-2 Habitat groups'!A108,#REF!)</f>
        <v>#REF!</v>
      </c>
      <c r="X108" s="277" t="e">
        <f>SUMIF(#REF!,'G-2 Habitat groups'!A108,#REF!)</f>
        <v>#REF!</v>
      </c>
      <c r="Y108" s="277" t="e">
        <f>SUMIF(#REF!,'G-2 Habitat groups'!A108,#REF!)</f>
        <v>#REF!</v>
      </c>
      <c r="Z108" s="277" t="e">
        <f>SUMIF(#REF!,'G-2 Habitat groups'!A108,#REF!)</f>
        <v>#REF!</v>
      </c>
      <c r="AA108" s="277" t="e">
        <f t="shared" si="79"/>
        <v>#REF!</v>
      </c>
      <c r="AB108" s="277" t="e">
        <f t="shared" si="80"/>
        <v>#REF!</v>
      </c>
      <c r="AC108" s="277" t="e">
        <f t="shared" si="81"/>
        <v>#REF!</v>
      </c>
      <c r="AD108" s="277" t="e">
        <f t="shared" si="82"/>
        <v>#REF!</v>
      </c>
      <c r="AE108" s="277" t="e">
        <f t="shared" si="83"/>
        <v>#REF!</v>
      </c>
      <c r="AF108" s="277" t="e">
        <f t="shared" si="84"/>
        <v>#REF!</v>
      </c>
    </row>
    <row r="109" spans="1:59" x14ac:dyDescent="0.3">
      <c r="A109" s="63" t="str">
        <f>'G-1 All Habitats'!B110</f>
        <v>Rocky shore - Low energy littoral rock - on peat, clay or chalk</v>
      </c>
      <c r="B109" s="52" t="str">
        <f>'G-1 All Habitats'!F110</f>
        <v>Rocky shore</v>
      </c>
      <c r="C109" s="52" t="str">
        <f>'G-1 All Habitats'!K110</f>
        <v>V.High</v>
      </c>
      <c r="D109" s="52" t="str">
        <f>'G-1 All Habitats'!M110</f>
        <v>Bespoke compensation likely to be required 🛠</v>
      </c>
      <c r="E109" s="277">
        <f>IF(C109="V.High",SUMIF('A-1 On-Site Habitat Baseline'!$AV$11:$AV$258,'G-2 Habitat groups'!A109,'A-1 On-Site Habitat Baseline'!$S$11:$S$258)+SUMIF('A-1 On-Site Habitat Baseline'!$AV$11:$AV$258,'G-2 Habitat groups'!A109,'A-1 On-Site Habitat Baseline'!$T$11:$T$258),SUMIF('A-1 On-Site Habitat Baseline'!$AV$11:$AV$258,'G-2 Habitat groups'!A109,'A-1 On-Site Habitat Baseline'!$H$11:$H$258))</f>
        <v>0</v>
      </c>
      <c r="F109" s="277">
        <f>SUMIF('A-1 On-Site Habitat Baseline'!$AV$11:$AV$258,'G-2 Habitat groups'!A109,'A-1 On-Site Habitat Baseline'!$Q$11:$Q$258)</f>
        <v>0</v>
      </c>
      <c r="G109" s="277">
        <f>SUMIF('A-1 On-Site Habitat Baseline'!$AV$11:$AV$258,'G-2 Habitat groups'!A109,'A-1 On-Site Habitat Baseline'!$S$11:$S$258)</f>
        <v>0</v>
      </c>
      <c r="H109" s="277">
        <f>SUMIF('A-1 On-Site Habitat Baseline'!$AV$11:$AV$258,'G-2 Habitat groups'!A109,'A-1 On-Site Habitat Baseline'!$U$11:$U$258)</f>
        <v>0</v>
      </c>
      <c r="I109" s="277">
        <f>SUMIF('A-1 On-Site Habitat Baseline'!$AV$11:$AV$258,'G-2 Habitat groups'!A109,'A-1 On-Site Habitat Baseline'!$W$11:$W$258)</f>
        <v>0</v>
      </c>
      <c r="J109" s="277">
        <f>SUMIF('A-1 On-Site Habitat Baseline'!$AV$11:$AV$258,'G-2 Habitat groups'!A109,'A-1 On-Site Habitat Baseline'!$X$11:$X$258)</f>
        <v>0</v>
      </c>
      <c r="K109" s="277">
        <f>SUMIF('A-2 On-Site Habitat Creation'!$F$11:$F$256,'G-2 Habitat groups'!A109,'A-2 On-Site Habitat Creation'!$G$11:$G$256)</f>
        <v>0</v>
      </c>
      <c r="L109" s="277">
        <f>SUMIF('A-2 On-Site Habitat Creation'!$F$11:$F$256,'G-2 Habitat groups'!A109,'A-2 On-Site Habitat Creation'!$Y$11:$Y$256)</f>
        <v>0</v>
      </c>
      <c r="M109" s="277">
        <f>SUMIF('A-3 On-Site Habitat Enhancement'!$S$12:$S$257,'G-2 Habitat groups'!A109,'A-3 On-Site Habitat Enhancement'!$V$12:$V$257)</f>
        <v>0</v>
      </c>
      <c r="N109" s="277">
        <f>SUMIF('A-3 On-Site Habitat Enhancement'!$S$12:$S$257,'G-2 Habitat groups'!A109,'A-3 On-Site Habitat Enhancement'!$AN$12:$AN$257)</f>
        <v>0</v>
      </c>
      <c r="O109" s="277">
        <f t="shared" si="75"/>
        <v>0</v>
      </c>
      <c r="P109" s="277">
        <f t="shared" si="76"/>
        <v>0</v>
      </c>
      <c r="Q109" s="277">
        <f t="shared" si="77"/>
        <v>0</v>
      </c>
      <c r="R109" s="277">
        <f t="shared" si="78"/>
        <v>0</v>
      </c>
      <c r="S109" s="277" t="e">
        <f>IF(C109="V.High",SUMIF(#REF!,'G-2 Habitat groups'!A109,#REF!)+SUMIF(#REF!,'G-2 Habitat groups'!A109,#REF!),SUMIF(#REF!,'G-2 Habitat groups'!A109,#REF!))</f>
        <v>#REF!</v>
      </c>
      <c r="T109" s="277" t="e">
        <f>SUMIF(#REF!,'G-2 Habitat groups'!A109,#REF!)</f>
        <v>#REF!</v>
      </c>
      <c r="U109" s="277" t="e">
        <f>SUMIF(#REF!,'G-2 Habitat groups'!A109,#REF!)</f>
        <v>#REF!</v>
      </c>
      <c r="V109" s="277" t="e">
        <f>SUMIF(#REF!,'G-2 Habitat groups'!A109,#REF!)</f>
        <v>#REF!</v>
      </c>
      <c r="W109" s="277" t="e">
        <f>SUMIF(#REF!,'G-2 Habitat groups'!A109,#REF!)</f>
        <v>#REF!</v>
      </c>
      <c r="X109" s="277" t="e">
        <f>SUMIF(#REF!,'G-2 Habitat groups'!A109,#REF!)</f>
        <v>#REF!</v>
      </c>
      <c r="Y109" s="277" t="e">
        <f>SUMIF(#REF!,'G-2 Habitat groups'!A109,#REF!)</f>
        <v>#REF!</v>
      </c>
      <c r="Z109" s="277" t="e">
        <f>SUMIF(#REF!,'G-2 Habitat groups'!A109,#REF!)</f>
        <v>#REF!</v>
      </c>
      <c r="AA109" s="277" t="e">
        <f t="shared" si="79"/>
        <v>#REF!</v>
      </c>
      <c r="AB109" s="277" t="e">
        <f t="shared" si="80"/>
        <v>#REF!</v>
      </c>
      <c r="AC109" s="277" t="e">
        <f t="shared" si="81"/>
        <v>#REF!</v>
      </c>
      <c r="AD109" s="277" t="e">
        <f t="shared" si="82"/>
        <v>#REF!</v>
      </c>
      <c r="AE109" s="277" t="e">
        <f t="shared" si="83"/>
        <v>#REF!</v>
      </c>
      <c r="AF109" s="277" t="e">
        <f t="shared" si="84"/>
        <v>#REF!</v>
      </c>
    </row>
    <row r="110" spans="1:59" x14ac:dyDescent="0.3">
      <c r="A110" s="63" t="str">
        <f>'G-1 All Habitats'!B111</f>
        <v>Rocky shore - Features of littoral rock</v>
      </c>
      <c r="B110" s="52" t="str">
        <f>'G-1 All Habitats'!F111</f>
        <v>Rocky shore</v>
      </c>
      <c r="C110" s="52" t="str">
        <f>'G-1 All Habitats'!K111</f>
        <v>High</v>
      </c>
      <c r="D110" s="52" t="str">
        <f>'G-1 All Habitats'!M111</f>
        <v>Same habitat required =</v>
      </c>
      <c r="E110" s="277">
        <f>IF(C110="V.High",SUMIF('A-1 On-Site Habitat Baseline'!$AV$11:$AV$258,'G-2 Habitat groups'!A110,'A-1 On-Site Habitat Baseline'!$S$11:$S$258)+SUMIF('A-1 On-Site Habitat Baseline'!$AV$11:$AV$258,'G-2 Habitat groups'!A110,'A-1 On-Site Habitat Baseline'!$T$11:$T$258),SUMIF('A-1 On-Site Habitat Baseline'!$AV$11:$AV$258,'G-2 Habitat groups'!A110,'A-1 On-Site Habitat Baseline'!$H$11:$H$258))</f>
        <v>0</v>
      </c>
      <c r="F110" s="277">
        <f>SUMIF('A-1 On-Site Habitat Baseline'!$AV$11:$AV$258,'G-2 Habitat groups'!A110,'A-1 On-Site Habitat Baseline'!$Q$11:$Q$258)</f>
        <v>0</v>
      </c>
      <c r="G110" s="277">
        <f>SUMIF('A-1 On-Site Habitat Baseline'!$AV$11:$AV$258,'G-2 Habitat groups'!A110,'A-1 On-Site Habitat Baseline'!$S$11:$S$258)</f>
        <v>0</v>
      </c>
      <c r="H110" s="277">
        <f>SUMIF('A-1 On-Site Habitat Baseline'!$AV$11:$AV$258,'G-2 Habitat groups'!A110,'A-1 On-Site Habitat Baseline'!$U$11:$U$258)</f>
        <v>0</v>
      </c>
      <c r="I110" s="277">
        <f>SUMIF('A-1 On-Site Habitat Baseline'!$AV$11:$AV$258,'G-2 Habitat groups'!A110,'A-1 On-Site Habitat Baseline'!$W$11:$W$258)</f>
        <v>0</v>
      </c>
      <c r="J110" s="277">
        <f>SUMIF('A-1 On-Site Habitat Baseline'!$AV$11:$AV$258,'G-2 Habitat groups'!A110,'A-1 On-Site Habitat Baseline'!$X$11:$X$258)</f>
        <v>0</v>
      </c>
      <c r="K110" s="277">
        <f>SUMIF('A-2 On-Site Habitat Creation'!$F$11:$F$256,'G-2 Habitat groups'!A110,'A-2 On-Site Habitat Creation'!$G$11:$G$256)</f>
        <v>0</v>
      </c>
      <c r="L110" s="277">
        <f>SUMIF('A-2 On-Site Habitat Creation'!$F$11:$F$256,'G-2 Habitat groups'!A110,'A-2 On-Site Habitat Creation'!$Y$11:$Y$256)</f>
        <v>0</v>
      </c>
      <c r="M110" s="277">
        <f>SUMIF('A-3 On-Site Habitat Enhancement'!$S$12:$S$257,'G-2 Habitat groups'!A110,'A-3 On-Site Habitat Enhancement'!$V$12:$V$257)</f>
        <v>0</v>
      </c>
      <c r="N110" s="277">
        <f>SUMIF('A-3 On-Site Habitat Enhancement'!$S$12:$S$257,'G-2 Habitat groups'!A110,'A-3 On-Site Habitat Enhancement'!$AN$12:$AN$257)</f>
        <v>0</v>
      </c>
      <c r="O110" s="277">
        <f t="shared" si="75"/>
        <v>0</v>
      </c>
      <c r="P110" s="277">
        <f t="shared" si="76"/>
        <v>0</v>
      </c>
      <c r="Q110" s="277">
        <f t="shared" si="77"/>
        <v>0</v>
      </c>
      <c r="R110" s="277">
        <f t="shared" si="78"/>
        <v>0</v>
      </c>
      <c r="S110" s="277" t="e">
        <f>IF(C110="V.High",SUMIF(#REF!,'G-2 Habitat groups'!A110,#REF!)+SUMIF(#REF!,'G-2 Habitat groups'!A110,#REF!),SUMIF(#REF!,'G-2 Habitat groups'!A110,#REF!))</f>
        <v>#REF!</v>
      </c>
      <c r="T110" s="277" t="e">
        <f>SUMIF(#REF!,'G-2 Habitat groups'!A110,#REF!)</f>
        <v>#REF!</v>
      </c>
      <c r="U110" s="277" t="e">
        <f>SUMIF(#REF!,'G-2 Habitat groups'!A110,#REF!)</f>
        <v>#REF!</v>
      </c>
      <c r="V110" s="277" t="e">
        <f>SUMIF(#REF!,'G-2 Habitat groups'!A110,#REF!)</f>
        <v>#REF!</v>
      </c>
      <c r="W110" s="277" t="e">
        <f>SUMIF(#REF!,'G-2 Habitat groups'!A110,#REF!)</f>
        <v>#REF!</v>
      </c>
      <c r="X110" s="277" t="e">
        <f>SUMIF(#REF!,'G-2 Habitat groups'!A110,#REF!)</f>
        <v>#REF!</v>
      </c>
      <c r="Y110" s="277" t="e">
        <f>SUMIF(#REF!,'G-2 Habitat groups'!A110,#REF!)</f>
        <v>#REF!</v>
      </c>
      <c r="Z110" s="277" t="e">
        <f>SUMIF(#REF!,'G-2 Habitat groups'!A110,#REF!)</f>
        <v>#REF!</v>
      </c>
      <c r="AA110" s="277" t="e">
        <f t="shared" si="79"/>
        <v>#REF!</v>
      </c>
      <c r="AB110" s="277" t="e">
        <f t="shared" si="80"/>
        <v>#REF!</v>
      </c>
      <c r="AC110" s="277" t="e">
        <f t="shared" si="81"/>
        <v>#REF!</v>
      </c>
      <c r="AD110" s="277" t="e">
        <f t="shared" si="82"/>
        <v>#REF!</v>
      </c>
      <c r="AE110" s="277" t="e">
        <f t="shared" si="83"/>
        <v>#REF!</v>
      </c>
      <c r="AF110" s="277" t="e">
        <f t="shared" si="84"/>
        <v>#REF!</v>
      </c>
    </row>
    <row r="111" spans="1:59" ht="35" x14ac:dyDescent="0.7">
      <c r="A111" s="63" t="str">
        <f>'G-1 All Habitats'!B112</f>
        <v>Rocky shore - Features of littoral rock - on peat, clay or chalk</v>
      </c>
      <c r="B111" s="52" t="str">
        <f>'G-1 All Habitats'!F112</f>
        <v>Rocky shore</v>
      </c>
      <c r="C111" s="52" t="str">
        <f>'G-1 All Habitats'!K112</f>
        <v>V.High</v>
      </c>
      <c r="D111" s="52" t="str">
        <f>'G-1 All Habitats'!M112</f>
        <v>Bespoke compensation likely to be required 🛠</v>
      </c>
      <c r="E111" s="277">
        <f>IF(C111="V.High",SUMIF('A-1 On-Site Habitat Baseline'!$AV$11:$AV$258,'G-2 Habitat groups'!A111,'A-1 On-Site Habitat Baseline'!$S$11:$S$258)+SUMIF('A-1 On-Site Habitat Baseline'!$AV$11:$AV$258,'G-2 Habitat groups'!A111,'A-1 On-Site Habitat Baseline'!$T$11:$T$258),SUMIF('A-1 On-Site Habitat Baseline'!$AV$11:$AV$258,'G-2 Habitat groups'!A111,'A-1 On-Site Habitat Baseline'!$H$11:$H$258))</f>
        <v>0</v>
      </c>
      <c r="F111" s="277">
        <f>SUMIF('A-1 On-Site Habitat Baseline'!$AV$11:$AV$258,'G-2 Habitat groups'!A111,'A-1 On-Site Habitat Baseline'!$Q$11:$Q$258)</f>
        <v>0</v>
      </c>
      <c r="G111" s="277">
        <f>SUMIF('A-1 On-Site Habitat Baseline'!$AV$11:$AV$258,'G-2 Habitat groups'!A111,'A-1 On-Site Habitat Baseline'!$S$11:$S$258)</f>
        <v>0</v>
      </c>
      <c r="H111" s="277">
        <f>SUMIF('A-1 On-Site Habitat Baseline'!$AV$11:$AV$258,'G-2 Habitat groups'!A111,'A-1 On-Site Habitat Baseline'!$U$11:$U$258)</f>
        <v>0</v>
      </c>
      <c r="I111" s="277">
        <f>SUMIF('A-1 On-Site Habitat Baseline'!$AV$11:$AV$258,'G-2 Habitat groups'!A111,'A-1 On-Site Habitat Baseline'!$W$11:$W$258)</f>
        <v>0</v>
      </c>
      <c r="J111" s="277">
        <f>SUMIF('A-1 On-Site Habitat Baseline'!$AV$11:$AV$258,'G-2 Habitat groups'!A111,'A-1 On-Site Habitat Baseline'!$X$11:$X$258)</f>
        <v>0</v>
      </c>
      <c r="K111" s="277">
        <f>SUMIF('A-2 On-Site Habitat Creation'!$F$11:$F$256,'G-2 Habitat groups'!A111,'A-2 On-Site Habitat Creation'!$G$11:$G$256)</f>
        <v>0</v>
      </c>
      <c r="L111" s="277">
        <f>SUMIF('A-2 On-Site Habitat Creation'!$F$11:$F$256,'G-2 Habitat groups'!A111,'A-2 On-Site Habitat Creation'!$Y$11:$Y$256)</f>
        <v>0</v>
      </c>
      <c r="M111" s="277">
        <f>SUMIF('A-3 On-Site Habitat Enhancement'!$S$12:$S$257,'G-2 Habitat groups'!A111,'A-3 On-Site Habitat Enhancement'!$V$12:$V$257)</f>
        <v>0</v>
      </c>
      <c r="N111" s="277">
        <f>SUMIF('A-3 On-Site Habitat Enhancement'!$S$12:$S$257,'G-2 Habitat groups'!A111,'A-3 On-Site Habitat Enhancement'!$AN$12:$AN$257)</f>
        <v>0</v>
      </c>
      <c r="O111" s="277">
        <f t="shared" si="75"/>
        <v>0</v>
      </c>
      <c r="P111" s="277">
        <f t="shared" si="76"/>
        <v>0</v>
      </c>
      <c r="Q111" s="277">
        <f t="shared" si="77"/>
        <v>0</v>
      </c>
      <c r="R111" s="277">
        <f t="shared" si="78"/>
        <v>0</v>
      </c>
      <c r="S111" s="277" t="e">
        <f>IF(C111="V.High",SUMIF(#REF!,'G-2 Habitat groups'!A111,#REF!)+SUMIF(#REF!,'G-2 Habitat groups'!A111,#REF!),SUMIF(#REF!,'G-2 Habitat groups'!A111,#REF!))</f>
        <v>#REF!</v>
      </c>
      <c r="T111" s="277" t="e">
        <f>SUMIF(#REF!,'G-2 Habitat groups'!A111,#REF!)</f>
        <v>#REF!</v>
      </c>
      <c r="U111" s="277" t="e">
        <f>SUMIF(#REF!,'G-2 Habitat groups'!A111,#REF!)</f>
        <v>#REF!</v>
      </c>
      <c r="V111" s="277" t="e">
        <f>SUMIF(#REF!,'G-2 Habitat groups'!A111,#REF!)</f>
        <v>#REF!</v>
      </c>
      <c r="W111" s="277" t="e">
        <f>SUMIF(#REF!,'G-2 Habitat groups'!A111,#REF!)</f>
        <v>#REF!</v>
      </c>
      <c r="X111" s="277" t="e">
        <f>SUMIF(#REF!,'G-2 Habitat groups'!A111,#REF!)</f>
        <v>#REF!</v>
      </c>
      <c r="Y111" s="277" t="e">
        <f>SUMIF(#REF!,'G-2 Habitat groups'!A111,#REF!)</f>
        <v>#REF!</v>
      </c>
      <c r="Z111" s="277" t="e">
        <f>SUMIF(#REF!,'G-2 Habitat groups'!A111,#REF!)</f>
        <v>#REF!</v>
      </c>
      <c r="AA111" s="277" t="e">
        <f t="shared" si="79"/>
        <v>#REF!</v>
      </c>
      <c r="AB111" s="277" t="e">
        <f t="shared" si="80"/>
        <v>#REF!</v>
      </c>
      <c r="AC111" s="277" t="e">
        <f t="shared" si="81"/>
        <v>#REF!</v>
      </c>
      <c r="AD111" s="277" t="e">
        <f t="shared" si="82"/>
        <v>#REF!</v>
      </c>
      <c r="AE111" s="277" t="e">
        <f t="shared" si="83"/>
        <v>#REF!</v>
      </c>
      <c r="AF111" s="277" t="e">
        <f t="shared" si="84"/>
        <v>#REF!</v>
      </c>
      <c r="AU111" s="234" t="s">
        <v>92</v>
      </c>
    </row>
    <row r="112" spans="1:59" ht="33" customHeight="1" x14ac:dyDescent="0.3">
      <c r="A112" s="63" t="str">
        <f>'G-1 All Habitats'!B115</f>
        <v>Intertidal sediment - Littoral coarse sediment</v>
      </c>
      <c r="B112" s="52" t="str">
        <f>'G-1 All Habitats'!F115</f>
        <v>Intertidal sediment</v>
      </c>
      <c r="C112" s="52" t="str">
        <f>'G-1 All Habitats'!K115</f>
        <v>Medium</v>
      </c>
      <c r="D112" s="52" t="str">
        <f>'G-1 All Habitats'!M115</f>
        <v>Same broad habitat or a higher distinctiveness habitat required (≥)</v>
      </c>
      <c r="E112" s="277">
        <f>IF(C112="V.High",SUMIF('A-1 On-Site Habitat Baseline'!$AV$11:$AV$258,'G-2 Habitat groups'!A112,'A-1 On-Site Habitat Baseline'!$S$11:$S$258)+SUMIF('A-1 On-Site Habitat Baseline'!$AV$11:$AV$258,'G-2 Habitat groups'!A112,'A-1 On-Site Habitat Baseline'!$T$11:$T$258),SUMIF('A-1 On-Site Habitat Baseline'!$AV$11:$AV$258,'G-2 Habitat groups'!A112,'A-1 On-Site Habitat Baseline'!$H$11:$H$258))</f>
        <v>0</v>
      </c>
      <c r="F112" s="277">
        <f>SUMIF('A-1 On-Site Habitat Baseline'!$AV$11:$AV$258,'G-2 Habitat groups'!A112,'A-1 On-Site Habitat Baseline'!$Q$11:$Q$258)</f>
        <v>0</v>
      </c>
      <c r="G112" s="277">
        <f>SUMIF('A-1 On-Site Habitat Baseline'!$AV$11:$AV$258,'G-2 Habitat groups'!A112,'A-1 On-Site Habitat Baseline'!$S$11:$S$258)</f>
        <v>0</v>
      </c>
      <c r="H112" s="277">
        <f>SUMIF('A-1 On-Site Habitat Baseline'!$AV$11:$AV$258,'G-2 Habitat groups'!A112,'A-1 On-Site Habitat Baseline'!$U$11:$U$258)</f>
        <v>0</v>
      </c>
      <c r="I112" s="277">
        <f>SUMIF('A-1 On-Site Habitat Baseline'!$AV$11:$AV$258,'G-2 Habitat groups'!A112,'A-1 On-Site Habitat Baseline'!$W$11:$W$258)</f>
        <v>0</v>
      </c>
      <c r="J112" s="277">
        <f>SUMIF('A-1 On-Site Habitat Baseline'!$AV$11:$AV$258,'G-2 Habitat groups'!A112,'A-1 On-Site Habitat Baseline'!$X$11:$X$258)</f>
        <v>0</v>
      </c>
      <c r="K112" s="277">
        <f>SUMIF('A-2 On-Site Habitat Creation'!$F$11:$F$256,'G-2 Habitat groups'!A112,'A-2 On-Site Habitat Creation'!$G$11:$G$256)</f>
        <v>0</v>
      </c>
      <c r="L112" s="277">
        <f>SUMIF('A-2 On-Site Habitat Creation'!$F$11:$F$256,'G-2 Habitat groups'!A112,'A-2 On-Site Habitat Creation'!$Y$11:$Y$256)</f>
        <v>0</v>
      </c>
      <c r="M112" s="277">
        <f>SUMIF('A-3 On-Site Habitat Enhancement'!$S$12:$S$257,'G-2 Habitat groups'!A112,'A-3 On-Site Habitat Enhancement'!$V$12:$V$257)</f>
        <v>0</v>
      </c>
      <c r="N112" s="277">
        <f>SUMIF('A-3 On-Site Habitat Enhancement'!$S$12:$S$257,'G-2 Habitat groups'!A112,'A-3 On-Site Habitat Enhancement'!$AN$12:$AN$257)</f>
        <v>0</v>
      </c>
      <c r="O112" s="277">
        <f t="shared" si="75"/>
        <v>0</v>
      </c>
      <c r="P112" s="277">
        <f t="shared" si="76"/>
        <v>0</v>
      </c>
      <c r="Q112" s="277">
        <f t="shared" si="77"/>
        <v>0</v>
      </c>
      <c r="R112" s="277">
        <f t="shared" si="78"/>
        <v>0</v>
      </c>
      <c r="S112" s="277" t="e">
        <f>IF(C112="V.High",SUMIF(#REF!,'G-2 Habitat groups'!A112,#REF!)+SUMIF(#REF!,'G-2 Habitat groups'!A112,#REF!),SUMIF(#REF!,'G-2 Habitat groups'!A112,#REF!))</f>
        <v>#REF!</v>
      </c>
      <c r="T112" s="277" t="e">
        <f>SUMIF(#REF!,'G-2 Habitat groups'!A112,#REF!)</f>
        <v>#REF!</v>
      </c>
      <c r="U112" s="277" t="e">
        <f>SUMIF(#REF!,'G-2 Habitat groups'!A112,#REF!)</f>
        <v>#REF!</v>
      </c>
      <c r="V112" s="277" t="e">
        <f>SUMIF(#REF!,'G-2 Habitat groups'!A112,#REF!)</f>
        <v>#REF!</v>
      </c>
      <c r="W112" s="277" t="e">
        <f>SUMIF(#REF!,'G-2 Habitat groups'!A112,#REF!)</f>
        <v>#REF!</v>
      </c>
      <c r="X112" s="277" t="e">
        <f>SUMIF(#REF!,'G-2 Habitat groups'!A112,#REF!)</f>
        <v>#REF!</v>
      </c>
      <c r="Y112" s="277" t="e">
        <f>SUMIF(#REF!,'G-2 Habitat groups'!A112,#REF!)</f>
        <v>#REF!</v>
      </c>
      <c r="Z112" s="277" t="e">
        <f>SUMIF(#REF!,'G-2 Habitat groups'!A112,#REF!)</f>
        <v>#REF!</v>
      </c>
      <c r="AA112" s="277" t="e">
        <f t="shared" si="79"/>
        <v>#REF!</v>
      </c>
      <c r="AB112" s="277" t="e">
        <f t="shared" si="80"/>
        <v>#REF!</v>
      </c>
      <c r="AC112" s="277" t="e">
        <f t="shared" si="81"/>
        <v>#REF!</v>
      </c>
      <c r="AD112" s="277" t="e">
        <f t="shared" si="82"/>
        <v>#REF!</v>
      </c>
      <c r="AE112" s="277" t="e">
        <f t="shared" si="83"/>
        <v>#REF!</v>
      </c>
      <c r="AF112" s="277" t="e">
        <f t="shared" si="84"/>
        <v>#REF!</v>
      </c>
      <c r="AU112" s="78" t="s">
        <v>789</v>
      </c>
      <c r="AV112" s="81" t="s">
        <v>96</v>
      </c>
      <c r="AW112" s="82" t="s">
        <v>790</v>
      </c>
      <c r="AX112" s="82" t="s">
        <v>791</v>
      </c>
      <c r="AY112" s="82" t="s">
        <v>792</v>
      </c>
      <c r="AZ112" s="82" t="s">
        <v>793</v>
      </c>
      <c r="BA112" s="82" t="s">
        <v>794</v>
      </c>
      <c r="BB112" s="82" t="s">
        <v>795</v>
      </c>
      <c r="BC112" s="82" t="s">
        <v>796</v>
      </c>
      <c r="BD112" s="82" t="s">
        <v>797</v>
      </c>
      <c r="BE112" s="82" t="s">
        <v>798</v>
      </c>
      <c r="BF112" s="82" t="s">
        <v>809</v>
      </c>
      <c r="BG112" s="16"/>
    </row>
    <row r="113" spans="1:58" x14ac:dyDescent="0.3">
      <c r="A113" s="63" t="str">
        <f>'G-1 All Habitats'!B116</f>
        <v>Intertidal sediment - Littoral mud</v>
      </c>
      <c r="B113" s="52" t="str">
        <f>'G-1 All Habitats'!F116</f>
        <v>Intertidal sediment</v>
      </c>
      <c r="C113" s="52" t="str">
        <f>'G-1 All Habitats'!K116</f>
        <v>High</v>
      </c>
      <c r="D113" s="52" t="str">
        <f>'G-1 All Habitats'!M116</f>
        <v>Same habitat required =</v>
      </c>
      <c r="E113" s="277">
        <f>IF(C113="V.High",SUMIF('A-1 On-Site Habitat Baseline'!$AV$11:$AV$258,'G-2 Habitat groups'!A113,'A-1 On-Site Habitat Baseline'!$S$11:$S$258)+SUMIF('A-1 On-Site Habitat Baseline'!$AV$11:$AV$258,'G-2 Habitat groups'!A113,'A-1 On-Site Habitat Baseline'!$T$11:$T$258),SUMIF('A-1 On-Site Habitat Baseline'!$AV$11:$AV$258,'G-2 Habitat groups'!A113,'A-1 On-Site Habitat Baseline'!$H$11:$H$258))</f>
        <v>0</v>
      </c>
      <c r="F113" s="277">
        <f>SUMIF('A-1 On-Site Habitat Baseline'!$AV$11:$AV$258,'G-2 Habitat groups'!A113,'A-1 On-Site Habitat Baseline'!$Q$11:$Q$258)</f>
        <v>0</v>
      </c>
      <c r="G113" s="277">
        <f>SUMIF('A-1 On-Site Habitat Baseline'!$AV$11:$AV$258,'G-2 Habitat groups'!A113,'A-1 On-Site Habitat Baseline'!$S$11:$S$258)</f>
        <v>0</v>
      </c>
      <c r="H113" s="277">
        <f>SUMIF('A-1 On-Site Habitat Baseline'!$AV$11:$AV$258,'G-2 Habitat groups'!A113,'A-1 On-Site Habitat Baseline'!$U$11:$U$258)</f>
        <v>0</v>
      </c>
      <c r="I113" s="277">
        <f>SUMIF('A-1 On-Site Habitat Baseline'!$AV$11:$AV$258,'G-2 Habitat groups'!A113,'A-1 On-Site Habitat Baseline'!$W$11:$W$258)</f>
        <v>0</v>
      </c>
      <c r="J113" s="277">
        <f>SUMIF('A-1 On-Site Habitat Baseline'!$AV$11:$AV$258,'G-2 Habitat groups'!A113,'A-1 On-Site Habitat Baseline'!$X$11:$X$258)</f>
        <v>0</v>
      </c>
      <c r="K113" s="277">
        <f>SUMIF('A-2 On-Site Habitat Creation'!$F$11:$F$256,'G-2 Habitat groups'!A113,'A-2 On-Site Habitat Creation'!$G$11:$G$256)</f>
        <v>0</v>
      </c>
      <c r="L113" s="277">
        <f>SUMIF('A-2 On-Site Habitat Creation'!$F$11:$F$256,'G-2 Habitat groups'!A113,'A-2 On-Site Habitat Creation'!$Y$11:$Y$256)</f>
        <v>0</v>
      </c>
      <c r="M113" s="277">
        <f>SUMIF('A-3 On-Site Habitat Enhancement'!$S$12:$S$257,'G-2 Habitat groups'!A113,'A-3 On-Site Habitat Enhancement'!$V$12:$V$257)</f>
        <v>0</v>
      </c>
      <c r="N113" s="277">
        <f>SUMIF('A-3 On-Site Habitat Enhancement'!$S$12:$S$257,'G-2 Habitat groups'!A113,'A-3 On-Site Habitat Enhancement'!$AN$12:$AN$257)</f>
        <v>0</v>
      </c>
      <c r="O113" s="277">
        <f t="shared" si="75"/>
        <v>0</v>
      </c>
      <c r="P113" s="277">
        <f t="shared" si="76"/>
        <v>0</v>
      </c>
      <c r="Q113" s="277">
        <f t="shared" si="77"/>
        <v>0</v>
      </c>
      <c r="R113" s="277">
        <f t="shared" si="78"/>
        <v>0</v>
      </c>
      <c r="S113" s="277" t="e">
        <f>IF(C113="V.High",SUMIF(#REF!,'G-2 Habitat groups'!A113,#REF!)+SUMIF(#REF!,'G-2 Habitat groups'!A113,#REF!),SUMIF(#REF!,'G-2 Habitat groups'!A113,#REF!))</f>
        <v>#REF!</v>
      </c>
      <c r="T113" s="277" t="e">
        <f>SUMIF(#REF!,'G-2 Habitat groups'!A113,#REF!)</f>
        <v>#REF!</v>
      </c>
      <c r="U113" s="277" t="e">
        <f>SUMIF(#REF!,'G-2 Habitat groups'!A113,#REF!)</f>
        <v>#REF!</v>
      </c>
      <c r="V113" s="277" t="e">
        <f>SUMIF(#REF!,'G-2 Habitat groups'!A113,#REF!)</f>
        <v>#REF!</v>
      </c>
      <c r="W113" s="277" t="e">
        <f>SUMIF(#REF!,'G-2 Habitat groups'!A113,#REF!)</f>
        <v>#REF!</v>
      </c>
      <c r="X113" s="277" t="e">
        <f>SUMIF(#REF!,'G-2 Habitat groups'!A113,#REF!)</f>
        <v>#REF!</v>
      </c>
      <c r="Y113" s="277" t="e">
        <f>SUMIF(#REF!,'G-2 Habitat groups'!A113,#REF!)</f>
        <v>#REF!</v>
      </c>
      <c r="Z113" s="277" t="e">
        <f>SUMIF(#REF!,'G-2 Habitat groups'!A113,#REF!)</f>
        <v>#REF!</v>
      </c>
      <c r="AA113" s="277" t="e">
        <f t="shared" si="79"/>
        <v>#REF!</v>
      </c>
      <c r="AB113" s="277" t="e">
        <f t="shared" si="80"/>
        <v>#REF!</v>
      </c>
      <c r="AC113" s="277" t="e">
        <f t="shared" si="81"/>
        <v>#REF!</v>
      </c>
      <c r="AD113" s="277" t="e">
        <f t="shared" si="82"/>
        <v>#REF!</v>
      </c>
      <c r="AE113" s="277" t="e">
        <f t="shared" si="83"/>
        <v>#REF!</v>
      </c>
      <c r="AF113" s="277" t="e">
        <f t="shared" si="84"/>
        <v>#REF!</v>
      </c>
      <c r="AU113" s="63" t="s">
        <v>314</v>
      </c>
      <c r="AV113" s="52" t="s">
        <v>46</v>
      </c>
      <c r="AW113" s="288">
        <f t="shared" ref="AW113:AW121" si="85">VLOOKUP($AU113,AllHabsSummaryData,5,FALSE)</f>
        <v>0</v>
      </c>
      <c r="AX113" s="288">
        <f>VLOOKUP($AU113,AllHabsSummaryData,10,FALSE)</f>
        <v>0</v>
      </c>
      <c r="AY113" s="288">
        <f>VLOOKUP($AU113,AllHabsSummaryData,15,FALSE)</f>
        <v>0</v>
      </c>
      <c r="AZ113" s="288">
        <f>VLOOKUP($AU113,AllHabsSummaryData,16,FALSE)</f>
        <v>0</v>
      </c>
      <c r="BA113" s="288">
        <f>VLOOKUP($AU113,AllHabsSummaryData,17,FALSE)</f>
        <v>0</v>
      </c>
      <c r="BB113" s="288">
        <f>VLOOKUP($AU113,AllHabsSummaryData,18,FALSE)</f>
        <v>0</v>
      </c>
      <c r="BC113" s="288" t="e">
        <f>VLOOKUP($AU113,AllHabsSummaryData,27,FALSE)</f>
        <v>#REF!</v>
      </c>
      <c r="BD113" s="288" t="e">
        <f>VLOOKUP($AU113,AllHabsSummaryData,30,FALSE)</f>
        <v>#REF!</v>
      </c>
      <c r="BE113" s="288" t="e">
        <f t="shared" ref="BE113:BE151" si="86">BB113+BD113</f>
        <v>#REF!</v>
      </c>
      <c r="BF113" s="288" t="e">
        <f t="shared" ref="BF113:BF151" si="87">IF(BE113&lt;0,BE113,"")</f>
        <v>#REF!</v>
      </c>
    </row>
    <row r="114" spans="1:58" x14ac:dyDescent="0.3">
      <c r="A114" s="63" t="str">
        <f>'G-1 All Habitats'!B117</f>
        <v>Intertidal sediment - Littoral mixed sediments</v>
      </c>
      <c r="B114" s="52" t="str">
        <f>'G-1 All Habitats'!F117</f>
        <v>Intertidal sediment</v>
      </c>
      <c r="C114" s="52" t="str">
        <f>'G-1 All Habitats'!K117</f>
        <v>High</v>
      </c>
      <c r="D114" s="52" t="str">
        <f>'G-1 All Habitats'!M117</f>
        <v>Same habitat required =</v>
      </c>
      <c r="E114" s="277">
        <f>IF(C114="V.High",SUMIF('A-1 On-Site Habitat Baseline'!$AV$11:$AV$258,'G-2 Habitat groups'!A114,'A-1 On-Site Habitat Baseline'!$S$11:$S$258)+SUMIF('A-1 On-Site Habitat Baseline'!$AV$11:$AV$258,'G-2 Habitat groups'!A114,'A-1 On-Site Habitat Baseline'!$T$11:$T$258),SUMIF('A-1 On-Site Habitat Baseline'!$AV$11:$AV$258,'G-2 Habitat groups'!A114,'A-1 On-Site Habitat Baseline'!$H$11:$H$258))</f>
        <v>0</v>
      </c>
      <c r="F114" s="277">
        <f>SUMIF('A-1 On-Site Habitat Baseline'!$AV$11:$AV$258,'G-2 Habitat groups'!A114,'A-1 On-Site Habitat Baseline'!$Q$11:$Q$258)</f>
        <v>0</v>
      </c>
      <c r="G114" s="277">
        <f>SUMIF('A-1 On-Site Habitat Baseline'!$AV$11:$AV$258,'G-2 Habitat groups'!A114,'A-1 On-Site Habitat Baseline'!$S$11:$S$258)</f>
        <v>0</v>
      </c>
      <c r="H114" s="277">
        <f>SUMIF('A-1 On-Site Habitat Baseline'!$AV$11:$AV$258,'G-2 Habitat groups'!A114,'A-1 On-Site Habitat Baseline'!$U$11:$U$258)</f>
        <v>0</v>
      </c>
      <c r="I114" s="277">
        <f>SUMIF('A-1 On-Site Habitat Baseline'!$AV$11:$AV$258,'G-2 Habitat groups'!A114,'A-1 On-Site Habitat Baseline'!$W$11:$W$258)</f>
        <v>0</v>
      </c>
      <c r="J114" s="277">
        <f>SUMIF('A-1 On-Site Habitat Baseline'!$AV$11:$AV$258,'G-2 Habitat groups'!A114,'A-1 On-Site Habitat Baseline'!$X$11:$X$258)</f>
        <v>0</v>
      </c>
      <c r="K114" s="277">
        <f>SUMIF('A-2 On-Site Habitat Creation'!$F$11:$F$256,'G-2 Habitat groups'!A114,'A-2 On-Site Habitat Creation'!$G$11:$G$256)</f>
        <v>0</v>
      </c>
      <c r="L114" s="277">
        <f>SUMIF('A-2 On-Site Habitat Creation'!$F$11:$F$256,'G-2 Habitat groups'!A114,'A-2 On-Site Habitat Creation'!$Y$11:$Y$256)</f>
        <v>0</v>
      </c>
      <c r="M114" s="277">
        <f>SUMIF('A-3 On-Site Habitat Enhancement'!$S$12:$S$257,'G-2 Habitat groups'!A114,'A-3 On-Site Habitat Enhancement'!$V$12:$V$257)</f>
        <v>0</v>
      </c>
      <c r="N114" s="277">
        <f>SUMIF('A-3 On-Site Habitat Enhancement'!$S$12:$S$257,'G-2 Habitat groups'!A114,'A-3 On-Site Habitat Enhancement'!$AN$12:$AN$257)</f>
        <v>0</v>
      </c>
      <c r="O114" s="277">
        <f t="shared" si="75"/>
        <v>0</v>
      </c>
      <c r="P114" s="277">
        <f t="shared" si="76"/>
        <v>0</v>
      </c>
      <c r="Q114" s="277">
        <f t="shared" si="77"/>
        <v>0</v>
      </c>
      <c r="R114" s="277">
        <f t="shared" si="78"/>
        <v>0</v>
      </c>
      <c r="S114" s="277" t="e">
        <f>IF(C114="V.High",SUMIF(#REF!,'G-2 Habitat groups'!A114,#REF!)+SUMIF(#REF!,'G-2 Habitat groups'!A114,#REF!),SUMIF(#REF!,'G-2 Habitat groups'!A114,#REF!))</f>
        <v>#REF!</v>
      </c>
      <c r="T114" s="277" t="e">
        <f>SUMIF(#REF!,'G-2 Habitat groups'!A114,#REF!)</f>
        <v>#REF!</v>
      </c>
      <c r="U114" s="277" t="e">
        <f>SUMIF(#REF!,'G-2 Habitat groups'!A114,#REF!)</f>
        <v>#REF!</v>
      </c>
      <c r="V114" s="277" t="e">
        <f>SUMIF(#REF!,'G-2 Habitat groups'!A114,#REF!)</f>
        <v>#REF!</v>
      </c>
      <c r="W114" s="277" t="e">
        <f>SUMIF(#REF!,'G-2 Habitat groups'!A114,#REF!)</f>
        <v>#REF!</v>
      </c>
      <c r="X114" s="277" t="e">
        <f>SUMIF(#REF!,'G-2 Habitat groups'!A114,#REF!)</f>
        <v>#REF!</v>
      </c>
      <c r="Y114" s="277" t="e">
        <f>SUMIF(#REF!,'G-2 Habitat groups'!A114,#REF!)</f>
        <v>#REF!</v>
      </c>
      <c r="Z114" s="277" t="e">
        <f>SUMIF(#REF!,'G-2 Habitat groups'!A114,#REF!)</f>
        <v>#REF!</v>
      </c>
      <c r="AA114" s="277" t="e">
        <f t="shared" si="79"/>
        <v>#REF!</v>
      </c>
      <c r="AB114" s="277" t="e">
        <f t="shared" si="80"/>
        <v>#REF!</v>
      </c>
      <c r="AC114" s="277" t="e">
        <f t="shared" si="81"/>
        <v>#REF!</v>
      </c>
      <c r="AD114" s="277" t="e">
        <f t="shared" si="82"/>
        <v>#REF!</v>
      </c>
      <c r="AE114" s="277" t="e">
        <f t="shared" si="83"/>
        <v>#REF!</v>
      </c>
      <c r="AF114" s="277" t="e">
        <f t="shared" si="84"/>
        <v>#REF!</v>
      </c>
      <c r="AU114" s="63" t="s">
        <v>324</v>
      </c>
      <c r="AV114" s="52" t="s">
        <v>46</v>
      </c>
      <c r="AW114" s="288">
        <f t="shared" si="85"/>
        <v>0</v>
      </c>
      <c r="AX114" s="288">
        <f t="shared" ref="AX114:AX151" si="88">VLOOKUP($AU114,AllHabsSummaryData,10,FALSE)</f>
        <v>0</v>
      </c>
      <c r="AY114" s="288">
        <f t="shared" ref="AY114:AY151" si="89">VLOOKUP($AU114,AllHabsSummaryData,15,FALSE)</f>
        <v>0</v>
      </c>
      <c r="AZ114" s="288">
        <f t="shared" ref="AZ114:AZ151" si="90">VLOOKUP($AU114,AllHabsSummaryData,16,FALSE)</f>
        <v>0</v>
      </c>
      <c r="BA114" s="288">
        <f t="shared" ref="BA114:BA151" si="91">VLOOKUP($AU114,AllHabsSummaryData,17,FALSE)</f>
        <v>0</v>
      </c>
      <c r="BB114" s="288">
        <f t="shared" ref="BB114:BB151" si="92">VLOOKUP($AU114,AllHabsSummaryData,18,FALSE)</f>
        <v>0</v>
      </c>
      <c r="BC114" s="288" t="e">
        <f t="shared" ref="BC114:BC151" si="93">VLOOKUP($AU114,AllHabsSummaryData,27,FALSE)</f>
        <v>#REF!</v>
      </c>
      <c r="BD114" s="288" t="e">
        <f t="shared" ref="BD114:BD151" si="94">VLOOKUP($AU114,AllHabsSummaryData,30,FALSE)</f>
        <v>#REF!</v>
      </c>
      <c r="BE114" s="288" t="e">
        <f t="shared" si="86"/>
        <v>#REF!</v>
      </c>
      <c r="BF114" s="288" t="e">
        <f t="shared" si="87"/>
        <v>#REF!</v>
      </c>
    </row>
    <row r="115" spans="1:58" x14ac:dyDescent="0.3">
      <c r="A115" s="63" t="str">
        <f>'G-1 All Habitats'!B113</f>
        <v>Coastal saltmarsh - Saltmarshes and saline reedbeds</v>
      </c>
      <c r="B115" s="52" t="str">
        <f>'G-1 All Habitats'!F113</f>
        <v>Coastal saltmarsh</v>
      </c>
      <c r="C115" s="52" t="str">
        <f>'G-1 All Habitats'!K113</f>
        <v>High</v>
      </c>
      <c r="D115" s="52" t="str">
        <f>'G-1 All Habitats'!M113</f>
        <v>Same habitat required =</v>
      </c>
      <c r="E115" s="277">
        <f>IF(C115="V.High",SUMIF('A-1 On-Site Habitat Baseline'!$AV$11:$AV$258,'G-2 Habitat groups'!A115,'A-1 On-Site Habitat Baseline'!$S$11:$S$258)+SUMIF('A-1 On-Site Habitat Baseline'!$AV$11:$AV$258,'G-2 Habitat groups'!A115,'A-1 On-Site Habitat Baseline'!$T$11:$T$258),SUMIF('A-1 On-Site Habitat Baseline'!$AV$11:$AV$258,'G-2 Habitat groups'!A115,'A-1 On-Site Habitat Baseline'!$H$11:$H$258))</f>
        <v>0</v>
      </c>
      <c r="F115" s="277">
        <f>SUMIF('A-1 On-Site Habitat Baseline'!$AV$11:$AV$258,'G-2 Habitat groups'!A115,'A-1 On-Site Habitat Baseline'!$Q$11:$Q$258)</f>
        <v>0</v>
      </c>
      <c r="G115" s="277">
        <f>SUMIF('A-1 On-Site Habitat Baseline'!$AV$11:$AV$258,'G-2 Habitat groups'!A115,'A-1 On-Site Habitat Baseline'!$S$11:$S$258)</f>
        <v>0</v>
      </c>
      <c r="H115" s="277">
        <f>SUMIF('A-1 On-Site Habitat Baseline'!$AV$11:$AV$258,'G-2 Habitat groups'!A115,'A-1 On-Site Habitat Baseline'!$U$11:$U$258)</f>
        <v>0</v>
      </c>
      <c r="I115" s="277">
        <f>SUMIF('A-1 On-Site Habitat Baseline'!$AV$11:$AV$258,'G-2 Habitat groups'!A115,'A-1 On-Site Habitat Baseline'!$W$11:$W$258)</f>
        <v>0</v>
      </c>
      <c r="J115" s="277">
        <f>SUMIF('A-1 On-Site Habitat Baseline'!$AV$11:$AV$258,'G-2 Habitat groups'!A115,'A-1 On-Site Habitat Baseline'!$X$11:$X$258)</f>
        <v>0</v>
      </c>
      <c r="K115" s="277">
        <f>SUMIF('A-2 On-Site Habitat Creation'!$F$11:$F$256,'G-2 Habitat groups'!A115,'A-2 On-Site Habitat Creation'!$G$11:$G$256)</f>
        <v>0</v>
      </c>
      <c r="L115" s="277">
        <f>SUMIF('A-2 On-Site Habitat Creation'!$F$11:$F$256,'G-2 Habitat groups'!A115,'A-2 On-Site Habitat Creation'!$Y$11:$Y$256)</f>
        <v>0</v>
      </c>
      <c r="M115" s="277">
        <f>SUMIF('A-3 On-Site Habitat Enhancement'!$S$12:$S$257,'G-2 Habitat groups'!A115,'A-3 On-Site Habitat Enhancement'!$V$12:$V$257)</f>
        <v>0</v>
      </c>
      <c r="N115" s="277">
        <f>SUMIF('A-3 On-Site Habitat Enhancement'!$S$12:$S$257,'G-2 Habitat groups'!A115,'A-3 On-Site Habitat Enhancement'!$AN$12:$AN$257)</f>
        <v>0</v>
      </c>
      <c r="O115" s="277">
        <f t="shared" si="75"/>
        <v>0</v>
      </c>
      <c r="P115" s="277">
        <f t="shared" si="76"/>
        <v>0</v>
      </c>
      <c r="Q115" s="277">
        <f t="shared" si="77"/>
        <v>0</v>
      </c>
      <c r="R115" s="277">
        <f t="shared" si="78"/>
        <v>0</v>
      </c>
      <c r="S115" s="277" t="e">
        <f>IF(C115="V.High",SUMIF(#REF!,'G-2 Habitat groups'!A115,#REF!)+SUMIF(#REF!,'G-2 Habitat groups'!A115,#REF!),SUMIF(#REF!,'G-2 Habitat groups'!A115,#REF!))</f>
        <v>#REF!</v>
      </c>
      <c r="T115" s="277" t="e">
        <f>SUMIF(#REF!,'G-2 Habitat groups'!A115,#REF!)</f>
        <v>#REF!</v>
      </c>
      <c r="U115" s="277" t="e">
        <f>SUMIF(#REF!,'G-2 Habitat groups'!A115,#REF!)</f>
        <v>#REF!</v>
      </c>
      <c r="V115" s="277" t="e">
        <f>SUMIF(#REF!,'G-2 Habitat groups'!A115,#REF!)</f>
        <v>#REF!</v>
      </c>
      <c r="W115" s="277" t="e">
        <f>SUMIF(#REF!,'G-2 Habitat groups'!A115,#REF!)</f>
        <v>#REF!</v>
      </c>
      <c r="X115" s="277" t="e">
        <f>SUMIF(#REF!,'G-2 Habitat groups'!A115,#REF!)</f>
        <v>#REF!</v>
      </c>
      <c r="Y115" s="277" t="e">
        <f>SUMIF(#REF!,'G-2 Habitat groups'!A115,#REF!)</f>
        <v>#REF!</v>
      </c>
      <c r="Z115" s="277" t="e">
        <f>SUMIF(#REF!,'G-2 Habitat groups'!A115,#REF!)</f>
        <v>#REF!</v>
      </c>
      <c r="AA115" s="277" t="e">
        <f t="shared" si="79"/>
        <v>#REF!</v>
      </c>
      <c r="AB115" s="277" t="e">
        <f t="shared" si="80"/>
        <v>#REF!</v>
      </c>
      <c r="AC115" s="277" t="e">
        <f t="shared" si="81"/>
        <v>#REF!</v>
      </c>
      <c r="AD115" s="277" t="e">
        <f t="shared" si="82"/>
        <v>#REF!</v>
      </c>
      <c r="AE115" s="277" t="e">
        <f t="shared" si="83"/>
        <v>#REF!</v>
      </c>
      <c r="AF115" s="277" t="e">
        <f t="shared" si="84"/>
        <v>#REF!</v>
      </c>
      <c r="AU115" s="63" t="s">
        <v>328</v>
      </c>
      <c r="AV115" s="52" t="s">
        <v>46</v>
      </c>
      <c r="AW115" s="288">
        <f t="shared" si="85"/>
        <v>0</v>
      </c>
      <c r="AX115" s="288">
        <f t="shared" si="88"/>
        <v>0</v>
      </c>
      <c r="AY115" s="288">
        <f t="shared" si="89"/>
        <v>0</v>
      </c>
      <c r="AZ115" s="288">
        <f t="shared" si="90"/>
        <v>0</v>
      </c>
      <c r="BA115" s="288">
        <f t="shared" si="91"/>
        <v>0</v>
      </c>
      <c r="BB115" s="288">
        <f t="shared" si="92"/>
        <v>0</v>
      </c>
      <c r="BC115" s="288" t="e">
        <f t="shared" si="93"/>
        <v>#REF!</v>
      </c>
      <c r="BD115" s="288" t="e">
        <f t="shared" si="94"/>
        <v>#REF!</v>
      </c>
      <c r="BE115" s="288" t="e">
        <f t="shared" si="86"/>
        <v>#REF!</v>
      </c>
      <c r="BF115" s="288" t="e">
        <f t="shared" si="87"/>
        <v>#REF!</v>
      </c>
    </row>
    <row r="116" spans="1:58" x14ac:dyDescent="0.3">
      <c r="A116" s="63" t="str">
        <f>'G-1 All Habitats'!B114</f>
        <v>Coastal saltmarsh - Artificial saltmarshes and saline reedbeds</v>
      </c>
      <c r="B116" s="52" t="str">
        <f>'G-1 All Habitats'!F114</f>
        <v>Coastal saltmarsh</v>
      </c>
      <c r="C116" s="52" t="str">
        <f>'G-1 All Habitats'!K114</f>
        <v>Low</v>
      </c>
      <c r="D116" s="52" t="str">
        <f>'G-1 All Habitats'!M114</f>
        <v>Same distinctiveness or better habitat required ≥</v>
      </c>
      <c r="E116" s="277">
        <f>IF(C116="V.High",SUMIF('A-1 On-Site Habitat Baseline'!$AV$11:$AV$258,'G-2 Habitat groups'!A116,'A-1 On-Site Habitat Baseline'!$S$11:$S$258)+SUMIF('A-1 On-Site Habitat Baseline'!$AV$11:$AV$258,'G-2 Habitat groups'!A116,'A-1 On-Site Habitat Baseline'!$T$11:$T$258),SUMIF('A-1 On-Site Habitat Baseline'!$AV$11:$AV$258,'G-2 Habitat groups'!A116,'A-1 On-Site Habitat Baseline'!$H$11:$H$258))</f>
        <v>0</v>
      </c>
      <c r="F116" s="277">
        <f>SUMIF('A-1 On-Site Habitat Baseline'!$AV$11:$AV$258,'G-2 Habitat groups'!A116,'A-1 On-Site Habitat Baseline'!$Q$11:$Q$258)</f>
        <v>0</v>
      </c>
      <c r="G116" s="277">
        <f>SUMIF('A-1 On-Site Habitat Baseline'!$AV$11:$AV$258,'G-2 Habitat groups'!A116,'A-1 On-Site Habitat Baseline'!$S$11:$S$258)</f>
        <v>0</v>
      </c>
      <c r="H116" s="277">
        <f>SUMIF('A-1 On-Site Habitat Baseline'!$AV$11:$AV$258,'G-2 Habitat groups'!A116,'A-1 On-Site Habitat Baseline'!$U$11:$U$258)</f>
        <v>0</v>
      </c>
      <c r="I116" s="277">
        <f>SUMIF('A-1 On-Site Habitat Baseline'!$AV$11:$AV$258,'G-2 Habitat groups'!A116,'A-1 On-Site Habitat Baseline'!$W$11:$W$258)</f>
        <v>0</v>
      </c>
      <c r="J116" s="277">
        <f>SUMIF('A-1 On-Site Habitat Baseline'!$AV$11:$AV$258,'G-2 Habitat groups'!A116,'A-1 On-Site Habitat Baseline'!$X$11:$X$258)</f>
        <v>0</v>
      </c>
      <c r="K116" s="277">
        <f>SUMIF('A-2 On-Site Habitat Creation'!$F$11:$F$256,'G-2 Habitat groups'!A116,'A-2 On-Site Habitat Creation'!$G$11:$G$256)</f>
        <v>0</v>
      </c>
      <c r="L116" s="277">
        <f>SUMIF('A-2 On-Site Habitat Creation'!$F$11:$F$256,'G-2 Habitat groups'!A116,'A-2 On-Site Habitat Creation'!$Y$11:$Y$256)</f>
        <v>0</v>
      </c>
      <c r="M116" s="277">
        <f>SUMIF('A-3 On-Site Habitat Enhancement'!$S$12:$S$257,'G-2 Habitat groups'!A116,'A-3 On-Site Habitat Enhancement'!$V$12:$V$257)</f>
        <v>0</v>
      </c>
      <c r="N116" s="277">
        <f>SUMIF('A-3 On-Site Habitat Enhancement'!$S$12:$S$257,'G-2 Habitat groups'!A116,'A-3 On-Site Habitat Enhancement'!$AN$12:$AN$257)</f>
        <v>0</v>
      </c>
      <c r="O116" s="277">
        <f t="shared" si="75"/>
        <v>0</v>
      </c>
      <c r="P116" s="277">
        <f t="shared" si="76"/>
        <v>0</v>
      </c>
      <c r="Q116" s="277">
        <f t="shared" si="77"/>
        <v>0</v>
      </c>
      <c r="R116" s="277">
        <f t="shared" si="78"/>
        <v>0</v>
      </c>
      <c r="S116" s="277" t="e">
        <f>IF(C116="V.High",SUMIF(#REF!,'G-2 Habitat groups'!A116,#REF!)+SUMIF(#REF!,'G-2 Habitat groups'!A116,#REF!),SUMIF(#REF!,'G-2 Habitat groups'!A116,#REF!))</f>
        <v>#REF!</v>
      </c>
      <c r="T116" s="277" t="e">
        <f>SUMIF(#REF!,'G-2 Habitat groups'!A116,#REF!)</f>
        <v>#REF!</v>
      </c>
      <c r="U116" s="277" t="e">
        <f>SUMIF(#REF!,'G-2 Habitat groups'!A116,#REF!)</f>
        <v>#REF!</v>
      </c>
      <c r="V116" s="277" t="e">
        <f>SUMIF(#REF!,'G-2 Habitat groups'!A116,#REF!)</f>
        <v>#REF!</v>
      </c>
      <c r="W116" s="277" t="e">
        <f>SUMIF(#REF!,'G-2 Habitat groups'!A116,#REF!)</f>
        <v>#REF!</v>
      </c>
      <c r="X116" s="277" t="e">
        <f>SUMIF(#REF!,'G-2 Habitat groups'!A116,#REF!)</f>
        <v>#REF!</v>
      </c>
      <c r="Y116" s="277" t="e">
        <f>SUMIF(#REF!,'G-2 Habitat groups'!A116,#REF!)</f>
        <v>#REF!</v>
      </c>
      <c r="Z116" s="277" t="e">
        <f>SUMIF(#REF!,'G-2 Habitat groups'!A116,#REF!)</f>
        <v>#REF!</v>
      </c>
      <c r="AA116" s="277" t="e">
        <f t="shared" si="79"/>
        <v>#REF!</v>
      </c>
      <c r="AB116" s="277" t="e">
        <f t="shared" si="80"/>
        <v>#REF!</v>
      </c>
      <c r="AC116" s="277" t="e">
        <f t="shared" si="81"/>
        <v>#REF!</v>
      </c>
      <c r="AD116" s="277" t="e">
        <f t="shared" si="82"/>
        <v>#REF!</v>
      </c>
      <c r="AE116" s="277" t="e">
        <f t="shared" si="83"/>
        <v>#REF!</v>
      </c>
      <c r="AF116" s="277" t="e">
        <f t="shared" si="84"/>
        <v>#REF!</v>
      </c>
      <c r="AU116" s="63" t="s">
        <v>332</v>
      </c>
      <c r="AV116" s="52" t="s">
        <v>46</v>
      </c>
      <c r="AW116" s="288">
        <f t="shared" si="85"/>
        <v>0</v>
      </c>
      <c r="AX116" s="288">
        <f t="shared" si="88"/>
        <v>0</v>
      </c>
      <c r="AY116" s="288">
        <f t="shared" si="89"/>
        <v>0</v>
      </c>
      <c r="AZ116" s="288">
        <f t="shared" si="90"/>
        <v>0</v>
      </c>
      <c r="BA116" s="288">
        <f t="shared" si="91"/>
        <v>0</v>
      </c>
      <c r="BB116" s="288">
        <f t="shared" si="92"/>
        <v>0</v>
      </c>
      <c r="BC116" s="288" t="e">
        <f t="shared" si="93"/>
        <v>#REF!</v>
      </c>
      <c r="BD116" s="288" t="e">
        <f t="shared" si="94"/>
        <v>#REF!</v>
      </c>
      <c r="BE116" s="288" t="e">
        <f t="shared" si="86"/>
        <v>#REF!</v>
      </c>
      <c r="BF116" s="288" t="e">
        <f t="shared" si="87"/>
        <v>#REF!</v>
      </c>
    </row>
    <row r="117" spans="1:58" x14ac:dyDescent="0.3">
      <c r="A117" s="63" t="str">
        <f>'G-1 All Habitats'!B118</f>
        <v>Intertidal sediment - Littoral seagrass</v>
      </c>
      <c r="B117" s="52" t="str">
        <f>'G-1 All Habitats'!F118</f>
        <v>Intertidal sediment</v>
      </c>
      <c r="C117" s="52" t="str">
        <f>'G-1 All Habitats'!K118</f>
        <v>High</v>
      </c>
      <c r="D117" s="52" t="str">
        <f>'G-1 All Habitats'!M118</f>
        <v>Same habitat required =</v>
      </c>
      <c r="E117" s="277">
        <f>IF(C117="V.High",SUMIF('A-1 On-Site Habitat Baseline'!$AV$11:$AV$258,'G-2 Habitat groups'!A117,'A-1 On-Site Habitat Baseline'!$S$11:$S$258)+SUMIF('A-1 On-Site Habitat Baseline'!$AV$11:$AV$258,'G-2 Habitat groups'!A117,'A-1 On-Site Habitat Baseline'!$T$11:$T$258),SUMIF('A-1 On-Site Habitat Baseline'!$AV$11:$AV$258,'G-2 Habitat groups'!A117,'A-1 On-Site Habitat Baseline'!$H$11:$H$258))</f>
        <v>0</v>
      </c>
      <c r="F117" s="277">
        <f>SUMIF('A-1 On-Site Habitat Baseline'!$AV$11:$AV$258,'G-2 Habitat groups'!A117,'A-1 On-Site Habitat Baseline'!$Q$11:$Q$258)</f>
        <v>0</v>
      </c>
      <c r="G117" s="277">
        <f>SUMIF('A-1 On-Site Habitat Baseline'!$AV$11:$AV$258,'G-2 Habitat groups'!A117,'A-1 On-Site Habitat Baseline'!$S$11:$S$258)</f>
        <v>0</v>
      </c>
      <c r="H117" s="277">
        <f>SUMIF('A-1 On-Site Habitat Baseline'!$AV$11:$AV$258,'G-2 Habitat groups'!A117,'A-1 On-Site Habitat Baseline'!$U$11:$U$258)</f>
        <v>0</v>
      </c>
      <c r="I117" s="277">
        <f>SUMIF('A-1 On-Site Habitat Baseline'!$AV$11:$AV$258,'G-2 Habitat groups'!A117,'A-1 On-Site Habitat Baseline'!$W$11:$W$258)</f>
        <v>0</v>
      </c>
      <c r="J117" s="277">
        <f>SUMIF('A-1 On-Site Habitat Baseline'!$AV$11:$AV$258,'G-2 Habitat groups'!A117,'A-1 On-Site Habitat Baseline'!$X$11:$X$258)</f>
        <v>0</v>
      </c>
      <c r="K117" s="277">
        <f>SUMIF('A-2 On-Site Habitat Creation'!$F$11:$F$256,'G-2 Habitat groups'!A117,'A-2 On-Site Habitat Creation'!$G$11:$G$256)</f>
        <v>0</v>
      </c>
      <c r="L117" s="277">
        <f>SUMIF('A-2 On-Site Habitat Creation'!$F$11:$F$256,'G-2 Habitat groups'!A117,'A-2 On-Site Habitat Creation'!$Y$11:$Y$256)</f>
        <v>0</v>
      </c>
      <c r="M117" s="277">
        <f>SUMIF('A-3 On-Site Habitat Enhancement'!$S$12:$S$257,'G-2 Habitat groups'!A117,'A-3 On-Site Habitat Enhancement'!$V$12:$V$257)</f>
        <v>0</v>
      </c>
      <c r="N117" s="277">
        <f>SUMIF('A-3 On-Site Habitat Enhancement'!$S$12:$S$257,'G-2 Habitat groups'!A117,'A-3 On-Site Habitat Enhancement'!$AN$12:$AN$257)</f>
        <v>0</v>
      </c>
      <c r="O117" s="277">
        <f t="shared" si="75"/>
        <v>0</v>
      </c>
      <c r="P117" s="277">
        <f t="shared" si="76"/>
        <v>0</v>
      </c>
      <c r="Q117" s="277">
        <f t="shared" si="77"/>
        <v>0</v>
      </c>
      <c r="R117" s="277">
        <f t="shared" si="78"/>
        <v>0</v>
      </c>
      <c r="S117" s="277" t="e">
        <f>IF(C117="V.High",SUMIF(#REF!,'G-2 Habitat groups'!A117,#REF!)+SUMIF(#REF!,'G-2 Habitat groups'!A117,#REF!),SUMIF(#REF!,'G-2 Habitat groups'!A117,#REF!))</f>
        <v>#REF!</v>
      </c>
      <c r="T117" s="277" t="e">
        <f>SUMIF(#REF!,'G-2 Habitat groups'!A117,#REF!)</f>
        <v>#REF!</v>
      </c>
      <c r="U117" s="277" t="e">
        <f>SUMIF(#REF!,'G-2 Habitat groups'!A117,#REF!)</f>
        <v>#REF!</v>
      </c>
      <c r="V117" s="277" t="e">
        <f>SUMIF(#REF!,'G-2 Habitat groups'!A117,#REF!)</f>
        <v>#REF!</v>
      </c>
      <c r="W117" s="277" t="e">
        <f>SUMIF(#REF!,'G-2 Habitat groups'!A117,#REF!)</f>
        <v>#REF!</v>
      </c>
      <c r="X117" s="277" t="e">
        <f>SUMIF(#REF!,'G-2 Habitat groups'!A117,#REF!)</f>
        <v>#REF!</v>
      </c>
      <c r="Y117" s="277" t="e">
        <f>SUMIF(#REF!,'G-2 Habitat groups'!A117,#REF!)</f>
        <v>#REF!</v>
      </c>
      <c r="Z117" s="277" t="e">
        <f>SUMIF(#REF!,'G-2 Habitat groups'!A117,#REF!)</f>
        <v>#REF!</v>
      </c>
      <c r="AA117" s="277" t="e">
        <f t="shared" si="79"/>
        <v>#REF!</v>
      </c>
      <c r="AB117" s="277" t="e">
        <f t="shared" si="80"/>
        <v>#REF!</v>
      </c>
      <c r="AC117" s="277" t="e">
        <f t="shared" si="81"/>
        <v>#REF!</v>
      </c>
      <c r="AD117" s="277" t="e">
        <f t="shared" si="82"/>
        <v>#REF!</v>
      </c>
      <c r="AE117" s="277" t="e">
        <f t="shared" si="83"/>
        <v>#REF!</v>
      </c>
      <c r="AF117" s="277" t="e">
        <f t="shared" si="84"/>
        <v>#REF!</v>
      </c>
      <c r="AU117" s="63" t="s">
        <v>336</v>
      </c>
      <c r="AV117" s="52" t="s">
        <v>46</v>
      </c>
      <c r="AW117" s="288">
        <f t="shared" si="85"/>
        <v>0</v>
      </c>
      <c r="AX117" s="288">
        <f t="shared" si="88"/>
        <v>0</v>
      </c>
      <c r="AY117" s="288">
        <f t="shared" si="89"/>
        <v>0</v>
      </c>
      <c r="AZ117" s="288">
        <f t="shared" si="90"/>
        <v>0</v>
      </c>
      <c r="BA117" s="288">
        <f t="shared" si="91"/>
        <v>0</v>
      </c>
      <c r="BB117" s="288">
        <f t="shared" si="92"/>
        <v>0</v>
      </c>
      <c r="BC117" s="288" t="e">
        <f t="shared" si="93"/>
        <v>#REF!</v>
      </c>
      <c r="BD117" s="288" t="e">
        <f t="shared" si="94"/>
        <v>#REF!</v>
      </c>
      <c r="BE117" s="288" t="e">
        <f t="shared" si="86"/>
        <v>#REF!</v>
      </c>
      <c r="BF117" s="288" t="e">
        <f t="shared" si="87"/>
        <v>#REF!</v>
      </c>
    </row>
    <row r="118" spans="1:58" x14ac:dyDescent="0.3">
      <c r="A118" s="63" t="str">
        <f>'G-1 All Habitats'!B119</f>
        <v>Intertidal sediment - Littoral seagrass on peat, clay or chalk</v>
      </c>
      <c r="B118" s="52" t="str">
        <f>'G-1 All Habitats'!F119</f>
        <v>Intertidal sediment</v>
      </c>
      <c r="C118" s="52" t="str">
        <f>'G-1 All Habitats'!K119</f>
        <v>V.High</v>
      </c>
      <c r="D118" s="52" t="str">
        <f>'G-1 All Habitats'!M119</f>
        <v>Bespoke compensation likely to be required 🛠</v>
      </c>
      <c r="E118" s="277">
        <f>IF(C118="V.High",SUMIF('A-1 On-Site Habitat Baseline'!$AV$11:$AV$258,'G-2 Habitat groups'!A118,'A-1 On-Site Habitat Baseline'!$S$11:$S$258)+SUMIF('A-1 On-Site Habitat Baseline'!$AV$11:$AV$258,'G-2 Habitat groups'!A118,'A-1 On-Site Habitat Baseline'!$T$11:$T$258),SUMIF('A-1 On-Site Habitat Baseline'!$AV$11:$AV$258,'G-2 Habitat groups'!A118,'A-1 On-Site Habitat Baseline'!$H$11:$H$258))</f>
        <v>0</v>
      </c>
      <c r="F118" s="277">
        <f>SUMIF('A-1 On-Site Habitat Baseline'!$AV$11:$AV$258,'G-2 Habitat groups'!A118,'A-1 On-Site Habitat Baseline'!$Q$11:$Q$258)</f>
        <v>0</v>
      </c>
      <c r="G118" s="277">
        <f>SUMIF('A-1 On-Site Habitat Baseline'!$AV$11:$AV$258,'G-2 Habitat groups'!A118,'A-1 On-Site Habitat Baseline'!$S$11:$S$258)</f>
        <v>0</v>
      </c>
      <c r="H118" s="277">
        <f>SUMIF('A-1 On-Site Habitat Baseline'!$AV$11:$AV$258,'G-2 Habitat groups'!A118,'A-1 On-Site Habitat Baseline'!$U$11:$U$258)</f>
        <v>0</v>
      </c>
      <c r="I118" s="277">
        <f>SUMIF('A-1 On-Site Habitat Baseline'!$AV$11:$AV$258,'G-2 Habitat groups'!A118,'A-1 On-Site Habitat Baseline'!$W$11:$W$258)</f>
        <v>0</v>
      </c>
      <c r="J118" s="277">
        <f>SUMIF('A-1 On-Site Habitat Baseline'!$AV$11:$AV$258,'G-2 Habitat groups'!A118,'A-1 On-Site Habitat Baseline'!$X$11:$X$258)</f>
        <v>0</v>
      </c>
      <c r="K118" s="277">
        <f>SUMIF('A-2 On-Site Habitat Creation'!$F$11:$F$256,'G-2 Habitat groups'!A118,'A-2 On-Site Habitat Creation'!$G$11:$G$256)</f>
        <v>0</v>
      </c>
      <c r="L118" s="277">
        <f>SUMIF('A-2 On-Site Habitat Creation'!$F$11:$F$256,'G-2 Habitat groups'!A118,'A-2 On-Site Habitat Creation'!$Y$11:$Y$256)</f>
        <v>0</v>
      </c>
      <c r="M118" s="277">
        <f>SUMIF('A-3 On-Site Habitat Enhancement'!$S$12:$S$257,'G-2 Habitat groups'!A118,'A-3 On-Site Habitat Enhancement'!$V$12:$V$257)</f>
        <v>0</v>
      </c>
      <c r="N118" s="277">
        <f>SUMIF('A-3 On-Site Habitat Enhancement'!$S$12:$S$257,'G-2 Habitat groups'!A118,'A-3 On-Site Habitat Enhancement'!$AN$12:$AN$257)</f>
        <v>0</v>
      </c>
      <c r="O118" s="277">
        <f t="shared" si="75"/>
        <v>0</v>
      </c>
      <c r="P118" s="277">
        <f t="shared" si="76"/>
        <v>0</v>
      </c>
      <c r="Q118" s="277">
        <f t="shared" si="77"/>
        <v>0</v>
      </c>
      <c r="R118" s="277">
        <f t="shared" si="78"/>
        <v>0</v>
      </c>
      <c r="S118" s="277" t="e">
        <f>IF(C118="V.High",SUMIF(#REF!,'G-2 Habitat groups'!A118,#REF!)+SUMIF(#REF!,'G-2 Habitat groups'!A118,#REF!),SUMIF(#REF!,'G-2 Habitat groups'!A118,#REF!))</f>
        <v>#REF!</v>
      </c>
      <c r="T118" s="277" t="e">
        <f>SUMIF(#REF!,'G-2 Habitat groups'!A118,#REF!)</f>
        <v>#REF!</v>
      </c>
      <c r="U118" s="277" t="e">
        <f>SUMIF(#REF!,'G-2 Habitat groups'!A118,#REF!)</f>
        <v>#REF!</v>
      </c>
      <c r="V118" s="277" t="e">
        <f>SUMIF(#REF!,'G-2 Habitat groups'!A118,#REF!)</f>
        <v>#REF!</v>
      </c>
      <c r="W118" s="277" t="e">
        <f>SUMIF(#REF!,'G-2 Habitat groups'!A118,#REF!)</f>
        <v>#REF!</v>
      </c>
      <c r="X118" s="277" t="e">
        <f>SUMIF(#REF!,'G-2 Habitat groups'!A118,#REF!)</f>
        <v>#REF!</v>
      </c>
      <c r="Y118" s="277" t="e">
        <f>SUMIF(#REF!,'G-2 Habitat groups'!A118,#REF!)</f>
        <v>#REF!</v>
      </c>
      <c r="Z118" s="277" t="e">
        <f>SUMIF(#REF!,'G-2 Habitat groups'!A118,#REF!)</f>
        <v>#REF!</v>
      </c>
      <c r="AA118" s="277" t="e">
        <f t="shared" si="79"/>
        <v>#REF!</v>
      </c>
      <c r="AB118" s="277" t="e">
        <f t="shared" si="80"/>
        <v>#REF!</v>
      </c>
      <c r="AC118" s="277" t="e">
        <f t="shared" si="81"/>
        <v>#REF!</v>
      </c>
      <c r="AD118" s="277" t="e">
        <f t="shared" si="82"/>
        <v>#REF!</v>
      </c>
      <c r="AE118" s="277" t="e">
        <f t="shared" si="83"/>
        <v>#REF!</v>
      </c>
      <c r="AF118" s="277" t="e">
        <f t="shared" si="84"/>
        <v>#REF!</v>
      </c>
      <c r="AU118" s="63" t="s">
        <v>320</v>
      </c>
      <c r="AV118" s="52" t="s">
        <v>46</v>
      </c>
      <c r="AW118" s="288">
        <f t="shared" si="85"/>
        <v>0</v>
      </c>
      <c r="AX118" s="288">
        <f t="shared" si="88"/>
        <v>0</v>
      </c>
      <c r="AY118" s="288">
        <f t="shared" si="89"/>
        <v>0</v>
      </c>
      <c r="AZ118" s="288">
        <f t="shared" si="90"/>
        <v>0</v>
      </c>
      <c r="BA118" s="288">
        <f t="shared" si="91"/>
        <v>0</v>
      </c>
      <c r="BB118" s="288">
        <f t="shared" si="92"/>
        <v>0</v>
      </c>
      <c r="BC118" s="288" t="e">
        <f t="shared" si="93"/>
        <v>#REF!</v>
      </c>
      <c r="BD118" s="288" t="e">
        <f t="shared" si="94"/>
        <v>#REF!</v>
      </c>
      <c r="BE118" s="288" t="e">
        <f t="shared" si="86"/>
        <v>#REF!</v>
      </c>
      <c r="BF118" s="288" t="e">
        <f t="shared" si="87"/>
        <v>#REF!</v>
      </c>
    </row>
    <row r="119" spans="1:58" x14ac:dyDescent="0.3">
      <c r="A119" s="63" t="str">
        <f>'G-1 All Habitats'!B120</f>
        <v>Intertidal sediment - Littoral biogenic reefs - Mussels</v>
      </c>
      <c r="B119" s="52" t="str">
        <f>'G-1 All Habitats'!F120</f>
        <v>Intertidal sediment</v>
      </c>
      <c r="C119" s="52" t="str">
        <f>'G-1 All Habitats'!K120</f>
        <v>High</v>
      </c>
      <c r="D119" s="52" t="str">
        <f>'G-1 All Habitats'!M120</f>
        <v>Same habitat required =</v>
      </c>
      <c r="E119" s="277">
        <f>IF(C119="V.High",SUMIF('A-1 On-Site Habitat Baseline'!$AV$11:$AV$258,'G-2 Habitat groups'!A119,'A-1 On-Site Habitat Baseline'!$S$11:$S$258)+SUMIF('A-1 On-Site Habitat Baseline'!$AV$11:$AV$258,'G-2 Habitat groups'!A119,'A-1 On-Site Habitat Baseline'!$T$11:$T$258),SUMIF('A-1 On-Site Habitat Baseline'!$AV$11:$AV$258,'G-2 Habitat groups'!A119,'A-1 On-Site Habitat Baseline'!$H$11:$H$258))</f>
        <v>0</v>
      </c>
      <c r="F119" s="277">
        <f>SUMIF('A-1 On-Site Habitat Baseline'!$AV$11:$AV$258,'G-2 Habitat groups'!A119,'A-1 On-Site Habitat Baseline'!$Q$11:$Q$258)</f>
        <v>0</v>
      </c>
      <c r="G119" s="277">
        <f>SUMIF('A-1 On-Site Habitat Baseline'!$AV$11:$AV$258,'G-2 Habitat groups'!A119,'A-1 On-Site Habitat Baseline'!$S$11:$S$258)</f>
        <v>0</v>
      </c>
      <c r="H119" s="277">
        <f>SUMIF('A-1 On-Site Habitat Baseline'!$AV$11:$AV$258,'G-2 Habitat groups'!A119,'A-1 On-Site Habitat Baseline'!$U$11:$U$258)</f>
        <v>0</v>
      </c>
      <c r="I119" s="277">
        <f>SUMIF('A-1 On-Site Habitat Baseline'!$AV$11:$AV$258,'G-2 Habitat groups'!A119,'A-1 On-Site Habitat Baseline'!$W$11:$W$258)</f>
        <v>0</v>
      </c>
      <c r="J119" s="277">
        <f>SUMIF('A-1 On-Site Habitat Baseline'!$AV$11:$AV$258,'G-2 Habitat groups'!A119,'A-1 On-Site Habitat Baseline'!$X$11:$X$258)</f>
        <v>0</v>
      </c>
      <c r="K119" s="277">
        <f>SUMIF('A-2 On-Site Habitat Creation'!$F$11:$F$256,'G-2 Habitat groups'!A119,'A-2 On-Site Habitat Creation'!$G$11:$G$256)</f>
        <v>0</v>
      </c>
      <c r="L119" s="277">
        <f>SUMIF('A-2 On-Site Habitat Creation'!$F$11:$F$256,'G-2 Habitat groups'!A119,'A-2 On-Site Habitat Creation'!$Y$11:$Y$256)</f>
        <v>0</v>
      </c>
      <c r="M119" s="277">
        <f>SUMIF('A-3 On-Site Habitat Enhancement'!$S$12:$S$257,'G-2 Habitat groups'!A119,'A-3 On-Site Habitat Enhancement'!$V$12:$V$257)</f>
        <v>0</v>
      </c>
      <c r="N119" s="277">
        <f>SUMIF('A-3 On-Site Habitat Enhancement'!$S$12:$S$257,'G-2 Habitat groups'!A119,'A-3 On-Site Habitat Enhancement'!$AN$12:$AN$257)</f>
        <v>0</v>
      </c>
      <c r="O119" s="277">
        <f t="shared" si="75"/>
        <v>0</v>
      </c>
      <c r="P119" s="277">
        <f t="shared" si="76"/>
        <v>0</v>
      </c>
      <c r="Q119" s="277">
        <f t="shared" si="77"/>
        <v>0</v>
      </c>
      <c r="R119" s="277">
        <f t="shared" si="78"/>
        <v>0</v>
      </c>
      <c r="S119" s="277" t="e">
        <f>IF(C119="V.High",SUMIF(#REF!,'G-2 Habitat groups'!A119,#REF!)+SUMIF(#REF!,'G-2 Habitat groups'!A119,#REF!),SUMIF(#REF!,'G-2 Habitat groups'!A119,#REF!))</f>
        <v>#REF!</v>
      </c>
      <c r="T119" s="277" t="e">
        <f>SUMIF(#REF!,'G-2 Habitat groups'!A119,#REF!)</f>
        <v>#REF!</v>
      </c>
      <c r="U119" s="277" t="e">
        <f>SUMIF(#REF!,'G-2 Habitat groups'!A119,#REF!)</f>
        <v>#REF!</v>
      </c>
      <c r="V119" s="277" t="e">
        <f>SUMIF(#REF!,'G-2 Habitat groups'!A119,#REF!)</f>
        <v>#REF!</v>
      </c>
      <c r="W119" s="277" t="e">
        <f>SUMIF(#REF!,'G-2 Habitat groups'!A119,#REF!)</f>
        <v>#REF!</v>
      </c>
      <c r="X119" s="277" t="e">
        <f>SUMIF(#REF!,'G-2 Habitat groups'!A119,#REF!)</f>
        <v>#REF!</v>
      </c>
      <c r="Y119" s="277" t="e">
        <f>SUMIF(#REF!,'G-2 Habitat groups'!A119,#REF!)</f>
        <v>#REF!</v>
      </c>
      <c r="Z119" s="277" t="e">
        <f>SUMIF(#REF!,'G-2 Habitat groups'!A119,#REF!)</f>
        <v>#REF!</v>
      </c>
      <c r="AA119" s="277" t="e">
        <f t="shared" si="79"/>
        <v>#REF!</v>
      </c>
      <c r="AB119" s="277" t="e">
        <f t="shared" si="80"/>
        <v>#REF!</v>
      </c>
      <c r="AC119" s="277" t="e">
        <f t="shared" si="81"/>
        <v>#REF!</v>
      </c>
      <c r="AD119" s="277" t="e">
        <f t="shared" si="82"/>
        <v>#REF!</v>
      </c>
      <c r="AE119" s="277" t="e">
        <f t="shared" si="83"/>
        <v>#REF!</v>
      </c>
      <c r="AF119" s="277" t="e">
        <f t="shared" si="84"/>
        <v>#REF!</v>
      </c>
      <c r="AU119" s="63" t="s">
        <v>368</v>
      </c>
      <c r="AV119" s="52" t="s">
        <v>47</v>
      </c>
      <c r="AW119" s="288">
        <f t="shared" si="85"/>
        <v>0</v>
      </c>
      <c r="AX119" s="288">
        <f t="shared" si="88"/>
        <v>0</v>
      </c>
      <c r="AY119" s="288">
        <f t="shared" si="89"/>
        <v>0</v>
      </c>
      <c r="AZ119" s="288">
        <f t="shared" si="90"/>
        <v>0</v>
      </c>
      <c r="BA119" s="288">
        <f t="shared" si="91"/>
        <v>0</v>
      </c>
      <c r="BB119" s="288">
        <f t="shared" si="92"/>
        <v>0</v>
      </c>
      <c r="BC119" s="288" t="e">
        <f t="shared" si="93"/>
        <v>#REF!</v>
      </c>
      <c r="BD119" s="288" t="e">
        <f t="shared" si="94"/>
        <v>#REF!</v>
      </c>
      <c r="BE119" s="288" t="e">
        <f t="shared" si="86"/>
        <v>#REF!</v>
      </c>
      <c r="BF119" s="288" t="e">
        <f t="shared" si="87"/>
        <v>#REF!</v>
      </c>
    </row>
    <row r="120" spans="1:58" x14ac:dyDescent="0.3">
      <c r="A120" s="63" t="str">
        <f>'G-1 All Habitats'!B121</f>
        <v>Intertidal sediment - Littoral biogenic reefs - Sabellaria</v>
      </c>
      <c r="B120" s="52" t="str">
        <f>'G-1 All Habitats'!F121</f>
        <v>Intertidal sediment</v>
      </c>
      <c r="C120" s="52" t="str">
        <f>'G-1 All Habitats'!K121</f>
        <v>High</v>
      </c>
      <c r="D120" s="52" t="str">
        <f>'G-1 All Habitats'!M121</f>
        <v>Same habitat required =</v>
      </c>
      <c r="E120" s="277">
        <f>IF(C120="V.High",SUMIF('A-1 On-Site Habitat Baseline'!$AV$11:$AV$258,'G-2 Habitat groups'!A120,'A-1 On-Site Habitat Baseline'!$S$11:$S$258)+SUMIF('A-1 On-Site Habitat Baseline'!$AV$11:$AV$258,'G-2 Habitat groups'!A120,'A-1 On-Site Habitat Baseline'!$T$11:$T$258),SUMIF('A-1 On-Site Habitat Baseline'!$AV$11:$AV$258,'G-2 Habitat groups'!A120,'A-1 On-Site Habitat Baseline'!$H$11:$H$258))</f>
        <v>0</v>
      </c>
      <c r="F120" s="277">
        <f>SUMIF('A-1 On-Site Habitat Baseline'!$AV$11:$AV$258,'G-2 Habitat groups'!A120,'A-1 On-Site Habitat Baseline'!$Q$11:$Q$258)</f>
        <v>0</v>
      </c>
      <c r="G120" s="277">
        <f>SUMIF('A-1 On-Site Habitat Baseline'!$AV$11:$AV$258,'G-2 Habitat groups'!A120,'A-1 On-Site Habitat Baseline'!$S$11:$S$258)</f>
        <v>0</v>
      </c>
      <c r="H120" s="277">
        <f>SUMIF('A-1 On-Site Habitat Baseline'!$AV$11:$AV$258,'G-2 Habitat groups'!A120,'A-1 On-Site Habitat Baseline'!$U$11:$U$258)</f>
        <v>0</v>
      </c>
      <c r="I120" s="277">
        <f>SUMIF('A-1 On-Site Habitat Baseline'!$AV$11:$AV$258,'G-2 Habitat groups'!A120,'A-1 On-Site Habitat Baseline'!$W$11:$W$258)</f>
        <v>0</v>
      </c>
      <c r="J120" s="277">
        <f>SUMIF('A-1 On-Site Habitat Baseline'!$AV$11:$AV$258,'G-2 Habitat groups'!A120,'A-1 On-Site Habitat Baseline'!$X$11:$X$258)</f>
        <v>0</v>
      </c>
      <c r="K120" s="277">
        <f>SUMIF('A-2 On-Site Habitat Creation'!$F$11:$F$256,'G-2 Habitat groups'!A120,'A-2 On-Site Habitat Creation'!$G$11:$G$256)</f>
        <v>0</v>
      </c>
      <c r="L120" s="277">
        <f>SUMIF('A-2 On-Site Habitat Creation'!$F$11:$F$256,'G-2 Habitat groups'!A120,'A-2 On-Site Habitat Creation'!$Y$11:$Y$256)</f>
        <v>0</v>
      </c>
      <c r="M120" s="277">
        <f>SUMIF('A-3 On-Site Habitat Enhancement'!$S$12:$S$257,'G-2 Habitat groups'!A120,'A-3 On-Site Habitat Enhancement'!$V$12:$V$257)</f>
        <v>0</v>
      </c>
      <c r="N120" s="277">
        <f>SUMIF('A-3 On-Site Habitat Enhancement'!$S$12:$S$257,'G-2 Habitat groups'!A120,'A-3 On-Site Habitat Enhancement'!$AN$12:$AN$257)</f>
        <v>0</v>
      </c>
      <c r="O120" s="277">
        <f t="shared" si="75"/>
        <v>0</v>
      </c>
      <c r="P120" s="277">
        <f t="shared" si="76"/>
        <v>0</v>
      </c>
      <c r="Q120" s="277">
        <f t="shared" si="77"/>
        <v>0</v>
      </c>
      <c r="R120" s="277">
        <f t="shared" si="78"/>
        <v>0</v>
      </c>
      <c r="S120" s="277" t="e">
        <f>IF(C120="V.High",SUMIF(#REF!,'G-2 Habitat groups'!A120,#REF!)+SUMIF(#REF!,'G-2 Habitat groups'!A120,#REF!),SUMIF(#REF!,'G-2 Habitat groups'!A120,#REF!))</f>
        <v>#REF!</v>
      </c>
      <c r="T120" s="277" t="e">
        <f>SUMIF(#REF!,'G-2 Habitat groups'!A120,#REF!)</f>
        <v>#REF!</v>
      </c>
      <c r="U120" s="277" t="e">
        <f>SUMIF(#REF!,'G-2 Habitat groups'!A120,#REF!)</f>
        <v>#REF!</v>
      </c>
      <c r="V120" s="277" t="e">
        <f>SUMIF(#REF!,'G-2 Habitat groups'!A120,#REF!)</f>
        <v>#REF!</v>
      </c>
      <c r="W120" s="277" t="e">
        <f>SUMIF(#REF!,'G-2 Habitat groups'!A120,#REF!)</f>
        <v>#REF!</v>
      </c>
      <c r="X120" s="277" t="e">
        <f>SUMIF(#REF!,'G-2 Habitat groups'!A120,#REF!)</f>
        <v>#REF!</v>
      </c>
      <c r="Y120" s="277" t="e">
        <f>SUMIF(#REF!,'G-2 Habitat groups'!A120,#REF!)</f>
        <v>#REF!</v>
      </c>
      <c r="Z120" s="277" t="e">
        <f>SUMIF(#REF!,'G-2 Habitat groups'!A120,#REF!)</f>
        <v>#REF!</v>
      </c>
      <c r="AA120" s="277" t="e">
        <f t="shared" si="79"/>
        <v>#REF!</v>
      </c>
      <c r="AB120" s="277" t="e">
        <f t="shared" si="80"/>
        <v>#REF!</v>
      </c>
      <c r="AC120" s="277" t="e">
        <f t="shared" si="81"/>
        <v>#REF!</v>
      </c>
      <c r="AD120" s="277" t="e">
        <f t="shared" si="82"/>
        <v>#REF!</v>
      </c>
      <c r="AE120" s="277" t="e">
        <f t="shared" si="83"/>
        <v>#REF!</v>
      </c>
      <c r="AF120" s="277" t="e">
        <f t="shared" si="84"/>
        <v>#REF!</v>
      </c>
      <c r="AU120" s="63" t="s">
        <v>341</v>
      </c>
      <c r="AV120" s="52" t="s">
        <v>47</v>
      </c>
      <c r="AW120" s="288">
        <f t="shared" si="85"/>
        <v>0</v>
      </c>
      <c r="AX120" s="288">
        <f t="shared" si="88"/>
        <v>0</v>
      </c>
      <c r="AY120" s="288">
        <f t="shared" si="89"/>
        <v>0</v>
      </c>
      <c r="AZ120" s="288">
        <f t="shared" si="90"/>
        <v>0</v>
      </c>
      <c r="BA120" s="288">
        <f t="shared" si="91"/>
        <v>0</v>
      </c>
      <c r="BB120" s="288">
        <f t="shared" si="92"/>
        <v>0</v>
      </c>
      <c r="BC120" s="288" t="e">
        <f t="shared" si="93"/>
        <v>#REF!</v>
      </c>
      <c r="BD120" s="288" t="e">
        <f t="shared" si="94"/>
        <v>#REF!</v>
      </c>
      <c r="BE120" s="288" t="e">
        <f t="shared" si="86"/>
        <v>#REF!</v>
      </c>
      <c r="BF120" s="288" t="e">
        <f t="shared" si="87"/>
        <v>#REF!</v>
      </c>
    </row>
    <row r="121" spans="1:58" x14ac:dyDescent="0.3">
      <c r="A121" s="63" t="str">
        <f>'G-1 All Habitats'!B122</f>
        <v>Intertidal sediment - Features of littoral sediment</v>
      </c>
      <c r="B121" s="52" t="str">
        <f>'G-1 All Habitats'!F122</f>
        <v>Intertidal sediment</v>
      </c>
      <c r="C121" s="52" t="str">
        <f>'G-1 All Habitats'!K122</f>
        <v>High</v>
      </c>
      <c r="D121" s="52" t="str">
        <f>'G-1 All Habitats'!M122</f>
        <v>Same habitat required =</v>
      </c>
      <c r="E121" s="277">
        <f>IF(C121="V.High",SUMIF('A-1 On-Site Habitat Baseline'!$AV$11:$AV$258,'G-2 Habitat groups'!A121,'A-1 On-Site Habitat Baseline'!$S$11:$S$258)+SUMIF('A-1 On-Site Habitat Baseline'!$AV$11:$AV$258,'G-2 Habitat groups'!A121,'A-1 On-Site Habitat Baseline'!$T$11:$T$258),SUMIF('A-1 On-Site Habitat Baseline'!$AV$11:$AV$258,'G-2 Habitat groups'!A121,'A-1 On-Site Habitat Baseline'!$H$11:$H$258))</f>
        <v>0</v>
      </c>
      <c r="F121" s="277">
        <f>SUMIF('A-1 On-Site Habitat Baseline'!$AV$11:$AV$258,'G-2 Habitat groups'!A121,'A-1 On-Site Habitat Baseline'!$Q$11:$Q$258)</f>
        <v>0</v>
      </c>
      <c r="G121" s="277">
        <f>SUMIF('A-1 On-Site Habitat Baseline'!$AV$11:$AV$258,'G-2 Habitat groups'!A121,'A-1 On-Site Habitat Baseline'!$S$11:$S$258)</f>
        <v>0</v>
      </c>
      <c r="H121" s="277">
        <f>SUMIF('A-1 On-Site Habitat Baseline'!$AV$11:$AV$258,'G-2 Habitat groups'!A121,'A-1 On-Site Habitat Baseline'!$U$11:$U$258)</f>
        <v>0</v>
      </c>
      <c r="I121" s="277">
        <f>SUMIF('A-1 On-Site Habitat Baseline'!$AV$11:$AV$258,'G-2 Habitat groups'!A121,'A-1 On-Site Habitat Baseline'!$W$11:$W$258)</f>
        <v>0</v>
      </c>
      <c r="J121" s="277">
        <f>SUMIF('A-1 On-Site Habitat Baseline'!$AV$11:$AV$258,'G-2 Habitat groups'!A121,'A-1 On-Site Habitat Baseline'!$X$11:$X$258)</f>
        <v>0</v>
      </c>
      <c r="K121" s="277">
        <f>SUMIF('A-2 On-Site Habitat Creation'!$F$11:$F$256,'G-2 Habitat groups'!A121,'A-2 On-Site Habitat Creation'!$G$11:$G$256)</f>
        <v>0</v>
      </c>
      <c r="L121" s="277">
        <f>SUMIF('A-2 On-Site Habitat Creation'!$F$11:$F$256,'G-2 Habitat groups'!A121,'A-2 On-Site Habitat Creation'!$Y$11:$Y$256)</f>
        <v>0</v>
      </c>
      <c r="M121" s="277">
        <f>SUMIF('A-3 On-Site Habitat Enhancement'!$S$12:$S$257,'G-2 Habitat groups'!A121,'A-3 On-Site Habitat Enhancement'!$V$12:$V$257)</f>
        <v>0</v>
      </c>
      <c r="N121" s="277">
        <f>SUMIF('A-3 On-Site Habitat Enhancement'!$S$12:$S$257,'G-2 Habitat groups'!A121,'A-3 On-Site Habitat Enhancement'!$AN$12:$AN$257)</f>
        <v>0</v>
      </c>
      <c r="O121" s="277">
        <f t="shared" si="75"/>
        <v>0</v>
      </c>
      <c r="P121" s="277">
        <f t="shared" si="76"/>
        <v>0</v>
      </c>
      <c r="Q121" s="277">
        <f t="shared" si="77"/>
        <v>0</v>
      </c>
      <c r="R121" s="277">
        <f t="shared" si="78"/>
        <v>0</v>
      </c>
      <c r="S121" s="277" t="e">
        <f>IF(C121="V.High",SUMIF(#REF!,'G-2 Habitat groups'!A121,#REF!)+SUMIF(#REF!,'G-2 Habitat groups'!A121,#REF!),SUMIF(#REF!,'G-2 Habitat groups'!A121,#REF!))</f>
        <v>#REF!</v>
      </c>
      <c r="T121" s="277" t="e">
        <f>SUMIF(#REF!,'G-2 Habitat groups'!A121,#REF!)</f>
        <v>#REF!</v>
      </c>
      <c r="U121" s="277" t="e">
        <f>SUMIF(#REF!,'G-2 Habitat groups'!A121,#REF!)</f>
        <v>#REF!</v>
      </c>
      <c r="V121" s="277" t="e">
        <f>SUMIF(#REF!,'G-2 Habitat groups'!A121,#REF!)</f>
        <v>#REF!</v>
      </c>
      <c r="W121" s="277" t="e">
        <f>SUMIF(#REF!,'G-2 Habitat groups'!A121,#REF!)</f>
        <v>#REF!</v>
      </c>
      <c r="X121" s="277" t="e">
        <f>SUMIF(#REF!,'G-2 Habitat groups'!A121,#REF!)</f>
        <v>#REF!</v>
      </c>
      <c r="Y121" s="277" t="e">
        <f>SUMIF(#REF!,'G-2 Habitat groups'!A121,#REF!)</f>
        <v>#REF!</v>
      </c>
      <c r="Z121" s="277" t="e">
        <f>SUMIF(#REF!,'G-2 Habitat groups'!A121,#REF!)</f>
        <v>#REF!</v>
      </c>
      <c r="AA121" s="277" t="e">
        <f t="shared" si="79"/>
        <v>#REF!</v>
      </c>
      <c r="AB121" s="277" t="e">
        <f t="shared" si="80"/>
        <v>#REF!</v>
      </c>
      <c r="AC121" s="277" t="e">
        <f t="shared" si="81"/>
        <v>#REF!</v>
      </c>
      <c r="AD121" s="277" t="e">
        <f t="shared" si="82"/>
        <v>#REF!</v>
      </c>
      <c r="AE121" s="277" t="e">
        <f t="shared" si="83"/>
        <v>#REF!</v>
      </c>
      <c r="AF121" s="277" t="e">
        <f t="shared" si="84"/>
        <v>#REF!</v>
      </c>
      <c r="AU121" s="63" t="s">
        <v>422</v>
      </c>
      <c r="AV121" s="52" t="s">
        <v>48</v>
      </c>
      <c r="AW121" s="288">
        <f t="shared" si="85"/>
        <v>0</v>
      </c>
      <c r="AX121" s="288">
        <f t="shared" si="88"/>
        <v>0</v>
      </c>
      <c r="AY121" s="288">
        <f t="shared" si="89"/>
        <v>0</v>
      </c>
      <c r="AZ121" s="288">
        <f t="shared" si="90"/>
        <v>0</v>
      </c>
      <c r="BA121" s="288">
        <f t="shared" si="91"/>
        <v>0</v>
      </c>
      <c r="BB121" s="288">
        <f t="shared" si="92"/>
        <v>0</v>
      </c>
      <c r="BC121" s="288" t="e">
        <f t="shared" si="93"/>
        <v>#REF!</v>
      </c>
      <c r="BD121" s="288" t="e">
        <f t="shared" si="94"/>
        <v>#REF!</v>
      </c>
      <c r="BE121" s="288" t="e">
        <f t="shared" si="86"/>
        <v>#REF!</v>
      </c>
      <c r="BF121" s="288" t="e">
        <f t="shared" si="87"/>
        <v>#REF!</v>
      </c>
    </row>
    <row r="122" spans="1:58" x14ac:dyDescent="0.3">
      <c r="A122" s="63" t="str">
        <f>'G-1 All Habitats'!B123</f>
        <v>Intertidal sediment - Artificial littoral coarse sediment</v>
      </c>
      <c r="B122" s="52" t="str">
        <f>'G-1 All Habitats'!F123</f>
        <v>Intertidal sediment</v>
      </c>
      <c r="C122" s="52" t="str">
        <f>'G-1 All Habitats'!K123</f>
        <v>Low</v>
      </c>
      <c r="D122" s="52" t="str">
        <f>'G-1 All Habitats'!M123</f>
        <v>Same distinctiveness or better habitat required ≥</v>
      </c>
      <c r="E122" s="277">
        <f>IF(C122="V.High",SUMIF('A-1 On-Site Habitat Baseline'!$AV$11:$AV$258,'G-2 Habitat groups'!A122,'A-1 On-Site Habitat Baseline'!$S$11:$S$258)+SUMIF('A-1 On-Site Habitat Baseline'!$AV$11:$AV$258,'G-2 Habitat groups'!A122,'A-1 On-Site Habitat Baseline'!$T$11:$T$258),SUMIF('A-1 On-Site Habitat Baseline'!$AV$11:$AV$258,'G-2 Habitat groups'!A122,'A-1 On-Site Habitat Baseline'!$H$11:$H$258))</f>
        <v>0</v>
      </c>
      <c r="F122" s="277">
        <f>SUMIF('A-1 On-Site Habitat Baseline'!$AV$11:$AV$258,'G-2 Habitat groups'!A122,'A-1 On-Site Habitat Baseline'!$Q$11:$Q$258)</f>
        <v>0</v>
      </c>
      <c r="G122" s="277">
        <f>SUMIF('A-1 On-Site Habitat Baseline'!$AV$11:$AV$258,'G-2 Habitat groups'!A122,'A-1 On-Site Habitat Baseline'!$S$11:$S$258)</f>
        <v>0</v>
      </c>
      <c r="H122" s="277">
        <f>SUMIF('A-1 On-Site Habitat Baseline'!$AV$11:$AV$258,'G-2 Habitat groups'!A122,'A-1 On-Site Habitat Baseline'!$U$11:$U$258)</f>
        <v>0</v>
      </c>
      <c r="I122" s="277">
        <f>SUMIF('A-1 On-Site Habitat Baseline'!$AV$11:$AV$258,'G-2 Habitat groups'!A122,'A-1 On-Site Habitat Baseline'!$W$11:$W$258)</f>
        <v>0</v>
      </c>
      <c r="J122" s="277">
        <f>SUMIF('A-1 On-Site Habitat Baseline'!$AV$11:$AV$258,'G-2 Habitat groups'!A122,'A-1 On-Site Habitat Baseline'!$X$11:$X$258)</f>
        <v>0</v>
      </c>
      <c r="K122" s="277">
        <f>SUMIF('A-2 On-Site Habitat Creation'!$F$11:$F$256,'G-2 Habitat groups'!A122,'A-2 On-Site Habitat Creation'!$G$11:$G$256)</f>
        <v>0</v>
      </c>
      <c r="L122" s="277">
        <f>SUMIF('A-2 On-Site Habitat Creation'!$F$11:$F$256,'G-2 Habitat groups'!A122,'A-2 On-Site Habitat Creation'!$Y$11:$Y$256)</f>
        <v>0</v>
      </c>
      <c r="M122" s="277">
        <f>SUMIF('A-3 On-Site Habitat Enhancement'!$S$12:$S$257,'G-2 Habitat groups'!A122,'A-3 On-Site Habitat Enhancement'!$V$12:$V$257)</f>
        <v>0</v>
      </c>
      <c r="N122" s="277">
        <f>SUMIF('A-3 On-Site Habitat Enhancement'!$S$12:$S$257,'G-2 Habitat groups'!A122,'A-3 On-Site Habitat Enhancement'!$AN$12:$AN$257)</f>
        <v>0</v>
      </c>
      <c r="O122" s="277">
        <f t="shared" si="75"/>
        <v>0</v>
      </c>
      <c r="P122" s="277">
        <f t="shared" si="76"/>
        <v>0</v>
      </c>
      <c r="Q122" s="277">
        <f t="shared" si="77"/>
        <v>0</v>
      </c>
      <c r="R122" s="277">
        <f t="shared" si="78"/>
        <v>0</v>
      </c>
      <c r="S122" s="277" t="e">
        <f>IF(C122="V.High",SUMIF(#REF!,'G-2 Habitat groups'!A122,#REF!)+SUMIF(#REF!,'G-2 Habitat groups'!A122,#REF!),SUMIF(#REF!,'G-2 Habitat groups'!A122,#REF!))</f>
        <v>#REF!</v>
      </c>
      <c r="T122" s="277" t="e">
        <f>SUMIF(#REF!,'G-2 Habitat groups'!A122,#REF!)</f>
        <v>#REF!</v>
      </c>
      <c r="U122" s="277" t="e">
        <f>SUMIF(#REF!,'G-2 Habitat groups'!A122,#REF!)</f>
        <v>#REF!</v>
      </c>
      <c r="V122" s="277" t="e">
        <f>SUMIF(#REF!,'G-2 Habitat groups'!A122,#REF!)</f>
        <v>#REF!</v>
      </c>
      <c r="W122" s="277" t="e">
        <f>SUMIF(#REF!,'G-2 Habitat groups'!A122,#REF!)</f>
        <v>#REF!</v>
      </c>
      <c r="X122" s="277" t="e">
        <f>SUMIF(#REF!,'G-2 Habitat groups'!A122,#REF!)</f>
        <v>#REF!</v>
      </c>
      <c r="Y122" s="277" t="e">
        <f>SUMIF(#REF!,'G-2 Habitat groups'!A122,#REF!)</f>
        <v>#REF!</v>
      </c>
      <c r="Z122" s="277" t="e">
        <f>SUMIF(#REF!,'G-2 Habitat groups'!A122,#REF!)</f>
        <v>#REF!</v>
      </c>
      <c r="AA122" s="277" t="e">
        <f t="shared" si="79"/>
        <v>#REF!</v>
      </c>
      <c r="AB122" s="277" t="e">
        <f t="shared" si="80"/>
        <v>#REF!</v>
      </c>
      <c r="AC122" s="277" t="e">
        <f t="shared" si="81"/>
        <v>#REF!</v>
      </c>
      <c r="AD122" s="277" t="e">
        <f t="shared" si="82"/>
        <v>#REF!</v>
      </c>
      <c r="AE122" s="277" t="e">
        <f t="shared" si="83"/>
        <v>#REF!</v>
      </c>
      <c r="AF122" s="277" t="e">
        <f t="shared" si="84"/>
        <v>#REF!</v>
      </c>
      <c r="AU122" s="63" t="s">
        <v>446</v>
      </c>
      <c r="AV122" s="52" t="s">
        <v>49</v>
      </c>
      <c r="AW122" s="288">
        <f>VLOOKUP($AU123,AllHabsSummaryData,5,FALSE)</f>
        <v>0</v>
      </c>
      <c r="AX122" s="288">
        <f t="shared" si="88"/>
        <v>0</v>
      </c>
      <c r="AY122" s="288">
        <f t="shared" si="89"/>
        <v>0</v>
      </c>
      <c r="AZ122" s="288">
        <f t="shared" si="90"/>
        <v>0</v>
      </c>
      <c r="BA122" s="288">
        <f t="shared" si="91"/>
        <v>0</v>
      </c>
      <c r="BB122" s="288">
        <f t="shared" si="92"/>
        <v>0</v>
      </c>
      <c r="BC122" s="288" t="e">
        <f t="shared" si="93"/>
        <v>#REF!</v>
      </c>
      <c r="BD122" s="288" t="e">
        <f t="shared" si="94"/>
        <v>#REF!</v>
      </c>
      <c r="BE122" s="288" t="e">
        <f t="shared" si="86"/>
        <v>#REF!</v>
      </c>
      <c r="BF122" s="288" t="e">
        <f t="shared" si="87"/>
        <v>#REF!</v>
      </c>
    </row>
    <row r="123" spans="1:58" x14ac:dyDescent="0.3">
      <c r="A123" s="63" t="str">
        <f>'G-1 All Habitats'!B124</f>
        <v>Intertidal sediment - Artificial littoral mud</v>
      </c>
      <c r="B123" s="52" t="str">
        <f>'G-1 All Habitats'!F124</f>
        <v>Intertidal sediment</v>
      </c>
      <c r="C123" s="52" t="str">
        <f>'G-1 All Habitats'!K124</f>
        <v>Low</v>
      </c>
      <c r="D123" s="52" t="str">
        <f>'G-1 All Habitats'!M124</f>
        <v>Same distinctiveness or better habitat required ≥</v>
      </c>
      <c r="E123" s="277">
        <f>IF(C123="V.High",SUMIF('A-1 On-Site Habitat Baseline'!$AV$11:$AV$258,'G-2 Habitat groups'!A123,'A-1 On-Site Habitat Baseline'!$S$11:$S$258)+SUMIF('A-1 On-Site Habitat Baseline'!$AV$11:$AV$258,'G-2 Habitat groups'!A123,'A-1 On-Site Habitat Baseline'!$T$11:$T$258),SUMIF('A-1 On-Site Habitat Baseline'!$AV$11:$AV$258,'G-2 Habitat groups'!A123,'A-1 On-Site Habitat Baseline'!$H$11:$H$258))</f>
        <v>0</v>
      </c>
      <c r="F123" s="277">
        <f>SUMIF('A-1 On-Site Habitat Baseline'!$AV$11:$AV$258,'G-2 Habitat groups'!A123,'A-1 On-Site Habitat Baseline'!$Q$11:$Q$258)</f>
        <v>0</v>
      </c>
      <c r="G123" s="277">
        <f>SUMIF('A-1 On-Site Habitat Baseline'!$AV$11:$AV$258,'G-2 Habitat groups'!A123,'A-1 On-Site Habitat Baseline'!$S$11:$S$258)</f>
        <v>0</v>
      </c>
      <c r="H123" s="277">
        <f>SUMIF('A-1 On-Site Habitat Baseline'!$AV$11:$AV$258,'G-2 Habitat groups'!A123,'A-1 On-Site Habitat Baseline'!$U$11:$U$258)</f>
        <v>0</v>
      </c>
      <c r="I123" s="277">
        <f>SUMIF('A-1 On-Site Habitat Baseline'!$AV$11:$AV$258,'G-2 Habitat groups'!A123,'A-1 On-Site Habitat Baseline'!$W$11:$W$258)</f>
        <v>0</v>
      </c>
      <c r="J123" s="277">
        <f>SUMIF('A-1 On-Site Habitat Baseline'!$AV$11:$AV$258,'G-2 Habitat groups'!A123,'A-1 On-Site Habitat Baseline'!$X$11:$X$258)</f>
        <v>0</v>
      </c>
      <c r="K123" s="277">
        <f>SUMIF('A-2 On-Site Habitat Creation'!$F$11:$F$256,'G-2 Habitat groups'!A123,'A-2 On-Site Habitat Creation'!$G$11:$G$256)</f>
        <v>0</v>
      </c>
      <c r="L123" s="277">
        <f>SUMIF('A-2 On-Site Habitat Creation'!$F$11:$F$256,'G-2 Habitat groups'!A123,'A-2 On-Site Habitat Creation'!$Y$11:$Y$256)</f>
        <v>0</v>
      </c>
      <c r="M123" s="277">
        <f>SUMIF('A-3 On-Site Habitat Enhancement'!$S$12:$S$257,'G-2 Habitat groups'!A123,'A-3 On-Site Habitat Enhancement'!$V$12:$V$257)</f>
        <v>0</v>
      </c>
      <c r="N123" s="277">
        <f>SUMIF('A-3 On-Site Habitat Enhancement'!$S$12:$S$257,'G-2 Habitat groups'!A123,'A-3 On-Site Habitat Enhancement'!$AN$12:$AN$257)</f>
        <v>0</v>
      </c>
      <c r="O123" s="277">
        <f t="shared" si="75"/>
        <v>0</v>
      </c>
      <c r="P123" s="277">
        <f t="shared" si="76"/>
        <v>0</v>
      </c>
      <c r="Q123" s="277">
        <f t="shared" si="77"/>
        <v>0</v>
      </c>
      <c r="R123" s="277">
        <f t="shared" si="78"/>
        <v>0</v>
      </c>
      <c r="S123" s="277" t="e">
        <f>IF(C123="V.High",SUMIF(#REF!,'G-2 Habitat groups'!A123,#REF!)+SUMIF(#REF!,'G-2 Habitat groups'!A123,#REF!),SUMIF(#REF!,'G-2 Habitat groups'!A123,#REF!))</f>
        <v>#REF!</v>
      </c>
      <c r="T123" s="277" t="e">
        <f>SUMIF(#REF!,'G-2 Habitat groups'!A123,#REF!)</f>
        <v>#REF!</v>
      </c>
      <c r="U123" s="277" t="e">
        <f>SUMIF(#REF!,'G-2 Habitat groups'!A123,#REF!)</f>
        <v>#REF!</v>
      </c>
      <c r="V123" s="277" t="e">
        <f>SUMIF(#REF!,'G-2 Habitat groups'!A123,#REF!)</f>
        <v>#REF!</v>
      </c>
      <c r="W123" s="277" t="e">
        <f>SUMIF(#REF!,'G-2 Habitat groups'!A123,#REF!)</f>
        <v>#REF!</v>
      </c>
      <c r="X123" s="277" t="e">
        <f>SUMIF(#REF!,'G-2 Habitat groups'!A123,#REF!)</f>
        <v>#REF!</v>
      </c>
      <c r="Y123" s="277" t="e">
        <f>SUMIF(#REF!,'G-2 Habitat groups'!A123,#REF!)</f>
        <v>#REF!</v>
      </c>
      <c r="Z123" s="277" t="e">
        <f>SUMIF(#REF!,'G-2 Habitat groups'!A123,#REF!)</f>
        <v>#REF!</v>
      </c>
      <c r="AA123" s="277" t="e">
        <f t="shared" si="79"/>
        <v>#REF!</v>
      </c>
      <c r="AB123" s="277" t="e">
        <f t="shared" si="80"/>
        <v>#REF!</v>
      </c>
      <c r="AC123" s="277" t="e">
        <f t="shared" si="81"/>
        <v>#REF!</v>
      </c>
      <c r="AD123" s="277" t="e">
        <f t="shared" si="82"/>
        <v>#REF!</v>
      </c>
      <c r="AE123" s="277" t="e">
        <f t="shared" si="83"/>
        <v>#REF!</v>
      </c>
      <c r="AF123" s="277" t="e">
        <f t="shared" si="84"/>
        <v>#REF!</v>
      </c>
      <c r="AU123" s="63" t="s">
        <v>810</v>
      </c>
      <c r="AV123" s="52" t="s">
        <v>50</v>
      </c>
      <c r="AW123" s="288">
        <f>VLOOKUP($AU124,AllHabsSummaryData,5,FALSE)</f>
        <v>0</v>
      </c>
      <c r="AX123" s="288">
        <f t="shared" si="88"/>
        <v>0</v>
      </c>
      <c r="AY123" s="288">
        <f t="shared" si="89"/>
        <v>0</v>
      </c>
      <c r="AZ123" s="288">
        <f t="shared" si="90"/>
        <v>0</v>
      </c>
      <c r="BA123" s="288">
        <f t="shared" si="91"/>
        <v>0</v>
      </c>
      <c r="BB123" s="288">
        <f t="shared" si="92"/>
        <v>0</v>
      </c>
      <c r="BC123" s="288" t="e">
        <f t="shared" si="93"/>
        <v>#REF!</v>
      </c>
      <c r="BD123" s="288" t="e">
        <f t="shared" si="94"/>
        <v>#REF!</v>
      </c>
      <c r="BE123" s="288" t="e">
        <f t="shared" si="86"/>
        <v>#REF!</v>
      </c>
      <c r="BF123" s="288" t="e">
        <f t="shared" si="87"/>
        <v>#REF!</v>
      </c>
    </row>
    <row r="124" spans="1:58" x14ac:dyDescent="0.3">
      <c r="A124" s="63" t="str">
        <f>'G-1 All Habitats'!B125</f>
        <v>Intertidal sediment - Artificial littoral sand</v>
      </c>
      <c r="B124" s="52" t="str">
        <f>'G-1 All Habitats'!F125</f>
        <v>Intertidal sediment</v>
      </c>
      <c r="C124" s="52" t="str">
        <f>'G-1 All Habitats'!K125</f>
        <v>Low</v>
      </c>
      <c r="D124" s="52" t="str">
        <f>'G-1 All Habitats'!M125</f>
        <v>Same distinctiveness or better habitat required ≥</v>
      </c>
      <c r="E124" s="277">
        <f>IF(C124="V.High",SUMIF('A-1 On-Site Habitat Baseline'!$AV$11:$AV$258,'G-2 Habitat groups'!A124,'A-1 On-Site Habitat Baseline'!$S$11:$S$258)+SUMIF('A-1 On-Site Habitat Baseline'!$AV$11:$AV$258,'G-2 Habitat groups'!A124,'A-1 On-Site Habitat Baseline'!$T$11:$T$258),SUMIF('A-1 On-Site Habitat Baseline'!$AV$11:$AV$258,'G-2 Habitat groups'!A124,'A-1 On-Site Habitat Baseline'!$H$11:$H$258))</f>
        <v>0</v>
      </c>
      <c r="F124" s="277">
        <f>SUMIF('A-1 On-Site Habitat Baseline'!$AV$11:$AV$258,'G-2 Habitat groups'!A124,'A-1 On-Site Habitat Baseline'!$Q$11:$Q$258)</f>
        <v>0</v>
      </c>
      <c r="G124" s="277">
        <f>SUMIF('A-1 On-Site Habitat Baseline'!$AV$11:$AV$258,'G-2 Habitat groups'!A124,'A-1 On-Site Habitat Baseline'!$S$11:$S$258)</f>
        <v>0</v>
      </c>
      <c r="H124" s="277">
        <f>SUMIF('A-1 On-Site Habitat Baseline'!$AV$11:$AV$258,'G-2 Habitat groups'!A124,'A-1 On-Site Habitat Baseline'!$U$11:$U$258)</f>
        <v>0</v>
      </c>
      <c r="I124" s="277">
        <f>SUMIF('A-1 On-Site Habitat Baseline'!$AV$11:$AV$258,'G-2 Habitat groups'!A124,'A-1 On-Site Habitat Baseline'!$W$11:$W$258)</f>
        <v>0</v>
      </c>
      <c r="J124" s="277">
        <f>SUMIF('A-1 On-Site Habitat Baseline'!$AV$11:$AV$258,'G-2 Habitat groups'!A124,'A-1 On-Site Habitat Baseline'!$X$11:$X$258)</f>
        <v>0</v>
      </c>
      <c r="K124" s="277">
        <f>SUMIF('A-2 On-Site Habitat Creation'!$F$11:$F$256,'G-2 Habitat groups'!A124,'A-2 On-Site Habitat Creation'!$G$11:$G$256)</f>
        <v>0</v>
      </c>
      <c r="L124" s="277">
        <f>SUMIF('A-2 On-Site Habitat Creation'!$F$11:$F$256,'G-2 Habitat groups'!A124,'A-2 On-Site Habitat Creation'!$Y$11:$Y$256)</f>
        <v>0</v>
      </c>
      <c r="M124" s="277">
        <f>SUMIF('A-3 On-Site Habitat Enhancement'!$S$12:$S$257,'G-2 Habitat groups'!A124,'A-3 On-Site Habitat Enhancement'!$V$12:$V$257)</f>
        <v>0</v>
      </c>
      <c r="N124" s="277">
        <f>SUMIF('A-3 On-Site Habitat Enhancement'!$S$12:$S$257,'G-2 Habitat groups'!A124,'A-3 On-Site Habitat Enhancement'!$AN$12:$AN$257)</f>
        <v>0</v>
      </c>
      <c r="O124" s="277">
        <f t="shared" si="75"/>
        <v>0</v>
      </c>
      <c r="P124" s="277">
        <f t="shared" si="76"/>
        <v>0</v>
      </c>
      <c r="Q124" s="277">
        <f t="shared" si="77"/>
        <v>0</v>
      </c>
      <c r="R124" s="277">
        <f t="shared" si="78"/>
        <v>0</v>
      </c>
      <c r="S124" s="277" t="e">
        <f>IF(C124="V.High",SUMIF(#REF!,'G-2 Habitat groups'!A124,#REF!)+SUMIF(#REF!,'G-2 Habitat groups'!A124,#REF!),SUMIF(#REF!,'G-2 Habitat groups'!A124,#REF!))</f>
        <v>#REF!</v>
      </c>
      <c r="T124" s="277" t="e">
        <f>SUMIF(#REF!,'G-2 Habitat groups'!A124,#REF!)</f>
        <v>#REF!</v>
      </c>
      <c r="U124" s="277" t="e">
        <f>SUMIF(#REF!,'G-2 Habitat groups'!A124,#REF!)</f>
        <v>#REF!</v>
      </c>
      <c r="V124" s="277" t="e">
        <f>SUMIF(#REF!,'G-2 Habitat groups'!A124,#REF!)</f>
        <v>#REF!</v>
      </c>
      <c r="W124" s="277" t="e">
        <f>SUMIF(#REF!,'G-2 Habitat groups'!A124,#REF!)</f>
        <v>#REF!</v>
      </c>
      <c r="X124" s="277" t="e">
        <f>SUMIF(#REF!,'G-2 Habitat groups'!A124,#REF!)</f>
        <v>#REF!</v>
      </c>
      <c r="Y124" s="277" t="e">
        <f>SUMIF(#REF!,'G-2 Habitat groups'!A124,#REF!)</f>
        <v>#REF!</v>
      </c>
      <c r="Z124" s="277" t="e">
        <f>SUMIF(#REF!,'G-2 Habitat groups'!A124,#REF!)</f>
        <v>#REF!</v>
      </c>
      <c r="AA124" s="277" t="e">
        <f t="shared" si="79"/>
        <v>#REF!</v>
      </c>
      <c r="AB124" s="277" t="e">
        <f t="shared" si="80"/>
        <v>#REF!</v>
      </c>
      <c r="AC124" s="277" t="e">
        <f t="shared" si="81"/>
        <v>#REF!</v>
      </c>
      <c r="AD124" s="277" t="e">
        <f t="shared" si="82"/>
        <v>#REF!</v>
      </c>
      <c r="AE124" s="277" t="e">
        <f t="shared" si="83"/>
        <v>#REF!</v>
      </c>
      <c r="AF124" s="277" t="e">
        <f t="shared" si="84"/>
        <v>#REF!</v>
      </c>
      <c r="AU124" s="63" t="s">
        <v>514</v>
      </c>
      <c r="AV124" s="52" t="s">
        <v>51</v>
      </c>
      <c r="AW124" s="288">
        <f t="shared" ref="AW124:AW151" si="95">VLOOKUP($AU124,AllHabsSummaryData,5,FALSE)</f>
        <v>0</v>
      </c>
      <c r="AX124" s="288">
        <f t="shared" si="88"/>
        <v>0</v>
      </c>
      <c r="AY124" s="288">
        <f t="shared" si="89"/>
        <v>0</v>
      </c>
      <c r="AZ124" s="288">
        <f t="shared" si="90"/>
        <v>0</v>
      </c>
      <c r="BA124" s="288">
        <f t="shared" si="91"/>
        <v>0</v>
      </c>
      <c r="BB124" s="288">
        <f t="shared" si="92"/>
        <v>0</v>
      </c>
      <c r="BC124" s="288" t="e">
        <f t="shared" si="93"/>
        <v>#REF!</v>
      </c>
      <c r="BD124" s="288" t="e">
        <f t="shared" si="94"/>
        <v>#REF!</v>
      </c>
      <c r="BE124" s="288" t="e">
        <f t="shared" si="86"/>
        <v>#REF!</v>
      </c>
      <c r="BF124" s="288" t="e">
        <f t="shared" si="87"/>
        <v>#REF!</v>
      </c>
    </row>
    <row r="125" spans="1:58" x14ac:dyDescent="0.3">
      <c r="A125" s="63" t="str">
        <f>'G-1 All Habitats'!B126</f>
        <v>Intertidal sediment - Artificial littoral muddy sand</v>
      </c>
      <c r="B125" s="52" t="str">
        <f>'G-1 All Habitats'!F126</f>
        <v>Intertidal sediment</v>
      </c>
      <c r="C125" s="52" t="str">
        <f>'G-1 All Habitats'!K126</f>
        <v>Low</v>
      </c>
      <c r="D125" s="52" t="str">
        <f>'G-1 All Habitats'!M126</f>
        <v>Same distinctiveness or better habitat required ≥</v>
      </c>
      <c r="E125" s="277">
        <f>IF(C125="V.High",SUMIF('A-1 On-Site Habitat Baseline'!$AV$11:$AV$258,'G-2 Habitat groups'!A125,'A-1 On-Site Habitat Baseline'!$S$11:$S$258)+SUMIF('A-1 On-Site Habitat Baseline'!$AV$11:$AV$258,'G-2 Habitat groups'!A125,'A-1 On-Site Habitat Baseline'!$T$11:$T$258),SUMIF('A-1 On-Site Habitat Baseline'!$AV$11:$AV$258,'G-2 Habitat groups'!A125,'A-1 On-Site Habitat Baseline'!$H$11:$H$258))</f>
        <v>0</v>
      </c>
      <c r="F125" s="277">
        <f>SUMIF('A-1 On-Site Habitat Baseline'!$AV$11:$AV$258,'G-2 Habitat groups'!A125,'A-1 On-Site Habitat Baseline'!$Q$11:$Q$258)</f>
        <v>0</v>
      </c>
      <c r="G125" s="277">
        <f>SUMIF('A-1 On-Site Habitat Baseline'!$AV$11:$AV$258,'G-2 Habitat groups'!A125,'A-1 On-Site Habitat Baseline'!$S$11:$S$258)</f>
        <v>0</v>
      </c>
      <c r="H125" s="277">
        <f>SUMIF('A-1 On-Site Habitat Baseline'!$AV$11:$AV$258,'G-2 Habitat groups'!A125,'A-1 On-Site Habitat Baseline'!$U$11:$U$258)</f>
        <v>0</v>
      </c>
      <c r="I125" s="277">
        <f>SUMIF('A-1 On-Site Habitat Baseline'!$AV$11:$AV$258,'G-2 Habitat groups'!A125,'A-1 On-Site Habitat Baseline'!$W$11:$W$258)</f>
        <v>0</v>
      </c>
      <c r="J125" s="277">
        <f>SUMIF('A-1 On-Site Habitat Baseline'!$AV$11:$AV$258,'G-2 Habitat groups'!A125,'A-1 On-Site Habitat Baseline'!$X$11:$X$258)</f>
        <v>0</v>
      </c>
      <c r="K125" s="277">
        <f>SUMIF('A-2 On-Site Habitat Creation'!$F$11:$F$256,'G-2 Habitat groups'!A125,'A-2 On-Site Habitat Creation'!$G$11:$G$256)</f>
        <v>0</v>
      </c>
      <c r="L125" s="277">
        <f>SUMIF('A-2 On-Site Habitat Creation'!$F$11:$F$256,'G-2 Habitat groups'!A125,'A-2 On-Site Habitat Creation'!$Y$11:$Y$256)</f>
        <v>0</v>
      </c>
      <c r="M125" s="277">
        <f>SUMIF('A-3 On-Site Habitat Enhancement'!$S$12:$S$257,'G-2 Habitat groups'!A125,'A-3 On-Site Habitat Enhancement'!$V$12:$V$257)</f>
        <v>0</v>
      </c>
      <c r="N125" s="277">
        <f>SUMIF('A-3 On-Site Habitat Enhancement'!$S$12:$S$257,'G-2 Habitat groups'!A125,'A-3 On-Site Habitat Enhancement'!$AN$12:$AN$257)</f>
        <v>0</v>
      </c>
      <c r="O125" s="277">
        <f t="shared" si="75"/>
        <v>0</v>
      </c>
      <c r="P125" s="277">
        <f t="shared" si="76"/>
        <v>0</v>
      </c>
      <c r="Q125" s="277">
        <f t="shared" si="77"/>
        <v>0</v>
      </c>
      <c r="R125" s="277">
        <f t="shared" si="78"/>
        <v>0</v>
      </c>
      <c r="S125" s="277" t="e">
        <f>IF(C125="V.High",SUMIF(#REF!,'G-2 Habitat groups'!A125,#REF!)+SUMIF(#REF!,'G-2 Habitat groups'!A125,#REF!),SUMIF(#REF!,'G-2 Habitat groups'!A125,#REF!))</f>
        <v>#REF!</v>
      </c>
      <c r="T125" s="277" t="e">
        <f>SUMIF(#REF!,'G-2 Habitat groups'!A125,#REF!)</f>
        <v>#REF!</v>
      </c>
      <c r="U125" s="277" t="e">
        <f>SUMIF(#REF!,'G-2 Habitat groups'!A125,#REF!)</f>
        <v>#REF!</v>
      </c>
      <c r="V125" s="277" t="e">
        <f>SUMIF(#REF!,'G-2 Habitat groups'!A125,#REF!)</f>
        <v>#REF!</v>
      </c>
      <c r="W125" s="277" t="e">
        <f>SUMIF(#REF!,'G-2 Habitat groups'!A125,#REF!)</f>
        <v>#REF!</v>
      </c>
      <c r="X125" s="277" t="e">
        <f>SUMIF(#REF!,'G-2 Habitat groups'!A125,#REF!)</f>
        <v>#REF!</v>
      </c>
      <c r="Y125" s="277" t="e">
        <f>SUMIF(#REF!,'G-2 Habitat groups'!A125,#REF!)</f>
        <v>#REF!</v>
      </c>
      <c r="Z125" s="277" t="e">
        <f>SUMIF(#REF!,'G-2 Habitat groups'!A125,#REF!)</f>
        <v>#REF!</v>
      </c>
      <c r="AA125" s="277" t="e">
        <f t="shared" si="79"/>
        <v>#REF!</v>
      </c>
      <c r="AB125" s="277" t="e">
        <f t="shared" si="80"/>
        <v>#REF!</v>
      </c>
      <c r="AC125" s="277" t="e">
        <f t="shared" si="81"/>
        <v>#REF!</v>
      </c>
      <c r="AD125" s="277" t="e">
        <f t="shared" si="82"/>
        <v>#REF!</v>
      </c>
      <c r="AE125" s="277" t="e">
        <f t="shared" si="83"/>
        <v>#REF!</v>
      </c>
      <c r="AF125" s="277" t="e">
        <f t="shared" si="84"/>
        <v>#REF!</v>
      </c>
      <c r="AU125" s="63" t="s">
        <v>509</v>
      </c>
      <c r="AV125" s="52" t="s">
        <v>51</v>
      </c>
      <c r="AW125" s="288">
        <f t="shared" si="95"/>
        <v>0</v>
      </c>
      <c r="AX125" s="288">
        <f t="shared" si="88"/>
        <v>0</v>
      </c>
      <c r="AY125" s="288">
        <f t="shared" si="89"/>
        <v>0</v>
      </c>
      <c r="AZ125" s="288">
        <f t="shared" si="90"/>
        <v>0</v>
      </c>
      <c r="BA125" s="288">
        <f t="shared" si="91"/>
        <v>0</v>
      </c>
      <c r="BB125" s="288">
        <f t="shared" si="92"/>
        <v>0</v>
      </c>
      <c r="BC125" s="288" t="e">
        <f t="shared" si="93"/>
        <v>#REF!</v>
      </c>
      <c r="BD125" s="288" t="e">
        <f t="shared" si="94"/>
        <v>#REF!</v>
      </c>
      <c r="BE125" s="288" t="e">
        <f t="shared" si="86"/>
        <v>#REF!</v>
      </c>
      <c r="BF125" s="288" t="e">
        <f t="shared" si="87"/>
        <v>#REF!</v>
      </c>
    </row>
    <row r="126" spans="1:58" x14ac:dyDescent="0.3">
      <c r="A126" s="63" t="str">
        <f>'G-1 All Habitats'!B127</f>
        <v>Intertidal sediment - Artificial littoral mixed sediments</v>
      </c>
      <c r="B126" s="52" t="str">
        <f>'G-1 All Habitats'!F127</f>
        <v>Intertidal sediment</v>
      </c>
      <c r="C126" s="52" t="str">
        <f>'G-1 All Habitats'!K127</f>
        <v>Low</v>
      </c>
      <c r="D126" s="52" t="str">
        <f>'G-1 All Habitats'!M127</f>
        <v>Same distinctiveness or better habitat required ≥</v>
      </c>
      <c r="E126" s="277">
        <f>IF(C126="V.High",SUMIF('A-1 On-Site Habitat Baseline'!$AV$11:$AV$258,'G-2 Habitat groups'!A126,'A-1 On-Site Habitat Baseline'!$S$11:$S$258)+SUMIF('A-1 On-Site Habitat Baseline'!$AV$11:$AV$258,'G-2 Habitat groups'!A126,'A-1 On-Site Habitat Baseline'!$T$11:$T$258),SUMIF('A-1 On-Site Habitat Baseline'!$AV$11:$AV$258,'G-2 Habitat groups'!A126,'A-1 On-Site Habitat Baseline'!$H$11:$H$258))</f>
        <v>0</v>
      </c>
      <c r="F126" s="277">
        <f>SUMIF('A-1 On-Site Habitat Baseline'!$AV$11:$AV$258,'G-2 Habitat groups'!A126,'A-1 On-Site Habitat Baseline'!$Q$11:$Q$258)</f>
        <v>0</v>
      </c>
      <c r="G126" s="277">
        <f>SUMIF('A-1 On-Site Habitat Baseline'!$AV$11:$AV$258,'G-2 Habitat groups'!A126,'A-1 On-Site Habitat Baseline'!$S$11:$S$258)</f>
        <v>0</v>
      </c>
      <c r="H126" s="277">
        <f>SUMIF('A-1 On-Site Habitat Baseline'!$AV$11:$AV$258,'G-2 Habitat groups'!A126,'A-1 On-Site Habitat Baseline'!$U$11:$U$258)</f>
        <v>0</v>
      </c>
      <c r="I126" s="277">
        <f>SUMIF('A-1 On-Site Habitat Baseline'!$AV$11:$AV$258,'G-2 Habitat groups'!A126,'A-1 On-Site Habitat Baseline'!$W$11:$W$258)</f>
        <v>0</v>
      </c>
      <c r="J126" s="277">
        <f>SUMIF('A-1 On-Site Habitat Baseline'!$AV$11:$AV$258,'G-2 Habitat groups'!A126,'A-1 On-Site Habitat Baseline'!$X$11:$X$258)</f>
        <v>0</v>
      </c>
      <c r="K126" s="277">
        <f>SUMIF('A-2 On-Site Habitat Creation'!$F$11:$F$256,'G-2 Habitat groups'!A126,'A-2 On-Site Habitat Creation'!$G$11:$G$256)</f>
        <v>0</v>
      </c>
      <c r="L126" s="277">
        <f>SUMIF('A-2 On-Site Habitat Creation'!$F$11:$F$256,'G-2 Habitat groups'!A126,'A-2 On-Site Habitat Creation'!$Y$11:$Y$256)</f>
        <v>0</v>
      </c>
      <c r="M126" s="277">
        <f>SUMIF('A-3 On-Site Habitat Enhancement'!$S$12:$S$257,'G-2 Habitat groups'!A126,'A-3 On-Site Habitat Enhancement'!$V$12:$V$257)</f>
        <v>0</v>
      </c>
      <c r="N126" s="277">
        <f>SUMIF('A-3 On-Site Habitat Enhancement'!$S$12:$S$257,'G-2 Habitat groups'!A126,'A-3 On-Site Habitat Enhancement'!$AN$12:$AN$257)</f>
        <v>0</v>
      </c>
      <c r="O126" s="277">
        <f t="shared" si="75"/>
        <v>0</v>
      </c>
      <c r="P126" s="277">
        <f t="shared" si="76"/>
        <v>0</v>
      </c>
      <c r="Q126" s="277">
        <f t="shared" si="77"/>
        <v>0</v>
      </c>
      <c r="R126" s="277">
        <f t="shared" si="78"/>
        <v>0</v>
      </c>
      <c r="S126" s="277" t="e">
        <f>IF(C126="V.High",SUMIF(#REF!,'G-2 Habitat groups'!A126,#REF!)+SUMIF(#REF!,'G-2 Habitat groups'!A126,#REF!),SUMIF(#REF!,'G-2 Habitat groups'!A126,#REF!))</f>
        <v>#REF!</v>
      </c>
      <c r="T126" s="277" t="e">
        <f>SUMIF(#REF!,'G-2 Habitat groups'!A126,#REF!)</f>
        <v>#REF!</v>
      </c>
      <c r="U126" s="277" t="e">
        <f>SUMIF(#REF!,'G-2 Habitat groups'!A126,#REF!)</f>
        <v>#REF!</v>
      </c>
      <c r="V126" s="277" t="e">
        <f>SUMIF(#REF!,'G-2 Habitat groups'!A126,#REF!)</f>
        <v>#REF!</v>
      </c>
      <c r="W126" s="277" t="e">
        <f>SUMIF(#REF!,'G-2 Habitat groups'!A126,#REF!)</f>
        <v>#REF!</v>
      </c>
      <c r="X126" s="277" t="e">
        <f>SUMIF(#REF!,'G-2 Habitat groups'!A126,#REF!)</f>
        <v>#REF!</v>
      </c>
      <c r="Y126" s="277" t="e">
        <f>SUMIF(#REF!,'G-2 Habitat groups'!A126,#REF!)</f>
        <v>#REF!</v>
      </c>
      <c r="Z126" s="277" t="e">
        <f>SUMIF(#REF!,'G-2 Habitat groups'!A126,#REF!)</f>
        <v>#REF!</v>
      </c>
      <c r="AA126" s="277" t="e">
        <f t="shared" si="79"/>
        <v>#REF!</v>
      </c>
      <c r="AB126" s="277" t="e">
        <f t="shared" si="80"/>
        <v>#REF!</v>
      </c>
      <c r="AC126" s="277" t="e">
        <f t="shared" si="81"/>
        <v>#REF!</v>
      </c>
      <c r="AD126" s="277" t="e">
        <f t="shared" si="82"/>
        <v>#REF!</v>
      </c>
      <c r="AE126" s="277" t="e">
        <f t="shared" si="83"/>
        <v>#REF!</v>
      </c>
      <c r="AF126" s="277" t="e">
        <f t="shared" si="84"/>
        <v>#REF!</v>
      </c>
      <c r="AU126" s="63" t="s">
        <v>528</v>
      </c>
      <c r="AV126" s="52" t="s">
        <v>51</v>
      </c>
      <c r="AW126" s="288">
        <f t="shared" si="95"/>
        <v>0</v>
      </c>
      <c r="AX126" s="288">
        <f t="shared" si="88"/>
        <v>0</v>
      </c>
      <c r="AY126" s="288">
        <f t="shared" si="89"/>
        <v>0</v>
      </c>
      <c r="AZ126" s="288">
        <f t="shared" si="90"/>
        <v>0</v>
      </c>
      <c r="BA126" s="288">
        <f t="shared" si="91"/>
        <v>0</v>
      </c>
      <c r="BB126" s="288">
        <f t="shared" si="92"/>
        <v>0</v>
      </c>
      <c r="BC126" s="288" t="e">
        <f t="shared" si="93"/>
        <v>#REF!</v>
      </c>
      <c r="BD126" s="288" t="e">
        <f t="shared" si="94"/>
        <v>#REF!</v>
      </c>
      <c r="BE126" s="288" t="e">
        <f t="shared" si="86"/>
        <v>#REF!</v>
      </c>
      <c r="BF126" s="288" t="e">
        <f t="shared" si="87"/>
        <v>#REF!</v>
      </c>
    </row>
    <row r="127" spans="1:58" x14ac:dyDescent="0.3">
      <c r="A127" s="63" t="str">
        <f>'G-1 All Habitats'!B128</f>
        <v>Intertidal sediment - Artificial littoral seagrass</v>
      </c>
      <c r="B127" s="52" t="str">
        <f>'G-1 All Habitats'!F128</f>
        <v>Intertidal sediment</v>
      </c>
      <c r="C127" s="52" t="str">
        <f>'G-1 All Habitats'!K128</f>
        <v>Low</v>
      </c>
      <c r="D127" s="52" t="str">
        <f>'G-1 All Habitats'!M128</f>
        <v>Same distinctiveness or better habitat required ≥</v>
      </c>
      <c r="E127" s="277">
        <f>IF(C127="V.High",SUMIF('A-1 On-Site Habitat Baseline'!$AV$11:$AV$258,'G-2 Habitat groups'!A127,'A-1 On-Site Habitat Baseline'!$S$11:$S$258)+SUMIF('A-1 On-Site Habitat Baseline'!$AV$11:$AV$258,'G-2 Habitat groups'!A127,'A-1 On-Site Habitat Baseline'!$T$11:$T$258),SUMIF('A-1 On-Site Habitat Baseline'!$AV$11:$AV$258,'G-2 Habitat groups'!A127,'A-1 On-Site Habitat Baseline'!$H$11:$H$258))</f>
        <v>0</v>
      </c>
      <c r="F127" s="277">
        <f>SUMIF('A-1 On-Site Habitat Baseline'!$AV$11:$AV$258,'G-2 Habitat groups'!A127,'A-1 On-Site Habitat Baseline'!$Q$11:$Q$258)</f>
        <v>0</v>
      </c>
      <c r="G127" s="277">
        <f>SUMIF('A-1 On-Site Habitat Baseline'!$AV$11:$AV$258,'G-2 Habitat groups'!A127,'A-1 On-Site Habitat Baseline'!$S$11:$S$258)</f>
        <v>0</v>
      </c>
      <c r="H127" s="277">
        <f>SUMIF('A-1 On-Site Habitat Baseline'!$AV$11:$AV$258,'G-2 Habitat groups'!A127,'A-1 On-Site Habitat Baseline'!$U$11:$U$258)</f>
        <v>0</v>
      </c>
      <c r="I127" s="277">
        <f>SUMIF('A-1 On-Site Habitat Baseline'!$AV$11:$AV$258,'G-2 Habitat groups'!A127,'A-1 On-Site Habitat Baseline'!$W$11:$W$258)</f>
        <v>0</v>
      </c>
      <c r="J127" s="277">
        <f>SUMIF('A-1 On-Site Habitat Baseline'!$AV$11:$AV$258,'G-2 Habitat groups'!A127,'A-1 On-Site Habitat Baseline'!$X$11:$X$258)</f>
        <v>0</v>
      </c>
      <c r="K127" s="277">
        <f>SUMIF('A-2 On-Site Habitat Creation'!$F$11:$F$256,'G-2 Habitat groups'!A127,'A-2 On-Site Habitat Creation'!$G$11:$G$256)</f>
        <v>0</v>
      </c>
      <c r="L127" s="277">
        <f>SUMIF('A-2 On-Site Habitat Creation'!$F$11:$F$256,'G-2 Habitat groups'!A127,'A-2 On-Site Habitat Creation'!$Y$11:$Y$256)</f>
        <v>0</v>
      </c>
      <c r="M127" s="277">
        <f>SUMIF('A-3 On-Site Habitat Enhancement'!$S$12:$S$257,'G-2 Habitat groups'!A127,'A-3 On-Site Habitat Enhancement'!$V$12:$V$257)</f>
        <v>0</v>
      </c>
      <c r="N127" s="277">
        <f>SUMIF('A-3 On-Site Habitat Enhancement'!$S$12:$S$257,'G-2 Habitat groups'!A127,'A-3 On-Site Habitat Enhancement'!$AN$12:$AN$257)</f>
        <v>0</v>
      </c>
      <c r="O127" s="277">
        <f t="shared" si="75"/>
        <v>0</v>
      </c>
      <c r="P127" s="277">
        <f t="shared" si="76"/>
        <v>0</v>
      </c>
      <c r="Q127" s="277">
        <f t="shared" si="77"/>
        <v>0</v>
      </c>
      <c r="R127" s="277">
        <f t="shared" si="78"/>
        <v>0</v>
      </c>
      <c r="S127" s="277" t="e">
        <f>IF(C127="V.High",SUMIF(#REF!,'G-2 Habitat groups'!A127,#REF!)+SUMIF(#REF!,'G-2 Habitat groups'!A127,#REF!),SUMIF(#REF!,'G-2 Habitat groups'!A127,#REF!))</f>
        <v>#REF!</v>
      </c>
      <c r="T127" s="277" t="e">
        <f>SUMIF(#REF!,'G-2 Habitat groups'!A127,#REF!)</f>
        <v>#REF!</v>
      </c>
      <c r="U127" s="277" t="e">
        <f>SUMIF(#REF!,'G-2 Habitat groups'!A127,#REF!)</f>
        <v>#REF!</v>
      </c>
      <c r="V127" s="277" t="e">
        <f>SUMIF(#REF!,'G-2 Habitat groups'!A127,#REF!)</f>
        <v>#REF!</v>
      </c>
      <c r="W127" s="277" t="e">
        <f>SUMIF(#REF!,'G-2 Habitat groups'!A127,#REF!)</f>
        <v>#REF!</v>
      </c>
      <c r="X127" s="277" t="e">
        <f>SUMIF(#REF!,'G-2 Habitat groups'!A127,#REF!)</f>
        <v>#REF!</v>
      </c>
      <c r="Y127" s="277" t="e">
        <f>SUMIF(#REF!,'G-2 Habitat groups'!A127,#REF!)</f>
        <v>#REF!</v>
      </c>
      <c r="Z127" s="277" t="e">
        <f>SUMIF(#REF!,'G-2 Habitat groups'!A127,#REF!)</f>
        <v>#REF!</v>
      </c>
      <c r="AA127" s="277" t="e">
        <f t="shared" si="79"/>
        <v>#REF!</v>
      </c>
      <c r="AB127" s="277" t="e">
        <f t="shared" si="80"/>
        <v>#REF!</v>
      </c>
      <c r="AC127" s="277" t="e">
        <f t="shared" si="81"/>
        <v>#REF!</v>
      </c>
      <c r="AD127" s="277" t="e">
        <f t="shared" si="82"/>
        <v>#REF!</v>
      </c>
      <c r="AE127" s="277" t="e">
        <f t="shared" si="83"/>
        <v>#REF!</v>
      </c>
      <c r="AF127" s="277" t="e">
        <f t="shared" si="84"/>
        <v>#REF!</v>
      </c>
      <c r="AU127" s="63" t="s">
        <v>531</v>
      </c>
      <c r="AV127" s="52" t="s">
        <v>51</v>
      </c>
      <c r="AW127" s="288">
        <f t="shared" si="95"/>
        <v>0</v>
      </c>
      <c r="AX127" s="288">
        <f t="shared" si="88"/>
        <v>0</v>
      </c>
      <c r="AY127" s="288">
        <f t="shared" si="89"/>
        <v>0</v>
      </c>
      <c r="AZ127" s="288">
        <f t="shared" si="90"/>
        <v>0</v>
      </c>
      <c r="BA127" s="288">
        <f t="shared" si="91"/>
        <v>0</v>
      </c>
      <c r="BB127" s="288">
        <f t="shared" si="92"/>
        <v>0</v>
      </c>
      <c r="BC127" s="288" t="e">
        <f t="shared" si="93"/>
        <v>#REF!</v>
      </c>
      <c r="BD127" s="288" t="e">
        <f t="shared" si="94"/>
        <v>#REF!</v>
      </c>
      <c r="BE127" s="288" t="e">
        <f t="shared" si="86"/>
        <v>#REF!</v>
      </c>
      <c r="BF127" s="288" t="e">
        <f t="shared" si="87"/>
        <v>#REF!</v>
      </c>
    </row>
    <row r="128" spans="1:58" x14ac:dyDescent="0.3">
      <c r="A128" s="63" t="str">
        <f>'G-1 All Habitats'!B129</f>
        <v>Intertidal sediment - Artificial littoral biogenic reefs</v>
      </c>
      <c r="B128" s="52" t="str">
        <f>'G-1 All Habitats'!F129</f>
        <v>Intertidal sediment</v>
      </c>
      <c r="C128" s="52" t="str">
        <f>'G-1 All Habitats'!K129</f>
        <v>Low</v>
      </c>
      <c r="D128" s="52" t="str">
        <f>'G-1 All Habitats'!M129</f>
        <v>Same distinctiveness or better habitat required ≥</v>
      </c>
      <c r="E128" s="277">
        <f>IF(C128="V.High",SUMIF('A-1 On-Site Habitat Baseline'!$AV$11:$AV$258,'G-2 Habitat groups'!A128,'A-1 On-Site Habitat Baseline'!$S$11:$S$258)+SUMIF('A-1 On-Site Habitat Baseline'!$AV$11:$AV$258,'G-2 Habitat groups'!A128,'A-1 On-Site Habitat Baseline'!$T$11:$T$258),SUMIF('A-1 On-Site Habitat Baseline'!$AV$11:$AV$258,'G-2 Habitat groups'!A128,'A-1 On-Site Habitat Baseline'!$H$11:$H$258))</f>
        <v>0</v>
      </c>
      <c r="F128" s="277">
        <f>SUMIF('A-1 On-Site Habitat Baseline'!$AV$11:$AV$258,'G-2 Habitat groups'!A128,'A-1 On-Site Habitat Baseline'!$Q$11:$Q$258)</f>
        <v>0</v>
      </c>
      <c r="G128" s="277">
        <f>SUMIF('A-1 On-Site Habitat Baseline'!$AV$11:$AV$258,'G-2 Habitat groups'!A128,'A-1 On-Site Habitat Baseline'!$S$11:$S$258)</f>
        <v>0</v>
      </c>
      <c r="H128" s="277">
        <f>SUMIF('A-1 On-Site Habitat Baseline'!$AV$11:$AV$258,'G-2 Habitat groups'!A128,'A-1 On-Site Habitat Baseline'!$U$11:$U$258)</f>
        <v>0</v>
      </c>
      <c r="I128" s="277">
        <f>SUMIF('A-1 On-Site Habitat Baseline'!$AV$11:$AV$258,'G-2 Habitat groups'!A128,'A-1 On-Site Habitat Baseline'!$W$11:$W$258)</f>
        <v>0</v>
      </c>
      <c r="J128" s="277">
        <f>SUMIF('A-1 On-Site Habitat Baseline'!$AV$11:$AV$258,'G-2 Habitat groups'!A128,'A-1 On-Site Habitat Baseline'!$X$11:$X$258)</f>
        <v>0</v>
      </c>
      <c r="K128" s="277">
        <f>SUMIF('A-2 On-Site Habitat Creation'!$F$11:$F$256,'G-2 Habitat groups'!A128,'A-2 On-Site Habitat Creation'!$G$11:$G$256)</f>
        <v>0</v>
      </c>
      <c r="L128" s="277">
        <f>SUMIF('A-2 On-Site Habitat Creation'!$F$11:$F$256,'G-2 Habitat groups'!A128,'A-2 On-Site Habitat Creation'!$Y$11:$Y$256)</f>
        <v>0</v>
      </c>
      <c r="M128" s="277">
        <f>SUMIF('A-3 On-Site Habitat Enhancement'!$S$12:$S$257,'G-2 Habitat groups'!A128,'A-3 On-Site Habitat Enhancement'!$V$12:$V$257)</f>
        <v>0</v>
      </c>
      <c r="N128" s="277">
        <f>SUMIF('A-3 On-Site Habitat Enhancement'!$S$12:$S$257,'G-2 Habitat groups'!A128,'A-3 On-Site Habitat Enhancement'!$AN$12:$AN$257)</f>
        <v>0</v>
      </c>
      <c r="O128" s="277">
        <f t="shared" si="75"/>
        <v>0</v>
      </c>
      <c r="P128" s="277">
        <f t="shared" si="76"/>
        <v>0</v>
      </c>
      <c r="Q128" s="277">
        <f t="shared" si="77"/>
        <v>0</v>
      </c>
      <c r="R128" s="277">
        <f t="shared" si="78"/>
        <v>0</v>
      </c>
      <c r="S128" s="277" t="e">
        <f>IF(C128="V.High",SUMIF(#REF!,'G-2 Habitat groups'!A128,#REF!)+SUMIF(#REF!,'G-2 Habitat groups'!A128,#REF!),SUMIF(#REF!,'G-2 Habitat groups'!A128,#REF!))</f>
        <v>#REF!</v>
      </c>
      <c r="T128" s="277" t="e">
        <f>SUMIF(#REF!,'G-2 Habitat groups'!A128,#REF!)</f>
        <v>#REF!</v>
      </c>
      <c r="U128" s="277" t="e">
        <f>SUMIF(#REF!,'G-2 Habitat groups'!A128,#REF!)</f>
        <v>#REF!</v>
      </c>
      <c r="V128" s="277" t="e">
        <f>SUMIF(#REF!,'G-2 Habitat groups'!A128,#REF!)</f>
        <v>#REF!</v>
      </c>
      <c r="W128" s="277" t="e">
        <f>SUMIF(#REF!,'G-2 Habitat groups'!A128,#REF!)</f>
        <v>#REF!</v>
      </c>
      <c r="X128" s="277" t="e">
        <f>SUMIF(#REF!,'G-2 Habitat groups'!A128,#REF!)</f>
        <v>#REF!</v>
      </c>
      <c r="Y128" s="277" t="e">
        <f>SUMIF(#REF!,'G-2 Habitat groups'!A128,#REF!)</f>
        <v>#REF!</v>
      </c>
      <c r="Z128" s="277" t="e">
        <f>SUMIF(#REF!,'G-2 Habitat groups'!A128,#REF!)</f>
        <v>#REF!</v>
      </c>
      <c r="AA128" s="277" t="e">
        <f t="shared" si="79"/>
        <v>#REF!</v>
      </c>
      <c r="AB128" s="277" t="e">
        <f t="shared" si="80"/>
        <v>#REF!</v>
      </c>
      <c r="AC128" s="277" t="e">
        <f t="shared" si="81"/>
        <v>#REF!</v>
      </c>
      <c r="AD128" s="277" t="e">
        <f t="shared" si="82"/>
        <v>#REF!</v>
      </c>
      <c r="AE128" s="277" t="e">
        <f t="shared" si="83"/>
        <v>#REF!</v>
      </c>
      <c r="AF128" s="277" t="e">
        <f t="shared" si="84"/>
        <v>#REF!</v>
      </c>
      <c r="AU128" s="63" t="s">
        <v>533</v>
      </c>
      <c r="AV128" s="52" t="s">
        <v>51</v>
      </c>
      <c r="AW128" s="288">
        <f t="shared" si="95"/>
        <v>0</v>
      </c>
      <c r="AX128" s="288">
        <f t="shared" si="88"/>
        <v>0</v>
      </c>
      <c r="AY128" s="288">
        <f t="shared" si="89"/>
        <v>0</v>
      </c>
      <c r="AZ128" s="288">
        <f t="shared" si="90"/>
        <v>0</v>
      </c>
      <c r="BA128" s="288">
        <f t="shared" si="91"/>
        <v>0</v>
      </c>
      <c r="BB128" s="288">
        <f t="shared" si="92"/>
        <v>0</v>
      </c>
      <c r="BC128" s="288" t="e">
        <f t="shared" si="93"/>
        <v>#REF!</v>
      </c>
      <c r="BD128" s="288" t="e">
        <f t="shared" si="94"/>
        <v>#REF!</v>
      </c>
      <c r="BE128" s="288" t="e">
        <f t="shared" si="86"/>
        <v>#REF!</v>
      </c>
      <c r="BF128" s="288" t="e">
        <f t="shared" si="87"/>
        <v>#REF!</v>
      </c>
    </row>
    <row r="129" spans="1:58" x14ac:dyDescent="0.3">
      <c r="A129" s="63" t="str">
        <f>'G-1 All Habitats'!B130</f>
        <v>Intertidal sediment - Littoral sand</v>
      </c>
      <c r="B129" s="52" t="str">
        <f>'G-1 All Habitats'!F130</f>
        <v>Intertidal sediment</v>
      </c>
      <c r="C129" s="52" t="str">
        <f>'G-1 All Habitats'!K130</f>
        <v>Medium</v>
      </c>
      <c r="D129" s="52" t="str">
        <f>'G-1 All Habitats'!M130</f>
        <v>Same broad habitat or a higher distinctiveness habitat required (≥)</v>
      </c>
      <c r="E129" s="277">
        <f>IF(C129="V.High",SUMIF('A-1 On-Site Habitat Baseline'!$AV$11:$AV$258,'G-2 Habitat groups'!A129,'A-1 On-Site Habitat Baseline'!$S$11:$S$258)+SUMIF('A-1 On-Site Habitat Baseline'!$AV$11:$AV$258,'G-2 Habitat groups'!A129,'A-1 On-Site Habitat Baseline'!$T$11:$T$258),SUMIF('A-1 On-Site Habitat Baseline'!$AV$11:$AV$258,'G-2 Habitat groups'!A129,'A-1 On-Site Habitat Baseline'!$H$11:$H$258))</f>
        <v>0</v>
      </c>
      <c r="F129" s="277">
        <f>SUMIF('A-1 On-Site Habitat Baseline'!$AV$11:$AV$258,'G-2 Habitat groups'!A129,'A-1 On-Site Habitat Baseline'!$Q$11:$Q$258)</f>
        <v>0</v>
      </c>
      <c r="G129" s="277">
        <f>SUMIF('A-1 On-Site Habitat Baseline'!$AV$11:$AV$258,'G-2 Habitat groups'!A129,'A-1 On-Site Habitat Baseline'!$S$11:$S$258)</f>
        <v>0</v>
      </c>
      <c r="H129" s="277">
        <f>SUMIF('A-1 On-Site Habitat Baseline'!$AV$11:$AV$258,'G-2 Habitat groups'!A129,'A-1 On-Site Habitat Baseline'!$U$11:$U$258)</f>
        <v>0</v>
      </c>
      <c r="I129" s="277">
        <f>SUMIF('A-1 On-Site Habitat Baseline'!$AV$11:$AV$258,'G-2 Habitat groups'!A129,'A-1 On-Site Habitat Baseline'!$W$11:$W$258)</f>
        <v>0</v>
      </c>
      <c r="J129" s="277">
        <f>SUMIF('A-1 On-Site Habitat Baseline'!$AV$11:$AV$258,'G-2 Habitat groups'!A129,'A-1 On-Site Habitat Baseline'!$X$11:$X$258)</f>
        <v>0</v>
      </c>
      <c r="K129" s="277">
        <f>SUMIF('A-2 On-Site Habitat Creation'!$F$11:$F$256,'G-2 Habitat groups'!A129,'A-2 On-Site Habitat Creation'!$G$11:$G$256)</f>
        <v>0</v>
      </c>
      <c r="L129" s="277">
        <f>SUMIF('A-2 On-Site Habitat Creation'!$F$11:$F$256,'G-2 Habitat groups'!A129,'A-2 On-Site Habitat Creation'!$Y$11:$Y$256)</f>
        <v>0</v>
      </c>
      <c r="M129" s="277">
        <f>SUMIF('A-3 On-Site Habitat Enhancement'!$S$12:$S$257,'G-2 Habitat groups'!A129,'A-3 On-Site Habitat Enhancement'!$V$12:$V$257)</f>
        <v>0</v>
      </c>
      <c r="N129" s="277">
        <f>SUMIF('A-3 On-Site Habitat Enhancement'!$S$12:$S$257,'G-2 Habitat groups'!A129,'A-3 On-Site Habitat Enhancement'!$AN$12:$AN$257)</f>
        <v>0</v>
      </c>
      <c r="O129" s="277">
        <f t="shared" si="75"/>
        <v>0</v>
      </c>
      <c r="P129" s="277">
        <f t="shared" si="76"/>
        <v>0</v>
      </c>
      <c r="Q129" s="277">
        <f t="shared" si="77"/>
        <v>0</v>
      </c>
      <c r="R129" s="277">
        <f t="shared" si="78"/>
        <v>0</v>
      </c>
      <c r="S129" s="277" t="e">
        <f>IF(C129="V.High",SUMIF(#REF!,'G-2 Habitat groups'!A129,#REF!)+SUMIF(#REF!,'G-2 Habitat groups'!A129,#REF!),SUMIF(#REF!,'G-2 Habitat groups'!A129,#REF!))</f>
        <v>#REF!</v>
      </c>
      <c r="T129" s="277" t="e">
        <f>SUMIF(#REF!,'G-2 Habitat groups'!A129,#REF!)</f>
        <v>#REF!</v>
      </c>
      <c r="U129" s="277" t="e">
        <f>SUMIF(#REF!,'G-2 Habitat groups'!A129,#REF!)</f>
        <v>#REF!</v>
      </c>
      <c r="V129" s="277" t="e">
        <f>SUMIF(#REF!,'G-2 Habitat groups'!A129,#REF!)</f>
        <v>#REF!</v>
      </c>
      <c r="W129" s="277" t="e">
        <f>SUMIF(#REF!,'G-2 Habitat groups'!A129,#REF!)</f>
        <v>#REF!</v>
      </c>
      <c r="X129" s="277" t="e">
        <f>SUMIF(#REF!,'G-2 Habitat groups'!A129,#REF!)</f>
        <v>#REF!</v>
      </c>
      <c r="Y129" s="277" t="e">
        <f>SUMIF(#REF!,'G-2 Habitat groups'!A129,#REF!)</f>
        <v>#REF!</v>
      </c>
      <c r="Z129" s="277" t="e">
        <f>SUMIF(#REF!,'G-2 Habitat groups'!A129,#REF!)</f>
        <v>#REF!</v>
      </c>
      <c r="AA129" s="277" t="e">
        <f t="shared" si="79"/>
        <v>#REF!</v>
      </c>
      <c r="AB129" s="277" t="e">
        <f t="shared" si="80"/>
        <v>#REF!</v>
      </c>
      <c r="AC129" s="277" t="e">
        <f t="shared" si="81"/>
        <v>#REF!</v>
      </c>
      <c r="AD129" s="277" t="e">
        <f t="shared" si="82"/>
        <v>#REF!</v>
      </c>
      <c r="AE129" s="277" t="e">
        <f t="shared" si="83"/>
        <v>#REF!</v>
      </c>
      <c r="AF129" s="277" t="e">
        <f t="shared" si="84"/>
        <v>#REF!</v>
      </c>
      <c r="AU129" s="63" t="s">
        <v>526</v>
      </c>
      <c r="AV129" s="52" t="s">
        <v>51</v>
      </c>
      <c r="AW129" s="288">
        <f t="shared" si="95"/>
        <v>0</v>
      </c>
      <c r="AX129" s="288">
        <f t="shared" si="88"/>
        <v>0</v>
      </c>
      <c r="AY129" s="288">
        <f t="shared" si="89"/>
        <v>0</v>
      </c>
      <c r="AZ129" s="288">
        <f t="shared" si="90"/>
        <v>0</v>
      </c>
      <c r="BA129" s="288">
        <f t="shared" si="91"/>
        <v>0</v>
      </c>
      <c r="BB129" s="288">
        <f t="shared" si="92"/>
        <v>0</v>
      </c>
      <c r="BC129" s="288" t="e">
        <f t="shared" si="93"/>
        <v>#REF!</v>
      </c>
      <c r="BD129" s="288" t="e">
        <f t="shared" si="94"/>
        <v>#REF!</v>
      </c>
      <c r="BE129" s="288" t="e">
        <f t="shared" si="86"/>
        <v>#REF!</v>
      </c>
      <c r="BF129" s="288" t="e">
        <f t="shared" si="87"/>
        <v>#REF!</v>
      </c>
    </row>
    <row r="130" spans="1:58" x14ac:dyDescent="0.3">
      <c r="A130" s="63" t="str">
        <f>'G-1 All Habitats'!B131</f>
        <v>Intertidal sediment - Littoral muddy sand</v>
      </c>
      <c r="B130" s="52" t="str">
        <f>'G-1 All Habitats'!F131</f>
        <v>Intertidal sediment</v>
      </c>
      <c r="C130" s="52" t="str">
        <f>'G-1 All Habitats'!K131</f>
        <v>High</v>
      </c>
      <c r="D130" s="52" t="str">
        <f>'G-1 All Habitats'!M131</f>
        <v>Same habitat required =</v>
      </c>
      <c r="E130" s="277">
        <f>IF(C130="V.High",SUMIF('A-1 On-Site Habitat Baseline'!$AV$11:$AV$258,'G-2 Habitat groups'!A130,'A-1 On-Site Habitat Baseline'!$S$11:$S$258)+SUMIF('A-1 On-Site Habitat Baseline'!$AV$11:$AV$258,'G-2 Habitat groups'!A130,'A-1 On-Site Habitat Baseline'!$T$11:$T$258),SUMIF('A-1 On-Site Habitat Baseline'!$AV$11:$AV$258,'G-2 Habitat groups'!A130,'A-1 On-Site Habitat Baseline'!$H$11:$H$258))</f>
        <v>0</v>
      </c>
      <c r="F130" s="277">
        <f>SUMIF('A-1 On-Site Habitat Baseline'!$AV$11:$AV$258,'G-2 Habitat groups'!A130,'A-1 On-Site Habitat Baseline'!$Q$11:$Q$258)</f>
        <v>0</v>
      </c>
      <c r="G130" s="277">
        <f>SUMIF('A-1 On-Site Habitat Baseline'!$AV$11:$AV$258,'G-2 Habitat groups'!A130,'A-1 On-Site Habitat Baseline'!$S$11:$S$258)</f>
        <v>0</v>
      </c>
      <c r="H130" s="277">
        <f>SUMIF('A-1 On-Site Habitat Baseline'!$AV$11:$AV$258,'G-2 Habitat groups'!A130,'A-1 On-Site Habitat Baseline'!$U$11:$U$258)</f>
        <v>0</v>
      </c>
      <c r="I130" s="277">
        <f>SUMIF('A-1 On-Site Habitat Baseline'!$AV$11:$AV$258,'G-2 Habitat groups'!A130,'A-1 On-Site Habitat Baseline'!$W$11:$W$258)</f>
        <v>0</v>
      </c>
      <c r="J130" s="277">
        <f>SUMIF('A-1 On-Site Habitat Baseline'!$AV$11:$AV$258,'G-2 Habitat groups'!A130,'A-1 On-Site Habitat Baseline'!$X$11:$X$258)</f>
        <v>0</v>
      </c>
      <c r="K130" s="277">
        <f>SUMIF('A-2 On-Site Habitat Creation'!$F$11:$F$256,'G-2 Habitat groups'!A130,'A-2 On-Site Habitat Creation'!$G$11:$G$256)</f>
        <v>0</v>
      </c>
      <c r="L130" s="277">
        <f>SUMIF('A-2 On-Site Habitat Creation'!$F$11:$F$256,'G-2 Habitat groups'!A130,'A-2 On-Site Habitat Creation'!$Y$11:$Y$256)</f>
        <v>0</v>
      </c>
      <c r="M130" s="277">
        <f>SUMIF('A-3 On-Site Habitat Enhancement'!$S$12:$S$257,'G-2 Habitat groups'!A130,'A-3 On-Site Habitat Enhancement'!$V$12:$V$257)</f>
        <v>0</v>
      </c>
      <c r="N130" s="277">
        <f>SUMIF('A-3 On-Site Habitat Enhancement'!$S$12:$S$257,'G-2 Habitat groups'!A130,'A-3 On-Site Habitat Enhancement'!$AN$12:$AN$257)</f>
        <v>0</v>
      </c>
      <c r="O130" s="277">
        <f t="shared" si="75"/>
        <v>0</v>
      </c>
      <c r="P130" s="277">
        <f t="shared" si="76"/>
        <v>0</v>
      </c>
      <c r="Q130" s="277">
        <f t="shared" si="77"/>
        <v>0</v>
      </c>
      <c r="R130" s="277">
        <f t="shared" si="78"/>
        <v>0</v>
      </c>
      <c r="S130" s="277" t="e">
        <f>IF(C130="V.High",SUMIF(#REF!,'G-2 Habitat groups'!A130,#REF!)+SUMIF(#REF!,'G-2 Habitat groups'!A130,#REF!),SUMIF(#REF!,'G-2 Habitat groups'!A130,#REF!))</f>
        <v>#REF!</v>
      </c>
      <c r="T130" s="277" t="e">
        <f>SUMIF(#REF!,'G-2 Habitat groups'!A130,#REF!)</f>
        <v>#REF!</v>
      </c>
      <c r="U130" s="277" t="e">
        <f>SUMIF(#REF!,'G-2 Habitat groups'!A130,#REF!)</f>
        <v>#REF!</v>
      </c>
      <c r="V130" s="277" t="e">
        <f>SUMIF(#REF!,'G-2 Habitat groups'!A130,#REF!)</f>
        <v>#REF!</v>
      </c>
      <c r="W130" s="277" t="e">
        <f>SUMIF(#REF!,'G-2 Habitat groups'!A130,#REF!)</f>
        <v>#REF!</v>
      </c>
      <c r="X130" s="277" t="e">
        <f>SUMIF(#REF!,'G-2 Habitat groups'!A130,#REF!)</f>
        <v>#REF!</v>
      </c>
      <c r="Y130" s="277" t="e">
        <f>SUMIF(#REF!,'G-2 Habitat groups'!A130,#REF!)</f>
        <v>#REF!</v>
      </c>
      <c r="Z130" s="277" t="e">
        <f>SUMIF(#REF!,'G-2 Habitat groups'!A130,#REF!)</f>
        <v>#REF!</v>
      </c>
      <c r="AA130" s="277" t="e">
        <f t="shared" si="79"/>
        <v>#REF!</v>
      </c>
      <c r="AB130" s="277" t="e">
        <f t="shared" si="80"/>
        <v>#REF!</v>
      </c>
      <c r="AC130" s="277" t="e">
        <f t="shared" si="81"/>
        <v>#REF!</v>
      </c>
      <c r="AD130" s="277" t="e">
        <f t="shared" si="82"/>
        <v>#REF!</v>
      </c>
      <c r="AE130" s="277" t="e">
        <f t="shared" si="83"/>
        <v>#REF!</v>
      </c>
      <c r="AF130" s="277" t="e">
        <f t="shared" si="84"/>
        <v>#REF!</v>
      </c>
      <c r="AU130" s="63" t="s">
        <v>537</v>
      </c>
      <c r="AV130" s="52" t="s">
        <v>51</v>
      </c>
      <c r="AW130" s="288">
        <f t="shared" si="95"/>
        <v>0</v>
      </c>
      <c r="AX130" s="288">
        <f t="shared" si="88"/>
        <v>0</v>
      </c>
      <c r="AY130" s="288">
        <f t="shared" si="89"/>
        <v>0</v>
      </c>
      <c r="AZ130" s="288">
        <f t="shared" si="90"/>
        <v>0</v>
      </c>
      <c r="BA130" s="288">
        <f t="shared" si="91"/>
        <v>0</v>
      </c>
      <c r="BB130" s="288">
        <f t="shared" si="92"/>
        <v>0</v>
      </c>
      <c r="BC130" s="288" t="e">
        <f t="shared" si="93"/>
        <v>#REF!</v>
      </c>
      <c r="BD130" s="288" t="e">
        <f t="shared" si="94"/>
        <v>#REF!</v>
      </c>
      <c r="BE130" s="288" t="e">
        <f t="shared" si="86"/>
        <v>#REF!</v>
      </c>
      <c r="BF130" s="288" t="e">
        <f t="shared" si="87"/>
        <v>#REF!</v>
      </c>
    </row>
    <row r="131" spans="1:58" x14ac:dyDescent="0.3">
      <c r="A131" s="63" t="str">
        <f>'G-1 All Habitats'!B132</f>
        <v>Intertidal hard structures - Artificial hard structures</v>
      </c>
      <c r="B131" s="52" t="str">
        <f>'G-1 All Habitats'!F132</f>
        <v>Intertidal hard structures</v>
      </c>
      <c r="C131" s="52" t="str">
        <f>'G-1 All Habitats'!K132</f>
        <v>Low</v>
      </c>
      <c r="D131" s="52" t="str">
        <f>'G-1 All Habitats'!M132</f>
        <v>Same distinctiveness or better habitat required ≥</v>
      </c>
      <c r="E131" s="277">
        <f>IF(C131="V.High",SUMIF('A-1 On-Site Habitat Baseline'!$AV$11:$AV$258,'G-2 Habitat groups'!A131,'A-1 On-Site Habitat Baseline'!$S$11:$S$258)+SUMIF('A-1 On-Site Habitat Baseline'!$AV$11:$AV$258,'G-2 Habitat groups'!A131,'A-1 On-Site Habitat Baseline'!$T$11:$T$258),SUMIF('A-1 On-Site Habitat Baseline'!$AV$11:$AV$258,'G-2 Habitat groups'!A131,'A-1 On-Site Habitat Baseline'!$H$11:$H$258))</f>
        <v>0</v>
      </c>
      <c r="F131" s="277">
        <f>SUMIF('A-1 On-Site Habitat Baseline'!$AV$11:$AV$258,'G-2 Habitat groups'!A131,'A-1 On-Site Habitat Baseline'!$Q$11:$Q$258)</f>
        <v>0</v>
      </c>
      <c r="G131" s="277">
        <f>SUMIF('A-1 On-Site Habitat Baseline'!$AV$11:$AV$258,'G-2 Habitat groups'!A131,'A-1 On-Site Habitat Baseline'!$S$11:$S$258)</f>
        <v>0</v>
      </c>
      <c r="H131" s="277">
        <f>SUMIF('A-1 On-Site Habitat Baseline'!$AV$11:$AV$258,'G-2 Habitat groups'!A131,'A-1 On-Site Habitat Baseline'!$U$11:$U$258)</f>
        <v>0</v>
      </c>
      <c r="I131" s="277">
        <f>SUMIF('A-1 On-Site Habitat Baseline'!$AV$11:$AV$258,'G-2 Habitat groups'!A131,'A-1 On-Site Habitat Baseline'!$W$11:$W$258)</f>
        <v>0</v>
      </c>
      <c r="J131" s="277">
        <f>SUMIF('A-1 On-Site Habitat Baseline'!$AV$11:$AV$258,'G-2 Habitat groups'!A131,'A-1 On-Site Habitat Baseline'!$X$11:$X$258)</f>
        <v>0</v>
      </c>
      <c r="K131" s="277">
        <f>SUMIF('A-2 On-Site Habitat Creation'!$F$11:$F$256,'G-2 Habitat groups'!A131,'A-2 On-Site Habitat Creation'!$G$11:$G$256)</f>
        <v>0</v>
      </c>
      <c r="L131" s="277">
        <f>SUMIF('A-2 On-Site Habitat Creation'!$F$11:$F$256,'G-2 Habitat groups'!A131,'A-2 On-Site Habitat Creation'!$Y$11:$Y$256)</f>
        <v>0</v>
      </c>
      <c r="M131" s="277">
        <f>SUMIF('A-3 On-Site Habitat Enhancement'!$S$12:$S$257,'G-2 Habitat groups'!A131,'A-3 On-Site Habitat Enhancement'!$V$12:$V$257)</f>
        <v>0</v>
      </c>
      <c r="N131" s="277">
        <f>SUMIF('A-3 On-Site Habitat Enhancement'!$S$12:$S$257,'G-2 Habitat groups'!A131,'A-3 On-Site Habitat Enhancement'!$AN$12:$AN$257)</f>
        <v>0</v>
      </c>
      <c r="O131" s="277">
        <f t="shared" si="75"/>
        <v>0</v>
      </c>
      <c r="P131" s="277">
        <f t="shared" si="76"/>
        <v>0</v>
      </c>
      <c r="Q131" s="277">
        <f t="shared" si="77"/>
        <v>0</v>
      </c>
      <c r="R131" s="277">
        <f t="shared" si="78"/>
        <v>0</v>
      </c>
      <c r="S131" s="277" t="e">
        <f>IF(C131="V.High",SUMIF(#REF!,'G-2 Habitat groups'!A131,#REF!)+SUMIF(#REF!,'G-2 Habitat groups'!A131,#REF!),SUMIF(#REF!,'G-2 Habitat groups'!A131,#REF!))</f>
        <v>#REF!</v>
      </c>
      <c r="T131" s="277" t="e">
        <f>SUMIF(#REF!,'G-2 Habitat groups'!A131,#REF!)</f>
        <v>#REF!</v>
      </c>
      <c r="U131" s="277" t="e">
        <f>SUMIF(#REF!,'G-2 Habitat groups'!A131,#REF!)</f>
        <v>#REF!</v>
      </c>
      <c r="V131" s="277" t="e">
        <f>SUMIF(#REF!,'G-2 Habitat groups'!A131,#REF!)</f>
        <v>#REF!</v>
      </c>
      <c r="W131" s="277" t="e">
        <f>SUMIF(#REF!,'G-2 Habitat groups'!A131,#REF!)</f>
        <v>#REF!</v>
      </c>
      <c r="X131" s="277" t="e">
        <f>SUMIF(#REF!,'G-2 Habitat groups'!A131,#REF!)</f>
        <v>#REF!</v>
      </c>
      <c r="Y131" s="277" t="e">
        <f>SUMIF(#REF!,'G-2 Habitat groups'!A131,#REF!)</f>
        <v>#REF!</v>
      </c>
      <c r="Z131" s="277" t="e">
        <f>SUMIF(#REF!,'G-2 Habitat groups'!A131,#REF!)</f>
        <v>#REF!</v>
      </c>
      <c r="AA131" s="277" t="e">
        <f t="shared" si="79"/>
        <v>#REF!</v>
      </c>
      <c r="AB131" s="277" t="e">
        <f t="shared" si="80"/>
        <v>#REF!</v>
      </c>
      <c r="AC131" s="277" t="e">
        <f t="shared" si="81"/>
        <v>#REF!</v>
      </c>
      <c r="AD131" s="277" t="e">
        <f t="shared" si="82"/>
        <v>#REF!</v>
      </c>
      <c r="AE131" s="277" t="e">
        <f t="shared" si="83"/>
        <v>#REF!</v>
      </c>
      <c r="AF131" s="277" t="e">
        <f t="shared" si="84"/>
        <v>#REF!</v>
      </c>
      <c r="AU131" s="63" t="s">
        <v>545</v>
      </c>
      <c r="AV131" s="52" t="s">
        <v>51</v>
      </c>
      <c r="AW131" s="288">
        <f t="shared" si="95"/>
        <v>0</v>
      </c>
      <c r="AX131" s="288">
        <f t="shared" si="88"/>
        <v>0</v>
      </c>
      <c r="AY131" s="288">
        <f t="shared" si="89"/>
        <v>0</v>
      </c>
      <c r="AZ131" s="288">
        <f t="shared" si="90"/>
        <v>0</v>
      </c>
      <c r="BA131" s="288">
        <f t="shared" si="91"/>
        <v>0</v>
      </c>
      <c r="BB131" s="288">
        <f t="shared" si="92"/>
        <v>0</v>
      </c>
      <c r="BC131" s="288" t="e">
        <f t="shared" si="93"/>
        <v>#REF!</v>
      </c>
      <c r="BD131" s="288" t="e">
        <f t="shared" si="94"/>
        <v>#REF!</v>
      </c>
      <c r="BE131" s="288" t="e">
        <f t="shared" si="86"/>
        <v>#REF!</v>
      </c>
      <c r="BF131" s="288" t="e">
        <f t="shared" si="87"/>
        <v>#REF!</v>
      </c>
    </row>
    <row r="132" spans="1:58" x14ac:dyDescent="0.3">
      <c r="A132" s="63" t="str">
        <f>'G-1 All Habitats'!B133</f>
        <v>Intertidal hard structures - Artificial features of hard structures</v>
      </c>
      <c r="B132" s="52" t="str">
        <f>'G-1 All Habitats'!F133</f>
        <v>Intertidal hard structures</v>
      </c>
      <c r="C132" s="52" t="str">
        <f>'G-1 All Habitats'!K133</f>
        <v>Low</v>
      </c>
      <c r="D132" s="52" t="str">
        <f>'G-1 All Habitats'!M133</f>
        <v>Same distinctiveness or better habitat required ≥</v>
      </c>
      <c r="E132" s="277">
        <f>IF(C132="V.High",SUMIF('A-1 On-Site Habitat Baseline'!$AV$11:$AV$258,'G-2 Habitat groups'!A132,'A-1 On-Site Habitat Baseline'!$S$11:$S$258)+SUMIF('A-1 On-Site Habitat Baseline'!$AV$11:$AV$258,'G-2 Habitat groups'!A132,'A-1 On-Site Habitat Baseline'!$T$11:$T$258),SUMIF('A-1 On-Site Habitat Baseline'!$AV$11:$AV$258,'G-2 Habitat groups'!A132,'A-1 On-Site Habitat Baseline'!$H$11:$H$258))</f>
        <v>0</v>
      </c>
      <c r="F132" s="277">
        <f>SUMIF('A-1 On-Site Habitat Baseline'!$AV$11:$AV$258,'G-2 Habitat groups'!A132,'A-1 On-Site Habitat Baseline'!$Q$11:$Q$258)</f>
        <v>0</v>
      </c>
      <c r="G132" s="277">
        <f>SUMIF('A-1 On-Site Habitat Baseline'!$AV$11:$AV$258,'G-2 Habitat groups'!A132,'A-1 On-Site Habitat Baseline'!$S$11:$S$258)</f>
        <v>0</v>
      </c>
      <c r="H132" s="277">
        <f>SUMIF('A-1 On-Site Habitat Baseline'!$AV$11:$AV$258,'G-2 Habitat groups'!A132,'A-1 On-Site Habitat Baseline'!$U$11:$U$258)</f>
        <v>0</v>
      </c>
      <c r="I132" s="277">
        <f>SUMIF('A-1 On-Site Habitat Baseline'!$AV$11:$AV$258,'G-2 Habitat groups'!A132,'A-1 On-Site Habitat Baseline'!$W$11:$W$258)</f>
        <v>0</v>
      </c>
      <c r="J132" s="277">
        <f>SUMIF('A-1 On-Site Habitat Baseline'!$AV$11:$AV$258,'G-2 Habitat groups'!A132,'A-1 On-Site Habitat Baseline'!$X$11:$X$258)</f>
        <v>0</v>
      </c>
      <c r="K132" s="277">
        <f>SUMIF('A-2 On-Site Habitat Creation'!$F$11:$F$256,'G-2 Habitat groups'!A132,'A-2 On-Site Habitat Creation'!$G$11:$G$256)</f>
        <v>0</v>
      </c>
      <c r="L132" s="277">
        <f>SUMIF('A-2 On-Site Habitat Creation'!$F$11:$F$256,'G-2 Habitat groups'!A132,'A-2 On-Site Habitat Creation'!$Y$11:$Y$256)</f>
        <v>0</v>
      </c>
      <c r="M132" s="277">
        <f>SUMIF('A-3 On-Site Habitat Enhancement'!$S$12:$S$257,'G-2 Habitat groups'!A132,'A-3 On-Site Habitat Enhancement'!$V$12:$V$257)</f>
        <v>0</v>
      </c>
      <c r="N132" s="277">
        <f>SUMIF('A-3 On-Site Habitat Enhancement'!$S$12:$S$257,'G-2 Habitat groups'!A132,'A-3 On-Site Habitat Enhancement'!$AN$12:$AN$257)</f>
        <v>0</v>
      </c>
      <c r="O132" s="277">
        <f t="shared" si="75"/>
        <v>0</v>
      </c>
      <c r="P132" s="277">
        <f t="shared" si="76"/>
        <v>0</v>
      </c>
      <c r="Q132" s="277">
        <f t="shared" si="77"/>
        <v>0</v>
      </c>
      <c r="R132" s="277">
        <f t="shared" si="78"/>
        <v>0</v>
      </c>
      <c r="S132" s="277" t="e">
        <f>IF(C132="V.High",SUMIF(#REF!,'G-2 Habitat groups'!A132,#REF!)+SUMIF(#REF!,'G-2 Habitat groups'!A132,#REF!),SUMIF(#REF!,'G-2 Habitat groups'!A132,#REF!))</f>
        <v>#REF!</v>
      </c>
      <c r="T132" s="277" t="e">
        <f>SUMIF(#REF!,'G-2 Habitat groups'!A132,#REF!)</f>
        <v>#REF!</v>
      </c>
      <c r="U132" s="277" t="e">
        <f>SUMIF(#REF!,'G-2 Habitat groups'!A132,#REF!)</f>
        <v>#REF!</v>
      </c>
      <c r="V132" s="277" t="e">
        <f>SUMIF(#REF!,'G-2 Habitat groups'!A132,#REF!)</f>
        <v>#REF!</v>
      </c>
      <c r="W132" s="277" t="e">
        <f>SUMIF(#REF!,'G-2 Habitat groups'!A132,#REF!)</f>
        <v>#REF!</v>
      </c>
      <c r="X132" s="277" t="e">
        <f>SUMIF(#REF!,'G-2 Habitat groups'!A132,#REF!)</f>
        <v>#REF!</v>
      </c>
      <c r="Y132" s="277" t="e">
        <f>SUMIF(#REF!,'G-2 Habitat groups'!A132,#REF!)</f>
        <v>#REF!</v>
      </c>
      <c r="Z132" s="277" t="e">
        <f>SUMIF(#REF!,'G-2 Habitat groups'!A132,#REF!)</f>
        <v>#REF!</v>
      </c>
      <c r="AA132" s="277" t="e">
        <f t="shared" si="79"/>
        <v>#REF!</v>
      </c>
      <c r="AB132" s="277" t="e">
        <f t="shared" si="80"/>
        <v>#REF!</v>
      </c>
      <c r="AC132" s="277" t="e">
        <f t="shared" si="81"/>
        <v>#REF!</v>
      </c>
      <c r="AD132" s="277" t="e">
        <f t="shared" si="82"/>
        <v>#REF!</v>
      </c>
      <c r="AE132" s="277" t="e">
        <f t="shared" si="83"/>
        <v>#REF!</v>
      </c>
      <c r="AF132" s="277" t="e">
        <f t="shared" si="84"/>
        <v>#REF!</v>
      </c>
      <c r="AU132" s="63" t="s">
        <v>547</v>
      </c>
      <c r="AV132" s="52" t="s">
        <v>51</v>
      </c>
      <c r="AW132" s="288">
        <f t="shared" si="95"/>
        <v>0</v>
      </c>
      <c r="AX132" s="288">
        <f t="shared" si="88"/>
        <v>0</v>
      </c>
      <c r="AY132" s="288">
        <f t="shared" si="89"/>
        <v>0</v>
      </c>
      <c r="AZ132" s="288">
        <f t="shared" si="90"/>
        <v>0</v>
      </c>
      <c r="BA132" s="288">
        <f t="shared" si="91"/>
        <v>0</v>
      </c>
      <c r="BB132" s="288">
        <f t="shared" si="92"/>
        <v>0</v>
      </c>
      <c r="BC132" s="288" t="e">
        <f t="shared" si="93"/>
        <v>#REF!</v>
      </c>
      <c r="BD132" s="288" t="e">
        <f t="shared" si="94"/>
        <v>#REF!</v>
      </c>
      <c r="BE132" s="288" t="e">
        <f t="shared" si="86"/>
        <v>#REF!</v>
      </c>
      <c r="BF132" s="288" t="e">
        <f t="shared" si="87"/>
        <v>#REF!</v>
      </c>
    </row>
    <row r="133" spans="1:58" x14ac:dyDescent="0.3">
      <c r="A133" s="63" t="str">
        <f>'G-1 All Habitats'!B134</f>
        <v>Intertidal hard structures - Artificial hard structures with integrated greening of grey infrastructure (IGGI)</v>
      </c>
      <c r="B133" s="52" t="str">
        <f>'G-1 All Habitats'!F134</f>
        <v>Intertidal hard structures</v>
      </c>
      <c r="C133" s="52" t="str">
        <f>'G-1 All Habitats'!K134</f>
        <v>Medium</v>
      </c>
      <c r="D133" s="52" t="str">
        <f>'G-1 All Habitats'!M134</f>
        <v>Same broad habitat or a higher distinctiveness habitat required (≥)</v>
      </c>
      <c r="E133" s="277">
        <f>IF(C133="V.High",SUMIF('A-1 On-Site Habitat Baseline'!$AV$11:$AV$258,'G-2 Habitat groups'!A133,'A-1 On-Site Habitat Baseline'!$S$11:$S$258)+SUMIF('A-1 On-Site Habitat Baseline'!$AV$11:$AV$258,'G-2 Habitat groups'!A133,'A-1 On-Site Habitat Baseline'!$T$11:$T$258),SUMIF('A-1 On-Site Habitat Baseline'!$AV$11:$AV$258,'G-2 Habitat groups'!A133,'A-1 On-Site Habitat Baseline'!$H$11:$H$258))</f>
        <v>0</v>
      </c>
      <c r="F133" s="277">
        <f>SUMIF('A-1 On-Site Habitat Baseline'!$AV$11:$AV$258,'G-2 Habitat groups'!A133,'A-1 On-Site Habitat Baseline'!$Q$11:$Q$258)</f>
        <v>0</v>
      </c>
      <c r="G133" s="277">
        <f>SUMIF('A-1 On-Site Habitat Baseline'!$AV$11:$AV$258,'G-2 Habitat groups'!A133,'A-1 On-Site Habitat Baseline'!$S$11:$S$258)</f>
        <v>0</v>
      </c>
      <c r="H133" s="277">
        <f>SUMIF('A-1 On-Site Habitat Baseline'!$AV$11:$AV$258,'G-2 Habitat groups'!A133,'A-1 On-Site Habitat Baseline'!$U$11:$U$258)</f>
        <v>0</v>
      </c>
      <c r="I133" s="277">
        <f>SUMIF('A-1 On-Site Habitat Baseline'!$AV$11:$AV$258,'G-2 Habitat groups'!A133,'A-1 On-Site Habitat Baseline'!$W$11:$W$258)</f>
        <v>0</v>
      </c>
      <c r="J133" s="277">
        <f>SUMIF('A-1 On-Site Habitat Baseline'!$AV$11:$AV$258,'G-2 Habitat groups'!A133,'A-1 On-Site Habitat Baseline'!$X$11:$X$258)</f>
        <v>0</v>
      </c>
      <c r="K133" s="277">
        <f>SUMIF('A-2 On-Site Habitat Creation'!$F$11:$F$256,'G-2 Habitat groups'!A133,'A-2 On-Site Habitat Creation'!$G$11:$G$256)</f>
        <v>0</v>
      </c>
      <c r="L133" s="277">
        <f>SUMIF('A-2 On-Site Habitat Creation'!$F$11:$F$256,'G-2 Habitat groups'!A133,'A-2 On-Site Habitat Creation'!$Y$11:$Y$256)</f>
        <v>0</v>
      </c>
      <c r="M133" s="277">
        <f>SUMIF('A-3 On-Site Habitat Enhancement'!$S$12:$S$257,'G-2 Habitat groups'!A133,'A-3 On-Site Habitat Enhancement'!$V$12:$V$257)</f>
        <v>0</v>
      </c>
      <c r="N133" s="277">
        <f>SUMIF('A-3 On-Site Habitat Enhancement'!$S$12:$S$257,'G-2 Habitat groups'!A133,'A-3 On-Site Habitat Enhancement'!$AN$12:$AN$257)</f>
        <v>0</v>
      </c>
      <c r="O133" s="277">
        <f t="shared" si="75"/>
        <v>0</v>
      </c>
      <c r="P133" s="277">
        <f t="shared" si="76"/>
        <v>0</v>
      </c>
      <c r="Q133" s="277">
        <f t="shared" si="77"/>
        <v>0</v>
      </c>
      <c r="R133" s="277">
        <f t="shared" si="78"/>
        <v>0</v>
      </c>
      <c r="S133" s="277" t="e">
        <f>IF(C133="V.High",SUMIF(#REF!,'G-2 Habitat groups'!A133,#REF!)+SUMIF(#REF!,'G-2 Habitat groups'!A133,#REF!),SUMIF(#REF!,'G-2 Habitat groups'!A133,#REF!))</f>
        <v>#REF!</v>
      </c>
      <c r="T133" s="277" t="e">
        <f>SUMIF(#REF!,'G-2 Habitat groups'!A133,#REF!)</f>
        <v>#REF!</v>
      </c>
      <c r="U133" s="277" t="e">
        <f>SUMIF(#REF!,'G-2 Habitat groups'!A133,#REF!)</f>
        <v>#REF!</v>
      </c>
      <c r="V133" s="277" t="e">
        <f>SUMIF(#REF!,'G-2 Habitat groups'!A133,#REF!)</f>
        <v>#REF!</v>
      </c>
      <c r="W133" s="277" t="e">
        <f>SUMIF(#REF!,'G-2 Habitat groups'!A133,#REF!)</f>
        <v>#REF!</v>
      </c>
      <c r="X133" s="277" t="e">
        <f>SUMIF(#REF!,'G-2 Habitat groups'!A133,#REF!)</f>
        <v>#REF!</v>
      </c>
      <c r="Y133" s="277" t="e">
        <f>SUMIF(#REF!,'G-2 Habitat groups'!A133,#REF!)</f>
        <v>#REF!</v>
      </c>
      <c r="Z133" s="277" t="e">
        <f>SUMIF(#REF!,'G-2 Habitat groups'!A133,#REF!)</f>
        <v>#REF!</v>
      </c>
      <c r="AA133" s="277" t="e">
        <f t="shared" si="79"/>
        <v>#REF!</v>
      </c>
      <c r="AB133" s="277" t="e">
        <f t="shared" si="80"/>
        <v>#REF!</v>
      </c>
      <c r="AC133" s="277" t="e">
        <f t="shared" si="81"/>
        <v>#REF!</v>
      </c>
      <c r="AD133" s="277" t="e">
        <f t="shared" si="82"/>
        <v>#REF!</v>
      </c>
      <c r="AE133" s="277" t="e">
        <f t="shared" si="83"/>
        <v>#REF!</v>
      </c>
      <c r="AF133" s="277" t="e">
        <f t="shared" si="84"/>
        <v>#REF!</v>
      </c>
      <c r="AU133" s="63"/>
      <c r="AV133" s="52"/>
      <c r="AW133" s="288"/>
      <c r="AX133" s="288"/>
      <c r="AY133" s="288"/>
      <c r="AZ133" s="288"/>
      <c r="BA133" s="288"/>
      <c r="BB133" s="288"/>
      <c r="BC133" s="288"/>
      <c r="BD133" s="288"/>
      <c r="BE133" s="288"/>
      <c r="BF133" s="288"/>
    </row>
    <row r="134" spans="1:58" ht="15" customHeight="1" x14ac:dyDescent="0.3">
      <c r="A134" s="63" t="s">
        <v>748</v>
      </c>
      <c r="B134" s="52" t="str">
        <f>'G-1 All Habitats'!F135</f>
        <v>Watercourse footprint</v>
      </c>
      <c r="C134" s="52" t="s">
        <v>316</v>
      </c>
      <c r="D134" s="52" t="str">
        <f>'G-1 All Habitats'!M135</f>
        <v>Compensation Not Required</v>
      </c>
      <c r="E134" s="277">
        <f>IF(C134="V.High",SUMIF('A-1 On-Site Habitat Baseline'!$AV$11:$AV$258,'G-2 Habitat groups'!A134,'A-1 On-Site Habitat Baseline'!$S$11:$S$258)+SUMIF('A-1 On-Site Habitat Baseline'!$AV$11:$AV$258,'G-2 Habitat groups'!A134,'A-1 On-Site Habitat Baseline'!$T$11:$T$258),SUMIF('A-1 On-Site Habitat Baseline'!$AV$11:$AV$258,'G-2 Habitat groups'!A134,'A-1 On-Site Habitat Baseline'!$H$11:$H$258))</f>
        <v>0</v>
      </c>
      <c r="F134" s="277">
        <f>SUMIF('A-1 On-Site Habitat Baseline'!$AV$11:$AV$258,'G-2 Habitat groups'!A134,'A-1 On-Site Habitat Baseline'!$Q$11:$Q$258)</f>
        <v>0</v>
      </c>
      <c r="G134" s="277">
        <f>SUMIF('A-1 On-Site Habitat Baseline'!$AV$11:$AV$258,'G-2 Habitat groups'!A134,'A-1 On-Site Habitat Baseline'!$S$11:$S$258)</f>
        <v>0</v>
      </c>
      <c r="H134" s="277">
        <f>SUMIF('A-1 On-Site Habitat Baseline'!$AV$11:$AV$258,'G-2 Habitat groups'!A134,'A-1 On-Site Habitat Baseline'!$U$11:$U$258)</f>
        <v>0</v>
      </c>
      <c r="I134" s="277">
        <f>SUMIF('A-1 On-Site Habitat Baseline'!$AV$11:$AV$258,'G-2 Habitat groups'!A134,'A-1 On-Site Habitat Baseline'!$W$11:$W$258)</f>
        <v>0</v>
      </c>
      <c r="J134" s="277">
        <f>SUMIF('A-1 On-Site Habitat Baseline'!$AV$11:$AV$258,'G-2 Habitat groups'!A134,'A-1 On-Site Habitat Baseline'!$X$11:$X$258)</f>
        <v>0</v>
      </c>
      <c r="K134" s="277">
        <f>SUMIF('A-2 On-Site Habitat Creation'!$F$11:$F$256,'G-2 Habitat groups'!A134,'A-2 On-Site Habitat Creation'!$G$11:$G$256)</f>
        <v>0</v>
      </c>
      <c r="L134" s="277">
        <f>SUMIF('A-2 On-Site Habitat Creation'!$F$11:$F$256,'G-2 Habitat groups'!A134,'A-2 On-Site Habitat Creation'!$Y$11:$Y$256)</f>
        <v>0</v>
      </c>
      <c r="M134" s="277">
        <f>SUMIF('A-3 On-Site Habitat Enhancement'!$S$12:$S$257,'G-2 Habitat groups'!A134,'A-3 On-Site Habitat Enhancement'!$V$12:$V$257)</f>
        <v>0</v>
      </c>
      <c r="N134" s="277">
        <f>SUMIF('A-3 On-Site Habitat Enhancement'!$S$12:$S$257,'G-2 Habitat groups'!A134,'A-3 On-Site Habitat Enhancement'!$AN$12:$AN$257)</f>
        <v>0</v>
      </c>
      <c r="O134" s="277">
        <f t="shared" si="75"/>
        <v>0</v>
      </c>
      <c r="P134" s="277">
        <f t="shared" si="76"/>
        <v>0</v>
      </c>
      <c r="Q134" s="277">
        <f t="shared" si="77"/>
        <v>0</v>
      </c>
      <c r="R134" s="277">
        <f t="shared" si="78"/>
        <v>0</v>
      </c>
      <c r="S134" s="277" t="e">
        <f>IF(C134="V.High",SUMIF(#REF!,'G-2 Habitat groups'!A134,#REF!)+SUMIF(#REF!,'G-2 Habitat groups'!A134,#REF!),SUMIF(#REF!,'G-2 Habitat groups'!A134,#REF!))</f>
        <v>#REF!</v>
      </c>
      <c r="T134" s="277" t="e">
        <f>SUMIF(#REF!,'G-2 Habitat groups'!A134,#REF!)</f>
        <v>#REF!</v>
      </c>
      <c r="U134" s="277" t="e">
        <f>SUMIF(#REF!,'G-2 Habitat groups'!A134,#REF!)</f>
        <v>#REF!</v>
      </c>
      <c r="V134" s="277" t="e">
        <f>SUMIF(#REF!,'G-2 Habitat groups'!A134,#REF!)</f>
        <v>#REF!</v>
      </c>
      <c r="W134" s="277" t="e">
        <f>SUMIF(#REF!,'G-2 Habitat groups'!A134,#REF!)</f>
        <v>#REF!</v>
      </c>
      <c r="X134" s="277" t="e">
        <f>SUMIF(#REF!,'G-2 Habitat groups'!A134,#REF!)</f>
        <v>#REF!</v>
      </c>
      <c r="Y134" s="277" t="e">
        <f>SUMIF(#REF!,'G-2 Habitat groups'!A134,#REF!)</f>
        <v>#REF!</v>
      </c>
      <c r="Z134" s="277" t="e">
        <f>SUMIF(#REF!,'G-2 Habitat groups'!A134,#REF!)</f>
        <v>#REF!</v>
      </c>
      <c r="AA134" s="277" t="e">
        <f t="shared" si="79"/>
        <v>#REF!</v>
      </c>
      <c r="AB134" s="277" t="e">
        <f t="shared" si="80"/>
        <v>#REF!</v>
      </c>
      <c r="AC134" s="277" t="e">
        <f t="shared" si="81"/>
        <v>#REF!</v>
      </c>
      <c r="AD134" s="277" t="e">
        <f t="shared" si="82"/>
        <v>#REF!</v>
      </c>
      <c r="AE134" s="277" t="e">
        <f t="shared" si="83"/>
        <v>#REF!</v>
      </c>
      <c r="AF134" s="277" t="e">
        <f t="shared" si="84"/>
        <v>#REF!</v>
      </c>
      <c r="AU134" s="63" t="s">
        <v>559</v>
      </c>
      <c r="AV134" s="52" t="s">
        <v>51</v>
      </c>
      <c r="AW134" s="288">
        <f t="shared" si="95"/>
        <v>0</v>
      </c>
      <c r="AX134" s="288">
        <f t="shared" si="88"/>
        <v>0</v>
      </c>
      <c r="AY134" s="288">
        <f t="shared" si="89"/>
        <v>0</v>
      </c>
      <c r="AZ134" s="288">
        <f t="shared" si="90"/>
        <v>0</v>
      </c>
      <c r="BA134" s="288">
        <f t="shared" si="91"/>
        <v>0</v>
      </c>
      <c r="BB134" s="288">
        <f t="shared" si="92"/>
        <v>0</v>
      </c>
      <c r="BC134" s="288" t="e">
        <f t="shared" si="93"/>
        <v>#REF!</v>
      </c>
      <c r="BD134" s="288" t="e">
        <f t="shared" si="94"/>
        <v>#REF!</v>
      </c>
      <c r="BE134" s="288" t="e">
        <f t="shared" si="86"/>
        <v>#REF!</v>
      </c>
      <c r="BF134" s="288" t="e">
        <f t="shared" si="87"/>
        <v>#REF!</v>
      </c>
    </row>
    <row r="135" spans="1:58" x14ac:dyDescent="0.3">
      <c r="A135" s="63" t="s">
        <v>567</v>
      </c>
      <c r="B135" s="52" t="str">
        <f>'G-1 All Habitats'!F81</f>
        <v>Individual trees</v>
      </c>
      <c r="C135" s="52" t="str">
        <f>'G-1 All Habitats'!K81</f>
        <v>Medium</v>
      </c>
      <c r="D135" s="52" t="str">
        <f>'G-1 All Habitats'!M81</f>
        <v>Same broad habitat or a higher distinctiveness habitat required (≥)</v>
      </c>
      <c r="E135" s="277">
        <f>IF(C135="V.High",SUMIF('A-1 On-Site Habitat Baseline'!$AV$11:$AV$258,'G-2 Habitat groups'!A135,'A-1 On-Site Habitat Baseline'!$S$11:$S$258)+SUMIF('A-1 On-Site Habitat Baseline'!$AV$11:$AV$258,'G-2 Habitat groups'!A135,'A-1 On-Site Habitat Baseline'!$T$11:$T$258),SUMIF('A-1 On-Site Habitat Baseline'!$AV$11:$AV$258,'G-2 Habitat groups'!A135,'A-1 On-Site Habitat Baseline'!$H$11:$H$258))</f>
        <v>0</v>
      </c>
      <c r="F135" s="277">
        <f>SUMIF('A-1 On-Site Habitat Baseline'!$AV$11:$AV$258,'G-2 Habitat groups'!A135,'A-1 On-Site Habitat Baseline'!$Q$11:$Q$258)</f>
        <v>0</v>
      </c>
      <c r="G135" s="277">
        <f>SUMIF('A-1 On-Site Habitat Baseline'!$AV$11:$AV$258,'G-2 Habitat groups'!A135,'A-1 On-Site Habitat Baseline'!$S$11:$S$258)</f>
        <v>0</v>
      </c>
      <c r="H135" s="277">
        <f>SUMIF('A-1 On-Site Habitat Baseline'!$AV$11:$AV$258,'G-2 Habitat groups'!A135,'A-1 On-Site Habitat Baseline'!$U$11:$U$258)</f>
        <v>0</v>
      </c>
      <c r="I135" s="277">
        <f>SUMIF('A-1 On-Site Habitat Baseline'!$AV$11:$AV$258,'G-2 Habitat groups'!A135,'A-1 On-Site Habitat Baseline'!$W$11:$W$258)</f>
        <v>0</v>
      </c>
      <c r="J135" s="277">
        <f>SUMIF('A-1 On-Site Habitat Baseline'!$AV$11:$AV$258,'G-2 Habitat groups'!A135,'A-1 On-Site Habitat Baseline'!$X$11:$X$258)</f>
        <v>0</v>
      </c>
      <c r="K135" s="277">
        <f>SUMIF('A-2 On-Site Habitat Creation'!$F$11:$F$256,'G-2 Habitat groups'!A135,'A-2 On-Site Habitat Creation'!$G$11:$G$256)</f>
        <v>0</v>
      </c>
      <c r="L135" s="277">
        <f>SUMIF('A-2 On-Site Habitat Creation'!$F$11:$F$256,'G-2 Habitat groups'!A135,'A-2 On-Site Habitat Creation'!$Y$11:$Y$256)</f>
        <v>0</v>
      </c>
      <c r="M135" s="277">
        <f>SUMIF('A-3 On-Site Habitat Enhancement'!$S$12:$S$257,'G-2 Habitat groups'!A135,'A-3 On-Site Habitat Enhancement'!$V$12:$V$257)</f>
        <v>0</v>
      </c>
      <c r="N135" s="277">
        <f>SUMIF('A-3 On-Site Habitat Enhancement'!$S$12:$S$257,'G-2 Habitat groups'!A135,'A-3 On-Site Habitat Enhancement'!$AN$12:$AN$257)</f>
        <v>0</v>
      </c>
      <c r="O135" s="277">
        <f t="shared" ref="O135:O140" si="96">G135+K135+M135</f>
        <v>0</v>
      </c>
      <c r="P135" s="277">
        <f t="shared" ref="P135:P140" si="97">H135+L135+N135</f>
        <v>0</v>
      </c>
      <c r="Q135" s="277">
        <f t="shared" ref="Q135:Q140" si="98">O135-E135</f>
        <v>0</v>
      </c>
      <c r="R135" s="277">
        <f t="shared" ref="R135:R140" si="99">P135-F135</f>
        <v>0</v>
      </c>
      <c r="S135" s="277" t="e">
        <f>IF(C135="V.High",SUMIF(#REF!,'G-2 Habitat groups'!A135,#REF!)+SUMIF(#REF!,'G-2 Habitat groups'!A135,#REF!),SUMIF(#REF!,'G-2 Habitat groups'!A135,#REF!))</f>
        <v>#REF!</v>
      </c>
      <c r="T135" s="277" t="e">
        <f>SUMIF(#REF!,'G-2 Habitat groups'!A135,#REF!)</f>
        <v>#REF!</v>
      </c>
      <c r="U135" s="277" t="e">
        <f>SUMIF(#REF!,'G-2 Habitat groups'!A135,#REF!)</f>
        <v>#REF!</v>
      </c>
      <c r="V135" s="277" t="e">
        <f>SUMIF(#REF!,'G-2 Habitat groups'!A135,#REF!)</f>
        <v>#REF!</v>
      </c>
      <c r="W135" s="277" t="e">
        <f>SUMIF(#REF!,'G-2 Habitat groups'!A135,#REF!)</f>
        <v>#REF!</v>
      </c>
      <c r="X135" s="277" t="e">
        <f>SUMIF(#REF!,'G-2 Habitat groups'!A135,#REF!)</f>
        <v>#REF!</v>
      </c>
      <c r="Y135" s="277" t="e">
        <f>SUMIF(#REF!,'G-2 Habitat groups'!A135,#REF!)</f>
        <v>#REF!</v>
      </c>
      <c r="Z135" s="277" t="e">
        <f>SUMIF(#REF!,'G-2 Habitat groups'!A135,#REF!)</f>
        <v>#REF!</v>
      </c>
      <c r="AA135" s="277" t="e">
        <f t="shared" si="79"/>
        <v>#REF!</v>
      </c>
      <c r="AB135" s="277" t="e">
        <f t="shared" si="80"/>
        <v>#REF!</v>
      </c>
      <c r="AC135" s="277" t="e">
        <f t="shared" ref="AC135:AC140" si="100">AA135-S135</f>
        <v>#REF!</v>
      </c>
      <c r="AD135" s="277" t="e">
        <f t="shared" ref="AD135:AD140" si="101">AB135-T135</f>
        <v>#REF!</v>
      </c>
      <c r="AE135" s="277" t="e">
        <f t="shared" ref="AE135:AE140" si="102">Q135+AC135</f>
        <v>#REF!</v>
      </c>
      <c r="AF135" s="277" t="e">
        <f t="shared" ref="AF135:AF140" si="103">R135+AD135</f>
        <v>#REF!</v>
      </c>
      <c r="AU135" s="63" t="s">
        <v>550</v>
      </c>
      <c r="AV135" s="52" t="s">
        <v>51</v>
      </c>
      <c r="AW135" s="288">
        <f t="shared" si="95"/>
        <v>0</v>
      </c>
      <c r="AX135" s="288">
        <f t="shared" si="88"/>
        <v>0</v>
      </c>
      <c r="AY135" s="288">
        <f t="shared" si="89"/>
        <v>0</v>
      </c>
      <c r="AZ135" s="288">
        <f t="shared" si="90"/>
        <v>0</v>
      </c>
      <c r="BA135" s="288">
        <f t="shared" si="91"/>
        <v>0</v>
      </c>
      <c r="BB135" s="288">
        <f t="shared" si="92"/>
        <v>0</v>
      </c>
      <c r="BC135" s="288" t="e">
        <f t="shared" si="93"/>
        <v>#REF!</v>
      </c>
      <c r="BD135" s="288" t="e">
        <f t="shared" si="94"/>
        <v>#REF!</v>
      </c>
      <c r="BE135" s="288" t="e">
        <f t="shared" si="86"/>
        <v>#REF!</v>
      </c>
      <c r="BF135" s="288" t="e">
        <f t="shared" si="87"/>
        <v>#REF!</v>
      </c>
    </row>
    <row r="136" spans="1:58" x14ac:dyDescent="0.3">
      <c r="A136" s="63">
        <f>'G-1 All Habitats'!B142</f>
        <v>0</v>
      </c>
      <c r="B136" s="52">
        <f>'G-1 All Habitats'!F136</f>
        <v>0</v>
      </c>
      <c r="C136" s="52">
        <f>'G-1 All Habitats'!K136</f>
        <v>0</v>
      </c>
      <c r="D136" s="52">
        <f>'G-1 All Habitats'!M136</f>
        <v>0</v>
      </c>
      <c r="E136" s="277">
        <f>IF(C136="V.High",SUMIF('A-1 On-Site Habitat Baseline'!$AV$11:$AV$258,'G-2 Habitat groups'!A136,'A-1 On-Site Habitat Baseline'!$S$11:$S$258)+SUMIF('A-1 On-Site Habitat Baseline'!$AV$11:$AV$258,'G-2 Habitat groups'!A136,'A-1 On-Site Habitat Baseline'!$T$11:$T$258),SUMIF('A-1 On-Site Habitat Baseline'!$AV$11:$AV$258,'G-2 Habitat groups'!A136,'A-1 On-Site Habitat Baseline'!$H$11:$H$258))</f>
        <v>0</v>
      </c>
      <c r="F136" s="277">
        <f>SUMIF('A-1 On-Site Habitat Baseline'!$AV$11:$AV$258,'G-2 Habitat groups'!A136,'A-1 On-Site Habitat Baseline'!$Q$11:$Q$258)</f>
        <v>0</v>
      </c>
      <c r="G136" s="277">
        <f>SUMIF('A-1 On-Site Habitat Baseline'!$AV$11:$AV$258,'G-2 Habitat groups'!A136,'A-1 On-Site Habitat Baseline'!$S$11:$S$258)</f>
        <v>0</v>
      </c>
      <c r="H136" s="277">
        <f>SUMIF('A-1 On-Site Habitat Baseline'!$AV$11:$AV$258,'G-2 Habitat groups'!A136,'A-1 On-Site Habitat Baseline'!$U$11:$U$258)</f>
        <v>0</v>
      </c>
      <c r="I136" s="277">
        <f>SUMIF('A-1 On-Site Habitat Baseline'!$AV$11:$AV$258,'G-2 Habitat groups'!A136,'A-1 On-Site Habitat Baseline'!$W$11:$W$258)</f>
        <v>0</v>
      </c>
      <c r="J136" s="277">
        <f>SUMIF('A-1 On-Site Habitat Baseline'!$AV$11:$AV$258,'G-2 Habitat groups'!A136,'A-1 On-Site Habitat Baseline'!$X$11:$X$258)</f>
        <v>0</v>
      </c>
      <c r="K136" s="277">
        <f>SUMIF('A-2 On-Site Habitat Creation'!$F$11:$F$256,'G-2 Habitat groups'!A136,'A-2 On-Site Habitat Creation'!$G$11:$G$256)</f>
        <v>0</v>
      </c>
      <c r="L136" s="277">
        <f>SUMIF('A-2 On-Site Habitat Creation'!$F$11:$F$256,'G-2 Habitat groups'!A136,'A-2 On-Site Habitat Creation'!$Y$11:$Y$256)</f>
        <v>0</v>
      </c>
      <c r="M136" s="277">
        <f>SUMIF('A-3 On-Site Habitat Enhancement'!$S$12:$S$257,'G-2 Habitat groups'!A136,'A-3 On-Site Habitat Enhancement'!$V$12:$V$257)</f>
        <v>0</v>
      </c>
      <c r="N136" s="277">
        <f>SUMIF('A-3 On-Site Habitat Enhancement'!$S$12:$S$257,'G-2 Habitat groups'!A136,'A-3 On-Site Habitat Enhancement'!$AN$12:$AN$257)</f>
        <v>0</v>
      </c>
      <c r="O136" s="277">
        <f t="shared" si="96"/>
        <v>0</v>
      </c>
      <c r="P136" s="277">
        <f t="shared" si="97"/>
        <v>0</v>
      </c>
      <c r="Q136" s="277">
        <f t="shared" si="98"/>
        <v>0</v>
      </c>
      <c r="R136" s="277">
        <f t="shared" si="99"/>
        <v>0</v>
      </c>
      <c r="S136" s="277" t="e">
        <f>IF(C136="V.High",SUMIF(#REF!,'G-2 Habitat groups'!A136,#REF!)+SUMIF(#REF!,'G-2 Habitat groups'!A136,#REF!),SUMIF(#REF!,'G-2 Habitat groups'!A136,#REF!))</f>
        <v>#REF!</v>
      </c>
      <c r="T136" s="277" t="e">
        <f>SUMIF(#REF!,'G-2 Habitat groups'!A136,#REF!)</f>
        <v>#REF!</v>
      </c>
      <c r="U136" s="277" t="e">
        <f>SUMIF(#REF!,'G-2 Habitat groups'!A136,#REF!)</f>
        <v>#REF!</v>
      </c>
      <c r="V136" s="277" t="e">
        <f>SUMIF(#REF!,'G-2 Habitat groups'!A136,#REF!)</f>
        <v>#REF!</v>
      </c>
      <c r="W136" s="277" t="e">
        <f>SUMIF(#REF!,'G-2 Habitat groups'!A136,#REF!)</f>
        <v>#REF!</v>
      </c>
      <c r="X136" s="277" t="e">
        <f>SUMIF(#REF!,'G-2 Habitat groups'!A136,#REF!)</f>
        <v>#REF!</v>
      </c>
      <c r="Y136" s="277" t="e">
        <f>SUMIF(#REF!,'G-2 Habitat groups'!A136,#REF!)</f>
        <v>#REF!</v>
      </c>
      <c r="Z136" s="277" t="e">
        <f>SUMIF(#REF!,'G-2 Habitat groups'!A136,#REF!)</f>
        <v>#REF!</v>
      </c>
      <c r="AA136" s="277" t="e">
        <f t="shared" ref="AA136:AB140" si="104">U136+W136+Y136</f>
        <v>#REF!</v>
      </c>
      <c r="AB136" s="277" t="e">
        <f t="shared" si="104"/>
        <v>#REF!</v>
      </c>
      <c r="AC136" s="277" t="e">
        <f t="shared" si="100"/>
        <v>#REF!</v>
      </c>
      <c r="AD136" s="277" t="e">
        <f t="shared" si="101"/>
        <v>#REF!</v>
      </c>
      <c r="AE136" s="277" t="e">
        <f t="shared" si="102"/>
        <v>#REF!</v>
      </c>
      <c r="AF136" s="277" t="e">
        <f t="shared" si="103"/>
        <v>#REF!</v>
      </c>
      <c r="AU136" s="63" t="s">
        <v>556</v>
      </c>
      <c r="AV136" s="52" t="s">
        <v>51</v>
      </c>
      <c r="AW136" s="288">
        <f t="shared" si="95"/>
        <v>0</v>
      </c>
      <c r="AX136" s="288">
        <f t="shared" si="88"/>
        <v>0</v>
      </c>
      <c r="AY136" s="288">
        <f t="shared" si="89"/>
        <v>0</v>
      </c>
      <c r="AZ136" s="288">
        <f t="shared" si="90"/>
        <v>0</v>
      </c>
      <c r="BA136" s="288">
        <f t="shared" si="91"/>
        <v>0</v>
      </c>
      <c r="BB136" s="288">
        <f t="shared" si="92"/>
        <v>0</v>
      </c>
      <c r="BC136" s="288" t="e">
        <f t="shared" si="93"/>
        <v>#REF!</v>
      </c>
      <c r="BD136" s="288" t="e">
        <f t="shared" si="94"/>
        <v>#REF!</v>
      </c>
      <c r="BE136" s="288" t="e">
        <f t="shared" si="86"/>
        <v>#REF!</v>
      </c>
      <c r="BF136" s="288" t="e">
        <f t="shared" si="87"/>
        <v>#REF!</v>
      </c>
    </row>
    <row r="137" spans="1:58" x14ac:dyDescent="0.3">
      <c r="A137" s="63">
        <f>'G-1 All Habitats'!B143</f>
        <v>0</v>
      </c>
      <c r="B137" s="52">
        <f>'G-1 All Habitats'!F137</f>
        <v>0</v>
      </c>
      <c r="C137" s="52">
        <f>'G-1 All Habitats'!K137</f>
        <v>0</v>
      </c>
      <c r="D137" s="52">
        <f>'G-1 All Habitats'!M137</f>
        <v>0</v>
      </c>
      <c r="E137" s="277">
        <f>IF(C137="V.High",SUMIF('A-1 On-Site Habitat Baseline'!$AV$11:$AV$258,'G-2 Habitat groups'!A137,'A-1 On-Site Habitat Baseline'!$S$11:$S$258)+SUMIF('A-1 On-Site Habitat Baseline'!$AV$11:$AV$258,'G-2 Habitat groups'!A137,'A-1 On-Site Habitat Baseline'!$T$11:$T$258),SUMIF('A-1 On-Site Habitat Baseline'!$AV$11:$AV$258,'G-2 Habitat groups'!A137,'A-1 On-Site Habitat Baseline'!$H$11:$H$258))</f>
        <v>0</v>
      </c>
      <c r="F137" s="277">
        <f>SUMIF('A-1 On-Site Habitat Baseline'!$AV$11:$AV$258,'G-2 Habitat groups'!A137,'A-1 On-Site Habitat Baseline'!$Q$11:$Q$258)</f>
        <v>0</v>
      </c>
      <c r="G137" s="277">
        <f>SUMIF('A-1 On-Site Habitat Baseline'!$AV$11:$AV$258,'G-2 Habitat groups'!A137,'A-1 On-Site Habitat Baseline'!$S$11:$S$258)</f>
        <v>0</v>
      </c>
      <c r="H137" s="277">
        <f>SUMIF('A-1 On-Site Habitat Baseline'!$AV$11:$AV$258,'G-2 Habitat groups'!A137,'A-1 On-Site Habitat Baseline'!$U$11:$U$258)</f>
        <v>0</v>
      </c>
      <c r="I137" s="277">
        <f>SUMIF('A-1 On-Site Habitat Baseline'!$AV$11:$AV$258,'G-2 Habitat groups'!A137,'A-1 On-Site Habitat Baseline'!$W$11:$W$258)</f>
        <v>0</v>
      </c>
      <c r="J137" s="277">
        <f>SUMIF('A-1 On-Site Habitat Baseline'!$AV$11:$AV$258,'G-2 Habitat groups'!A137,'A-1 On-Site Habitat Baseline'!$X$11:$X$258)</f>
        <v>0</v>
      </c>
      <c r="K137" s="277">
        <f>SUMIF('A-2 On-Site Habitat Creation'!$F$11:$F$256,'G-2 Habitat groups'!A137,'A-2 On-Site Habitat Creation'!$G$11:$G$256)</f>
        <v>0</v>
      </c>
      <c r="L137" s="277">
        <f>SUMIF('A-2 On-Site Habitat Creation'!$F$11:$F$256,'G-2 Habitat groups'!A137,'A-2 On-Site Habitat Creation'!$Y$11:$Y$256)</f>
        <v>0</v>
      </c>
      <c r="M137" s="277">
        <f>SUMIF('A-3 On-Site Habitat Enhancement'!$S$12:$S$257,'G-2 Habitat groups'!A137,'A-3 On-Site Habitat Enhancement'!$V$12:$V$257)</f>
        <v>0</v>
      </c>
      <c r="N137" s="277">
        <f>SUMIF('A-3 On-Site Habitat Enhancement'!$S$12:$S$257,'G-2 Habitat groups'!A137,'A-3 On-Site Habitat Enhancement'!$AN$12:$AN$257)</f>
        <v>0</v>
      </c>
      <c r="O137" s="277">
        <f t="shared" si="96"/>
        <v>0</v>
      </c>
      <c r="P137" s="277">
        <f t="shared" si="97"/>
        <v>0</v>
      </c>
      <c r="Q137" s="277">
        <f t="shared" si="98"/>
        <v>0</v>
      </c>
      <c r="R137" s="277">
        <f t="shared" si="99"/>
        <v>0</v>
      </c>
      <c r="S137" s="277" t="e">
        <f>IF(C137="V.High",SUMIF(#REF!,'G-2 Habitat groups'!A137,#REF!)+SUMIF(#REF!,'G-2 Habitat groups'!A137,#REF!),SUMIF(#REF!,'G-2 Habitat groups'!A137,#REF!))</f>
        <v>#REF!</v>
      </c>
      <c r="T137" s="277" t="e">
        <f>SUMIF(#REF!,'G-2 Habitat groups'!A137,#REF!)</f>
        <v>#REF!</v>
      </c>
      <c r="U137" s="277" t="e">
        <f>SUMIF(#REF!,'G-2 Habitat groups'!A137,#REF!)</f>
        <v>#REF!</v>
      </c>
      <c r="V137" s="277" t="e">
        <f>SUMIF(#REF!,'G-2 Habitat groups'!A137,#REF!)</f>
        <v>#REF!</v>
      </c>
      <c r="W137" s="277" t="e">
        <f>SUMIF(#REF!,'G-2 Habitat groups'!A137,#REF!)</f>
        <v>#REF!</v>
      </c>
      <c r="X137" s="277" t="e">
        <f>SUMIF(#REF!,'G-2 Habitat groups'!A137,#REF!)</f>
        <v>#REF!</v>
      </c>
      <c r="Y137" s="277" t="e">
        <f>SUMIF(#REF!,'G-2 Habitat groups'!A137,#REF!)</f>
        <v>#REF!</v>
      </c>
      <c r="Z137" s="277" t="e">
        <f>SUMIF(#REF!,'G-2 Habitat groups'!A137,#REF!)</f>
        <v>#REF!</v>
      </c>
      <c r="AA137" s="277" t="e">
        <f t="shared" si="104"/>
        <v>#REF!</v>
      </c>
      <c r="AB137" s="277" t="e">
        <f t="shared" si="104"/>
        <v>#REF!</v>
      </c>
      <c r="AC137" s="277" t="e">
        <f t="shared" si="100"/>
        <v>#REF!</v>
      </c>
      <c r="AD137" s="277" t="e">
        <f t="shared" si="101"/>
        <v>#REF!</v>
      </c>
      <c r="AE137" s="277" t="e">
        <f t="shared" si="102"/>
        <v>#REF!</v>
      </c>
      <c r="AF137" s="277" t="e">
        <f t="shared" si="103"/>
        <v>#REF!</v>
      </c>
      <c r="AU137" s="63" t="s">
        <v>561</v>
      </c>
      <c r="AV137" s="52" t="s">
        <v>51</v>
      </c>
      <c r="AW137" s="288">
        <f t="shared" si="95"/>
        <v>0</v>
      </c>
      <c r="AX137" s="288">
        <f t="shared" si="88"/>
        <v>0</v>
      </c>
      <c r="AY137" s="288">
        <f t="shared" si="89"/>
        <v>0</v>
      </c>
      <c r="AZ137" s="288">
        <f t="shared" si="90"/>
        <v>0</v>
      </c>
      <c r="BA137" s="288">
        <f t="shared" si="91"/>
        <v>0</v>
      </c>
      <c r="BB137" s="288">
        <f t="shared" si="92"/>
        <v>0</v>
      </c>
      <c r="BC137" s="288" t="e">
        <f t="shared" si="93"/>
        <v>#REF!</v>
      </c>
      <c r="BD137" s="288" t="e">
        <f t="shared" si="94"/>
        <v>#REF!</v>
      </c>
      <c r="BE137" s="288" t="e">
        <f t="shared" si="86"/>
        <v>#REF!</v>
      </c>
      <c r="BF137" s="288" t="e">
        <f t="shared" si="87"/>
        <v>#REF!</v>
      </c>
    </row>
    <row r="138" spans="1:58" x14ac:dyDescent="0.3">
      <c r="A138" s="63">
        <f>'G-1 All Habitats'!B144</f>
        <v>0</v>
      </c>
      <c r="B138" s="52">
        <f>'G-1 All Habitats'!F138</f>
        <v>0</v>
      </c>
      <c r="C138" s="52">
        <f>'G-1 All Habitats'!K138</f>
        <v>0</v>
      </c>
      <c r="D138" s="52">
        <f>'G-1 All Habitats'!M138</f>
        <v>0</v>
      </c>
      <c r="E138" s="277">
        <f>IF(C138="V.High",SUMIF('A-1 On-Site Habitat Baseline'!$AV$11:$AV$258,'G-2 Habitat groups'!A138,'A-1 On-Site Habitat Baseline'!$S$11:$S$258)+SUMIF('A-1 On-Site Habitat Baseline'!$AV$11:$AV$258,'G-2 Habitat groups'!A138,'A-1 On-Site Habitat Baseline'!$T$11:$T$258),SUMIF('A-1 On-Site Habitat Baseline'!$AV$11:$AV$258,'G-2 Habitat groups'!A138,'A-1 On-Site Habitat Baseline'!$H$11:$H$258))</f>
        <v>0</v>
      </c>
      <c r="F138" s="277">
        <f>SUMIF('A-1 On-Site Habitat Baseline'!$AV$11:$AV$258,'G-2 Habitat groups'!A138,'A-1 On-Site Habitat Baseline'!$Q$11:$Q$258)</f>
        <v>0</v>
      </c>
      <c r="G138" s="277">
        <f>SUMIF('A-1 On-Site Habitat Baseline'!$AV$11:$AV$258,'G-2 Habitat groups'!A138,'A-1 On-Site Habitat Baseline'!$S$11:$S$258)</f>
        <v>0</v>
      </c>
      <c r="H138" s="277">
        <f>SUMIF('A-1 On-Site Habitat Baseline'!$AV$11:$AV$258,'G-2 Habitat groups'!A138,'A-1 On-Site Habitat Baseline'!$U$11:$U$258)</f>
        <v>0</v>
      </c>
      <c r="I138" s="277">
        <f>SUMIF('A-1 On-Site Habitat Baseline'!$AV$11:$AV$258,'G-2 Habitat groups'!A138,'A-1 On-Site Habitat Baseline'!$W$11:$W$258)</f>
        <v>0</v>
      </c>
      <c r="J138" s="277">
        <f>SUMIF('A-1 On-Site Habitat Baseline'!$AV$11:$AV$258,'G-2 Habitat groups'!A138,'A-1 On-Site Habitat Baseline'!$X$11:$X$258)</f>
        <v>0</v>
      </c>
      <c r="K138" s="277">
        <f>SUMIF('A-2 On-Site Habitat Creation'!$F$11:$F$256,'G-2 Habitat groups'!A138,'A-2 On-Site Habitat Creation'!$G$11:$G$256)</f>
        <v>0</v>
      </c>
      <c r="L138" s="277">
        <f>SUMIF('A-2 On-Site Habitat Creation'!$F$11:$F$256,'G-2 Habitat groups'!A138,'A-2 On-Site Habitat Creation'!$Y$11:$Y$256)</f>
        <v>0</v>
      </c>
      <c r="M138" s="277">
        <f>SUMIF('A-3 On-Site Habitat Enhancement'!$S$12:$S$257,'G-2 Habitat groups'!A138,'A-3 On-Site Habitat Enhancement'!$V$12:$V$257)</f>
        <v>0</v>
      </c>
      <c r="N138" s="277">
        <f>SUMIF('A-3 On-Site Habitat Enhancement'!$S$12:$S$257,'G-2 Habitat groups'!A138,'A-3 On-Site Habitat Enhancement'!$AN$12:$AN$257)</f>
        <v>0</v>
      </c>
      <c r="O138" s="277">
        <f t="shared" si="96"/>
        <v>0</v>
      </c>
      <c r="P138" s="277">
        <f t="shared" si="97"/>
        <v>0</v>
      </c>
      <c r="Q138" s="277">
        <f t="shared" si="98"/>
        <v>0</v>
      </c>
      <c r="R138" s="277">
        <f t="shared" si="99"/>
        <v>0</v>
      </c>
      <c r="S138" s="277" t="e">
        <f>IF(C138="V.High",SUMIF(#REF!,'G-2 Habitat groups'!A138,#REF!)+SUMIF(#REF!,'G-2 Habitat groups'!A138,#REF!),SUMIF(#REF!,'G-2 Habitat groups'!A138,#REF!))</f>
        <v>#REF!</v>
      </c>
      <c r="T138" s="277" t="e">
        <f>SUMIF(#REF!,'G-2 Habitat groups'!A138,#REF!)</f>
        <v>#REF!</v>
      </c>
      <c r="U138" s="277" t="e">
        <f>SUMIF(#REF!,'G-2 Habitat groups'!A138,#REF!)</f>
        <v>#REF!</v>
      </c>
      <c r="V138" s="277" t="e">
        <f>SUMIF(#REF!,'G-2 Habitat groups'!A138,#REF!)</f>
        <v>#REF!</v>
      </c>
      <c r="W138" s="277" t="e">
        <f>SUMIF(#REF!,'G-2 Habitat groups'!A138,#REF!)</f>
        <v>#REF!</v>
      </c>
      <c r="X138" s="277" t="e">
        <f>SUMIF(#REF!,'G-2 Habitat groups'!A138,#REF!)</f>
        <v>#REF!</v>
      </c>
      <c r="Y138" s="277" t="e">
        <f>SUMIF(#REF!,'G-2 Habitat groups'!A138,#REF!)</f>
        <v>#REF!</v>
      </c>
      <c r="Z138" s="277" t="e">
        <f>SUMIF(#REF!,'G-2 Habitat groups'!A138,#REF!)</f>
        <v>#REF!</v>
      </c>
      <c r="AA138" s="277" t="e">
        <f t="shared" si="104"/>
        <v>#REF!</v>
      </c>
      <c r="AB138" s="277" t="e">
        <f t="shared" si="104"/>
        <v>#REF!</v>
      </c>
      <c r="AC138" s="277" t="e">
        <f t="shared" si="100"/>
        <v>#REF!</v>
      </c>
      <c r="AD138" s="277" t="e">
        <f t="shared" si="101"/>
        <v>#REF!</v>
      </c>
      <c r="AE138" s="277" t="e">
        <f t="shared" si="102"/>
        <v>#REF!</v>
      </c>
      <c r="AF138" s="277" t="e">
        <f t="shared" si="103"/>
        <v>#REF!</v>
      </c>
      <c r="AU138" s="79" t="s">
        <v>616</v>
      </c>
      <c r="AV138" s="52" t="s">
        <v>53</v>
      </c>
      <c r="AW138" s="288">
        <f t="shared" si="95"/>
        <v>0</v>
      </c>
      <c r="AX138" s="288">
        <f t="shared" si="88"/>
        <v>0</v>
      </c>
      <c r="AY138" s="288">
        <f t="shared" si="89"/>
        <v>0</v>
      </c>
      <c r="AZ138" s="288">
        <f t="shared" si="90"/>
        <v>0</v>
      </c>
      <c r="BA138" s="288">
        <f t="shared" si="91"/>
        <v>0</v>
      </c>
      <c r="BB138" s="288">
        <f t="shared" si="92"/>
        <v>0</v>
      </c>
      <c r="BC138" s="288" t="e">
        <f t="shared" si="93"/>
        <v>#REF!</v>
      </c>
      <c r="BD138" s="288" t="e">
        <f t="shared" si="94"/>
        <v>#REF!</v>
      </c>
      <c r="BE138" s="288" t="e">
        <f t="shared" si="86"/>
        <v>#REF!</v>
      </c>
      <c r="BF138" s="288" t="e">
        <f t="shared" si="87"/>
        <v>#REF!</v>
      </c>
    </row>
    <row r="139" spans="1:58" x14ac:dyDescent="0.3">
      <c r="A139" s="63">
        <f>'G-1 All Habitats'!B145</f>
        <v>0</v>
      </c>
      <c r="B139" s="52">
        <f>'G-1 All Habitats'!F139</f>
        <v>0</v>
      </c>
      <c r="C139" s="52">
        <f>'G-1 All Habitats'!K139</f>
        <v>0</v>
      </c>
      <c r="D139" s="52">
        <f>'G-1 All Habitats'!M139</f>
        <v>0</v>
      </c>
      <c r="E139" s="277">
        <f>IF(C139="V.High",SUMIF('A-1 On-Site Habitat Baseline'!$AV$11:$AV$258,'G-2 Habitat groups'!A139,'A-1 On-Site Habitat Baseline'!$S$11:$S$258)+SUMIF('A-1 On-Site Habitat Baseline'!$AV$11:$AV$258,'G-2 Habitat groups'!A139,'A-1 On-Site Habitat Baseline'!$T$11:$T$258),SUMIF('A-1 On-Site Habitat Baseline'!$AV$11:$AV$258,'G-2 Habitat groups'!A139,'A-1 On-Site Habitat Baseline'!$H$11:$H$258))</f>
        <v>0</v>
      </c>
      <c r="F139" s="277">
        <f>SUMIF('A-1 On-Site Habitat Baseline'!$AV$11:$AV$258,'G-2 Habitat groups'!A139,'A-1 On-Site Habitat Baseline'!$Q$11:$Q$258)</f>
        <v>0</v>
      </c>
      <c r="G139" s="277">
        <f>SUMIF('A-1 On-Site Habitat Baseline'!$AV$11:$AV$258,'G-2 Habitat groups'!A139,'A-1 On-Site Habitat Baseline'!$S$11:$S$258)</f>
        <v>0</v>
      </c>
      <c r="H139" s="277">
        <f>SUMIF('A-1 On-Site Habitat Baseline'!$AV$11:$AV$258,'G-2 Habitat groups'!A139,'A-1 On-Site Habitat Baseline'!$U$11:$U$258)</f>
        <v>0</v>
      </c>
      <c r="I139" s="277">
        <f>SUMIF('A-1 On-Site Habitat Baseline'!$AV$11:$AV$258,'G-2 Habitat groups'!A139,'A-1 On-Site Habitat Baseline'!$W$11:$W$258)</f>
        <v>0</v>
      </c>
      <c r="J139" s="277">
        <f>SUMIF('A-1 On-Site Habitat Baseline'!$AV$11:$AV$258,'G-2 Habitat groups'!A139,'A-1 On-Site Habitat Baseline'!$X$11:$X$258)</f>
        <v>0</v>
      </c>
      <c r="K139" s="277">
        <f>SUMIF('A-2 On-Site Habitat Creation'!$F$11:$F$256,'G-2 Habitat groups'!A139,'A-2 On-Site Habitat Creation'!$G$11:$G$256)</f>
        <v>0</v>
      </c>
      <c r="L139" s="277">
        <f>SUMIF('A-2 On-Site Habitat Creation'!$F$11:$F$256,'G-2 Habitat groups'!A139,'A-2 On-Site Habitat Creation'!$Y$11:$Y$256)</f>
        <v>0</v>
      </c>
      <c r="M139" s="277">
        <f>SUMIF('A-3 On-Site Habitat Enhancement'!$S$12:$S$257,'G-2 Habitat groups'!A139,'A-3 On-Site Habitat Enhancement'!$V$12:$V$257)</f>
        <v>0</v>
      </c>
      <c r="N139" s="277">
        <f>SUMIF('A-3 On-Site Habitat Enhancement'!$S$12:$S$257,'G-2 Habitat groups'!A139,'A-3 On-Site Habitat Enhancement'!$AN$12:$AN$257)</f>
        <v>0</v>
      </c>
      <c r="O139" s="277">
        <f t="shared" si="96"/>
        <v>0</v>
      </c>
      <c r="P139" s="277">
        <f t="shared" si="97"/>
        <v>0</v>
      </c>
      <c r="Q139" s="277">
        <f t="shared" si="98"/>
        <v>0</v>
      </c>
      <c r="R139" s="277">
        <f t="shared" si="99"/>
        <v>0</v>
      </c>
      <c r="S139" s="277" t="e">
        <f>IF(C139="V.High",SUMIF(#REF!,'G-2 Habitat groups'!A139,#REF!)+SUMIF(#REF!,'G-2 Habitat groups'!A139,#REF!),SUMIF(#REF!,'G-2 Habitat groups'!A139,#REF!))</f>
        <v>#REF!</v>
      </c>
      <c r="T139" s="277" t="e">
        <f>SUMIF(#REF!,'G-2 Habitat groups'!A139,#REF!)</f>
        <v>#REF!</v>
      </c>
      <c r="U139" s="277" t="e">
        <f>SUMIF(#REF!,'G-2 Habitat groups'!A139,#REF!)</f>
        <v>#REF!</v>
      </c>
      <c r="V139" s="277" t="e">
        <f>SUMIF(#REF!,'G-2 Habitat groups'!A139,#REF!)</f>
        <v>#REF!</v>
      </c>
      <c r="W139" s="277" t="e">
        <f>SUMIF(#REF!,'G-2 Habitat groups'!A139,#REF!)</f>
        <v>#REF!</v>
      </c>
      <c r="X139" s="277" t="e">
        <f>SUMIF(#REF!,'G-2 Habitat groups'!A139,#REF!)</f>
        <v>#REF!</v>
      </c>
      <c r="Y139" s="277" t="e">
        <f>SUMIF(#REF!,'G-2 Habitat groups'!A139,#REF!)</f>
        <v>#REF!</v>
      </c>
      <c r="Z139" s="277" t="e">
        <f>SUMIF(#REF!,'G-2 Habitat groups'!A139,#REF!)</f>
        <v>#REF!</v>
      </c>
      <c r="AA139" s="277" t="e">
        <f t="shared" si="104"/>
        <v>#REF!</v>
      </c>
      <c r="AB139" s="277" t="e">
        <f t="shared" si="104"/>
        <v>#REF!</v>
      </c>
      <c r="AC139" s="277" t="e">
        <f t="shared" si="100"/>
        <v>#REF!</v>
      </c>
      <c r="AD139" s="277" t="e">
        <f t="shared" si="101"/>
        <v>#REF!</v>
      </c>
      <c r="AE139" s="277" t="e">
        <f t="shared" si="102"/>
        <v>#REF!</v>
      </c>
      <c r="AF139" s="277" t="e">
        <f t="shared" si="103"/>
        <v>#REF!</v>
      </c>
      <c r="AU139" s="63" t="s">
        <v>683</v>
      </c>
      <c r="AV139" s="75" t="s">
        <v>55</v>
      </c>
      <c r="AW139" s="288">
        <f t="shared" si="95"/>
        <v>0</v>
      </c>
      <c r="AX139" s="288">
        <f t="shared" si="88"/>
        <v>0</v>
      </c>
      <c r="AY139" s="288">
        <f t="shared" si="89"/>
        <v>0</v>
      </c>
      <c r="AZ139" s="288">
        <f t="shared" si="90"/>
        <v>0</v>
      </c>
      <c r="BA139" s="288">
        <f t="shared" si="91"/>
        <v>0</v>
      </c>
      <c r="BB139" s="288">
        <f t="shared" si="92"/>
        <v>0</v>
      </c>
      <c r="BC139" s="288" t="e">
        <f t="shared" si="93"/>
        <v>#REF!</v>
      </c>
      <c r="BD139" s="288" t="e">
        <f t="shared" si="94"/>
        <v>#REF!</v>
      </c>
      <c r="BE139" s="288" t="e">
        <f t="shared" si="86"/>
        <v>#REF!</v>
      </c>
      <c r="BF139" s="288" t="e">
        <f t="shared" si="87"/>
        <v>#REF!</v>
      </c>
    </row>
    <row r="140" spans="1:58" x14ac:dyDescent="0.3">
      <c r="A140" s="63">
        <f>'G-1 All Habitats'!B146</f>
        <v>0</v>
      </c>
      <c r="B140" s="52">
        <f>'G-1 All Habitats'!F140</f>
        <v>0</v>
      </c>
      <c r="C140" s="52">
        <f>'G-1 All Habitats'!K140</f>
        <v>0</v>
      </c>
      <c r="D140" s="52">
        <f>'G-1 All Habitats'!M140</f>
        <v>0</v>
      </c>
      <c r="E140" s="277">
        <f>IF(C140="V.High",SUMIF('A-1 On-Site Habitat Baseline'!$AV$11:$AV$258,'G-2 Habitat groups'!A140,'A-1 On-Site Habitat Baseline'!$S$11:$S$258)+SUMIF('A-1 On-Site Habitat Baseline'!$AV$11:$AV$258,'G-2 Habitat groups'!A140,'A-1 On-Site Habitat Baseline'!$T$11:$T$258),SUMIF('A-1 On-Site Habitat Baseline'!$AV$11:$AV$258,'G-2 Habitat groups'!A140,'A-1 On-Site Habitat Baseline'!$H$11:$H$258))</f>
        <v>0</v>
      </c>
      <c r="F140" s="277">
        <f>SUMIF('A-1 On-Site Habitat Baseline'!$AV$11:$AV$258,'G-2 Habitat groups'!A140,'A-1 On-Site Habitat Baseline'!$Q$11:$Q$258)</f>
        <v>0</v>
      </c>
      <c r="G140" s="277">
        <f>SUMIF('A-1 On-Site Habitat Baseline'!$AV$11:$AV$258,'G-2 Habitat groups'!A140,'A-1 On-Site Habitat Baseline'!$S$11:$S$258)</f>
        <v>0</v>
      </c>
      <c r="H140" s="277">
        <f>SUMIF('A-1 On-Site Habitat Baseline'!$AV$11:$AV$258,'G-2 Habitat groups'!A140,'A-1 On-Site Habitat Baseline'!$U$11:$U$258)</f>
        <v>0</v>
      </c>
      <c r="I140" s="277">
        <f>SUMIF('A-1 On-Site Habitat Baseline'!$AV$11:$AV$258,'G-2 Habitat groups'!A140,'A-1 On-Site Habitat Baseline'!$W$11:$W$258)</f>
        <v>0</v>
      </c>
      <c r="J140" s="277">
        <f>SUMIF('A-1 On-Site Habitat Baseline'!$AV$11:$AV$258,'G-2 Habitat groups'!A140,'A-1 On-Site Habitat Baseline'!$X$11:$X$258)</f>
        <v>0</v>
      </c>
      <c r="K140" s="277">
        <f>SUMIF('A-2 On-Site Habitat Creation'!$F$11:$F$256,'G-2 Habitat groups'!A140,'A-2 On-Site Habitat Creation'!$G$11:$G$256)</f>
        <v>0</v>
      </c>
      <c r="L140" s="277">
        <f>SUMIF('A-2 On-Site Habitat Creation'!$F$11:$F$256,'G-2 Habitat groups'!A140,'A-2 On-Site Habitat Creation'!$Y$11:$Y$256)</f>
        <v>0</v>
      </c>
      <c r="M140" s="277">
        <f>SUMIF('A-3 On-Site Habitat Enhancement'!$S$12:$S$257,'G-2 Habitat groups'!A140,'A-3 On-Site Habitat Enhancement'!$V$12:$V$257)</f>
        <v>0</v>
      </c>
      <c r="N140" s="277">
        <f>SUMIF('A-3 On-Site Habitat Enhancement'!$S$12:$S$257,'G-2 Habitat groups'!A140,'A-3 On-Site Habitat Enhancement'!$AN$12:$AN$257)</f>
        <v>0</v>
      </c>
      <c r="O140" s="277">
        <f t="shared" si="96"/>
        <v>0</v>
      </c>
      <c r="P140" s="277">
        <f t="shared" si="97"/>
        <v>0</v>
      </c>
      <c r="Q140" s="277">
        <f t="shared" si="98"/>
        <v>0</v>
      </c>
      <c r="R140" s="277">
        <f t="shared" si="99"/>
        <v>0</v>
      </c>
      <c r="S140" s="277" t="e">
        <f>IF(C140="V.High",SUMIF(#REF!,'G-2 Habitat groups'!A140,#REF!)+SUMIF(#REF!,'G-2 Habitat groups'!A140,#REF!),SUMIF(#REF!,'G-2 Habitat groups'!A140,#REF!))</f>
        <v>#REF!</v>
      </c>
      <c r="T140" s="277" t="e">
        <f>SUMIF(#REF!,'G-2 Habitat groups'!A140,#REF!)</f>
        <v>#REF!</v>
      </c>
      <c r="U140" s="277" t="e">
        <f>SUMIF(#REF!,'G-2 Habitat groups'!A140,#REF!)</f>
        <v>#REF!</v>
      </c>
      <c r="V140" s="277" t="e">
        <f>SUMIF(#REF!,'G-2 Habitat groups'!A140,#REF!)</f>
        <v>#REF!</v>
      </c>
      <c r="W140" s="277" t="e">
        <f>SUMIF(#REF!,'G-2 Habitat groups'!A140,#REF!)</f>
        <v>#REF!</v>
      </c>
      <c r="X140" s="277" t="e">
        <f>SUMIF(#REF!,'G-2 Habitat groups'!A140,#REF!)</f>
        <v>#REF!</v>
      </c>
      <c r="Y140" s="277" t="e">
        <f>SUMIF(#REF!,'G-2 Habitat groups'!A140,#REF!)</f>
        <v>#REF!</v>
      </c>
      <c r="Z140" s="277" t="e">
        <f>SUMIF(#REF!,'G-2 Habitat groups'!A140,#REF!)</f>
        <v>#REF!</v>
      </c>
      <c r="AA140" s="277" t="e">
        <f t="shared" si="104"/>
        <v>#REF!</v>
      </c>
      <c r="AB140" s="277" t="e">
        <f t="shared" si="104"/>
        <v>#REF!</v>
      </c>
      <c r="AC140" s="277" t="e">
        <f t="shared" si="100"/>
        <v>#REF!</v>
      </c>
      <c r="AD140" s="277" t="e">
        <f t="shared" si="101"/>
        <v>#REF!</v>
      </c>
      <c r="AE140" s="277" t="e">
        <f t="shared" si="102"/>
        <v>#REF!</v>
      </c>
      <c r="AF140" s="277" t="e">
        <f t="shared" si="103"/>
        <v>#REF!</v>
      </c>
      <c r="AU140" s="63" t="s">
        <v>712</v>
      </c>
      <c r="AV140" s="52" t="s">
        <v>54</v>
      </c>
      <c r="AW140" s="288">
        <f t="shared" si="95"/>
        <v>0</v>
      </c>
      <c r="AX140" s="288">
        <f t="shared" si="88"/>
        <v>0</v>
      </c>
      <c r="AY140" s="288">
        <f t="shared" si="89"/>
        <v>0</v>
      </c>
      <c r="AZ140" s="288">
        <f t="shared" si="90"/>
        <v>0</v>
      </c>
      <c r="BA140" s="288">
        <f t="shared" si="91"/>
        <v>0</v>
      </c>
      <c r="BB140" s="288">
        <f t="shared" si="92"/>
        <v>0</v>
      </c>
      <c r="BC140" s="288" t="e">
        <f t="shared" si="93"/>
        <v>#REF!</v>
      </c>
      <c r="BD140" s="288" t="e">
        <f t="shared" si="94"/>
        <v>#REF!</v>
      </c>
      <c r="BE140" s="288" t="e">
        <f t="shared" si="86"/>
        <v>#REF!</v>
      </c>
      <c r="BF140" s="288" t="e">
        <f t="shared" si="87"/>
        <v>#REF!</v>
      </c>
    </row>
    <row r="141" spans="1:58" x14ac:dyDescent="0.3">
      <c r="AU141" s="63" t="s">
        <v>715</v>
      </c>
      <c r="AV141" s="52" t="s">
        <v>54</v>
      </c>
      <c r="AW141" s="288">
        <f t="shared" si="95"/>
        <v>0</v>
      </c>
      <c r="AX141" s="288">
        <f t="shared" si="88"/>
        <v>0</v>
      </c>
      <c r="AY141" s="288">
        <f t="shared" si="89"/>
        <v>0</v>
      </c>
      <c r="AZ141" s="288">
        <f t="shared" si="90"/>
        <v>0</v>
      </c>
      <c r="BA141" s="288">
        <f t="shared" si="91"/>
        <v>0</v>
      </c>
      <c r="BB141" s="288">
        <f t="shared" si="92"/>
        <v>0</v>
      </c>
      <c r="BC141" s="288" t="e">
        <f t="shared" si="93"/>
        <v>#REF!</v>
      </c>
      <c r="BD141" s="288" t="e">
        <f t="shared" si="94"/>
        <v>#REF!</v>
      </c>
      <c r="BE141" s="288" t="e">
        <f t="shared" si="86"/>
        <v>#REF!</v>
      </c>
      <c r="BF141" s="288" t="e">
        <f t="shared" si="87"/>
        <v>#REF!</v>
      </c>
    </row>
    <row r="142" spans="1:58" x14ac:dyDescent="0.3">
      <c r="AU142" s="63" t="s">
        <v>718</v>
      </c>
      <c r="AV142" s="52" t="s">
        <v>54</v>
      </c>
      <c r="AW142" s="288">
        <f t="shared" si="95"/>
        <v>0</v>
      </c>
      <c r="AX142" s="288">
        <f t="shared" si="88"/>
        <v>0</v>
      </c>
      <c r="AY142" s="288">
        <f t="shared" si="89"/>
        <v>0</v>
      </c>
      <c r="AZ142" s="288">
        <f t="shared" si="90"/>
        <v>0</v>
      </c>
      <c r="BA142" s="288">
        <f t="shared" si="91"/>
        <v>0</v>
      </c>
      <c r="BB142" s="288">
        <f t="shared" si="92"/>
        <v>0</v>
      </c>
      <c r="BC142" s="288" t="e">
        <f t="shared" si="93"/>
        <v>#REF!</v>
      </c>
      <c r="BD142" s="288" t="e">
        <f t="shared" si="94"/>
        <v>#REF!</v>
      </c>
      <c r="BE142" s="288" t="e">
        <f t="shared" si="86"/>
        <v>#REF!</v>
      </c>
      <c r="BF142" s="288" t="e">
        <f t="shared" si="87"/>
        <v>#REF!</v>
      </c>
    </row>
    <row r="143" spans="1:58" x14ac:dyDescent="0.3">
      <c r="AU143" s="63" t="s">
        <v>721</v>
      </c>
      <c r="AV143" s="52" t="s">
        <v>54</v>
      </c>
      <c r="AW143" s="288">
        <f t="shared" si="95"/>
        <v>0</v>
      </c>
      <c r="AX143" s="288">
        <f t="shared" si="88"/>
        <v>0</v>
      </c>
      <c r="AY143" s="288">
        <f t="shared" si="89"/>
        <v>0</v>
      </c>
      <c r="AZ143" s="288">
        <f t="shared" si="90"/>
        <v>0</v>
      </c>
      <c r="BA143" s="288">
        <f t="shared" si="91"/>
        <v>0</v>
      </c>
      <c r="BB143" s="288">
        <f t="shared" si="92"/>
        <v>0</v>
      </c>
      <c r="BC143" s="288" t="e">
        <f t="shared" si="93"/>
        <v>#REF!</v>
      </c>
      <c r="BD143" s="288" t="e">
        <f t="shared" si="94"/>
        <v>#REF!</v>
      </c>
      <c r="BE143" s="288" t="e">
        <f t="shared" si="86"/>
        <v>#REF!</v>
      </c>
      <c r="BF143" s="288" t="e">
        <f t="shared" si="87"/>
        <v>#REF!</v>
      </c>
    </row>
    <row r="144" spans="1:58" x14ac:dyDescent="0.3">
      <c r="AU144" s="63" t="s">
        <v>724</v>
      </c>
      <c r="AV144" s="52" t="s">
        <v>54</v>
      </c>
      <c r="AW144" s="288">
        <f t="shared" si="95"/>
        <v>0</v>
      </c>
      <c r="AX144" s="288">
        <f t="shared" si="88"/>
        <v>0</v>
      </c>
      <c r="AY144" s="288">
        <f t="shared" si="89"/>
        <v>0</v>
      </c>
      <c r="AZ144" s="288">
        <f t="shared" si="90"/>
        <v>0</v>
      </c>
      <c r="BA144" s="288">
        <f t="shared" si="91"/>
        <v>0</v>
      </c>
      <c r="BB144" s="288">
        <f t="shared" si="92"/>
        <v>0</v>
      </c>
      <c r="BC144" s="288" t="e">
        <f t="shared" si="93"/>
        <v>#REF!</v>
      </c>
      <c r="BD144" s="288" t="e">
        <f t="shared" si="94"/>
        <v>#REF!</v>
      </c>
      <c r="BE144" s="288" t="e">
        <f t="shared" si="86"/>
        <v>#REF!</v>
      </c>
      <c r="BF144" s="288" t="e">
        <f t="shared" si="87"/>
        <v>#REF!</v>
      </c>
    </row>
    <row r="145" spans="1:59" ht="27.5" x14ac:dyDescent="0.55000000000000004">
      <c r="A145" s="218" t="s">
        <v>63</v>
      </c>
      <c r="AU145" s="63" t="s">
        <v>727</v>
      </c>
      <c r="AV145" s="52" t="s">
        <v>54</v>
      </c>
      <c r="AW145" s="288">
        <f t="shared" si="95"/>
        <v>0</v>
      </c>
      <c r="AX145" s="288">
        <f t="shared" si="88"/>
        <v>0</v>
      </c>
      <c r="AY145" s="288">
        <f t="shared" si="89"/>
        <v>0</v>
      </c>
      <c r="AZ145" s="288">
        <f t="shared" si="90"/>
        <v>0</v>
      </c>
      <c r="BA145" s="288">
        <f t="shared" si="91"/>
        <v>0</v>
      </c>
      <c r="BB145" s="288">
        <f t="shared" si="92"/>
        <v>0</v>
      </c>
      <c r="BC145" s="288" t="e">
        <f t="shared" si="93"/>
        <v>#REF!</v>
      </c>
      <c r="BD145" s="288" t="e">
        <f t="shared" si="94"/>
        <v>#REF!</v>
      </c>
      <c r="BE145" s="288" t="e">
        <f t="shared" si="86"/>
        <v>#REF!</v>
      </c>
      <c r="BF145" s="288" t="e">
        <f t="shared" si="87"/>
        <v>#REF!</v>
      </c>
    </row>
    <row r="146" spans="1:59" x14ac:dyDescent="0.3">
      <c r="AU146" s="63" t="s">
        <v>730</v>
      </c>
      <c r="AV146" s="52" t="s">
        <v>54</v>
      </c>
      <c r="AW146" s="288">
        <f t="shared" si="95"/>
        <v>0</v>
      </c>
      <c r="AX146" s="288">
        <f t="shared" si="88"/>
        <v>0</v>
      </c>
      <c r="AY146" s="288">
        <f t="shared" si="89"/>
        <v>0</v>
      </c>
      <c r="AZ146" s="288">
        <f t="shared" si="90"/>
        <v>0</v>
      </c>
      <c r="BA146" s="288">
        <f t="shared" si="91"/>
        <v>0</v>
      </c>
      <c r="BB146" s="288">
        <f t="shared" si="92"/>
        <v>0</v>
      </c>
      <c r="BC146" s="288" t="e">
        <f t="shared" si="93"/>
        <v>#REF!</v>
      </c>
      <c r="BD146" s="288" t="e">
        <f t="shared" si="94"/>
        <v>#REF!</v>
      </c>
      <c r="BE146" s="288" t="e">
        <f t="shared" si="86"/>
        <v>#REF!</v>
      </c>
      <c r="BF146" s="288" t="e">
        <f t="shared" si="87"/>
        <v>#REF!</v>
      </c>
    </row>
    <row r="147" spans="1:59" x14ac:dyDescent="0.3">
      <c r="AU147" s="84" t="s">
        <v>739</v>
      </c>
      <c r="AV147" s="75" t="s">
        <v>58</v>
      </c>
      <c r="AW147" s="288">
        <f t="shared" si="95"/>
        <v>0</v>
      </c>
      <c r="AX147" s="288">
        <f t="shared" si="88"/>
        <v>0</v>
      </c>
      <c r="AY147" s="288">
        <f t="shared" si="89"/>
        <v>0</v>
      </c>
      <c r="AZ147" s="288">
        <f t="shared" si="90"/>
        <v>0</v>
      </c>
      <c r="BA147" s="288">
        <f t="shared" si="91"/>
        <v>0</v>
      </c>
      <c r="BB147" s="288">
        <f t="shared" si="92"/>
        <v>0</v>
      </c>
      <c r="BC147" s="288" t="e">
        <f t="shared" si="93"/>
        <v>#REF!</v>
      </c>
      <c r="BD147" s="288" t="e">
        <f t="shared" si="94"/>
        <v>#REF!</v>
      </c>
      <c r="BE147" s="288" t="e">
        <f t="shared" si="86"/>
        <v>#REF!</v>
      </c>
      <c r="BF147" s="288" t="e">
        <f t="shared" si="87"/>
        <v>#REF!</v>
      </c>
    </row>
    <row r="148" spans="1:59" ht="22.5" x14ac:dyDescent="0.45">
      <c r="A148" s="61">
        <v>1</v>
      </c>
      <c r="B148" s="61">
        <v>2</v>
      </c>
      <c r="C148" s="61">
        <v>3</v>
      </c>
      <c r="D148" s="61">
        <v>4</v>
      </c>
      <c r="E148" s="61">
        <v>5</v>
      </c>
      <c r="F148" s="61">
        <v>6</v>
      </c>
      <c r="G148" s="61">
        <v>7</v>
      </c>
      <c r="H148" s="61">
        <v>8</v>
      </c>
      <c r="I148" s="61">
        <v>9</v>
      </c>
      <c r="J148" s="61">
        <v>10</v>
      </c>
      <c r="K148" s="61">
        <v>11</v>
      </c>
      <c r="L148" s="61">
        <v>12</v>
      </c>
      <c r="M148" s="61">
        <v>13</v>
      </c>
      <c r="N148" s="61">
        <v>14</v>
      </c>
      <c r="O148" s="61">
        <v>15</v>
      </c>
      <c r="P148" s="61">
        <v>16</v>
      </c>
      <c r="Q148" s="61">
        <v>17</v>
      </c>
      <c r="R148" s="61">
        <v>18</v>
      </c>
      <c r="S148" s="61">
        <v>19</v>
      </c>
      <c r="T148" s="61">
        <v>20</v>
      </c>
      <c r="U148" s="61">
        <v>21</v>
      </c>
      <c r="V148" s="61">
        <v>22</v>
      </c>
      <c r="W148" s="61">
        <v>23</v>
      </c>
      <c r="X148" s="61">
        <v>24</v>
      </c>
      <c r="Y148" s="61">
        <v>25</v>
      </c>
      <c r="Z148" s="61">
        <v>26</v>
      </c>
      <c r="AA148" s="61">
        <v>27</v>
      </c>
      <c r="AB148" s="61">
        <v>28</v>
      </c>
      <c r="AC148" s="61">
        <v>29</v>
      </c>
      <c r="AD148" s="61">
        <v>30</v>
      </c>
      <c r="AE148" s="61">
        <v>31</v>
      </c>
      <c r="AF148" s="61">
        <v>32</v>
      </c>
      <c r="AU148" s="84" t="s">
        <v>742</v>
      </c>
      <c r="AV148" s="75" t="s">
        <v>58</v>
      </c>
      <c r="AW148" s="288">
        <f t="shared" si="95"/>
        <v>0</v>
      </c>
      <c r="AX148" s="288">
        <f t="shared" si="88"/>
        <v>0</v>
      </c>
      <c r="AY148" s="288">
        <f t="shared" si="89"/>
        <v>0</v>
      </c>
      <c r="AZ148" s="288">
        <f t="shared" si="90"/>
        <v>0</v>
      </c>
      <c r="BA148" s="288">
        <f t="shared" si="91"/>
        <v>0</v>
      </c>
      <c r="BB148" s="288">
        <f t="shared" si="92"/>
        <v>0</v>
      </c>
      <c r="BC148" s="288" t="e">
        <f t="shared" si="93"/>
        <v>#REF!</v>
      </c>
      <c r="BD148" s="288" t="e">
        <f t="shared" si="94"/>
        <v>#REF!</v>
      </c>
      <c r="BE148" s="288" t="e">
        <f t="shared" si="86"/>
        <v>#REF!</v>
      </c>
      <c r="BF148" s="288" t="e">
        <f t="shared" si="87"/>
        <v>#REF!</v>
      </c>
    </row>
    <row r="149" spans="1:59" ht="70" x14ac:dyDescent="0.3">
      <c r="A149" s="62" t="s">
        <v>811</v>
      </c>
      <c r="B149" s="62" t="s">
        <v>96</v>
      </c>
      <c r="C149" s="62" t="s">
        <v>812</v>
      </c>
      <c r="D149" s="62" t="s">
        <v>755</v>
      </c>
      <c r="E149" s="62" t="s">
        <v>813</v>
      </c>
      <c r="F149" s="62" t="s">
        <v>757</v>
      </c>
      <c r="G149" s="62" t="s">
        <v>814</v>
      </c>
      <c r="H149" s="62" t="s">
        <v>815</v>
      </c>
      <c r="I149" s="62" t="s">
        <v>816</v>
      </c>
      <c r="J149" s="62" t="s">
        <v>761</v>
      </c>
      <c r="K149" s="62" t="s">
        <v>817</v>
      </c>
      <c r="L149" s="62" t="s">
        <v>763</v>
      </c>
      <c r="M149" s="62" t="s">
        <v>818</v>
      </c>
      <c r="N149" s="62" t="s">
        <v>765</v>
      </c>
      <c r="O149" s="62" t="s">
        <v>819</v>
      </c>
      <c r="P149" s="62" t="s">
        <v>767</v>
      </c>
      <c r="Q149" s="62" t="s">
        <v>820</v>
      </c>
      <c r="R149" s="62" t="s">
        <v>769</v>
      </c>
      <c r="S149" s="62" t="s">
        <v>821</v>
      </c>
      <c r="T149" s="62" t="s">
        <v>771</v>
      </c>
      <c r="U149" s="62" t="s">
        <v>822</v>
      </c>
      <c r="V149" s="62" t="s">
        <v>773</v>
      </c>
      <c r="W149" s="62" t="s">
        <v>823</v>
      </c>
      <c r="X149" s="62" t="s">
        <v>775</v>
      </c>
      <c r="Y149" s="62" t="s">
        <v>824</v>
      </c>
      <c r="Z149" s="62" t="s">
        <v>825</v>
      </c>
      <c r="AA149" s="62" t="s">
        <v>826</v>
      </c>
      <c r="AB149" s="62" t="s">
        <v>779</v>
      </c>
      <c r="AC149" s="62" t="s">
        <v>827</v>
      </c>
      <c r="AD149" s="62" t="s">
        <v>781</v>
      </c>
      <c r="AE149" s="62" t="s">
        <v>828</v>
      </c>
      <c r="AF149" s="62" t="s">
        <v>783</v>
      </c>
      <c r="AU149" s="219" t="s">
        <v>430</v>
      </c>
      <c r="AV149" s="220" t="s">
        <v>48</v>
      </c>
      <c r="AW149" s="359">
        <f t="shared" si="95"/>
        <v>0</v>
      </c>
      <c r="AX149" s="359">
        <f t="shared" si="88"/>
        <v>0</v>
      </c>
      <c r="AY149" s="359">
        <f t="shared" si="89"/>
        <v>0</v>
      </c>
      <c r="AZ149" s="359">
        <f t="shared" si="90"/>
        <v>0</v>
      </c>
      <c r="BA149" s="359">
        <f t="shared" si="91"/>
        <v>0</v>
      </c>
      <c r="BB149" s="359">
        <f t="shared" si="92"/>
        <v>0</v>
      </c>
      <c r="BC149" s="359" t="e">
        <f t="shared" si="93"/>
        <v>#REF!</v>
      </c>
      <c r="BD149" s="359" t="e">
        <f t="shared" si="94"/>
        <v>#REF!</v>
      </c>
      <c r="BE149" s="359" t="e">
        <f t="shared" si="86"/>
        <v>#REF!</v>
      </c>
      <c r="BF149" s="359" t="e">
        <f t="shared" si="87"/>
        <v>#REF!</v>
      </c>
    </row>
    <row r="150" spans="1:59" x14ac:dyDescent="0.3">
      <c r="A150" s="63" t="str">
        <f>'G-6 Hedgerow Data'!B3</f>
        <v>Species-rich native hedgerow with trees - associated with bank or ditch</v>
      </c>
      <c r="B150" s="52" t="s">
        <v>829</v>
      </c>
      <c r="C150" s="52" t="str">
        <f>'G-6 Hedgerow Data'!C3</f>
        <v>V.High</v>
      </c>
      <c r="D150" s="52" t="str">
        <f>'G-6 Hedgerow Data'!AH3</f>
        <v>Like for like</v>
      </c>
      <c r="E150" s="288">
        <f>SUMIF('B-1 On-Site Hedge Baseline'!$D$10:$D$257,'G-2 Habitat groups'!A150,'B-1 On-Site Hedge Baseline'!$E$10:$E$257)</f>
        <v>0</v>
      </c>
      <c r="F150" s="288">
        <f>SUMIF('B-1 On-Site Hedge Baseline'!$D$10:$D$257,'G-2 Habitat groups'!A150,'B-1 On-Site Hedge Baseline'!$N$10:$N$257)</f>
        <v>0</v>
      </c>
      <c r="G150" s="288">
        <f>SUMIF('B-1 On-Site Hedge Baseline'!$D$10:$D$257,'G-2 Habitat groups'!A150,'B-1 On-Site Hedge Baseline'!$P$10:$P$257)</f>
        <v>0</v>
      </c>
      <c r="H150" s="288">
        <f>SUMIF('B-1 On-Site Hedge Baseline'!$D$10:$D$257,'G-2 Habitat groups'!A150,'B-1 On-Site Hedge Baseline'!$R$10:$R$257)</f>
        <v>0</v>
      </c>
      <c r="I150" s="288">
        <f>SUMIF('B-1 On-Site Hedge Baseline'!$D$10:$D$257,'G-2 Habitat groups'!A150,'B-1 On-Site Hedge Baseline'!$T$10:$T$257)</f>
        <v>0</v>
      </c>
      <c r="J150" s="359">
        <f>SUMIF('B-1 On-Site Hedge Baseline'!$D$10:$D$257,'G-2 Habitat groups'!A150,'B-1 On-Site Hedge Baseline'!$U$10:$U$257)</f>
        <v>0</v>
      </c>
      <c r="K150" s="288">
        <f>SUMIF('B-2 On-Site Hedge Creation'!$D$12:$D$259,'G-2 Habitat groups'!A150,'B-2 On-Site Hedge Creation'!$E$12:$E$259)</f>
        <v>0</v>
      </c>
      <c r="L150" s="288">
        <f>SUMIF('B-2 On-Site Hedge Creation'!$D$12:$D$259,'G-2 Habitat groups'!A150,'B-2 On-Site Hedge Creation'!$W$12:$W$259)</f>
        <v>0</v>
      </c>
      <c r="M150" s="288">
        <f>SUMIF('B-3 On-Site Hedge Enhancement'!$M$12:$M$257,'G-2 Habitat groups'!A150,'B-3 On-Site Hedge Enhancement'!$P$12:$P$257)</f>
        <v>0</v>
      </c>
      <c r="N150" s="288">
        <f>SUMIF('B-3 On-Site Hedge Enhancement'!$M$12:$M$257,'G-2 Habitat groups'!A150,'B-3 On-Site Hedge Enhancement'!$AH$12:$AH$257)</f>
        <v>0</v>
      </c>
      <c r="O150" s="288">
        <f t="shared" ref="O150:O162" si="105">G150+K150+M150</f>
        <v>0</v>
      </c>
      <c r="P150" s="288">
        <f t="shared" ref="P150:P162" si="106">H150+L150+N150</f>
        <v>0</v>
      </c>
      <c r="Q150" s="288">
        <f t="shared" ref="Q150:Q162" si="107">O150-E150</f>
        <v>0</v>
      </c>
      <c r="R150" s="288">
        <f t="shared" ref="R150:R162" si="108">P150-F150</f>
        <v>0</v>
      </c>
      <c r="S150" s="288" t="e">
        <f>SUMIF(#REF!,'G-2 Habitat groups'!A150,#REF!)</f>
        <v>#REF!</v>
      </c>
      <c r="T150" s="288" t="e">
        <f>SUMIF(#REF!,'G-2 Habitat groups'!A150,#REF!)</f>
        <v>#REF!</v>
      </c>
      <c r="U150" s="288" t="e">
        <f>SUMIF(#REF!,'G-2 Habitat groups'!A150,#REF!)</f>
        <v>#REF!</v>
      </c>
      <c r="V150" s="288" t="e">
        <f>SUMIF(#REF!,'G-2 Habitat groups'!A150,#REF!)</f>
        <v>#REF!</v>
      </c>
      <c r="W150" s="288" t="e">
        <f>SUMIF(#REF!,'G-2 Habitat groups'!A150,#REF!)</f>
        <v>#REF!</v>
      </c>
      <c r="X150" s="288" t="e">
        <f>SUMIF(#REF!,'G-2 Habitat groups'!A150,#REF!)</f>
        <v>#REF!</v>
      </c>
      <c r="Y150" s="288" t="e">
        <f>SUMIF(#REF!,'G-2 Habitat groups'!A150,#REF!)</f>
        <v>#REF!</v>
      </c>
      <c r="Z150" s="288" t="e">
        <f>SUMIF(#REF!,'G-2 Habitat groups'!A150,#REF!)</f>
        <v>#REF!</v>
      </c>
      <c r="AA150" s="288" t="e">
        <f>U150+W150+Y150</f>
        <v>#REF!</v>
      </c>
      <c r="AB150" s="288" t="e">
        <f>V150+X150+Z150</f>
        <v>#REF!</v>
      </c>
      <c r="AC150" s="288" t="e">
        <f t="shared" ref="AC150:AC162" si="109">AA150-S150</f>
        <v>#REF!</v>
      </c>
      <c r="AD150" s="288" t="e">
        <f t="shared" ref="AD150:AD162" si="110">AB150-T150</f>
        <v>#REF!</v>
      </c>
      <c r="AE150" s="288" t="e">
        <f t="shared" ref="AE150:AE162" si="111">Q150+AC150</f>
        <v>#REF!</v>
      </c>
      <c r="AF150" s="288" t="e">
        <f t="shared" ref="AF150:AF162" si="112">R150+AD150</f>
        <v>#REF!</v>
      </c>
      <c r="AU150" s="219" t="s">
        <v>516</v>
      </c>
      <c r="AV150" s="220" t="s">
        <v>51</v>
      </c>
      <c r="AW150" s="359">
        <f t="shared" si="95"/>
        <v>0</v>
      </c>
      <c r="AX150" s="359">
        <f t="shared" si="88"/>
        <v>0</v>
      </c>
      <c r="AY150" s="359">
        <f t="shared" si="89"/>
        <v>0</v>
      </c>
      <c r="AZ150" s="359">
        <f t="shared" si="90"/>
        <v>0</v>
      </c>
      <c r="BA150" s="359">
        <f t="shared" si="91"/>
        <v>0</v>
      </c>
      <c r="BB150" s="359">
        <f t="shared" si="92"/>
        <v>0</v>
      </c>
      <c r="BC150" s="359" t="e">
        <f t="shared" si="93"/>
        <v>#REF!</v>
      </c>
      <c r="BD150" s="359" t="e">
        <f t="shared" si="94"/>
        <v>#REF!</v>
      </c>
      <c r="BE150" s="359" t="e">
        <f t="shared" si="86"/>
        <v>#REF!</v>
      </c>
      <c r="BF150" s="359" t="e">
        <f t="shared" si="87"/>
        <v>#REF!</v>
      </c>
    </row>
    <row r="151" spans="1:59" x14ac:dyDescent="0.3">
      <c r="A151" s="63" t="str">
        <f>'G-6 Hedgerow Data'!B4</f>
        <v>Species-rich native hedgerow with trees</v>
      </c>
      <c r="B151" s="52" t="s">
        <v>829</v>
      </c>
      <c r="C151" s="52" t="str">
        <f>'G-6 Hedgerow Data'!C4</f>
        <v>High</v>
      </c>
      <c r="D151" s="52" t="str">
        <f>'G-6 Hedgerow Data'!AH4</f>
        <v>Like for like or better</v>
      </c>
      <c r="E151" s="288">
        <f>SUMIF('B-1 On-Site Hedge Baseline'!$D$10:$D$257,'G-2 Habitat groups'!A151,'B-1 On-Site Hedge Baseline'!$E$10:$E$257)</f>
        <v>0</v>
      </c>
      <c r="F151" s="288">
        <f>SUMIF('B-1 On-Site Hedge Baseline'!$D$10:$D$257,'G-2 Habitat groups'!A151,'B-1 On-Site Hedge Baseline'!$N$10:$N$257)</f>
        <v>0</v>
      </c>
      <c r="G151" s="288">
        <f>SUMIF('B-1 On-Site Hedge Baseline'!$D$10:$D$257,'G-2 Habitat groups'!A151,'B-1 On-Site Hedge Baseline'!$P$10:$P$257)</f>
        <v>0</v>
      </c>
      <c r="H151" s="288">
        <f>SUMIF('B-1 On-Site Hedge Baseline'!$D$10:$D$257,'G-2 Habitat groups'!A151,'B-1 On-Site Hedge Baseline'!$R$10:$R$257)</f>
        <v>0</v>
      </c>
      <c r="I151" s="288">
        <f>SUMIF('B-1 On-Site Hedge Baseline'!$D$10:$D$257,'G-2 Habitat groups'!A151,'B-1 On-Site Hedge Baseline'!$T$10:$T$257)</f>
        <v>0</v>
      </c>
      <c r="J151" s="359">
        <f>SUMIF('B-1 On-Site Hedge Baseline'!$D$10:$D$257,'G-2 Habitat groups'!A151,'B-1 On-Site Hedge Baseline'!$U$10:$U$257)</f>
        <v>0</v>
      </c>
      <c r="K151" s="288">
        <f>SUMIF('B-2 On-Site Hedge Creation'!$D$12:$D$259,'G-2 Habitat groups'!A151,'B-2 On-Site Hedge Creation'!$E$12:$E$259)</f>
        <v>0</v>
      </c>
      <c r="L151" s="288">
        <f>SUMIF('B-2 On-Site Hedge Creation'!$D$12:$D$259,'G-2 Habitat groups'!A151,'B-2 On-Site Hedge Creation'!$W$12:$W$259)</f>
        <v>0</v>
      </c>
      <c r="M151" s="288">
        <f>SUMIF('B-3 On-Site Hedge Enhancement'!$M$12:$M$257,'G-2 Habitat groups'!A151,'B-3 On-Site Hedge Enhancement'!$P$12:$P$257)</f>
        <v>0</v>
      </c>
      <c r="N151" s="288">
        <f>SUMIF('B-3 On-Site Hedge Enhancement'!$M$12:$M$257,'G-2 Habitat groups'!A151,'B-3 On-Site Hedge Enhancement'!$AH$12:$AH$257)</f>
        <v>0</v>
      </c>
      <c r="O151" s="288">
        <f t="shared" si="105"/>
        <v>0</v>
      </c>
      <c r="P151" s="288">
        <f t="shared" si="106"/>
        <v>0</v>
      </c>
      <c r="Q151" s="288">
        <f t="shared" si="107"/>
        <v>0</v>
      </c>
      <c r="R151" s="288">
        <f t="shared" si="108"/>
        <v>0</v>
      </c>
      <c r="S151" s="288" t="e">
        <f>SUMIF(#REF!,'G-2 Habitat groups'!A151,#REF!)</f>
        <v>#REF!</v>
      </c>
      <c r="T151" s="288" t="e">
        <f>SUMIF(#REF!,'G-2 Habitat groups'!A151,#REF!)</f>
        <v>#REF!</v>
      </c>
      <c r="U151" s="288" t="e">
        <f>SUMIF(#REF!,'G-2 Habitat groups'!A151,#REF!)</f>
        <v>#REF!</v>
      </c>
      <c r="V151" s="288" t="e">
        <f>SUMIF(#REF!,'G-2 Habitat groups'!A151,#REF!)</f>
        <v>#REF!</v>
      </c>
      <c r="W151" s="288" t="e">
        <f>SUMIF(#REF!,'G-2 Habitat groups'!A151,#REF!)</f>
        <v>#REF!</v>
      </c>
      <c r="X151" s="288" t="e">
        <f>SUMIF(#REF!,'G-2 Habitat groups'!A151,#REF!)</f>
        <v>#REF!</v>
      </c>
      <c r="Y151" s="288" t="e">
        <f>SUMIF(#REF!,'G-2 Habitat groups'!A151,#REF!)</f>
        <v>#REF!</v>
      </c>
      <c r="Z151" s="288" t="e">
        <f>SUMIF(#REF!,'G-2 Habitat groups'!A151,#REF!)</f>
        <v>#REF!</v>
      </c>
      <c r="AA151" s="288" t="e">
        <f t="shared" ref="AA151:AA162" si="113">U151+W151+Y151</f>
        <v>#REF!</v>
      </c>
      <c r="AB151" s="288" t="e">
        <f t="shared" ref="AB151:AB162" si="114">V151+X151+Z151</f>
        <v>#REF!</v>
      </c>
      <c r="AC151" s="288" t="e">
        <f t="shared" si="109"/>
        <v>#REF!</v>
      </c>
      <c r="AD151" s="288" t="e">
        <f t="shared" si="110"/>
        <v>#REF!</v>
      </c>
      <c r="AE151" s="288" t="e">
        <f t="shared" si="111"/>
        <v>#REF!</v>
      </c>
      <c r="AF151" s="288" t="e">
        <f t="shared" si="112"/>
        <v>#REF!</v>
      </c>
      <c r="AU151" s="63" t="s">
        <v>491</v>
      </c>
      <c r="AV151" s="52" t="s">
        <v>50</v>
      </c>
      <c r="AW151" s="359">
        <f t="shared" si="95"/>
        <v>0</v>
      </c>
      <c r="AX151" s="359">
        <f t="shared" si="88"/>
        <v>0</v>
      </c>
      <c r="AY151" s="359">
        <f t="shared" si="89"/>
        <v>0</v>
      </c>
      <c r="AZ151" s="359">
        <f t="shared" si="90"/>
        <v>0</v>
      </c>
      <c r="BA151" s="359">
        <f t="shared" si="91"/>
        <v>0</v>
      </c>
      <c r="BB151" s="359">
        <f t="shared" si="92"/>
        <v>0</v>
      </c>
      <c r="BC151" s="359" t="e">
        <f t="shared" si="93"/>
        <v>#REF!</v>
      </c>
      <c r="BD151" s="359" t="e">
        <f t="shared" si="94"/>
        <v>#REF!</v>
      </c>
      <c r="BE151" s="359" t="e">
        <f t="shared" si="86"/>
        <v>#REF!</v>
      </c>
      <c r="BF151" s="359" t="e">
        <f t="shared" si="87"/>
        <v>#REF!</v>
      </c>
    </row>
    <row r="152" spans="1:59" x14ac:dyDescent="0.3">
      <c r="A152" s="63" t="str">
        <f>'G-6 Hedgerow Data'!B5</f>
        <v>Species-rich native hedgerow - associated with bank or ditch</v>
      </c>
      <c r="B152" s="52" t="s">
        <v>829</v>
      </c>
      <c r="C152" s="52" t="str">
        <f>'G-6 Hedgerow Data'!C5</f>
        <v>High</v>
      </c>
      <c r="D152" s="52" t="str">
        <f>'G-6 Hedgerow Data'!AH5</f>
        <v>Like for like or better</v>
      </c>
      <c r="E152" s="288">
        <f>SUMIF('B-1 On-Site Hedge Baseline'!$D$10:$D$257,'G-2 Habitat groups'!A152,'B-1 On-Site Hedge Baseline'!$E$10:$E$257)</f>
        <v>0</v>
      </c>
      <c r="F152" s="288">
        <f>SUMIF('B-1 On-Site Hedge Baseline'!$D$10:$D$257,'G-2 Habitat groups'!A152,'B-1 On-Site Hedge Baseline'!$N$10:$N$257)</f>
        <v>0</v>
      </c>
      <c r="G152" s="288">
        <f>SUMIF('B-1 On-Site Hedge Baseline'!$D$10:$D$257,'G-2 Habitat groups'!A152,'B-1 On-Site Hedge Baseline'!$P$10:$P$257)</f>
        <v>0</v>
      </c>
      <c r="H152" s="288">
        <f>SUMIF('B-1 On-Site Hedge Baseline'!$D$10:$D$257,'G-2 Habitat groups'!A152,'B-1 On-Site Hedge Baseline'!$R$10:$R$257)</f>
        <v>0</v>
      </c>
      <c r="I152" s="288">
        <f>SUMIF('B-1 On-Site Hedge Baseline'!$D$10:$D$257,'G-2 Habitat groups'!A152,'B-1 On-Site Hedge Baseline'!$T$10:$T$257)</f>
        <v>0</v>
      </c>
      <c r="J152" s="359">
        <f>SUMIF('B-1 On-Site Hedge Baseline'!$D$10:$D$257,'G-2 Habitat groups'!A152,'B-1 On-Site Hedge Baseline'!$U$10:$U$257)</f>
        <v>0</v>
      </c>
      <c r="K152" s="288">
        <f>SUMIF('B-2 On-Site Hedge Creation'!$D$12:$D$259,'G-2 Habitat groups'!A152,'B-2 On-Site Hedge Creation'!$E$12:$E$259)</f>
        <v>0</v>
      </c>
      <c r="L152" s="288">
        <f>SUMIF('B-2 On-Site Hedge Creation'!$D$12:$D$259,'G-2 Habitat groups'!A152,'B-2 On-Site Hedge Creation'!$W$12:$W$259)</f>
        <v>0</v>
      </c>
      <c r="M152" s="288">
        <f>SUMIF('B-3 On-Site Hedge Enhancement'!$M$12:$M$257,'G-2 Habitat groups'!A152,'B-3 On-Site Hedge Enhancement'!$P$12:$P$257)</f>
        <v>0</v>
      </c>
      <c r="N152" s="288">
        <f>SUMIF('B-3 On-Site Hedge Enhancement'!$M$12:$M$257,'G-2 Habitat groups'!A152,'B-3 On-Site Hedge Enhancement'!$AH$12:$AH$257)</f>
        <v>0</v>
      </c>
      <c r="O152" s="288">
        <f t="shared" si="105"/>
        <v>0</v>
      </c>
      <c r="P152" s="288">
        <f t="shared" si="106"/>
        <v>0</v>
      </c>
      <c r="Q152" s="288">
        <f t="shared" si="107"/>
        <v>0</v>
      </c>
      <c r="R152" s="288">
        <f t="shared" si="108"/>
        <v>0</v>
      </c>
      <c r="S152" s="288" t="e">
        <f>SUMIF(#REF!,'G-2 Habitat groups'!A152,#REF!)</f>
        <v>#REF!</v>
      </c>
      <c r="T152" s="288" t="e">
        <f>SUMIF(#REF!,'G-2 Habitat groups'!A152,#REF!)</f>
        <v>#REF!</v>
      </c>
      <c r="U152" s="288" t="e">
        <f>SUMIF(#REF!,'G-2 Habitat groups'!A152,#REF!)</f>
        <v>#REF!</v>
      </c>
      <c r="V152" s="288" t="e">
        <f>SUMIF(#REF!,'G-2 Habitat groups'!A152,#REF!)</f>
        <v>#REF!</v>
      </c>
      <c r="W152" s="288" t="e">
        <f>SUMIF(#REF!,'G-2 Habitat groups'!A152,#REF!)</f>
        <v>#REF!</v>
      </c>
      <c r="X152" s="288" t="e">
        <f>SUMIF(#REF!,'G-2 Habitat groups'!A152,#REF!)</f>
        <v>#REF!</v>
      </c>
      <c r="Y152" s="288" t="e">
        <f>SUMIF(#REF!,'G-2 Habitat groups'!A152,#REF!)</f>
        <v>#REF!</v>
      </c>
      <c r="Z152" s="288" t="e">
        <f>SUMIF(#REF!,'G-2 Habitat groups'!A152,#REF!)</f>
        <v>#REF!</v>
      </c>
      <c r="AA152" s="288" t="e">
        <f t="shared" si="113"/>
        <v>#REF!</v>
      </c>
      <c r="AB152" s="288" t="e">
        <f t="shared" si="114"/>
        <v>#REF!</v>
      </c>
      <c r="AC152" s="288" t="e">
        <f t="shared" si="109"/>
        <v>#REF!</v>
      </c>
      <c r="AD152" s="288" t="e">
        <f t="shared" si="110"/>
        <v>#REF!</v>
      </c>
      <c r="AE152" s="288" t="e">
        <f t="shared" si="111"/>
        <v>#REF!</v>
      </c>
      <c r="AF152" s="288" t="e">
        <f t="shared" si="112"/>
        <v>#REF!</v>
      </c>
    </row>
    <row r="153" spans="1:59" x14ac:dyDescent="0.3">
      <c r="A153" s="63" t="str">
        <f>'G-6 Hedgerow Data'!B6</f>
        <v>Native hedgerow with trees - associated with bank or ditch</v>
      </c>
      <c r="B153" s="52" t="s">
        <v>829</v>
      </c>
      <c r="C153" s="52" t="str">
        <f>'G-6 Hedgerow Data'!C6</f>
        <v>High</v>
      </c>
      <c r="D153" s="52" t="str">
        <f>'G-6 Hedgerow Data'!AH6</f>
        <v>Like for like or better</v>
      </c>
      <c r="E153" s="288">
        <f>SUMIF('B-1 On-Site Hedge Baseline'!$D$10:$D$257,'G-2 Habitat groups'!A153,'B-1 On-Site Hedge Baseline'!$E$10:$E$257)</f>
        <v>0</v>
      </c>
      <c r="F153" s="288">
        <f>SUMIF('B-1 On-Site Hedge Baseline'!$D$10:$D$257,'G-2 Habitat groups'!A153,'B-1 On-Site Hedge Baseline'!$N$10:$N$257)</f>
        <v>0</v>
      </c>
      <c r="G153" s="288">
        <f>SUMIF('B-1 On-Site Hedge Baseline'!$D$10:$D$257,'G-2 Habitat groups'!A153,'B-1 On-Site Hedge Baseline'!$P$10:$P$257)</f>
        <v>0</v>
      </c>
      <c r="H153" s="288">
        <f>SUMIF('B-1 On-Site Hedge Baseline'!$D$10:$D$257,'G-2 Habitat groups'!A153,'B-1 On-Site Hedge Baseline'!$R$10:$R$257)</f>
        <v>0</v>
      </c>
      <c r="I153" s="288">
        <f>SUMIF('B-1 On-Site Hedge Baseline'!$D$10:$D$257,'G-2 Habitat groups'!A153,'B-1 On-Site Hedge Baseline'!$T$10:$T$257)</f>
        <v>0</v>
      </c>
      <c r="J153" s="359">
        <f>SUMIF('B-1 On-Site Hedge Baseline'!$D$10:$D$257,'G-2 Habitat groups'!A153,'B-1 On-Site Hedge Baseline'!$U$10:$U$257)</f>
        <v>0</v>
      </c>
      <c r="K153" s="288">
        <f>SUMIF('B-2 On-Site Hedge Creation'!$D$12:$D$259,'G-2 Habitat groups'!A153,'B-2 On-Site Hedge Creation'!$E$12:$E$259)</f>
        <v>0</v>
      </c>
      <c r="L153" s="288">
        <f>SUMIF('B-2 On-Site Hedge Creation'!$D$12:$D$259,'G-2 Habitat groups'!A153,'B-2 On-Site Hedge Creation'!$W$12:$W$259)</f>
        <v>0</v>
      </c>
      <c r="M153" s="288">
        <f>SUMIF('B-3 On-Site Hedge Enhancement'!$M$12:$M$257,'G-2 Habitat groups'!A153,'B-3 On-Site Hedge Enhancement'!$P$12:$P$257)</f>
        <v>0</v>
      </c>
      <c r="N153" s="288">
        <f>SUMIF('B-3 On-Site Hedge Enhancement'!$M$12:$M$257,'G-2 Habitat groups'!A153,'B-3 On-Site Hedge Enhancement'!$AH$12:$AH$257)</f>
        <v>0</v>
      </c>
      <c r="O153" s="288">
        <f t="shared" si="105"/>
        <v>0</v>
      </c>
      <c r="P153" s="288">
        <f t="shared" si="106"/>
        <v>0</v>
      </c>
      <c r="Q153" s="288">
        <f t="shared" si="107"/>
        <v>0</v>
      </c>
      <c r="R153" s="288">
        <f t="shared" si="108"/>
        <v>0</v>
      </c>
      <c r="S153" s="288" t="e">
        <f>SUMIF(#REF!,'G-2 Habitat groups'!A153,#REF!)</f>
        <v>#REF!</v>
      </c>
      <c r="T153" s="288" t="e">
        <f>SUMIF(#REF!,'G-2 Habitat groups'!A153,#REF!)</f>
        <v>#REF!</v>
      </c>
      <c r="U153" s="288" t="e">
        <f>SUMIF(#REF!,'G-2 Habitat groups'!A153,#REF!)</f>
        <v>#REF!</v>
      </c>
      <c r="V153" s="288" t="e">
        <f>SUMIF(#REF!,'G-2 Habitat groups'!A153,#REF!)</f>
        <v>#REF!</v>
      </c>
      <c r="W153" s="288" t="e">
        <f>SUMIF(#REF!,'G-2 Habitat groups'!A153,#REF!)</f>
        <v>#REF!</v>
      </c>
      <c r="X153" s="288" t="e">
        <f>SUMIF(#REF!,'G-2 Habitat groups'!A153,#REF!)</f>
        <v>#REF!</v>
      </c>
      <c r="Y153" s="288" t="e">
        <f>SUMIF(#REF!,'G-2 Habitat groups'!A153,#REF!)</f>
        <v>#REF!</v>
      </c>
      <c r="Z153" s="288" t="e">
        <f>SUMIF(#REF!,'G-2 Habitat groups'!A153,#REF!)</f>
        <v>#REF!</v>
      </c>
      <c r="AA153" s="288" t="e">
        <f t="shared" si="113"/>
        <v>#REF!</v>
      </c>
      <c r="AB153" s="288" t="e">
        <f t="shared" si="114"/>
        <v>#REF!</v>
      </c>
      <c r="AC153" s="288" t="e">
        <f t="shared" si="109"/>
        <v>#REF!</v>
      </c>
      <c r="AD153" s="288" t="e">
        <f t="shared" si="110"/>
        <v>#REF!</v>
      </c>
      <c r="AE153" s="288" t="e">
        <f t="shared" si="111"/>
        <v>#REF!</v>
      </c>
      <c r="AF153" s="288" t="e">
        <f t="shared" si="112"/>
        <v>#REF!</v>
      </c>
    </row>
    <row r="154" spans="1:59" ht="35" x14ac:dyDescent="0.7">
      <c r="A154" s="219" t="str">
        <f>'G-6 Hedgerow Data'!B7</f>
        <v>Species-rich native hedgerow</v>
      </c>
      <c r="B154" s="220" t="s">
        <v>829</v>
      </c>
      <c r="C154" s="220" t="str">
        <f>'G-6 Hedgerow Data'!C7</f>
        <v>Medium</v>
      </c>
      <c r="D154" s="220" t="str">
        <f>'G-6 Hedgerow Data'!AH7</f>
        <v>Same distinctiveness band or better</v>
      </c>
      <c r="E154" s="359">
        <f>SUMIF('B-1 On-Site Hedge Baseline'!$D$10:$D$257,'G-2 Habitat groups'!A154,'B-1 On-Site Hedge Baseline'!$E$10:$E$257)</f>
        <v>0</v>
      </c>
      <c r="F154" s="359">
        <f>SUMIF('B-1 On-Site Hedge Baseline'!$D$10:$D$257,'G-2 Habitat groups'!A154,'B-1 On-Site Hedge Baseline'!$N$10:$N$257)</f>
        <v>0</v>
      </c>
      <c r="G154" s="359">
        <f>SUMIF('B-1 On-Site Hedge Baseline'!$D$10:$D$257,'G-2 Habitat groups'!A154,'B-1 On-Site Hedge Baseline'!$P$10:$P$257)</f>
        <v>0</v>
      </c>
      <c r="H154" s="359">
        <f>SUMIF('B-1 On-Site Hedge Baseline'!$D$10:$D$257,'G-2 Habitat groups'!A154,'B-1 On-Site Hedge Baseline'!$R$10:$R$257)</f>
        <v>0</v>
      </c>
      <c r="I154" s="359">
        <f>SUMIF('B-1 On-Site Hedge Baseline'!$D$10:$D$257,'G-2 Habitat groups'!A154,'B-1 On-Site Hedge Baseline'!$T$10:$T$257)</f>
        <v>0</v>
      </c>
      <c r="J154" s="359">
        <f>SUMIF('B-1 On-Site Hedge Baseline'!$D$10:$D$257,'G-2 Habitat groups'!A154,'B-1 On-Site Hedge Baseline'!$U$10:$U$257)</f>
        <v>0</v>
      </c>
      <c r="K154" s="359">
        <f>SUMIF('B-2 On-Site Hedge Creation'!$D$12:$D$259,'G-2 Habitat groups'!A154,'B-2 On-Site Hedge Creation'!$E$12:$E$259)</f>
        <v>0</v>
      </c>
      <c r="L154" s="359">
        <f>SUMIF('B-2 On-Site Hedge Creation'!$D$12:$D$259,'G-2 Habitat groups'!A154,'B-2 On-Site Hedge Creation'!$W$12:$W$259)</f>
        <v>0</v>
      </c>
      <c r="M154" s="359">
        <f>SUMIF('B-3 On-Site Hedge Enhancement'!$M$12:$M$257,'G-2 Habitat groups'!A154,'B-3 On-Site Hedge Enhancement'!$P$12:$P$257)</f>
        <v>0</v>
      </c>
      <c r="N154" s="359">
        <f>SUMIF('B-3 On-Site Hedge Enhancement'!$M$12:$M$257,'G-2 Habitat groups'!A154,'B-3 On-Site Hedge Enhancement'!$AH$12:$AH$257)</f>
        <v>0</v>
      </c>
      <c r="O154" s="359">
        <f t="shared" si="105"/>
        <v>0</v>
      </c>
      <c r="P154" s="359">
        <f t="shared" si="106"/>
        <v>0</v>
      </c>
      <c r="Q154" s="359">
        <f t="shared" si="107"/>
        <v>0</v>
      </c>
      <c r="R154" s="359">
        <f t="shared" si="108"/>
        <v>0</v>
      </c>
      <c r="S154" s="359" t="e">
        <f>SUMIF(#REF!,'G-2 Habitat groups'!A154,#REF!)</f>
        <v>#REF!</v>
      </c>
      <c r="T154" s="288" t="e">
        <f>SUMIF(#REF!,'G-2 Habitat groups'!A154,#REF!)</f>
        <v>#REF!</v>
      </c>
      <c r="U154" s="288" t="e">
        <f>SUMIF(#REF!,'G-2 Habitat groups'!A154,#REF!)</f>
        <v>#REF!</v>
      </c>
      <c r="V154" s="288" t="e">
        <f>SUMIF(#REF!,'G-2 Habitat groups'!A154,#REF!)</f>
        <v>#REF!</v>
      </c>
      <c r="W154" s="288" t="e">
        <f>SUMIF(#REF!,'G-2 Habitat groups'!A154,#REF!)</f>
        <v>#REF!</v>
      </c>
      <c r="X154" s="288" t="e">
        <f>SUMIF(#REF!,'G-2 Habitat groups'!A154,#REF!)</f>
        <v>#REF!</v>
      </c>
      <c r="Y154" s="288" t="e">
        <f>SUMIF(#REF!,'G-2 Habitat groups'!A154,#REF!)</f>
        <v>#REF!</v>
      </c>
      <c r="Z154" s="288" t="e">
        <f>SUMIF(#REF!,'G-2 Habitat groups'!A154,#REF!)</f>
        <v>#REF!</v>
      </c>
      <c r="AA154" s="359" t="e">
        <f t="shared" si="113"/>
        <v>#REF!</v>
      </c>
      <c r="AB154" s="359" t="e">
        <f t="shared" si="114"/>
        <v>#REF!</v>
      </c>
      <c r="AC154" s="359" t="e">
        <f t="shared" si="109"/>
        <v>#REF!</v>
      </c>
      <c r="AD154" s="359" t="e">
        <f t="shared" si="110"/>
        <v>#REF!</v>
      </c>
      <c r="AE154" s="359" t="e">
        <f t="shared" si="111"/>
        <v>#REF!</v>
      </c>
      <c r="AF154" s="359" t="e">
        <f t="shared" si="112"/>
        <v>#REF!</v>
      </c>
      <c r="AU154" s="234" t="s">
        <v>830</v>
      </c>
      <c r="AV154" s="60"/>
      <c r="AW154" s="60"/>
      <c r="AX154" s="60"/>
      <c r="AY154" s="60"/>
      <c r="AZ154" s="60"/>
      <c r="BA154" s="60"/>
      <c r="BB154" s="60"/>
      <c r="BC154" s="60"/>
      <c r="BD154" s="60"/>
      <c r="BE154" s="60"/>
      <c r="BF154" s="60"/>
      <c r="BG154" s="76"/>
    </row>
    <row r="155" spans="1:59" ht="30" x14ac:dyDescent="0.3">
      <c r="A155" s="219" t="str">
        <f>'G-6 Hedgerow Data'!B8</f>
        <v>Native hedgerow - associated with bank or ditch</v>
      </c>
      <c r="B155" s="220" t="s">
        <v>829</v>
      </c>
      <c r="C155" s="220" t="str">
        <f>'G-6 Hedgerow Data'!C8</f>
        <v>Medium</v>
      </c>
      <c r="D155" s="220" t="str">
        <f>'G-6 Hedgerow Data'!AH8</f>
        <v>Same distinctiveness band or better</v>
      </c>
      <c r="E155" s="359">
        <f>SUMIF('B-1 On-Site Hedge Baseline'!$D$10:$D$257,'G-2 Habitat groups'!A155,'B-1 On-Site Hedge Baseline'!$E$10:$E$257)</f>
        <v>0</v>
      </c>
      <c r="F155" s="359">
        <f>SUMIF('B-1 On-Site Hedge Baseline'!$D$10:$D$257,'G-2 Habitat groups'!A155,'B-1 On-Site Hedge Baseline'!$N$10:$N$257)</f>
        <v>0</v>
      </c>
      <c r="G155" s="359">
        <f>SUMIF('B-1 On-Site Hedge Baseline'!$D$10:$D$257,'G-2 Habitat groups'!A155,'B-1 On-Site Hedge Baseline'!$P$10:$P$257)</f>
        <v>0</v>
      </c>
      <c r="H155" s="359">
        <f>SUMIF('B-1 On-Site Hedge Baseline'!$D$10:$D$257,'G-2 Habitat groups'!A155,'B-1 On-Site Hedge Baseline'!$R$10:$R$257)</f>
        <v>0</v>
      </c>
      <c r="I155" s="359">
        <f>SUMIF('B-1 On-Site Hedge Baseline'!$D$10:$D$257,'G-2 Habitat groups'!A155,'B-1 On-Site Hedge Baseline'!$T$10:$T$257)</f>
        <v>0</v>
      </c>
      <c r="J155" s="359">
        <f>SUMIF('B-1 On-Site Hedge Baseline'!$D$10:$D$257,'G-2 Habitat groups'!A155,'B-1 On-Site Hedge Baseline'!$U$10:$U$257)</f>
        <v>0</v>
      </c>
      <c r="K155" s="359">
        <f>SUMIF('B-2 On-Site Hedge Creation'!$D$12:$D$259,'G-2 Habitat groups'!A155,'B-2 On-Site Hedge Creation'!$E$12:$E$259)</f>
        <v>0</v>
      </c>
      <c r="L155" s="359">
        <f>SUMIF('B-2 On-Site Hedge Creation'!$D$12:$D$259,'G-2 Habitat groups'!A155,'B-2 On-Site Hedge Creation'!$W$12:$W$259)</f>
        <v>0</v>
      </c>
      <c r="M155" s="359">
        <f>SUMIF('B-3 On-Site Hedge Enhancement'!$M$12:$M$257,'G-2 Habitat groups'!A155,'B-3 On-Site Hedge Enhancement'!$P$12:$P$257)</f>
        <v>0</v>
      </c>
      <c r="N155" s="359">
        <f>SUMIF('B-3 On-Site Hedge Enhancement'!$M$12:$M$257,'G-2 Habitat groups'!A155,'B-3 On-Site Hedge Enhancement'!$AH$12:$AH$257)</f>
        <v>0</v>
      </c>
      <c r="O155" s="359">
        <f t="shared" si="105"/>
        <v>0</v>
      </c>
      <c r="P155" s="359">
        <f t="shared" si="106"/>
        <v>0</v>
      </c>
      <c r="Q155" s="359">
        <f t="shared" si="107"/>
        <v>0</v>
      </c>
      <c r="R155" s="359">
        <f t="shared" si="108"/>
        <v>0</v>
      </c>
      <c r="S155" s="359" t="e">
        <f>SUMIF(#REF!,'G-2 Habitat groups'!A155,#REF!)</f>
        <v>#REF!</v>
      </c>
      <c r="T155" s="288" t="e">
        <f>SUMIF(#REF!,'G-2 Habitat groups'!A155,#REF!)</f>
        <v>#REF!</v>
      </c>
      <c r="U155" s="288" t="e">
        <f>SUMIF(#REF!,'G-2 Habitat groups'!A155,#REF!)</f>
        <v>#REF!</v>
      </c>
      <c r="V155" s="288" t="e">
        <f>SUMIF(#REF!,'G-2 Habitat groups'!A155,#REF!)</f>
        <v>#REF!</v>
      </c>
      <c r="W155" s="288" t="e">
        <f>SUMIF(#REF!,'G-2 Habitat groups'!A155,#REF!)</f>
        <v>#REF!</v>
      </c>
      <c r="X155" s="288" t="e">
        <f>SUMIF(#REF!,'G-2 Habitat groups'!A155,#REF!)</f>
        <v>#REF!</v>
      </c>
      <c r="Y155" s="288" t="e">
        <f>SUMIF(#REF!,'G-2 Habitat groups'!A155,#REF!)</f>
        <v>#REF!</v>
      </c>
      <c r="Z155" s="288" t="e">
        <f>SUMIF(#REF!,'G-2 Habitat groups'!A155,#REF!)</f>
        <v>#REF!</v>
      </c>
      <c r="AA155" s="359" t="e">
        <f t="shared" si="113"/>
        <v>#REF!</v>
      </c>
      <c r="AB155" s="359" t="e">
        <f t="shared" si="114"/>
        <v>#REF!</v>
      </c>
      <c r="AC155" s="359" t="e">
        <f t="shared" si="109"/>
        <v>#REF!</v>
      </c>
      <c r="AD155" s="359" t="e">
        <f t="shared" si="110"/>
        <v>#REF!</v>
      </c>
      <c r="AE155" s="359" t="e">
        <f t="shared" si="111"/>
        <v>#REF!</v>
      </c>
      <c r="AF155" s="359" t="e">
        <f t="shared" si="112"/>
        <v>#REF!</v>
      </c>
      <c r="AU155" s="187" t="s">
        <v>789</v>
      </c>
      <c r="AV155" s="187" t="s">
        <v>96</v>
      </c>
      <c r="AW155" s="426" t="s">
        <v>790</v>
      </c>
      <c r="AX155" s="426" t="s">
        <v>791</v>
      </c>
      <c r="AY155" s="426" t="s">
        <v>792</v>
      </c>
      <c r="AZ155" s="426" t="s">
        <v>793</v>
      </c>
      <c r="BA155" s="426" t="s">
        <v>794</v>
      </c>
      <c r="BB155" s="426" t="s">
        <v>795</v>
      </c>
      <c r="BC155" s="426" t="s">
        <v>796</v>
      </c>
      <c r="BD155" s="82" t="s">
        <v>797</v>
      </c>
      <c r="BE155" s="426" t="s">
        <v>798</v>
      </c>
      <c r="BF155" s="82" t="s">
        <v>809</v>
      </c>
    </row>
    <row r="156" spans="1:59" x14ac:dyDescent="0.3">
      <c r="A156" s="63" t="str">
        <f>'G-6 Hedgerow Data'!B9</f>
        <v>Native hedgerow with trees</v>
      </c>
      <c r="B156" s="52" t="s">
        <v>829</v>
      </c>
      <c r="C156" s="52" t="str">
        <f>'G-6 Hedgerow Data'!C9</f>
        <v>Medium</v>
      </c>
      <c r="D156" s="52" t="str">
        <f>'G-6 Hedgerow Data'!AH9</f>
        <v>Same distinctiveness band or better</v>
      </c>
      <c r="E156" s="288">
        <f>SUMIF('B-1 On-Site Hedge Baseline'!$D$10:$D$257,'G-2 Habitat groups'!A156,'B-1 On-Site Hedge Baseline'!$E$10:$E$257)</f>
        <v>0</v>
      </c>
      <c r="F156" s="288">
        <f>SUMIF('B-1 On-Site Hedge Baseline'!$D$10:$D$257,'G-2 Habitat groups'!A156,'B-1 On-Site Hedge Baseline'!$N$10:$N$257)</f>
        <v>0</v>
      </c>
      <c r="G156" s="288">
        <f>SUMIF('B-1 On-Site Hedge Baseline'!$D$10:$D$257,'G-2 Habitat groups'!A156,'B-1 On-Site Hedge Baseline'!$P$10:$P$257)</f>
        <v>0</v>
      </c>
      <c r="H156" s="288">
        <f>SUMIF('B-1 On-Site Hedge Baseline'!$D$10:$D$257,'G-2 Habitat groups'!A156,'B-1 On-Site Hedge Baseline'!$R$10:$R$257)</f>
        <v>0</v>
      </c>
      <c r="I156" s="288">
        <f>SUMIF('B-1 On-Site Hedge Baseline'!$D$10:$D$257,'G-2 Habitat groups'!A156,'B-1 On-Site Hedge Baseline'!$T$10:$T$257)</f>
        <v>0</v>
      </c>
      <c r="J156" s="359">
        <f>SUMIF('B-1 On-Site Hedge Baseline'!$D$10:$D$257,'G-2 Habitat groups'!A156,'B-1 On-Site Hedge Baseline'!$U$10:$U$257)</f>
        <v>0</v>
      </c>
      <c r="K156" s="288">
        <f>SUMIF('B-2 On-Site Hedge Creation'!$D$12:$D$259,'G-2 Habitat groups'!A156,'B-2 On-Site Hedge Creation'!$E$12:$E$259)</f>
        <v>0</v>
      </c>
      <c r="L156" s="288">
        <f>SUMIF('B-2 On-Site Hedge Creation'!$D$12:$D$259,'G-2 Habitat groups'!A156,'B-2 On-Site Hedge Creation'!$W$12:$W$259)</f>
        <v>0</v>
      </c>
      <c r="M156" s="288">
        <f>SUMIF('B-3 On-Site Hedge Enhancement'!$M$12:$M$257,'G-2 Habitat groups'!A156,'B-3 On-Site Hedge Enhancement'!$P$12:$P$257)</f>
        <v>0</v>
      </c>
      <c r="N156" s="288">
        <f>SUMIF('B-3 On-Site Hedge Enhancement'!$M$12:$M$257,'G-2 Habitat groups'!A156,'B-3 On-Site Hedge Enhancement'!$AH$12:$AH$257)</f>
        <v>0</v>
      </c>
      <c r="O156" s="288">
        <f t="shared" si="105"/>
        <v>0</v>
      </c>
      <c r="P156" s="288">
        <f t="shared" si="106"/>
        <v>0</v>
      </c>
      <c r="Q156" s="288">
        <f t="shared" si="107"/>
        <v>0</v>
      </c>
      <c r="R156" s="288">
        <f t="shared" si="108"/>
        <v>0</v>
      </c>
      <c r="S156" s="288" t="e">
        <f>SUMIF(#REF!,'G-2 Habitat groups'!A156,#REF!)</f>
        <v>#REF!</v>
      </c>
      <c r="T156" s="288" t="e">
        <f>SUMIF(#REF!,'G-2 Habitat groups'!A156,#REF!)</f>
        <v>#REF!</v>
      </c>
      <c r="U156" s="288" t="e">
        <f>SUMIF(#REF!,'G-2 Habitat groups'!A156,#REF!)</f>
        <v>#REF!</v>
      </c>
      <c r="V156" s="288" t="e">
        <f>SUMIF(#REF!,'G-2 Habitat groups'!A156,#REF!)</f>
        <v>#REF!</v>
      </c>
      <c r="W156" s="288" t="e">
        <f>SUMIF(#REF!,'G-2 Habitat groups'!A156,#REF!)</f>
        <v>#REF!</v>
      </c>
      <c r="X156" s="288" t="e">
        <f>SUMIF(#REF!,'G-2 Habitat groups'!A156,#REF!)</f>
        <v>#REF!</v>
      </c>
      <c r="Y156" s="288" t="e">
        <f>SUMIF(#REF!,'G-2 Habitat groups'!A156,#REF!)</f>
        <v>#REF!</v>
      </c>
      <c r="Z156" s="288" t="e">
        <f>SUMIF(#REF!,'G-2 Habitat groups'!A156,#REF!)</f>
        <v>#REF!</v>
      </c>
      <c r="AA156" s="288" t="e">
        <f t="shared" si="113"/>
        <v>#REF!</v>
      </c>
      <c r="AB156" s="288" t="e">
        <f t="shared" si="114"/>
        <v>#REF!</v>
      </c>
      <c r="AC156" s="288" t="e">
        <f t="shared" si="109"/>
        <v>#REF!</v>
      </c>
      <c r="AD156" s="288" t="e">
        <f t="shared" si="110"/>
        <v>#REF!</v>
      </c>
      <c r="AE156" s="288" t="e">
        <f t="shared" si="111"/>
        <v>#REF!</v>
      </c>
      <c r="AF156" s="288" t="e">
        <f t="shared" si="112"/>
        <v>#REF!</v>
      </c>
      <c r="AU156" s="63" t="s">
        <v>511</v>
      </c>
      <c r="AV156" s="52" t="s">
        <v>51</v>
      </c>
      <c r="AW156" s="288">
        <f>VLOOKUP($AU156,AllHabsSummaryData,5,FALSE)</f>
        <v>0</v>
      </c>
      <c r="AX156" s="288">
        <f>VLOOKUP($AU156,AllHabsSummaryData,10,FALSE)</f>
        <v>0</v>
      </c>
      <c r="AY156" s="288">
        <f>VLOOKUP($AU156,AllHabsSummaryData,15,FALSE)</f>
        <v>0</v>
      </c>
      <c r="AZ156" s="288">
        <f>VLOOKUP($AU156,AllHabsSummaryData,16,FALSE)</f>
        <v>0</v>
      </c>
      <c r="BA156" s="288">
        <f>VLOOKUP($AU156,AllHabsSummaryData,17,FALSE)</f>
        <v>0</v>
      </c>
      <c r="BB156" s="288">
        <f>VLOOKUP($AU156,AllHabsSummaryData,18,FALSE)</f>
        <v>0</v>
      </c>
      <c r="BC156" s="288" t="e">
        <f>VLOOKUP($AU156,AllHabsSummaryData,27,FALSE)</f>
        <v>#REF!</v>
      </c>
      <c r="BD156" s="288" t="e">
        <f>VLOOKUP($AU156,AllHabsSummaryData,30,FALSE)</f>
        <v>#REF!</v>
      </c>
      <c r="BE156" s="288" t="e">
        <f>BB156+BD156</f>
        <v>#REF!</v>
      </c>
      <c r="BF156" s="288" t="e">
        <f>IF(BE156&lt;0,BE156,"")</f>
        <v>#REF!</v>
      </c>
    </row>
    <row r="157" spans="1:59" x14ac:dyDescent="0.3">
      <c r="A157" s="63" t="str">
        <f>'G-6 Hedgerow Data'!B10</f>
        <v>Ecologically valuable line of trees</v>
      </c>
      <c r="B157" s="52" t="s">
        <v>829</v>
      </c>
      <c r="C157" s="52" t="str">
        <f>'G-6 Hedgerow Data'!C10</f>
        <v>Medium</v>
      </c>
      <c r="D157" s="52" t="str">
        <f>'G-6 Hedgerow Data'!AH10</f>
        <v>Same distinctiveness band or better</v>
      </c>
      <c r="E157" s="288">
        <f>SUMIF('B-1 On-Site Hedge Baseline'!$D$10:$D$257,'G-2 Habitat groups'!A157,'B-1 On-Site Hedge Baseline'!$E$10:$E$257)</f>
        <v>0</v>
      </c>
      <c r="F157" s="288">
        <f>SUMIF('B-1 On-Site Hedge Baseline'!$D$10:$D$257,'G-2 Habitat groups'!A157,'B-1 On-Site Hedge Baseline'!$N$10:$N$257)</f>
        <v>0</v>
      </c>
      <c r="G157" s="288">
        <f>SUMIF('B-1 On-Site Hedge Baseline'!$D$10:$D$257,'G-2 Habitat groups'!A157,'B-1 On-Site Hedge Baseline'!$P$10:$P$257)</f>
        <v>0</v>
      </c>
      <c r="H157" s="288">
        <f>SUMIF('B-1 On-Site Hedge Baseline'!$D$10:$D$257,'G-2 Habitat groups'!A157,'B-1 On-Site Hedge Baseline'!$R$10:$R$257)</f>
        <v>0</v>
      </c>
      <c r="I157" s="288">
        <f>SUMIF('B-1 On-Site Hedge Baseline'!$D$10:$D$257,'G-2 Habitat groups'!A157,'B-1 On-Site Hedge Baseline'!$T$10:$T$257)</f>
        <v>0</v>
      </c>
      <c r="J157" s="359">
        <f>SUMIF('B-1 On-Site Hedge Baseline'!$D$10:$D$257,'G-2 Habitat groups'!A157,'B-1 On-Site Hedge Baseline'!$U$10:$U$257)</f>
        <v>0</v>
      </c>
      <c r="K157" s="288">
        <f>SUMIF('B-2 On-Site Hedge Creation'!$D$12:$D$259,'G-2 Habitat groups'!A157,'B-2 On-Site Hedge Creation'!$E$12:$E$259)</f>
        <v>0</v>
      </c>
      <c r="L157" s="288">
        <f>SUMIF('B-2 On-Site Hedge Creation'!$D$12:$D$259,'G-2 Habitat groups'!A157,'B-2 On-Site Hedge Creation'!$W$12:$W$259)</f>
        <v>0</v>
      </c>
      <c r="M157" s="288">
        <f>SUMIF('B-3 On-Site Hedge Enhancement'!$M$12:$M$257,'G-2 Habitat groups'!A157,'B-3 On-Site Hedge Enhancement'!$P$12:$P$257)</f>
        <v>0</v>
      </c>
      <c r="N157" s="288">
        <f>SUMIF('B-3 On-Site Hedge Enhancement'!$M$12:$M$257,'G-2 Habitat groups'!A157,'B-3 On-Site Hedge Enhancement'!$AH$12:$AH$257)</f>
        <v>0</v>
      </c>
      <c r="O157" s="288">
        <f t="shared" si="105"/>
        <v>0</v>
      </c>
      <c r="P157" s="288">
        <f t="shared" si="106"/>
        <v>0</v>
      </c>
      <c r="Q157" s="288">
        <f t="shared" si="107"/>
        <v>0</v>
      </c>
      <c r="R157" s="288">
        <f t="shared" si="108"/>
        <v>0</v>
      </c>
      <c r="S157" s="288" t="e">
        <f>SUMIF(#REF!,'G-2 Habitat groups'!A157,#REF!)</f>
        <v>#REF!</v>
      </c>
      <c r="T157" s="288" t="e">
        <f>SUMIF(#REF!,'G-2 Habitat groups'!A157,#REF!)</f>
        <v>#REF!</v>
      </c>
      <c r="U157" s="288" t="e">
        <f>SUMIF(#REF!,'G-2 Habitat groups'!A157,#REF!)</f>
        <v>#REF!</v>
      </c>
      <c r="V157" s="288" t="e">
        <f>SUMIF(#REF!,'G-2 Habitat groups'!A157,#REF!)</f>
        <v>#REF!</v>
      </c>
      <c r="W157" s="288" t="e">
        <f>SUMIF(#REF!,'G-2 Habitat groups'!A157,#REF!)</f>
        <v>#REF!</v>
      </c>
      <c r="X157" s="288" t="e">
        <f>SUMIF(#REF!,'G-2 Habitat groups'!A157,#REF!)</f>
        <v>#REF!</v>
      </c>
      <c r="Y157" s="288" t="e">
        <f>SUMIF(#REF!,'G-2 Habitat groups'!A157,#REF!)</f>
        <v>#REF!</v>
      </c>
      <c r="Z157" s="288" t="e">
        <f>SUMIF(#REF!,'G-2 Habitat groups'!A157,#REF!)</f>
        <v>#REF!</v>
      </c>
      <c r="AA157" s="288" t="e">
        <f t="shared" si="113"/>
        <v>#REF!</v>
      </c>
      <c r="AB157" s="288" t="e">
        <f t="shared" si="114"/>
        <v>#REF!</v>
      </c>
      <c r="AC157" s="288" t="e">
        <f t="shared" si="109"/>
        <v>#REF!</v>
      </c>
      <c r="AD157" s="288" t="e">
        <f t="shared" si="110"/>
        <v>#REF!</v>
      </c>
      <c r="AE157" s="288" t="e">
        <f t="shared" si="111"/>
        <v>#REF!</v>
      </c>
      <c r="AF157" s="288" t="e">
        <f t="shared" si="112"/>
        <v>#REF!</v>
      </c>
      <c r="AU157" s="63" t="s">
        <v>518</v>
      </c>
      <c r="AV157" s="52" t="s">
        <v>51</v>
      </c>
      <c r="AW157" s="288">
        <f>VLOOKUP($AU157,AllHabsSummaryData,5,FALSE)</f>
        <v>0</v>
      </c>
      <c r="AX157" s="288">
        <f>VLOOKUP($AU157,AllHabsSummaryData,10,FALSE)</f>
        <v>0</v>
      </c>
      <c r="AY157" s="288">
        <f>VLOOKUP($AU157,AllHabsSummaryData,15,FALSE)</f>
        <v>0</v>
      </c>
      <c r="AZ157" s="288">
        <f>VLOOKUP($AU157,AllHabsSummaryData,16,FALSE)</f>
        <v>0</v>
      </c>
      <c r="BA157" s="288">
        <f>VLOOKUP($AU157,AllHabsSummaryData,17,FALSE)</f>
        <v>0</v>
      </c>
      <c r="BB157" s="288">
        <f>VLOOKUP($AU157,AllHabsSummaryData,18,FALSE)</f>
        <v>0</v>
      </c>
      <c r="BC157" s="288" t="e">
        <f>VLOOKUP($AU157,AllHabsSummaryData,27,FALSE)</f>
        <v>#REF!</v>
      </c>
      <c r="BD157" s="288" t="e">
        <f>VLOOKUP($AU157,AllHabsSummaryData,30,FALSE)</f>
        <v>#REF!</v>
      </c>
      <c r="BE157" s="288" t="e">
        <f>BB157+BD157</f>
        <v>#REF!</v>
      </c>
      <c r="BF157" s="288" t="e">
        <f>IF(BE157&lt;0,BE157,"")</f>
        <v>#REF!</v>
      </c>
    </row>
    <row r="158" spans="1:59" x14ac:dyDescent="0.3">
      <c r="A158" s="63" t="str">
        <f>'G-6 Hedgerow Data'!B11</f>
        <v>Ecologically valuable line of trees - associated with bank or ditch</v>
      </c>
      <c r="B158" s="52" t="s">
        <v>829</v>
      </c>
      <c r="C158" s="52" t="str">
        <f>'G-6 Hedgerow Data'!C11</f>
        <v>Medium</v>
      </c>
      <c r="D158" s="52" t="str">
        <f>'G-6 Hedgerow Data'!AH11</f>
        <v>Same distinctiveness band or better</v>
      </c>
      <c r="E158" s="288">
        <f>SUMIF('B-1 On-Site Hedge Baseline'!$D$10:$D$257,'G-2 Habitat groups'!A158,'B-1 On-Site Hedge Baseline'!$E$10:$E$257)</f>
        <v>0</v>
      </c>
      <c r="F158" s="288">
        <f>SUMIF('B-1 On-Site Hedge Baseline'!$D$10:$D$257,'G-2 Habitat groups'!A158,'B-1 On-Site Hedge Baseline'!$N$10:$N$257)</f>
        <v>0</v>
      </c>
      <c r="G158" s="288">
        <f>SUMIF('B-1 On-Site Hedge Baseline'!$D$10:$D$257,'G-2 Habitat groups'!A158,'B-1 On-Site Hedge Baseline'!$P$10:$P$257)</f>
        <v>0</v>
      </c>
      <c r="H158" s="288">
        <f>SUMIF('B-1 On-Site Hedge Baseline'!$D$10:$D$257,'G-2 Habitat groups'!A158,'B-1 On-Site Hedge Baseline'!$R$10:$R$257)</f>
        <v>0</v>
      </c>
      <c r="I158" s="288">
        <f>SUMIF('B-1 On-Site Hedge Baseline'!$D$10:$D$257,'G-2 Habitat groups'!A158,'B-1 On-Site Hedge Baseline'!$T$10:$T$257)</f>
        <v>0</v>
      </c>
      <c r="J158" s="359">
        <f>SUMIF('B-1 On-Site Hedge Baseline'!$D$10:$D$257,'G-2 Habitat groups'!A158,'B-1 On-Site Hedge Baseline'!$U$10:$U$257)</f>
        <v>0</v>
      </c>
      <c r="K158" s="288">
        <f>SUMIF('B-2 On-Site Hedge Creation'!$D$12:$D$259,'G-2 Habitat groups'!A158,'B-2 On-Site Hedge Creation'!$E$12:$E$259)</f>
        <v>0</v>
      </c>
      <c r="L158" s="288">
        <f>SUMIF('B-2 On-Site Hedge Creation'!$D$12:$D$259,'G-2 Habitat groups'!A158,'B-2 On-Site Hedge Creation'!$W$12:$W$259)</f>
        <v>0</v>
      </c>
      <c r="M158" s="288">
        <f>SUMIF('B-3 On-Site Hedge Enhancement'!$M$12:$M$257,'G-2 Habitat groups'!A158,'B-3 On-Site Hedge Enhancement'!$P$12:$P$257)</f>
        <v>0</v>
      </c>
      <c r="N158" s="288">
        <f>SUMIF('B-3 On-Site Hedge Enhancement'!$M$12:$M$257,'G-2 Habitat groups'!A158,'B-3 On-Site Hedge Enhancement'!$AH$12:$AH$257)</f>
        <v>0</v>
      </c>
      <c r="O158" s="288">
        <f t="shared" si="105"/>
        <v>0</v>
      </c>
      <c r="P158" s="288">
        <f t="shared" si="106"/>
        <v>0</v>
      </c>
      <c r="Q158" s="288">
        <f t="shared" si="107"/>
        <v>0</v>
      </c>
      <c r="R158" s="288">
        <f t="shared" si="108"/>
        <v>0</v>
      </c>
      <c r="S158" s="288" t="e">
        <f>SUMIF(#REF!,'G-2 Habitat groups'!A158,#REF!)</f>
        <v>#REF!</v>
      </c>
      <c r="T158" s="288" t="e">
        <f>SUMIF(#REF!,'G-2 Habitat groups'!A158,#REF!)</f>
        <v>#REF!</v>
      </c>
      <c r="U158" s="288" t="e">
        <f>SUMIF(#REF!,'G-2 Habitat groups'!A158,#REF!)</f>
        <v>#REF!</v>
      </c>
      <c r="V158" s="288" t="e">
        <f>SUMIF(#REF!,'G-2 Habitat groups'!A158,#REF!)</f>
        <v>#REF!</v>
      </c>
      <c r="W158" s="288" t="e">
        <f>SUMIF(#REF!,'G-2 Habitat groups'!A158,#REF!)</f>
        <v>#REF!</v>
      </c>
      <c r="X158" s="288" t="e">
        <f>SUMIF(#REF!,'G-2 Habitat groups'!A158,#REF!)</f>
        <v>#REF!</v>
      </c>
      <c r="Y158" s="288" t="e">
        <f>SUMIF(#REF!,'G-2 Habitat groups'!A158,#REF!)</f>
        <v>#REF!</v>
      </c>
      <c r="Z158" s="288" t="e">
        <f>SUMIF(#REF!,'G-2 Habitat groups'!A158,#REF!)</f>
        <v>#REF!</v>
      </c>
      <c r="AA158" s="288" t="e">
        <f t="shared" si="113"/>
        <v>#REF!</v>
      </c>
      <c r="AB158" s="288" t="e">
        <f t="shared" si="114"/>
        <v>#REF!</v>
      </c>
      <c r="AC158" s="288" t="e">
        <f t="shared" si="109"/>
        <v>#REF!</v>
      </c>
      <c r="AD158" s="288" t="e">
        <f t="shared" si="110"/>
        <v>#REF!</v>
      </c>
      <c r="AE158" s="288" t="e">
        <f t="shared" si="111"/>
        <v>#REF!</v>
      </c>
      <c r="AF158" s="288" t="e">
        <f t="shared" si="112"/>
        <v>#REF!</v>
      </c>
      <c r="AU158" s="63" t="s">
        <v>523</v>
      </c>
      <c r="AV158" s="52" t="s">
        <v>51</v>
      </c>
      <c r="AW158" s="288">
        <f>VLOOKUP($AU158,AllHabsSummaryData,5,FALSE)</f>
        <v>0</v>
      </c>
      <c r="AX158" s="288">
        <f>VLOOKUP($AU158,AllHabsSummaryData,10,FALSE)</f>
        <v>0</v>
      </c>
      <c r="AY158" s="288">
        <f>VLOOKUP($AU158,AllHabsSummaryData,15,FALSE)</f>
        <v>0</v>
      </c>
      <c r="AZ158" s="288">
        <f>VLOOKUP($AU158,AllHabsSummaryData,16,FALSE)</f>
        <v>0</v>
      </c>
      <c r="BA158" s="288">
        <f>VLOOKUP($AU158,AllHabsSummaryData,17,FALSE)</f>
        <v>0</v>
      </c>
      <c r="BB158" s="288">
        <f>VLOOKUP($AU158,AllHabsSummaryData,18,FALSE)</f>
        <v>0</v>
      </c>
      <c r="BC158" s="288" t="e">
        <f>VLOOKUP($AU158,AllHabsSummaryData,27,FALSE)</f>
        <v>#REF!</v>
      </c>
      <c r="BD158" s="288" t="e">
        <f>VLOOKUP($AU158,AllHabsSummaryData,30,FALSE)</f>
        <v>#REF!</v>
      </c>
      <c r="BE158" s="288" t="e">
        <f>BB158+BD158</f>
        <v>#REF!</v>
      </c>
      <c r="BF158" s="288" t="e">
        <f>IF(BE158&lt;0,BE158,"")</f>
        <v>#REF!</v>
      </c>
    </row>
    <row r="159" spans="1:59" x14ac:dyDescent="0.3">
      <c r="A159" s="63" t="str">
        <f>'G-6 Hedgerow Data'!B12</f>
        <v>Native hedgerow</v>
      </c>
      <c r="B159" s="52" t="s">
        <v>829</v>
      </c>
      <c r="C159" s="52" t="str">
        <f>'G-6 Hedgerow Data'!C12</f>
        <v>Low</v>
      </c>
      <c r="D159" s="52" t="str">
        <f>'G-6 Hedgerow Data'!AH12</f>
        <v>Same distinctiveness band or better</v>
      </c>
      <c r="E159" s="288">
        <f>SUMIF('B-1 On-Site Hedge Baseline'!$D$10:$D$257,'G-2 Habitat groups'!A159,'B-1 On-Site Hedge Baseline'!$E$10:$E$257)</f>
        <v>0</v>
      </c>
      <c r="F159" s="288">
        <f>SUMIF('B-1 On-Site Hedge Baseline'!$D$10:$D$257,'G-2 Habitat groups'!A159,'B-1 On-Site Hedge Baseline'!$N$10:$N$257)</f>
        <v>0</v>
      </c>
      <c r="G159" s="288">
        <f>SUMIF('B-1 On-Site Hedge Baseline'!$D$10:$D$257,'G-2 Habitat groups'!A159,'B-1 On-Site Hedge Baseline'!$P$10:$P$257)</f>
        <v>0</v>
      </c>
      <c r="H159" s="288">
        <f>SUMIF('B-1 On-Site Hedge Baseline'!$D$10:$D$257,'G-2 Habitat groups'!A159,'B-1 On-Site Hedge Baseline'!$R$10:$R$257)</f>
        <v>0</v>
      </c>
      <c r="I159" s="288">
        <f>SUMIF('B-1 On-Site Hedge Baseline'!$D$10:$D$257,'G-2 Habitat groups'!A159,'B-1 On-Site Hedge Baseline'!$T$10:$T$257)</f>
        <v>0</v>
      </c>
      <c r="J159" s="359">
        <f>SUMIF('B-1 On-Site Hedge Baseline'!$D$10:$D$257,'G-2 Habitat groups'!A159,'B-1 On-Site Hedge Baseline'!$U$10:$U$257)</f>
        <v>0</v>
      </c>
      <c r="K159" s="288">
        <f>SUMIF('B-2 On-Site Hedge Creation'!$D$12:$D$259,'G-2 Habitat groups'!A159,'B-2 On-Site Hedge Creation'!$E$12:$E$259)</f>
        <v>0</v>
      </c>
      <c r="L159" s="288">
        <f>SUMIF('B-2 On-Site Hedge Creation'!$D$12:$D$259,'G-2 Habitat groups'!A159,'B-2 On-Site Hedge Creation'!$W$12:$W$259)</f>
        <v>0</v>
      </c>
      <c r="M159" s="288">
        <f>SUMIF('B-3 On-Site Hedge Enhancement'!$M$12:$M$257,'G-2 Habitat groups'!A159,'B-3 On-Site Hedge Enhancement'!$P$12:$P$257)</f>
        <v>0</v>
      </c>
      <c r="N159" s="288">
        <f>SUMIF('B-3 On-Site Hedge Enhancement'!$M$12:$M$257,'G-2 Habitat groups'!A159,'B-3 On-Site Hedge Enhancement'!$AH$12:$AH$257)</f>
        <v>0</v>
      </c>
      <c r="O159" s="288">
        <f t="shared" si="105"/>
        <v>0</v>
      </c>
      <c r="P159" s="288">
        <f t="shared" si="106"/>
        <v>0</v>
      </c>
      <c r="Q159" s="288">
        <f t="shared" si="107"/>
        <v>0</v>
      </c>
      <c r="R159" s="288">
        <f t="shared" si="108"/>
        <v>0</v>
      </c>
      <c r="S159" s="288" t="e">
        <f>SUMIF(#REF!,'G-2 Habitat groups'!A159,#REF!)</f>
        <v>#REF!</v>
      </c>
      <c r="T159" s="288" t="e">
        <f>SUMIF(#REF!,'G-2 Habitat groups'!A159,#REF!)</f>
        <v>#REF!</v>
      </c>
      <c r="U159" s="288" t="e">
        <f>SUMIF(#REF!,'G-2 Habitat groups'!A159,#REF!)</f>
        <v>#REF!</v>
      </c>
      <c r="V159" s="288" t="e">
        <f>SUMIF(#REF!,'G-2 Habitat groups'!A159,#REF!)</f>
        <v>#REF!</v>
      </c>
      <c r="W159" s="288" t="e">
        <f>SUMIF(#REF!,'G-2 Habitat groups'!A159,#REF!)</f>
        <v>#REF!</v>
      </c>
      <c r="X159" s="288" t="e">
        <f>SUMIF(#REF!,'G-2 Habitat groups'!A159,#REF!)</f>
        <v>#REF!</v>
      </c>
      <c r="Y159" s="288" t="e">
        <f>SUMIF(#REF!,'G-2 Habitat groups'!A159,#REF!)</f>
        <v>#REF!</v>
      </c>
      <c r="Z159" s="288" t="e">
        <f>SUMIF(#REF!,'G-2 Habitat groups'!A159,#REF!)</f>
        <v>#REF!</v>
      </c>
      <c r="AA159" s="288" t="e">
        <f t="shared" si="113"/>
        <v>#REF!</v>
      </c>
      <c r="AB159" s="288" t="e">
        <f t="shared" si="114"/>
        <v>#REF!</v>
      </c>
      <c r="AC159" s="288" t="e">
        <f t="shared" si="109"/>
        <v>#REF!</v>
      </c>
      <c r="AD159" s="288" t="e">
        <f t="shared" si="110"/>
        <v>#REF!</v>
      </c>
      <c r="AE159" s="288" t="e">
        <f t="shared" si="111"/>
        <v>#REF!</v>
      </c>
      <c r="AF159" s="288" t="e">
        <f t="shared" si="112"/>
        <v>#REF!</v>
      </c>
      <c r="AU159" s="63" t="s">
        <v>553</v>
      </c>
      <c r="AV159" s="52" t="s">
        <v>51</v>
      </c>
      <c r="AW159" s="288">
        <f>VLOOKUP($AU159,AllHabsSummaryData,5,FALSE)</f>
        <v>0</v>
      </c>
      <c r="AX159" s="288">
        <f>VLOOKUP($AU159,AllHabsSummaryData,10,FALSE)</f>
        <v>0</v>
      </c>
      <c r="AY159" s="288">
        <f>VLOOKUP($AU159,AllHabsSummaryData,15,FALSE)</f>
        <v>0</v>
      </c>
      <c r="AZ159" s="288">
        <f>VLOOKUP($AU159,AllHabsSummaryData,16,FALSE)</f>
        <v>0</v>
      </c>
      <c r="BA159" s="288">
        <f>VLOOKUP($AU159,AllHabsSummaryData,17,FALSE)</f>
        <v>0</v>
      </c>
      <c r="BB159" s="288">
        <f>VLOOKUP($AU159,AllHabsSummaryData,18,FALSE)</f>
        <v>0</v>
      </c>
      <c r="BC159" s="288" t="e">
        <f>VLOOKUP($AU159,AllHabsSummaryData,27,FALSE)</f>
        <v>#REF!</v>
      </c>
      <c r="BD159" s="288" t="e">
        <f>VLOOKUP($AU159,AllHabsSummaryData,30,FALSE)</f>
        <v>#REF!</v>
      </c>
      <c r="BE159" s="288" t="e">
        <f>BB159+BD159</f>
        <v>#REF!</v>
      </c>
      <c r="BF159" s="288" t="e">
        <f>IF(BE159&lt;0,BE159,"")</f>
        <v>#REF!</v>
      </c>
    </row>
    <row r="160" spans="1:59" x14ac:dyDescent="0.3">
      <c r="A160" s="63" t="str">
        <f>'G-6 Hedgerow Data'!B13</f>
        <v>Line of trees</v>
      </c>
      <c r="B160" s="52" t="s">
        <v>829</v>
      </c>
      <c r="C160" s="52" t="str">
        <f>'G-6 Hedgerow Data'!C13</f>
        <v>Low</v>
      </c>
      <c r="D160" s="52" t="str">
        <f>'G-6 Hedgerow Data'!AH13</f>
        <v>Same distinctiveness band or better</v>
      </c>
      <c r="E160" s="288">
        <f>SUMIF('B-1 On-Site Hedge Baseline'!$D$10:$D$257,'G-2 Habitat groups'!A160,'B-1 On-Site Hedge Baseline'!$E$10:$E$257)</f>
        <v>0</v>
      </c>
      <c r="F160" s="288">
        <f>SUMIF('B-1 On-Site Hedge Baseline'!$D$10:$D$257,'G-2 Habitat groups'!A160,'B-1 On-Site Hedge Baseline'!$N$10:$N$257)</f>
        <v>0</v>
      </c>
      <c r="G160" s="288">
        <f>SUMIF('B-1 On-Site Hedge Baseline'!$D$10:$D$257,'G-2 Habitat groups'!A160,'B-1 On-Site Hedge Baseline'!$P$10:$P$257)</f>
        <v>0</v>
      </c>
      <c r="H160" s="288">
        <f>SUMIF('B-1 On-Site Hedge Baseline'!$D$10:$D$257,'G-2 Habitat groups'!A160,'B-1 On-Site Hedge Baseline'!$R$10:$R$257)</f>
        <v>0</v>
      </c>
      <c r="I160" s="288">
        <f>SUMIF('B-1 On-Site Hedge Baseline'!$D$10:$D$257,'G-2 Habitat groups'!A160,'B-1 On-Site Hedge Baseline'!$T$10:$T$257)</f>
        <v>0</v>
      </c>
      <c r="J160" s="359">
        <f>SUMIF('B-1 On-Site Hedge Baseline'!$D$10:$D$257,'G-2 Habitat groups'!A160,'B-1 On-Site Hedge Baseline'!$U$10:$U$257)</f>
        <v>0</v>
      </c>
      <c r="K160" s="288">
        <f>SUMIF('B-2 On-Site Hedge Creation'!$D$12:$D$259,'G-2 Habitat groups'!A160,'B-2 On-Site Hedge Creation'!$E$12:$E$259)</f>
        <v>0</v>
      </c>
      <c r="L160" s="288">
        <f>SUMIF('B-2 On-Site Hedge Creation'!$D$12:$D$259,'G-2 Habitat groups'!A160,'B-2 On-Site Hedge Creation'!$W$12:$W$259)</f>
        <v>0</v>
      </c>
      <c r="M160" s="288">
        <f>SUMIF('B-3 On-Site Hedge Enhancement'!$M$12:$M$257,'G-2 Habitat groups'!A160,'B-3 On-Site Hedge Enhancement'!$P$12:$P$257)</f>
        <v>0</v>
      </c>
      <c r="N160" s="288">
        <f>SUMIF('B-3 On-Site Hedge Enhancement'!$M$12:$M$257,'G-2 Habitat groups'!A160,'B-3 On-Site Hedge Enhancement'!$AH$12:$AH$257)</f>
        <v>0</v>
      </c>
      <c r="O160" s="288">
        <f t="shared" si="105"/>
        <v>0</v>
      </c>
      <c r="P160" s="288">
        <f t="shared" si="106"/>
        <v>0</v>
      </c>
      <c r="Q160" s="288">
        <f t="shared" si="107"/>
        <v>0</v>
      </c>
      <c r="R160" s="288">
        <f t="shared" si="108"/>
        <v>0</v>
      </c>
      <c r="S160" s="288" t="e">
        <f>SUMIF(#REF!,'G-2 Habitat groups'!A160,#REF!)</f>
        <v>#REF!</v>
      </c>
      <c r="T160" s="288" t="e">
        <f>SUMIF(#REF!,'G-2 Habitat groups'!A160,#REF!)</f>
        <v>#REF!</v>
      </c>
      <c r="U160" s="288" t="e">
        <f>SUMIF(#REF!,'G-2 Habitat groups'!A160,#REF!)</f>
        <v>#REF!</v>
      </c>
      <c r="V160" s="288" t="e">
        <f>SUMIF(#REF!,'G-2 Habitat groups'!A160,#REF!)</f>
        <v>#REF!</v>
      </c>
      <c r="W160" s="288" t="e">
        <f>SUMIF(#REF!,'G-2 Habitat groups'!A160,#REF!)</f>
        <v>#REF!</v>
      </c>
      <c r="X160" s="288" t="e">
        <f>SUMIF(#REF!,'G-2 Habitat groups'!A160,#REF!)</f>
        <v>#REF!</v>
      </c>
      <c r="Y160" s="288" t="e">
        <f>SUMIF(#REF!,'G-2 Habitat groups'!A160,#REF!)</f>
        <v>#REF!</v>
      </c>
      <c r="Z160" s="288" t="e">
        <f>SUMIF(#REF!,'G-2 Habitat groups'!A160,#REF!)</f>
        <v>#REF!</v>
      </c>
      <c r="AA160" s="288" t="e">
        <f t="shared" si="113"/>
        <v>#REF!</v>
      </c>
      <c r="AB160" s="288" t="e">
        <f t="shared" si="114"/>
        <v>#REF!</v>
      </c>
      <c r="AC160" s="288" t="e">
        <f t="shared" si="109"/>
        <v>#REF!</v>
      </c>
      <c r="AD160" s="288" t="e">
        <f t="shared" si="110"/>
        <v>#REF!</v>
      </c>
      <c r="AE160" s="288" t="e">
        <f t="shared" si="111"/>
        <v>#REF!</v>
      </c>
      <c r="AF160" s="288" t="e">
        <f t="shared" si="112"/>
        <v>#REF!</v>
      </c>
    </row>
    <row r="161" spans="1:32" x14ac:dyDescent="0.3">
      <c r="A161" s="63" t="str">
        <f>'G-6 Hedgerow Data'!B14</f>
        <v>Line of trees - associated with bank or ditch</v>
      </c>
      <c r="B161" s="52" t="s">
        <v>829</v>
      </c>
      <c r="C161" s="52" t="str">
        <f>'G-6 Hedgerow Data'!C14</f>
        <v>Low</v>
      </c>
      <c r="D161" s="52" t="str">
        <f>'G-6 Hedgerow Data'!AH14</f>
        <v>Same distinctiveness band or better</v>
      </c>
      <c r="E161" s="288">
        <f>SUMIF('B-1 On-Site Hedge Baseline'!$D$10:$D$257,'G-2 Habitat groups'!A161,'B-1 On-Site Hedge Baseline'!$E$10:$E$257)</f>
        <v>0</v>
      </c>
      <c r="F161" s="288">
        <f>SUMIF('B-1 On-Site Hedge Baseline'!$D$10:$D$257,'G-2 Habitat groups'!A161,'B-1 On-Site Hedge Baseline'!$N$10:$N$257)</f>
        <v>0</v>
      </c>
      <c r="G161" s="288">
        <f>SUMIF('B-1 On-Site Hedge Baseline'!$D$10:$D$257,'G-2 Habitat groups'!A161,'B-1 On-Site Hedge Baseline'!$P$10:$P$257)</f>
        <v>0</v>
      </c>
      <c r="H161" s="288">
        <f>SUMIF('B-1 On-Site Hedge Baseline'!$D$10:$D$257,'G-2 Habitat groups'!A161,'B-1 On-Site Hedge Baseline'!$R$10:$R$257)</f>
        <v>0</v>
      </c>
      <c r="I161" s="288">
        <f>SUMIF('B-1 On-Site Hedge Baseline'!$D$10:$D$257,'G-2 Habitat groups'!A161,'B-1 On-Site Hedge Baseline'!$T$10:$T$257)</f>
        <v>0</v>
      </c>
      <c r="J161" s="359">
        <f>SUMIF('B-1 On-Site Hedge Baseline'!$D$10:$D$257,'G-2 Habitat groups'!A161,'B-1 On-Site Hedge Baseline'!$U$10:$U$257)</f>
        <v>0</v>
      </c>
      <c r="K161" s="288">
        <f>SUMIF('B-2 On-Site Hedge Creation'!$D$12:$D$259,'G-2 Habitat groups'!A161,'B-2 On-Site Hedge Creation'!$E$12:$E$259)</f>
        <v>0</v>
      </c>
      <c r="L161" s="288">
        <f>SUMIF('B-2 On-Site Hedge Creation'!$D$12:$D$259,'G-2 Habitat groups'!A161,'B-2 On-Site Hedge Creation'!$W$12:$W$259)</f>
        <v>0</v>
      </c>
      <c r="M161" s="288">
        <f>SUMIF('B-3 On-Site Hedge Enhancement'!$M$12:$M$257,'G-2 Habitat groups'!A161,'B-3 On-Site Hedge Enhancement'!$P$12:$P$257)</f>
        <v>0</v>
      </c>
      <c r="N161" s="288">
        <f>SUMIF('B-3 On-Site Hedge Enhancement'!$M$12:$M$257,'G-2 Habitat groups'!A161,'B-3 On-Site Hedge Enhancement'!$AH$12:$AH$257)</f>
        <v>0</v>
      </c>
      <c r="O161" s="288">
        <f t="shared" si="105"/>
        <v>0</v>
      </c>
      <c r="P161" s="288">
        <f t="shared" si="106"/>
        <v>0</v>
      </c>
      <c r="Q161" s="288">
        <f t="shared" si="107"/>
        <v>0</v>
      </c>
      <c r="R161" s="288">
        <f t="shared" si="108"/>
        <v>0</v>
      </c>
      <c r="S161" s="288" t="e">
        <f>SUMIF(#REF!,'G-2 Habitat groups'!A161,#REF!)</f>
        <v>#REF!</v>
      </c>
      <c r="T161" s="288" t="e">
        <f>SUMIF(#REF!,'G-2 Habitat groups'!A161,#REF!)</f>
        <v>#REF!</v>
      </c>
      <c r="U161" s="288" t="e">
        <f>SUMIF(#REF!,'G-2 Habitat groups'!A161,#REF!)</f>
        <v>#REF!</v>
      </c>
      <c r="V161" s="288" t="e">
        <f>SUMIF(#REF!,'G-2 Habitat groups'!A161,#REF!)</f>
        <v>#REF!</v>
      </c>
      <c r="W161" s="288" t="e">
        <f>SUMIF(#REF!,'G-2 Habitat groups'!A161,#REF!)</f>
        <v>#REF!</v>
      </c>
      <c r="X161" s="288" t="e">
        <f>SUMIF(#REF!,'G-2 Habitat groups'!A161,#REF!)</f>
        <v>#REF!</v>
      </c>
      <c r="Y161" s="288" t="e">
        <f>SUMIF(#REF!,'G-2 Habitat groups'!A161,#REF!)</f>
        <v>#REF!</v>
      </c>
      <c r="Z161" s="288" t="e">
        <f>SUMIF(#REF!,'G-2 Habitat groups'!A161,#REF!)</f>
        <v>#REF!</v>
      </c>
      <c r="AA161" s="288" t="e">
        <f t="shared" si="113"/>
        <v>#REF!</v>
      </c>
      <c r="AB161" s="288" t="e">
        <f t="shared" si="114"/>
        <v>#REF!</v>
      </c>
      <c r="AC161" s="288" t="e">
        <f t="shared" si="109"/>
        <v>#REF!</v>
      </c>
      <c r="AD161" s="288" t="e">
        <f t="shared" si="110"/>
        <v>#REF!</v>
      </c>
      <c r="AE161" s="288" t="e">
        <f t="shared" si="111"/>
        <v>#REF!</v>
      </c>
      <c r="AF161" s="288" t="e">
        <f t="shared" si="112"/>
        <v>#REF!</v>
      </c>
    </row>
    <row r="162" spans="1:32" x14ac:dyDescent="0.3">
      <c r="A162" s="63" t="str">
        <f>'G-6 Hedgerow Data'!B15</f>
        <v>Non-native and ornamental hedgerow</v>
      </c>
      <c r="B162" s="52" t="s">
        <v>829</v>
      </c>
      <c r="C162" s="52" t="str">
        <f>'G-6 Hedgerow Data'!C15</f>
        <v>V.Low</v>
      </c>
      <c r="D162" s="52" t="str">
        <f>'G-6 Hedgerow Data'!AH15</f>
        <v>Same distinctiveness band or better</v>
      </c>
      <c r="E162" s="288">
        <f>SUMIF('B-1 On-Site Hedge Baseline'!$D$10:$D$257,'G-2 Habitat groups'!A162,'B-1 On-Site Hedge Baseline'!$E$10:$E$257)</f>
        <v>0</v>
      </c>
      <c r="F162" s="288">
        <f>SUMIF('B-1 On-Site Hedge Baseline'!$D$10:$D$257,'G-2 Habitat groups'!A162,'B-1 On-Site Hedge Baseline'!$N$10:$N$257)</f>
        <v>0</v>
      </c>
      <c r="G162" s="288">
        <f>SUMIF('B-1 On-Site Hedge Baseline'!$D$10:$D$257,'G-2 Habitat groups'!A162,'B-1 On-Site Hedge Baseline'!$P$10:$P$257)</f>
        <v>0</v>
      </c>
      <c r="H162" s="288">
        <f>SUMIF('B-1 On-Site Hedge Baseline'!$D$10:$D$257,'G-2 Habitat groups'!A162,'B-1 On-Site Hedge Baseline'!$R$10:$R$257)</f>
        <v>0</v>
      </c>
      <c r="I162" s="288">
        <f>SUMIF('B-1 On-Site Hedge Baseline'!$D$10:$D$257,'G-2 Habitat groups'!A162,'B-1 On-Site Hedge Baseline'!$T$10:$T$257)</f>
        <v>0</v>
      </c>
      <c r="J162" s="359">
        <f>SUMIF('B-1 On-Site Hedge Baseline'!$D$10:$D$257,'G-2 Habitat groups'!A162,'B-1 On-Site Hedge Baseline'!$U$10:$U$257)</f>
        <v>0</v>
      </c>
      <c r="K162" s="288">
        <f>SUMIF('B-2 On-Site Hedge Creation'!$D$12:$D$259,'G-2 Habitat groups'!A162,'B-2 On-Site Hedge Creation'!$E$12:$E$259)</f>
        <v>0</v>
      </c>
      <c r="L162" s="288">
        <f>SUMIF('B-2 On-Site Hedge Creation'!$D$12:$D$259,'G-2 Habitat groups'!A162,'B-2 On-Site Hedge Creation'!$W$12:$W$259)</f>
        <v>0</v>
      </c>
      <c r="M162" s="288">
        <f>SUMIF('B-3 On-Site Hedge Enhancement'!$M$12:$M$257,'G-2 Habitat groups'!A162,'B-3 On-Site Hedge Enhancement'!$P$12:$P$257)</f>
        <v>0</v>
      </c>
      <c r="N162" s="288">
        <f>SUMIF('B-3 On-Site Hedge Enhancement'!$M$12:$M$257,'G-2 Habitat groups'!A162,'B-3 On-Site Hedge Enhancement'!$AH$12:$AH$257)</f>
        <v>0</v>
      </c>
      <c r="O162" s="288">
        <f t="shared" si="105"/>
        <v>0</v>
      </c>
      <c r="P162" s="288">
        <f t="shared" si="106"/>
        <v>0</v>
      </c>
      <c r="Q162" s="288">
        <f t="shared" si="107"/>
        <v>0</v>
      </c>
      <c r="R162" s="288">
        <f t="shared" si="108"/>
        <v>0</v>
      </c>
      <c r="S162" s="288" t="e">
        <f>SUMIF(#REF!,'G-2 Habitat groups'!A162,#REF!)</f>
        <v>#REF!</v>
      </c>
      <c r="T162" s="288" t="e">
        <f>SUMIF(#REF!,'G-2 Habitat groups'!A162,#REF!)</f>
        <v>#REF!</v>
      </c>
      <c r="U162" s="288" t="e">
        <f>SUMIF(#REF!,'G-2 Habitat groups'!A162,#REF!)</f>
        <v>#REF!</v>
      </c>
      <c r="V162" s="288" t="e">
        <f>SUMIF(#REF!,'G-2 Habitat groups'!A162,#REF!)</f>
        <v>#REF!</v>
      </c>
      <c r="W162" s="288" t="e">
        <f>SUMIF(#REF!,'G-2 Habitat groups'!A162,#REF!)</f>
        <v>#REF!</v>
      </c>
      <c r="X162" s="288" t="e">
        <f>SUMIF(#REF!,'G-2 Habitat groups'!A162,#REF!)</f>
        <v>#REF!</v>
      </c>
      <c r="Y162" s="288" t="e">
        <f>SUMIF(#REF!,'G-2 Habitat groups'!A162,#REF!)</f>
        <v>#REF!</v>
      </c>
      <c r="Z162" s="288" t="e">
        <f>SUMIF(#REF!,'G-2 Habitat groups'!A162,#REF!)</f>
        <v>#REF!</v>
      </c>
      <c r="AA162" s="288" t="e">
        <f t="shared" si="113"/>
        <v>#REF!</v>
      </c>
      <c r="AB162" s="288" t="e">
        <f t="shared" si="114"/>
        <v>#REF!</v>
      </c>
      <c r="AC162" s="288" t="e">
        <f t="shared" si="109"/>
        <v>#REF!</v>
      </c>
      <c r="AD162" s="288" t="e">
        <f t="shared" si="110"/>
        <v>#REF!</v>
      </c>
      <c r="AE162" s="288" t="e">
        <f t="shared" si="111"/>
        <v>#REF!</v>
      </c>
      <c r="AF162" s="288" t="e">
        <f t="shared" si="112"/>
        <v>#REF!</v>
      </c>
    </row>
    <row r="167" spans="1:32" ht="27.5" x14ac:dyDescent="0.55000000000000004">
      <c r="A167" s="218" t="s">
        <v>33</v>
      </c>
    </row>
    <row r="170" spans="1:32" ht="22.5" x14ac:dyDescent="0.45">
      <c r="A170" s="61">
        <v>1</v>
      </c>
      <c r="B170" s="61">
        <v>2</v>
      </c>
      <c r="C170" s="61">
        <v>3</v>
      </c>
      <c r="D170" s="61">
        <v>4</v>
      </c>
      <c r="E170" s="61">
        <v>5</v>
      </c>
      <c r="F170" s="61">
        <v>6</v>
      </c>
      <c r="G170" s="61">
        <v>7</v>
      </c>
      <c r="H170" s="61">
        <v>8</v>
      </c>
      <c r="I170" s="61">
        <v>9</v>
      </c>
      <c r="J170" s="61">
        <v>10</v>
      </c>
      <c r="K170" s="61">
        <v>11</v>
      </c>
      <c r="L170" s="61">
        <v>12</v>
      </c>
      <c r="M170" s="61">
        <v>13</v>
      </c>
      <c r="N170" s="61">
        <v>14</v>
      </c>
      <c r="O170" s="61">
        <v>15</v>
      </c>
      <c r="P170" s="61">
        <v>16</v>
      </c>
      <c r="Q170" s="61">
        <v>17</v>
      </c>
      <c r="R170" s="61">
        <v>18</v>
      </c>
      <c r="S170" s="61">
        <v>19</v>
      </c>
      <c r="T170" s="61">
        <v>20</v>
      </c>
      <c r="U170" s="61">
        <v>21</v>
      </c>
      <c r="V170" s="61">
        <v>22</v>
      </c>
      <c r="W170" s="61">
        <v>23</v>
      </c>
      <c r="X170" s="61">
        <v>24</v>
      </c>
      <c r="Y170" s="61">
        <v>25</v>
      </c>
      <c r="Z170" s="61">
        <v>26</v>
      </c>
      <c r="AA170" s="61">
        <v>27</v>
      </c>
      <c r="AB170" s="61">
        <v>28</v>
      </c>
      <c r="AC170" s="61">
        <v>29</v>
      </c>
      <c r="AD170" s="61">
        <v>30</v>
      </c>
      <c r="AE170" s="61">
        <v>31</v>
      </c>
      <c r="AF170" s="61">
        <v>32</v>
      </c>
    </row>
    <row r="171" spans="1:32" ht="70" x14ac:dyDescent="0.3">
      <c r="A171" s="62" t="s">
        <v>831</v>
      </c>
      <c r="B171" s="62" t="s">
        <v>96</v>
      </c>
      <c r="C171" s="62" t="s">
        <v>812</v>
      </c>
      <c r="D171" s="62" t="s">
        <v>755</v>
      </c>
      <c r="E171" s="62" t="s">
        <v>813</v>
      </c>
      <c r="F171" s="62" t="s">
        <v>757</v>
      </c>
      <c r="G171" s="62" t="s">
        <v>814</v>
      </c>
      <c r="H171" s="62" t="s">
        <v>815</v>
      </c>
      <c r="I171" s="62" t="s">
        <v>832</v>
      </c>
      <c r="J171" s="62" t="s">
        <v>833</v>
      </c>
      <c r="K171" s="62" t="s">
        <v>817</v>
      </c>
      <c r="L171" s="62" t="s">
        <v>763</v>
      </c>
      <c r="M171" s="62" t="s">
        <v>818</v>
      </c>
      <c r="N171" s="62" t="s">
        <v>765</v>
      </c>
      <c r="O171" s="62" t="s">
        <v>819</v>
      </c>
      <c r="P171" s="62" t="s">
        <v>767</v>
      </c>
      <c r="Q171" s="62" t="s">
        <v>820</v>
      </c>
      <c r="R171" s="62" t="s">
        <v>769</v>
      </c>
      <c r="S171" s="62" t="s">
        <v>821</v>
      </c>
      <c r="T171" s="62" t="s">
        <v>771</v>
      </c>
      <c r="U171" s="62" t="s">
        <v>822</v>
      </c>
      <c r="V171" s="62" t="s">
        <v>773</v>
      </c>
      <c r="W171" s="62" t="s">
        <v>823</v>
      </c>
      <c r="X171" s="62" t="s">
        <v>775</v>
      </c>
      <c r="Y171" s="62" t="s">
        <v>824</v>
      </c>
      <c r="Z171" s="62" t="s">
        <v>825</v>
      </c>
      <c r="AA171" s="62" t="s">
        <v>826</v>
      </c>
      <c r="AB171" s="62" t="s">
        <v>779</v>
      </c>
      <c r="AC171" s="62" t="s">
        <v>827</v>
      </c>
      <c r="AD171" s="62" t="s">
        <v>781</v>
      </c>
      <c r="AE171" s="62" t="s">
        <v>828</v>
      </c>
      <c r="AF171" s="62" t="s">
        <v>783</v>
      </c>
    </row>
    <row r="172" spans="1:32" x14ac:dyDescent="0.3">
      <c r="A172" s="63" t="str">
        <f>'G-7 WaterC'' Data'!B4</f>
        <v>Priority habitat</v>
      </c>
      <c r="B172" s="52" t="s">
        <v>33</v>
      </c>
      <c r="C172" s="52" t="str">
        <f>'G-7 WaterC'' Data'!C4</f>
        <v>V.High</v>
      </c>
      <c r="D172" s="52" t="str">
        <f>'G-7 WaterC'' Data'!AU4</f>
        <v>Loss Unacceptable</v>
      </c>
      <c r="E172" s="288">
        <f>SUMIF('C-1 On-Site WaterC'' Baseline'!$D$10:$D$257,'G-2 Habitat groups'!A172,'C-1 On-Site WaterC'' Baseline'!$E$10:$E$257)</f>
        <v>0</v>
      </c>
      <c r="F172" s="288">
        <f>SUMIF('C-1 On-Site WaterC'' Baseline'!$D$10:$D$257,'G-2 Habitat groups'!A172,'C-1 On-Site WaterC'' Baseline'!$R$10:$R$257)</f>
        <v>0</v>
      </c>
      <c r="G172" s="288">
        <f>SUMIF('C-1 On-Site WaterC'' Baseline'!$D$10:$D$257,'G-2 Habitat groups'!A172,'C-1 On-Site WaterC'' Baseline'!$U$10:$U$257)</f>
        <v>0</v>
      </c>
      <c r="H172" s="288">
        <f>SUMIF('C-1 On-Site WaterC'' Baseline'!$D$10:$D$257,'G-2 Habitat groups'!A172,'C-1 On-Site WaterC'' Baseline'!$W$10:$W$257)</f>
        <v>0</v>
      </c>
      <c r="I172" s="288">
        <f>SUMIF('C-1 On-Site WaterC'' Baseline'!$D$10:$D$257,'G-2 Habitat groups'!A172,'C-1 On-Site WaterC'' Baseline'!$Y$10:$Y$257)</f>
        <v>0</v>
      </c>
      <c r="J172" s="288">
        <f>SUMIF('C-1 On-Site WaterC'' Baseline'!$D$10:$D$257,'G-2 Habitat groups'!A172,'C-1 On-Site WaterC'' Baseline'!$Z$10:$Z$257)</f>
        <v>0</v>
      </c>
      <c r="K172" s="288">
        <f>SUMIF('C-2 On-Site WaterC'' Creation'!$C$10:$C$257,'G-2 Habitat groups'!A172,'C-2 On-Site WaterC'' Creation'!$D$10:$D$257)</f>
        <v>0</v>
      </c>
      <c r="L172" s="288">
        <f>SUMIF('C-2 On-Site WaterC'' Creation'!$C$10:$C$257,'G-2 Habitat groups'!A172,'C-2 On-Site WaterC'' Creation'!$Z$10:$Z$257)</f>
        <v>0</v>
      </c>
      <c r="M172" s="288">
        <f>SUMIF('C-3 On-Site WaterC'' Enhancement'!$N$12:$N$257,'G-2 Habitat groups'!A172,'C-3 On-Site WaterC'' Enhancement'!$Q$12:$Q$257)</f>
        <v>0</v>
      </c>
      <c r="N172" s="288">
        <f>SUMIF('C-3 On-Site WaterC'' Enhancement'!$N$12:$N$257,'G-2 Habitat groups'!A172,'C-3 On-Site WaterC'' Enhancement'!$AM$12:$AM$257)</f>
        <v>0</v>
      </c>
      <c r="O172" s="288">
        <f t="shared" ref="O172:P176" si="115">G172+K172+M172</f>
        <v>0</v>
      </c>
      <c r="P172" s="288">
        <f t="shared" si="115"/>
        <v>0</v>
      </c>
      <c r="Q172" s="288">
        <f t="shared" ref="Q172:R176" si="116">O172-E172</f>
        <v>0</v>
      </c>
      <c r="R172" s="288">
        <f t="shared" si="116"/>
        <v>0</v>
      </c>
      <c r="S172" s="288" t="e">
        <f>SUMIF(#REF!,'G-2 Habitat groups'!A172,#REF!)</f>
        <v>#REF!</v>
      </c>
      <c r="T172" s="288" t="e">
        <f>SUMIF(#REF!,'G-2 Habitat groups'!A172,#REF!)</f>
        <v>#REF!</v>
      </c>
      <c r="U172" s="288" t="e">
        <f>SUMIF(#REF!,'G-2 Habitat groups'!A172,#REF!)</f>
        <v>#REF!</v>
      </c>
      <c r="V172" s="288" t="e">
        <f>SUMIF(#REF!,'G-2 Habitat groups'!A172,#REF!)</f>
        <v>#REF!</v>
      </c>
      <c r="W172" s="288" t="e">
        <f>SUMIF(#REF!,'G-2 Habitat groups'!A172,#REF!)</f>
        <v>#REF!</v>
      </c>
      <c r="X172" s="288" t="e">
        <f>SUMIF(#REF!,'G-2 Habitat groups'!A172,#REF!)</f>
        <v>#REF!</v>
      </c>
      <c r="Y172" s="288" t="e">
        <f>SUMIF(#REF!,'G-2 Habitat groups'!A172,#REF!)</f>
        <v>#REF!</v>
      </c>
      <c r="Z172" s="288" t="e">
        <f>SUMIF(#REF!,'G-2 Habitat groups'!A172,#REF!)</f>
        <v>#REF!</v>
      </c>
      <c r="AA172" s="288" t="e">
        <f t="shared" ref="AA172:AB176" si="117">U172+W172+Y172</f>
        <v>#REF!</v>
      </c>
      <c r="AB172" s="288" t="e">
        <f t="shared" si="117"/>
        <v>#REF!</v>
      </c>
      <c r="AC172" s="288" t="e">
        <f t="shared" ref="AC172:AD176" si="118">AA172-S172</f>
        <v>#REF!</v>
      </c>
      <c r="AD172" s="288" t="e">
        <f t="shared" si="118"/>
        <v>#REF!</v>
      </c>
      <c r="AE172" s="288" t="e">
        <f t="shared" ref="AE172:AF176" si="119">Q172+AC172</f>
        <v>#REF!</v>
      </c>
      <c r="AF172" s="288" t="e">
        <f t="shared" si="119"/>
        <v>#REF!</v>
      </c>
    </row>
    <row r="173" spans="1:32" x14ac:dyDescent="0.3">
      <c r="A173" s="63" t="str">
        <f>'G-7 WaterC'' Data'!B5</f>
        <v>Other rivers and streams</v>
      </c>
      <c r="B173" s="52" t="s">
        <v>33</v>
      </c>
      <c r="C173" s="52" t="str">
        <f>'G-7 WaterC'' Data'!C5</f>
        <v>High</v>
      </c>
      <c r="D173" s="52" t="str">
        <f>'G-7 WaterC'' Data'!AU5</f>
        <v>Avoid</v>
      </c>
      <c r="E173" s="288">
        <f>SUMIF('C-1 On-Site WaterC'' Baseline'!$D$10:$D$257,'G-2 Habitat groups'!A173,'C-1 On-Site WaterC'' Baseline'!$E$10:$E$257)</f>
        <v>0</v>
      </c>
      <c r="F173" s="288">
        <f>SUMIF('C-1 On-Site WaterC'' Baseline'!$D$10:$D$257,'G-2 Habitat groups'!A173,'C-1 On-Site WaterC'' Baseline'!$R$10:$R$257)</f>
        <v>0</v>
      </c>
      <c r="G173" s="288">
        <f>SUMIF('C-1 On-Site WaterC'' Baseline'!$D$10:$D$257,'G-2 Habitat groups'!A173,'C-1 On-Site WaterC'' Baseline'!$U$10:$U$257)</f>
        <v>0</v>
      </c>
      <c r="H173" s="288">
        <f>SUMIF('C-1 On-Site WaterC'' Baseline'!$D$10:$D$257,'G-2 Habitat groups'!A173,'C-1 On-Site WaterC'' Baseline'!$W$10:$W$257)</f>
        <v>0</v>
      </c>
      <c r="I173" s="288">
        <f>SUMIF('C-1 On-Site WaterC'' Baseline'!$D$10:$D$257,'G-2 Habitat groups'!A173,'C-1 On-Site WaterC'' Baseline'!$Y$10:$Y$257)</f>
        <v>0</v>
      </c>
      <c r="J173" s="288">
        <f>SUMIF('C-1 On-Site WaterC'' Baseline'!$D$10:$D$257,'G-2 Habitat groups'!A173,'C-1 On-Site WaterC'' Baseline'!$Z$10:$Z$257)</f>
        <v>0</v>
      </c>
      <c r="K173" s="288">
        <f>SUMIF('C-2 On-Site WaterC'' Creation'!$C$10:$C$257,'G-2 Habitat groups'!A173,'C-2 On-Site WaterC'' Creation'!$D$10:$D$257)</f>
        <v>0</v>
      </c>
      <c r="L173" s="288">
        <f>SUMIF('C-2 On-Site WaterC'' Creation'!$C$10:$C$257,'G-2 Habitat groups'!A173,'C-2 On-Site WaterC'' Creation'!$Z$10:$Z$257)</f>
        <v>0</v>
      </c>
      <c r="M173" s="288">
        <f>SUMIF('C-3 On-Site WaterC'' Enhancement'!$N$12:$N$257,'G-2 Habitat groups'!A173,'C-3 On-Site WaterC'' Enhancement'!$Q$12:$Q$257)</f>
        <v>0</v>
      </c>
      <c r="N173" s="288">
        <f>SUMIF('C-3 On-Site WaterC'' Enhancement'!$N$12:$N$257,'G-2 Habitat groups'!A173,'C-3 On-Site WaterC'' Enhancement'!$AM$12:$AM$257)</f>
        <v>0</v>
      </c>
      <c r="O173" s="288">
        <f t="shared" si="115"/>
        <v>0</v>
      </c>
      <c r="P173" s="288">
        <f t="shared" si="115"/>
        <v>0</v>
      </c>
      <c r="Q173" s="288">
        <f t="shared" si="116"/>
        <v>0</v>
      </c>
      <c r="R173" s="288">
        <f t="shared" si="116"/>
        <v>0</v>
      </c>
      <c r="S173" s="288" t="e">
        <f>SUMIF(#REF!,'G-2 Habitat groups'!A173,#REF!)</f>
        <v>#REF!</v>
      </c>
      <c r="T173" s="288" t="e">
        <f>SUMIF(#REF!,'G-2 Habitat groups'!A173,#REF!)</f>
        <v>#REF!</v>
      </c>
      <c r="U173" s="288" t="e">
        <f>SUMIF(#REF!,'G-2 Habitat groups'!A173,#REF!)</f>
        <v>#REF!</v>
      </c>
      <c r="V173" s="288" t="e">
        <f>SUMIF(#REF!,'G-2 Habitat groups'!A173,#REF!)</f>
        <v>#REF!</v>
      </c>
      <c r="W173" s="288" t="e">
        <f>SUMIF(#REF!,'G-2 Habitat groups'!A173,#REF!)</f>
        <v>#REF!</v>
      </c>
      <c r="X173" s="288" t="e">
        <f>SUMIF(#REF!,'G-2 Habitat groups'!A173,#REF!)</f>
        <v>#REF!</v>
      </c>
      <c r="Y173" s="288" t="e">
        <f>SUMIF(#REF!,'G-2 Habitat groups'!A173,#REF!)</f>
        <v>#REF!</v>
      </c>
      <c r="Z173" s="288" t="e">
        <f>SUMIF(#REF!,'G-2 Habitat groups'!A173,#REF!)</f>
        <v>#REF!</v>
      </c>
      <c r="AA173" s="288" t="e">
        <f t="shared" si="117"/>
        <v>#REF!</v>
      </c>
      <c r="AB173" s="288" t="e">
        <f t="shared" si="117"/>
        <v>#REF!</v>
      </c>
      <c r="AC173" s="288" t="e">
        <f t="shared" si="118"/>
        <v>#REF!</v>
      </c>
      <c r="AD173" s="288" t="e">
        <f t="shared" si="118"/>
        <v>#REF!</v>
      </c>
      <c r="AE173" s="288" t="e">
        <f t="shared" si="119"/>
        <v>#REF!</v>
      </c>
      <c r="AF173" s="288" t="e">
        <f t="shared" si="119"/>
        <v>#REF!</v>
      </c>
    </row>
    <row r="174" spans="1:32" x14ac:dyDescent="0.3">
      <c r="A174" s="63" t="str">
        <f>'G-7 WaterC'' Data'!B6</f>
        <v>Ditches</v>
      </c>
      <c r="B174" s="52" t="s">
        <v>33</v>
      </c>
      <c r="C174" s="52" t="str">
        <f>'G-7 WaterC'' Data'!C6</f>
        <v>Medium</v>
      </c>
      <c r="D174" s="52" t="str">
        <f>'G-7 WaterC'' Data'!AU6</f>
        <v>Avoid, Mitigate or Compensate</v>
      </c>
      <c r="E174" s="288">
        <f>SUMIF('C-1 On-Site WaterC'' Baseline'!$D$10:$D$257,'G-2 Habitat groups'!A174,'C-1 On-Site WaterC'' Baseline'!$E$10:$E$257)</f>
        <v>0</v>
      </c>
      <c r="F174" s="288">
        <f>SUMIF('C-1 On-Site WaterC'' Baseline'!$D$10:$D$257,'G-2 Habitat groups'!A174,'C-1 On-Site WaterC'' Baseline'!$R$10:$R$257)</f>
        <v>0</v>
      </c>
      <c r="G174" s="288">
        <f>SUMIF('C-1 On-Site WaterC'' Baseline'!$D$10:$D$257,'G-2 Habitat groups'!A174,'C-1 On-Site WaterC'' Baseline'!$U$10:$U$257)</f>
        <v>0</v>
      </c>
      <c r="H174" s="288">
        <f>SUMIF('C-1 On-Site WaterC'' Baseline'!$D$10:$D$257,'G-2 Habitat groups'!A174,'C-1 On-Site WaterC'' Baseline'!$W$10:$W$257)</f>
        <v>0</v>
      </c>
      <c r="I174" s="288">
        <f>SUMIF('C-1 On-Site WaterC'' Baseline'!$D$10:$D$257,'G-2 Habitat groups'!A174,'C-1 On-Site WaterC'' Baseline'!$Y$10:$Y$257)</f>
        <v>0</v>
      </c>
      <c r="J174" s="288">
        <f>SUMIF('C-1 On-Site WaterC'' Baseline'!$D$10:$D$257,'G-2 Habitat groups'!A174,'C-1 On-Site WaterC'' Baseline'!$Z$10:$Z$257)</f>
        <v>0</v>
      </c>
      <c r="K174" s="288">
        <f>SUMIF('C-2 On-Site WaterC'' Creation'!$C$10:$C$257,'G-2 Habitat groups'!A174,'C-2 On-Site WaterC'' Creation'!$D$10:$D$257)</f>
        <v>0</v>
      </c>
      <c r="L174" s="288">
        <f>SUMIF('C-2 On-Site WaterC'' Creation'!$C$10:$C$257,'G-2 Habitat groups'!A174,'C-2 On-Site WaterC'' Creation'!$Z$10:$Z$257)</f>
        <v>0</v>
      </c>
      <c r="M174" s="288">
        <f>SUMIF('C-3 On-Site WaterC'' Enhancement'!$N$12:$N$257,'G-2 Habitat groups'!A174,'C-3 On-Site WaterC'' Enhancement'!$Q$12:$Q$257)</f>
        <v>0</v>
      </c>
      <c r="N174" s="288">
        <f>SUMIF('C-3 On-Site WaterC'' Enhancement'!$N$12:$N$257,'G-2 Habitat groups'!A174,'C-3 On-Site WaterC'' Enhancement'!$AM$12:$AM$257)</f>
        <v>0</v>
      </c>
      <c r="O174" s="288">
        <f t="shared" si="115"/>
        <v>0</v>
      </c>
      <c r="P174" s="288">
        <f t="shared" si="115"/>
        <v>0</v>
      </c>
      <c r="Q174" s="288">
        <f t="shared" si="116"/>
        <v>0</v>
      </c>
      <c r="R174" s="288">
        <f t="shared" si="116"/>
        <v>0</v>
      </c>
      <c r="S174" s="288" t="e">
        <f>SUMIF(#REF!,'G-2 Habitat groups'!A174,#REF!)</f>
        <v>#REF!</v>
      </c>
      <c r="T174" s="288" t="e">
        <f>SUMIF(#REF!,'G-2 Habitat groups'!A174,#REF!)</f>
        <v>#REF!</v>
      </c>
      <c r="U174" s="288" t="e">
        <f>SUMIF(#REF!,'G-2 Habitat groups'!A174,#REF!)</f>
        <v>#REF!</v>
      </c>
      <c r="V174" s="288" t="e">
        <f>SUMIF(#REF!,'G-2 Habitat groups'!A174,#REF!)</f>
        <v>#REF!</v>
      </c>
      <c r="W174" s="288" t="e">
        <f>SUMIF(#REF!,'G-2 Habitat groups'!A174,#REF!)</f>
        <v>#REF!</v>
      </c>
      <c r="X174" s="288" t="e">
        <f>SUMIF(#REF!,'G-2 Habitat groups'!A174,#REF!)</f>
        <v>#REF!</v>
      </c>
      <c r="Y174" s="288" t="e">
        <f>SUMIF(#REF!,'G-2 Habitat groups'!A174,#REF!)</f>
        <v>#REF!</v>
      </c>
      <c r="Z174" s="288" t="e">
        <f>SUMIF(#REF!,'G-2 Habitat groups'!A174,#REF!)</f>
        <v>#REF!</v>
      </c>
      <c r="AA174" s="288" t="e">
        <f t="shared" si="117"/>
        <v>#REF!</v>
      </c>
      <c r="AB174" s="288" t="e">
        <f t="shared" si="117"/>
        <v>#REF!</v>
      </c>
      <c r="AC174" s="288" t="e">
        <f t="shared" si="118"/>
        <v>#REF!</v>
      </c>
      <c r="AD174" s="288" t="e">
        <f t="shared" si="118"/>
        <v>#REF!</v>
      </c>
      <c r="AE174" s="288" t="e">
        <f t="shared" si="119"/>
        <v>#REF!</v>
      </c>
      <c r="AF174" s="288" t="e">
        <f t="shared" si="119"/>
        <v>#REF!</v>
      </c>
    </row>
    <row r="175" spans="1:32" x14ac:dyDescent="0.3">
      <c r="A175" s="63" t="str">
        <f>'G-7 WaterC'' Data'!B7</f>
        <v>Canals</v>
      </c>
      <c r="B175" s="52" t="s">
        <v>33</v>
      </c>
      <c r="C175" s="52" t="str">
        <f>'G-7 WaterC'' Data'!C7</f>
        <v>Medium</v>
      </c>
      <c r="D175" s="52" t="str">
        <f>'G-7 WaterC'' Data'!AU6</f>
        <v>Avoid, Mitigate or Compensate</v>
      </c>
      <c r="E175" s="288">
        <f>SUMIF('C-1 On-Site WaterC'' Baseline'!$D$10:$D$257,'G-2 Habitat groups'!A175,'C-1 On-Site WaterC'' Baseline'!$E$10:$E$257)</f>
        <v>0</v>
      </c>
      <c r="F175" s="288">
        <f>SUMIF('C-1 On-Site WaterC'' Baseline'!$D$10:$D$257,'G-2 Habitat groups'!A175,'C-1 On-Site WaterC'' Baseline'!$R$10:$R$257)</f>
        <v>0</v>
      </c>
      <c r="G175" s="288">
        <f>SUMIF('C-1 On-Site WaterC'' Baseline'!$D$10:$D$257,'G-2 Habitat groups'!A175,'C-1 On-Site WaterC'' Baseline'!$U$10:$U$257)</f>
        <v>0</v>
      </c>
      <c r="H175" s="288">
        <f>SUMIF('C-1 On-Site WaterC'' Baseline'!$D$10:$D$257,'G-2 Habitat groups'!A175,'C-1 On-Site WaterC'' Baseline'!$W$10:$W$257)</f>
        <v>0</v>
      </c>
      <c r="I175" s="288">
        <f>SUMIF('C-1 On-Site WaterC'' Baseline'!$D$10:$D$257,'G-2 Habitat groups'!A175,'C-1 On-Site WaterC'' Baseline'!$Y$10:$Y$257)</f>
        <v>0</v>
      </c>
      <c r="J175" s="288">
        <f>SUMIF('C-1 On-Site WaterC'' Baseline'!$D$10:$D$257,'G-2 Habitat groups'!A175,'C-1 On-Site WaterC'' Baseline'!$Z$10:$Z$257)</f>
        <v>0</v>
      </c>
      <c r="K175" s="288">
        <f>SUMIF('C-2 On-Site WaterC'' Creation'!$C$10:$C$257,'G-2 Habitat groups'!A175,'C-2 On-Site WaterC'' Creation'!$D$10:$D$257)</f>
        <v>0</v>
      </c>
      <c r="L175" s="288">
        <f>SUMIF('C-2 On-Site WaterC'' Creation'!$C$10:$C$257,'G-2 Habitat groups'!A175,'C-2 On-Site WaterC'' Creation'!$Z$10:$Z$257)</f>
        <v>0</v>
      </c>
      <c r="M175" s="288">
        <f>SUMIF('C-3 On-Site WaterC'' Enhancement'!$N$12:$N$257,'G-2 Habitat groups'!A175,'C-3 On-Site WaterC'' Enhancement'!$Q$12:$Q$257)</f>
        <v>0</v>
      </c>
      <c r="N175" s="288">
        <f>SUMIF('C-3 On-Site WaterC'' Enhancement'!$N$12:$N$257,'G-2 Habitat groups'!A175,'C-3 On-Site WaterC'' Enhancement'!$AM$12:$AM$257)</f>
        <v>0</v>
      </c>
      <c r="O175" s="288">
        <f t="shared" si="115"/>
        <v>0</v>
      </c>
      <c r="P175" s="288">
        <f t="shared" si="115"/>
        <v>0</v>
      </c>
      <c r="Q175" s="288">
        <f t="shared" si="116"/>
        <v>0</v>
      </c>
      <c r="R175" s="288">
        <f t="shared" si="116"/>
        <v>0</v>
      </c>
      <c r="S175" s="288" t="e">
        <f>SUMIF(#REF!,'G-2 Habitat groups'!A175,#REF!)</f>
        <v>#REF!</v>
      </c>
      <c r="T175" s="288" t="e">
        <f>SUMIF(#REF!,'G-2 Habitat groups'!A175,#REF!)</f>
        <v>#REF!</v>
      </c>
      <c r="U175" s="288" t="e">
        <f>SUMIF(#REF!,'G-2 Habitat groups'!A175,#REF!)</f>
        <v>#REF!</v>
      </c>
      <c r="V175" s="288" t="e">
        <f>SUMIF(#REF!,'G-2 Habitat groups'!A175,#REF!)</f>
        <v>#REF!</v>
      </c>
      <c r="W175" s="288" t="e">
        <f>SUMIF(#REF!,'G-2 Habitat groups'!A175,#REF!)</f>
        <v>#REF!</v>
      </c>
      <c r="X175" s="288" t="e">
        <f>SUMIF(#REF!,'G-2 Habitat groups'!A175,#REF!)</f>
        <v>#REF!</v>
      </c>
      <c r="Y175" s="288" t="e">
        <f>SUMIF(#REF!,'G-2 Habitat groups'!A175,#REF!)</f>
        <v>#REF!</v>
      </c>
      <c r="Z175" s="288" t="e">
        <f>SUMIF(#REF!,'G-2 Habitat groups'!A175,#REF!)</f>
        <v>#REF!</v>
      </c>
      <c r="AA175" s="288" t="e">
        <f t="shared" si="117"/>
        <v>#REF!</v>
      </c>
      <c r="AB175" s="288" t="e">
        <f t="shared" si="117"/>
        <v>#REF!</v>
      </c>
      <c r="AC175" s="288" t="e">
        <f t="shared" si="118"/>
        <v>#REF!</v>
      </c>
      <c r="AD175" s="288" t="e">
        <f t="shared" si="118"/>
        <v>#REF!</v>
      </c>
      <c r="AE175" s="288" t="e">
        <f t="shared" si="119"/>
        <v>#REF!</v>
      </c>
      <c r="AF175" s="288" t="e">
        <f t="shared" si="119"/>
        <v>#REF!</v>
      </c>
    </row>
    <row r="176" spans="1:32" x14ac:dyDescent="0.3">
      <c r="A176" s="63" t="str">
        <f>'G-7 WaterC'' Data'!B8</f>
        <v>Culvert</v>
      </c>
      <c r="B176" s="52" t="s">
        <v>33</v>
      </c>
      <c r="C176" s="52" t="str">
        <f>'G-7 WaterC'' Data'!C8</f>
        <v>Low</v>
      </c>
      <c r="D176" s="52" t="str">
        <f>'G-7 WaterC'' Data'!AU7</f>
        <v>Mitigate or Compensate</v>
      </c>
      <c r="E176" s="288">
        <f>SUMIF('C-1 On-Site WaterC'' Baseline'!$D$10:$D$257,'G-2 Habitat groups'!A176,'C-1 On-Site WaterC'' Baseline'!$E$10:$E$257)</f>
        <v>0</v>
      </c>
      <c r="F176" s="288">
        <f>SUMIF('C-1 On-Site WaterC'' Baseline'!$D$10:$D$257,'G-2 Habitat groups'!A176,'C-1 On-Site WaterC'' Baseline'!$R$10:$R$257)</f>
        <v>0</v>
      </c>
      <c r="G176" s="288">
        <f>SUMIF('C-1 On-Site WaterC'' Baseline'!$D$10:$D$257,'G-2 Habitat groups'!A176,'C-1 On-Site WaterC'' Baseline'!$U$10:$U$257)</f>
        <v>0</v>
      </c>
      <c r="H176" s="288">
        <f>SUMIF('C-1 On-Site WaterC'' Baseline'!$D$10:$D$257,'G-2 Habitat groups'!A176,'C-1 On-Site WaterC'' Baseline'!$W$10:$W$257)</f>
        <v>0</v>
      </c>
      <c r="I176" s="288">
        <f>SUMIF('C-1 On-Site WaterC'' Baseline'!$D$10:$D$257,'G-2 Habitat groups'!A176,'C-1 On-Site WaterC'' Baseline'!$Y$10:$Y$257)</f>
        <v>0</v>
      </c>
      <c r="J176" s="288">
        <f>SUMIF('C-1 On-Site WaterC'' Baseline'!$D$10:$D$257,'G-2 Habitat groups'!A176,'C-1 On-Site WaterC'' Baseline'!$Z$10:$Z$257)</f>
        <v>0</v>
      </c>
      <c r="K176" s="288">
        <f>SUMIF('C-2 On-Site WaterC'' Creation'!$C$10:$C$257,'G-2 Habitat groups'!A176,'C-2 On-Site WaterC'' Creation'!$D$10:$D$257)</f>
        <v>0</v>
      </c>
      <c r="L176" s="288">
        <f>SUMIF('C-2 On-Site WaterC'' Creation'!$C$10:$C$257,'G-2 Habitat groups'!A176,'C-2 On-Site WaterC'' Creation'!$Z$10:$Z$257)</f>
        <v>0</v>
      </c>
      <c r="M176" s="288">
        <f>SUMIF('C-3 On-Site WaterC'' Enhancement'!$N$12:$N$257,'G-2 Habitat groups'!A176,'C-3 On-Site WaterC'' Enhancement'!$Q$12:$Q$257)</f>
        <v>0</v>
      </c>
      <c r="N176" s="288">
        <f>SUMIF('C-3 On-Site WaterC'' Enhancement'!$N$12:$N$257,'G-2 Habitat groups'!A176,'C-3 On-Site WaterC'' Enhancement'!$AM$12:$AM$257)</f>
        <v>0</v>
      </c>
      <c r="O176" s="359">
        <f t="shared" si="115"/>
        <v>0</v>
      </c>
      <c r="P176" s="359">
        <f t="shared" si="115"/>
        <v>0</v>
      </c>
      <c r="Q176" s="359">
        <f t="shared" si="116"/>
        <v>0</v>
      </c>
      <c r="R176" s="359">
        <f t="shared" si="116"/>
        <v>0</v>
      </c>
      <c r="S176" s="288" t="e">
        <f>SUMIF(#REF!,'G-2 Habitat groups'!A176,#REF!)</f>
        <v>#REF!</v>
      </c>
      <c r="T176" s="288" t="e">
        <f>SUMIF(#REF!,'G-2 Habitat groups'!A176,#REF!)</f>
        <v>#REF!</v>
      </c>
      <c r="U176" s="288" t="e">
        <f>SUMIF(#REF!,'G-2 Habitat groups'!A176,#REF!)</f>
        <v>#REF!</v>
      </c>
      <c r="V176" s="288" t="e">
        <f>SUMIF(#REF!,'G-2 Habitat groups'!A176,#REF!)</f>
        <v>#REF!</v>
      </c>
      <c r="W176" s="288" t="e">
        <f>SUMIF(#REF!,'G-2 Habitat groups'!A176,#REF!)</f>
        <v>#REF!</v>
      </c>
      <c r="X176" s="288" t="e">
        <f>SUMIF(#REF!,'G-2 Habitat groups'!A176,#REF!)</f>
        <v>#REF!</v>
      </c>
      <c r="Y176" s="288" t="e">
        <f>SUMIF(#REF!,'G-2 Habitat groups'!A176,#REF!)</f>
        <v>#REF!</v>
      </c>
      <c r="Z176" s="288" t="e">
        <f>SUMIF(#REF!,'G-2 Habitat groups'!A176,#REF!)</f>
        <v>#REF!</v>
      </c>
      <c r="AA176" s="359" t="e">
        <f t="shared" si="117"/>
        <v>#REF!</v>
      </c>
      <c r="AB176" s="359" t="e">
        <f t="shared" si="117"/>
        <v>#REF!</v>
      </c>
      <c r="AC176" s="359" t="e">
        <f t="shared" si="118"/>
        <v>#REF!</v>
      </c>
      <c r="AD176" s="359" t="e">
        <f t="shared" si="118"/>
        <v>#REF!</v>
      </c>
      <c r="AE176" s="359" t="e">
        <f t="shared" si="119"/>
        <v>#REF!</v>
      </c>
      <c r="AF176" s="359" t="e">
        <f t="shared" si="119"/>
        <v>#REF!</v>
      </c>
    </row>
  </sheetData>
  <sheetProtection algorithmName="SHA-512" hashValue="L7G2y8T5xW8YGE6YIuamo2/ec3LIsLDJgHpY4XFjcLfYGd7XjjT9gTYfNtoX1BnHBg5POKyxORL+T+PA/kCtSQ==" saltValue="/v7fcMrbcmPKA35VFq0k/w==" spinCount="100000" sheet="1" objects="1" scenarios="1"/>
  <customSheetViews>
    <customSheetView guid="{8BDA793C-C9C5-4FC6-A0A5-F1109F6D4F22}" state="hidden" topLeftCell="AS84">
      <selection activeCell="D14" sqref="D14"/>
    </customSheetView>
  </customSheetViews>
  <mergeCells count="4">
    <mergeCell ref="AU27:AU28"/>
    <mergeCell ref="AJ1:AP1"/>
    <mergeCell ref="AU1:BG1"/>
    <mergeCell ref="A1:AF1"/>
  </mergeCells>
  <conditionalFormatting sqref="R4:R140 AD4:AF140">
    <cfRule type="cellIs" dxfId="6" priority="16" operator="lessThan">
      <formula>0</formula>
    </cfRule>
  </conditionalFormatting>
  <conditionalFormatting sqref="R150:R162">
    <cfRule type="cellIs" dxfId="5" priority="6" operator="lessThan">
      <formula>0</formula>
    </cfRule>
  </conditionalFormatting>
  <conditionalFormatting sqref="AD150:AD162">
    <cfRule type="cellIs" dxfId="4" priority="5" operator="lessThan">
      <formula>0</formula>
    </cfRule>
  </conditionalFormatting>
  <conditionalFormatting sqref="AE150:AF162">
    <cfRule type="cellIs" dxfId="3" priority="4" operator="lessThan">
      <formula>0</formula>
    </cfRule>
  </conditionalFormatting>
  <conditionalFormatting sqref="AE172:AF176">
    <cfRule type="cellIs" dxfId="2" priority="1" operator="lessThan">
      <formula>0</formula>
    </cfRule>
  </conditionalFormatting>
  <conditionalFormatting sqref="R172:R176">
    <cfRule type="cellIs" dxfId="1" priority="3" operator="lessThan">
      <formula>0</formula>
    </cfRule>
  </conditionalFormatting>
  <conditionalFormatting sqref="AD172:AD176">
    <cfRule type="cellIs" dxfId="0" priority="2" operator="lessThan">
      <formula>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tabColor rgb="FFFFC000"/>
  </sheetPr>
  <dimension ref="A1:AH146"/>
  <sheetViews>
    <sheetView topLeftCell="A99" zoomScaleNormal="80" workbookViewId="0">
      <selection activeCell="E131" sqref="E131"/>
    </sheetView>
  </sheetViews>
  <sheetFormatPr defaultColWidth="0" defaultRowHeight="14" zeroHeight="1" x14ac:dyDescent="0.3"/>
  <cols>
    <col min="1" max="1" width="76.453125" style="15" customWidth="1"/>
    <col min="2" max="2" width="28.81640625" style="15" bestFit="1" customWidth="1"/>
    <col min="3" max="3" width="18.54296875" style="15" bestFit="1" customWidth="1"/>
    <col min="4" max="4" width="30.54296875" style="15" bestFit="1" customWidth="1"/>
    <col min="5" max="5" width="18.54296875" style="15" bestFit="1" customWidth="1"/>
    <col min="6" max="7" width="9.1796875" style="15" customWidth="1"/>
    <col min="8" max="8" width="16.26953125" style="15" hidden="1" customWidth="1"/>
    <col min="9" max="9" width="32.81640625" style="15" hidden="1" customWidth="1"/>
    <col min="10" max="10" width="8.1796875" style="15" hidden="1" customWidth="1"/>
    <col min="11" max="11" width="9.1796875" style="15" customWidth="1"/>
    <col min="12" max="12" width="38.54296875" style="15" customWidth="1"/>
    <col min="13" max="13" width="26.26953125" style="15" customWidth="1"/>
    <col min="14" max="14" width="12" style="15" bestFit="1" customWidth="1"/>
    <col min="15" max="15" width="9.1796875" style="15" customWidth="1"/>
    <col min="16" max="16" width="11.7265625" style="15" bestFit="1" customWidth="1"/>
    <col min="17" max="17" width="9.1796875" style="15" customWidth="1"/>
    <col min="18" max="18" width="18.81640625" style="15" customWidth="1"/>
    <col min="19" max="19" width="40" style="15" customWidth="1"/>
    <col min="20" max="20" width="19.453125" style="15" customWidth="1"/>
    <col min="21" max="21" width="9.1796875" style="15" customWidth="1"/>
    <col min="22" max="22" width="11.26953125" style="15" customWidth="1"/>
    <col min="23" max="23" width="12" style="15" bestFit="1" customWidth="1"/>
    <col min="24" max="24" width="14.26953125" style="15" hidden="1" customWidth="1"/>
    <col min="25" max="25" width="17.7265625" style="15" bestFit="1" customWidth="1"/>
    <col min="26" max="26" width="10.1796875" style="15" bestFit="1" customWidth="1"/>
    <col min="27" max="28" width="9.1796875" style="15" customWidth="1"/>
    <col min="29" max="34" width="0" style="15" hidden="1" customWidth="1"/>
    <col min="35" max="16384" width="9.1796875" style="15" hidden="1"/>
  </cols>
  <sheetData>
    <row r="1" spans="1:26" ht="36.65" customHeight="1" thickBot="1" x14ac:dyDescent="0.45">
      <c r="A1" s="1304" t="s">
        <v>834</v>
      </c>
      <c r="B1" s="1305"/>
      <c r="C1" s="1305"/>
      <c r="D1" s="1305"/>
      <c r="E1" s="1306"/>
      <c r="J1" s="190"/>
      <c r="L1" s="1304" t="s">
        <v>835</v>
      </c>
      <c r="M1" s="1305"/>
      <c r="N1" s="1306"/>
      <c r="P1" s="1304" t="s">
        <v>225</v>
      </c>
      <c r="Q1" s="1306"/>
    </row>
    <row r="2" spans="1:26" ht="42" customHeight="1" thickBot="1" x14ac:dyDescent="0.35">
      <c r="A2" s="191" t="s">
        <v>754</v>
      </c>
      <c r="B2" s="140" t="s">
        <v>281</v>
      </c>
      <c r="C2" s="140" t="s">
        <v>251</v>
      </c>
      <c r="D2" s="140" t="s">
        <v>282</v>
      </c>
      <c r="E2" s="191" t="s">
        <v>251</v>
      </c>
      <c r="H2" s="1310" t="s">
        <v>836</v>
      </c>
      <c r="I2" s="1311"/>
      <c r="J2" s="1312"/>
      <c r="L2" s="1307" t="s">
        <v>837</v>
      </c>
      <c r="M2" s="1308"/>
      <c r="N2" s="1309"/>
      <c r="P2" s="191" t="s">
        <v>45</v>
      </c>
      <c r="Q2" s="191" t="s">
        <v>838</v>
      </c>
      <c r="S2" s="951" t="s">
        <v>839</v>
      </c>
      <c r="T2" s="953"/>
      <c r="W2" s="1304" t="s">
        <v>60</v>
      </c>
      <c r="X2" s="1305"/>
      <c r="Y2" s="1305"/>
      <c r="Z2" s="1306"/>
    </row>
    <row r="3" spans="1:26" x14ac:dyDescent="0.3">
      <c r="A3" s="69" t="str">
        <f>'G-1 All Habitats'!B104</f>
        <v>Coastal lagoons - Coastal lagoons</v>
      </c>
      <c r="B3" s="331" t="str">
        <f>'G-1 All Habitats'!N104</f>
        <v>Medium</v>
      </c>
      <c r="C3" s="331">
        <f>'G-1 All Habitats'!O104</f>
        <v>0.67</v>
      </c>
      <c r="D3" s="331" t="str">
        <f>'G-1 All Habitats'!P104</f>
        <v>Medium</v>
      </c>
      <c r="E3" s="331">
        <f>'G-1 All Habitats'!Q104</f>
        <v>0.67</v>
      </c>
      <c r="H3" s="62" t="s">
        <v>154</v>
      </c>
      <c r="I3" s="184" t="s">
        <v>840</v>
      </c>
      <c r="J3" s="184" t="s">
        <v>841</v>
      </c>
      <c r="L3" s="184" t="s">
        <v>840</v>
      </c>
      <c r="M3" s="62" t="s">
        <v>139</v>
      </c>
      <c r="N3" s="184" t="s">
        <v>251</v>
      </c>
      <c r="P3" s="84" t="s">
        <v>92</v>
      </c>
      <c r="Q3" s="331">
        <v>1</v>
      </c>
      <c r="S3" s="184" t="s">
        <v>45</v>
      </c>
      <c r="T3" s="184" t="s">
        <v>251</v>
      </c>
      <c r="W3" s="191" t="s">
        <v>34</v>
      </c>
      <c r="X3" s="191" t="s">
        <v>842</v>
      </c>
      <c r="Y3" s="191" t="s">
        <v>843</v>
      </c>
      <c r="Z3" s="191" t="s">
        <v>844</v>
      </c>
    </row>
    <row r="4" spans="1:26" ht="28" x14ac:dyDescent="0.3">
      <c r="A4" s="69" t="str">
        <f>'G-1 All Habitats'!B113</f>
        <v>Coastal saltmarsh - Saltmarshes and saline reedbeds</v>
      </c>
      <c r="B4" s="331" t="str">
        <f>'G-1 All Habitats'!N113</f>
        <v>High</v>
      </c>
      <c r="C4" s="331">
        <f>'G-1 All Habitats'!O113</f>
        <v>0.33</v>
      </c>
      <c r="D4" s="331" t="str">
        <f>'G-1 All Habitats'!P113</f>
        <v>Medium</v>
      </c>
      <c r="E4" s="331">
        <f>'G-1 All Habitats'!Q113</f>
        <v>0.67</v>
      </c>
      <c r="H4" s="84" t="s">
        <v>90</v>
      </c>
      <c r="I4" s="97" t="s">
        <v>845</v>
      </c>
      <c r="J4" s="134">
        <v>1.1499999999999999</v>
      </c>
      <c r="L4" s="84" t="s">
        <v>846</v>
      </c>
      <c r="M4" s="310" t="s">
        <v>847</v>
      </c>
      <c r="N4" s="331">
        <v>1.1499999999999999</v>
      </c>
      <c r="P4" s="84" t="s">
        <v>38</v>
      </c>
      <c r="Q4" s="331">
        <v>0.67</v>
      </c>
      <c r="S4" s="84" t="s">
        <v>848</v>
      </c>
      <c r="T4" s="310">
        <v>1</v>
      </c>
      <c r="W4" s="63" t="s">
        <v>37</v>
      </c>
      <c r="X4" s="331">
        <v>0.3</v>
      </c>
      <c r="Y4" s="331">
        <f>X4*12</f>
        <v>3.5999999999999996</v>
      </c>
      <c r="Z4" s="399">
        <f>3.14159265358979*(Y4*Y4)/10000</f>
        <v>4.0715040790523672E-3</v>
      </c>
    </row>
    <row r="5" spans="1:26" ht="42" x14ac:dyDescent="0.3">
      <c r="A5" s="69" t="str">
        <f>'G-1 All Habitats'!B3</f>
        <v>Cropland - Arable field margins cultivated annually</v>
      </c>
      <c r="B5" s="331" t="str">
        <f>'G-1 All Habitats'!N3</f>
        <v>Low</v>
      </c>
      <c r="C5" s="331">
        <f>'G-1 All Habitats'!O3</f>
        <v>1</v>
      </c>
      <c r="D5" s="331" t="str">
        <f>'G-1 All Habitats'!P3</f>
        <v>Low</v>
      </c>
      <c r="E5" s="331">
        <f>'G-1 All Habitats'!Q3</f>
        <v>1</v>
      </c>
      <c r="H5" s="84" t="s">
        <v>38</v>
      </c>
      <c r="I5" s="97" t="s">
        <v>849</v>
      </c>
      <c r="J5" s="134">
        <v>1.1000000000000001</v>
      </c>
      <c r="L5" s="84" t="s">
        <v>850</v>
      </c>
      <c r="M5" s="310" t="s">
        <v>851</v>
      </c>
      <c r="N5" s="331">
        <v>1.1000000000000001</v>
      </c>
      <c r="P5" s="84" t="s">
        <v>90</v>
      </c>
      <c r="Q5" s="331">
        <v>0.33</v>
      </c>
      <c r="S5" s="84" t="s">
        <v>852</v>
      </c>
      <c r="T5" s="310">
        <v>0.75</v>
      </c>
      <c r="W5" s="63" t="s">
        <v>38</v>
      </c>
      <c r="X5" s="331">
        <v>0.6</v>
      </c>
      <c r="Y5" s="331">
        <f>X5*12</f>
        <v>7.1999999999999993</v>
      </c>
      <c r="Z5" s="399">
        <f>3.14159265358979*(Y5*Y5)/10000</f>
        <v>1.6286016316209469E-2</v>
      </c>
    </row>
    <row r="6" spans="1:26" ht="28" x14ac:dyDescent="0.3">
      <c r="A6" s="69" t="str">
        <f>'G-1 All Habitats'!B4</f>
        <v>Cropland - Arable field margins game bird mix</v>
      </c>
      <c r="B6" s="331" t="str">
        <f>'G-1 All Habitats'!N4</f>
        <v>Low</v>
      </c>
      <c r="C6" s="331">
        <f>'G-1 All Habitats'!O4</f>
        <v>1</v>
      </c>
      <c r="D6" s="331" t="str">
        <f>'G-1 All Habitats'!P4</f>
        <v>Low</v>
      </c>
      <c r="E6" s="331">
        <f>'G-1 All Habitats'!Q4</f>
        <v>1</v>
      </c>
      <c r="H6" s="192" t="s">
        <v>92</v>
      </c>
      <c r="I6" s="97" t="s">
        <v>853</v>
      </c>
      <c r="J6" s="134">
        <v>1</v>
      </c>
      <c r="L6" s="84" t="s">
        <v>854</v>
      </c>
      <c r="M6" s="310" t="s">
        <v>855</v>
      </c>
      <c r="N6" s="331">
        <v>1</v>
      </c>
      <c r="P6" s="84" t="s">
        <v>88</v>
      </c>
      <c r="Q6" s="331">
        <v>0.1</v>
      </c>
      <c r="S6" s="221" t="s">
        <v>856</v>
      </c>
      <c r="T6" s="310">
        <v>0.5</v>
      </c>
      <c r="W6" s="63" t="s">
        <v>39</v>
      </c>
      <c r="X6" s="331">
        <v>0.9</v>
      </c>
      <c r="Y6" s="331">
        <f>X6*12</f>
        <v>10.8</v>
      </c>
      <c r="Z6" s="399">
        <f>3.14159265358979*(Y6*Y6)/10000</f>
        <v>3.664353671147131E-2</v>
      </c>
    </row>
    <row r="7" spans="1:26" ht="49.9" customHeight="1" x14ac:dyDescent="0.3">
      <c r="A7" s="69" t="str">
        <f>'G-1 All Habitats'!B5</f>
        <v>Cropland - Arable field margins pollen and nectar</v>
      </c>
      <c r="B7" s="331" t="str">
        <f>'G-1 All Habitats'!N5</f>
        <v>Low</v>
      </c>
      <c r="C7" s="331">
        <f>'G-1 All Habitats'!O5</f>
        <v>1</v>
      </c>
      <c r="D7" s="331" t="str">
        <f>'G-1 All Habitats'!P5</f>
        <v>Low</v>
      </c>
      <c r="E7" s="331">
        <f>'G-1 All Habitats'!Q5</f>
        <v>1</v>
      </c>
      <c r="H7" s="192" t="s">
        <v>857</v>
      </c>
      <c r="I7" s="97" t="s">
        <v>858</v>
      </c>
      <c r="J7" s="134">
        <v>1</v>
      </c>
      <c r="S7" s="221" t="s">
        <v>859</v>
      </c>
      <c r="T7" s="331">
        <v>1</v>
      </c>
      <c r="W7" s="228" t="s">
        <v>1517</v>
      </c>
      <c r="X7" s="331">
        <v>1.3</v>
      </c>
      <c r="Y7" s="331">
        <f>X7*12</f>
        <v>15.600000000000001</v>
      </c>
      <c r="Z7" s="399">
        <f>3.14159265358979*(Y7*Y7)/10000</f>
        <v>7.645379881776114E-2</v>
      </c>
    </row>
    <row r="8" spans="1:26" ht="49.9" customHeight="1" x14ac:dyDescent="0.3">
      <c r="A8" s="69" t="str">
        <f>'G-1 All Habitats'!B6</f>
        <v>Cropland - Arable field margins tussocky</v>
      </c>
      <c r="B8" s="331" t="str">
        <f>'G-1 All Habitats'!N6</f>
        <v>Low</v>
      </c>
      <c r="C8" s="331">
        <f>'G-1 All Habitats'!O6</f>
        <v>1</v>
      </c>
      <c r="D8" s="331" t="str">
        <f>'G-1 All Habitats'!P6</f>
        <v>Low</v>
      </c>
      <c r="E8" s="331">
        <f>'G-1 All Habitats'!Q6</f>
        <v>1</v>
      </c>
      <c r="S8" s="221" t="s">
        <v>860</v>
      </c>
      <c r="T8" s="310">
        <v>1</v>
      </c>
    </row>
    <row r="9" spans="1:26" ht="49.9" customHeight="1" x14ac:dyDescent="0.3">
      <c r="A9" s="69" t="str">
        <f>'G-1 All Habitats'!B7</f>
        <v>Cropland - Cereal crops</v>
      </c>
      <c r="B9" s="331" t="str">
        <f>'G-1 All Habitats'!N7</f>
        <v>Low</v>
      </c>
      <c r="C9" s="331">
        <f>'G-1 All Habitats'!O7</f>
        <v>1</v>
      </c>
      <c r="D9" s="331" t="str">
        <f>'G-1 All Habitats'!P7</f>
        <v>Low</v>
      </c>
      <c r="E9" s="331">
        <f>'G-1 All Habitats'!Q7</f>
        <v>1</v>
      </c>
      <c r="S9" s="221" t="s">
        <v>861</v>
      </c>
      <c r="T9" s="310">
        <v>0.75</v>
      </c>
    </row>
    <row r="10" spans="1:26" ht="42" x14ac:dyDescent="0.3">
      <c r="A10" s="69" t="str">
        <f>'G-1 All Habitats'!B8</f>
        <v>Cropland - Winter stubble</v>
      </c>
      <c r="B10" s="331" t="str">
        <f>'G-1 All Habitats'!N8</f>
        <v>Low</v>
      </c>
      <c r="C10" s="331">
        <f>'G-1 All Habitats'!O8</f>
        <v>1</v>
      </c>
      <c r="D10" s="331" t="str">
        <f>'G-1 All Habitats'!P8</f>
        <v>Low</v>
      </c>
      <c r="E10" s="331">
        <f>'G-1 All Habitats'!Q8</f>
        <v>1</v>
      </c>
      <c r="S10" s="221" t="s">
        <v>862</v>
      </c>
      <c r="T10" s="310">
        <v>0.5</v>
      </c>
    </row>
    <row r="11" spans="1:26" x14ac:dyDescent="0.3">
      <c r="A11" s="69" t="str">
        <f>'G-1 All Habitats'!B9</f>
        <v>Cropland - Horticulture</v>
      </c>
      <c r="B11" s="331" t="str">
        <f>'G-1 All Habitats'!N9</f>
        <v>Low</v>
      </c>
      <c r="C11" s="331">
        <f>'G-1 All Habitats'!O9</f>
        <v>1</v>
      </c>
      <c r="D11" s="331" t="str">
        <f>'G-1 All Habitats'!P9</f>
        <v>Low</v>
      </c>
      <c r="E11" s="331">
        <f>'G-1 All Habitats'!Q9</f>
        <v>1</v>
      </c>
    </row>
    <row r="12" spans="1:26" x14ac:dyDescent="0.3">
      <c r="A12" s="69" t="str">
        <f>'G-1 All Habitats'!B10</f>
        <v>Cropland - Intensive orchards</v>
      </c>
      <c r="B12" s="331" t="str">
        <f>'G-1 All Habitats'!N10</f>
        <v>Low</v>
      </c>
      <c r="C12" s="331">
        <f>'G-1 All Habitats'!O10</f>
        <v>1</v>
      </c>
      <c r="D12" s="331" t="str">
        <f>'G-1 All Habitats'!P10</f>
        <v>Low</v>
      </c>
      <c r="E12" s="331">
        <f>'G-1 All Habitats'!Q10</f>
        <v>1</v>
      </c>
    </row>
    <row r="13" spans="1:26" x14ac:dyDescent="0.3">
      <c r="A13" s="69" t="str">
        <f>'G-1 All Habitats'!B11</f>
        <v>Cropland - Non-cereal crops</v>
      </c>
      <c r="B13" s="331" t="str">
        <f>'G-1 All Habitats'!N11</f>
        <v>Low</v>
      </c>
      <c r="C13" s="331">
        <f>'G-1 All Habitats'!O11</f>
        <v>1</v>
      </c>
      <c r="D13" s="331" t="str">
        <f>'G-1 All Habitats'!P11</f>
        <v>Low</v>
      </c>
      <c r="E13" s="331">
        <f>'G-1 All Habitats'!Q11</f>
        <v>1</v>
      </c>
    </row>
    <row r="14" spans="1:26" x14ac:dyDescent="0.3">
      <c r="A14" s="69" t="str">
        <f>'G-1 All Habitats'!B12</f>
        <v>Cropland - Temporary grass and clover leys</v>
      </c>
      <c r="B14" s="331" t="str">
        <f>'G-1 All Habitats'!N12</f>
        <v>Low</v>
      </c>
      <c r="C14" s="331">
        <f>'G-1 All Habitats'!O12</f>
        <v>1</v>
      </c>
      <c r="D14" s="331" t="str">
        <f>'G-1 All Habitats'!P12</f>
        <v>Low</v>
      </c>
      <c r="E14" s="331">
        <f>'G-1 All Habitats'!Q12</f>
        <v>1</v>
      </c>
    </row>
    <row r="15" spans="1:26" x14ac:dyDescent="0.3">
      <c r="A15" s="69" t="str">
        <f>'G-1 All Habitats'!B13</f>
        <v>Grassland - Traditional orchards</v>
      </c>
      <c r="B15" s="331" t="str">
        <f>'G-1 All Habitats'!N13</f>
        <v>Low</v>
      </c>
      <c r="C15" s="331">
        <f>'G-1 All Habitats'!O13</f>
        <v>1</v>
      </c>
      <c r="D15" s="331" t="str">
        <f>'G-1 All Habitats'!P13</f>
        <v>Medium</v>
      </c>
      <c r="E15" s="331">
        <f>'G-1 All Habitats'!Q13</f>
        <v>0.67</v>
      </c>
    </row>
    <row r="16" spans="1:26" x14ac:dyDescent="0.3">
      <c r="A16" s="69" t="str">
        <f>'G-1 All Habitats'!B14</f>
        <v>Grassland - Bracken</v>
      </c>
      <c r="B16" s="331" t="str">
        <f>'G-1 All Habitats'!N14</f>
        <v>Low</v>
      </c>
      <c r="C16" s="331">
        <f>'G-1 All Habitats'!O14</f>
        <v>1</v>
      </c>
      <c r="D16" s="331" t="str">
        <f>'G-1 All Habitats'!P14</f>
        <v>Low</v>
      </c>
      <c r="E16" s="331">
        <f>'G-1 All Habitats'!Q14</f>
        <v>1</v>
      </c>
    </row>
    <row r="17" spans="1:5" x14ac:dyDescent="0.3">
      <c r="A17" s="69" t="str">
        <f>'G-1 All Habitats'!B15</f>
        <v>Grassland - Floodplain wetland mosaic and CFGM</v>
      </c>
      <c r="B17" s="331" t="str">
        <f>'G-1 All Habitats'!N15</f>
        <v>High</v>
      </c>
      <c r="C17" s="331">
        <f>'G-1 All Habitats'!O15</f>
        <v>0.33</v>
      </c>
      <c r="D17" s="331" t="str">
        <f>'G-1 All Habitats'!P15</f>
        <v>Medium</v>
      </c>
      <c r="E17" s="331">
        <f>'G-1 All Habitats'!Q15</f>
        <v>0.67</v>
      </c>
    </row>
    <row r="18" spans="1:5" x14ac:dyDescent="0.3">
      <c r="A18" s="69" t="str">
        <f>'G-1 All Habitats'!B16</f>
        <v>Grassland - Lowland calcareous grassland</v>
      </c>
      <c r="B18" s="331" t="str">
        <f>'G-1 All Habitats'!N16</f>
        <v>High</v>
      </c>
      <c r="C18" s="331">
        <f>'G-1 All Habitats'!O16</f>
        <v>0.33</v>
      </c>
      <c r="D18" s="331" t="str">
        <f>'G-1 All Habitats'!P16</f>
        <v>High</v>
      </c>
      <c r="E18" s="331">
        <f>'G-1 All Habitats'!Q16</f>
        <v>0.33</v>
      </c>
    </row>
    <row r="19" spans="1:5" x14ac:dyDescent="0.3">
      <c r="A19" s="69" t="str">
        <f>'G-1 All Habitats'!B17</f>
        <v>Grassland - Lowland dry acid grassland</v>
      </c>
      <c r="B19" s="331" t="str">
        <f>'G-1 All Habitats'!N17</f>
        <v>High</v>
      </c>
      <c r="C19" s="331">
        <f>'G-1 All Habitats'!O17</f>
        <v>0.33</v>
      </c>
      <c r="D19" s="331" t="str">
        <f>'G-1 All Habitats'!P17</f>
        <v>High</v>
      </c>
      <c r="E19" s="331">
        <f>'G-1 All Habitats'!Q17</f>
        <v>0.33</v>
      </c>
    </row>
    <row r="20" spans="1:5" x14ac:dyDescent="0.3">
      <c r="A20" s="69" t="str">
        <f>'G-1 All Habitats'!B18</f>
        <v>Grassland - Lowland meadows</v>
      </c>
      <c r="B20" s="331" t="str">
        <f>'G-1 All Habitats'!N18</f>
        <v>High</v>
      </c>
      <c r="C20" s="331">
        <f>'G-1 All Habitats'!O18</f>
        <v>0.33</v>
      </c>
      <c r="D20" s="331" t="str">
        <f>'G-1 All Habitats'!P18</f>
        <v>Medium</v>
      </c>
      <c r="E20" s="331">
        <f>'G-1 All Habitats'!Q18</f>
        <v>0.67</v>
      </c>
    </row>
    <row r="21" spans="1:5" x14ac:dyDescent="0.3">
      <c r="A21" s="69" t="str">
        <f>'G-1 All Habitats'!B19</f>
        <v>Grassland - Modified grassland</v>
      </c>
      <c r="B21" s="331" t="str">
        <f>'G-1 All Habitats'!N19</f>
        <v>Low</v>
      </c>
      <c r="C21" s="331">
        <f>'G-1 All Habitats'!O19</f>
        <v>1</v>
      </c>
      <c r="D21" s="331" t="str">
        <f>'G-1 All Habitats'!P19</f>
        <v>Low</v>
      </c>
      <c r="E21" s="331">
        <f>'G-1 All Habitats'!Q19</f>
        <v>1</v>
      </c>
    </row>
    <row r="22" spans="1:5" x14ac:dyDescent="0.3">
      <c r="A22" s="69" t="str">
        <f>'G-1 All Habitats'!B20</f>
        <v>Grassland - Other lowland acid grassland</v>
      </c>
      <c r="B22" s="331" t="str">
        <f>'G-1 All Habitats'!N20</f>
        <v>Low</v>
      </c>
      <c r="C22" s="331">
        <f>'G-1 All Habitats'!O20</f>
        <v>1</v>
      </c>
      <c r="D22" s="331" t="str">
        <f>'G-1 All Habitats'!P20</f>
        <v>Low</v>
      </c>
      <c r="E22" s="331">
        <f>'G-1 All Habitats'!Q20</f>
        <v>1</v>
      </c>
    </row>
    <row r="23" spans="1:5" x14ac:dyDescent="0.3">
      <c r="A23" s="69" t="str">
        <f>'G-1 All Habitats'!B21</f>
        <v>Grassland - Other neutral grassland</v>
      </c>
      <c r="B23" s="331" t="str">
        <f>'G-1 All Habitats'!N21</f>
        <v>Low</v>
      </c>
      <c r="C23" s="331">
        <f>'G-1 All Habitats'!O21</f>
        <v>1</v>
      </c>
      <c r="D23" s="331" t="str">
        <f>'G-1 All Habitats'!P21</f>
        <v>Low</v>
      </c>
      <c r="E23" s="331">
        <f>'G-1 All Habitats'!Q21</f>
        <v>1</v>
      </c>
    </row>
    <row r="24" spans="1:5" x14ac:dyDescent="0.3">
      <c r="A24" s="69" t="str">
        <f>'G-1 All Habitats'!B22</f>
        <v>Grassland - Tall herb communities (H6430)</v>
      </c>
      <c r="B24" s="331" t="str">
        <f>'G-1 All Habitats'!N22</f>
        <v>High</v>
      </c>
      <c r="C24" s="331">
        <f>'G-1 All Habitats'!O22</f>
        <v>0.33</v>
      </c>
      <c r="D24" s="331" t="str">
        <f>'G-1 All Habitats'!P22</f>
        <v>High</v>
      </c>
      <c r="E24" s="331">
        <f>'G-1 All Habitats'!Q22</f>
        <v>0.33</v>
      </c>
    </row>
    <row r="25" spans="1:5" x14ac:dyDescent="0.3">
      <c r="A25" s="69" t="str">
        <f>'G-1 All Habitats'!B23</f>
        <v>Grassland - Upland acid grassland</v>
      </c>
      <c r="B25" s="331" t="str">
        <f>'G-1 All Habitats'!N23</f>
        <v>Low</v>
      </c>
      <c r="C25" s="331">
        <f>'G-1 All Habitats'!O23</f>
        <v>1</v>
      </c>
      <c r="D25" s="331" t="str">
        <f>'G-1 All Habitats'!P23</f>
        <v>Low</v>
      </c>
      <c r="E25" s="331">
        <f>'G-1 All Habitats'!Q23</f>
        <v>1</v>
      </c>
    </row>
    <row r="26" spans="1:5" x14ac:dyDescent="0.3">
      <c r="A26" s="69" t="str">
        <f>'G-1 All Habitats'!B24</f>
        <v>Grassland - Upland calcareous grassland</v>
      </c>
      <c r="B26" s="331" t="str">
        <f>'G-1 All Habitats'!N24</f>
        <v>High</v>
      </c>
      <c r="C26" s="331">
        <f>'G-1 All Habitats'!O24</f>
        <v>0.33</v>
      </c>
      <c r="D26" s="331" t="str">
        <f>'G-1 All Habitats'!P24</f>
        <v>High</v>
      </c>
      <c r="E26" s="331">
        <f>'G-1 All Habitats'!Q24</f>
        <v>0.33</v>
      </c>
    </row>
    <row r="27" spans="1:5" x14ac:dyDescent="0.3">
      <c r="A27" s="69" t="str">
        <f>'G-1 All Habitats'!B25</f>
        <v>Grassland - Upland hay meadows</v>
      </c>
      <c r="B27" s="331" t="str">
        <f>'G-1 All Habitats'!N25</f>
        <v>High</v>
      </c>
      <c r="C27" s="331">
        <f>'G-1 All Habitats'!O25</f>
        <v>0.33</v>
      </c>
      <c r="D27" s="331" t="str">
        <f>'G-1 All Habitats'!P25</f>
        <v>Medium</v>
      </c>
      <c r="E27" s="331">
        <f>'G-1 All Habitats'!Q25</f>
        <v>0.67</v>
      </c>
    </row>
    <row r="28" spans="1:5" x14ac:dyDescent="0.3">
      <c r="A28" s="69" t="str">
        <f>'G-1 All Habitats'!B26</f>
        <v>Heathland and shrub - Blackthorn scrub</v>
      </c>
      <c r="B28" s="331" t="str">
        <f>'G-1 All Habitats'!N26</f>
        <v>Low</v>
      </c>
      <c r="C28" s="331">
        <f>'G-1 All Habitats'!O26</f>
        <v>1</v>
      </c>
      <c r="D28" s="331" t="str">
        <f>'G-1 All Habitats'!P26</f>
        <v>Low</v>
      </c>
      <c r="E28" s="331">
        <f>'G-1 All Habitats'!Q26</f>
        <v>1</v>
      </c>
    </row>
    <row r="29" spans="1:5" x14ac:dyDescent="0.3">
      <c r="A29" s="69" t="str">
        <f>'G-1 All Habitats'!B27</f>
        <v>Heathland and shrub - Bramble scrub</v>
      </c>
      <c r="B29" s="331" t="str">
        <f>'G-1 All Habitats'!N27</f>
        <v>Low</v>
      </c>
      <c r="C29" s="331">
        <f>'G-1 All Habitats'!O27</f>
        <v>1</v>
      </c>
      <c r="D29" s="331" t="str">
        <f>'G-1 All Habitats'!P27</f>
        <v>Low</v>
      </c>
      <c r="E29" s="331">
        <f>'G-1 All Habitats'!Q27</f>
        <v>1</v>
      </c>
    </row>
    <row r="30" spans="1:5" x14ac:dyDescent="0.3">
      <c r="A30" s="69" t="str">
        <f>'G-1 All Habitats'!B28</f>
        <v>Heathland and shrub - Gorse scrub</v>
      </c>
      <c r="B30" s="331" t="str">
        <f>'G-1 All Habitats'!N28</f>
        <v>Low</v>
      </c>
      <c r="C30" s="331">
        <f>'G-1 All Habitats'!O28</f>
        <v>1</v>
      </c>
      <c r="D30" s="331" t="str">
        <f>'G-1 All Habitats'!P28</f>
        <v>Low</v>
      </c>
      <c r="E30" s="331">
        <f>'G-1 All Habitats'!Q28</f>
        <v>1</v>
      </c>
    </row>
    <row r="31" spans="1:5" x14ac:dyDescent="0.3">
      <c r="A31" s="69" t="str">
        <f>'G-1 All Habitats'!B29</f>
        <v>Heathland and shrub - Hawthorn scrub</v>
      </c>
      <c r="B31" s="331" t="str">
        <f>'G-1 All Habitats'!N29</f>
        <v>Low</v>
      </c>
      <c r="C31" s="331">
        <f>'G-1 All Habitats'!O29</f>
        <v>1</v>
      </c>
      <c r="D31" s="331" t="str">
        <f>'G-1 All Habitats'!P29</f>
        <v>Low</v>
      </c>
      <c r="E31" s="331">
        <f>'G-1 All Habitats'!Q29</f>
        <v>1</v>
      </c>
    </row>
    <row r="32" spans="1:5" x14ac:dyDescent="0.3">
      <c r="A32" s="69" t="str">
        <f>'G-1 All Habitats'!B30</f>
        <v>Heathland and shrub - Hazel scrub</v>
      </c>
      <c r="B32" s="331" t="s">
        <v>38</v>
      </c>
      <c r="C32" s="331">
        <f>'G-1 All Habitats'!O30</f>
        <v>0.67</v>
      </c>
      <c r="D32" s="331" t="s">
        <v>92</v>
      </c>
      <c r="E32" s="331">
        <f>'G-1 All Habitats'!Q30</f>
        <v>1</v>
      </c>
    </row>
    <row r="33" spans="1:5" x14ac:dyDescent="0.3">
      <c r="A33" s="69" t="s">
        <v>434</v>
      </c>
      <c r="B33" s="331" t="s">
        <v>38</v>
      </c>
      <c r="C33" s="331">
        <v>0.67</v>
      </c>
      <c r="D33" s="331" t="s">
        <v>92</v>
      </c>
      <c r="E33" s="331">
        <v>1</v>
      </c>
    </row>
    <row r="34" spans="1:5" x14ac:dyDescent="0.3">
      <c r="A34" s="69" t="str">
        <f>'G-1 All Habitats'!B31</f>
        <v>Heathland and shrub - Lowland heathland</v>
      </c>
      <c r="B34" s="331" t="str">
        <f>'G-1 All Habitats'!N31</f>
        <v>High</v>
      </c>
      <c r="C34" s="331">
        <f>'G-1 All Habitats'!O31</f>
        <v>0.33</v>
      </c>
      <c r="D34" s="331" t="str">
        <f>'G-1 All Habitats'!P31</f>
        <v>Medium</v>
      </c>
      <c r="E34" s="331">
        <f>'G-1 All Habitats'!Q31</f>
        <v>0.67</v>
      </c>
    </row>
    <row r="35" spans="1:5" x14ac:dyDescent="0.3">
      <c r="A35" s="69" t="str">
        <f>'G-1 All Habitats'!B32</f>
        <v>Heathland and shrub - Mixed scrub</v>
      </c>
      <c r="B35" s="331" t="str">
        <f>'G-1 All Habitats'!N32</f>
        <v>Low</v>
      </c>
      <c r="C35" s="331">
        <f>'G-1 All Habitats'!O32</f>
        <v>1</v>
      </c>
      <c r="D35" s="331" t="str">
        <f>'G-1 All Habitats'!P32</f>
        <v>Low</v>
      </c>
      <c r="E35" s="331">
        <f>'G-1 All Habitats'!Q32</f>
        <v>1</v>
      </c>
    </row>
    <row r="36" spans="1:5" x14ac:dyDescent="0.3">
      <c r="A36" s="69" t="str">
        <f>'G-1 All Habitats'!B33</f>
        <v>Heathland and shrub - Mountain heaths and willow scrub</v>
      </c>
      <c r="B36" s="331" t="str">
        <f>'G-1 All Habitats'!N33</f>
        <v>High</v>
      </c>
      <c r="C36" s="331">
        <f>'G-1 All Habitats'!O33</f>
        <v>0.33</v>
      </c>
      <c r="D36" s="331" t="str">
        <f>'G-1 All Habitats'!P33</f>
        <v>High</v>
      </c>
      <c r="E36" s="331">
        <f>'G-1 All Habitats'!Q33</f>
        <v>0.33</v>
      </c>
    </row>
    <row r="37" spans="1:5" x14ac:dyDescent="0.3">
      <c r="A37" s="69" t="str">
        <f>'G-1 All Habitats'!B34</f>
        <v>Heathland and shrub - Rhododendron scrub</v>
      </c>
      <c r="B37" s="331" t="str">
        <f>'G-1 All Habitats'!N34</f>
        <v>Low</v>
      </c>
      <c r="C37" s="331">
        <f>'G-1 All Habitats'!O34</f>
        <v>1</v>
      </c>
      <c r="D37" s="331" t="str">
        <f>'G-1 All Habitats'!P34</f>
        <v>Low</v>
      </c>
      <c r="E37" s="331">
        <f>'G-1 All Habitats'!Q34</f>
        <v>1</v>
      </c>
    </row>
    <row r="38" spans="1:5" x14ac:dyDescent="0.3">
      <c r="A38" s="69" t="str">
        <f>'G-1 All Habitats'!B35</f>
        <v>Heathland and shrub - Dunes with sea buckthorn (H2160)</v>
      </c>
      <c r="B38" s="331" t="str">
        <f>'G-1 All Habitats'!N35</f>
        <v>Medium</v>
      </c>
      <c r="C38" s="331">
        <f>'G-1 All Habitats'!O35</f>
        <v>0.67</v>
      </c>
      <c r="D38" s="331" t="str">
        <f>'G-1 All Habitats'!P35</f>
        <v>Low</v>
      </c>
      <c r="E38" s="331">
        <f>'G-1 All Habitats'!Q35</f>
        <v>1</v>
      </c>
    </row>
    <row r="39" spans="1:5" x14ac:dyDescent="0.3">
      <c r="A39" s="69" t="str">
        <f>'G-1 All Habitats'!B36</f>
        <v>Heathland and shrub - Other sea buckthorn scrub</v>
      </c>
      <c r="B39" s="331" t="str">
        <f>'G-1 All Habitats'!N36</f>
        <v>Low</v>
      </c>
      <c r="C39" s="331">
        <f>'G-1 All Habitats'!O36</f>
        <v>1</v>
      </c>
      <c r="D39" s="331" t="str">
        <f>'G-1 All Habitats'!P36</f>
        <v>Low</v>
      </c>
      <c r="E39" s="331">
        <f>'G-1 All Habitats'!Q36</f>
        <v>1</v>
      </c>
    </row>
    <row r="40" spans="1:5" x14ac:dyDescent="0.3">
      <c r="A40" s="69" t="str">
        <f>'G-1 All Habitats'!B38</f>
        <v>Heathland and shrub - Upland heathland</v>
      </c>
      <c r="B40" s="331" t="str">
        <f>'G-1 All Habitats'!N38</f>
        <v>Medium</v>
      </c>
      <c r="C40" s="331">
        <f>'G-1 All Habitats'!O38</f>
        <v>0.67</v>
      </c>
      <c r="D40" s="331" t="str">
        <f>'G-1 All Habitats'!P38</f>
        <v>Medium</v>
      </c>
      <c r="E40" s="331">
        <f>'G-1 All Habitats'!Q38</f>
        <v>0.67</v>
      </c>
    </row>
    <row r="41" spans="1:5" x14ac:dyDescent="0.3">
      <c r="A41" s="69" t="str">
        <f>'G-1 All Habitats'!B129</f>
        <v>Intertidal sediment - Artificial littoral biogenic reefs</v>
      </c>
      <c r="B41" s="331" t="str">
        <f>'G-1 All Habitats'!N129</f>
        <v>High</v>
      </c>
      <c r="C41" s="331">
        <f>'G-1 All Habitats'!O129</f>
        <v>0.33</v>
      </c>
      <c r="D41" s="331" t="str">
        <f>'G-1 All Habitats'!P129</f>
        <v>Medium</v>
      </c>
      <c r="E41" s="331">
        <f>'G-1 All Habitats'!Q129</f>
        <v>0.67</v>
      </c>
    </row>
    <row r="42" spans="1:5" x14ac:dyDescent="0.3">
      <c r="A42" s="69" t="str">
        <f>'G-1 All Habitats'!B123</f>
        <v>Intertidal sediment - Artificial littoral coarse sediment</v>
      </c>
      <c r="B42" s="331" t="str">
        <f>'G-1 All Habitats'!N123</f>
        <v>Medium</v>
      </c>
      <c r="C42" s="331">
        <f>'G-1 All Habitats'!O123</f>
        <v>0.67</v>
      </c>
      <c r="D42" s="331" t="str">
        <f>'G-1 All Habitats'!P123</f>
        <v>Medium</v>
      </c>
      <c r="E42" s="331">
        <f>'G-1 All Habitats'!Q123</f>
        <v>0.67</v>
      </c>
    </row>
    <row r="43" spans="1:5" x14ac:dyDescent="0.3">
      <c r="A43" s="69" t="str">
        <f>'G-1 All Habitats'!B127</f>
        <v>Intertidal sediment - Artificial littoral mixed sediments</v>
      </c>
      <c r="B43" s="331" t="str">
        <f>'G-1 All Habitats'!N127</f>
        <v>High</v>
      </c>
      <c r="C43" s="331">
        <f>'G-1 All Habitats'!O127</f>
        <v>0.33</v>
      </c>
      <c r="D43" s="331" t="str">
        <f>'G-1 All Habitats'!P127</f>
        <v>Medium</v>
      </c>
      <c r="E43" s="331">
        <f>'G-1 All Habitats'!Q127</f>
        <v>0.67</v>
      </c>
    </row>
    <row r="44" spans="1:5" x14ac:dyDescent="0.3">
      <c r="A44" s="69" t="str">
        <f>'G-1 All Habitats'!B126</f>
        <v>Intertidal sediment - Artificial littoral muddy sand</v>
      </c>
      <c r="B44" s="331" t="str">
        <f>'G-1 All Habitats'!N126</f>
        <v>High</v>
      </c>
      <c r="C44" s="331">
        <f>'G-1 All Habitats'!O126</f>
        <v>0.33</v>
      </c>
      <c r="D44" s="331" t="str">
        <f>'G-1 All Habitats'!P126</f>
        <v>Medium</v>
      </c>
      <c r="E44" s="331">
        <f>'G-1 All Habitats'!Q126</f>
        <v>0.67</v>
      </c>
    </row>
    <row r="45" spans="1:5" x14ac:dyDescent="0.3">
      <c r="A45" s="69" t="str">
        <f>'G-1 All Habitats'!B128</f>
        <v>Intertidal sediment - Artificial littoral seagrass</v>
      </c>
      <c r="B45" s="331" t="str">
        <f>'G-1 All Habitats'!N128</f>
        <v>High</v>
      </c>
      <c r="C45" s="331">
        <f>'G-1 All Habitats'!O128</f>
        <v>0.33</v>
      </c>
      <c r="D45" s="331" t="str">
        <f>'G-1 All Habitats'!P128</f>
        <v>High</v>
      </c>
      <c r="E45" s="331">
        <f>'G-1 All Habitats'!Q128</f>
        <v>0.33</v>
      </c>
    </row>
    <row r="46" spans="1:5" x14ac:dyDescent="0.3">
      <c r="A46" s="69" t="str">
        <f>'G-1 All Habitats'!B122</f>
        <v>Intertidal sediment - Features of littoral sediment</v>
      </c>
      <c r="B46" s="331" t="str">
        <f>'G-1 All Habitats'!N122</f>
        <v>High</v>
      </c>
      <c r="C46" s="331">
        <f>'G-1 All Habitats'!O122</f>
        <v>0.33</v>
      </c>
      <c r="D46" s="331" t="str">
        <f>'G-1 All Habitats'!P122</f>
        <v>Medium</v>
      </c>
      <c r="E46" s="331">
        <f>'G-1 All Habitats'!Q122</f>
        <v>0.67</v>
      </c>
    </row>
    <row r="47" spans="1:5" x14ac:dyDescent="0.3">
      <c r="A47" s="69" t="str">
        <f>'G-1 All Habitats'!B121</f>
        <v>Intertidal sediment - Littoral biogenic reefs - Sabellaria</v>
      </c>
      <c r="B47" s="331" t="str">
        <f>'G-1 All Habitats'!N121</f>
        <v>High</v>
      </c>
      <c r="C47" s="331">
        <f>'G-1 All Habitats'!O121</f>
        <v>0.33</v>
      </c>
      <c r="D47" s="331" t="str">
        <f>'G-1 All Habitats'!P121</f>
        <v>Medium</v>
      </c>
      <c r="E47" s="331">
        <f>'G-1 All Habitats'!Q121</f>
        <v>0.67</v>
      </c>
    </row>
    <row r="48" spans="1:5" x14ac:dyDescent="0.3">
      <c r="A48" s="69" t="str">
        <f>'G-1 All Habitats'!B115</f>
        <v>Intertidal sediment - Littoral coarse sediment</v>
      </c>
      <c r="B48" s="331" t="str">
        <f>'G-1 All Habitats'!N115</f>
        <v>Medium</v>
      </c>
      <c r="C48" s="331">
        <f>'G-1 All Habitats'!O115</f>
        <v>0.67</v>
      </c>
      <c r="D48" s="331" t="str">
        <f>'G-1 All Habitats'!P115</f>
        <v>Medium</v>
      </c>
      <c r="E48" s="331">
        <f>'G-1 All Habitats'!Q115</f>
        <v>0.67</v>
      </c>
    </row>
    <row r="49" spans="1:5" x14ac:dyDescent="0.3">
      <c r="A49" s="69" t="str">
        <f>'G-1 All Habitats'!B117</f>
        <v>Intertidal sediment - Littoral mixed sediments</v>
      </c>
      <c r="B49" s="331" t="str">
        <f>'G-1 All Habitats'!N117</f>
        <v>High</v>
      </c>
      <c r="C49" s="331">
        <f>'G-1 All Habitats'!O117</f>
        <v>0.33</v>
      </c>
      <c r="D49" s="331" t="str">
        <f>'G-1 All Habitats'!P117</f>
        <v>Medium</v>
      </c>
      <c r="E49" s="331">
        <f>'G-1 All Habitats'!Q117</f>
        <v>0.67</v>
      </c>
    </row>
    <row r="50" spans="1:5" x14ac:dyDescent="0.3">
      <c r="A50" s="69" t="str">
        <f>'G-1 All Habitats'!B116</f>
        <v>Intertidal sediment - Littoral mud</v>
      </c>
      <c r="B50" s="331" t="str">
        <f>'G-1 All Habitats'!N116</f>
        <v>High</v>
      </c>
      <c r="C50" s="331">
        <f>'G-1 All Habitats'!O116</f>
        <v>0.33</v>
      </c>
      <c r="D50" s="331" t="str">
        <f>'G-1 All Habitats'!P116</f>
        <v>Medium</v>
      </c>
      <c r="E50" s="331">
        <f>'G-1 All Habitats'!Q116</f>
        <v>0.67</v>
      </c>
    </row>
    <row r="51" spans="1:5" x14ac:dyDescent="0.3">
      <c r="A51" s="69" t="str">
        <f>'G-1 All Habitats'!B118</f>
        <v>Intertidal sediment - Littoral seagrass</v>
      </c>
      <c r="B51" s="331" t="str">
        <f>'G-1 All Habitats'!N118</f>
        <v>High</v>
      </c>
      <c r="C51" s="331">
        <f>'G-1 All Habitats'!O118</f>
        <v>0.33</v>
      </c>
      <c r="D51" s="331" t="str">
        <f>'G-1 All Habitats'!P118</f>
        <v>High</v>
      </c>
      <c r="E51" s="331">
        <f>'G-1 All Habitats'!Q118</f>
        <v>0.33</v>
      </c>
    </row>
    <row r="52" spans="1:5" x14ac:dyDescent="0.3">
      <c r="A52" s="69" t="str">
        <f>'G-1 All Habitats'!B119</f>
        <v>Intertidal sediment - Littoral seagrass on peat, clay or chalk</v>
      </c>
      <c r="B52" s="331" t="str">
        <f>'G-1 All Habitats'!N119</f>
        <v>Very High</v>
      </c>
      <c r="C52" s="331">
        <f>'G-1 All Habitats'!O119</f>
        <v>0.1</v>
      </c>
      <c r="D52" s="331" t="str">
        <f>'G-1 All Habitats'!P119</f>
        <v>High</v>
      </c>
      <c r="E52" s="331">
        <f>'G-1 All Habitats'!Q119</f>
        <v>0.33</v>
      </c>
    </row>
    <row r="53" spans="1:5" x14ac:dyDescent="0.3">
      <c r="A53" s="69" t="str">
        <f>'G-1 All Habitats'!B39</f>
        <v>Lakes - Aquifer fed naturally fluctuating water bodies</v>
      </c>
      <c r="B53" s="331" t="str">
        <f>'G-1 All Habitats'!N39</f>
        <v>Very High</v>
      </c>
      <c r="C53" s="331">
        <f>'G-1 All Habitats'!O39</f>
        <v>0.1</v>
      </c>
      <c r="D53" s="331" t="str">
        <f>'G-1 All Habitats'!P39</f>
        <v>High</v>
      </c>
      <c r="E53" s="331">
        <f>'G-1 All Habitats'!Q39</f>
        <v>0.33</v>
      </c>
    </row>
    <row r="54" spans="1:5" x14ac:dyDescent="0.3">
      <c r="A54" s="69" t="str">
        <f>'G-1 All Habitats'!B40</f>
        <v>Lakes - Ornamental lake or pond</v>
      </c>
      <c r="B54" s="331" t="str">
        <f>'G-1 All Habitats'!N40</f>
        <v>Low</v>
      </c>
      <c r="C54" s="331">
        <f>'G-1 All Habitats'!O40</f>
        <v>1</v>
      </c>
      <c r="D54" s="331" t="str">
        <f>'G-1 All Habitats'!P40</f>
        <v>High</v>
      </c>
      <c r="E54" s="331">
        <f>'G-1 All Habitats'!Q40</f>
        <v>0.33</v>
      </c>
    </row>
    <row r="55" spans="1:5" x14ac:dyDescent="0.3">
      <c r="A55" s="69" t="str">
        <f>'G-1 All Habitats'!B41</f>
        <v>Lakes - High alkalinity lakes</v>
      </c>
      <c r="B55" s="331" t="str">
        <f>'G-1 All Habitats'!N41</f>
        <v>High</v>
      </c>
      <c r="C55" s="331">
        <f>'G-1 All Habitats'!O41</f>
        <v>0.33</v>
      </c>
      <c r="D55" s="331" t="str">
        <f>'G-1 All Habitats'!P41</f>
        <v>High</v>
      </c>
      <c r="E55" s="331">
        <f>'G-1 All Habitats'!Q41</f>
        <v>0.33</v>
      </c>
    </row>
    <row r="56" spans="1:5" x14ac:dyDescent="0.3">
      <c r="A56" s="69" t="str">
        <f>'G-1 All Habitats'!B42</f>
        <v>Lakes - Low alkalinity lakes</v>
      </c>
      <c r="B56" s="331" t="str">
        <f>'G-1 All Habitats'!N42</f>
        <v>High</v>
      </c>
      <c r="C56" s="331">
        <f>'G-1 All Habitats'!O42</f>
        <v>0.33</v>
      </c>
      <c r="D56" s="331" t="str">
        <f>'G-1 All Habitats'!P42</f>
        <v>Medium</v>
      </c>
      <c r="E56" s="331">
        <f>'G-1 All Habitats'!Q42</f>
        <v>0.67</v>
      </c>
    </row>
    <row r="57" spans="1:5" x14ac:dyDescent="0.3">
      <c r="A57" s="69" t="str">
        <f>'G-1 All Habitats'!B43</f>
        <v>Lakes - Marl lakes</v>
      </c>
      <c r="B57" s="331" t="str">
        <f>'G-1 All Habitats'!N43</f>
        <v>High</v>
      </c>
      <c r="C57" s="331">
        <f>'G-1 All Habitats'!O43</f>
        <v>0.33</v>
      </c>
      <c r="D57" s="331" t="str">
        <f>'G-1 All Habitats'!P43</f>
        <v>High</v>
      </c>
      <c r="E57" s="331">
        <f>'G-1 All Habitats'!Q43</f>
        <v>0.33</v>
      </c>
    </row>
    <row r="58" spans="1:5" x14ac:dyDescent="0.3">
      <c r="A58" s="69" t="str">
        <f>'G-1 All Habitats'!B44</f>
        <v>Lakes - Moderate alkalinity lakes</v>
      </c>
      <c r="B58" s="331" t="str">
        <f>'G-1 All Habitats'!N44</f>
        <v>High</v>
      </c>
      <c r="C58" s="331">
        <f>'G-1 All Habitats'!O44</f>
        <v>0.33</v>
      </c>
      <c r="D58" s="331" t="str">
        <f>'G-1 All Habitats'!P44</f>
        <v>High</v>
      </c>
      <c r="E58" s="331">
        <f>'G-1 All Habitats'!Q44</f>
        <v>0.33</v>
      </c>
    </row>
    <row r="59" spans="1:5" x14ac:dyDescent="0.3">
      <c r="A59" s="69" t="str">
        <f>'G-1 All Habitats'!B45</f>
        <v>Lakes - Peat lakes</v>
      </c>
      <c r="B59" s="331" t="str">
        <f>'G-1 All Habitats'!N45</f>
        <v>High</v>
      </c>
      <c r="C59" s="331">
        <f>'G-1 All Habitats'!O45</f>
        <v>0.33</v>
      </c>
      <c r="D59" s="331" t="str">
        <f>'G-1 All Habitats'!P45</f>
        <v>High</v>
      </c>
      <c r="E59" s="331">
        <f>'G-1 All Habitats'!Q45</f>
        <v>0.33</v>
      </c>
    </row>
    <row r="60" spans="1:5" x14ac:dyDescent="0.3">
      <c r="A60" s="69" t="str">
        <f>'G-1 All Habitats'!B47</f>
        <v>Lakes - Ponds (non-priority habitat)</v>
      </c>
      <c r="B60" s="331" t="str">
        <f>'G-1 All Habitats'!N47</f>
        <v>Low</v>
      </c>
      <c r="C60" s="331">
        <f>'G-1 All Habitats'!O47</f>
        <v>1</v>
      </c>
      <c r="D60" s="331" t="str">
        <f>'G-1 All Habitats'!P47</f>
        <v>Medium</v>
      </c>
      <c r="E60" s="331">
        <f>'G-1 All Habitats'!Q47</f>
        <v>0.67</v>
      </c>
    </row>
    <row r="61" spans="1:5" x14ac:dyDescent="0.3">
      <c r="A61" s="69" t="str">
        <f>'G-1 All Habitats'!B46</f>
        <v>Lakes - Ponds (priority habitat)</v>
      </c>
      <c r="B61" s="331" t="str">
        <f>'G-1 All Habitats'!N46</f>
        <v>Medium</v>
      </c>
      <c r="C61" s="331">
        <f>'G-1 All Habitats'!O46</f>
        <v>0.67</v>
      </c>
      <c r="D61" s="331" t="str">
        <f>'G-1 All Habitats'!P46</f>
        <v>Medium</v>
      </c>
      <c r="E61" s="331">
        <f>'G-1 All Habitats'!Q46</f>
        <v>0.67</v>
      </c>
    </row>
    <row r="62" spans="1:5" x14ac:dyDescent="0.3">
      <c r="A62" s="69" t="str">
        <f>'G-1 All Habitats'!B48</f>
        <v>Lakes - Reservoirs</v>
      </c>
      <c r="B62" s="331" t="str">
        <f>'G-1 All Habitats'!N48</f>
        <v>Medium</v>
      </c>
      <c r="C62" s="331">
        <f>'G-1 All Habitats'!O48</f>
        <v>0.67</v>
      </c>
      <c r="D62" s="331" t="str">
        <f>'G-1 All Habitats'!P48</f>
        <v>Medium</v>
      </c>
      <c r="E62" s="331">
        <f>'G-1 All Habitats'!Q48</f>
        <v>0.67</v>
      </c>
    </row>
    <row r="63" spans="1:5" x14ac:dyDescent="0.3">
      <c r="A63" s="69" t="str">
        <f>'G-1 All Habitats'!B49</f>
        <v>Lakes - Temporary lakes ponds and pools (H3170)</v>
      </c>
      <c r="B63" s="331" t="str">
        <f>'G-1 All Habitats'!N49</f>
        <v>Medium</v>
      </c>
      <c r="C63" s="331">
        <f>'G-1 All Habitats'!O49</f>
        <v>0.67</v>
      </c>
      <c r="D63" s="331" t="str">
        <f>'G-1 All Habitats'!P49</f>
        <v>Medium</v>
      </c>
      <c r="E63" s="331">
        <f>'G-1 All Habitats'!Q49</f>
        <v>0.67</v>
      </c>
    </row>
    <row r="64" spans="1:5" x14ac:dyDescent="0.3">
      <c r="A64" s="69" t="str">
        <f>'G-1 All Habitats'!B111</f>
        <v>Rocky shore - Features of littoral rock</v>
      </c>
      <c r="B64" s="331" t="str">
        <f>'G-1 All Habitats'!N111</f>
        <v>High</v>
      </c>
      <c r="C64" s="331">
        <f>'G-1 All Habitats'!O111</f>
        <v>0.33</v>
      </c>
      <c r="D64" s="331" t="str">
        <f>'G-1 All Habitats'!P111</f>
        <v>Medium</v>
      </c>
      <c r="E64" s="331">
        <f>'G-1 All Habitats'!Q111</f>
        <v>0.67</v>
      </c>
    </row>
    <row r="65" spans="1:5" x14ac:dyDescent="0.3">
      <c r="A65" s="69" t="str">
        <f>'G-1 All Habitats'!B112</f>
        <v>Rocky shore - Features of littoral rock - on peat, clay or chalk</v>
      </c>
      <c r="B65" s="331" t="str">
        <f>'G-1 All Habitats'!N112</f>
        <v>Very High</v>
      </c>
      <c r="C65" s="331">
        <f>'G-1 All Habitats'!O112</f>
        <v>0.1</v>
      </c>
      <c r="D65" s="331" t="str">
        <f>'G-1 All Habitats'!P112</f>
        <v>Medium</v>
      </c>
      <c r="E65" s="331">
        <f>'G-1 All Habitats'!Q112</f>
        <v>0.67</v>
      </c>
    </row>
    <row r="66" spans="1:5" x14ac:dyDescent="0.3">
      <c r="A66" s="69" t="str">
        <f>'G-1 All Habitats'!B105</f>
        <v>Rocky shore - High energy littoral rock</v>
      </c>
      <c r="B66" s="331" t="str">
        <f>'G-1 All Habitats'!N105</f>
        <v>High</v>
      </c>
      <c r="C66" s="331">
        <f>'G-1 All Habitats'!O105</f>
        <v>0.33</v>
      </c>
      <c r="D66" s="331" t="str">
        <f>'G-1 All Habitats'!P105</f>
        <v>Medium</v>
      </c>
      <c r="E66" s="331">
        <f>'G-1 All Habitats'!Q105</f>
        <v>0.67</v>
      </c>
    </row>
    <row r="67" spans="1:5" x14ac:dyDescent="0.3">
      <c r="A67" s="69" t="str">
        <f>'G-1 All Habitats'!B106</f>
        <v>Rocky shore - High energy littoral rock - on peat, clay or chalk</v>
      </c>
      <c r="B67" s="331" t="str">
        <f>'G-1 All Habitats'!N106</f>
        <v>Very High</v>
      </c>
      <c r="C67" s="331">
        <f>'G-1 All Habitats'!O106</f>
        <v>0.1</v>
      </c>
      <c r="D67" s="331" t="str">
        <f>'G-1 All Habitats'!P106</f>
        <v>Medium</v>
      </c>
      <c r="E67" s="331">
        <f>'G-1 All Habitats'!Q106</f>
        <v>0.67</v>
      </c>
    </row>
    <row r="68" spans="1:5" x14ac:dyDescent="0.3">
      <c r="A68" s="69" t="str">
        <f>'G-1 All Habitats'!B109</f>
        <v>Rocky shore - Low energy littoral rock</v>
      </c>
      <c r="B68" s="331" t="str">
        <f>'G-1 All Habitats'!N109</f>
        <v>High</v>
      </c>
      <c r="C68" s="331">
        <f>'G-1 All Habitats'!O109</f>
        <v>0.33</v>
      </c>
      <c r="D68" s="331" t="str">
        <f>'G-1 All Habitats'!P109</f>
        <v>Medium</v>
      </c>
      <c r="E68" s="331">
        <f>'G-1 All Habitats'!Q109</f>
        <v>0.67</v>
      </c>
    </row>
    <row r="69" spans="1:5" x14ac:dyDescent="0.3">
      <c r="A69" s="69" t="str">
        <f>'G-1 All Habitats'!B110</f>
        <v>Rocky shore - Low energy littoral rock - on peat, clay or chalk</v>
      </c>
      <c r="B69" s="331" t="str">
        <f>'G-1 All Habitats'!N110</f>
        <v>Very High</v>
      </c>
      <c r="C69" s="331">
        <f>'G-1 All Habitats'!O110</f>
        <v>0.1</v>
      </c>
      <c r="D69" s="331" t="str">
        <f>'G-1 All Habitats'!P110</f>
        <v>Medium</v>
      </c>
      <c r="E69" s="331">
        <f>'G-1 All Habitats'!Q110</f>
        <v>0.67</v>
      </c>
    </row>
    <row r="70" spans="1:5" x14ac:dyDescent="0.3">
      <c r="A70" s="69" t="str">
        <f>'G-1 All Habitats'!B107</f>
        <v>Rocky shore - Moderate energy littoral rock</v>
      </c>
      <c r="B70" s="331" t="str">
        <f>'G-1 All Habitats'!N107</f>
        <v>High</v>
      </c>
      <c r="C70" s="331">
        <f>'G-1 All Habitats'!O107</f>
        <v>0.33</v>
      </c>
      <c r="D70" s="331" t="str">
        <f>'G-1 All Habitats'!P107</f>
        <v>Medium</v>
      </c>
      <c r="E70" s="331">
        <f>'G-1 All Habitats'!Q107</f>
        <v>0.67</v>
      </c>
    </row>
    <row r="71" spans="1:5" x14ac:dyDescent="0.3">
      <c r="A71" s="69" t="str">
        <f>'G-1 All Habitats'!B108</f>
        <v>Rocky shore - Moderate energy littoral rock - on peat, clay or chalk</v>
      </c>
      <c r="B71" s="331" t="str">
        <f>'G-1 All Habitats'!N108</f>
        <v>Very High</v>
      </c>
      <c r="C71" s="331">
        <f>'G-1 All Habitats'!O108</f>
        <v>0.1</v>
      </c>
      <c r="D71" s="331" t="str">
        <f>'G-1 All Habitats'!P108</f>
        <v>Medium</v>
      </c>
      <c r="E71" s="331">
        <f>'G-1 All Habitats'!Q108</f>
        <v>0.67</v>
      </c>
    </row>
    <row r="72" spans="1:5" x14ac:dyDescent="0.3">
      <c r="A72" s="69" t="str">
        <f>'G-1 All Habitats'!B50</f>
        <v>Sparsely vegetated land - Calaminarian grasslands</v>
      </c>
      <c r="B72" s="331" t="str">
        <f>'G-1 All Habitats'!N50</f>
        <v>Very High</v>
      </c>
      <c r="C72" s="331">
        <f>'G-1 All Habitats'!O50</f>
        <v>0.1</v>
      </c>
      <c r="D72" s="331" t="str">
        <f>'G-1 All Habitats'!P50</f>
        <v>Medium</v>
      </c>
      <c r="E72" s="331">
        <f>'G-1 All Habitats'!Q50</f>
        <v>0.67</v>
      </c>
    </row>
    <row r="73" spans="1:5" x14ac:dyDescent="0.3">
      <c r="A73" s="69" t="str">
        <f>'G-1 All Habitats'!B51</f>
        <v>Sparsely vegetated land - Coastal sand dunes</v>
      </c>
      <c r="B73" s="331" t="str">
        <f>'G-1 All Habitats'!N51</f>
        <v>Very High</v>
      </c>
      <c r="C73" s="331">
        <f>'G-1 All Habitats'!O51</f>
        <v>0.1</v>
      </c>
      <c r="D73" s="331" t="str">
        <f>'G-1 All Habitats'!P51</f>
        <v>Medium</v>
      </c>
      <c r="E73" s="331">
        <f>'G-1 All Habitats'!Q51</f>
        <v>0.67</v>
      </c>
    </row>
    <row r="74" spans="1:5" x14ac:dyDescent="0.3">
      <c r="A74" s="69" t="str">
        <f>'G-1 All Habitats'!B52</f>
        <v>Sparsely vegetated land - Coastal vegetated shingle</v>
      </c>
      <c r="B74" s="331" t="str">
        <f>'G-1 All Habitats'!N52</f>
        <v>Very High</v>
      </c>
      <c r="C74" s="331">
        <f>'G-1 All Habitats'!O52</f>
        <v>0.1</v>
      </c>
      <c r="D74" s="331" t="str">
        <f>'G-1 All Habitats'!P52</f>
        <v>Medium</v>
      </c>
      <c r="E74" s="331">
        <f>'G-1 All Habitats'!Q52</f>
        <v>0.67</v>
      </c>
    </row>
    <row r="75" spans="1:5" x14ac:dyDescent="0.3">
      <c r="A75" s="69" t="str">
        <f>'G-1 All Habitats'!B55</f>
        <v>Sparsely vegetated land - Inland rock outcrop and scree habitats</v>
      </c>
      <c r="B75" s="331" t="str">
        <f>'G-1 All Habitats'!N55</f>
        <v>High</v>
      </c>
      <c r="C75" s="331">
        <f>'G-1 All Habitats'!O55</f>
        <v>0.33</v>
      </c>
      <c r="D75" s="331" t="str">
        <f>'G-1 All Habitats'!P55</f>
        <v>Low</v>
      </c>
      <c r="E75" s="331">
        <f>'G-1 All Habitats'!Q55</f>
        <v>1</v>
      </c>
    </row>
    <row r="76" spans="1:5" x14ac:dyDescent="0.3">
      <c r="A76" s="69" t="str">
        <f>'G-1 All Habitats'!B56</f>
        <v>Sparsely vegetated land - Limestone pavement</v>
      </c>
      <c r="B76" s="331" t="str">
        <f>'G-1 All Habitats'!N56</f>
        <v>Very High</v>
      </c>
      <c r="C76" s="331">
        <f>'G-1 All Habitats'!O56</f>
        <v>0.1</v>
      </c>
      <c r="D76" s="331" t="str">
        <f>'G-1 All Habitats'!P56</f>
        <v>Medium</v>
      </c>
      <c r="E76" s="331">
        <f>'G-1 All Habitats'!Q56</f>
        <v>0.67</v>
      </c>
    </row>
    <row r="77" spans="1:5" x14ac:dyDescent="0.3">
      <c r="A77" s="69" t="str">
        <f>'G-1 All Habitats'!B57</f>
        <v>Sparsely vegetated land - Maritime cliff and slopes</v>
      </c>
      <c r="B77" s="331" t="str">
        <f>'G-1 All Habitats'!N57</f>
        <v>High</v>
      </c>
      <c r="C77" s="331">
        <f>'G-1 All Habitats'!O57</f>
        <v>0.33</v>
      </c>
      <c r="D77" s="331" t="str">
        <f>'G-1 All Habitats'!P57</f>
        <v>Medium</v>
      </c>
      <c r="E77" s="331">
        <f>'G-1 All Habitats'!Q57</f>
        <v>0.67</v>
      </c>
    </row>
    <row r="78" spans="1:5" x14ac:dyDescent="0.3">
      <c r="A78" s="69" t="str">
        <f>'G-1 All Habitats'!B58</f>
        <v>Sparsely vegetated land - Other inland rock and scree</v>
      </c>
      <c r="B78" s="331" t="str">
        <f>'G-1 All Habitats'!N58</f>
        <v>Medium</v>
      </c>
      <c r="C78" s="331">
        <f>'G-1 All Habitats'!O58</f>
        <v>0.67</v>
      </c>
      <c r="D78" s="331" t="str">
        <f>'G-1 All Habitats'!P58</f>
        <v>Medium</v>
      </c>
      <c r="E78" s="331">
        <f>'G-1 All Habitats'!Q58</f>
        <v>0.67</v>
      </c>
    </row>
    <row r="79" spans="1:5" x14ac:dyDescent="0.3">
      <c r="A79" s="69" t="str">
        <f>'G-1 All Habitats'!B53</f>
        <v>Sparsely vegetated land - Ruderal/Ephemeral</v>
      </c>
      <c r="B79" s="331" t="str">
        <f>'G-1 All Habitats'!N53</f>
        <v>Low</v>
      </c>
      <c r="C79" s="331">
        <f>'G-1 All Habitats'!O53</f>
        <v>1</v>
      </c>
      <c r="D79" s="331" t="str">
        <f>'G-1 All Habitats'!P53</f>
        <v>Medium</v>
      </c>
      <c r="E79" s="331">
        <f>'G-1 All Habitats'!Q53</f>
        <v>0.67</v>
      </c>
    </row>
    <row r="80" spans="1:5" x14ac:dyDescent="0.3">
      <c r="A80" s="69" t="str">
        <f>'G-1 All Habitats'!B54</f>
        <v>Sparsely vegetated land - Tall forbs</v>
      </c>
      <c r="B80" s="331" t="str">
        <f>'G-1 All Habitats'!N54</f>
        <v>Low</v>
      </c>
      <c r="C80" s="331">
        <f>'G-1 All Habitats'!O54</f>
        <v>1</v>
      </c>
      <c r="D80" s="331" t="str">
        <f>'G-1 All Habitats'!P54</f>
        <v>Medium</v>
      </c>
      <c r="E80" s="331">
        <f>'G-1 All Habitats'!Q54</f>
        <v>0.67</v>
      </c>
    </row>
    <row r="81" spans="1:5" x14ac:dyDescent="0.3">
      <c r="A81" s="69" t="str">
        <f>'G-1 All Habitats'!B77</f>
        <v>Urban - Vacant or derelict land</v>
      </c>
      <c r="B81" s="331" t="str">
        <f>'G-1 All Habitats'!N77</f>
        <v>Low</v>
      </c>
      <c r="C81" s="331">
        <f>'G-1 All Habitats'!O77</f>
        <v>1</v>
      </c>
      <c r="D81" s="331" t="str">
        <f>'G-1 All Habitats'!P77</f>
        <v>Low</v>
      </c>
      <c r="E81" s="331">
        <f>'G-1 All Habitats'!Q77</f>
        <v>1</v>
      </c>
    </row>
    <row r="82" spans="1:5" x14ac:dyDescent="0.3">
      <c r="A82" s="69" t="s">
        <v>559</v>
      </c>
      <c r="B82" s="331" t="s">
        <v>92</v>
      </c>
      <c r="C82" s="331">
        <v>1</v>
      </c>
      <c r="D82" s="331" t="s">
        <v>92</v>
      </c>
      <c r="E82" s="331">
        <v>1</v>
      </c>
    </row>
    <row r="83" spans="1:5" x14ac:dyDescent="0.3">
      <c r="A83" s="69" t="str">
        <f>'G-1 All Habitats'!B59</f>
        <v>Urban - Allotments</v>
      </c>
      <c r="B83" s="331" t="str">
        <f>'G-1 All Habitats'!N59</f>
        <v>Low</v>
      </c>
      <c r="C83" s="331">
        <f>'G-1 All Habitats'!O59</f>
        <v>1</v>
      </c>
      <c r="D83" s="331" t="str">
        <f>'G-1 All Habitats'!P59</f>
        <v>Low</v>
      </c>
      <c r="E83" s="331">
        <f>'G-1 All Habitats'!Q59</f>
        <v>1</v>
      </c>
    </row>
    <row r="84" spans="1:5" x14ac:dyDescent="0.3">
      <c r="A84" s="69" t="str">
        <f>'G-1 All Habitats'!B60</f>
        <v>Urban - Artificial unvegetated, unsealed surface</v>
      </c>
      <c r="B84" s="331" t="str">
        <f>'G-1 All Habitats'!N60</f>
        <v>Low</v>
      </c>
      <c r="C84" s="331">
        <f>'G-1 All Habitats'!O60</f>
        <v>1</v>
      </c>
      <c r="D84" s="331" t="str">
        <f>'G-1 All Habitats'!P60</f>
        <v>Low</v>
      </c>
      <c r="E84" s="331">
        <f>'G-1 All Habitats'!Q60</f>
        <v>1</v>
      </c>
    </row>
    <row r="85" spans="1:5" x14ac:dyDescent="0.3">
      <c r="A85" s="69" t="str">
        <f>'G-1 All Habitats'!B61</f>
        <v>Urban - Bioswale</v>
      </c>
      <c r="B85" s="331" t="str">
        <f>'G-1 All Habitats'!N61</f>
        <v>Medium</v>
      </c>
      <c r="C85" s="331">
        <f>'G-1 All Habitats'!O61</f>
        <v>0.67</v>
      </c>
      <c r="D85" s="331" t="str">
        <f>'G-1 All Habitats'!P61</f>
        <v>Low</v>
      </c>
      <c r="E85" s="331">
        <f>'G-1 All Habitats'!Q61</f>
        <v>1</v>
      </c>
    </row>
    <row r="86" spans="1:5" x14ac:dyDescent="0.3">
      <c r="A86" s="69" t="str">
        <f>'G-1 All Habitats'!B62</f>
        <v>Urban - Intensive green roof</v>
      </c>
      <c r="B86" s="331" t="str">
        <f>'G-1 All Habitats'!N62</f>
        <v>Low</v>
      </c>
      <c r="C86" s="331">
        <f>'G-1 All Habitats'!O62</f>
        <v>1</v>
      </c>
      <c r="D86" s="331" t="str">
        <f>'G-1 All Habitats'!P62</f>
        <v>Low</v>
      </c>
      <c r="E86" s="331">
        <f>'G-1 All Habitats'!Q62</f>
        <v>1</v>
      </c>
    </row>
    <row r="87" spans="1:5" x14ac:dyDescent="0.3">
      <c r="A87" s="69" t="str">
        <f>'G-1 All Habitats'!B63</f>
        <v>Urban - Built linear features</v>
      </c>
      <c r="B87" s="331" t="str">
        <f>'G-1 All Habitats'!N63</f>
        <v>Low</v>
      </c>
      <c r="C87" s="331">
        <f>'G-1 All Habitats'!O63</f>
        <v>1</v>
      </c>
      <c r="D87" s="331" t="str">
        <f>'G-1 All Habitats'!P63</f>
        <v>Low</v>
      </c>
      <c r="E87" s="331">
        <f>'G-1 All Habitats'!Q63</f>
        <v>1</v>
      </c>
    </row>
    <row r="88" spans="1:5" x14ac:dyDescent="0.3">
      <c r="A88" s="69" t="str">
        <f>'G-1 All Habitats'!B64</f>
        <v>Urban - Cemeteries and churchyards</v>
      </c>
      <c r="B88" s="331" t="str">
        <f>'G-1 All Habitats'!N64</f>
        <v>Medium</v>
      </c>
      <c r="C88" s="331">
        <f>'G-1 All Habitats'!O64</f>
        <v>0.67</v>
      </c>
      <c r="D88" s="331" t="str">
        <f>'G-1 All Habitats'!P64</f>
        <v>Low</v>
      </c>
      <c r="E88" s="331">
        <f>'G-1 All Habitats'!Q64</f>
        <v>1</v>
      </c>
    </row>
    <row r="89" spans="1:5" x14ac:dyDescent="0.3">
      <c r="A89" s="69" t="str">
        <f>'G-1 All Habitats'!B65</f>
        <v>Urban - Developed land; sealed surface</v>
      </c>
      <c r="B89" s="331" t="str">
        <f>'G-1 All Habitats'!N65</f>
        <v>Low</v>
      </c>
      <c r="C89" s="331">
        <f>'G-1 All Habitats'!O65</f>
        <v>1</v>
      </c>
      <c r="D89" s="331" t="str">
        <f>'G-1 All Habitats'!P65</f>
        <v>Medium</v>
      </c>
      <c r="E89" s="331">
        <f>'G-1 All Habitats'!Q65</f>
        <v>0.67</v>
      </c>
    </row>
    <row r="90" spans="1:5" x14ac:dyDescent="0.3">
      <c r="A90" s="69" t="str">
        <f>'G-1 All Habitats'!B66</f>
        <v>Urban - Other green roof</v>
      </c>
      <c r="B90" s="331" t="str">
        <f>'G-1 All Habitats'!N66</f>
        <v>Low</v>
      </c>
      <c r="C90" s="331">
        <f>'G-1 All Habitats'!O66</f>
        <v>1</v>
      </c>
      <c r="D90" s="331" t="str">
        <f>'G-1 All Habitats'!P66</f>
        <v>Low</v>
      </c>
      <c r="E90" s="331">
        <f>'G-1 All Habitats'!Q66</f>
        <v>1</v>
      </c>
    </row>
    <row r="91" spans="1:5" x14ac:dyDescent="0.3">
      <c r="A91" s="69" t="str">
        <f>'G-1 All Habitats'!B67</f>
        <v>Urban - Facade-bound green wall</v>
      </c>
      <c r="B91" s="331" t="str">
        <f>'G-1 All Habitats'!N67</f>
        <v>Medium</v>
      </c>
      <c r="C91" s="331">
        <f>'G-1 All Habitats'!O67</f>
        <v>0.67</v>
      </c>
      <c r="D91" s="331" t="str">
        <f>'G-1 All Habitats'!P67</f>
        <v>Medium</v>
      </c>
      <c r="E91" s="331">
        <f>'G-1 All Habitats'!Q67</f>
        <v>0.67</v>
      </c>
    </row>
    <row r="92" spans="1:5" x14ac:dyDescent="0.3">
      <c r="A92" s="69" t="str">
        <f>'G-1 All Habitats'!B68</f>
        <v>Urban - Ground based green wall</v>
      </c>
      <c r="B92" s="331" t="str">
        <f>'G-1 All Habitats'!N68</f>
        <v>Medium</v>
      </c>
      <c r="C92" s="331">
        <f>'G-1 All Habitats'!O68</f>
        <v>0.67</v>
      </c>
      <c r="D92" s="331" t="str">
        <f>'G-1 All Habitats'!P68</f>
        <v>Medium</v>
      </c>
      <c r="E92" s="331">
        <f>'G-1 All Habitats'!Q68</f>
        <v>0.67</v>
      </c>
    </row>
    <row r="93" spans="1:5" x14ac:dyDescent="0.3">
      <c r="A93" s="69" t="str">
        <f>'G-1 All Habitats'!B69</f>
        <v>Urban - Ground level planters</v>
      </c>
      <c r="B93" s="331" t="str">
        <f>'G-1 All Habitats'!N69</f>
        <v>Low</v>
      </c>
      <c r="C93" s="331">
        <f>'G-1 All Habitats'!O69</f>
        <v>1</v>
      </c>
      <c r="D93" s="331" t="str">
        <f>'G-1 All Habitats'!P69</f>
        <v>Low</v>
      </c>
      <c r="E93" s="331">
        <f>'G-1 All Habitats'!Q69</f>
        <v>1</v>
      </c>
    </row>
    <row r="94" spans="1:5" x14ac:dyDescent="0.3">
      <c r="A94" s="69" t="str">
        <f>'G-1 All Habitats'!B70</f>
        <v>Urban - Biodiverse green roof</v>
      </c>
      <c r="B94" s="331" t="str">
        <f>'G-1 All Habitats'!N70</f>
        <v>Medium</v>
      </c>
      <c r="C94" s="331">
        <f>'G-1 All Habitats'!O70</f>
        <v>0.67</v>
      </c>
      <c r="D94" s="331" t="str">
        <f>'G-1 All Habitats'!P70</f>
        <v>Medium</v>
      </c>
      <c r="E94" s="331">
        <f>'G-1 All Habitats'!Q70</f>
        <v>0.67</v>
      </c>
    </row>
    <row r="95" spans="1:5" x14ac:dyDescent="0.3">
      <c r="A95" s="69" t="str">
        <f>'G-1 All Habitats'!B71</f>
        <v>Urban - Introduced shrub</v>
      </c>
      <c r="B95" s="331" t="str">
        <f>'G-1 All Habitats'!N71</f>
        <v>Low</v>
      </c>
      <c r="C95" s="331">
        <f>'G-1 All Habitats'!O71</f>
        <v>1</v>
      </c>
      <c r="D95" s="331" t="str">
        <f>'G-1 All Habitats'!P71</f>
        <v>Low</v>
      </c>
      <c r="E95" s="331">
        <f>'G-1 All Habitats'!Q71</f>
        <v>1</v>
      </c>
    </row>
    <row r="96" spans="1:5" x14ac:dyDescent="0.3">
      <c r="A96" s="69" t="str">
        <f>'G-1 All Habitats'!B72</f>
        <v>Urban - Open mosaic habitats on previously developed land</v>
      </c>
      <c r="B96" s="331" t="str">
        <f>'G-1 All Habitats'!N72</f>
        <v>Medium</v>
      </c>
      <c r="C96" s="331">
        <f>'G-1 All Habitats'!O72</f>
        <v>0.67</v>
      </c>
      <c r="D96" s="331" t="str">
        <f>'G-1 All Habitats'!P72</f>
        <v>Medium</v>
      </c>
      <c r="E96" s="331">
        <f>'G-1 All Habitats'!Q72</f>
        <v>0.67</v>
      </c>
    </row>
    <row r="97" spans="1:5" x14ac:dyDescent="0.3">
      <c r="A97" s="69" t="str">
        <f>'G-1 All Habitats'!B73</f>
        <v>Urban - Rain garden</v>
      </c>
      <c r="B97" s="331" t="str">
        <f>'G-1 All Habitats'!N73</f>
        <v>Low</v>
      </c>
      <c r="C97" s="331">
        <f>'G-1 All Habitats'!O73</f>
        <v>1</v>
      </c>
      <c r="D97" s="331" t="str">
        <f>'G-1 All Habitats'!P73</f>
        <v>Low</v>
      </c>
      <c r="E97" s="331">
        <f>'G-1 All Habitats'!Q73</f>
        <v>1</v>
      </c>
    </row>
    <row r="98" spans="1:5" x14ac:dyDescent="0.3">
      <c r="A98" s="69" t="str">
        <f>'G-1 All Habitats'!B74</f>
        <v>Urban - Actively worked sand pit quarry or open cast mine</v>
      </c>
      <c r="B98" s="331" t="str">
        <f>'G-1 All Habitats'!N74</f>
        <v>Medium</v>
      </c>
      <c r="C98" s="331">
        <f>'G-1 All Habitats'!O74</f>
        <v>0.67</v>
      </c>
      <c r="D98" s="331" t="str">
        <f>'G-1 All Habitats'!P74</f>
        <v>Medium</v>
      </c>
      <c r="E98" s="331">
        <f>'G-1 All Habitats'!Q74</f>
        <v>0.67</v>
      </c>
    </row>
    <row r="99" spans="1:5" x14ac:dyDescent="0.3">
      <c r="A99" s="69" t="str">
        <f>'G-1 All Habitats'!B80</f>
        <v>Individual trees - Urban tree</v>
      </c>
      <c r="B99" s="331" t="str">
        <f>'G-1 All Habitats'!N80</f>
        <v>Low</v>
      </c>
      <c r="C99" s="331">
        <f>'G-1 All Habitats'!O80</f>
        <v>1</v>
      </c>
      <c r="D99" s="331" t="str">
        <f>'G-1 All Habitats'!P80</f>
        <v>Low</v>
      </c>
      <c r="E99" s="331">
        <f>'G-1 All Habitats'!Q80</f>
        <v>1</v>
      </c>
    </row>
    <row r="100" spans="1:5" x14ac:dyDescent="0.3">
      <c r="A100" s="69" t="str">
        <f>'G-1 All Habitats'!B75</f>
        <v>Urban - Sustainable drainage system</v>
      </c>
      <c r="B100" s="331" t="str">
        <f>'G-1 All Habitats'!N75</f>
        <v>Medium</v>
      </c>
      <c r="C100" s="331">
        <f>'G-1 All Habitats'!O75</f>
        <v>0.67</v>
      </c>
      <c r="D100" s="331" t="str">
        <f>'G-1 All Habitats'!P75</f>
        <v>Medium</v>
      </c>
      <c r="E100" s="331">
        <f>'G-1 All Habitats'!Q75</f>
        <v>0.67</v>
      </c>
    </row>
    <row r="101" spans="1:5" x14ac:dyDescent="0.3">
      <c r="A101" s="69" t="str">
        <f>'G-1 All Habitats'!B76</f>
        <v>Urban - Unvegetated garden</v>
      </c>
      <c r="B101" s="331" t="str">
        <f>'G-1 All Habitats'!N76</f>
        <v>Low</v>
      </c>
      <c r="C101" s="331">
        <f>'G-1 All Habitats'!O76</f>
        <v>1</v>
      </c>
      <c r="D101" s="331" t="str">
        <f>'G-1 All Habitats'!P76</f>
        <v>Low</v>
      </c>
      <c r="E101" s="331">
        <f>'G-1 All Habitats'!Q76</f>
        <v>1</v>
      </c>
    </row>
    <row r="102" spans="1:5" x14ac:dyDescent="0.3">
      <c r="A102" s="69" t="str">
        <f>'G-1 All Habitats'!B79</f>
        <v>Urban - Vegetated garden</v>
      </c>
      <c r="B102" s="331" t="str">
        <f>'G-1 All Habitats'!N79</f>
        <v>Low</v>
      </c>
      <c r="C102" s="331">
        <f>'G-1 All Habitats'!O79</f>
        <v>1</v>
      </c>
      <c r="D102" s="331" t="str">
        <f>'G-1 All Habitats'!P79</f>
        <v>Low</v>
      </c>
      <c r="E102" s="331">
        <f>'G-1 All Habitats'!Q79</f>
        <v>1</v>
      </c>
    </row>
    <row r="103" spans="1:5" x14ac:dyDescent="0.3">
      <c r="A103" s="69" t="str">
        <f>'G-1 All Habitats'!B82</f>
        <v>Wetland - Blanket bog</v>
      </c>
      <c r="B103" s="331" t="str">
        <f>'G-1 All Habitats'!N82</f>
        <v>Very High</v>
      </c>
      <c r="C103" s="331">
        <f>'G-1 All Habitats'!O82</f>
        <v>0.1</v>
      </c>
      <c r="D103" s="331" t="str">
        <f>'G-1 All Habitats'!P82</f>
        <v>High</v>
      </c>
      <c r="E103" s="331">
        <f>'G-1 All Habitats'!Q82</f>
        <v>0.33</v>
      </c>
    </row>
    <row r="104" spans="1:5" x14ac:dyDescent="0.3">
      <c r="A104" s="69" t="str">
        <f>'G-1 All Habitats'!B83</f>
        <v>Wetland - Depressions on peat substrates (H7150)</v>
      </c>
      <c r="B104" s="331" t="str">
        <f>'G-1 All Habitats'!N83</f>
        <v>Very High</v>
      </c>
      <c r="C104" s="331">
        <f>'G-1 All Habitats'!O83</f>
        <v>0.1</v>
      </c>
      <c r="D104" s="331" t="str">
        <f>'G-1 All Habitats'!P83</f>
        <v>High</v>
      </c>
      <c r="E104" s="331">
        <f>'G-1 All Habitats'!Q83</f>
        <v>0.33</v>
      </c>
    </row>
    <row r="105" spans="1:5" x14ac:dyDescent="0.3">
      <c r="A105" s="69" t="str">
        <f>'G-1 All Habitats'!B84</f>
        <v>Wetland - Fens (upland and lowland)</v>
      </c>
      <c r="B105" s="331" t="str">
        <f>'G-1 All Habitats'!N84</f>
        <v>High</v>
      </c>
      <c r="C105" s="331">
        <f>'G-1 All Habitats'!O84</f>
        <v>0.33</v>
      </c>
      <c r="D105" s="331" t="str">
        <f>'G-1 All Habitats'!P84</f>
        <v>High</v>
      </c>
      <c r="E105" s="331">
        <f>'G-1 All Habitats'!Q84</f>
        <v>0.33</v>
      </c>
    </row>
    <row r="106" spans="1:5" x14ac:dyDescent="0.3">
      <c r="A106" s="69" t="str">
        <f>'G-1 All Habitats'!B85</f>
        <v>Wetland - Lowland raised bog</v>
      </c>
      <c r="B106" s="331" t="str">
        <f>'G-1 All Habitats'!N85</f>
        <v>Very High</v>
      </c>
      <c r="C106" s="331">
        <f>'G-1 All Habitats'!O85</f>
        <v>0.1</v>
      </c>
      <c r="D106" s="331" t="str">
        <f>'G-1 All Habitats'!P85</f>
        <v>High</v>
      </c>
      <c r="E106" s="331">
        <f>'G-1 All Habitats'!Q85</f>
        <v>0.33</v>
      </c>
    </row>
    <row r="107" spans="1:5" x14ac:dyDescent="0.3">
      <c r="A107" s="69" t="str">
        <f>'G-1 All Habitats'!B86</f>
        <v>Wetland - Oceanic valley mire[1] (D2.1)</v>
      </c>
      <c r="B107" s="331" t="str">
        <f>'G-1 All Habitats'!N86</f>
        <v>Very High</v>
      </c>
      <c r="C107" s="331">
        <f>'G-1 All Habitats'!O86</f>
        <v>0.1</v>
      </c>
      <c r="D107" s="331" t="str">
        <f>'G-1 All Habitats'!P86</f>
        <v>High</v>
      </c>
      <c r="E107" s="331">
        <f>'G-1 All Habitats'!Q86</f>
        <v>0.33</v>
      </c>
    </row>
    <row r="108" spans="1:5" x14ac:dyDescent="0.3">
      <c r="A108" s="69" t="str">
        <f>'G-1 All Habitats'!B87</f>
        <v>Wetland - Purple moor grass and rush pastures</v>
      </c>
      <c r="B108" s="331" t="str">
        <f>'G-1 All Habitats'!N87</f>
        <v>High</v>
      </c>
      <c r="C108" s="331">
        <f>'G-1 All Habitats'!O87</f>
        <v>0.33</v>
      </c>
      <c r="D108" s="331" t="str">
        <f>'G-1 All Habitats'!P87</f>
        <v>High</v>
      </c>
      <c r="E108" s="331">
        <f>'G-1 All Habitats'!Q87</f>
        <v>0.33</v>
      </c>
    </row>
    <row r="109" spans="1:5" x14ac:dyDescent="0.3">
      <c r="A109" s="69" t="str">
        <f>'G-1 All Habitats'!B88</f>
        <v>Wetland - Reedbeds</v>
      </c>
      <c r="B109" s="331" t="str">
        <f>'G-1 All Habitats'!N88</f>
        <v>Medium</v>
      </c>
      <c r="C109" s="331">
        <f>'G-1 All Habitats'!O88</f>
        <v>0.67</v>
      </c>
      <c r="D109" s="331" t="str">
        <f>'G-1 All Habitats'!P88</f>
        <v>Medium</v>
      </c>
      <c r="E109" s="331">
        <f>'G-1 All Habitats'!Q88</f>
        <v>0.67</v>
      </c>
    </row>
    <row r="110" spans="1:5" x14ac:dyDescent="0.3">
      <c r="A110" s="69" t="str">
        <f>'G-1 All Habitats'!B89</f>
        <v>Wetland - Transition mires and quaking bogs (H7140)</v>
      </c>
      <c r="B110" s="331" t="str">
        <f>'G-1 All Habitats'!N89</f>
        <v>Very High</v>
      </c>
      <c r="C110" s="331">
        <f>'G-1 All Habitats'!O89</f>
        <v>0.1</v>
      </c>
      <c r="D110" s="331" t="str">
        <f>'G-1 All Habitats'!P89</f>
        <v>High</v>
      </c>
      <c r="E110" s="331">
        <f>'G-1 All Habitats'!Q89</f>
        <v>0.33</v>
      </c>
    </row>
    <row r="111" spans="1:5" x14ac:dyDescent="0.3">
      <c r="A111" s="69" t="str">
        <f>'G-1 All Habitats'!B90</f>
        <v>Woodland and forest - Felled</v>
      </c>
      <c r="B111" s="331" t="s">
        <v>90</v>
      </c>
      <c r="C111" s="331">
        <f>'G-1 All Habitats'!O90</f>
        <v>0.33</v>
      </c>
      <c r="D111" s="331" t="str">
        <f>'G-1 All Habitats'!P90</f>
        <v>Low</v>
      </c>
      <c r="E111" s="331">
        <f>'G-1 All Habitats'!Q90</f>
        <v>1</v>
      </c>
    </row>
    <row r="112" spans="1:5" x14ac:dyDescent="0.3">
      <c r="A112" s="69" t="str">
        <f>'G-1 All Habitats'!B91</f>
        <v>Woodland and forest - Lowland beech and yew woodland</v>
      </c>
      <c r="B112" s="331" t="str">
        <f>'G-1 All Habitats'!N91</f>
        <v>High</v>
      </c>
      <c r="C112" s="331">
        <f>'G-1 All Habitats'!O91</f>
        <v>0.33</v>
      </c>
      <c r="D112" s="331" t="str">
        <f>'G-1 All Habitats'!P91</f>
        <v>High</v>
      </c>
      <c r="E112" s="331">
        <f>'G-1 All Habitats'!Q91</f>
        <v>0.33</v>
      </c>
    </row>
    <row r="113" spans="1:5" x14ac:dyDescent="0.3">
      <c r="A113" s="69" t="str">
        <f>'G-1 All Habitats'!B92</f>
        <v>Woodland and forest - Lowland mixed deciduous woodland</v>
      </c>
      <c r="B113" s="331" t="str">
        <f>'G-1 All Habitats'!N92</f>
        <v>High</v>
      </c>
      <c r="C113" s="331">
        <f>'G-1 All Habitats'!O92</f>
        <v>0.33</v>
      </c>
      <c r="D113" s="331" t="str">
        <f>'G-1 All Habitats'!P92</f>
        <v>High</v>
      </c>
      <c r="E113" s="331">
        <f>'G-1 All Habitats'!Q92</f>
        <v>0.33</v>
      </c>
    </row>
    <row r="114" spans="1:5" x14ac:dyDescent="0.3">
      <c r="A114" s="69" t="str">
        <f>'G-1 All Habitats'!B93</f>
        <v>Woodland and forest - Native pine woodlands</v>
      </c>
      <c r="B114" s="331" t="str">
        <f>'G-1 All Habitats'!N93</f>
        <v>High</v>
      </c>
      <c r="C114" s="331">
        <f>'G-1 All Habitats'!O93</f>
        <v>0.33</v>
      </c>
      <c r="D114" s="331" t="str">
        <f>'G-1 All Habitats'!P93</f>
        <v>High</v>
      </c>
      <c r="E114" s="331">
        <f>'G-1 All Habitats'!Q93</f>
        <v>0.33</v>
      </c>
    </row>
    <row r="115" spans="1:5" x14ac:dyDescent="0.3">
      <c r="A115" s="69" t="str">
        <f>'G-1 All Habitats'!B94</f>
        <v>Woodland and forest - Other coniferous woodland</v>
      </c>
      <c r="B115" s="331" t="str">
        <f>'G-1 All Habitats'!N94</f>
        <v>Low</v>
      </c>
      <c r="C115" s="331">
        <f>'G-1 All Habitats'!O94</f>
        <v>1</v>
      </c>
      <c r="D115" s="331" t="str">
        <f>'G-1 All Habitats'!P94</f>
        <v>Low</v>
      </c>
      <c r="E115" s="331">
        <f>'G-1 All Habitats'!Q94</f>
        <v>1</v>
      </c>
    </row>
    <row r="116" spans="1:5" x14ac:dyDescent="0.3">
      <c r="A116" s="69" t="str">
        <f>'G-1 All Habitats'!B95</f>
        <v>Woodland and forest - Other Scot's pine woodland</v>
      </c>
      <c r="B116" s="331" t="str">
        <f>'G-1 All Habitats'!N95</f>
        <v>Medium</v>
      </c>
      <c r="C116" s="331">
        <f>'G-1 All Habitats'!O95</f>
        <v>0.67</v>
      </c>
      <c r="D116" s="331" t="str">
        <f>'G-1 All Habitats'!P95</f>
        <v>Medium</v>
      </c>
      <c r="E116" s="331">
        <f>'G-1 All Habitats'!Q95</f>
        <v>0.67</v>
      </c>
    </row>
    <row r="117" spans="1:5" x14ac:dyDescent="0.3">
      <c r="A117" s="69" t="str">
        <f>'G-1 All Habitats'!B96</f>
        <v>Woodland and forest - Other woodland; broadleaved</v>
      </c>
      <c r="B117" s="331" t="str">
        <f>'G-1 All Habitats'!N96</f>
        <v>Low</v>
      </c>
      <c r="C117" s="331">
        <f>'G-1 All Habitats'!O96</f>
        <v>1</v>
      </c>
      <c r="D117" s="331" t="str">
        <f>'G-1 All Habitats'!P96</f>
        <v>Low</v>
      </c>
      <c r="E117" s="331">
        <f>'G-1 All Habitats'!Q96</f>
        <v>1</v>
      </c>
    </row>
    <row r="118" spans="1:5" x14ac:dyDescent="0.3">
      <c r="A118" s="69" t="str">
        <f>'G-1 All Habitats'!B97</f>
        <v>Woodland and forest - Other woodland; mixed</v>
      </c>
      <c r="B118" s="331" t="str">
        <f>'G-1 All Habitats'!N97</f>
        <v>Low</v>
      </c>
      <c r="C118" s="331">
        <f>'G-1 All Habitats'!O97</f>
        <v>1</v>
      </c>
      <c r="D118" s="331" t="str">
        <f>'G-1 All Habitats'!P97</f>
        <v>Low</v>
      </c>
      <c r="E118" s="331">
        <f>'G-1 All Habitats'!Q97</f>
        <v>1</v>
      </c>
    </row>
    <row r="119" spans="1:5" x14ac:dyDescent="0.3">
      <c r="A119" s="69" t="str">
        <f>'G-1 All Habitats'!B98</f>
        <v>Woodland and forest - Upland birchwoods</v>
      </c>
      <c r="B119" s="331" t="str">
        <f>'G-1 All Habitats'!N98</f>
        <v>Medium</v>
      </c>
      <c r="C119" s="331">
        <f>'G-1 All Habitats'!O98</f>
        <v>0.67</v>
      </c>
      <c r="D119" s="331" t="str">
        <f>'G-1 All Habitats'!P98</f>
        <v>Medium</v>
      </c>
      <c r="E119" s="331">
        <f>'G-1 All Habitats'!Q98</f>
        <v>0.67</v>
      </c>
    </row>
    <row r="120" spans="1:5" x14ac:dyDescent="0.3">
      <c r="A120" s="69" t="str">
        <f>'G-1 All Habitats'!B99</f>
        <v>Woodland and forest - Upland mixed ashwoods</v>
      </c>
      <c r="B120" s="331" t="str">
        <f>'G-1 All Habitats'!N99</f>
        <v>High</v>
      </c>
      <c r="C120" s="331">
        <f>'G-1 All Habitats'!O99</f>
        <v>0.33</v>
      </c>
      <c r="D120" s="331" t="str">
        <f>'G-1 All Habitats'!P99</f>
        <v>High</v>
      </c>
      <c r="E120" s="331">
        <f>'G-1 All Habitats'!Q99</f>
        <v>0.33</v>
      </c>
    </row>
    <row r="121" spans="1:5" x14ac:dyDescent="0.3">
      <c r="A121" s="69" t="str">
        <f>'G-1 All Habitats'!B100</f>
        <v>Woodland and forest - Upland oakwood</v>
      </c>
      <c r="B121" s="331" t="str">
        <f>'G-1 All Habitats'!N100</f>
        <v>High</v>
      </c>
      <c r="C121" s="331">
        <f>'G-1 All Habitats'!O100</f>
        <v>0.33</v>
      </c>
      <c r="D121" s="331" t="str">
        <f>'G-1 All Habitats'!P100</f>
        <v>High</v>
      </c>
      <c r="E121" s="331">
        <f>'G-1 All Habitats'!Q100</f>
        <v>0.33</v>
      </c>
    </row>
    <row r="122" spans="1:5" x14ac:dyDescent="0.3">
      <c r="A122" s="69" t="str">
        <f>'G-1 All Habitats'!B101</f>
        <v>Woodland and forest - Wet woodland</v>
      </c>
      <c r="B122" s="331" t="str">
        <f>'G-1 All Habitats'!N101</f>
        <v>Medium</v>
      </c>
      <c r="C122" s="331">
        <f>'G-1 All Habitats'!O101</f>
        <v>0.67</v>
      </c>
      <c r="D122" s="331" t="str">
        <f>'G-1 All Habitats'!P101</f>
        <v>Medium</v>
      </c>
      <c r="E122" s="331">
        <f>'G-1 All Habitats'!Q101</f>
        <v>0.67</v>
      </c>
    </row>
    <row r="123" spans="1:5" x14ac:dyDescent="0.3">
      <c r="A123" s="69" t="str">
        <f>'G-1 All Habitats'!B102</f>
        <v>Woodland and forest - Wood-pasture and parkland</v>
      </c>
      <c r="B123" s="331" t="str">
        <f>'G-1 All Habitats'!N102</f>
        <v>Very High</v>
      </c>
      <c r="C123" s="331">
        <f>'G-1 All Habitats'!O102</f>
        <v>0.1</v>
      </c>
      <c r="D123" s="331" t="str">
        <f>'G-1 All Habitats'!P102</f>
        <v>High</v>
      </c>
      <c r="E123" s="331">
        <f>'G-1 All Habitats'!Q102</f>
        <v>0.33</v>
      </c>
    </row>
    <row r="124" spans="1:5" x14ac:dyDescent="0.3">
      <c r="A124" s="69" t="str">
        <f>'G-1 All Habitats'!B130</f>
        <v>Intertidal sediment - Littoral sand</v>
      </c>
      <c r="B124" s="331" t="str">
        <f>'G-1 All Habitats'!N130</f>
        <v>Medium</v>
      </c>
      <c r="C124" s="331">
        <f>'G-1 All Habitats'!O130</f>
        <v>0.67</v>
      </c>
      <c r="D124" s="331" t="str">
        <f>'G-1 All Habitats'!P130</f>
        <v>Medium</v>
      </c>
      <c r="E124" s="331">
        <f>'G-1 All Habitats'!Q130</f>
        <v>0.67</v>
      </c>
    </row>
    <row r="125" spans="1:5" x14ac:dyDescent="0.3">
      <c r="A125" s="69" t="str">
        <f>'G-1 All Habitats'!B131</f>
        <v>Intertidal sediment - Littoral muddy sand</v>
      </c>
      <c r="B125" s="331" t="str">
        <f>'G-1 All Habitats'!N131</f>
        <v>High</v>
      </c>
      <c r="C125" s="331">
        <f>'G-1 All Habitats'!O131</f>
        <v>0.33</v>
      </c>
      <c r="D125" s="331" t="str">
        <f>'G-1 All Habitats'!P131</f>
        <v>Medium</v>
      </c>
      <c r="E125" s="331">
        <f>'G-1 All Habitats'!Q131</f>
        <v>0.67</v>
      </c>
    </row>
    <row r="126" spans="1:5" x14ac:dyDescent="0.3">
      <c r="A126" s="69" t="str">
        <f>'G-1 All Habitats'!B132</f>
        <v>Intertidal hard structures - Artificial hard structures</v>
      </c>
      <c r="B126" s="331" t="str">
        <f>'G-1 All Habitats'!N132</f>
        <v>Medium</v>
      </c>
      <c r="C126" s="331">
        <f>'G-1 All Habitats'!O132</f>
        <v>0.67</v>
      </c>
      <c r="D126" s="331" t="str">
        <f>'G-1 All Habitats'!P132</f>
        <v>Medium</v>
      </c>
      <c r="E126" s="331">
        <f>'G-1 All Habitats'!Q132</f>
        <v>0.67</v>
      </c>
    </row>
    <row r="127" spans="1:5" x14ac:dyDescent="0.3">
      <c r="A127" s="69" t="str">
        <f>'G-1 All Habitats'!B133</f>
        <v>Intertidal hard structures - Artificial features of hard structures</v>
      </c>
      <c r="B127" s="331" t="str">
        <f>'G-1 All Habitats'!N133</f>
        <v>Medium</v>
      </c>
      <c r="C127" s="331">
        <f>'G-1 All Habitats'!O133</f>
        <v>0.67</v>
      </c>
      <c r="D127" s="331" t="str">
        <f>'G-1 All Habitats'!P133</f>
        <v>Medium</v>
      </c>
      <c r="E127" s="331">
        <f>'G-1 All Habitats'!Q133</f>
        <v>0.67</v>
      </c>
    </row>
    <row r="128" spans="1:5" x14ac:dyDescent="0.3">
      <c r="A128" s="69" t="str">
        <f>'G-1 All Habitats'!B134</f>
        <v>Intertidal hard structures - Artificial hard structures with integrated greening of grey infrastructure (IGGI)</v>
      </c>
      <c r="B128" s="331" t="str">
        <f>'G-1 All Habitats'!N134</f>
        <v>Medium</v>
      </c>
      <c r="C128" s="331">
        <f>'G-1 All Habitats'!O134</f>
        <v>0.67</v>
      </c>
      <c r="D128" s="331" t="str">
        <f>'G-1 All Habitats'!P134</f>
        <v>Medium</v>
      </c>
      <c r="E128" s="331">
        <f>'G-1 All Habitats'!Q134</f>
        <v>0.67</v>
      </c>
    </row>
    <row r="129" spans="1:5" x14ac:dyDescent="0.3">
      <c r="A129" s="69" t="str">
        <f>'G-1 All Habitats'!B114</f>
        <v>Coastal saltmarsh - Artificial saltmarshes and saline reedbeds</v>
      </c>
      <c r="B129" s="331" t="str">
        <f>'G-1 All Habitats'!N114</f>
        <v>High</v>
      </c>
      <c r="C129" s="331">
        <f>'G-1 All Habitats'!O114</f>
        <v>0.33</v>
      </c>
      <c r="D129" s="331" t="str">
        <f>'G-1 All Habitats'!P114</f>
        <v>Medium</v>
      </c>
      <c r="E129" s="331">
        <f>'G-1 All Habitats'!Q114</f>
        <v>0.67</v>
      </c>
    </row>
    <row r="130" spans="1:5" x14ac:dyDescent="0.3">
      <c r="A130" s="69" t="str">
        <f>'G-1 All Habitats'!B120</f>
        <v>Intertidal sediment - Littoral biogenic reefs - Mussels</v>
      </c>
      <c r="B130" s="331" t="str">
        <f>'G-1 All Habitats'!N120</f>
        <v>High</v>
      </c>
      <c r="C130" s="331">
        <f>'G-1 All Habitats'!O120</f>
        <v>0.33</v>
      </c>
      <c r="D130" s="331" t="str">
        <f>'G-1 All Habitats'!P120</f>
        <v>Medium</v>
      </c>
      <c r="E130" s="331">
        <f>'G-1 All Habitats'!Q120</f>
        <v>0.67</v>
      </c>
    </row>
    <row r="131" spans="1:5" x14ac:dyDescent="0.3">
      <c r="A131" s="69" t="str">
        <f>'G-1 All Habitats'!B124</f>
        <v>Intertidal sediment - Artificial littoral mud</v>
      </c>
      <c r="B131" s="331" t="str">
        <f>'G-1 All Habitats'!N124</f>
        <v>High</v>
      </c>
      <c r="C131" s="331">
        <f>'G-1 All Habitats'!O124</f>
        <v>0.33</v>
      </c>
      <c r="D131" s="331" t="str">
        <f>'G-1 All Habitats'!P124</f>
        <v>Medium</v>
      </c>
      <c r="E131" s="331">
        <f>'G-1 All Habitats'!Q124</f>
        <v>0.67</v>
      </c>
    </row>
    <row r="132" spans="1:5" x14ac:dyDescent="0.3">
      <c r="A132" s="69" t="str">
        <f>'G-1 All Habitats'!B125</f>
        <v>Intertidal sediment - Artificial littoral sand</v>
      </c>
      <c r="B132" s="331" t="str">
        <f>'G-1 All Habitats'!N125</f>
        <v>Medium</v>
      </c>
      <c r="C132" s="331">
        <f>'G-1 All Habitats'!O125</f>
        <v>0.67</v>
      </c>
      <c r="D132" s="331" t="str">
        <f>'G-1 All Habitats'!P125</f>
        <v>Medium</v>
      </c>
      <c r="E132" s="331">
        <f>'G-1 All Habitats'!Q125</f>
        <v>0.67</v>
      </c>
    </row>
    <row r="133" spans="1:5" x14ac:dyDescent="0.3">
      <c r="A133" s="69" t="s">
        <v>748</v>
      </c>
      <c r="B133" s="331" t="s">
        <v>92</v>
      </c>
      <c r="C133" s="331">
        <v>1</v>
      </c>
      <c r="D133" s="331" t="s">
        <v>92</v>
      </c>
      <c r="E133" s="331">
        <v>1</v>
      </c>
    </row>
    <row r="134" spans="1:5" x14ac:dyDescent="0.3">
      <c r="A134" s="69" t="str">
        <f>'G-1 All Habitats'!B81</f>
        <v>Individual trees - Rural tree</v>
      </c>
      <c r="B134" s="331" t="str">
        <f>'G-1 All Habitats'!N81</f>
        <v>Low</v>
      </c>
      <c r="C134" s="331">
        <f>'G-1 All Habitats'!O81</f>
        <v>1</v>
      </c>
      <c r="D134" s="331" t="str">
        <f>'G-1 All Habitats'!P81</f>
        <v>Low</v>
      </c>
      <c r="E134" s="331">
        <f>'G-1 All Habitats'!Q81</f>
        <v>1</v>
      </c>
    </row>
    <row r="135" spans="1:5" x14ac:dyDescent="0.3"/>
    <row r="136" spans="1:5" x14ac:dyDescent="0.3"/>
    <row r="137" spans="1:5" x14ac:dyDescent="0.3"/>
    <row r="138" spans="1:5" x14ac:dyDescent="0.3"/>
    <row r="139" spans="1:5" x14ac:dyDescent="0.3"/>
    <row r="140" spans="1:5" x14ac:dyDescent="0.3"/>
    <row r="141" spans="1:5" x14ac:dyDescent="0.3"/>
    <row r="142" spans="1:5" x14ac:dyDescent="0.3"/>
    <row r="143" spans="1:5" x14ac:dyDescent="0.3"/>
    <row r="144" spans="1:5" x14ac:dyDescent="0.3"/>
    <row r="145" x14ac:dyDescent="0.3"/>
    <row r="146" x14ac:dyDescent="0.3"/>
  </sheetData>
  <sheetProtection algorithmName="SHA-512" hashValue="rXZ0ewjqmEoz9GhkY7Qn5M9jqlX2VJP/sdqO1bCVAETt53vxagqyeCius/VSQ3aQ924EL0AcGX0UKJkT8X9qIA==" saltValue="Eu/C4qk5fJUwvO6evQYEeQ==" spinCount="100000" sheet="1" objects="1" scenarios="1"/>
  <customSheetViews>
    <customSheetView guid="{8BDA793C-C9C5-4FC6-A0A5-F1109F6D4F22}" state="hidden">
      <selection activeCell="D14" sqref="D14"/>
    </customSheetView>
  </customSheetViews>
  <mergeCells count="7">
    <mergeCell ref="W2:Z2"/>
    <mergeCell ref="S2:T2"/>
    <mergeCell ref="A1:E1"/>
    <mergeCell ref="L2:N2"/>
    <mergeCell ref="H2:J2"/>
    <mergeCell ref="L1:N1"/>
    <mergeCell ref="P1:Q1"/>
  </mergeCells>
  <dataValidations count="2">
    <dataValidation type="list" allowBlank="1" showInputMessage="1" showErrorMessage="1" sqref="B3:B134 D3:D134" xr:uid="{00000000-0002-0000-1E00-000000000000}">
      <formula1>$P$3:$P$6</formula1>
    </dataValidation>
    <dataValidation type="list" allowBlank="1" showInputMessage="1" showErrorMessage="1" sqref="C3:C134" xr:uid="{00000000-0002-0000-1E00-000001000000}">
      <formula1>$Q$3:$Q$6</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
    <tabColor rgb="FFFFC000"/>
    <pageSetUpPr fitToPage="1"/>
  </sheetPr>
  <dimension ref="A1:AH153"/>
  <sheetViews>
    <sheetView zoomScale="90" zoomScaleNormal="80" workbookViewId="0">
      <pane xSplit="6" ySplit="3" topLeftCell="G4" activePane="bottomRight" state="frozen"/>
      <selection pane="topRight" activeCell="G1" sqref="G1"/>
      <selection pane="bottomLeft" activeCell="A4" sqref="A4"/>
      <selection pane="bottomRight" activeCell="I132" sqref="I132"/>
    </sheetView>
  </sheetViews>
  <sheetFormatPr defaultColWidth="0" defaultRowHeight="14" zeroHeight="1" x14ac:dyDescent="0.3"/>
  <cols>
    <col min="1" max="1" width="14.54296875" style="15" customWidth="1"/>
    <col min="2" max="2" width="16.54296875" style="15" customWidth="1"/>
    <col min="3" max="3" width="16.453125" style="15" customWidth="1"/>
    <col min="4" max="4" width="3" style="15" customWidth="1"/>
    <col min="5" max="5" width="4.1796875" style="15" customWidth="1"/>
    <col min="6" max="6" width="88.81640625" style="15" bestFit="1" customWidth="1"/>
    <col min="7" max="7" width="13.1796875" style="15" bestFit="1" customWidth="1"/>
    <col min="8" max="8" width="18.54296875" style="15" bestFit="1" customWidth="1"/>
    <col min="9" max="9" width="16.81640625" style="15" bestFit="1" customWidth="1"/>
    <col min="10" max="10" width="17.7265625" style="15" bestFit="1" customWidth="1"/>
    <col min="11" max="11" width="13" style="15" bestFit="1" customWidth="1"/>
    <col min="12" max="12" width="23.54296875" style="15" bestFit="1" customWidth="1"/>
    <col min="13" max="13" width="18.54296875" style="15" bestFit="1" customWidth="1"/>
    <col min="14" max="14" width="9.1796875" style="15" customWidth="1"/>
    <col min="15" max="16" width="12.1796875" style="15" customWidth="1"/>
    <col min="17" max="17" width="12.81640625" style="15" customWidth="1"/>
    <col min="18" max="18" width="11.453125" style="15" customWidth="1"/>
    <col min="19" max="33" width="9.1796875" style="15" customWidth="1"/>
    <col min="34" max="34" width="8.1796875" style="15" hidden="1" customWidth="1"/>
    <col min="35" max="16384" width="9.1796875" style="15" hidden="1"/>
  </cols>
  <sheetData>
    <row r="1" spans="1:13" ht="55.15" customHeight="1" x14ac:dyDescent="0.6">
      <c r="A1" s="1286"/>
      <c r="B1" s="1286"/>
      <c r="C1" s="1286"/>
      <c r="F1" s="185"/>
      <c r="G1" s="185"/>
      <c r="H1" s="185"/>
      <c r="I1" s="185"/>
      <c r="J1" s="185"/>
      <c r="K1" s="185"/>
      <c r="L1" s="185"/>
      <c r="M1" s="185"/>
    </row>
    <row r="2" spans="1:13" ht="29.5" customHeight="1" x14ac:dyDescent="0.6">
      <c r="A2" s="1313" t="s">
        <v>863</v>
      </c>
      <c r="B2" s="1313"/>
      <c r="C2" s="1313"/>
      <c r="F2" s="186"/>
      <c r="G2" s="1314" t="s">
        <v>864</v>
      </c>
      <c r="H2" s="1314"/>
      <c r="I2" s="1314"/>
      <c r="J2" s="1314"/>
      <c r="K2" s="1314"/>
      <c r="L2" s="1314"/>
      <c r="M2" s="1315"/>
    </row>
    <row r="3" spans="1:13" ht="28" x14ac:dyDescent="0.3">
      <c r="A3" s="62" t="s">
        <v>865</v>
      </c>
      <c r="B3" s="62" t="s">
        <v>866</v>
      </c>
      <c r="C3" s="62" t="s">
        <v>867</v>
      </c>
      <c r="F3" s="187" t="s">
        <v>754</v>
      </c>
      <c r="G3" s="63" t="s">
        <v>36</v>
      </c>
      <c r="H3" s="63" t="s">
        <v>302</v>
      </c>
      <c r="I3" s="63" t="s">
        <v>35</v>
      </c>
      <c r="J3" s="63" t="s">
        <v>312</v>
      </c>
      <c r="K3" s="84" t="s">
        <v>194</v>
      </c>
      <c r="L3" s="84" t="s">
        <v>322</v>
      </c>
      <c r="M3" s="63" t="s">
        <v>326</v>
      </c>
    </row>
    <row r="4" spans="1:13" x14ac:dyDescent="0.3">
      <c r="A4" s="63">
        <v>0</v>
      </c>
      <c r="B4" s="331">
        <v>100</v>
      </c>
      <c r="C4" s="396">
        <v>1</v>
      </c>
      <c r="F4" s="52" t="str">
        <f>'G-1 All Habitats'!B3</f>
        <v>Cropland - Arable field margins cultivated annually</v>
      </c>
      <c r="G4" s="331" t="s">
        <v>1606</v>
      </c>
      <c r="H4" s="331" t="s">
        <v>1606</v>
      </c>
      <c r="I4" s="331" t="s">
        <v>1606</v>
      </c>
      <c r="J4" s="331" t="s">
        <v>1606</v>
      </c>
      <c r="K4" s="331" t="s">
        <v>1606</v>
      </c>
      <c r="L4" s="331">
        <v>1</v>
      </c>
      <c r="M4" s="331" t="s">
        <v>1606</v>
      </c>
    </row>
    <row r="5" spans="1:13" x14ac:dyDescent="0.3">
      <c r="A5" s="63">
        <v>1</v>
      </c>
      <c r="B5" s="331">
        <v>96.5</v>
      </c>
      <c r="C5" s="396">
        <v>0.96499999999999997</v>
      </c>
      <c r="F5" s="52" t="str">
        <f>'G-1 All Habitats'!B4</f>
        <v>Cropland - Arable field margins game bird mix</v>
      </c>
      <c r="G5" s="331" t="s">
        <v>1606</v>
      </c>
      <c r="H5" s="331" t="s">
        <v>1606</v>
      </c>
      <c r="I5" s="331" t="s">
        <v>1606</v>
      </c>
      <c r="J5" s="331" t="s">
        <v>1606</v>
      </c>
      <c r="K5" s="331" t="s">
        <v>1606</v>
      </c>
      <c r="L5" s="331">
        <v>1</v>
      </c>
      <c r="M5" s="331" t="s">
        <v>1606</v>
      </c>
    </row>
    <row r="6" spans="1:13" x14ac:dyDescent="0.3">
      <c r="A6" s="63">
        <v>2</v>
      </c>
      <c r="B6" s="331">
        <v>93.122500000000002</v>
      </c>
      <c r="C6" s="396">
        <v>0.93122499999999997</v>
      </c>
      <c r="F6" s="52" t="str">
        <f>'G-1 All Habitats'!B5</f>
        <v>Cropland - Arable field margins pollen and nectar</v>
      </c>
      <c r="G6" s="331" t="s">
        <v>1606</v>
      </c>
      <c r="H6" s="331" t="s">
        <v>1606</v>
      </c>
      <c r="I6" s="331" t="s">
        <v>1606</v>
      </c>
      <c r="J6" s="331" t="s">
        <v>1606</v>
      </c>
      <c r="K6" s="331" t="s">
        <v>1606</v>
      </c>
      <c r="L6" s="331">
        <v>1</v>
      </c>
      <c r="M6" s="331" t="s">
        <v>1606</v>
      </c>
    </row>
    <row r="7" spans="1:13" x14ac:dyDescent="0.3">
      <c r="A7" s="63">
        <v>3</v>
      </c>
      <c r="B7" s="331">
        <v>89.863212500000003</v>
      </c>
      <c r="C7" s="396">
        <v>0.898632125</v>
      </c>
      <c r="F7" s="52" t="str">
        <f>'G-1 All Habitats'!B6</f>
        <v>Cropland - Arable field margins tussocky</v>
      </c>
      <c r="G7" s="331" t="s">
        <v>1606</v>
      </c>
      <c r="H7" s="331" t="s">
        <v>1606</v>
      </c>
      <c r="I7" s="331" t="s">
        <v>1606</v>
      </c>
      <c r="J7" s="331" t="s">
        <v>1606</v>
      </c>
      <c r="K7" s="331" t="s">
        <v>1606</v>
      </c>
      <c r="L7" s="331">
        <v>1</v>
      </c>
      <c r="M7" s="331" t="s">
        <v>1606</v>
      </c>
    </row>
    <row r="8" spans="1:13" x14ac:dyDescent="0.3">
      <c r="A8" s="63">
        <v>4</v>
      </c>
      <c r="B8" s="331">
        <v>86.718000059999994</v>
      </c>
      <c r="C8" s="396">
        <v>0.86718000059999989</v>
      </c>
      <c r="F8" s="52" t="str">
        <f>'G-1 All Habitats'!B7</f>
        <v>Cropland - Cereal crops</v>
      </c>
      <c r="G8" s="331" t="s">
        <v>1606</v>
      </c>
      <c r="H8" s="331" t="s">
        <v>1606</v>
      </c>
      <c r="I8" s="331" t="s">
        <v>1606</v>
      </c>
      <c r="J8" s="331" t="s">
        <v>1606</v>
      </c>
      <c r="K8" s="331" t="s">
        <v>1606</v>
      </c>
      <c r="L8" s="331">
        <v>1</v>
      </c>
      <c r="M8" s="331" t="s">
        <v>1606</v>
      </c>
    </row>
    <row r="9" spans="1:13" x14ac:dyDescent="0.3">
      <c r="A9" s="63">
        <v>5</v>
      </c>
      <c r="B9" s="331">
        <v>83.682870059999999</v>
      </c>
      <c r="C9" s="396">
        <v>0.83682870060000003</v>
      </c>
      <c r="F9" s="52" t="str">
        <f>'G-1 All Habitats'!B8</f>
        <v>Cropland - Winter stubble</v>
      </c>
      <c r="G9" s="331" t="s">
        <v>1606</v>
      </c>
      <c r="H9" s="331" t="s">
        <v>1606</v>
      </c>
      <c r="I9" s="331" t="s">
        <v>1606</v>
      </c>
      <c r="J9" s="331" t="s">
        <v>1606</v>
      </c>
      <c r="K9" s="331" t="s">
        <v>1606</v>
      </c>
      <c r="L9" s="331">
        <v>1</v>
      </c>
      <c r="M9" s="331" t="s">
        <v>1606</v>
      </c>
    </row>
    <row r="10" spans="1:13" x14ac:dyDescent="0.3">
      <c r="A10" s="63">
        <v>6</v>
      </c>
      <c r="B10" s="331">
        <v>80.753969609999999</v>
      </c>
      <c r="C10" s="396">
        <v>0.80753969609999998</v>
      </c>
      <c r="F10" s="52" t="str">
        <f>'G-1 All Habitats'!B9</f>
        <v>Cropland - Horticulture</v>
      </c>
      <c r="G10" s="331" t="s">
        <v>1606</v>
      </c>
      <c r="H10" s="331" t="s">
        <v>1606</v>
      </c>
      <c r="I10" s="331" t="s">
        <v>1606</v>
      </c>
      <c r="J10" s="331" t="s">
        <v>1606</v>
      </c>
      <c r="K10" s="331" t="s">
        <v>1606</v>
      </c>
      <c r="L10" s="331">
        <v>1</v>
      </c>
      <c r="M10" s="331" t="s">
        <v>1606</v>
      </c>
    </row>
    <row r="11" spans="1:13" x14ac:dyDescent="0.3">
      <c r="A11" s="63">
        <v>7</v>
      </c>
      <c r="B11" s="331">
        <v>77.927580669999998</v>
      </c>
      <c r="C11" s="396">
        <v>0.77927580669999996</v>
      </c>
      <c r="F11" s="52" t="str">
        <f>'G-1 All Habitats'!B10</f>
        <v>Cropland - Intensive orchards</v>
      </c>
      <c r="G11" s="331" t="s">
        <v>1606</v>
      </c>
      <c r="H11" s="331" t="s">
        <v>1606</v>
      </c>
      <c r="I11" s="331" t="s">
        <v>1606</v>
      </c>
      <c r="J11" s="331" t="s">
        <v>1606</v>
      </c>
      <c r="K11" s="331" t="s">
        <v>1606</v>
      </c>
      <c r="L11" s="331">
        <v>1</v>
      </c>
      <c r="M11" s="331" t="s">
        <v>1606</v>
      </c>
    </row>
    <row r="12" spans="1:13" x14ac:dyDescent="0.3">
      <c r="A12" s="63">
        <v>8</v>
      </c>
      <c r="B12" s="331">
        <v>75.200115350000004</v>
      </c>
      <c r="C12" s="396">
        <v>0.75200115350000007</v>
      </c>
      <c r="F12" s="52" t="str">
        <f>'G-1 All Habitats'!B11</f>
        <v>Cropland - Non-cereal crops</v>
      </c>
      <c r="G12" s="331" t="s">
        <v>1606</v>
      </c>
      <c r="H12" s="331" t="s">
        <v>1606</v>
      </c>
      <c r="I12" s="331" t="s">
        <v>1606</v>
      </c>
      <c r="J12" s="331" t="s">
        <v>1606</v>
      </c>
      <c r="K12" s="331" t="s">
        <v>1606</v>
      </c>
      <c r="L12" s="331">
        <v>1</v>
      </c>
      <c r="M12" s="331" t="s">
        <v>1606</v>
      </c>
    </row>
    <row r="13" spans="1:13" x14ac:dyDescent="0.3">
      <c r="A13" s="63">
        <v>9</v>
      </c>
      <c r="B13" s="331">
        <v>72.568111310000006</v>
      </c>
      <c r="C13" s="396">
        <v>0.72568111310000005</v>
      </c>
      <c r="F13" s="52" t="str">
        <f>'G-1 All Habitats'!B12</f>
        <v>Cropland - Temporary grass and clover leys</v>
      </c>
      <c r="G13" s="331" t="s">
        <v>1606</v>
      </c>
      <c r="H13" s="331" t="s">
        <v>1606</v>
      </c>
      <c r="I13" s="331" t="s">
        <v>1606</v>
      </c>
      <c r="J13" s="331" t="s">
        <v>1606</v>
      </c>
      <c r="K13" s="331" t="s">
        <v>1606</v>
      </c>
      <c r="L13" s="331">
        <v>1</v>
      </c>
      <c r="M13" s="331" t="s">
        <v>1606</v>
      </c>
    </row>
    <row r="14" spans="1:13" x14ac:dyDescent="0.3">
      <c r="A14" s="63">
        <v>10</v>
      </c>
      <c r="B14" s="331">
        <v>70.028227419999993</v>
      </c>
      <c r="C14" s="396">
        <v>0.70028227419999989</v>
      </c>
      <c r="F14" s="52" t="str">
        <f>'G-1 All Habitats'!B13</f>
        <v>Grassland - Traditional orchards</v>
      </c>
      <c r="G14" s="331">
        <v>30</v>
      </c>
      <c r="H14" s="331">
        <v>25</v>
      </c>
      <c r="I14" s="331">
        <v>20</v>
      </c>
      <c r="J14" s="331">
        <v>10</v>
      </c>
      <c r="K14" s="331">
        <v>5</v>
      </c>
      <c r="L14" s="331" t="s">
        <v>1606</v>
      </c>
      <c r="M14" s="331" t="s">
        <v>1606</v>
      </c>
    </row>
    <row r="15" spans="1:13" x14ac:dyDescent="0.3">
      <c r="A15" s="63">
        <v>11</v>
      </c>
      <c r="B15" s="331">
        <v>67.577239460000001</v>
      </c>
      <c r="C15" s="396">
        <v>0.67577239460000005</v>
      </c>
      <c r="F15" s="52" t="str">
        <f>'G-1 All Habitats'!B14</f>
        <v>Grassland - Bracken</v>
      </c>
      <c r="G15" s="331" t="s">
        <v>1606</v>
      </c>
      <c r="H15" s="331" t="s">
        <v>1606</v>
      </c>
      <c r="I15" s="331" t="s">
        <v>1606</v>
      </c>
      <c r="J15" s="331" t="s">
        <v>1606</v>
      </c>
      <c r="K15" s="331" t="s">
        <v>1606</v>
      </c>
      <c r="L15" s="331">
        <v>1</v>
      </c>
      <c r="M15" s="331" t="s">
        <v>1606</v>
      </c>
    </row>
    <row r="16" spans="1:13" x14ac:dyDescent="0.3">
      <c r="A16" s="63">
        <v>12</v>
      </c>
      <c r="B16" s="331">
        <v>65.212036069999996</v>
      </c>
      <c r="C16" s="396">
        <v>0.65212036070000001</v>
      </c>
      <c r="F16" s="52" t="str">
        <f>'G-1 All Habitats'!B15</f>
        <v>Grassland - Floodplain wetland mosaic and CFGM</v>
      </c>
      <c r="G16" s="331">
        <v>20</v>
      </c>
      <c r="H16" s="331">
        <v>15</v>
      </c>
      <c r="I16" s="331">
        <v>10</v>
      </c>
      <c r="J16" s="331">
        <v>8</v>
      </c>
      <c r="K16" s="331">
        <v>5</v>
      </c>
      <c r="L16" s="331" t="s">
        <v>1606</v>
      </c>
      <c r="M16" s="331" t="s">
        <v>1606</v>
      </c>
    </row>
    <row r="17" spans="1:13" x14ac:dyDescent="0.3">
      <c r="A17" s="63">
        <v>13</v>
      </c>
      <c r="B17" s="331">
        <v>62.929614809999997</v>
      </c>
      <c r="C17" s="396">
        <v>0.62929614810000001</v>
      </c>
      <c r="F17" s="52" t="str">
        <f>'G-1 All Habitats'!B16</f>
        <v>Grassland - Lowland calcareous grassland</v>
      </c>
      <c r="G17" s="331">
        <v>20</v>
      </c>
      <c r="H17" s="331">
        <v>15</v>
      </c>
      <c r="I17" s="331">
        <v>10</v>
      </c>
      <c r="J17" s="331">
        <v>8</v>
      </c>
      <c r="K17" s="331">
        <v>5</v>
      </c>
      <c r="L17" s="331" t="s">
        <v>1606</v>
      </c>
      <c r="M17" s="331" t="s">
        <v>1606</v>
      </c>
    </row>
    <row r="18" spans="1:13" x14ac:dyDescent="0.3">
      <c r="A18" s="63">
        <v>14</v>
      </c>
      <c r="B18" s="331">
        <v>60.727078290000001</v>
      </c>
      <c r="C18" s="396">
        <v>0.60727078290000003</v>
      </c>
      <c r="F18" s="52" t="str">
        <f>'G-1 All Habitats'!B17</f>
        <v>Grassland - Lowland dry acid grassland</v>
      </c>
      <c r="G18" s="331" t="s">
        <v>868</v>
      </c>
      <c r="H18" s="331">
        <v>25</v>
      </c>
      <c r="I18" s="331">
        <v>20</v>
      </c>
      <c r="J18" s="331">
        <v>15</v>
      </c>
      <c r="K18" s="331">
        <v>10</v>
      </c>
      <c r="L18" s="331" t="s">
        <v>1606</v>
      </c>
      <c r="M18" s="331" t="s">
        <v>1606</v>
      </c>
    </row>
    <row r="19" spans="1:13" x14ac:dyDescent="0.3">
      <c r="A19" s="63">
        <v>15</v>
      </c>
      <c r="B19" s="331">
        <v>58.601630550000003</v>
      </c>
      <c r="C19" s="396">
        <v>0.58601630550000006</v>
      </c>
      <c r="F19" s="52" t="str">
        <f>'G-1 All Habitats'!B18</f>
        <v>Grassland - Lowland meadows</v>
      </c>
      <c r="G19" s="331">
        <v>15</v>
      </c>
      <c r="H19" s="331">
        <v>12</v>
      </c>
      <c r="I19" s="331">
        <v>10</v>
      </c>
      <c r="J19" s="331">
        <v>8</v>
      </c>
      <c r="K19" s="331">
        <v>5</v>
      </c>
      <c r="L19" s="331" t="s">
        <v>1606</v>
      </c>
      <c r="M19" s="331" t="s">
        <v>1606</v>
      </c>
    </row>
    <row r="20" spans="1:13" x14ac:dyDescent="0.3">
      <c r="A20" s="63">
        <v>16</v>
      </c>
      <c r="B20" s="331">
        <v>56.550573479999997</v>
      </c>
      <c r="C20" s="396">
        <v>0.56550573479999999</v>
      </c>
      <c r="F20" s="52" t="str">
        <f>'G-1 All Habitats'!B19</f>
        <v>Grassland - Modified grassland</v>
      </c>
      <c r="G20" s="331">
        <v>7</v>
      </c>
      <c r="H20" s="331">
        <v>5</v>
      </c>
      <c r="I20" s="331">
        <v>4</v>
      </c>
      <c r="J20" s="331">
        <v>2</v>
      </c>
      <c r="K20" s="331">
        <v>1</v>
      </c>
      <c r="L20" s="331" t="s">
        <v>1606</v>
      </c>
      <c r="M20" s="331" t="s">
        <v>1606</v>
      </c>
    </row>
    <row r="21" spans="1:13" ht="15" customHeight="1" x14ac:dyDescent="0.3">
      <c r="A21" s="63">
        <v>17</v>
      </c>
      <c r="B21" s="331">
        <v>54.571303409999999</v>
      </c>
      <c r="C21" s="396">
        <v>0.54571303409999994</v>
      </c>
      <c r="F21" s="52" t="str">
        <f>'G-1 All Habitats'!B20</f>
        <v>Grassland - Other lowland acid grassland</v>
      </c>
      <c r="G21" s="331">
        <v>15</v>
      </c>
      <c r="H21" s="331">
        <v>12</v>
      </c>
      <c r="I21" s="331">
        <v>10</v>
      </c>
      <c r="J21" s="331">
        <v>5</v>
      </c>
      <c r="K21" s="331">
        <v>1</v>
      </c>
      <c r="L21" s="331" t="s">
        <v>1606</v>
      </c>
      <c r="M21" s="331" t="s">
        <v>1606</v>
      </c>
    </row>
    <row r="22" spans="1:13" ht="15" customHeight="1" x14ac:dyDescent="0.3">
      <c r="A22" s="63">
        <v>18</v>
      </c>
      <c r="B22" s="331">
        <v>52.661307790000002</v>
      </c>
      <c r="C22" s="396">
        <v>0.5266130779</v>
      </c>
      <c r="F22" s="52" t="str">
        <f>'G-1 All Habitats'!B21</f>
        <v>Grassland - Other neutral grassland</v>
      </c>
      <c r="G22" s="331">
        <v>10</v>
      </c>
      <c r="H22" s="331">
        <v>7</v>
      </c>
      <c r="I22" s="331">
        <v>5</v>
      </c>
      <c r="J22" s="331">
        <v>3</v>
      </c>
      <c r="K22" s="331">
        <v>2</v>
      </c>
      <c r="L22" s="331" t="s">
        <v>1606</v>
      </c>
      <c r="M22" s="331" t="s">
        <v>1606</v>
      </c>
    </row>
    <row r="23" spans="1:13" ht="15" customHeight="1" x14ac:dyDescent="0.3">
      <c r="A23" s="63">
        <v>19</v>
      </c>
      <c r="B23" s="331">
        <v>50.818162020000003</v>
      </c>
      <c r="C23" s="396">
        <v>0.50818162020000002</v>
      </c>
      <c r="F23" s="52" t="str">
        <f>'G-1 All Habitats'!B22</f>
        <v>Grassland - Tall herb communities (H6430)</v>
      </c>
      <c r="G23" s="331">
        <v>30</v>
      </c>
      <c r="H23" s="331">
        <v>25</v>
      </c>
      <c r="I23" s="331">
        <v>20</v>
      </c>
      <c r="J23" s="331">
        <v>15</v>
      </c>
      <c r="K23" s="331">
        <v>10</v>
      </c>
      <c r="L23" s="331" t="s">
        <v>1606</v>
      </c>
      <c r="M23" s="331" t="s">
        <v>1606</v>
      </c>
    </row>
    <row r="24" spans="1:13" ht="15" customHeight="1" x14ac:dyDescent="0.3">
      <c r="A24" s="63">
        <v>20</v>
      </c>
      <c r="B24" s="331">
        <v>49.039526350000003</v>
      </c>
      <c r="C24" s="396">
        <v>0.49039526350000001</v>
      </c>
      <c r="F24" s="52" t="str">
        <f>'G-1 All Habitats'!B23</f>
        <v>Grassland - Upland acid grassland</v>
      </c>
      <c r="G24" s="331">
        <v>15</v>
      </c>
      <c r="H24" s="331">
        <v>12</v>
      </c>
      <c r="I24" s="331">
        <v>10</v>
      </c>
      <c r="J24" s="331">
        <v>5</v>
      </c>
      <c r="K24" s="331">
        <v>1</v>
      </c>
      <c r="L24" s="331" t="s">
        <v>1606</v>
      </c>
      <c r="M24" s="331" t="s">
        <v>1606</v>
      </c>
    </row>
    <row r="25" spans="1:13" ht="15" customHeight="1" x14ac:dyDescent="0.3">
      <c r="A25" s="63">
        <v>21</v>
      </c>
      <c r="B25" s="331">
        <v>47.323142930000003</v>
      </c>
      <c r="C25" s="396">
        <v>0.47323142930000001</v>
      </c>
      <c r="F25" s="52" t="str">
        <f>'G-1 All Habitats'!B24</f>
        <v>Grassland - Upland calcareous grassland</v>
      </c>
      <c r="G25" s="331">
        <v>25</v>
      </c>
      <c r="H25" s="331">
        <v>20</v>
      </c>
      <c r="I25" s="331">
        <v>15</v>
      </c>
      <c r="J25" s="331">
        <v>12</v>
      </c>
      <c r="K25" s="331">
        <v>10</v>
      </c>
      <c r="L25" s="331" t="s">
        <v>1606</v>
      </c>
      <c r="M25" s="331" t="s">
        <v>1606</v>
      </c>
    </row>
    <row r="26" spans="1:13" ht="15" customHeight="1" x14ac:dyDescent="0.3">
      <c r="A26" s="63">
        <v>22</v>
      </c>
      <c r="B26" s="331">
        <v>45.666832919999997</v>
      </c>
      <c r="C26" s="396">
        <v>0.4566683292</v>
      </c>
      <c r="F26" s="52" t="str">
        <f>'G-1 All Habitats'!B25</f>
        <v>Grassland - Upland hay meadows</v>
      </c>
      <c r="G26" s="331">
        <v>20</v>
      </c>
      <c r="H26" s="331">
        <v>18</v>
      </c>
      <c r="I26" s="331">
        <v>15</v>
      </c>
      <c r="J26" s="331">
        <v>12</v>
      </c>
      <c r="K26" s="331">
        <v>10</v>
      </c>
      <c r="L26" s="331" t="s">
        <v>1606</v>
      </c>
      <c r="M26" s="331" t="s">
        <v>1606</v>
      </c>
    </row>
    <row r="27" spans="1:13" x14ac:dyDescent="0.3">
      <c r="A27" s="63">
        <v>23</v>
      </c>
      <c r="B27" s="331">
        <v>44.068493770000003</v>
      </c>
      <c r="C27" s="396">
        <v>0.44068493770000006</v>
      </c>
      <c r="F27" s="52" t="str">
        <f>'G-1 All Habitats'!B26</f>
        <v>Heathland and shrub - Blackthorn scrub</v>
      </c>
      <c r="G27" s="331">
        <v>10</v>
      </c>
      <c r="H27" s="331">
        <v>7</v>
      </c>
      <c r="I27" s="331">
        <v>5</v>
      </c>
      <c r="J27" s="331">
        <v>3</v>
      </c>
      <c r="K27" s="331">
        <v>1</v>
      </c>
      <c r="L27" s="331" t="s">
        <v>1606</v>
      </c>
      <c r="M27" s="331" t="s">
        <v>1606</v>
      </c>
    </row>
    <row r="28" spans="1:13" x14ac:dyDescent="0.3">
      <c r="A28" s="63">
        <v>24</v>
      </c>
      <c r="B28" s="331">
        <v>42.52609649</v>
      </c>
      <c r="C28" s="396">
        <v>0.42526096489999998</v>
      </c>
      <c r="F28" s="52" t="str">
        <f>'G-1 All Habitats'!B27</f>
        <v>Heathland and shrub - Bramble scrub</v>
      </c>
      <c r="G28" s="331" t="s">
        <v>1606</v>
      </c>
      <c r="H28" s="331" t="s">
        <v>1606</v>
      </c>
      <c r="I28" s="331" t="s">
        <v>1606</v>
      </c>
      <c r="J28" s="331" t="s">
        <v>1606</v>
      </c>
      <c r="K28" s="331" t="s">
        <v>1606</v>
      </c>
      <c r="L28" s="331">
        <v>1</v>
      </c>
      <c r="M28" s="331" t="s">
        <v>1606</v>
      </c>
    </row>
    <row r="29" spans="1:13" x14ac:dyDescent="0.3">
      <c r="A29" s="63">
        <v>25</v>
      </c>
      <c r="B29" s="331">
        <v>41.037683110000003</v>
      </c>
      <c r="C29" s="396">
        <v>0.41037683110000001</v>
      </c>
      <c r="F29" s="52" t="str">
        <f>'G-1 All Habitats'!B28</f>
        <v>Heathland and shrub - Gorse scrub</v>
      </c>
      <c r="G29" s="331">
        <v>10</v>
      </c>
      <c r="H29" s="331">
        <v>7</v>
      </c>
      <c r="I29" s="331">
        <v>5</v>
      </c>
      <c r="J29" s="331">
        <v>3</v>
      </c>
      <c r="K29" s="331">
        <v>1</v>
      </c>
      <c r="L29" s="331" t="s">
        <v>1606</v>
      </c>
      <c r="M29" s="331" t="s">
        <v>1606</v>
      </c>
    </row>
    <row r="30" spans="1:13" x14ac:dyDescent="0.3">
      <c r="A30" s="63">
        <v>26</v>
      </c>
      <c r="B30" s="331">
        <v>39.601364199999999</v>
      </c>
      <c r="C30" s="396">
        <v>0.396013642</v>
      </c>
      <c r="F30" s="52" t="str">
        <f>'G-1 All Habitats'!B29</f>
        <v>Heathland and shrub - Hawthorn scrub</v>
      </c>
      <c r="G30" s="331">
        <v>10</v>
      </c>
      <c r="H30" s="331">
        <v>7</v>
      </c>
      <c r="I30" s="331">
        <v>5</v>
      </c>
      <c r="J30" s="331">
        <v>3</v>
      </c>
      <c r="K30" s="331">
        <v>1</v>
      </c>
      <c r="L30" s="331" t="s">
        <v>1606</v>
      </c>
      <c r="M30" s="331" t="s">
        <v>1606</v>
      </c>
    </row>
    <row r="31" spans="1:13" x14ac:dyDescent="0.3">
      <c r="A31" s="63">
        <v>27</v>
      </c>
      <c r="B31" s="331">
        <v>38.215316459999997</v>
      </c>
      <c r="C31" s="396">
        <v>0.38215316459999998</v>
      </c>
      <c r="F31" s="52" t="str">
        <f>'G-1 All Habitats'!B30</f>
        <v>Heathland and shrub - Hazel scrub</v>
      </c>
      <c r="G31" s="331">
        <v>15</v>
      </c>
      <c r="H31" s="331">
        <v>12</v>
      </c>
      <c r="I31" s="331">
        <v>10</v>
      </c>
      <c r="J31" s="331">
        <v>7</v>
      </c>
      <c r="K31" s="331">
        <v>5</v>
      </c>
      <c r="L31" s="331" t="s">
        <v>1606</v>
      </c>
      <c r="M31" s="331" t="s">
        <v>1606</v>
      </c>
    </row>
    <row r="32" spans="1:13" x14ac:dyDescent="0.3">
      <c r="A32" s="63">
        <v>28</v>
      </c>
      <c r="B32" s="331">
        <v>36.877780379999997</v>
      </c>
      <c r="C32" s="396">
        <v>0.36877780379999997</v>
      </c>
      <c r="F32" s="52" t="s">
        <v>434</v>
      </c>
      <c r="G32" s="331">
        <v>15</v>
      </c>
      <c r="H32" s="331">
        <v>12</v>
      </c>
      <c r="I32" s="331">
        <v>10</v>
      </c>
      <c r="J32" s="331">
        <v>7</v>
      </c>
      <c r="K32" s="331">
        <v>5</v>
      </c>
      <c r="L32" s="331" t="s">
        <v>1606</v>
      </c>
      <c r="M32" s="331" t="s">
        <v>1606</v>
      </c>
    </row>
    <row r="33" spans="1:13" x14ac:dyDescent="0.3">
      <c r="A33" s="63">
        <v>29</v>
      </c>
      <c r="B33" s="331">
        <v>35.587058069999998</v>
      </c>
      <c r="C33" s="396">
        <v>0.35587058069999999</v>
      </c>
      <c r="F33" s="52" t="str">
        <f>'G-1 All Habitats'!B31</f>
        <v>Heathland and shrub - Lowland heathland</v>
      </c>
      <c r="G33" s="331" t="s">
        <v>868</v>
      </c>
      <c r="H33" s="331">
        <v>25</v>
      </c>
      <c r="I33" s="331">
        <v>20</v>
      </c>
      <c r="J33" s="331">
        <v>15</v>
      </c>
      <c r="K33" s="331">
        <v>10</v>
      </c>
      <c r="L33" s="331" t="s">
        <v>1606</v>
      </c>
      <c r="M33" s="331" t="s">
        <v>1606</v>
      </c>
    </row>
    <row r="34" spans="1:13" x14ac:dyDescent="0.3">
      <c r="A34" s="63">
        <v>30</v>
      </c>
      <c r="B34" s="331">
        <v>34.34151104</v>
      </c>
      <c r="C34" s="396">
        <v>0.3434151104</v>
      </c>
      <c r="F34" s="52" t="str">
        <f>'G-1 All Habitats'!B32</f>
        <v>Heathland and shrub - Mixed scrub</v>
      </c>
      <c r="G34" s="331">
        <v>10</v>
      </c>
      <c r="H34" s="331">
        <v>7</v>
      </c>
      <c r="I34" s="331">
        <v>5</v>
      </c>
      <c r="J34" s="331">
        <v>3</v>
      </c>
      <c r="K34" s="331">
        <v>1</v>
      </c>
      <c r="L34" s="331" t="s">
        <v>1606</v>
      </c>
      <c r="M34" s="331" t="s">
        <v>1606</v>
      </c>
    </row>
    <row r="35" spans="1:13" x14ac:dyDescent="0.3">
      <c r="A35" s="63">
        <v>31</v>
      </c>
      <c r="B35" s="331">
        <v>33.139558149999999</v>
      </c>
      <c r="C35" s="396">
        <v>0.33139558149999998</v>
      </c>
      <c r="F35" s="52" t="str">
        <f>'G-1 All Habitats'!B33</f>
        <v>Heathland and shrub - Mountain heaths and willow scrub</v>
      </c>
      <c r="G35" s="331" t="s">
        <v>868</v>
      </c>
      <c r="H35" s="331" t="s">
        <v>868</v>
      </c>
      <c r="I35" s="331">
        <v>25</v>
      </c>
      <c r="J35" s="331">
        <v>23</v>
      </c>
      <c r="K35" s="331">
        <v>15</v>
      </c>
      <c r="L35" s="331" t="s">
        <v>1606</v>
      </c>
      <c r="M35" s="331" t="s">
        <v>1606</v>
      </c>
    </row>
    <row r="36" spans="1:13" x14ac:dyDescent="0.3">
      <c r="A36" s="63" t="s">
        <v>868</v>
      </c>
      <c r="B36" s="361">
        <v>31.979673609999999</v>
      </c>
      <c r="C36" s="396">
        <v>0.31979673609999998</v>
      </c>
      <c r="F36" s="52" t="str">
        <f>'G-1 All Habitats'!B34</f>
        <v>Heathland and shrub - Rhododendron scrub</v>
      </c>
      <c r="G36" s="331" t="s">
        <v>1606</v>
      </c>
      <c r="H36" s="331" t="s">
        <v>1606</v>
      </c>
      <c r="I36" s="331" t="s">
        <v>1606</v>
      </c>
      <c r="J36" s="331" t="s">
        <v>1606</v>
      </c>
      <c r="K36" s="331" t="s">
        <v>1606</v>
      </c>
      <c r="L36" s="331">
        <v>1</v>
      </c>
      <c r="M36" s="331" t="s">
        <v>1606</v>
      </c>
    </row>
    <row r="37" spans="1:13" x14ac:dyDescent="0.3">
      <c r="A37" s="188" t="s">
        <v>1606</v>
      </c>
      <c r="B37" s="397" t="s">
        <v>857</v>
      </c>
      <c r="C37" s="397" t="s">
        <v>857</v>
      </c>
      <c r="F37" s="52" t="str">
        <f>'G-1 All Habitats'!B35</f>
        <v>Heathland and shrub - Dunes with sea buckthorn (H2160)</v>
      </c>
      <c r="G37" s="331">
        <v>10</v>
      </c>
      <c r="H37" s="331">
        <v>7</v>
      </c>
      <c r="I37" s="331">
        <v>5</v>
      </c>
      <c r="J37" s="331">
        <v>3</v>
      </c>
      <c r="K37" s="331">
        <v>1</v>
      </c>
      <c r="L37" s="331" t="s">
        <v>1606</v>
      </c>
      <c r="M37" s="331" t="s">
        <v>1606</v>
      </c>
    </row>
    <row r="38" spans="1:13" x14ac:dyDescent="0.3">
      <c r="F38" s="52" t="str">
        <f>'G-1 All Habitats'!B36</f>
        <v>Heathland and shrub - Other sea buckthorn scrub</v>
      </c>
      <c r="G38" s="331" t="s">
        <v>1606</v>
      </c>
      <c r="H38" s="331" t="s">
        <v>1606</v>
      </c>
      <c r="I38" s="331" t="s">
        <v>1606</v>
      </c>
      <c r="J38" s="331" t="s">
        <v>1606</v>
      </c>
      <c r="K38" s="331" t="s">
        <v>1606</v>
      </c>
      <c r="L38" s="331">
        <v>1</v>
      </c>
      <c r="M38" s="331" t="s">
        <v>1606</v>
      </c>
    </row>
    <row r="39" spans="1:13" x14ac:dyDescent="0.3">
      <c r="A39" s="18"/>
      <c r="B39" s="18"/>
      <c r="C39" s="18"/>
      <c r="F39" s="52" t="str">
        <f>'G-1 All Habitats'!B38</f>
        <v>Heathland and shrub - Upland heathland</v>
      </c>
      <c r="G39" s="331">
        <v>30</v>
      </c>
      <c r="H39" s="331">
        <v>25</v>
      </c>
      <c r="I39" s="331">
        <v>20</v>
      </c>
      <c r="J39" s="331">
        <v>15</v>
      </c>
      <c r="K39" s="331">
        <v>10</v>
      </c>
      <c r="L39" s="331" t="s">
        <v>1606</v>
      </c>
      <c r="M39" s="331" t="s">
        <v>1606</v>
      </c>
    </row>
    <row r="40" spans="1:13" ht="42" x14ac:dyDescent="0.3">
      <c r="A40" s="189" t="s">
        <v>869</v>
      </c>
      <c r="B40" s="18"/>
      <c r="C40" s="18"/>
      <c r="F40" s="52" t="str">
        <f>'G-1 All Habitats'!B39</f>
        <v>Lakes - Aquifer fed naturally fluctuating water bodies</v>
      </c>
      <c r="G40" s="331">
        <v>30</v>
      </c>
      <c r="H40" s="331">
        <v>20</v>
      </c>
      <c r="I40" s="331">
        <v>15</v>
      </c>
      <c r="J40" s="331">
        <v>10</v>
      </c>
      <c r="K40" s="331">
        <v>1</v>
      </c>
      <c r="L40" s="331" t="s">
        <v>1606</v>
      </c>
      <c r="M40" s="331" t="s">
        <v>1606</v>
      </c>
    </row>
    <row r="41" spans="1:13" x14ac:dyDescent="0.3">
      <c r="A41" s="62" t="s">
        <v>865</v>
      </c>
      <c r="B41" s="18"/>
      <c r="C41" s="18"/>
      <c r="F41" s="52" t="str">
        <f>'G-1 All Habitats'!B41</f>
        <v>Lakes - High alkalinity lakes</v>
      </c>
      <c r="G41" s="331">
        <v>30</v>
      </c>
      <c r="H41" s="331">
        <v>20</v>
      </c>
      <c r="I41" s="331">
        <v>10</v>
      </c>
      <c r="J41" s="331">
        <v>7</v>
      </c>
      <c r="K41" s="331">
        <v>5</v>
      </c>
      <c r="L41" s="331" t="s">
        <v>1606</v>
      </c>
      <c r="M41" s="331" t="s">
        <v>1606</v>
      </c>
    </row>
    <row r="42" spans="1:13" x14ac:dyDescent="0.3">
      <c r="A42" s="331">
        <v>0</v>
      </c>
      <c r="B42" s="18"/>
      <c r="C42" s="18"/>
      <c r="F42" s="52" t="str">
        <f>'G-1 All Habitats'!B42</f>
        <v>Lakes - Low alkalinity lakes</v>
      </c>
      <c r="G42" s="331">
        <v>30</v>
      </c>
      <c r="H42" s="331">
        <v>20</v>
      </c>
      <c r="I42" s="331">
        <v>10</v>
      </c>
      <c r="J42" s="331">
        <v>7</v>
      </c>
      <c r="K42" s="331">
        <v>5</v>
      </c>
      <c r="L42" s="331" t="s">
        <v>1606</v>
      </c>
      <c r="M42" s="331" t="s">
        <v>1606</v>
      </c>
    </row>
    <row r="43" spans="1:13" x14ac:dyDescent="0.3">
      <c r="A43" s="331">
        <v>1</v>
      </c>
      <c r="B43" s="18"/>
      <c r="C43" s="18"/>
      <c r="F43" s="52" t="str">
        <f>'G-1 All Habitats'!B43</f>
        <v>Lakes - Marl lakes</v>
      </c>
      <c r="G43" s="331">
        <v>30</v>
      </c>
      <c r="H43" s="331">
        <v>20</v>
      </c>
      <c r="I43" s="331">
        <v>10</v>
      </c>
      <c r="J43" s="331">
        <v>7</v>
      </c>
      <c r="K43" s="331">
        <v>5</v>
      </c>
      <c r="L43" s="331" t="s">
        <v>1606</v>
      </c>
      <c r="M43" s="331" t="s">
        <v>1606</v>
      </c>
    </row>
    <row r="44" spans="1:13" x14ac:dyDescent="0.3">
      <c r="A44" s="331">
        <v>2</v>
      </c>
      <c r="B44" s="18"/>
      <c r="C44" s="18"/>
      <c r="F44" s="52" t="str">
        <f>'G-1 All Habitats'!B44</f>
        <v>Lakes - Moderate alkalinity lakes</v>
      </c>
      <c r="G44" s="331">
        <v>30</v>
      </c>
      <c r="H44" s="331">
        <v>20</v>
      </c>
      <c r="I44" s="331">
        <v>10</v>
      </c>
      <c r="J44" s="331">
        <v>7</v>
      </c>
      <c r="K44" s="331">
        <v>5</v>
      </c>
      <c r="L44" s="331" t="s">
        <v>1606</v>
      </c>
      <c r="M44" s="331" t="s">
        <v>1606</v>
      </c>
    </row>
    <row r="45" spans="1:13" x14ac:dyDescent="0.3">
      <c r="A45" s="331">
        <v>3</v>
      </c>
      <c r="B45" s="18"/>
      <c r="C45" s="18"/>
      <c r="F45" s="52" t="str">
        <f>'G-1 All Habitats'!B45</f>
        <v>Lakes - Peat lakes</v>
      </c>
      <c r="G45" s="331">
        <v>30</v>
      </c>
      <c r="H45" s="331">
        <v>20</v>
      </c>
      <c r="I45" s="331">
        <v>10</v>
      </c>
      <c r="J45" s="331">
        <v>7</v>
      </c>
      <c r="K45" s="331">
        <v>5</v>
      </c>
      <c r="L45" s="331" t="s">
        <v>1606</v>
      </c>
      <c r="M45" s="331" t="s">
        <v>1606</v>
      </c>
    </row>
    <row r="46" spans="1:13" x14ac:dyDescent="0.3">
      <c r="A46" s="331">
        <v>4</v>
      </c>
      <c r="B46" s="18"/>
      <c r="C46" s="18"/>
      <c r="F46" s="52" t="str">
        <f>'G-1 All Habitats'!B46</f>
        <v>Lakes - Ponds (priority habitat)</v>
      </c>
      <c r="G46" s="331">
        <v>5</v>
      </c>
      <c r="H46" s="331">
        <v>4</v>
      </c>
      <c r="I46" s="331">
        <v>3</v>
      </c>
      <c r="J46" s="331">
        <v>2</v>
      </c>
      <c r="K46" s="331">
        <v>1</v>
      </c>
      <c r="L46" s="331" t="s">
        <v>1606</v>
      </c>
      <c r="M46" s="331" t="s">
        <v>1606</v>
      </c>
    </row>
    <row r="47" spans="1:13" x14ac:dyDescent="0.3">
      <c r="A47" s="331">
        <v>5</v>
      </c>
      <c r="B47" s="18"/>
      <c r="C47" s="18"/>
      <c r="F47" s="52" t="str">
        <f>'G-1 All Habitats'!B47</f>
        <v>Lakes - Ponds (non-priority habitat)</v>
      </c>
      <c r="G47" s="331">
        <v>5</v>
      </c>
      <c r="H47" s="331">
        <v>4</v>
      </c>
      <c r="I47" s="331">
        <v>3</v>
      </c>
      <c r="J47" s="331">
        <v>2</v>
      </c>
      <c r="K47" s="331">
        <v>1</v>
      </c>
      <c r="L47" s="331" t="s">
        <v>1606</v>
      </c>
      <c r="M47" s="331" t="s">
        <v>1606</v>
      </c>
    </row>
    <row r="48" spans="1:13" x14ac:dyDescent="0.3">
      <c r="A48" s="331">
        <v>6</v>
      </c>
      <c r="B48" s="18"/>
      <c r="C48" s="18"/>
      <c r="F48" s="52" t="str">
        <f>'G-1 All Habitats'!B48</f>
        <v>Lakes - Reservoirs</v>
      </c>
      <c r="G48" s="331">
        <v>10</v>
      </c>
      <c r="H48" s="331">
        <v>7</v>
      </c>
      <c r="I48" s="331">
        <v>5</v>
      </c>
      <c r="J48" s="331">
        <v>3</v>
      </c>
      <c r="K48" s="331">
        <v>1</v>
      </c>
      <c r="L48" s="331" t="s">
        <v>1606</v>
      </c>
      <c r="M48" s="331" t="s">
        <v>1606</v>
      </c>
    </row>
    <row r="49" spans="1:13" x14ac:dyDescent="0.3">
      <c r="A49" s="331">
        <v>7</v>
      </c>
      <c r="B49" s="18"/>
      <c r="C49" s="18"/>
      <c r="F49" s="52" t="str">
        <f>'G-1 All Habitats'!B49</f>
        <v>Lakes - Temporary lakes ponds and pools (H3170)</v>
      </c>
      <c r="G49" s="331">
        <v>5</v>
      </c>
      <c r="H49" s="331">
        <v>4</v>
      </c>
      <c r="I49" s="331">
        <v>3</v>
      </c>
      <c r="J49" s="331">
        <v>2</v>
      </c>
      <c r="K49" s="331">
        <v>1</v>
      </c>
      <c r="L49" s="331" t="s">
        <v>1606</v>
      </c>
      <c r="M49" s="331" t="s">
        <v>1606</v>
      </c>
    </row>
    <row r="50" spans="1:13" x14ac:dyDescent="0.3">
      <c r="A50" s="331">
        <v>8</v>
      </c>
      <c r="B50" s="18"/>
      <c r="C50" s="18"/>
      <c r="F50" s="52" t="str">
        <f>'G-1 All Habitats'!B50</f>
        <v>Sparsely vegetated land - Calaminarian grasslands</v>
      </c>
      <c r="G50" s="331">
        <v>10</v>
      </c>
      <c r="H50" s="331">
        <v>7</v>
      </c>
      <c r="I50" s="331">
        <v>5</v>
      </c>
      <c r="J50" s="331">
        <v>3</v>
      </c>
      <c r="K50" s="331">
        <v>2</v>
      </c>
      <c r="L50" s="331" t="s">
        <v>1606</v>
      </c>
      <c r="M50" s="331" t="s">
        <v>1606</v>
      </c>
    </row>
    <row r="51" spans="1:13" x14ac:dyDescent="0.3">
      <c r="A51" s="331">
        <v>9</v>
      </c>
      <c r="B51" s="18"/>
      <c r="C51" s="18"/>
      <c r="F51" s="52" t="str">
        <f>'G-1 All Habitats'!B51</f>
        <v>Sparsely vegetated land - Coastal sand dunes</v>
      </c>
      <c r="G51" s="331">
        <v>20</v>
      </c>
      <c r="H51" s="331">
        <v>15</v>
      </c>
      <c r="I51" s="331">
        <v>10</v>
      </c>
      <c r="J51" s="331">
        <v>7</v>
      </c>
      <c r="K51" s="331">
        <v>5</v>
      </c>
      <c r="L51" s="331" t="s">
        <v>1606</v>
      </c>
      <c r="M51" s="331" t="s">
        <v>1606</v>
      </c>
    </row>
    <row r="52" spans="1:13" x14ac:dyDescent="0.3">
      <c r="A52" s="331">
        <v>10</v>
      </c>
      <c r="B52" s="18"/>
      <c r="C52" s="18"/>
      <c r="F52" s="52" t="str">
        <f>'G-1 All Habitats'!B52</f>
        <v>Sparsely vegetated land - Coastal vegetated shingle</v>
      </c>
      <c r="G52" s="331">
        <v>20</v>
      </c>
      <c r="H52" s="331">
        <v>15</v>
      </c>
      <c r="I52" s="331">
        <v>10</v>
      </c>
      <c r="J52" s="331">
        <v>7</v>
      </c>
      <c r="K52" s="331">
        <v>5</v>
      </c>
      <c r="L52" s="331" t="s">
        <v>1606</v>
      </c>
      <c r="M52" s="331" t="s">
        <v>1606</v>
      </c>
    </row>
    <row r="53" spans="1:13" x14ac:dyDescent="0.3">
      <c r="A53" s="331">
        <v>11</v>
      </c>
      <c r="B53" s="18"/>
      <c r="C53" s="18"/>
      <c r="F53" s="52" t="str">
        <f>'G-1 All Habitats'!B53</f>
        <v>Sparsely vegetated land - Ruderal/Ephemeral</v>
      </c>
      <c r="G53" s="331">
        <v>5</v>
      </c>
      <c r="H53" s="331">
        <v>4</v>
      </c>
      <c r="I53" s="331">
        <v>3</v>
      </c>
      <c r="J53" s="331">
        <v>2</v>
      </c>
      <c r="K53" s="331">
        <v>1</v>
      </c>
      <c r="L53" s="331" t="s">
        <v>1606</v>
      </c>
      <c r="M53" s="331" t="s">
        <v>1606</v>
      </c>
    </row>
    <row r="54" spans="1:13" x14ac:dyDescent="0.3">
      <c r="A54" s="331">
        <v>12</v>
      </c>
      <c r="B54" s="18"/>
      <c r="C54" s="18"/>
      <c r="F54" s="52" t="s">
        <v>491</v>
      </c>
      <c r="G54" s="331">
        <v>5</v>
      </c>
      <c r="H54" s="331">
        <v>4</v>
      </c>
      <c r="I54" s="331">
        <v>3</v>
      </c>
      <c r="J54" s="331">
        <v>2</v>
      </c>
      <c r="K54" s="331">
        <v>1</v>
      </c>
      <c r="L54" s="331" t="s">
        <v>1606</v>
      </c>
      <c r="M54" s="331" t="s">
        <v>1606</v>
      </c>
    </row>
    <row r="55" spans="1:13" x14ac:dyDescent="0.3">
      <c r="A55" s="331">
        <v>13</v>
      </c>
      <c r="B55" s="18"/>
      <c r="C55" s="18"/>
      <c r="F55" s="52" t="str">
        <f>'G-1 All Habitats'!B55</f>
        <v>Sparsely vegetated land - Inland rock outcrop and scree habitats</v>
      </c>
      <c r="G55" s="331" t="s">
        <v>868</v>
      </c>
      <c r="H55" s="331">
        <v>25</v>
      </c>
      <c r="I55" s="331">
        <v>20</v>
      </c>
      <c r="J55" s="331">
        <v>15</v>
      </c>
      <c r="K55" s="331">
        <v>10</v>
      </c>
      <c r="L55" s="331" t="s">
        <v>1606</v>
      </c>
      <c r="M55" s="331" t="s">
        <v>1606</v>
      </c>
    </row>
    <row r="56" spans="1:13" x14ac:dyDescent="0.3">
      <c r="A56" s="331">
        <v>14</v>
      </c>
      <c r="B56" s="18"/>
      <c r="C56" s="18"/>
      <c r="F56" s="52" t="str">
        <f>'G-1 All Habitats'!B56</f>
        <v>Sparsely vegetated land - Limestone pavement</v>
      </c>
      <c r="G56" s="331" t="s">
        <v>868</v>
      </c>
      <c r="H56" s="331" t="s">
        <v>868</v>
      </c>
      <c r="I56" s="331" t="s">
        <v>868</v>
      </c>
      <c r="J56" s="331" t="s">
        <v>868</v>
      </c>
      <c r="K56" s="331" t="s">
        <v>868</v>
      </c>
      <c r="L56" s="331" t="s">
        <v>1606</v>
      </c>
      <c r="M56" s="331" t="s">
        <v>1606</v>
      </c>
    </row>
    <row r="57" spans="1:13" x14ac:dyDescent="0.3">
      <c r="A57" s="331">
        <v>15</v>
      </c>
      <c r="B57" s="18"/>
      <c r="C57" s="18"/>
      <c r="F57" s="52" t="str">
        <f>'G-1 All Habitats'!B57</f>
        <v>Sparsely vegetated land - Maritime cliff and slopes</v>
      </c>
      <c r="G57" s="331">
        <v>20</v>
      </c>
      <c r="H57" s="331">
        <v>15</v>
      </c>
      <c r="I57" s="331">
        <v>10</v>
      </c>
      <c r="J57" s="331">
        <v>7</v>
      </c>
      <c r="K57" s="331">
        <v>5</v>
      </c>
      <c r="L57" s="331" t="s">
        <v>1606</v>
      </c>
      <c r="M57" s="331" t="s">
        <v>1606</v>
      </c>
    </row>
    <row r="58" spans="1:13" x14ac:dyDescent="0.3">
      <c r="A58" s="331">
        <v>16</v>
      </c>
      <c r="B58" s="18"/>
      <c r="C58" s="18"/>
      <c r="F58" s="52" t="str">
        <f>'G-1 All Habitats'!B58</f>
        <v>Sparsely vegetated land - Other inland rock and scree</v>
      </c>
      <c r="G58" s="331">
        <v>20</v>
      </c>
      <c r="H58" s="331">
        <v>15</v>
      </c>
      <c r="I58" s="331">
        <v>10</v>
      </c>
      <c r="J58" s="331">
        <v>7</v>
      </c>
      <c r="K58" s="331">
        <v>5</v>
      </c>
      <c r="L58" s="331" t="s">
        <v>1606</v>
      </c>
      <c r="M58" s="331" t="s">
        <v>1606</v>
      </c>
    </row>
    <row r="59" spans="1:13" x14ac:dyDescent="0.3">
      <c r="A59" s="331">
        <v>17</v>
      </c>
      <c r="B59" s="18"/>
      <c r="C59" s="18"/>
      <c r="F59" s="52" t="str">
        <f>'G-1 All Habitats'!B59</f>
        <v>Urban - Allotments</v>
      </c>
      <c r="G59" s="331">
        <v>1</v>
      </c>
      <c r="H59" s="331">
        <v>1</v>
      </c>
      <c r="I59" s="331">
        <v>1</v>
      </c>
      <c r="J59" s="331">
        <v>1</v>
      </c>
      <c r="K59" s="331">
        <v>1</v>
      </c>
      <c r="L59" s="331" t="s">
        <v>1606</v>
      </c>
      <c r="M59" s="331" t="s">
        <v>1606</v>
      </c>
    </row>
    <row r="60" spans="1:13" x14ac:dyDescent="0.3">
      <c r="A60" s="331">
        <v>18</v>
      </c>
      <c r="B60" s="18"/>
      <c r="C60" s="18"/>
      <c r="F60" s="52" t="str">
        <f>'G-1 All Habitats'!B40</f>
        <v>Lakes - Ornamental lake or pond</v>
      </c>
      <c r="G60" s="331">
        <v>5</v>
      </c>
      <c r="H60" s="331">
        <v>4</v>
      </c>
      <c r="I60" s="331">
        <v>3</v>
      </c>
      <c r="J60" s="331">
        <v>2</v>
      </c>
      <c r="K60" s="331">
        <v>1</v>
      </c>
      <c r="L60" s="331" t="s">
        <v>1606</v>
      </c>
      <c r="M60" s="331" t="s">
        <v>1606</v>
      </c>
    </row>
    <row r="61" spans="1:13" x14ac:dyDescent="0.3">
      <c r="A61" s="331">
        <v>19</v>
      </c>
      <c r="B61" s="18"/>
      <c r="C61" s="18"/>
      <c r="F61" s="52" t="str">
        <f>'G-1 All Habitats'!B60</f>
        <v>Urban - Artificial unvegetated, unsealed surface</v>
      </c>
      <c r="G61" s="331" t="s">
        <v>1606</v>
      </c>
      <c r="H61" s="331" t="s">
        <v>1606</v>
      </c>
      <c r="I61" s="331" t="s">
        <v>1606</v>
      </c>
      <c r="J61" s="331" t="s">
        <v>1606</v>
      </c>
      <c r="K61" s="331" t="s">
        <v>1606</v>
      </c>
      <c r="L61" s="331" t="s">
        <v>1606</v>
      </c>
      <c r="M61" s="331">
        <v>0</v>
      </c>
    </row>
    <row r="62" spans="1:13" x14ac:dyDescent="0.3">
      <c r="A62" s="331">
        <v>20</v>
      </c>
      <c r="B62" s="18"/>
      <c r="C62" s="18"/>
      <c r="F62" s="52" t="str">
        <f>'G-1 All Habitats'!B61</f>
        <v>Urban - Bioswale</v>
      </c>
      <c r="G62" s="331">
        <v>3</v>
      </c>
      <c r="H62" s="331">
        <v>2</v>
      </c>
      <c r="I62" s="331">
        <v>1</v>
      </c>
      <c r="J62" s="331">
        <v>1</v>
      </c>
      <c r="K62" s="331">
        <v>1</v>
      </c>
      <c r="L62" s="331" t="s">
        <v>1606</v>
      </c>
      <c r="M62" s="331" t="s">
        <v>1606</v>
      </c>
    </row>
    <row r="63" spans="1:13" x14ac:dyDescent="0.3">
      <c r="A63" s="331">
        <v>21</v>
      </c>
      <c r="B63" s="18"/>
      <c r="C63" s="18"/>
      <c r="F63" s="52" t="str">
        <f>'G-1 All Habitats'!B62</f>
        <v>Urban - Intensive green roof</v>
      </c>
      <c r="G63" s="331">
        <v>5</v>
      </c>
      <c r="H63" s="331">
        <v>4</v>
      </c>
      <c r="I63" s="331">
        <v>3</v>
      </c>
      <c r="J63" s="331">
        <v>2</v>
      </c>
      <c r="K63" s="331">
        <v>1</v>
      </c>
      <c r="L63" s="331" t="s">
        <v>1606</v>
      </c>
      <c r="M63" s="331" t="s">
        <v>1606</v>
      </c>
    </row>
    <row r="64" spans="1:13" x14ac:dyDescent="0.3">
      <c r="A64" s="331">
        <v>22</v>
      </c>
      <c r="B64" s="18"/>
      <c r="C64" s="18"/>
      <c r="F64" s="52" t="str">
        <f>'G-1 All Habitats'!B63</f>
        <v>Urban - Built linear features</v>
      </c>
      <c r="G64" s="331" t="s">
        <v>1606</v>
      </c>
      <c r="H64" s="331" t="s">
        <v>1606</v>
      </c>
      <c r="I64" s="331" t="s">
        <v>1606</v>
      </c>
      <c r="J64" s="331" t="s">
        <v>1606</v>
      </c>
      <c r="K64" s="331" t="s">
        <v>1606</v>
      </c>
      <c r="L64" s="331" t="s">
        <v>1606</v>
      </c>
      <c r="M64" s="331">
        <v>0</v>
      </c>
    </row>
    <row r="65" spans="1:13" x14ac:dyDescent="0.3">
      <c r="A65" s="331">
        <v>23</v>
      </c>
      <c r="B65" s="18"/>
      <c r="C65" s="18"/>
      <c r="F65" s="52" t="str">
        <f>'G-1 All Habitats'!B64</f>
        <v>Urban - Cemeteries and churchyards</v>
      </c>
      <c r="G65" s="331">
        <v>20</v>
      </c>
      <c r="H65" s="331">
        <v>17</v>
      </c>
      <c r="I65" s="331">
        <v>15</v>
      </c>
      <c r="J65" s="331">
        <v>12</v>
      </c>
      <c r="K65" s="331">
        <v>10</v>
      </c>
      <c r="L65" s="331" t="s">
        <v>1606</v>
      </c>
      <c r="M65" s="331" t="s">
        <v>1606</v>
      </c>
    </row>
    <row r="66" spans="1:13" x14ac:dyDescent="0.3">
      <c r="A66" s="331">
        <v>24</v>
      </c>
      <c r="B66" s="18"/>
      <c r="C66" s="18"/>
      <c r="F66" s="52" t="str">
        <f>'G-1 All Habitats'!B65</f>
        <v>Urban - Developed land; sealed surface</v>
      </c>
      <c r="G66" s="331" t="s">
        <v>1606</v>
      </c>
      <c r="H66" s="331" t="s">
        <v>1606</v>
      </c>
      <c r="I66" s="331" t="s">
        <v>1606</v>
      </c>
      <c r="J66" s="331" t="s">
        <v>1606</v>
      </c>
      <c r="K66" s="331" t="s">
        <v>1606</v>
      </c>
      <c r="L66" s="331" t="s">
        <v>1606</v>
      </c>
      <c r="M66" s="331">
        <v>0</v>
      </c>
    </row>
    <row r="67" spans="1:13" x14ac:dyDescent="0.3">
      <c r="A67" s="331">
        <v>25</v>
      </c>
      <c r="B67" s="18"/>
      <c r="C67" s="18"/>
      <c r="F67" s="52" t="str">
        <f>'G-1 All Habitats'!B66</f>
        <v>Urban - Other green roof</v>
      </c>
      <c r="G67" s="331" t="s">
        <v>1606</v>
      </c>
      <c r="H67" s="331" t="s">
        <v>1606</v>
      </c>
      <c r="I67" s="331" t="s">
        <v>1606</v>
      </c>
      <c r="J67" s="331" t="s">
        <v>1606</v>
      </c>
      <c r="K67" s="331" t="s">
        <v>1606</v>
      </c>
      <c r="L67" s="331">
        <v>1</v>
      </c>
      <c r="M67" s="331" t="s">
        <v>1606</v>
      </c>
    </row>
    <row r="68" spans="1:13" x14ac:dyDescent="0.3">
      <c r="A68" s="331">
        <v>26</v>
      </c>
      <c r="B68" s="18"/>
      <c r="C68" s="18"/>
      <c r="F68" s="52" t="str">
        <f>'G-1 All Habitats'!B67</f>
        <v>Urban - Facade-bound green wall</v>
      </c>
      <c r="G68" s="331">
        <v>5</v>
      </c>
      <c r="H68" s="331">
        <v>4</v>
      </c>
      <c r="I68" s="331">
        <v>3</v>
      </c>
      <c r="J68" s="331">
        <v>2</v>
      </c>
      <c r="K68" s="331">
        <v>1</v>
      </c>
      <c r="L68" s="331" t="s">
        <v>1606</v>
      </c>
      <c r="M68" s="331" t="s">
        <v>1606</v>
      </c>
    </row>
    <row r="69" spans="1:13" x14ac:dyDescent="0.3">
      <c r="A69" s="331">
        <v>27</v>
      </c>
      <c r="B69" s="18"/>
      <c r="C69" s="18"/>
      <c r="F69" s="52" t="str">
        <f>'G-1 All Habitats'!B68</f>
        <v>Urban - Ground based green wall</v>
      </c>
      <c r="G69" s="331">
        <v>5</v>
      </c>
      <c r="H69" s="331">
        <v>4</v>
      </c>
      <c r="I69" s="331">
        <v>3</v>
      </c>
      <c r="J69" s="331">
        <v>2</v>
      </c>
      <c r="K69" s="331">
        <v>1</v>
      </c>
      <c r="L69" s="331" t="s">
        <v>1606</v>
      </c>
      <c r="M69" s="331" t="s">
        <v>1606</v>
      </c>
    </row>
    <row r="70" spans="1:13" x14ac:dyDescent="0.3">
      <c r="A70" s="331">
        <v>28</v>
      </c>
      <c r="B70" s="18"/>
      <c r="C70" s="18"/>
      <c r="F70" s="52" t="str">
        <f>'G-1 All Habitats'!B69</f>
        <v>Urban - Ground level planters</v>
      </c>
      <c r="G70" s="331" t="s">
        <v>1606</v>
      </c>
      <c r="H70" s="331" t="s">
        <v>1606</v>
      </c>
      <c r="I70" s="331" t="s">
        <v>1606</v>
      </c>
      <c r="J70" s="331" t="s">
        <v>1606</v>
      </c>
      <c r="K70" s="331" t="s">
        <v>1606</v>
      </c>
      <c r="L70" s="331">
        <v>1</v>
      </c>
      <c r="M70" s="331" t="s">
        <v>1606</v>
      </c>
    </row>
    <row r="71" spans="1:13" x14ac:dyDescent="0.3">
      <c r="A71" s="331">
        <v>29</v>
      </c>
      <c r="B71" s="18"/>
      <c r="C71" s="18"/>
      <c r="F71" s="52" t="str">
        <f>'G-1 All Habitats'!B70</f>
        <v>Urban - Biodiverse green roof</v>
      </c>
      <c r="G71" s="331">
        <v>10</v>
      </c>
      <c r="H71" s="331">
        <v>8</v>
      </c>
      <c r="I71" s="331">
        <v>5</v>
      </c>
      <c r="J71" s="331">
        <v>3</v>
      </c>
      <c r="K71" s="331">
        <v>1</v>
      </c>
      <c r="L71" s="331" t="s">
        <v>1606</v>
      </c>
      <c r="M71" s="331" t="s">
        <v>1606</v>
      </c>
    </row>
    <row r="72" spans="1:13" x14ac:dyDescent="0.3">
      <c r="A72" s="331">
        <v>30</v>
      </c>
      <c r="B72" s="18"/>
      <c r="C72" s="18"/>
      <c r="F72" s="52" t="str">
        <f>'G-1 All Habitats'!B71</f>
        <v>Urban - Introduced shrub</v>
      </c>
      <c r="G72" s="331" t="s">
        <v>1606</v>
      </c>
      <c r="H72" s="331" t="s">
        <v>1606</v>
      </c>
      <c r="I72" s="331" t="s">
        <v>1606</v>
      </c>
      <c r="J72" s="331" t="s">
        <v>1606</v>
      </c>
      <c r="K72" s="331" t="s">
        <v>1606</v>
      </c>
      <c r="L72" s="331">
        <v>1</v>
      </c>
      <c r="M72" s="331" t="s">
        <v>1606</v>
      </c>
    </row>
    <row r="73" spans="1:13" x14ac:dyDescent="0.3">
      <c r="A73" s="331" t="s">
        <v>868</v>
      </c>
      <c r="B73" s="18"/>
      <c r="C73" s="18"/>
      <c r="F73" s="52" t="str">
        <f>'G-1 All Habitats'!B72</f>
        <v>Urban - Open mosaic habitats on previously developed land</v>
      </c>
      <c r="G73" s="331">
        <v>10</v>
      </c>
      <c r="H73" s="331">
        <v>7</v>
      </c>
      <c r="I73" s="331">
        <v>4</v>
      </c>
      <c r="J73" s="331">
        <v>2</v>
      </c>
      <c r="K73" s="331">
        <v>0</v>
      </c>
      <c r="L73" s="331" t="s">
        <v>1606</v>
      </c>
      <c r="M73" s="331" t="s">
        <v>1606</v>
      </c>
    </row>
    <row r="74" spans="1:13" x14ac:dyDescent="0.3">
      <c r="B74" s="18"/>
      <c r="C74" s="18"/>
      <c r="F74" s="52" t="str">
        <f>'G-1 All Habitats'!B73</f>
        <v>Urban - Rain garden</v>
      </c>
      <c r="G74" s="331">
        <v>5</v>
      </c>
      <c r="H74" s="331">
        <v>4</v>
      </c>
      <c r="I74" s="331">
        <v>3</v>
      </c>
      <c r="J74" s="331">
        <v>2</v>
      </c>
      <c r="K74" s="331">
        <v>1</v>
      </c>
      <c r="L74" s="331" t="s">
        <v>1606</v>
      </c>
      <c r="M74" s="331" t="s">
        <v>1606</v>
      </c>
    </row>
    <row r="75" spans="1:13" x14ac:dyDescent="0.3">
      <c r="A75" s="18"/>
      <c r="B75" s="18"/>
      <c r="C75" s="18"/>
      <c r="F75" s="52" t="str">
        <f>'G-1 All Habitats'!B74</f>
        <v>Urban - Actively worked sand pit quarry or open cast mine</v>
      </c>
      <c r="G75" s="331" t="s">
        <v>1606</v>
      </c>
      <c r="H75" s="331" t="s">
        <v>1606</v>
      </c>
      <c r="I75" s="331" t="s">
        <v>1606</v>
      </c>
      <c r="J75" s="331" t="s">
        <v>1606</v>
      </c>
      <c r="K75" s="331" t="s">
        <v>1606</v>
      </c>
      <c r="L75" s="331">
        <v>1</v>
      </c>
      <c r="M75" s="331" t="s">
        <v>1606</v>
      </c>
    </row>
    <row r="76" spans="1:13" x14ac:dyDescent="0.3">
      <c r="A76" s="18"/>
      <c r="B76" s="18"/>
      <c r="C76" s="18"/>
      <c r="F76" s="52" t="str">
        <f>'G-1 All Habitats'!B80</f>
        <v>Individual trees - Urban tree</v>
      </c>
      <c r="G76" s="331" t="s">
        <v>868</v>
      </c>
      <c r="H76" s="331" t="s">
        <v>868</v>
      </c>
      <c r="I76" s="331">
        <v>27</v>
      </c>
      <c r="J76" s="331">
        <v>19</v>
      </c>
      <c r="K76" s="331">
        <v>10</v>
      </c>
      <c r="L76" s="331" t="s">
        <v>1606</v>
      </c>
      <c r="M76" s="331" t="s">
        <v>1606</v>
      </c>
    </row>
    <row r="77" spans="1:13" x14ac:dyDescent="0.3">
      <c r="A77" s="18"/>
      <c r="B77" s="18"/>
      <c r="C77" s="18"/>
      <c r="F77" s="52" t="str">
        <f>'G-1 All Habitats'!B75</f>
        <v>Urban - Sustainable drainage system</v>
      </c>
      <c r="G77" s="331">
        <v>5</v>
      </c>
      <c r="H77" s="331">
        <v>4</v>
      </c>
      <c r="I77" s="331">
        <v>3</v>
      </c>
      <c r="J77" s="331">
        <v>2</v>
      </c>
      <c r="K77" s="331">
        <v>1</v>
      </c>
      <c r="L77" s="331" t="s">
        <v>1606</v>
      </c>
      <c r="M77" s="331" t="s">
        <v>1606</v>
      </c>
    </row>
    <row r="78" spans="1:13" x14ac:dyDescent="0.3">
      <c r="A78" s="18"/>
      <c r="B78" s="18"/>
      <c r="C78" s="18"/>
      <c r="F78" s="52" t="str">
        <f>'G-1 All Habitats'!B76</f>
        <v>Urban - Unvegetated garden</v>
      </c>
      <c r="G78" s="331" t="s">
        <v>1606</v>
      </c>
      <c r="H78" s="331" t="s">
        <v>1606</v>
      </c>
      <c r="I78" s="331" t="s">
        <v>1606</v>
      </c>
      <c r="J78" s="331" t="s">
        <v>1606</v>
      </c>
      <c r="K78" s="331" t="s">
        <v>1606</v>
      </c>
      <c r="L78" s="331" t="s">
        <v>1606</v>
      </c>
      <c r="M78" s="331">
        <v>0</v>
      </c>
    </row>
    <row r="79" spans="1:13" x14ac:dyDescent="0.3">
      <c r="A79" s="18"/>
      <c r="B79" s="18"/>
      <c r="C79" s="18"/>
      <c r="F79" s="52" t="str">
        <f>'G-1 All Habitats'!B77</f>
        <v>Urban - Vacant or derelict land</v>
      </c>
      <c r="G79" s="331">
        <v>5</v>
      </c>
      <c r="H79" s="331">
        <v>4</v>
      </c>
      <c r="I79" s="331">
        <v>3</v>
      </c>
      <c r="J79" s="331">
        <v>2</v>
      </c>
      <c r="K79" s="331">
        <v>1</v>
      </c>
      <c r="L79" s="331" t="s">
        <v>1606</v>
      </c>
      <c r="M79" s="331" t="s">
        <v>1606</v>
      </c>
    </row>
    <row r="80" spans="1:13" x14ac:dyDescent="0.3">
      <c r="A80" s="18"/>
      <c r="B80" s="18"/>
      <c r="C80" s="18"/>
      <c r="F80" s="52" t="s">
        <v>559</v>
      </c>
      <c r="G80" s="331">
        <v>5</v>
      </c>
      <c r="H80" s="331">
        <v>4</v>
      </c>
      <c r="I80" s="331">
        <v>3</v>
      </c>
      <c r="J80" s="331">
        <v>2</v>
      </c>
      <c r="K80" s="331">
        <v>1</v>
      </c>
      <c r="L80" s="331" t="s">
        <v>1606</v>
      </c>
      <c r="M80" s="331" t="s">
        <v>1606</v>
      </c>
    </row>
    <row r="81" spans="1:13" x14ac:dyDescent="0.3">
      <c r="A81" s="18"/>
      <c r="B81" s="18"/>
      <c r="C81" s="18"/>
      <c r="F81" s="52" t="str">
        <f>'G-1 All Habitats'!B79</f>
        <v>Urban - Vegetated garden</v>
      </c>
      <c r="G81" s="331" t="s">
        <v>1606</v>
      </c>
      <c r="H81" s="331" t="s">
        <v>1606</v>
      </c>
      <c r="I81" s="331" t="s">
        <v>1606</v>
      </c>
      <c r="J81" s="331" t="s">
        <v>1606</v>
      </c>
      <c r="K81" s="331" t="s">
        <v>1606</v>
      </c>
      <c r="L81" s="331">
        <v>1</v>
      </c>
      <c r="M81" s="331" t="s">
        <v>1606</v>
      </c>
    </row>
    <row r="82" spans="1:13" x14ac:dyDescent="0.3">
      <c r="A82" s="18"/>
      <c r="B82" s="18"/>
      <c r="C82" s="18"/>
      <c r="F82" s="52" t="str">
        <f>'G-1 All Habitats'!B82</f>
        <v>Wetland - Blanket bog</v>
      </c>
      <c r="G82" s="331" t="s">
        <v>868</v>
      </c>
      <c r="H82" s="331" t="s">
        <v>868</v>
      </c>
      <c r="I82" s="331" t="s">
        <v>868</v>
      </c>
      <c r="J82" s="331" t="s">
        <v>868</v>
      </c>
      <c r="K82" s="331" t="s">
        <v>868</v>
      </c>
      <c r="L82" s="331" t="s">
        <v>1606</v>
      </c>
      <c r="M82" s="331" t="s">
        <v>1606</v>
      </c>
    </row>
    <row r="83" spans="1:13" x14ac:dyDescent="0.3">
      <c r="A83" s="18"/>
      <c r="B83" s="18"/>
      <c r="C83" s="18"/>
      <c r="F83" s="52" t="str">
        <f>'G-1 All Habitats'!B83</f>
        <v>Wetland - Depressions on peat substrates (H7150)</v>
      </c>
      <c r="G83" s="331" t="s">
        <v>868</v>
      </c>
      <c r="H83" s="331" t="s">
        <v>868</v>
      </c>
      <c r="I83" s="331">
        <v>30</v>
      </c>
      <c r="J83" s="331">
        <v>25</v>
      </c>
      <c r="K83" s="331">
        <v>15</v>
      </c>
      <c r="L83" s="331" t="s">
        <v>1606</v>
      </c>
      <c r="M83" s="331" t="s">
        <v>1606</v>
      </c>
    </row>
    <row r="84" spans="1:13" x14ac:dyDescent="0.3">
      <c r="A84" s="18"/>
      <c r="B84" s="18"/>
      <c r="C84" s="18"/>
      <c r="F84" s="52" t="str">
        <f>'G-1 All Habitats'!B84</f>
        <v>Wetland - Fens (upland and lowland)</v>
      </c>
      <c r="G84" s="331">
        <v>30</v>
      </c>
      <c r="H84" s="331">
        <v>25</v>
      </c>
      <c r="I84" s="331">
        <v>20</v>
      </c>
      <c r="J84" s="331">
        <v>15</v>
      </c>
      <c r="K84" s="331">
        <v>10</v>
      </c>
      <c r="L84" s="331" t="s">
        <v>1606</v>
      </c>
      <c r="M84" s="331" t="s">
        <v>1606</v>
      </c>
    </row>
    <row r="85" spans="1:13" x14ac:dyDescent="0.3">
      <c r="A85" s="18"/>
      <c r="B85" s="18"/>
      <c r="C85" s="18"/>
      <c r="F85" s="52" t="str">
        <f>'G-1 All Habitats'!B85</f>
        <v>Wetland - Lowland raised bog</v>
      </c>
      <c r="G85" s="331" t="s">
        <v>868</v>
      </c>
      <c r="H85" s="331" t="s">
        <v>868</v>
      </c>
      <c r="I85" s="331">
        <v>30</v>
      </c>
      <c r="J85" s="331">
        <v>20</v>
      </c>
      <c r="K85" s="331">
        <v>15</v>
      </c>
      <c r="L85" s="331" t="s">
        <v>1606</v>
      </c>
      <c r="M85" s="331" t="s">
        <v>1606</v>
      </c>
    </row>
    <row r="86" spans="1:13" x14ac:dyDescent="0.3">
      <c r="A86" s="18"/>
      <c r="B86" s="18"/>
      <c r="C86" s="18"/>
      <c r="F86" s="52" t="str">
        <f>'G-1 All Habitats'!B86</f>
        <v>Wetland - Oceanic valley mire[1] (D2.1)</v>
      </c>
      <c r="G86" s="331" t="s">
        <v>868</v>
      </c>
      <c r="H86" s="331" t="s">
        <v>868</v>
      </c>
      <c r="I86" s="331">
        <v>30</v>
      </c>
      <c r="J86" s="331">
        <v>20</v>
      </c>
      <c r="K86" s="331">
        <v>15</v>
      </c>
      <c r="L86" s="331" t="s">
        <v>1606</v>
      </c>
      <c r="M86" s="331" t="s">
        <v>1606</v>
      </c>
    </row>
    <row r="87" spans="1:13" x14ac:dyDescent="0.3">
      <c r="A87" s="18"/>
      <c r="B87" s="18"/>
      <c r="C87" s="18"/>
      <c r="F87" s="52" t="str">
        <f>'G-1 All Habitats'!B87</f>
        <v>Wetland - Purple moor grass and rush pastures</v>
      </c>
      <c r="G87" s="331">
        <v>30</v>
      </c>
      <c r="H87" s="331">
        <v>25</v>
      </c>
      <c r="I87" s="331">
        <v>20</v>
      </c>
      <c r="J87" s="331">
        <v>15</v>
      </c>
      <c r="K87" s="331">
        <v>10</v>
      </c>
      <c r="L87" s="331" t="s">
        <v>1606</v>
      </c>
      <c r="M87" s="331" t="s">
        <v>1606</v>
      </c>
    </row>
    <row r="88" spans="1:13" x14ac:dyDescent="0.3">
      <c r="A88" s="18"/>
      <c r="B88" s="18"/>
      <c r="C88" s="18"/>
      <c r="F88" s="52" t="str">
        <f>'G-1 All Habitats'!B88</f>
        <v>Wetland - Reedbeds</v>
      </c>
      <c r="G88" s="331">
        <v>12</v>
      </c>
      <c r="H88" s="331">
        <v>10</v>
      </c>
      <c r="I88" s="331">
        <v>7</v>
      </c>
      <c r="J88" s="331">
        <v>5</v>
      </c>
      <c r="K88" s="331">
        <v>3</v>
      </c>
      <c r="L88" s="331" t="s">
        <v>1606</v>
      </c>
      <c r="M88" s="331" t="s">
        <v>1606</v>
      </c>
    </row>
    <row r="89" spans="1:13" x14ac:dyDescent="0.3">
      <c r="A89" s="18"/>
      <c r="B89" s="18"/>
      <c r="C89" s="18"/>
      <c r="F89" s="52" t="str">
        <f>'G-1 All Habitats'!B89</f>
        <v>Wetland - Transition mires and quaking bogs (H7140)</v>
      </c>
      <c r="G89" s="331" t="s">
        <v>868</v>
      </c>
      <c r="H89" s="331" t="s">
        <v>868</v>
      </c>
      <c r="I89" s="331">
        <v>30</v>
      </c>
      <c r="J89" s="331">
        <v>25</v>
      </c>
      <c r="K89" s="331">
        <v>15</v>
      </c>
      <c r="L89" s="331" t="s">
        <v>1606</v>
      </c>
      <c r="M89" s="331" t="s">
        <v>1606</v>
      </c>
    </row>
    <row r="90" spans="1:13" x14ac:dyDescent="0.3">
      <c r="A90" s="18"/>
      <c r="B90" s="18"/>
      <c r="C90" s="18"/>
      <c r="F90" s="52" t="str">
        <f>'G-1 All Habitats'!B90</f>
        <v>Woodland and forest - Felled</v>
      </c>
      <c r="G90" s="331" t="s">
        <v>868</v>
      </c>
      <c r="H90" s="331" t="s">
        <v>1606</v>
      </c>
      <c r="I90" s="331" t="s">
        <v>1606</v>
      </c>
      <c r="J90" s="331" t="s">
        <v>1606</v>
      </c>
      <c r="K90" s="331" t="s">
        <v>1606</v>
      </c>
      <c r="L90" s="331" t="s">
        <v>1606</v>
      </c>
      <c r="M90" s="331" t="s">
        <v>1606</v>
      </c>
    </row>
    <row r="91" spans="1:13" x14ac:dyDescent="0.3">
      <c r="A91" s="18"/>
      <c r="B91" s="18"/>
      <c r="C91" s="18"/>
      <c r="F91" s="52" t="str">
        <f>'G-1 All Habitats'!B91</f>
        <v>Woodland and forest - Lowland beech and yew woodland</v>
      </c>
      <c r="G91" s="331" t="s">
        <v>868</v>
      </c>
      <c r="H91" s="331" t="s">
        <v>868</v>
      </c>
      <c r="I91" s="331" t="s">
        <v>868</v>
      </c>
      <c r="J91" s="331">
        <v>25</v>
      </c>
      <c r="K91" s="331">
        <v>10</v>
      </c>
      <c r="L91" s="331" t="s">
        <v>1606</v>
      </c>
      <c r="M91" s="331" t="s">
        <v>1606</v>
      </c>
    </row>
    <row r="92" spans="1:13" x14ac:dyDescent="0.3">
      <c r="A92" s="18"/>
      <c r="B92" s="18"/>
      <c r="C92" s="18"/>
      <c r="F92" s="52" t="str">
        <f>'G-1 All Habitats'!B92</f>
        <v>Woodland and forest - Lowland mixed deciduous woodland</v>
      </c>
      <c r="G92" s="331" t="s">
        <v>868</v>
      </c>
      <c r="H92" s="331" t="s">
        <v>868</v>
      </c>
      <c r="I92" s="331" t="s">
        <v>868</v>
      </c>
      <c r="J92" s="331">
        <v>25</v>
      </c>
      <c r="K92" s="331">
        <v>10</v>
      </c>
      <c r="L92" s="331" t="s">
        <v>1606</v>
      </c>
      <c r="M92" s="331" t="s">
        <v>1606</v>
      </c>
    </row>
    <row r="93" spans="1:13" x14ac:dyDescent="0.3">
      <c r="A93" s="18"/>
      <c r="B93" s="18"/>
      <c r="C93" s="18"/>
      <c r="F93" s="52" t="str">
        <f>'G-1 All Habitats'!B93</f>
        <v>Woodland and forest - Native pine woodlands</v>
      </c>
      <c r="G93" s="331" t="s">
        <v>868</v>
      </c>
      <c r="H93" s="331" t="s">
        <v>868</v>
      </c>
      <c r="I93" s="331" t="s">
        <v>868</v>
      </c>
      <c r="J93" s="331">
        <v>25</v>
      </c>
      <c r="K93" s="331">
        <v>10</v>
      </c>
      <c r="L93" s="331" t="s">
        <v>1606</v>
      </c>
      <c r="M93" s="331" t="s">
        <v>1606</v>
      </c>
    </row>
    <row r="94" spans="1:13" x14ac:dyDescent="0.3">
      <c r="A94" s="18"/>
      <c r="B94" s="18"/>
      <c r="C94" s="18"/>
      <c r="F94" s="52" t="str">
        <f>'G-1 All Habitats'!B94</f>
        <v>Woodland and forest - Other coniferous woodland</v>
      </c>
      <c r="G94" s="331" t="s">
        <v>868</v>
      </c>
      <c r="H94" s="331" t="s">
        <v>868</v>
      </c>
      <c r="I94" s="331">
        <v>30</v>
      </c>
      <c r="J94" s="331">
        <v>10</v>
      </c>
      <c r="K94" s="331">
        <v>5</v>
      </c>
      <c r="L94" s="331" t="s">
        <v>1606</v>
      </c>
      <c r="M94" s="331" t="s">
        <v>1606</v>
      </c>
    </row>
    <row r="95" spans="1:13" x14ac:dyDescent="0.3">
      <c r="A95" s="18"/>
      <c r="B95" s="18"/>
      <c r="C95" s="18"/>
      <c r="F95" s="52" t="str">
        <f>'G-1 All Habitats'!B95</f>
        <v>Woodland and forest - Other Scot's pine woodland</v>
      </c>
      <c r="G95" s="331" t="s">
        <v>868</v>
      </c>
      <c r="H95" s="331" t="s">
        <v>868</v>
      </c>
      <c r="I95" s="331" t="s">
        <v>868</v>
      </c>
      <c r="J95" s="331">
        <v>25</v>
      </c>
      <c r="K95" s="331">
        <v>10</v>
      </c>
      <c r="L95" s="331" t="s">
        <v>1606</v>
      </c>
      <c r="M95" s="331" t="s">
        <v>1606</v>
      </c>
    </row>
    <row r="96" spans="1:13" x14ac:dyDescent="0.3">
      <c r="A96" s="18"/>
      <c r="B96" s="18"/>
      <c r="C96" s="18"/>
      <c r="F96" s="52" t="str">
        <f>'G-1 All Habitats'!B96</f>
        <v>Woodland and forest - Other woodland; broadleaved</v>
      </c>
      <c r="G96" s="331" t="s">
        <v>868</v>
      </c>
      <c r="H96" s="331">
        <v>25</v>
      </c>
      <c r="I96" s="331">
        <v>15</v>
      </c>
      <c r="J96" s="331">
        <v>7</v>
      </c>
      <c r="K96" s="331">
        <v>5</v>
      </c>
      <c r="L96" s="331" t="s">
        <v>1606</v>
      </c>
      <c r="M96" s="331" t="s">
        <v>1606</v>
      </c>
    </row>
    <row r="97" spans="1:13" x14ac:dyDescent="0.3">
      <c r="A97" s="18"/>
      <c r="B97" s="18"/>
      <c r="C97" s="18"/>
      <c r="F97" s="52" t="str">
        <f>'G-1 All Habitats'!B97</f>
        <v>Woodland and forest - Other woodland; mixed</v>
      </c>
      <c r="G97" s="331" t="s">
        <v>868</v>
      </c>
      <c r="H97" s="331" t="s">
        <v>868</v>
      </c>
      <c r="I97" s="331">
        <v>30</v>
      </c>
      <c r="J97" s="331">
        <v>10</v>
      </c>
      <c r="K97" s="331">
        <v>5</v>
      </c>
      <c r="L97" s="331" t="s">
        <v>1606</v>
      </c>
      <c r="M97" s="331" t="s">
        <v>1606</v>
      </c>
    </row>
    <row r="98" spans="1:13" x14ac:dyDescent="0.3">
      <c r="A98" s="18"/>
      <c r="B98" s="18"/>
      <c r="C98" s="18"/>
      <c r="F98" s="52" t="str">
        <f>'G-1 All Habitats'!B98</f>
        <v>Woodland and forest - Upland birchwoods</v>
      </c>
      <c r="G98" s="331" t="s">
        <v>868</v>
      </c>
      <c r="H98" s="331">
        <v>30</v>
      </c>
      <c r="I98" s="331">
        <v>25</v>
      </c>
      <c r="J98" s="331">
        <v>20</v>
      </c>
      <c r="K98" s="331">
        <v>10</v>
      </c>
      <c r="L98" s="331" t="s">
        <v>1606</v>
      </c>
      <c r="M98" s="331" t="s">
        <v>1606</v>
      </c>
    </row>
    <row r="99" spans="1:13" x14ac:dyDescent="0.3">
      <c r="A99" s="18"/>
      <c r="B99" s="18"/>
      <c r="C99" s="18"/>
      <c r="F99" s="52" t="str">
        <f>'G-1 All Habitats'!B99</f>
        <v>Woodland and forest - Upland mixed ashwoods</v>
      </c>
      <c r="G99" s="331" t="s">
        <v>868</v>
      </c>
      <c r="H99" s="331" t="s">
        <v>868</v>
      </c>
      <c r="I99" s="331" t="s">
        <v>868</v>
      </c>
      <c r="J99" s="331">
        <v>25</v>
      </c>
      <c r="K99" s="331">
        <v>10</v>
      </c>
      <c r="L99" s="331" t="s">
        <v>1606</v>
      </c>
      <c r="M99" s="331" t="s">
        <v>1606</v>
      </c>
    </row>
    <row r="100" spans="1:13" x14ac:dyDescent="0.3">
      <c r="A100" s="18"/>
      <c r="B100" s="18"/>
      <c r="C100" s="18"/>
      <c r="F100" s="52" t="str">
        <f>'G-1 All Habitats'!B100</f>
        <v>Woodland and forest - Upland oakwood</v>
      </c>
      <c r="G100" s="331" t="s">
        <v>868</v>
      </c>
      <c r="H100" s="331" t="s">
        <v>868</v>
      </c>
      <c r="I100" s="331" t="s">
        <v>868</v>
      </c>
      <c r="J100" s="331">
        <v>25</v>
      </c>
      <c r="K100" s="331">
        <v>10</v>
      </c>
      <c r="L100" s="331" t="s">
        <v>1606</v>
      </c>
      <c r="M100" s="331" t="s">
        <v>1606</v>
      </c>
    </row>
    <row r="101" spans="1:13" x14ac:dyDescent="0.3">
      <c r="A101" s="18"/>
      <c r="B101" s="18"/>
      <c r="C101" s="18"/>
      <c r="F101" s="52" t="str">
        <f>'G-1 All Habitats'!B101</f>
        <v>Woodland and forest - Wet woodland</v>
      </c>
      <c r="G101" s="331" t="s">
        <v>868</v>
      </c>
      <c r="H101" s="331">
        <v>30</v>
      </c>
      <c r="I101" s="331">
        <v>15</v>
      </c>
      <c r="J101" s="331">
        <v>10</v>
      </c>
      <c r="K101" s="331">
        <v>5</v>
      </c>
      <c r="L101" s="331" t="s">
        <v>1606</v>
      </c>
      <c r="M101" s="331" t="s">
        <v>1606</v>
      </c>
    </row>
    <row r="102" spans="1:13" x14ac:dyDescent="0.3">
      <c r="F102" s="52" t="str">
        <f>'G-1 All Habitats'!B102</f>
        <v>Woodland and forest - Wood-pasture and parkland</v>
      </c>
      <c r="G102" s="331" t="s">
        <v>868</v>
      </c>
      <c r="H102" s="331" t="s">
        <v>868</v>
      </c>
      <c r="I102" s="331" t="s">
        <v>868</v>
      </c>
      <c r="J102" s="331">
        <v>25</v>
      </c>
      <c r="K102" s="331">
        <v>10</v>
      </c>
      <c r="L102" s="331" t="s">
        <v>1606</v>
      </c>
      <c r="M102" s="331" t="s">
        <v>1606</v>
      </c>
    </row>
    <row r="103" spans="1:13" x14ac:dyDescent="0.3">
      <c r="F103" s="52" t="str">
        <f>'G-1 All Habitats'!B104</f>
        <v>Coastal lagoons - Coastal lagoons</v>
      </c>
      <c r="G103" s="331">
        <v>10</v>
      </c>
      <c r="H103" s="331">
        <v>8</v>
      </c>
      <c r="I103" s="331">
        <v>5</v>
      </c>
      <c r="J103" s="331">
        <v>3</v>
      </c>
      <c r="K103" s="331">
        <v>1</v>
      </c>
      <c r="L103" s="331" t="s">
        <v>1606</v>
      </c>
      <c r="M103" s="331" t="s">
        <v>1606</v>
      </c>
    </row>
    <row r="104" spans="1:13" x14ac:dyDescent="0.3">
      <c r="F104" s="52" t="str">
        <f>'G-1 All Habitats'!B105</f>
        <v>Rocky shore - High energy littoral rock</v>
      </c>
      <c r="G104" s="331">
        <v>10</v>
      </c>
      <c r="H104" s="331">
        <v>7</v>
      </c>
      <c r="I104" s="331">
        <v>4</v>
      </c>
      <c r="J104" s="331">
        <v>2</v>
      </c>
      <c r="K104" s="331">
        <v>1</v>
      </c>
      <c r="L104" s="331" t="s">
        <v>1606</v>
      </c>
      <c r="M104" s="331" t="s">
        <v>1606</v>
      </c>
    </row>
    <row r="105" spans="1:13" x14ac:dyDescent="0.3">
      <c r="F105" s="52" t="str">
        <f>'G-1 All Habitats'!B106</f>
        <v>Rocky shore - High energy littoral rock - on peat, clay or chalk</v>
      </c>
      <c r="G105" s="331" t="s">
        <v>868</v>
      </c>
      <c r="H105" s="331" t="s">
        <v>868</v>
      </c>
      <c r="I105" s="331" t="s">
        <v>868</v>
      </c>
      <c r="J105" s="331" t="s">
        <v>868</v>
      </c>
      <c r="K105" s="331" t="s">
        <v>868</v>
      </c>
      <c r="L105" s="331" t="s">
        <v>1606</v>
      </c>
      <c r="M105" s="331" t="s">
        <v>1606</v>
      </c>
    </row>
    <row r="106" spans="1:13" x14ac:dyDescent="0.3">
      <c r="F106" s="52" t="str">
        <f>'G-1 All Habitats'!B107</f>
        <v>Rocky shore - Moderate energy littoral rock</v>
      </c>
      <c r="G106" s="331">
        <v>13</v>
      </c>
      <c r="H106" s="331">
        <v>8</v>
      </c>
      <c r="I106" s="331">
        <v>4</v>
      </c>
      <c r="J106" s="331">
        <v>2</v>
      </c>
      <c r="K106" s="331">
        <v>1</v>
      </c>
      <c r="L106" s="331" t="s">
        <v>1606</v>
      </c>
      <c r="M106" s="331" t="s">
        <v>1606</v>
      </c>
    </row>
    <row r="107" spans="1:13" x14ac:dyDescent="0.3">
      <c r="F107" s="52" t="str">
        <f>'G-1 All Habitats'!B108</f>
        <v>Rocky shore - Moderate energy littoral rock - on peat, clay or chalk</v>
      </c>
      <c r="G107" s="331" t="s">
        <v>868</v>
      </c>
      <c r="H107" s="331" t="s">
        <v>868</v>
      </c>
      <c r="I107" s="331" t="s">
        <v>868</v>
      </c>
      <c r="J107" s="331" t="s">
        <v>868</v>
      </c>
      <c r="K107" s="331" t="s">
        <v>868</v>
      </c>
      <c r="L107" s="331" t="s">
        <v>1606</v>
      </c>
      <c r="M107" s="331" t="s">
        <v>1606</v>
      </c>
    </row>
    <row r="108" spans="1:13" x14ac:dyDescent="0.3">
      <c r="F108" s="52" t="str">
        <f>'G-1 All Habitats'!B109</f>
        <v>Rocky shore - Low energy littoral rock</v>
      </c>
      <c r="G108" s="331">
        <v>15</v>
      </c>
      <c r="H108" s="331">
        <v>10</v>
      </c>
      <c r="I108" s="331">
        <v>5</v>
      </c>
      <c r="J108" s="331">
        <v>1</v>
      </c>
      <c r="K108" s="331">
        <v>1</v>
      </c>
      <c r="L108" s="331" t="s">
        <v>1606</v>
      </c>
      <c r="M108" s="331" t="s">
        <v>1606</v>
      </c>
    </row>
    <row r="109" spans="1:13" x14ac:dyDescent="0.3">
      <c r="F109" s="52" t="str">
        <f>'G-1 All Habitats'!B110</f>
        <v>Rocky shore - Low energy littoral rock - on peat, clay or chalk</v>
      </c>
      <c r="G109" s="331" t="s">
        <v>868</v>
      </c>
      <c r="H109" s="331" t="s">
        <v>868</v>
      </c>
      <c r="I109" s="331" t="s">
        <v>868</v>
      </c>
      <c r="J109" s="331" t="s">
        <v>868</v>
      </c>
      <c r="K109" s="331" t="s">
        <v>868</v>
      </c>
      <c r="L109" s="331" t="s">
        <v>1606</v>
      </c>
      <c r="M109" s="331" t="s">
        <v>1606</v>
      </c>
    </row>
    <row r="110" spans="1:13" x14ac:dyDescent="0.3">
      <c r="F110" s="52" t="str">
        <f>'G-1 All Habitats'!B111</f>
        <v>Rocky shore - Features of littoral rock</v>
      </c>
      <c r="G110" s="331">
        <v>13</v>
      </c>
      <c r="H110" s="331">
        <v>8</v>
      </c>
      <c r="I110" s="331">
        <v>4</v>
      </c>
      <c r="J110" s="331">
        <v>2</v>
      </c>
      <c r="K110" s="331">
        <v>1</v>
      </c>
      <c r="L110" s="331" t="s">
        <v>1606</v>
      </c>
      <c r="M110" s="331" t="s">
        <v>1606</v>
      </c>
    </row>
    <row r="111" spans="1:13" x14ac:dyDescent="0.3">
      <c r="F111" s="52" t="str">
        <f>'G-1 All Habitats'!B112</f>
        <v>Rocky shore - Features of littoral rock - on peat, clay or chalk</v>
      </c>
      <c r="G111" s="331" t="s">
        <v>868</v>
      </c>
      <c r="H111" s="331" t="s">
        <v>868</v>
      </c>
      <c r="I111" s="331" t="s">
        <v>868</v>
      </c>
      <c r="J111" s="331" t="s">
        <v>868</v>
      </c>
      <c r="K111" s="331" t="s">
        <v>868</v>
      </c>
      <c r="L111" s="331" t="s">
        <v>1606</v>
      </c>
      <c r="M111" s="331" t="s">
        <v>1606</v>
      </c>
    </row>
    <row r="112" spans="1:13" x14ac:dyDescent="0.3">
      <c r="F112" s="52" t="str">
        <f>'G-1 All Habitats'!B115</f>
        <v>Intertidal sediment - Littoral coarse sediment</v>
      </c>
      <c r="G112" s="331">
        <v>3</v>
      </c>
      <c r="H112" s="331">
        <v>2</v>
      </c>
      <c r="I112" s="331">
        <v>1</v>
      </c>
      <c r="J112" s="331">
        <v>1</v>
      </c>
      <c r="K112" s="331">
        <v>1</v>
      </c>
      <c r="L112" s="331" t="s">
        <v>1606</v>
      </c>
      <c r="M112" s="331" t="s">
        <v>1606</v>
      </c>
    </row>
    <row r="113" spans="6:13" x14ac:dyDescent="0.3">
      <c r="F113" s="52" t="str">
        <f>'G-1 All Habitats'!B116</f>
        <v>Intertidal sediment - Littoral mud</v>
      </c>
      <c r="G113" s="331">
        <v>6</v>
      </c>
      <c r="H113" s="331">
        <v>4</v>
      </c>
      <c r="I113" s="331">
        <v>3</v>
      </c>
      <c r="J113" s="331">
        <v>2</v>
      </c>
      <c r="K113" s="331">
        <v>1</v>
      </c>
      <c r="L113" s="331" t="s">
        <v>1606</v>
      </c>
      <c r="M113" s="331" t="s">
        <v>1606</v>
      </c>
    </row>
    <row r="114" spans="6:13" x14ac:dyDescent="0.3">
      <c r="F114" s="52" t="str">
        <f>'G-1 All Habitats'!B117</f>
        <v>Intertidal sediment - Littoral mixed sediments</v>
      </c>
      <c r="G114" s="331">
        <v>5</v>
      </c>
      <c r="H114" s="331">
        <v>4</v>
      </c>
      <c r="I114" s="331">
        <v>3</v>
      </c>
      <c r="J114" s="331">
        <v>2</v>
      </c>
      <c r="K114" s="331">
        <v>1</v>
      </c>
      <c r="L114" s="331" t="s">
        <v>1606</v>
      </c>
      <c r="M114" s="331" t="s">
        <v>1606</v>
      </c>
    </row>
    <row r="115" spans="6:13" x14ac:dyDescent="0.3">
      <c r="F115" s="52" t="str">
        <f>'G-1 All Habitats'!B113</f>
        <v>Coastal saltmarsh - Saltmarshes and saline reedbeds</v>
      </c>
      <c r="G115" s="331">
        <v>15</v>
      </c>
      <c r="H115" s="331">
        <v>10</v>
      </c>
      <c r="I115" s="331">
        <v>7</v>
      </c>
      <c r="J115" s="331">
        <v>3</v>
      </c>
      <c r="K115" s="331">
        <v>1</v>
      </c>
      <c r="L115" s="331" t="s">
        <v>1606</v>
      </c>
      <c r="M115" s="331" t="s">
        <v>1606</v>
      </c>
    </row>
    <row r="116" spans="6:13" x14ac:dyDescent="0.3">
      <c r="F116" s="52" t="str">
        <f>'G-1 All Habitats'!B114</f>
        <v>Coastal saltmarsh - Artificial saltmarshes and saline reedbeds</v>
      </c>
      <c r="G116" s="331">
        <v>15</v>
      </c>
      <c r="H116" s="331">
        <v>10</v>
      </c>
      <c r="I116" s="331">
        <v>7</v>
      </c>
      <c r="J116" s="331">
        <v>3</v>
      </c>
      <c r="K116" s="331">
        <v>1</v>
      </c>
      <c r="L116" s="331" t="s">
        <v>1606</v>
      </c>
      <c r="M116" s="331" t="s">
        <v>1606</v>
      </c>
    </row>
    <row r="117" spans="6:13" x14ac:dyDescent="0.3">
      <c r="F117" s="52" t="str">
        <f>'G-1 All Habitats'!B118</f>
        <v>Intertidal sediment - Littoral seagrass</v>
      </c>
      <c r="G117" s="331">
        <v>20</v>
      </c>
      <c r="H117" s="331">
        <v>15</v>
      </c>
      <c r="I117" s="331">
        <v>10</v>
      </c>
      <c r="J117" s="331">
        <v>5</v>
      </c>
      <c r="K117" s="331">
        <v>2</v>
      </c>
      <c r="L117" s="331" t="s">
        <v>1606</v>
      </c>
      <c r="M117" s="331" t="s">
        <v>1606</v>
      </c>
    </row>
    <row r="118" spans="6:13" x14ac:dyDescent="0.3">
      <c r="F118" s="52" t="str">
        <f>'G-1 All Habitats'!B119</f>
        <v>Intertidal sediment - Littoral seagrass on peat, clay or chalk</v>
      </c>
      <c r="G118" s="331" t="s">
        <v>868</v>
      </c>
      <c r="H118" s="331" t="s">
        <v>868</v>
      </c>
      <c r="I118" s="331" t="s">
        <v>868</v>
      </c>
      <c r="J118" s="331" t="s">
        <v>868</v>
      </c>
      <c r="K118" s="331" t="s">
        <v>868</v>
      </c>
      <c r="L118" s="331" t="s">
        <v>1606</v>
      </c>
      <c r="M118" s="331" t="s">
        <v>1606</v>
      </c>
    </row>
    <row r="119" spans="6:13" x14ac:dyDescent="0.3">
      <c r="F119" s="52" t="str">
        <f>'G-1 All Habitats'!B120</f>
        <v>Intertidal sediment - Littoral biogenic reefs - Mussels</v>
      </c>
      <c r="G119" s="331">
        <v>15</v>
      </c>
      <c r="H119" s="331">
        <v>10</v>
      </c>
      <c r="I119" s="331">
        <v>5</v>
      </c>
      <c r="J119" s="331">
        <v>3</v>
      </c>
      <c r="K119" s="331">
        <v>3</v>
      </c>
      <c r="L119" s="331" t="s">
        <v>1606</v>
      </c>
      <c r="M119" s="331" t="s">
        <v>1606</v>
      </c>
    </row>
    <row r="120" spans="6:13" x14ac:dyDescent="0.3">
      <c r="F120" s="52" t="str">
        <f>'G-1 All Habitats'!B121</f>
        <v>Intertidal sediment - Littoral biogenic reefs - Sabellaria</v>
      </c>
      <c r="G120" s="331">
        <v>15</v>
      </c>
      <c r="H120" s="331">
        <v>10</v>
      </c>
      <c r="I120" s="331">
        <v>5</v>
      </c>
      <c r="J120" s="331">
        <v>3</v>
      </c>
      <c r="K120" s="331">
        <v>3</v>
      </c>
      <c r="L120" s="331" t="s">
        <v>1606</v>
      </c>
      <c r="M120" s="331" t="s">
        <v>1606</v>
      </c>
    </row>
    <row r="121" spans="6:13" x14ac:dyDescent="0.3">
      <c r="F121" s="52" t="str">
        <f>'G-1 All Habitats'!B122</f>
        <v>Intertidal sediment - Features of littoral sediment</v>
      </c>
      <c r="G121" s="331">
        <v>10</v>
      </c>
      <c r="H121" s="331">
        <v>7</v>
      </c>
      <c r="I121" s="331">
        <v>5</v>
      </c>
      <c r="J121" s="331">
        <v>3</v>
      </c>
      <c r="K121" s="331">
        <v>3</v>
      </c>
      <c r="L121" s="331" t="s">
        <v>1606</v>
      </c>
      <c r="M121" s="331" t="s">
        <v>1606</v>
      </c>
    </row>
    <row r="122" spans="6:13" x14ac:dyDescent="0.3">
      <c r="F122" s="52" t="str">
        <f>'G-1 All Habitats'!B123</f>
        <v>Intertidal sediment - Artificial littoral coarse sediment</v>
      </c>
      <c r="G122" s="331">
        <v>3</v>
      </c>
      <c r="H122" s="331">
        <v>2</v>
      </c>
      <c r="I122" s="331">
        <v>1</v>
      </c>
      <c r="J122" s="331">
        <v>1</v>
      </c>
      <c r="K122" s="331">
        <v>1</v>
      </c>
      <c r="L122" s="331" t="s">
        <v>1606</v>
      </c>
      <c r="M122" s="331" t="s">
        <v>1606</v>
      </c>
    </row>
    <row r="123" spans="6:13" x14ac:dyDescent="0.3">
      <c r="F123" s="52" t="str">
        <f>'G-1 All Habitats'!B124</f>
        <v>Intertidal sediment - Artificial littoral mud</v>
      </c>
      <c r="G123" s="331">
        <v>6</v>
      </c>
      <c r="H123" s="331">
        <v>4</v>
      </c>
      <c r="I123" s="331">
        <v>3</v>
      </c>
      <c r="J123" s="331">
        <v>2</v>
      </c>
      <c r="K123" s="331">
        <v>1</v>
      </c>
      <c r="L123" s="331" t="s">
        <v>1606</v>
      </c>
      <c r="M123" s="331" t="s">
        <v>1606</v>
      </c>
    </row>
    <row r="124" spans="6:13" x14ac:dyDescent="0.3">
      <c r="F124" s="52" t="str">
        <f>'G-1 All Habitats'!B125</f>
        <v>Intertidal sediment - Artificial littoral sand</v>
      </c>
      <c r="G124" s="331">
        <v>4</v>
      </c>
      <c r="H124" s="331">
        <v>2</v>
      </c>
      <c r="I124" s="331">
        <v>1</v>
      </c>
      <c r="J124" s="331">
        <v>1</v>
      </c>
      <c r="K124" s="331">
        <v>1</v>
      </c>
      <c r="L124" s="331" t="s">
        <v>1606</v>
      </c>
      <c r="M124" s="331" t="s">
        <v>1606</v>
      </c>
    </row>
    <row r="125" spans="6:13" x14ac:dyDescent="0.3">
      <c r="F125" s="52" t="str">
        <f>'G-1 All Habitats'!B126</f>
        <v>Intertidal sediment - Artificial littoral muddy sand</v>
      </c>
      <c r="G125" s="331">
        <v>5</v>
      </c>
      <c r="H125" s="331">
        <v>4</v>
      </c>
      <c r="I125" s="331">
        <v>3</v>
      </c>
      <c r="J125" s="331">
        <v>2</v>
      </c>
      <c r="K125" s="331">
        <v>1</v>
      </c>
      <c r="L125" s="331" t="s">
        <v>1606</v>
      </c>
      <c r="M125" s="331" t="s">
        <v>1606</v>
      </c>
    </row>
    <row r="126" spans="6:13" x14ac:dyDescent="0.3">
      <c r="F126" s="52" t="str">
        <f>'G-1 All Habitats'!B127</f>
        <v>Intertidal sediment - Artificial littoral mixed sediments</v>
      </c>
      <c r="G126" s="331">
        <v>5</v>
      </c>
      <c r="H126" s="331">
        <v>4</v>
      </c>
      <c r="I126" s="331">
        <v>3</v>
      </c>
      <c r="J126" s="331">
        <v>2</v>
      </c>
      <c r="K126" s="331">
        <v>1</v>
      </c>
      <c r="L126" s="331" t="s">
        <v>1606</v>
      </c>
      <c r="M126" s="331" t="s">
        <v>1606</v>
      </c>
    </row>
    <row r="127" spans="6:13" x14ac:dyDescent="0.3">
      <c r="F127" s="52" t="str">
        <f>'G-1 All Habitats'!B128</f>
        <v>Intertidal sediment - Artificial littoral seagrass</v>
      </c>
      <c r="G127" s="331">
        <v>20</v>
      </c>
      <c r="H127" s="331">
        <v>15</v>
      </c>
      <c r="I127" s="331">
        <v>10</v>
      </c>
      <c r="J127" s="331">
        <v>5</v>
      </c>
      <c r="K127" s="331">
        <v>2</v>
      </c>
      <c r="L127" s="331" t="s">
        <v>1606</v>
      </c>
      <c r="M127" s="331" t="s">
        <v>1606</v>
      </c>
    </row>
    <row r="128" spans="6:13" x14ac:dyDescent="0.3">
      <c r="F128" s="52" t="str">
        <f>'G-1 All Habitats'!B129</f>
        <v>Intertidal sediment - Artificial littoral biogenic reefs</v>
      </c>
      <c r="G128" s="331">
        <v>15</v>
      </c>
      <c r="H128" s="331">
        <v>10</v>
      </c>
      <c r="I128" s="331">
        <v>5</v>
      </c>
      <c r="J128" s="331">
        <v>3</v>
      </c>
      <c r="K128" s="331">
        <v>3</v>
      </c>
      <c r="L128" s="331" t="s">
        <v>1606</v>
      </c>
      <c r="M128" s="331" t="s">
        <v>1606</v>
      </c>
    </row>
    <row r="129" spans="6:13" x14ac:dyDescent="0.3">
      <c r="F129" s="52" t="str">
        <f>'G-1 All Habitats'!B130</f>
        <v>Intertidal sediment - Littoral sand</v>
      </c>
      <c r="G129" s="331">
        <v>4</v>
      </c>
      <c r="H129" s="331">
        <v>2</v>
      </c>
      <c r="I129" s="331">
        <v>1</v>
      </c>
      <c r="J129" s="331">
        <v>1</v>
      </c>
      <c r="K129" s="331">
        <v>1</v>
      </c>
      <c r="L129" s="331" t="s">
        <v>1606</v>
      </c>
      <c r="M129" s="331" t="s">
        <v>1606</v>
      </c>
    </row>
    <row r="130" spans="6:13" x14ac:dyDescent="0.3">
      <c r="F130" s="52" t="str">
        <f>'G-1 All Habitats'!B131</f>
        <v>Intertidal sediment - Littoral muddy sand</v>
      </c>
      <c r="G130" s="331">
        <v>5</v>
      </c>
      <c r="H130" s="331">
        <v>4</v>
      </c>
      <c r="I130" s="331">
        <v>3</v>
      </c>
      <c r="J130" s="331">
        <v>2</v>
      </c>
      <c r="K130" s="331">
        <v>1</v>
      </c>
      <c r="L130" s="331" t="s">
        <v>1606</v>
      </c>
      <c r="M130" s="331" t="s">
        <v>1606</v>
      </c>
    </row>
    <row r="131" spans="6:13" x14ac:dyDescent="0.3">
      <c r="F131" s="52" t="str">
        <f>'G-1 All Habitats'!B132</f>
        <v>Intertidal hard structures - Artificial hard structures</v>
      </c>
      <c r="G131" s="331">
        <v>15</v>
      </c>
      <c r="H131" s="331">
        <v>10</v>
      </c>
      <c r="I131" s="331">
        <v>5</v>
      </c>
      <c r="J131" s="331">
        <v>2</v>
      </c>
      <c r="K131" s="331">
        <v>1</v>
      </c>
      <c r="L131" s="331" t="s">
        <v>1606</v>
      </c>
      <c r="M131" s="331" t="s">
        <v>1606</v>
      </c>
    </row>
    <row r="132" spans="6:13" x14ac:dyDescent="0.3">
      <c r="F132" s="52" t="str">
        <f>'G-1 All Habitats'!B133</f>
        <v>Intertidal hard structures - Artificial features of hard structures</v>
      </c>
      <c r="G132" s="331">
        <v>13</v>
      </c>
      <c r="H132" s="331">
        <v>8</v>
      </c>
      <c r="I132" s="331">
        <v>4</v>
      </c>
      <c r="J132" s="331">
        <v>2</v>
      </c>
      <c r="K132" s="331">
        <v>1</v>
      </c>
      <c r="L132" s="331" t="s">
        <v>1606</v>
      </c>
      <c r="M132" s="331" t="s">
        <v>1606</v>
      </c>
    </row>
    <row r="133" spans="6:13" x14ac:dyDescent="0.3">
      <c r="F133" s="52" t="str">
        <f>'G-1 All Habitats'!B134</f>
        <v>Intertidal hard structures - Artificial hard structures with integrated greening of grey infrastructure (IGGI)</v>
      </c>
      <c r="G133" s="331">
        <v>13</v>
      </c>
      <c r="H133" s="331">
        <v>8</v>
      </c>
      <c r="I133" s="331">
        <v>4</v>
      </c>
      <c r="J133" s="331">
        <v>2</v>
      </c>
      <c r="K133" s="331">
        <v>1</v>
      </c>
      <c r="L133" s="331" t="s">
        <v>1606</v>
      </c>
      <c r="M133" s="331" t="s">
        <v>1606</v>
      </c>
    </row>
    <row r="134" spans="6:13" x14ac:dyDescent="0.3">
      <c r="F134" s="52" t="str">
        <f>'G-1 All Habitats'!B135</f>
        <v>Watercourse footprint - Watercourse footprint</v>
      </c>
      <c r="G134" s="331" t="s">
        <v>1606</v>
      </c>
      <c r="H134" s="331" t="s">
        <v>1606</v>
      </c>
      <c r="I134" s="331" t="s">
        <v>1606</v>
      </c>
      <c r="J134" s="331" t="s">
        <v>1606</v>
      </c>
      <c r="K134" s="331" t="s">
        <v>1606</v>
      </c>
      <c r="L134" s="331" t="s">
        <v>1606</v>
      </c>
      <c r="M134" s="331">
        <v>0</v>
      </c>
    </row>
    <row r="135" spans="6:13" x14ac:dyDescent="0.3">
      <c r="F135" s="52" t="str">
        <f>'G-1 All Habitats'!B81</f>
        <v>Individual trees - Rural tree</v>
      </c>
      <c r="G135" s="331" t="s">
        <v>868</v>
      </c>
      <c r="H135" s="331" t="s">
        <v>868</v>
      </c>
      <c r="I135" s="331">
        <v>27</v>
      </c>
      <c r="J135" s="331">
        <v>19</v>
      </c>
      <c r="K135" s="331">
        <v>10</v>
      </c>
      <c r="L135" s="331" t="s">
        <v>1606</v>
      </c>
      <c r="M135" s="331" t="s">
        <v>1606</v>
      </c>
    </row>
    <row r="136" spans="6:13" x14ac:dyDescent="0.3"/>
    <row r="137" spans="6:13" x14ac:dyDescent="0.3"/>
    <row r="138" spans="6:13" x14ac:dyDescent="0.3"/>
    <row r="139" spans="6:13" x14ac:dyDescent="0.3"/>
    <row r="140" spans="6:13" x14ac:dyDescent="0.3"/>
    <row r="141" spans="6:13" x14ac:dyDescent="0.3"/>
    <row r="142" spans="6:13" x14ac:dyDescent="0.3"/>
    <row r="143" spans="6:13" x14ac:dyDescent="0.3"/>
    <row r="144" spans="6:13" x14ac:dyDescent="0.3"/>
    <row r="145" x14ac:dyDescent="0.3"/>
    <row r="146" x14ac:dyDescent="0.3"/>
    <row r="147" x14ac:dyDescent="0.3"/>
    <row r="148" x14ac:dyDescent="0.3"/>
    <row r="149" x14ac:dyDescent="0.3"/>
    <row r="150" x14ac:dyDescent="0.3"/>
    <row r="151" x14ac:dyDescent="0.3"/>
    <row r="152" x14ac:dyDescent="0.3"/>
    <row r="153" x14ac:dyDescent="0.3"/>
  </sheetData>
  <sheetProtection algorithmName="SHA-512" hashValue="Ae8VuPunztK4v9jEteptB3yjzoDgMgfR6iHzawCxd6G69yrtfXeq7JX/X+XefAKbDyRGLycJ+VOpdyuVdRReXQ==" saltValue="W2/1PiweZkPmL7CuLD4pmA==" spinCount="100000" sheet="1" objects="1" scenarios="1"/>
  <customSheetViews>
    <customSheetView guid="{8BDA793C-C9C5-4FC6-A0A5-F1109F6D4F22}" scale="90" state="hidden">
      <pane xSplit="6" ySplit="3" topLeftCell="G45" activePane="bottomRight" state="frozen"/>
      <selection pane="bottomRight" activeCell="D14" sqref="D14"/>
    </customSheetView>
  </customSheetViews>
  <mergeCells count="3">
    <mergeCell ref="A2:C2"/>
    <mergeCell ref="A1:C1"/>
    <mergeCell ref="G2:M2"/>
  </mergeCells>
  <dataValidations count="1">
    <dataValidation type="list" allowBlank="1" showInputMessage="1" showErrorMessage="1" sqref="G4:M135" xr:uid="{00000000-0002-0000-1F00-000000000000}">
      <formula1>$A$4:$A$37</formula1>
    </dataValidation>
  </dataValidations>
  <pageMargins left="0.7" right="0.7" top="0.75" bottom="0.75" header="0.3" footer="0.3"/>
  <pageSetup paperSize="9" scale="26"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rgb="FFFFC000"/>
  </sheetPr>
  <dimension ref="A1:AN295"/>
  <sheetViews>
    <sheetView zoomScaleNormal="80" workbookViewId="0">
      <pane xSplit="3" ySplit="4" topLeftCell="H125" activePane="bottomRight" state="frozen"/>
      <selection pane="topRight" activeCell="D1" sqref="D1"/>
      <selection pane="bottomLeft" activeCell="A5" sqref="A5"/>
      <selection pane="bottomRight" activeCell="O134" sqref="O134"/>
    </sheetView>
  </sheetViews>
  <sheetFormatPr defaultColWidth="0" defaultRowHeight="14" zeroHeight="1" x14ac:dyDescent="0.3"/>
  <cols>
    <col min="1" max="1" width="3.54296875" style="15" customWidth="1"/>
    <col min="2" max="2" width="3.1796875" style="15" customWidth="1"/>
    <col min="3" max="3" width="88.81640625" style="15" bestFit="1" customWidth="1"/>
    <col min="4" max="4" width="18" style="18" customWidth="1"/>
    <col min="5" max="5" width="21.54296875" style="18" customWidth="1"/>
    <col min="6" max="6" width="17.81640625" style="18" customWidth="1"/>
    <col min="7" max="7" width="18.7265625" style="18" customWidth="1"/>
    <col min="8" max="8" width="18.81640625" style="18" customWidth="1"/>
    <col min="9" max="9" width="17.7265625" style="18" customWidth="1"/>
    <col min="10" max="14" width="17.453125" style="18" customWidth="1"/>
    <col min="15" max="15" width="14.453125" style="18" bestFit="1" customWidth="1"/>
    <col min="16" max="16" width="12.7265625" style="18" bestFit="1" customWidth="1"/>
    <col min="17" max="21" width="14.453125" style="18" bestFit="1" customWidth="1"/>
    <col min="22" max="22" width="14.26953125" style="18" bestFit="1" customWidth="1"/>
    <col min="23" max="23" width="13.1796875" style="18" bestFit="1" customWidth="1"/>
    <col min="24" max="24" width="14.453125" style="18" bestFit="1" customWidth="1"/>
    <col min="25" max="25" width="14.81640625" style="18" customWidth="1"/>
    <col min="26" max="26" width="11.81640625" style="18" customWidth="1"/>
    <col min="27" max="30" width="11.81640625" style="15" customWidth="1"/>
    <col min="31" max="40" width="11.81640625" style="15" hidden="1" customWidth="1"/>
    <col min="41" max="16384" width="9.1796875" style="15" hidden="1"/>
  </cols>
  <sheetData>
    <row r="1" spans="3:25" ht="33.65" customHeight="1" x14ac:dyDescent="0.3">
      <c r="D1" s="15"/>
      <c r="E1" s="15"/>
      <c r="F1" s="15"/>
      <c r="G1" s="15"/>
      <c r="H1" s="15"/>
      <c r="I1" s="15"/>
      <c r="J1" s="15"/>
      <c r="K1" s="15"/>
      <c r="L1" s="15"/>
      <c r="M1" s="15"/>
      <c r="N1" s="15"/>
      <c r="O1" s="15"/>
      <c r="P1" s="15"/>
      <c r="Q1" s="15"/>
      <c r="R1" s="15"/>
      <c r="S1" s="15"/>
      <c r="T1" s="15"/>
      <c r="U1" s="15"/>
      <c r="V1" s="15"/>
      <c r="W1" s="15"/>
      <c r="X1" s="15"/>
      <c r="Y1" s="15"/>
    </row>
    <row r="2" spans="3:25" ht="42" x14ac:dyDescent="0.3">
      <c r="C2" s="184" t="s">
        <v>870</v>
      </c>
      <c r="D2" s="64" t="s">
        <v>871</v>
      </c>
      <c r="E2" s="64" t="s">
        <v>871</v>
      </c>
      <c r="F2" s="64" t="s">
        <v>871</v>
      </c>
      <c r="G2" s="64" t="s">
        <v>871</v>
      </c>
      <c r="H2" s="64" t="s">
        <v>871</v>
      </c>
      <c r="I2" s="64" t="s">
        <v>871</v>
      </c>
      <c r="J2" s="64" t="s">
        <v>871</v>
      </c>
      <c r="K2" s="64" t="s">
        <v>322</v>
      </c>
      <c r="L2" s="64" t="s">
        <v>322</v>
      </c>
      <c r="M2" s="64" t="s">
        <v>322</v>
      </c>
      <c r="N2" s="64" t="s">
        <v>322</v>
      </c>
      <c r="O2" s="64" t="s">
        <v>194</v>
      </c>
      <c r="P2" s="64" t="s">
        <v>194</v>
      </c>
      <c r="Q2" s="64" t="s">
        <v>194</v>
      </c>
      <c r="R2" s="64" t="s">
        <v>194</v>
      </c>
      <c r="S2" s="64" t="s">
        <v>312</v>
      </c>
      <c r="T2" s="64" t="s">
        <v>312</v>
      </c>
      <c r="U2" s="64" t="s">
        <v>312</v>
      </c>
      <c r="V2" s="64" t="s">
        <v>35</v>
      </c>
      <c r="W2" s="64" t="s">
        <v>35</v>
      </c>
      <c r="X2" s="64" t="s">
        <v>302</v>
      </c>
      <c r="Y2" s="64" t="s">
        <v>36</v>
      </c>
    </row>
    <row r="3" spans="3:25" ht="29.5" customHeight="1" x14ac:dyDescent="0.3">
      <c r="C3" s="184" t="s">
        <v>872</v>
      </c>
      <c r="D3" s="64" t="s">
        <v>326</v>
      </c>
      <c r="E3" s="64" t="s">
        <v>322</v>
      </c>
      <c r="F3" s="64" t="s">
        <v>194</v>
      </c>
      <c r="G3" s="64" t="s">
        <v>312</v>
      </c>
      <c r="H3" s="64" t="s">
        <v>35</v>
      </c>
      <c r="I3" s="64" t="s">
        <v>302</v>
      </c>
      <c r="J3" s="64" t="s">
        <v>36</v>
      </c>
      <c r="K3" s="64" t="s">
        <v>312</v>
      </c>
      <c r="L3" s="64" t="s">
        <v>35</v>
      </c>
      <c r="M3" s="64" t="s">
        <v>302</v>
      </c>
      <c r="N3" s="64" t="s">
        <v>36</v>
      </c>
      <c r="O3" s="64" t="s">
        <v>312</v>
      </c>
      <c r="P3" s="64" t="s">
        <v>35</v>
      </c>
      <c r="Q3" s="64" t="s">
        <v>302</v>
      </c>
      <c r="R3" s="64" t="s">
        <v>36</v>
      </c>
      <c r="S3" s="64" t="s">
        <v>35</v>
      </c>
      <c r="T3" s="64" t="s">
        <v>302</v>
      </c>
      <c r="U3" s="64" t="s">
        <v>36</v>
      </c>
      <c r="V3" s="64" t="s">
        <v>302</v>
      </c>
      <c r="W3" s="64" t="s">
        <v>36</v>
      </c>
      <c r="X3" s="64" t="s">
        <v>36</v>
      </c>
      <c r="Y3" s="64" t="s">
        <v>36</v>
      </c>
    </row>
    <row r="4" spans="3:25" ht="72" customHeight="1" x14ac:dyDescent="0.3">
      <c r="C4" s="184" t="s">
        <v>203</v>
      </c>
      <c r="D4" s="62" t="s">
        <v>873</v>
      </c>
      <c r="E4" s="62" t="s">
        <v>874</v>
      </c>
      <c r="F4" s="62" t="s">
        <v>875</v>
      </c>
      <c r="G4" s="62" t="s">
        <v>876</v>
      </c>
      <c r="H4" s="62" t="s">
        <v>877</v>
      </c>
      <c r="I4" s="62" t="s">
        <v>878</v>
      </c>
      <c r="J4" s="62" t="s">
        <v>879</v>
      </c>
      <c r="K4" s="62" t="s">
        <v>880</v>
      </c>
      <c r="L4" s="62" t="s">
        <v>881</v>
      </c>
      <c r="M4" s="62" t="s">
        <v>882</v>
      </c>
      <c r="N4" s="62" t="s">
        <v>883</v>
      </c>
      <c r="O4" s="62" t="s">
        <v>884</v>
      </c>
      <c r="P4" s="62" t="s">
        <v>885</v>
      </c>
      <c r="Q4" s="62" t="s">
        <v>886</v>
      </c>
      <c r="R4" s="62" t="s">
        <v>887</v>
      </c>
      <c r="S4" s="62" t="s">
        <v>888</v>
      </c>
      <c r="T4" s="62" t="s">
        <v>889</v>
      </c>
      <c r="U4" s="62" t="s">
        <v>890</v>
      </c>
      <c r="V4" s="62" t="s">
        <v>891</v>
      </c>
      <c r="W4" s="62" t="s">
        <v>892</v>
      </c>
      <c r="X4" s="62" t="s">
        <v>893</v>
      </c>
      <c r="Y4" s="62" t="s">
        <v>894</v>
      </c>
    </row>
    <row r="5" spans="3:25" x14ac:dyDescent="0.3">
      <c r="C5" s="52" t="str">
        <f>'G-1 All Habitats'!B3</f>
        <v>Cropland - Arable field margins cultivated annually</v>
      </c>
      <c r="D5" s="331" t="s">
        <v>1606</v>
      </c>
      <c r="E5" s="331">
        <v>1</v>
      </c>
      <c r="F5" s="331" t="s">
        <v>1606</v>
      </c>
      <c r="G5" s="331" t="s">
        <v>1606</v>
      </c>
      <c r="H5" s="331" t="s">
        <v>1606</v>
      </c>
      <c r="I5" s="331" t="s">
        <v>1606</v>
      </c>
      <c r="J5" s="331" t="s">
        <v>1606</v>
      </c>
      <c r="K5" s="331" t="s">
        <v>1606</v>
      </c>
      <c r="L5" s="331" t="s">
        <v>1606</v>
      </c>
      <c r="M5" s="331" t="s">
        <v>1606</v>
      </c>
      <c r="N5" s="331" t="s">
        <v>1606</v>
      </c>
      <c r="O5" s="331" t="s">
        <v>1606</v>
      </c>
      <c r="P5" s="331" t="s">
        <v>1606</v>
      </c>
      <c r="Q5" s="331" t="s">
        <v>1606</v>
      </c>
      <c r="R5" s="331" t="s">
        <v>1606</v>
      </c>
      <c r="S5" s="331" t="s">
        <v>1606</v>
      </c>
      <c r="T5" s="331" t="s">
        <v>1606</v>
      </c>
      <c r="U5" s="331" t="s">
        <v>1606</v>
      </c>
      <c r="V5" s="331" t="s">
        <v>1606</v>
      </c>
      <c r="W5" s="331" t="s">
        <v>1606</v>
      </c>
      <c r="X5" s="331" t="s">
        <v>1606</v>
      </c>
      <c r="Y5" s="331" t="s">
        <v>1606</v>
      </c>
    </row>
    <row r="6" spans="3:25" x14ac:dyDescent="0.3">
      <c r="C6" s="52" t="str">
        <f>'G-1 All Habitats'!B4</f>
        <v>Cropland - Arable field margins game bird mix</v>
      </c>
      <c r="D6" s="331" t="s">
        <v>1606</v>
      </c>
      <c r="E6" s="331">
        <v>1</v>
      </c>
      <c r="F6" s="331" t="s">
        <v>1606</v>
      </c>
      <c r="G6" s="331" t="s">
        <v>1606</v>
      </c>
      <c r="H6" s="331" t="s">
        <v>1606</v>
      </c>
      <c r="I6" s="331" t="s">
        <v>1606</v>
      </c>
      <c r="J6" s="331" t="s">
        <v>1606</v>
      </c>
      <c r="K6" s="331" t="s">
        <v>1606</v>
      </c>
      <c r="L6" s="331" t="s">
        <v>1606</v>
      </c>
      <c r="M6" s="331" t="s">
        <v>1606</v>
      </c>
      <c r="N6" s="331" t="s">
        <v>1606</v>
      </c>
      <c r="O6" s="331" t="s">
        <v>1606</v>
      </c>
      <c r="P6" s="331" t="s">
        <v>1606</v>
      </c>
      <c r="Q6" s="331" t="s">
        <v>1606</v>
      </c>
      <c r="R6" s="331" t="s">
        <v>1606</v>
      </c>
      <c r="S6" s="331" t="s">
        <v>1606</v>
      </c>
      <c r="T6" s="331" t="s">
        <v>1606</v>
      </c>
      <c r="U6" s="331" t="s">
        <v>1606</v>
      </c>
      <c r="V6" s="331" t="s">
        <v>1606</v>
      </c>
      <c r="W6" s="331" t="s">
        <v>1606</v>
      </c>
      <c r="X6" s="331" t="s">
        <v>1606</v>
      </c>
      <c r="Y6" s="331" t="s">
        <v>1606</v>
      </c>
    </row>
    <row r="7" spans="3:25" x14ac:dyDescent="0.3">
      <c r="C7" s="52" t="str">
        <f>'G-1 All Habitats'!B5</f>
        <v>Cropland - Arable field margins pollen and nectar</v>
      </c>
      <c r="D7" s="331" t="s">
        <v>1606</v>
      </c>
      <c r="E7" s="331">
        <v>1</v>
      </c>
      <c r="F7" s="331" t="s">
        <v>1606</v>
      </c>
      <c r="G7" s="331" t="s">
        <v>1606</v>
      </c>
      <c r="H7" s="331" t="s">
        <v>1606</v>
      </c>
      <c r="I7" s="331" t="s">
        <v>1606</v>
      </c>
      <c r="J7" s="331" t="s">
        <v>1606</v>
      </c>
      <c r="K7" s="331" t="s">
        <v>1606</v>
      </c>
      <c r="L7" s="331" t="s">
        <v>1606</v>
      </c>
      <c r="M7" s="331" t="s">
        <v>1606</v>
      </c>
      <c r="N7" s="331" t="s">
        <v>1606</v>
      </c>
      <c r="O7" s="331" t="s">
        <v>1606</v>
      </c>
      <c r="P7" s="331" t="s">
        <v>1606</v>
      </c>
      <c r="Q7" s="331" t="s">
        <v>1606</v>
      </c>
      <c r="R7" s="331" t="s">
        <v>1606</v>
      </c>
      <c r="S7" s="331" t="s">
        <v>1606</v>
      </c>
      <c r="T7" s="331" t="s">
        <v>1606</v>
      </c>
      <c r="U7" s="331" t="s">
        <v>1606</v>
      </c>
      <c r="V7" s="331" t="s">
        <v>1606</v>
      </c>
      <c r="W7" s="331" t="s">
        <v>1606</v>
      </c>
      <c r="X7" s="331" t="s">
        <v>1606</v>
      </c>
      <c r="Y7" s="331" t="s">
        <v>1606</v>
      </c>
    </row>
    <row r="8" spans="3:25" x14ac:dyDescent="0.3">
      <c r="C8" s="52" t="str">
        <f>'G-1 All Habitats'!B6</f>
        <v>Cropland - Arable field margins tussocky</v>
      </c>
      <c r="D8" s="331" t="s">
        <v>1606</v>
      </c>
      <c r="E8" s="331">
        <v>1</v>
      </c>
      <c r="F8" s="331" t="s">
        <v>1606</v>
      </c>
      <c r="G8" s="331" t="s">
        <v>1606</v>
      </c>
      <c r="H8" s="331" t="s">
        <v>1606</v>
      </c>
      <c r="I8" s="331" t="s">
        <v>1606</v>
      </c>
      <c r="J8" s="331" t="s">
        <v>1606</v>
      </c>
      <c r="K8" s="331" t="s">
        <v>1606</v>
      </c>
      <c r="L8" s="331" t="s">
        <v>1606</v>
      </c>
      <c r="M8" s="331" t="s">
        <v>1606</v>
      </c>
      <c r="N8" s="331" t="s">
        <v>1606</v>
      </c>
      <c r="O8" s="331" t="s">
        <v>1606</v>
      </c>
      <c r="P8" s="331" t="s">
        <v>1606</v>
      </c>
      <c r="Q8" s="331" t="s">
        <v>1606</v>
      </c>
      <c r="R8" s="331" t="s">
        <v>1606</v>
      </c>
      <c r="S8" s="331" t="s">
        <v>1606</v>
      </c>
      <c r="T8" s="331" t="s">
        <v>1606</v>
      </c>
      <c r="U8" s="331" t="s">
        <v>1606</v>
      </c>
      <c r="V8" s="331" t="s">
        <v>1606</v>
      </c>
      <c r="W8" s="331" t="s">
        <v>1606</v>
      </c>
      <c r="X8" s="331" t="s">
        <v>1606</v>
      </c>
      <c r="Y8" s="331" t="s">
        <v>1606</v>
      </c>
    </row>
    <row r="9" spans="3:25" x14ac:dyDescent="0.3">
      <c r="C9" s="52" t="str">
        <f>'G-1 All Habitats'!B7</f>
        <v>Cropland - Cereal crops</v>
      </c>
      <c r="D9" s="331" t="s">
        <v>1606</v>
      </c>
      <c r="E9" s="331" t="s">
        <v>1606</v>
      </c>
      <c r="F9" s="331" t="s">
        <v>1606</v>
      </c>
      <c r="G9" s="331" t="s">
        <v>1606</v>
      </c>
      <c r="H9" s="331" t="s">
        <v>1606</v>
      </c>
      <c r="I9" s="331" t="s">
        <v>1606</v>
      </c>
      <c r="J9" s="331" t="s">
        <v>1606</v>
      </c>
      <c r="K9" s="331" t="s">
        <v>1606</v>
      </c>
      <c r="L9" s="331" t="s">
        <v>1606</v>
      </c>
      <c r="M9" s="331" t="s">
        <v>1606</v>
      </c>
      <c r="N9" s="331" t="s">
        <v>1606</v>
      </c>
      <c r="O9" s="331" t="s">
        <v>1606</v>
      </c>
      <c r="P9" s="331" t="s">
        <v>1606</v>
      </c>
      <c r="Q9" s="331" t="s">
        <v>1606</v>
      </c>
      <c r="R9" s="331" t="s">
        <v>1606</v>
      </c>
      <c r="S9" s="331" t="s">
        <v>1606</v>
      </c>
      <c r="T9" s="331" t="s">
        <v>1606</v>
      </c>
      <c r="U9" s="331" t="s">
        <v>1606</v>
      </c>
      <c r="V9" s="331" t="s">
        <v>1606</v>
      </c>
      <c r="W9" s="331" t="s">
        <v>1606</v>
      </c>
      <c r="X9" s="331" t="s">
        <v>1606</v>
      </c>
      <c r="Y9" s="331" t="s">
        <v>1606</v>
      </c>
    </row>
    <row r="10" spans="3:25" x14ac:dyDescent="0.3">
      <c r="C10" s="52" t="str">
        <f>'G-1 All Habitats'!B8</f>
        <v>Cropland - Winter stubble</v>
      </c>
      <c r="D10" s="331" t="s">
        <v>1606</v>
      </c>
      <c r="E10" s="331" t="s">
        <v>1606</v>
      </c>
      <c r="F10" s="331" t="s">
        <v>1606</v>
      </c>
      <c r="G10" s="331" t="s">
        <v>1606</v>
      </c>
      <c r="H10" s="331" t="s">
        <v>1606</v>
      </c>
      <c r="I10" s="331" t="s">
        <v>1606</v>
      </c>
      <c r="J10" s="331" t="s">
        <v>1606</v>
      </c>
      <c r="K10" s="331" t="s">
        <v>1606</v>
      </c>
      <c r="L10" s="331" t="s">
        <v>1606</v>
      </c>
      <c r="M10" s="331" t="s">
        <v>1606</v>
      </c>
      <c r="N10" s="331" t="s">
        <v>1606</v>
      </c>
      <c r="O10" s="331" t="s">
        <v>1606</v>
      </c>
      <c r="P10" s="331" t="s">
        <v>1606</v>
      </c>
      <c r="Q10" s="331" t="s">
        <v>1606</v>
      </c>
      <c r="R10" s="331" t="s">
        <v>1606</v>
      </c>
      <c r="S10" s="331" t="s">
        <v>1606</v>
      </c>
      <c r="T10" s="331" t="s">
        <v>1606</v>
      </c>
      <c r="U10" s="331" t="s">
        <v>1606</v>
      </c>
      <c r="V10" s="331" t="s">
        <v>1606</v>
      </c>
      <c r="W10" s="331" t="s">
        <v>1606</v>
      </c>
      <c r="X10" s="331" t="s">
        <v>1606</v>
      </c>
      <c r="Y10" s="331" t="s">
        <v>1606</v>
      </c>
    </row>
    <row r="11" spans="3:25" x14ac:dyDescent="0.3">
      <c r="C11" s="52" t="str">
        <f>'G-1 All Habitats'!B9</f>
        <v>Cropland - Horticulture</v>
      </c>
      <c r="D11" s="331" t="s">
        <v>1606</v>
      </c>
      <c r="E11" s="331" t="s">
        <v>1606</v>
      </c>
      <c r="F11" s="331" t="s">
        <v>1606</v>
      </c>
      <c r="G11" s="331" t="s">
        <v>1606</v>
      </c>
      <c r="H11" s="331" t="s">
        <v>1606</v>
      </c>
      <c r="I11" s="331" t="s">
        <v>1606</v>
      </c>
      <c r="J11" s="331" t="s">
        <v>1606</v>
      </c>
      <c r="K11" s="331" t="s">
        <v>1606</v>
      </c>
      <c r="L11" s="331" t="s">
        <v>1606</v>
      </c>
      <c r="M11" s="331" t="s">
        <v>1606</v>
      </c>
      <c r="N11" s="331" t="s">
        <v>1606</v>
      </c>
      <c r="O11" s="331" t="s">
        <v>1606</v>
      </c>
      <c r="P11" s="331" t="s">
        <v>1606</v>
      </c>
      <c r="Q11" s="331" t="s">
        <v>1606</v>
      </c>
      <c r="R11" s="331" t="s">
        <v>1606</v>
      </c>
      <c r="S11" s="331" t="s">
        <v>1606</v>
      </c>
      <c r="T11" s="331" t="s">
        <v>1606</v>
      </c>
      <c r="U11" s="331" t="s">
        <v>1606</v>
      </c>
      <c r="V11" s="331" t="s">
        <v>1606</v>
      </c>
      <c r="W11" s="331" t="s">
        <v>1606</v>
      </c>
      <c r="X11" s="331" t="s">
        <v>1606</v>
      </c>
      <c r="Y11" s="331" t="s">
        <v>1606</v>
      </c>
    </row>
    <row r="12" spans="3:25" x14ac:dyDescent="0.3">
      <c r="C12" s="52" t="str">
        <f>'G-1 All Habitats'!B10</f>
        <v>Cropland - Intensive orchards</v>
      </c>
      <c r="D12" s="331" t="s">
        <v>1606</v>
      </c>
      <c r="E12" s="331" t="s">
        <v>1606</v>
      </c>
      <c r="F12" s="331" t="s">
        <v>1606</v>
      </c>
      <c r="G12" s="331" t="s">
        <v>1606</v>
      </c>
      <c r="H12" s="331" t="s">
        <v>1606</v>
      </c>
      <c r="I12" s="331" t="s">
        <v>1606</v>
      </c>
      <c r="J12" s="331" t="s">
        <v>1606</v>
      </c>
      <c r="K12" s="331" t="s">
        <v>1606</v>
      </c>
      <c r="L12" s="331" t="s">
        <v>1606</v>
      </c>
      <c r="M12" s="331" t="s">
        <v>1606</v>
      </c>
      <c r="N12" s="331" t="s">
        <v>1606</v>
      </c>
      <c r="O12" s="331" t="s">
        <v>1606</v>
      </c>
      <c r="P12" s="331" t="s">
        <v>1606</v>
      </c>
      <c r="Q12" s="331" t="s">
        <v>1606</v>
      </c>
      <c r="R12" s="331" t="s">
        <v>1606</v>
      </c>
      <c r="S12" s="331" t="s">
        <v>1606</v>
      </c>
      <c r="T12" s="331" t="s">
        <v>1606</v>
      </c>
      <c r="U12" s="331" t="s">
        <v>1606</v>
      </c>
      <c r="V12" s="331" t="s">
        <v>1606</v>
      </c>
      <c r="W12" s="331" t="s">
        <v>1606</v>
      </c>
      <c r="X12" s="331" t="s">
        <v>1606</v>
      </c>
      <c r="Y12" s="331" t="s">
        <v>1606</v>
      </c>
    </row>
    <row r="13" spans="3:25" x14ac:dyDescent="0.3">
      <c r="C13" s="52" t="str">
        <f>'G-1 All Habitats'!B11</f>
        <v>Cropland - Non-cereal crops</v>
      </c>
      <c r="D13" s="331" t="s">
        <v>1606</v>
      </c>
      <c r="E13" s="331" t="s">
        <v>1606</v>
      </c>
      <c r="F13" s="331" t="s">
        <v>1606</v>
      </c>
      <c r="G13" s="331" t="s">
        <v>1606</v>
      </c>
      <c r="H13" s="331" t="s">
        <v>1606</v>
      </c>
      <c r="I13" s="331" t="s">
        <v>1606</v>
      </c>
      <c r="J13" s="331" t="s">
        <v>1606</v>
      </c>
      <c r="K13" s="331" t="s">
        <v>1606</v>
      </c>
      <c r="L13" s="331" t="s">
        <v>1606</v>
      </c>
      <c r="M13" s="331" t="s">
        <v>1606</v>
      </c>
      <c r="N13" s="331" t="s">
        <v>1606</v>
      </c>
      <c r="O13" s="331" t="s">
        <v>1606</v>
      </c>
      <c r="P13" s="331" t="s">
        <v>1606</v>
      </c>
      <c r="Q13" s="331" t="s">
        <v>1606</v>
      </c>
      <c r="R13" s="331" t="s">
        <v>1606</v>
      </c>
      <c r="S13" s="331" t="s">
        <v>1606</v>
      </c>
      <c r="T13" s="331" t="s">
        <v>1606</v>
      </c>
      <c r="U13" s="331" t="s">
        <v>1606</v>
      </c>
      <c r="V13" s="331" t="s">
        <v>1606</v>
      </c>
      <c r="W13" s="331" t="s">
        <v>1606</v>
      </c>
      <c r="X13" s="331" t="s">
        <v>1606</v>
      </c>
      <c r="Y13" s="331" t="s">
        <v>1606</v>
      </c>
    </row>
    <row r="14" spans="3:25" x14ac:dyDescent="0.3">
      <c r="C14" s="52" t="str">
        <f>'G-1 All Habitats'!B12</f>
        <v>Cropland - Temporary grass and clover leys</v>
      </c>
      <c r="D14" s="331" t="s">
        <v>1606</v>
      </c>
      <c r="E14" s="331" t="s">
        <v>1606</v>
      </c>
      <c r="F14" s="331" t="s">
        <v>1606</v>
      </c>
      <c r="G14" s="331" t="s">
        <v>1606</v>
      </c>
      <c r="H14" s="331" t="s">
        <v>1606</v>
      </c>
      <c r="I14" s="331" t="s">
        <v>1606</v>
      </c>
      <c r="J14" s="331" t="s">
        <v>1606</v>
      </c>
      <c r="K14" s="331" t="s">
        <v>1606</v>
      </c>
      <c r="L14" s="331" t="s">
        <v>1606</v>
      </c>
      <c r="M14" s="331" t="s">
        <v>1606</v>
      </c>
      <c r="N14" s="331" t="s">
        <v>1606</v>
      </c>
      <c r="O14" s="331" t="s">
        <v>1606</v>
      </c>
      <c r="P14" s="331" t="s">
        <v>1606</v>
      </c>
      <c r="Q14" s="331" t="s">
        <v>1606</v>
      </c>
      <c r="R14" s="331" t="s">
        <v>1606</v>
      </c>
      <c r="S14" s="331" t="s">
        <v>1606</v>
      </c>
      <c r="T14" s="331" t="s">
        <v>1606</v>
      </c>
      <c r="U14" s="331" t="s">
        <v>1606</v>
      </c>
      <c r="V14" s="331" t="s">
        <v>1606</v>
      </c>
      <c r="W14" s="331" t="s">
        <v>1606</v>
      </c>
      <c r="X14" s="331" t="s">
        <v>1606</v>
      </c>
      <c r="Y14" s="331" t="s">
        <v>1606</v>
      </c>
    </row>
    <row r="15" spans="3:25" x14ac:dyDescent="0.3">
      <c r="C15" s="52" t="str">
        <f>'G-1 All Habitats'!B13</f>
        <v>Grassland - Traditional orchards</v>
      </c>
      <c r="D15" s="331" t="s">
        <v>1606</v>
      </c>
      <c r="E15" s="331" t="s">
        <v>1606</v>
      </c>
      <c r="F15" s="331">
        <v>5</v>
      </c>
      <c r="G15" s="331">
        <v>10</v>
      </c>
      <c r="H15" s="331">
        <v>20</v>
      </c>
      <c r="I15" s="331">
        <v>25</v>
      </c>
      <c r="J15" s="331">
        <v>30</v>
      </c>
      <c r="K15" s="331" t="s">
        <v>1606</v>
      </c>
      <c r="L15" s="331" t="s">
        <v>1606</v>
      </c>
      <c r="M15" s="331" t="s">
        <v>1606</v>
      </c>
      <c r="N15" s="331" t="s">
        <v>1606</v>
      </c>
      <c r="O15" s="331">
        <v>5</v>
      </c>
      <c r="P15" s="331">
        <v>15</v>
      </c>
      <c r="Q15" s="331">
        <v>20</v>
      </c>
      <c r="R15" s="331">
        <v>25</v>
      </c>
      <c r="S15" s="331">
        <v>10</v>
      </c>
      <c r="T15" s="331">
        <v>15</v>
      </c>
      <c r="U15" s="331">
        <v>20</v>
      </c>
      <c r="V15" s="331">
        <v>5</v>
      </c>
      <c r="W15" s="331">
        <v>10</v>
      </c>
      <c r="X15" s="331">
        <v>5</v>
      </c>
      <c r="Y15" s="331" t="s">
        <v>1606</v>
      </c>
    </row>
    <row r="16" spans="3:25" x14ac:dyDescent="0.3">
      <c r="C16" s="52" t="str">
        <f>'G-1 All Habitats'!B14</f>
        <v>Grassland - Bracken</v>
      </c>
      <c r="D16" s="331" t="s">
        <v>1606</v>
      </c>
      <c r="E16" s="331" t="s">
        <v>1606</v>
      </c>
      <c r="F16" s="331">
        <v>1</v>
      </c>
      <c r="G16" s="331" t="s">
        <v>1606</v>
      </c>
      <c r="H16" s="331" t="s">
        <v>1606</v>
      </c>
      <c r="I16" s="331" t="s">
        <v>1606</v>
      </c>
      <c r="J16" s="331" t="s">
        <v>1606</v>
      </c>
      <c r="K16" s="331" t="s">
        <v>1606</v>
      </c>
      <c r="L16" s="331" t="s">
        <v>1606</v>
      </c>
      <c r="M16" s="331" t="s">
        <v>1606</v>
      </c>
      <c r="N16" s="331" t="s">
        <v>1606</v>
      </c>
      <c r="O16" s="331" t="s">
        <v>1606</v>
      </c>
      <c r="P16" s="331" t="s">
        <v>1606</v>
      </c>
      <c r="Q16" s="331" t="s">
        <v>1606</v>
      </c>
      <c r="R16" s="331" t="s">
        <v>1606</v>
      </c>
      <c r="S16" s="331" t="s">
        <v>1606</v>
      </c>
      <c r="T16" s="331" t="s">
        <v>1606</v>
      </c>
      <c r="U16" s="331" t="s">
        <v>1606</v>
      </c>
      <c r="V16" s="331" t="s">
        <v>1606</v>
      </c>
      <c r="W16" s="331" t="s">
        <v>1606</v>
      </c>
      <c r="X16" s="331" t="s">
        <v>1606</v>
      </c>
      <c r="Y16" s="331" t="s">
        <v>1606</v>
      </c>
    </row>
    <row r="17" spans="3:25" x14ac:dyDescent="0.3">
      <c r="C17" s="52" t="str">
        <f>'G-1 All Habitats'!B15</f>
        <v>Grassland - Floodplain wetland mosaic and CFGM</v>
      </c>
      <c r="D17" s="331" t="s">
        <v>1606</v>
      </c>
      <c r="E17" s="331" t="s">
        <v>1606</v>
      </c>
      <c r="F17" s="331">
        <v>5</v>
      </c>
      <c r="G17" s="331">
        <v>8</v>
      </c>
      <c r="H17" s="331">
        <v>10</v>
      </c>
      <c r="I17" s="331">
        <v>12</v>
      </c>
      <c r="J17" s="331">
        <v>15</v>
      </c>
      <c r="K17" s="331" t="s">
        <v>1606</v>
      </c>
      <c r="L17" s="331" t="s">
        <v>1606</v>
      </c>
      <c r="M17" s="331" t="s">
        <v>1606</v>
      </c>
      <c r="N17" s="331" t="s">
        <v>1606</v>
      </c>
      <c r="O17" s="331">
        <v>8</v>
      </c>
      <c r="P17" s="331">
        <v>10</v>
      </c>
      <c r="Q17" s="331">
        <v>12</v>
      </c>
      <c r="R17" s="331">
        <v>15</v>
      </c>
      <c r="S17" s="331">
        <v>2</v>
      </c>
      <c r="T17" s="331">
        <v>4</v>
      </c>
      <c r="U17" s="331">
        <v>7</v>
      </c>
      <c r="V17" s="331">
        <v>2</v>
      </c>
      <c r="W17" s="331">
        <v>4</v>
      </c>
      <c r="X17" s="331">
        <v>3</v>
      </c>
      <c r="Y17" s="331" t="s">
        <v>1606</v>
      </c>
    </row>
    <row r="18" spans="3:25" x14ac:dyDescent="0.3">
      <c r="C18" s="52" t="str">
        <f>'G-1 All Habitats'!B16</f>
        <v>Grassland - Lowland calcareous grassland</v>
      </c>
      <c r="D18" s="331" t="s">
        <v>1606</v>
      </c>
      <c r="E18" s="331" t="s">
        <v>1606</v>
      </c>
      <c r="F18" s="331">
        <v>10</v>
      </c>
      <c r="G18" s="331">
        <v>15</v>
      </c>
      <c r="H18" s="331">
        <v>20</v>
      </c>
      <c r="I18" s="331">
        <v>25</v>
      </c>
      <c r="J18" s="331">
        <v>30</v>
      </c>
      <c r="K18" s="331" t="s">
        <v>1606</v>
      </c>
      <c r="L18" s="331" t="s">
        <v>1606</v>
      </c>
      <c r="M18" s="331" t="s">
        <v>1606</v>
      </c>
      <c r="N18" s="331" t="s">
        <v>1606</v>
      </c>
      <c r="O18" s="331">
        <v>5</v>
      </c>
      <c r="P18" s="331">
        <v>10</v>
      </c>
      <c r="Q18" s="331">
        <v>15</v>
      </c>
      <c r="R18" s="331">
        <v>20</v>
      </c>
      <c r="S18" s="331">
        <v>5</v>
      </c>
      <c r="T18" s="331">
        <v>10</v>
      </c>
      <c r="U18" s="331">
        <v>15</v>
      </c>
      <c r="V18" s="331">
        <v>5</v>
      </c>
      <c r="W18" s="331">
        <v>10</v>
      </c>
      <c r="X18" s="331">
        <v>5</v>
      </c>
      <c r="Y18" s="331" t="s">
        <v>1606</v>
      </c>
    </row>
    <row r="19" spans="3:25" x14ac:dyDescent="0.3">
      <c r="C19" s="52" t="str">
        <f>'G-1 All Habitats'!B17</f>
        <v>Grassland - Lowland dry acid grassland</v>
      </c>
      <c r="D19" s="331" t="s">
        <v>1606</v>
      </c>
      <c r="E19" s="331" t="s">
        <v>1606</v>
      </c>
      <c r="F19" s="331">
        <v>10</v>
      </c>
      <c r="G19" s="331">
        <v>15</v>
      </c>
      <c r="H19" s="331">
        <v>20</v>
      </c>
      <c r="I19" s="331">
        <v>25</v>
      </c>
      <c r="J19" s="331" t="s">
        <v>868</v>
      </c>
      <c r="K19" s="331" t="s">
        <v>1606</v>
      </c>
      <c r="L19" s="331" t="s">
        <v>1606</v>
      </c>
      <c r="M19" s="331" t="s">
        <v>1606</v>
      </c>
      <c r="N19" s="331" t="s">
        <v>1606</v>
      </c>
      <c r="O19" s="331">
        <v>5</v>
      </c>
      <c r="P19" s="331">
        <v>15</v>
      </c>
      <c r="Q19" s="331">
        <v>20</v>
      </c>
      <c r="R19" s="331" t="s">
        <v>868</v>
      </c>
      <c r="S19" s="331">
        <v>8</v>
      </c>
      <c r="T19" s="331">
        <v>15</v>
      </c>
      <c r="U19" s="331">
        <v>25</v>
      </c>
      <c r="V19" s="331">
        <v>10</v>
      </c>
      <c r="W19" s="331">
        <v>20</v>
      </c>
      <c r="X19" s="331">
        <v>10</v>
      </c>
      <c r="Y19" s="331" t="s">
        <v>1606</v>
      </c>
    </row>
    <row r="20" spans="3:25" x14ac:dyDescent="0.3">
      <c r="C20" s="52" t="str">
        <f>'G-1 All Habitats'!B18</f>
        <v>Grassland - Lowland meadows</v>
      </c>
      <c r="D20" s="331" t="s">
        <v>1606</v>
      </c>
      <c r="E20" s="331" t="s">
        <v>1606</v>
      </c>
      <c r="F20" s="331">
        <v>5</v>
      </c>
      <c r="G20" s="331">
        <v>8</v>
      </c>
      <c r="H20" s="331">
        <v>10</v>
      </c>
      <c r="I20" s="331">
        <v>12</v>
      </c>
      <c r="J20" s="331">
        <v>15</v>
      </c>
      <c r="K20" s="331" t="s">
        <v>1606</v>
      </c>
      <c r="L20" s="331" t="s">
        <v>1606</v>
      </c>
      <c r="M20" s="331" t="s">
        <v>1606</v>
      </c>
      <c r="N20" s="331" t="s">
        <v>1606</v>
      </c>
      <c r="O20" s="331">
        <v>4</v>
      </c>
      <c r="P20" s="331">
        <v>8</v>
      </c>
      <c r="Q20" s="331">
        <v>11</v>
      </c>
      <c r="R20" s="331">
        <v>15</v>
      </c>
      <c r="S20" s="331">
        <v>4</v>
      </c>
      <c r="T20" s="331">
        <v>8</v>
      </c>
      <c r="U20" s="331">
        <v>11</v>
      </c>
      <c r="V20" s="331">
        <v>4</v>
      </c>
      <c r="W20" s="331">
        <v>8</v>
      </c>
      <c r="X20" s="331">
        <v>4</v>
      </c>
      <c r="Y20" s="331" t="s">
        <v>1606</v>
      </c>
    </row>
    <row r="21" spans="3:25" x14ac:dyDescent="0.3">
      <c r="C21" s="52" t="str">
        <f>'G-1 All Habitats'!B19</f>
        <v>Grassland - Modified grassland</v>
      </c>
      <c r="D21" s="331" t="s">
        <v>1606</v>
      </c>
      <c r="E21" s="331">
        <v>1</v>
      </c>
      <c r="F21" s="331">
        <v>1</v>
      </c>
      <c r="G21" s="331">
        <v>5</v>
      </c>
      <c r="H21" s="331">
        <v>10</v>
      </c>
      <c r="I21" s="331">
        <v>12</v>
      </c>
      <c r="J21" s="331">
        <v>15</v>
      </c>
      <c r="K21" s="331" t="s">
        <v>1606</v>
      </c>
      <c r="L21" s="331" t="s">
        <v>1606</v>
      </c>
      <c r="M21" s="331" t="s">
        <v>1606</v>
      </c>
      <c r="N21" s="331" t="s">
        <v>1606</v>
      </c>
      <c r="O21" s="331">
        <v>5</v>
      </c>
      <c r="P21" s="331">
        <v>10</v>
      </c>
      <c r="Q21" s="331">
        <v>12</v>
      </c>
      <c r="R21" s="331">
        <v>15</v>
      </c>
      <c r="S21" s="331">
        <v>8</v>
      </c>
      <c r="T21" s="331">
        <v>10</v>
      </c>
      <c r="U21" s="331">
        <v>12</v>
      </c>
      <c r="V21" s="331">
        <v>8</v>
      </c>
      <c r="W21" s="331">
        <v>10</v>
      </c>
      <c r="X21" s="331">
        <v>8</v>
      </c>
      <c r="Y21" s="331" t="s">
        <v>1606</v>
      </c>
    </row>
    <row r="22" spans="3:25" x14ac:dyDescent="0.3">
      <c r="C22" s="52" t="str">
        <f>'G-1 All Habitats'!B20</f>
        <v>Grassland - Other lowland acid grassland</v>
      </c>
      <c r="D22" s="331" t="s">
        <v>1606</v>
      </c>
      <c r="E22" s="331" t="s">
        <v>1606</v>
      </c>
      <c r="F22" s="331">
        <v>1</v>
      </c>
      <c r="G22" s="331">
        <v>5</v>
      </c>
      <c r="H22" s="331">
        <v>10</v>
      </c>
      <c r="I22" s="331">
        <v>12</v>
      </c>
      <c r="J22" s="331">
        <v>15</v>
      </c>
      <c r="K22" s="331" t="s">
        <v>1606</v>
      </c>
      <c r="L22" s="331" t="s">
        <v>1606</v>
      </c>
      <c r="M22" s="331" t="s">
        <v>1606</v>
      </c>
      <c r="N22" s="331" t="s">
        <v>1606</v>
      </c>
      <c r="O22" s="331">
        <v>5</v>
      </c>
      <c r="P22" s="331">
        <v>10</v>
      </c>
      <c r="Q22" s="331">
        <v>12</v>
      </c>
      <c r="R22" s="331">
        <v>15</v>
      </c>
      <c r="S22" s="331">
        <v>8</v>
      </c>
      <c r="T22" s="331">
        <v>10</v>
      </c>
      <c r="U22" s="331">
        <v>12</v>
      </c>
      <c r="V22" s="331">
        <v>8</v>
      </c>
      <c r="W22" s="331">
        <v>10</v>
      </c>
      <c r="X22" s="331">
        <v>8</v>
      </c>
      <c r="Y22" s="331" t="s">
        <v>1606</v>
      </c>
    </row>
    <row r="23" spans="3:25" x14ac:dyDescent="0.3">
      <c r="C23" s="52" t="str">
        <f>'G-1 All Habitats'!B21</f>
        <v>Grassland - Other neutral grassland</v>
      </c>
      <c r="D23" s="331" t="s">
        <v>1606</v>
      </c>
      <c r="E23" s="331" t="s">
        <v>1606</v>
      </c>
      <c r="F23" s="331">
        <v>1</v>
      </c>
      <c r="G23" s="331">
        <v>5</v>
      </c>
      <c r="H23" s="331">
        <v>10</v>
      </c>
      <c r="I23" s="331">
        <v>12</v>
      </c>
      <c r="J23" s="331">
        <v>15</v>
      </c>
      <c r="K23" s="331" t="s">
        <v>1606</v>
      </c>
      <c r="L23" s="331" t="s">
        <v>1606</v>
      </c>
      <c r="M23" s="331" t="s">
        <v>1606</v>
      </c>
      <c r="N23" s="331" t="s">
        <v>1606</v>
      </c>
      <c r="O23" s="331">
        <v>5</v>
      </c>
      <c r="P23" s="331">
        <v>10</v>
      </c>
      <c r="Q23" s="331">
        <v>12</v>
      </c>
      <c r="R23" s="331">
        <v>15</v>
      </c>
      <c r="S23" s="331">
        <v>8</v>
      </c>
      <c r="T23" s="331">
        <v>10</v>
      </c>
      <c r="U23" s="331">
        <v>12</v>
      </c>
      <c r="V23" s="331">
        <v>8</v>
      </c>
      <c r="W23" s="331">
        <v>10</v>
      </c>
      <c r="X23" s="331">
        <v>8</v>
      </c>
      <c r="Y23" s="331" t="s">
        <v>1606</v>
      </c>
    </row>
    <row r="24" spans="3:25" x14ac:dyDescent="0.3">
      <c r="C24" s="52" t="str">
        <f>'G-1 All Habitats'!B22</f>
        <v>Grassland - Tall herb communities (H6430)</v>
      </c>
      <c r="D24" s="331" t="s">
        <v>1606</v>
      </c>
      <c r="E24" s="331" t="s">
        <v>1606</v>
      </c>
      <c r="F24" s="331">
        <v>10</v>
      </c>
      <c r="G24" s="331">
        <v>15</v>
      </c>
      <c r="H24" s="331">
        <v>20</v>
      </c>
      <c r="I24" s="331">
        <v>25</v>
      </c>
      <c r="J24" s="331">
        <v>30</v>
      </c>
      <c r="K24" s="331" t="s">
        <v>1606</v>
      </c>
      <c r="L24" s="331" t="s">
        <v>1606</v>
      </c>
      <c r="M24" s="331" t="s">
        <v>1606</v>
      </c>
      <c r="N24" s="331" t="s">
        <v>1606</v>
      </c>
      <c r="O24" s="331">
        <v>10</v>
      </c>
      <c r="P24" s="331">
        <v>20</v>
      </c>
      <c r="Q24" s="331">
        <v>25</v>
      </c>
      <c r="R24" s="331">
        <v>30</v>
      </c>
      <c r="S24" s="331">
        <v>10</v>
      </c>
      <c r="T24" s="331">
        <v>10</v>
      </c>
      <c r="U24" s="331">
        <v>15</v>
      </c>
      <c r="V24" s="331">
        <v>5</v>
      </c>
      <c r="W24" s="331">
        <v>10</v>
      </c>
      <c r="X24" s="331">
        <v>5</v>
      </c>
      <c r="Y24" s="331" t="s">
        <v>1606</v>
      </c>
    </row>
    <row r="25" spans="3:25" x14ac:dyDescent="0.3">
      <c r="C25" s="52" t="str">
        <f>'G-1 All Habitats'!B23</f>
        <v>Grassland - Upland acid grassland</v>
      </c>
      <c r="D25" s="331" t="s">
        <v>1606</v>
      </c>
      <c r="E25" s="331" t="s">
        <v>1606</v>
      </c>
      <c r="F25" s="331">
        <v>1</v>
      </c>
      <c r="G25" s="331">
        <v>5</v>
      </c>
      <c r="H25" s="331">
        <v>10</v>
      </c>
      <c r="I25" s="331">
        <v>12</v>
      </c>
      <c r="J25" s="331">
        <v>15</v>
      </c>
      <c r="K25" s="331" t="s">
        <v>1606</v>
      </c>
      <c r="L25" s="331" t="s">
        <v>1606</v>
      </c>
      <c r="M25" s="331" t="s">
        <v>1606</v>
      </c>
      <c r="N25" s="331" t="s">
        <v>1606</v>
      </c>
      <c r="O25" s="331">
        <v>5</v>
      </c>
      <c r="P25" s="331">
        <v>10</v>
      </c>
      <c r="Q25" s="331">
        <v>12</v>
      </c>
      <c r="R25" s="331">
        <v>15</v>
      </c>
      <c r="S25" s="331">
        <v>8</v>
      </c>
      <c r="T25" s="331">
        <v>10</v>
      </c>
      <c r="U25" s="331">
        <v>12</v>
      </c>
      <c r="V25" s="331">
        <v>8</v>
      </c>
      <c r="W25" s="331">
        <v>10</v>
      </c>
      <c r="X25" s="331">
        <v>8</v>
      </c>
      <c r="Y25" s="331" t="s">
        <v>1606</v>
      </c>
    </row>
    <row r="26" spans="3:25" x14ac:dyDescent="0.3">
      <c r="C26" s="52" t="str">
        <f>'G-1 All Habitats'!B24</f>
        <v>Grassland - Upland calcareous grassland</v>
      </c>
      <c r="D26" s="331" t="s">
        <v>1606</v>
      </c>
      <c r="E26" s="331" t="s">
        <v>1606</v>
      </c>
      <c r="F26" s="331">
        <v>10</v>
      </c>
      <c r="G26" s="331">
        <v>12</v>
      </c>
      <c r="H26" s="331">
        <v>15</v>
      </c>
      <c r="I26" s="331">
        <v>20</v>
      </c>
      <c r="J26" s="331">
        <v>25</v>
      </c>
      <c r="K26" s="331" t="s">
        <v>1606</v>
      </c>
      <c r="L26" s="331" t="s">
        <v>1606</v>
      </c>
      <c r="M26" s="331" t="s">
        <v>1606</v>
      </c>
      <c r="N26" s="331" t="s">
        <v>1606</v>
      </c>
      <c r="O26" s="331">
        <v>10</v>
      </c>
      <c r="P26" s="331">
        <v>15</v>
      </c>
      <c r="Q26" s="331">
        <v>18</v>
      </c>
      <c r="R26" s="331">
        <v>20</v>
      </c>
      <c r="S26" s="331">
        <v>10</v>
      </c>
      <c r="T26" s="331">
        <v>15</v>
      </c>
      <c r="U26" s="331">
        <v>18</v>
      </c>
      <c r="V26" s="331">
        <v>10</v>
      </c>
      <c r="W26" s="331">
        <v>10</v>
      </c>
      <c r="X26" s="331">
        <v>10</v>
      </c>
      <c r="Y26" s="331" t="s">
        <v>1606</v>
      </c>
    </row>
    <row r="27" spans="3:25" x14ac:dyDescent="0.3">
      <c r="C27" s="52" t="str">
        <f>'G-1 All Habitats'!B25</f>
        <v>Grassland - Upland hay meadows</v>
      </c>
      <c r="D27" s="331" t="s">
        <v>1606</v>
      </c>
      <c r="E27" s="331" t="s">
        <v>1606</v>
      </c>
      <c r="F27" s="331">
        <v>10</v>
      </c>
      <c r="G27" s="331">
        <v>12</v>
      </c>
      <c r="H27" s="331">
        <v>15</v>
      </c>
      <c r="I27" s="331">
        <v>18</v>
      </c>
      <c r="J27" s="331">
        <v>20</v>
      </c>
      <c r="K27" s="331" t="s">
        <v>1606</v>
      </c>
      <c r="L27" s="331" t="s">
        <v>1606</v>
      </c>
      <c r="M27" s="331" t="s">
        <v>1606</v>
      </c>
      <c r="N27" s="331" t="s">
        <v>1606</v>
      </c>
      <c r="O27" s="331">
        <v>10</v>
      </c>
      <c r="P27" s="331">
        <v>15</v>
      </c>
      <c r="Q27" s="331">
        <v>18</v>
      </c>
      <c r="R27" s="331">
        <v>20</v>
      </c>
      <c r="S27" s="331">
        <v>10</v>
      </c>
      <c r="T27" s="331">
        <v>15</v>
      </c>
      <c r="U27" s="331">
        <v>18</v>
      </c>
      <c r="V27" s="331">
        <v>10</v>
      </c>
      <c r="W27" s="331">
        <v>15</v>
      </c>
      <c r="X27" s="331">
        <v>10</v>
      </c>
      <c r="Y27" s="331" t="s">
        <v>1606</v>
      </c>
    </row>
    <row r="28" spans="3:25" x14ac:dyDescent="0.3">
      <c r="C28" s="52" t="str">
        <f>'G-1 All Habitats'!B26</f>
        <v>Heathland and shrub - Blackthorn scrub</v>
      </c>
      <c r="D28" s="331" t="s">
        <v>1606</v>
      </c>
      <c r="E28" s="331" t="s">
        <v>1606</v>
      </c>
      <c r="F28" s="331">
        <v>1</v>
      </c>
      <c r="G28" s="331">
        <v>3</v>
      </c>
      <c r="H28" s="331">
        <v>5</v>
      </c>
      <c r="I28" s="331">
        <v>7</v>
      </c>
      <c r="J28" s="331">
        <v>10</v>
      </c>
      <c r="K28" s="331">
        <v>1</v>
      </c>
      <c r="L28" s="331">
        <v>5</v>
      </c>
      <c r="M28" s="331">
        <v>7</v>
      </c>
      <c r="N28" s="331">
        <v>10</v>
      </c>
      <c r="O28" s="331">
        <v>1</v>
      </c>
      <c r="P28" s="331">
        <v>5</v>
      </c>
      <c r="Q28" s="331">
        <v>7</v>
      </c>
      <c r="R28" s="331">
        <v>10</v>
      </c>
      <c r="S28" s="331">
        <v>3</v>
      </c>
      <c r="T28" s="331">
        <v>5</v>
      </c>
      <c r="U28" s="331">
        <v>3</v>
      </c>
      <c r="V28" s="331">
        <v>2</v>
      </c>
      <c r="W28" s="331">
        <v>3</v>
      </c>
      <c r="X28" s="331">
        <v>2</v>
      </c>
      <c r="Y28" s="331" t="s">
        <v>1606</v>
      </c>
    </row>
    <row r="29" spans="3:25" x14ac:dyDescent="0.3">
      <c r="C29" s="52" t="str">
        <f>'G-1 All Habitats'!B27</f>
        <v>Heathland and shrub - Bramble scrub</v>
      </c>
      <c r="D29" s="331" t="s">
        <v>1606</v>
      </c>
      <c r="E29" s="331" t="s">
        <v>1606</v>
      </c>
      <c r="F29" s="331">
        <v>1</v>
      </c>
      <c r="G29" s="331" t="s">
        <v>1606</v>
      </c>
      <c r="H29" s="331" t="s">
        <v>1606</v>
      </c>
      <c r="I29" s="331" t="s">
        <v>1606</v>
      </c>
      <c r="J29" s="331" t="s">
        <v>1606</v>
      </c>
      <c r="K29" s="331" t="s">
        <v>1606</v>
      </c>
      <c r="L29" s="331" t="s">
        <v>1606</v>
      </c>
      <c r="M29" s="331" t="s">
        <v>1606</v>
      </c>
      <c r="N29" s="331" t="s">
        <v>1606</v>
      </c>
      <c r="O29" s="331" t="s">
        <v>1606</v>
      </c>
      <c r="P29" s="331" t="s">
        <v>1606</v>
      </c>
      <c r="Q29" s="331" t="s">
        <v>1606</v>
      </c>
      <c r="R29" s="331" t="s">
        <v>1606</v>
      </c>
      <c r="S29" s="331" t="s">
        <v>1606</v>
      </c>
      <c r="T29" s="331" t="s">
        <v>1606</v>
      </c>
      <c r="U29" s="331" t="s">
        <v>1606</v>
      </c>
      <c r="V29" s="331" t="s">
        <v>1606</v>
      </c>
      <c r="W29" s="331" t="s">
        <v>1606</v>
      </c>
      <c r="X29" s="331" t="s">
        <v>1606</v>
      </c>
      <c r="Y29" s="331" t="s">
        <v>1606</v>
      </c>
    </row>
    <row r="30" spans="3:25" x14ac:dyDescent="0.3">
      <c r="C30" s="52" t="str">
        <f>'G-1 All Habitats'!B28</f>
        <v>Heathland and shrub - Gorse scrub</v>
      </c>
      <c r="D30" s="331" t="s">
        <v>1606</v>
      </c>
      <c r="E30" s="331" t="s">
        <v>1606</v>
      </c>
      <c r="F30" s="331">
        <v>1</v>
      </c>
      <c r="G30" s="331">
        <v>3</v>
      </c>
      <c r="H30" s="331">
        <v>5</v>
      </c>
      <c r="I30" s="331">
        <v>7</v>
      </c>
      <c r="J30" s="331">
        <v>10</v>
      </c>
      <c r="K30" s="331">
        <v>1</v>
      </c>
      <c r="L30" s="331">
        <v>5</v>
      </c>
      <c r="M30" s="331">
        <v>7</v>
      </c>
      <c r="N30" s="331">
        <v>10</v>
      </c>
      <c r="O30" s="331">
        <v>1</v>
      </c>
      <c r="P30" s="331">
        <v>5</v>
      </c>
      <c r="Q30" s="331">
        <v>7</v>
      </c>
      <c r="R30" s="331">
        <v>10</v>
      </c>
      <c r="S30" s="331">
        <v>3</v>
      </c>
      <c r="T30" s="331">
        <v>5</v>
      </c>
      <c r="U30" s="331">
        <v>7</v>
      </c>
      <c r="V30" s="331">
        <v>2</v>
      </c>
      <c r="W30" s="331">
        <v>3</v>
      </c>
      <c r="X30" s="331">
        <v>2</v>
      </c>
      <c r="Y30" s="331" t="s">
        <v>1606</v>
      </c>
    </row>
    <row r="31" spans="3:25" x14ac:dyDescent="0.3">
      <c r="C31" s="52" t="str">
        <f>'G-1 All Habitats'!B29</f>
        <v>Heathland and shrub - Hawthorn scrub</v>
      </c>
      <c r="D31" s="331" t="s">
        <v>1606</v>
      </c>
      <c r="E31" s="331" t="s">
        <v>1606</v>
      </c>
      <c r="F31" s="331">
        <v>1</v>
      </c>
      <c r="G31" s="331">
        <v>3</v>
      </c>
      <c r="H31" s="331">
        <v>5</v>
      </c>
      <c r="I31" s="331">
        <v>7</v>
      </c>
      <c r="J31" s="331">
        <v>10</v>
      </c>
      <c r="K31" s="331">
        <v>1</v>
      </c>
      <c r="L31" s="331">
        <v>5</v>
      </c>
      <c r="M31" s="331">
        <v>7</v>
      </c>
      <c r="N31" s="331">
        <v>10</v>
      </c>
      <c r="O31" s="331">
        <v>1</v>
      </c>
      <c r="P31" s="331">
        <v>5</v>
      </c>
      <c r="Q31" s="331">
        <v>7</v>
      </c>
      <c r="R31" s="331">
        <v>10</v>
      </c>
      <c r="S31" s="331">
        <v>3</v>
      </c>
      <c r="T31" s="331">
        <v>5</v>
      </c>
      <c r="U31" s="331">
        <v>7</v>
      </c>
      <c r="V31" s="331">
        <v>2</v>
      </c>
      <c r="W31" s="331">
        <v>3</v>
      </c>
      <c r="X31" s="331">
        <v>2</v>
      </c>
      <c r="Y31" s="331" t="s">
        <v>1606</v>
      </c>
    </row>
    <row r="32" spans="3:25" x14ac:dyDescent="0.3">
      <c r="C32" s="52" t="str">
        <f>'G-1 All Habitats'!B30</f>
        <v>Heathland and shrub - Hazel scrub</v>
      </c>
      <c r="D32" s="331" t="s">
        <v>1606</v>
      </c>
      <c r="E32" s="331" t="s">
        <v>1606</v>
      </c>
      <c r="F32" s="331">
        <v>5</v>
      </c>
      <c r="G32" s="331">
        <v>7</v>
      </c>
      <c r="H32" s="331">
        <v>10</v>
      </c>
      <c r="I32" s="331">
        <v>12</v>
      </c>
      <c r="J32" s="331">
        <v>15</v>
      </c>
      <c r="K32" s="331">
        <v>5</v>
      </c>
      <c r="L32" s="331">
        <v>7</v>
      </c>
      <c r="M32" s="331">
        <v>12</v>
      </c>
      <c r="N32" s="331">
        <v>15</v>
      </c>
      <c r="O32" s="331">
        <v>5</v>
      </c>
      <c r="P32" s="331">
        <v>7</v>
      </c>
      <c r="Q32" s="331">
        <v>12</v>
      </c>
      <c r="R32" s="331">
        <v>15</v>
      </c>
      <c r="S32" s="331">
        <v>5</v>
      </c>
      <c r="T32" s="331">
        <v>8</v>
      </c>
      <c r="U32" s="331">
        <v>12</v>
      </c>
      <c r="V32" s="331">
        <v>5</v>
      </c>
      <c r="W32" s="331">
        <v>7</v>
      </c>
      <c r="X32" s="331">
        <v>5</v>
      </c>
      <c r="Y32" s="331" t="s">
        <v>1606</v>
      </c>
    </row>
    <row r="33" spans="3:25" x14ac:dyDescent="0.3">
      <c r="C33" s="52" t="s">
        <v>434</v>
      </c>
      <c r="D33" s="331" t="s">
        <v>1606</v>
      </c>
      <c r="E33" s="331" t="s">
        <v>1606</v>
      </c>
      <c r="F33" s="331">
        <v>5</v>
      </c>
      <c r="G33" s="331">
        <v>7</v>
      </c>
      <c r="H33" s="331">
        <v>10</v>
      </c>
      <c r="I33" s="331">
        <v>12</v>
      </c>
      <c r="J33" s="331">
        <v>15</v>
      </c>
      <c r="K33" s="331">
        <v>5</v>
      </c>
      <c r="L33" s="331">
        <v>7</v>
      </c>
      <c r="M33" s="331">
        <v>12</v>
      </c>
      <c r="N33" s="331">
        <v>15</v>
      </c>
      <c r="O33" s="331">
        <v>5</v>
      </c>
      <c r="P33" s="331">
        <v>7</v>
      </c>
      <c r="Q33" s="331">
        <v>12</v>
      </c>
      <c r="R33" s="331">
        <v>15</v>
      </c>
      <c r="S33" s="331">
        <v>5</v>
      </c>
      <c r="T33" s="331">
        <v>8</v>
      </c>
      <c r="U33" s="331">
        <v>12</v>
      </c>
      <c r="V33" s="331">
        <v>5</v>
      </c>
      <c r="W33" s="331">
        <v>7</v>
      </c>
      <c r="X33" s="331">
        <v>5</v>
      </c>
      <c r="Y33" s="331" t="s">
        <v>1606</v>
      </c>
    </row>
    <row r="34" spans="3:25" x14ac:dyDescent="0.3">
      <c r="C34" s="52" t="str">
        <f>'G-1 All Habitats'!B31</f>
        <v>Heathland and shrub - Lowland heathland</v>
      </c>
      <c r="D34" s="331" t="s">
        <v>1606</v>
      </c>
      <c r="E34" s="331" t="s">
        <v>1606</v>
      </c>
      <c r="F34" s="331">
        <v>10</v>
      </c>
      <c r="G34" s="331">
        <v>15</v>
      </c>
      <c r="H34" s="331">
        <v>20</v>
      </c>
      <c r="I34" s="331">
        <v>25</v>
      </c>
      <c r="J34" s="331" t="s">
        <v>868</v>
      </c>
      <c r="K34" s="331">
        <v>5</v>
      </c>
      <c r="L34" s="331">
        <v>10</v>
      </c>
      <c r="M34" s="331">
        <v>15</v>
      </c>
      <c r="N34" s="331">
        <v>25</v>
      </c>
      <c r="O34" s="331">
        <v>5</v>
      </c>
      <c r="P34" s="331">
        <v>10</v>
      </c>
      <c r="Q34" s="331">
        <v>15</v>
      </c>
      <c r="R34" s="331">
        <v>25</v>
      </c>
      <c r="S34" s="331">
        <v>5</v>
      </c>
      <c r="T34" s="331">
        <v>10</v>
      </c>
      <c r="U34" s="331">
        <v>20</v>
      </c>
      <c r="V34" s="331">
        <v>5</v>
      </c>
      <c r="W34" s="331">
        <v>15</v>
      </c>
      <c r="X34" s="331">
        <v>10</v>
      </c>
      <c r="Y34" s="331" t="s">
        <v>1606</v>
      </c>
    </row>
    <row r="35" spans="3:25" x14ac:dyDescent="0.3">
      <c r="C35" s="52" t="str">
        <f>'G-1 All Habitats'!B32</f>
        <v>Heathland and shrub - Mixed scrub</v>
      </c>
      <c r="D35" s="331" t="s">
        <v>1606</v>
      </c>
      <c r="E35" s="331" t="s">
        <v>1606</v>
      </c>
      <c r="F35" s="331">
        <v>1</v>
      </c>
      <c r="G35" s="331">
        <v>3</v>
      </c>
      <c r="H35" s="331">
        <v>5</v>
      </c>
      <c r="I35" s="331">
        <v>7</v>
      </c>
      <c r="J35" s="331">
        <v>10</v>
      </c>
      <c r="K35" s="331">
        <v>1</v>
      </c>
      <c r="L35" s="331">
        <v>5</v>
      </c>
      <c r="M35" s="331">
        <v>7</v>
      </c>
      <c r="N35" s="331">
        <v>10</v>
      </c>
      <c r="O35" s="331">
        <v>1</v>
      </c>
      <c r="P35" s="331">
        <v>5</v>
      </c>
      <c r="Q35" s="331">
        <v>7</v>
      </c>
      <c r="R35" s="331">
        <v>10</v>
      </c>
      <c r="S35" s="331">
        <v>3</v>
      </c>
      <c r="T35" s="331">
        <v>5</v>
      </c>
      <c r="U35" s="331">
        <v>7</v>
      </c>
      <c r="V35" s="331">
        <v>2</v>
      </c>
      <c r="W35" s="331">
        <v>3</v>
      </c>
      <c r="X35" s="331">
        <v>2</v>
      </c>
      <c r="Y35" s="331" t="s">
        <v>1606</v>
      </c>
    </row>
    <row r="36" spans="3:25" x14ac:dyDescent="0.3">
      <c r="C36" s="52" t="str">
        <f>'G-1 All Habitats'!B33</f>
        <v>Heathland and shrub - Mountain heaths and willow scrub</v>
      </c>
      <c r="D36" s="331" t="s">
        <v>1606</v>
      </c>
      <c r="E36" s="331" t="s">
        <v>1606</v>
      </c>
      <c r="F36" s="331">
        <v>15</v>
      </c>
      <c r="G36" s="331">
        <v>23</v>
      </c>
      <c r="H36" s="331">
        <v>25</v>
      </c>
      <c r="I36" s="331" t="s">
        <v>868</v>
      </c>
      <c r="J36" s="331" t="s">
        <v>868</v>
      </c>
      <c r="K36" s="331">
        <v>20</v>
      </c>
      <c r="L36" s="331" t="s">
        <v>868</v>
      </c>
      <c r="M36" s="331" t="s">
        <v>868</v>
      </c>
      <c r="N36" s="331" t="s">
        <v>868</v>
      </c>
      <c r="O36" s="331">
        <v>20</v>
      </c>
      <c r="P36" s="331" t="s">
        <v>868</v>
      </c>
      <c r="Q36" s="331" t="s">
        <v>868</v>
      </c>
      <c r="R36" s="331" t="s">
        <v>868</v>
      </c>
      <c r="S36" s="331">
        <v>20</v>
      </c>
      <c r="T36" s="331" t="s">
        <v>868</v>
      </c>
      <c r="U36" s="331" t="s">
        <v>868</v>
      </c>
      <c r="V36" s="331">
        <v>20</v>
      </c>
      <c r="W36" s="331" t="s">
        <v>868</v>
      </c>
      <c r="X36" s="331">
        <v>20</v>
      </c>
      <c r="Y36" s="331" t="s">
        <v>1606</v>
      </c>
    </row>
    <row r="37" spans="3:25" x14ac:dyDescent="0.3">
      <c r="C37" s="52" t="str">
        <f>'G-1 All Habitats'!B34</f>
        <v>Heathland and shrub - Rhododendron scrub</v>
      </c>
      <c r="D37" s="331" t="s">
        <v>1606</v>
      </c>
      <c r="E37" s="331" t="s">
        <v>1606</v>
      </c>
      <c r="F37" s="331">
        <v>1</v>
      </c>
      <c r="G37" s="331" t="s">
        <v>1606</v>
      </c>
      <c r="H37" s="331" t="s">
        <v>1606</v>
      </c>
      <c r="I37" s="331" t="s">
        <v>1606</v>
      </c>
      <c r="J37" s="331" t="s">
        <v>1606</v>
      </c>
      <c r="K37" s="331" t="s">
        <v>1606</v>
      </c>
      <c r="L37" s="331" t="s">
        <v>1606</v>
      </c>
      <c r="M37" s="331" t="s">
        <v>1606</v>
      </c>
      <c r="N37" s="331" t="s">
        <v>1606</v>
      </c>
      <c r="O37" s="331" t="s">
        <v>1606</v>
      </c>
      <c r="P37" s="331" t="s">
        <v>1606</v>
      </c>
      <c r="Q37" s="331" t="s">
        <v>1606</v>
      </c>
      <c r="R37" s="331" t="s">
        <v>1606</v>
      </c>
      <c r="S37" s="331" t="s">
        <v>1606</v>
      </c>
      <c r="T37" s="331" t="s">
        <v>1606</v>
      </c>
      <c r="U37" s="331" t="s">
        <v>1606</v>
      </c>
      <c r="V37" s="331" t="s">
        <v>1606</v>
      </c>
      <c r="W37" s="331" t="s">
        <v>1606</v>
      </c>
      <c r="X37" s="331" t="s">
        <v>1606</v>
      </c>
      <c r="Y37" s="331" t="s">
        <v>1606</v>
      </c>
    </row>
    <row r="38" spans="3:25" x14ac:dyDescent="0.3">
      <c r="C38" s="52" t="str">
        <f>'G-1 All Habitats'!B35</f>
        <v>Heathland and shrub - Dunes with sea buckthorn (H2160)</v>
      </c>
      <c r="D38" s="331" t="s">
        <v>1606</v>
      </c>
      <c r="E38" s="331" t="s">
        <v>1606</v>
      </c>
      <c r="F38" s="331">
        <v>5</v>
      </c>
      <c r="G38" s="331">
        <v>7</v>
      </c>
      <c r="H38" s="331">
        <v>10</v>
      </c>
      <c r="I38" s="331">
        <v>12</v>
      </c>
      <c r="J38" s="331">
        <v>15</v>
      </c>
      <c r="K38" s="331">
        <v>5</v>
      </c>
      <c r="L38" s="331">
        <v>7</v>
      </c>
      <c r="M38" s="331">
        <v>10</v>
      </c>
      <c r="N38" s="331">
        <v>12</v>
      </c>
      <c r="O38" s="331">
        <v>5</v>
      </c>
      <c r="P38" s="331">
        <v>7</v>
      </c>
      <c r="Q38" s="331">
        <v>10</v>
      </c>
      <c r="R38" s="331">
        <v>12</v>
      </c>
      <c r="S38" s="331">
        <v>5</v>
      </c>
      <c r="T38" s="331">
        <v>7</v>
      </c>
      <c r="U38" s="331">
        <v>10</v>
      </c>
      <c r="V38" s="331">
        <v>5</v>
      </c>
      <c r="W38" s="331">
        <v>7</v>
      </c>
      <c r="X38" s="331">
        <v>5</v>
      </c>
      <c r="Y38" s="331" t="s">
        <v>1606</v>
      </c>
    </row>
    <row r="39" spans="3:25" x14ac:dyDescent="0.3">
      <c r="C39" s="52" t="str">
        <f>'G-1 All Habitats'!B36</f>
        <v>Heathland and shrub - Other sea buckthorn scrub</v>
      </c>
      <c r="D39" s="331" t="s">
        <v>1606</v>
      </c>
      <c r="E39" s="331" t="s">
        <v>1606</v>
      </c>
      <c r="F39" s="331" t="s">
        <v>1606</v>
      </c>
      <c r="G39" s="331" t="s">
        <v>1606</v>
      </c>
      <c r="H39" s="331" t="s">
        <v>1606</v>
      </c>
      <c r="I39" s="331" t="s">
        <v>1606</v>
      </c>
      <c r="J39" s="331" t="s">
        <v>1606</v>
      </c>
      <c r="K39" s="331" t="s">
        <v>1606</v>
      </c>
      <c r="L39" s="331" t="s">
        <v>1606</v>
      </c>
      <c r="M39" s="331" t="s">
        <v>1606</v>
      </c>
      <c r="N39" s="331" t="s">
        <v>1606</v>
      </c>
      <c r="O39" s="331" t="s">
        <v>1606</v>
      </c>
      <c r="P39" s="331" t="s">
        <v>1606</v>
      </c>
      <c r="Q39" s="331" t="s">
        <v>1606</v>
      </c>
      <c r="R39" s="331" t="s">
        <v>1606</v>
      </c>
      <c r="S39" s="331" t="s">
        <v>1606</v>
      </c>
      <c r="T39" s="331" t="s">
        <v>1606</v>
      </c>
      <c r="U39" s="331" t="s">
        <v>1606</v>
      </c>
      <c r="V39" s="331" t="s">
        <v>1606</v>
      </c>
      <c r="W39" s="331" t="s">
        <v>1606</v>
      </c>
      <c r="X39" s="331" t="s">
        <v>1606</v>
      </c>
      <c r="Y39" s="331" t="s">
        <v>1606</v>
      </c>
    </row>
    <row r="40" spans="3:25" x14ac:dyDescent="0.3">
      <c r="C40" s="52" t="str">
        <f>'G-1 All Habitats'!B38</f>
        <v>Heathland and shrub - Upland heathland</v>
      </c>
      <c r="D40" s="331" t="s">
        <v>1606</v>
      </c>
      <c r="E40" s="331" t="s">
        <v>1606</v>
      </c>
      <c r="F40" s="331">
        <v>10</v>
      </c>
      <c r="G40" s="331">
        <v>15</v>
      </c>
      <c r="H40" s="331">
        <v>20</v>
      </c>
      <c r="I40" s="331">
        <v>25</v>
      </c>
      <c r="J40" s="331">
        <v>30</v>
      </c>
      <c r="K40" s="331" t="s">
        <v>1606</v>
      </c>
      <c r="L40" s="331" t="s">
        <v>1606</v>
      </c>
      <c r="M40" s="331" t="s">
        <v>1606</v>
      </c>
      <c r="N40" s="331" t="s">
        <v>1606</v>
      </c>
      <c r="O40" s="331">
        <v>10</v>
      </c>
      <c r="P40" s="331">
        <v>20</v>
      </c>
      <c r="Q40" s="331">
        <v>30</v>
      </c>
      <c r="R40" s="331" t="s">
        <v>868</v>
      </c>
      <c r="S40" s="331">
        <v>10</v>
      </c>
      <c r="T40" s="331">
        <v>20</v>
      </c>
      <c r="U40" s="331">
        <v>30</v>
      </c>
      <c r="V40" s="331">
        <v>10</v>
      </c>
      <c r="W40" s="331">
        <v>20</v>
      </c>
      <c r="X40" s="331">
        <v>10</v>
      </c>
      <c r="Y40" s="331" t="s">
        <v>1606</v>
      </c>
    </row>
    <row r="41" spans="3:25" x14ac:dyDescent="0.3">
      <c r="C41" s="52" t="str">
        <f>'G-1 All Habitats'!B39</f>
        <v>Lakes - Aquifer fed naturally fluctuating water bodies</v>
      </c>
      <c r="D41" s="331" t="s">
        <v>1606</v>
      </c>
      <c r="E41" s="331" t="s">
        <v>1606</v>
      </c>
      <c r="F41" s="331">
        <v>1</v>
      </c>
      <c r="G41" s="331">
        <v>10</v>
      </c>
      <c r="H41" s="331">
        <v>15</v>
      </c>
      <c r="I41" s="331">
        <v>20</v>
      </c>
      <c r="J41" s="331">
        <v>30</v>
      </c>
      <c r="K41" s="331" t="s">
        <v>1606</v>
      </c>
      <c r="L41" s="331" t="s">
        <v>1606</v>
      </c>
      <c r="M41" s="331" t="s">
        <v>1606</v>
      </c>
      <c r="N41" s="331" t="s">
        <v>1606</v>
      </c>
      <c r="O41" s="331">
        <v>5</v>
      </c>
      <c r="P41" s="331">
        <v>10</v>
      </c>
      <c r="Q41" s="331">
        <v>15</v>
      </c>
      <c r="R41" s="331">
        <v>30</v>
      </c>
      <c r="S41" s="331">
        <v>5</v>
      </c>
      <c r="T41" s="331">
        <v>15</v>
      </c>
      <c r="U41" s="331">
        <v>25</v>
      </c>
      <c r="V41" s="331">
        <v>5</v>
      </c>
      <c r="W41" s="331">
        <v>20</v>
      </c>
      <c r="X41" s="331">
        <v>5</v>
      </c>
      <c r="Y41" s="331" t="s">
        <v>1606</v>
      </c>
    </row>
    <row r="42" spans="3:25" x14ac:dyDescent="0.3">
      <c r="C42" s="52" t="str">
        <f>'G-1 All Habitats'!B41</f>
        <v>Lakes - High alkalinity lakes</v>
      </c>
      <c r="D42" s="331" t="s">
        <v>1606</v>
      </c>
      <c r="E42" s="331" t="s">
        <v>1606</v>
      </c>
      <c r="F42" s="331">
        <v>2</v>
      </c>
      <c r="G42" s="331">
        <v>3</v>
      </c>
      <c r="H42" s="331">
        <v>5</v>
      </c>
      <c r="I42" s="331">
        <v>7</v>
      </c>
      <c r="J42" s="331">
        <v>10</v>
      </c>
      <c r="K42" s="331" t="s">
        <v>1606</v>
      </c>
      <c r="L42" s="331" t="s">
        <v>1606</v>
      </c>
      <c r="M42" s="331" t="s">
        <v>1606</v>
      </c>
      <c r="N42" s="331" t="s">
        <v>1606</v>
      </c>
      <c r="O42" s="331">
        <v>5</v>
      </c>
      <c r="P42" s="331">
        <v>10</v>
      </c>
      <c r="Q42" s="331">
        <v>15</v>
      </c>
      <c r="R42" s="331">
        <v>30</v>
      </c>
      <c r="S42" s="331">
        <v>5</v>
      </c>
      <c r="T42" s="331">
        <v>15</v>
      </c>
      <c r="U42" s="331">
        <v>25</v>
      </c>
      <c r="V42" s="331">
        <v>10</v>
      </c>
      <c r="W42" s="331">
        <v>20</v>
      </c>
      <c r="X42" s="331">
        <v>10</v>
      </c>
      <c r="Y42" s="331" t="s">
        <v>1606</v>
      </c>
    </row>
    <row r="43" spans="3:25" x14ac:dyDescent="0.3">
      <c r="C43" s="52" t="str">
        <f>'G-1 All Habitats'!B42</f>
        <v>Lakes - Low alkalinity lakes</v>
      </c>
      <c r="D43" s="331" t="s">
        <v>1606</v>
      </c>
      <c r="E43" s="331" t="s">
        <v>1606</v>
      </c>
      <c r="F43" s="331">
        <v>5</v>
      </c>
      <c r="G43" s="331">
        <v>10</v>
      </c>
      <c r="H43" s="331">
        <v>15</v>
      </c>
      <c r="I43" s="331">
        <v>20</v>
      </c>
      <c r="J43" s="331">
        <v>30</v>
      </c>
      <c r="K43" s="331" t="s">
        <v>1606</v>
      </c>
      <c r="L43" s="331" t="s">
        <v>1606</v>
      </c>
      <c r="M43" s="331" t="s">
        <v>1606</v>
      </c>
      <c r="N43" s="331" t="s">
        <v>1606</v>
      </c>
      <c r="O43" s="331">
        <v>5</v>
      </c>
      <c r="P43" s="331">
        <v>10</v>
      </c>
      <c r="Q43" s="331">
        <v>15</v>
      </c>
      <c r="R43" s="331">
        <v>20</v>
      </c>
      <c r="S43" s="331">
        <v>5</v>
      </c>
      <c r="T43" s="331">
        <v>10</v>
      </c>
      <c r="U43" s="331">
        <v>15</v>
      </c>
      <c r="V43" s="331">
        <v>5</v>
      </c>
      <c r="W43" s="331">
        <v>10</v>
      </c>
      <c r="X43" s="331">
        <v>5</v>
      </c>
      <c r="Y43" s="331" t="s">
        <v>1606</v>
      </c>
    </row>
    <row r="44" spans="3:25" x14ac:dyDescent="0.3">
      <c r="C44" s="52" t="str">
        <f>'G-1 All Habitats'!B43</f>
        <v>Lakes - Marl lakes</v>
      </c>
      <c r="D44" s="331" t="s">
        <v>1606</v>
      </c>
      <c r="E44" s="331" t="s">
        <v>1606</v>
      </c>
      <c r="F44" s="331">
        <v>5</v>
      </c>
      <c r="G44" s="331">
        <v>7</v>
      </c>
      <c r="H44" s="331">
        <v>10</v>
      </c>
      <c r="I44" s="331">
        <v>15</v>
      </c>
      <c r="J44" s="331">
        <v>20</v>
      </c>
      <c r="K44" s="331" t="s">
        <v>1606</v>
      </c>
      <c r="L44" s="331" t="s">
        <v>1606</v>
      </c>
      <c r="M44" s="331" t="s">
        <v>1606</v>
      </c>
      <c r="N44" s="331" t="s">
        <v>1606</v>
      </c>
      <c r="O44" s="331">
        <v>5</v>
      </c>
      <c r="P44" s="331">
        <v>10</v>
      </c>
      <c r="Q44" s="331">
        <v>15</v>
      </c>
      <c r="R44" s="331">
        <v>30</v>
      </c>
      <c r="S44" s="331">
        <v>5</v>
      </c>
      <c r="T44" s="331">
        <v>15</v>
      </c>
      <c r="U44" s="331">
        <v>25</v>
      </c>
      <c r="V44" s="331">
        <v>10</v>
      </c>
      <c r="W44" s="331">
        <v>20</v>
      </c>
      <c r="X44" s="331">
        <v>10</v>
      </c>
      <c r="Y44" s="331" t="s">
        <v>1606</v>
      </c>
    </row>
    <row r="45" spans="3:25" x14ac:dyDescent="0.3">
      <c r="C45" s="52" t="str">
        <f>'G-1 All Habitats'!B44</f>
        <v>Lakes - Moderate alkalinity lakes</v>
      </c>
      <c r="D45" s="331" t="s">
        <v>1606</v>
      </c>
      <c r="E45" s="331" t="s">
        <v>1606</v>
      </c>
      <c r="F45" s="331">
        <v>5</v>
      </c>
      <c r="G45" s="331">
        <v>7</v>
      </c>
      <c r="H45" s="331">
        <v>10</v>
      </c>
      <c r="I45" s="331">
        <v>15</v>
      </c>
      <c r="J45" s="331">
        <v>20</v>
      </c>
      <c r="K45" s="331" t="s">
        <v>1606</v>
      </c>
      <c r="L45" s="331" t="s">
        <v>1606</v>
      </c>
      <c r="M45" s="331" t="s">
        <v>1606</v>
      </c>
      <c r="N45" s="331" t="s">
        <v>1606</v>
      </c>
      <c r="O45" s="331">
        <v>5</v>
      </c>
      <c r="P45" s="331">
        <v>10</v>
      </c>
      <c r="Q45" s="331">
        <v>15</v>
      </c>
      <c r="R45" s="331">
        <v>30</v>
      </c>
      <c r="S45" s="331">
        <v>5</v>
      </c>
      <c r="T45" s="331">
        <v>15</v>
      </c>
      <c r="U45" s="331">
        <v>25</v>
      </c>
      <c r="V45" s="331">
        <v>10</v>
      </c>
      <c r="W45" s="331">
        <v>20</v>
      </c>
      <c r="X45" s="331">
        <v>10</v>
      </c>
      <c r="Y45" s="331" t="s">
        <v>1606</v>
      </c>
    </row>
    <row r="46" spans="3:25" x14ac:dyDescent="0.3">
      <c r="C46" s="52" t="str">
        <f>'G-1 All Habitats'!B45</f>
        <v>Lakes - Peat lakes</v>
      </c>
      <c r="D46" s="331" t="s">
        <v>1606</v>
      </c>
      <c r="E46" s="331" t="s">
        <v>1606</v>
      </c>
      <c r="F46" s="331">
        <v>5</v>
      </c>
      <c r="G46" s="331">
        <v>10</v>
      </c>
      <c r="H46" s="331">
        <v>15</v>
      </c>
      <c r="I46" s="331">
        <v>20</v>
      </c>
      <c r="J46" s="331">
        <v>30</v>
      </c>
      <c r="K46" s="331" t="s">
        <v>1606</v>
      </c>
      <c r="L46" s="331" t="s">
        <v>1606</v>
      </c>
      <c r="M46" s="331" t="s">
        <v>1606</v>
      </c>
      <c r="N46" s="331" t="s">
        <v>1606</v>
      </c>
      <c r="O46" s="331">
        <v>5</v>
      </c>
      <c r="P46" s="331">
        <v>10</v>
      </c>
      <c r="Q46" s="331">
        <v>15</v>
      </c>
      <c r="R46" s="331">
        <v>30</v>
      </c>
      <c r="S46" s="331">
        <v>5</v>
      </c>
      <c r="T46" s="331">
        <v>15</v>
      </c>
      <c r="U46" s="331">
        <v>25</v>
      </c>
      <c r="V46" s="331">
        <v>10</v>
      </c>
      <c r="W46" s="331">
        <v>20</v>
      </c>
      <c r="X46" s="331">
        <v>10</v>
      </c>
      <c r="Y46" s="331" t="s">
        <v>1606</v>
      </c>
    </row>
    <row r="47" spans="3:25" x14ac:dyDescent="0.3">
      <c r="C47" s="52" t="str">
        <f>'G-1 All Habitats'!B46</f>
        <v>Lakes - Ponds (priority habitat)</v>
      </c>
      <c r="D47" s="331" t="s">
        <v>1606</v>
      </c>
      <c r="E47" s="331" t="s">
        <v>1606</v>
      </c>
      <c r="F47" s="331">
        <v>2</v>
      </c>
      <c r="G47" s="331">
        <v>3</v>
      </c>
      <c r="H47" s="331">
        <v>5</v>
      </c>
      <c r="I47" s="331">
        <v>7</v>
      </c>
      <c r="J47" s="331">
        <v>10</v>
      </c>
      <c r="K47" s="331" t="s">
        <v>1606</v>
      </c>
      <c r="L47" s="331" t="s">
        <v>1606</v>
      </c>
      <c r="M47" s="331" t="s">
        <v>1606</v>
      </c>
      <c r="N47" s="331" t="s">
        <v>1606</v>
      </c>
      <c r="O47" s="331">
        <v>2</v>
      </c>
      <c r="P47" s="331">
        <v>4</v>
      </c>
      <c r="Q47" s="331">
        <v>6</v>
      </c>
      <c r="R47" s="331">
        <v>8</v>
      </c>
      <c r="S47" s="331">
        <v>2</v>
      </c>
      <c r="T47" s="331">
        <v>4</v>
      </c>
      <c r="U47" s="331">
        <v>6</v>
      </c>
      <c r="V47" s="331">
        <v>2</v>
      </c>
      <c r="W47" s="331">
        <v>4</v>
      </c>
      <c r="X47" s="331">
        <v>2</v>
      </c>
      <c r="Y47" s="331" t="s">
        <v>1606</v>
      </c>
    </row>
    <row r="48" spans="3:25" x14ac:dyDescent="0.3">
      <c r="C48" s="52" t="str">
        <f>'G-1 All Habitats'!B47</f>
        <v>Lakes - Ponds (non-priority habitat)</v>
      </c>
      <c r="D48" s="331" t="s">
        <v>1606</v>
      </c>
      <c r="E48" s="331" t="s">
        <v>1606</v>
      </c>
      <c r="F48" s="331">
        <v>1</v>
      </c>
      <c r="G48" s="331">
        <v>2</v>
      </c>
      <c r="H48" s="331">
        <v>3</v>
      </c>
      <c r="I48" s="331">
        <v>4</v>
      </c>
      <c r="J48" s="331">
        <v>5</v>
      </c>
      <c r="K48" s="331" t="s">
        <v>1606</v>
      </c>
      <c r="L48" s="331" t="s">
        <v>1606</v>
      </c>
      <c r="M48" s="331" t="s">
        <v>1606</v>
      </c>
      <c r="N48" s="331" t="s">
        <v>1606</v>
      </c>
      <c r="O48" s="331">
        <v>2</v>
      </c>
      <c r="P48" s="331">
        <v>4</v>
      </c>
      <c r="Q48" s="331">
        <v>6</v>
      </c>
      <c r="R48" s="331">
        <v>8</v>
      </c>
      <c r="S48" s="331">
        <v>2</v>
      </c>
      <c r="T48" s="331">
        <v>4</v>
      </c>
      <c r="U48" s="331">
        <v>6</v>
      </c>
      <c r="V48" s="331">
        <v>2</v>
      </c>
      <c r="W48" s="331">
        <v>4</v>
      </c>
      <c r="X48" s="331">
        <v>2</v>
      </c>
      <c r="Y48" s="331" t="s">
        <v>1606</v>
      </c>
    </row>
    <row r="49" spans="3:25" x14ac:dyDescent="0.3">
      <c r="C49" s="52" t="str">
        <f>'G-1 All Habitats'!B48</f>
        <v>Lakes - Reservoirs</v>
      </c>
      <c r="D49" s="331" t="s">
        <v>1606</v>
      </c>
      <c r="E49" s="331" t="s">
        <v>1606</v>
      </c>
      <c r="F49" s="331">
        <v>1</v>
      </c>
      <c r="G49" s="331">
        <v>3</v>
      </c>
      <c r="H49" s="331">
        <v>5</v>
      </c>
      <c r="I49" s="331">
        <v>7</v>
      </c>
      <c r="J49" s="331">
        <v>10</v>
      </c>
      <c r="K49" s="331" t="s">
        <v>1606</v>
      </c>
      <c r="L49" s="331" t="s">
        <v>1606</v>
      </c>
      <c r="M49" s="331" t="s">
        <v>1606</v>
      </c>
      <c r="N49" s="331" t="s">
        <v>1606</v>
      </c>
      <c r="O49" s="331">
        <v>5</v>
      </c>
      <c r="P49" s="331">
        <v>10</v>
      </c>
      <c r="Q49" s="331">
        <v>15</v>
      </c>
      <c r="R49" s="331">
        <v>30</v>
      </c>
      <c r="S49" s="331">
        <v>5</v>
      </c>
      <c r="T49" s="331">
        <v>15</v>
      </c>
      <c r="U49" s="331">
        <v>25</v>
      </c>
      <c r="V49" s="331">
        <v>10</v>
      </c>
      <c r="W49" s="331">
        <v>20</v>
      </c>
      <c r="X49" s="331">
        <v>10</v>
      </c>
      <c r="Y49" s="331" t="s">
        <v>1606</v>
      </c>
    </row>
    <row r="50" spans="3:25" x14ac:dyDescent="0.3">
      <c r="C50" s="52" t="str">
        <f>'G-1 All Habitats'!B49</f>
        <v>Lakes - Temporary lakes ponds and pools (H3170)</v>
      </c>
      <c r="D50" s="331" t="s">
        <v>1606</v>
      </c>
      <c r="E50" s="331" t="s">
        <v>1606</v>
      </c>
      <c r="F50" s="331">
        <v>2</v>
      </c>
      <c r="G50" s="331">
        <v>3</v>
      </c>
      <c r="H50" s="331">
        <v>5</v>
      </c>
      <c r="I50" s="331">
        <v>7</v>
      </c>
      <c r="J50" s="331">
        <v>10</v>
      </c>
      <c r="K50" s="331" t="s">
        <v>1606</v>
      </c>
      <c r="L50" s="331" t="s">
        <v>1606</v>
      </c>
      <c r="M50" s="331" t="s">
        <v>1606</v>
      </c>
      <c r="N50" s="331" t="s">
        <v>1606</v>
      </c>
      <c r="O50" s="331">
        <v>2</v>
      </c>
      <c r="P50" s="331">
        <v>4</v>
      </c>
      <c r="Q50" s="331">
        <v>6</v>
      </c>
      <c r="R50" s="331">
        <v>8</v>
      </c>
      <c r="S50" s="331">
        <v>2</v>
      </c>
      <c r="T50" s="331">
        <v>4</v>
      </c>
      <c r="U50" s="331">
        <v>6</v>
      </c>
      <c r="V50" s="331">
        <v>2</v>
      </c>
      <c r="W50" s="331">
        <v>4</v>
      </c>
      <c r="X50" s="331">
        <v>2</v>
      </c>
      <c r="Y50" s="331" t="s">
        <v>1606</v>
      </c>
    </row>
    <row r="51" spans="3:25" x14ac:dyDescent="0.3">
      <c r="C51" s="52" t="str">
        <f>'G-1 All Habitats'!B50</f>
        <v>Sparsely vegetated land - Calaminarian grasslands</v>
      </c>
      <c r="D51" s="331" t="s">
        <v>1606</v>
      </c>
      <c r="E51" s="331" t="s">
        <v>1606</v>
      </c>
      <c r="F51" s="331">
        <v>2</v>
      </c>
      <c r="G51" s="331">
        <v>3</v>
      </c>
      <c r="H51" s="331">
        <v>5</v>
      </c>
      <c r="I51" s="331">
        <v>7</v>
      </c>
      <c r="J51" s="331">
        <v>10</v>
      </c>
      <c r="K51" s="331" t="s">
        <v>1606</v>
      </c>
      <c r="L51" s="331" t="s">
        <v>1606</v>
      </c>
      <c r="M51" s="331" t="s">
        <v>1606</v>
      </c>
      <c r="N51" s="331" t="s">
        <v>1606</v>
      </c>
      <c r="O51" s="331">
        <v>1</v>
      </c>
      <c r="P51" s="331">
        <v>3</v>
      </c>
      <c r="Q51" s="331">
        <v>5</v>
      </c>
      <c r="R51" s="331">
        <v>8</v>
      </c>
      <c r="S51" s="331">
        <v>1</v>
      </c>
      <c r="T51" s="331">
        <v>4</v>
      </c>
      <c r="U51" s="331">
        <v>7</v>
      </c>
      <c r="V51" s="331">
        <v>2</v>
      </c>
      <c r="W51" s="331">
        <v>5</v>
      </c>
      <c r="X51" s="331">
        <v>3</v>
      </c>
      <c r="Y51" s="331" t="s">
        <v>1606</v>
      </c>
    </row>
    <row r="52" spans="3:25" x14ac:dyDescent="0.3">
      <c r="C52" s="52" t="str">
        <f>'G-1 All Habitats'!B51</f>
        <v>Sparsely vegetated land - Coastal sand dunes</v>
      </c>
      <c r="D52" s="331" t="s">
        <v>1606</v>
      </c>
      <c r="E52" s="331" t="s">
        <v>1606</v>
      </c>
      <c r="F52" s="331">
        <v>5</v>
      </c>
      <c r="G52" s="331">
        <v>7</v>
      </c>
      <c r="H52" s="331">
        <v>10</v>
      </c>
      <c r="I52" s="331">
        <v>15</v>
      </c>
      <c r="J52" s="331">
        <v>20</v>
      </c>
      <c r="K52" s="331" t="s">
        <v>1606</v>
      </c>
      <c r="L52" s="331" t="s">
        <v>1606</v>
      </c>
      <c r="M52" s="331" t="s">
        <v>1606</v>
      </c>
      <c r="N52" s="331" t="s">
        <v>1606</v>
      </c>
      <c r="O52" s="331">
        <v>5</v>
      </c>
      <c r="P52" s="331">
        <v>8</v>
      </c>
      <c r="Q52" s="331">
        <v>15</v>
      </c>
      <c r="R52" s="331">
        <v>20</v>
      </c>
      <c r="S52" s="331">
        <v>5</v>
      </c>
      <c r="T52" s="331">
        <v>10</v>
      </c>
      <c r="U52" s="331">
        <v>18</v>
      </c>
      <c r="V52" s="331">
        <v>7</v>
      </c>
      <c r="W52" s="331">
        <v>12</v>
      </c>
      <c r="X52" s="331">
        <v>8</v>
      </c>
      <c r="Y52" s="331" t="s">
        <v>1606</v>
      </c>
    </row>
    <row r="53" spans="3:25" x14ac:dyDescent="0.3">
      <c r="C53" s="52" t="str">
        <f>'G-1 All Habitats'!B52</f>
        <v>Sparsely vegetated land - Coastal vegetated shingle</v>
      </c>
      <c r="D53" s="331" t="s">
        <v>1606</v>
      </c>
      <c r="E53" s="331" t="s">
        <v>1606</v>
      </c>
      <c r="F53" s="331">
        <v>5</v>
      </c>
      <c r="G53" s="331">
        <v>7</v>
      </c>
      <c r="H53" s="331">
        <v>10</v>
      </c>
      <c r="I53" s="331">
        <v>15</v>
      </c>
      <c r="J53" s="331">
        <v>20</v>
      </c>
      <c r="K53" s="331" t="s">
        <v>1606</v>
      </c>
      <c r="L53" s="331" t="s">
        <v>1606</v>
      </c>
      <c r="M53" s="331" t="s">
        <v>1606</v>
      </c>
      <c r="N53" s="331" t="s">
        <v>1606</v>
      </c>
      <c r="O53" s="331">
        <v>5</v>
      </c>
      <c r="P53" s="331">
        <v>8</v>
      </c>
      <c r="Q53" s="331">
        <v>15</v>
      </c>
      <c r="R53" s="331">
        <v>20</v>
      </c>
      <c r="S53" s="331">
        <v>5</v>
      </c>
      <c r="T53" s="331">
        <v>10</v>
      </c>
      <c r="U53" s="331">
        <v>18</v>
      </c>
      <c r="V53" s="331">
        <v>7</v>
      </c>
      <c r="W53" s="331">
        <v>12</v>
      </c>
      <c r="X53" s="331">
        <v>8</v>
      </c>
      <c r="Y53" s="331" t="s">
        <v>1606</v>
      </c>
    </row>
    <row r="54" spans="3:25" x14ac:dyDescent="0.3">
      <c r="C54" s="52" t="str">
        <f>'G-1 All Habitats'!B53</f>
        <v>Sparsely vegetated land - Ruderal/Ephemeral</v>
      </c>
      <c r="D54" s="331" t="s">
        <v>1606</v>
      </c>
      <c r="E54" s="331" t="s">
        <v>1606</v>
      </c>
      <c r="F54" s="331" t="s">
        <v>1606</v>
      </c>
      <c r="G54" s="331" t="s">
        <v>1606</v>
      </c>
      <c r="H54" s="331" t="s">
        <v>1606</v>
      </c>
      <c r="I54" s="331" t="s">
        <v>1606</v>
      </c>
      <c r="J54" s="331" t="s">
        <v>1606</v>
      </c>
      <c r="K54" s="331" t="s">
        <v>1606</v>
      </c>
      <c r="L54" s="331" t="s">
        <v>1606</v>
      </c>
      <c r="M54" s="331" t="s">
        <v>1606</v>
      </c>
      <c r="N54" s="331" t="s">
        <v>1606</v>
      </c>
      <c r="O54" s="331">
        <v>1</v>
      </c>
      <c r="P54" s="331">
        <v>2</v>
      </c>
      <c r="Q54" s="331">
        <v>3</v>
      </c>
      <c r="R54" s="331">
        <v>5</v>
      </c>
      <c r="S54" s="331">
        <v>1</v>
      </c>
      <c r="T54" s="331">
        <v>2</v>
      </c>
      <c r="U54" s="331">
        <v>3</v>
      </c>
      <c r="V54" s="331">
        <v>1</v>
      </c>
      <c r="W54" s="331">
        <v>2</v>
      </c>
      <c r="X54" s="331">
        <v>1</v>
      </c>
      <c r="Y54" s="331" t="s">
        <v>1606</v>
      </c>
    </row>
    <row r="55" spans="3:25" x14ac:dyDescent="0.3">
      <c r="C55" s="52" t="s">
        <v>491</v>
      </c>
      <c r="D55" s="331" t="s">
        <v>1606</v>
      </c>
      <c r="E55" s="331" t="s">
        <v>1606</v>
      </c>
      <c r="F55" s="331" t="s">
        <v>1606</v>
      </c>
      <c r="G55" s="331" t="s">
        <v>1606</v>
      </c>
      <c r="H55" s="331" t="s">
        <v>1606</v>
      </c>
      <c r="I55" s="331" t="s">
        <v>1606</v>
      </c>
      <c r="J55" s="331" t="s">
        <v>1606</v>
      </c>
      <c r="K55" s="331" t="s">
        <v>1606</v>
      </c>
      <c r="L55" s="331" t="s">
        <v>1606</v>
      </c>
      <c r="M55" s="331" t="s">
        <v>1606</v>
      </c>
      <c r="N55" s="331" t="s">
        <v>1606</v>
      </c>
      <c r="O55" s="331">
        <v>1</v>
      </c>
      <c r="P55" s="331">
        <v>2</v>
      </c>
      <c r="Q55" s="331">
        <v>3</v>
      </c>
      <c r="R55" s="331">
        <v>5</v>
      </c>
      <c r="S55" s="331">
        <v>1</v>
      </c>
      <c r="T55" s="331">
        <v>2</v>
      </c>
      <c r="U55" s="331">
        <v>3</v>
      </c>
      <c r="V55" s="331">
        <v>1</v>
      </c>
      <c r="W55" s="331">
        <v>2</v>
      </c>
      <c r="X55" s="331">
        <v>1</v>
      </c>
      <c r="Y55" s="331" t="s">
        <v>1606</v>
      </c>
    </row>
    <row r="56" spans="3:25" x14ac:dyDescent="0.3">
      <c r="C56" s="52" t="str">
        <f>'G-1 All Habitats'!B55</f>
        <v>Sparsely vegetated land - Inland rock outcrop and scree habitats</v>
      </c>
      <c r="D56" s="331" t="s">
        <v>1606</v>
      </c>
      <c r="E56" s="331" t="s">
        <v>1606</v>
      </c>
      <c r="F56" s="331">
        <v>10</v>
      </c>
      <c r="G56" s="331">
        <v>15</v>
      </c>
      <c r="H56" s="331">
        <v>20</v>
      </c>
      <c r="I56" s="331">
        <v>25</v>
      </c>
      <c r="J56" s="331" t="s">
        <v>868</v>
      </c>
      <c r="K56" s="331" t="s">
        <v>1606</v>
      </c>
      <c r="L56" s="331" t="s">
        <v>1606</v>
      </c>
      <c r="M56" s="331" t="s">
        <v>1606</v>
      </c>
      <c r="N56" s="331" t="s">
        <v>1606</v>
      </c>
      <c r="O56" s="331">
        <v>10</v>
      </c>
      <c r="P56" s="331">
        <v>15</v>
      </c>
      <c r="Q56" s="331">
        <v>25</v>
      </c>
      <c r="R56" s="331" t="s">
        <v>868</v>
      </c>
      <c r="S56" s="331">
        <v>20</v>
      </c>
      <c r="T56" s="331">
        <v>25</v>
      </c>
      <c r="U56" s="331">
        <v>27</v>
      </c>
      <c r="V56" s="331">
        <v>15</v>
      </c>
      <c r="W56" s="331">
        <v>20</v>
      </c>
      <c r="X56" s="331">
        <v>15</v>
      </c>
      <c r="Y56" s="331" t="s">
        <v>1606</v>
      </c>
    </row>
    <row r="57" spans="3:25" x14ac:dyDescent="0.3">
      <c r="C57" s="52" t="str">
        <f>'G-1 All Habitats'!B56</f>
        <v>Sparsely vegetated land - Limestone pavement</v>
      </c>
      <c r="D57" s="331" t="s">
        <v>1606</v>
      </c>
      <c r="E57" s="331" t="s">
        <v>1606</v>
      </c>
      <c r="F57" s="331" t="s">
        <v>868</v>
      </c>
      <c r="G57" s="331" t="s">
        <v>868</v>
      </c>
      <c r="H57" s="331" t="s">
        <v>868</v>
      </c>
      <c r="I57" s="331" t="s">
        <v>868</v>
      </c>
      <c r="J57" s="331" t="s">
        <v>868</v>
      </c>
      <c r="K57" s="331" t="s">
        <v>1606</v>
      </c>
      <c r="L57" s="331" t="s">
        <v>1606</v>
      </c>
      <c r="M57" s="331" t="s">
        <v>1606</v>
      </c>
      <c r="N57" s="331" t="s">
        <v>1606</v>
      </c>
      <c r="O57" s="331">
        <v>5</v>
      </c>
      <c r="P57" s="331">
        <v>10</v>
      </c>
      <c r="Q57" s="331">
        <v>15</v>
      </c>
      <c r="R57" s="331">
        <v>20</v>
      </c>
      <c r="S57" s="331">
        <v>5</v>
      </c>
      <c r="T57" s="331">
        <v>10</v>
      </c>
      <c r="U57" s="331">
        <v>15</v>
      </c>
      <c r="V57" s="331">
        <v>5</v>
      </c>
      <c r="W57" s="331">
        <v>10</v>
      </c>
      <c r="X57" s="331">
        <v>5</v>
      </c>
      <c r="Y57" s="331" t="s">
        <v>1606</v>
      </c>
    </row>
    <row r="58" spans="3:25" x14ac:dyDescent="0.3">
      <c r="C58" s="52" t="str">
        <f>'G-1 All Habitats'!B57</f>
        <v>Sparsely vegetated land - Maritime cliff and slopes</v>
      </c>
      <c r="D58" s="331" t="s">
        <v>1606</v>
      </c>
      <c r="E58" s="331" t="s">
        <v>1606</v>
      </c>
      <c r="F58" s="331">
        <v>10</v>
      </c>
      <c r="G58" s="331">
        <v>15</v>
      </c>
      <c r="H58" s="331">
        <v>20</v>
      </c>
      <c r="I58" s="331">
        <v>25</v>
      </c>
      <c r="J58" s="331" t="s">
        <v>868</v>
      </c>
      <c r="K58" s="331" t="s">
        <v>1606</v>
      </c>
      <c r="L58" s="331" t="s">
        <v>1606</v>
      </c>
      <c r="M58" s="331" t="s">
        <v>1606</v>
      </c>
      <c r="N58" s="331" t="s">
        <v>1606</v>
      </c>
      <c r="O58" s="331">
        <v>5</v>
      </c>
      <c r="P58" s="331">
        <v>8</v>
      </c>
      <c r="Q58" s="331">
        <v>15</v>
      </c>
      <c r="R58" s="331">
        <v>20</v>
      </c>
      <c r="S58" s="331">
        <v>5</v>
      </c>
      <c r="T58" s="331">
        <v>10</v>
      </c>
      <c r="U58" s="331">
        <v>18</v>
      </c>
      <c r="V58" s="331">
        <v>7</v>
      </c>
      <c r="W58" s="331">
        <v>12</v>
      </c>
      <c r="X58" s="331">
        <v>8</v>
      </c>
      <c r="Y58" s="331" t="s">
        <v>1606</v>
      </c>
    </row>
    <row r="59" spans="3:25" x14ac:dyDescent="0.3">
      <c r="C59" s="52" t="str">
        <f>'G-1 All Habitats'!B58</f>
        <v>Sparsely vegetated land - Other inland rock and scree</v>
      </c>
      <c r="D59" s="331" t="s">
        <v>1606</v>
      </c>
      <c r="E59" s="331" t="s">
        <v>1606</v>
      </c>
      <c r="F59" s="331">
        <v>3</v>
      </c>
      <c r="G59" s="331">
        <v>5</v>
      </c>
      <c r="H59" s="331">
        <v>10</v>
      </c>
      <c r="I59" s="331">
        <v>15</v>
      </c>
      <c r="J59" s="331">
        <v>20</v>
      </c>
      <c r="K59" s="331" t="s">
        <v>1606</v>
      </c>
      <c r="L59" s="331" t="s">
        <v>1606</v>
      </c>
      <c r="M59" s="331" t="s">
        <v>1606</v>
      </c>
      <c r="N59" s="331" t="s">
        <v>1606</v>
      </c>
      <c r="O59" s="331">
        <v>5</v>
      </c>
      <c r="P59" s="331">
        <v>10</v>
      </c>
      <c r="Q59" s="331">
        <v>15</v>
      </c>
      <c r="R59" s="331">
        <v>20</v>
      </c>
      <c r="S59" s="331">
        <v>5</v>
      </c>
      <c r="T59" s="331">
        <v>10</v>
      </c>
      <c r="U59" s="331">
        <v>15</v>
      </c>
      <c r="V59" s="331">
        <v>5</v>
      </c>
      <c r="W59" s="331">
        <v>10</v>
      </c>
      <c r="X59" s="331">
        <v>5</v>
      </c>
      <c r="Y59" s="331" t="s">
        <v>1606</v>
      </c>
    </row>
    <row r="60" spans="3:25" x14ac:dyDescent="0.3">
      <c r="C60" s="52" t="str">
        <f>'G-1 All Habitats'!B59</f>
        <v>Urban - Allotments</v>
      </c>
      <c r="D60" s="331" t="s">
        <v>1606</v>
      </c>
      <c r="E60" s="331" t="s">
        <v>1606</v>
      </c>
      <c r="F60" s="331">
        <v>1</v>
      </c>
      <c r="G60" s="331">
        <v>1</v>
      </c>
      <c r="H60" s="331">
        <v>1</v>
      </c>
      <c r="I60" s="331">
        <v>1</v>
      </c>
      <c r="J60" s="331">
        <v>1</v>
      </c>
      <c r="K60" s="331" t="s">
        <v>1606</v>
      </c>
      <c r="L60" s="331" t="s">
        <v>1606</v>
      </c>
      <c r="M60" s="331" t="s">
        <v>1606</v>
      </c>
      <c r="N60" s="331" t="s">
        <v>1606</v>
      </c>
      <c r="O60" s="331">
        <v>1</v>
      </c>
      <c r="P60" s="331">
        <v>1</v>
      </c>
      <c r="Q60" s="331">
        <v>1</v>
      </c>
      <c r="R60" s="331">
        <v>1</v>
      </c>
      <c r="S60" s="331">
        <v>1</v>
      </c>
      <c r="T60" s="331">
        <v>1</v>
      </c>
      <c r="U60" s="331">
        <v>1</v>
      </c>
      <c r="V60" s="331">
        <v>1</v>
      </c>
      <c r="W60" s="331">
        <v>1</v>
      </c>
      <c r="X60" s="331">
        <v>1</v>
      </c>
      <c r="Y60" s="331" t="s">
        <v>1606</v>
      </c>
    </row>
    <row r="61" spans="3:25" x14ac:dyDescent="0.3">
      <c r="C61" s="52" t="str">
        <f>'G-1 All Habitats'!B40</f>
        <v>Lakes - Ornamental lake or pond</v>
      </c>
      <c r="D61" s="331" t="s">
        <v>1606</v>
      </c>
      <c r="E61" s="331" t="s">
        <v>1606</v>
      </c>
      <c r="F61" s="331">
        <v>1</v>
      </c>
      <c r="G61" s="331">
        <v>2</v>
      </c>
      <c r="H61" s="331">
        <v>3</v>
      </c>
      <c r="I61" s="331">
        <v>4</v>
      </c>
      <c r="J61" s="331">
        <v>5</v>
      </c>
      <c r="K61" s="331" t="s">
        <v>1606</v>
      </c>
      <c r="L61" s="331" t="s">
        <v>1606</v>
      </c>
      <c r="M61" s="331" t="s">
        <v>1606</v>
      </c>
      <c r="N61" s="331" t="s">
        <v>1606</v>
      </c>
      <c r="O61" s="331">
        <v>2</v>
      </c>
      <c r="P61" s="331">
        <v>4</v>
      </c>
      <c r="Q61" s="331">
        <v>6</v>
      </c>
      <c r="R61" s="331">
        <v>8</v>
      </c>
      <c r="S61" s="331">
        <v>2</v>
      </c>
      <c r="T61" s="331">
        <v>4</v>
      </c>
      <c r="U61" s="331">
        <v>6</v>
      </c>
      <c r="V61" s="331">
        <v>2</v>
      </c>
      <c r="W61" s="331">
        <v>4</v>
      </c>
      <c r="X61" s="331">
        <v>2</v>
      </c>
      <c r="Y61" s="331" t="s">
        <v>1606</v>
      </c>
    </row>
    <row r="62" spans="3:25" x14ac:dyDescent="0.3">
      <c r="C62" s="52" t="str">
        <f>'G-1 All Habitats'!B60</f>
        <v>Urban - Artificial unvegetated, unsealed surface</v>
      </c>
      <c r="D62" s="331" t="s">
        <v>1606</v>
      </c>
      <c r="E62" s="331" t="s">
        <v>1606</v>
      </c>
      <c r="F62" s="331" t="s">
        <v>1606</v>
      </c>
      <c r="G62" s="331" t="s">
        <v>1606</v>
      </c>
      <c r="H62" s="331" t="s">
        <v>1606</v>
      </c>
      <c r="I62" s="331" t="s">
        <v>1606</v>
      </c>
      <c r="J62" s="331" t="s">
        <v>1606</v>
      </c>
      <c r="K62" s="331" t="s">
        <v>1606</v>
      </c>
      <c r="L62" s="331" t="s">
        <v>1606</v>
      </c>
      <c r="M62" s="331" t="s">
        <v>1606</v>
      </c>
      <c r="N62" s="331" t="s">
        <v>1606</v>
      </c>
      <c r="O62" s="331" t="s">
        <v>1606</v>
      </c>
      <c r="P62" s="331" t="s">
        <v>1606</v>
      </c>
      <c r="Q62" s="331" t="s">
        <v>1606</v>
      </c>
      <c r="R62" s="331" t="s">
        <v>1606</v>
      </c>
      <c r="S62" s="331" t="s">
        <v>1606</v>
      </c>
      <c r="T62" s="331" t="s">
        <v>1606</v>
      </c>
      <c r="U62" s="331" t="s">
        <v>1606</v>
      </c>
      <c r="V62" s="331" t="s">
        <v>1606</v>
      </c>
      <c r="W62" s="331" t="s">
        <v>1606</v>
      </c>
      <c r="X62" s="331" t="s">
        <v>1606</v>
      </c>
      <c r="Y62" s="331" t="s">
        <v>1606</v>
      </c>
    </row>
    <row r="63" spans="3:25" x14ac:dyDescent="0.3">
      <c r="C63" s="52" t="str">
        <f>'G-1 All Habitats'!B61</f>
        <v>Urban - Bioswale</v>
      </c>
      <c r="D63" s="331" t="s">
        <v>1606</v>
      </c>
      <c r="E63" s="331" t="s">
        <v>1606</v>
      </c>
      <c r="F63" s="331">
        <v>1</v>
      </c>
      <c r="G63" s="331">
        <v>1</v>
      </c>
      <c r="H63" s="331">
        <v>1</v>
      </c>
      <c r="I63" s="331">
        <v>2</v>
      </c>
      <c r="J63" s="331">
        <v>3</v>
      </c>
      <c r="K63" s="331" t="s">
        <v>1606</v>
      </c>
      <c r="L63" s="331" t="s">
        <v>1606</v>
      </c>
      <c r="M63" s="331" t="s">
        <v>1606</v>
      </c>
      <c r="N63" s="331" t="s">
        <v>1606</v>
      </c>
      <c r="O63" s="331">
        <v>1</v>
      </c>
      <c r="P63" s="331">
        <v>2</v>
      </c>
      <c r="Q63" s="331">
        <v>2</v>
      </c>
      <c r="R63" s="331">
        <v>3</v>
      </c>
      <c r="S63" s="331">
        <v>1</v>
      </c>
      <c r="T63" s="331">
        <v>3</v>
      </c>
      <c r="U63" s="331">
        <v>3</v>
      </c>
      <c r="V63" s="331">
        <v>2</v>
      </c>
      <c r="W63" s="331">
        <v>2</v>
      </c>
      <c r="X63" s="331">
        <v>2</v>
      </c>
      <c r="Y63" s="331" t="s">
        <v>1606</v>
      </c>
    </row>
    <row r="64" spans="3:25" x14ac:dyDescent="0.3">
      <c r="C64" s="52" t="str">
        <f>'G-1 All Habitats'!B62</f>
        <v>Urban - Intensive green roof</v>
      </c>
      <c r="D64" s="331" t="s">
        <v>1606</v>
      </c>
      <c r="E64" s="331" t="s">
        <v>1606</v>
      </c>
      <c r="F64" s="331">
        <v>1</v>
      </c>
      <c r="G64" s="331">
        <v>2</v>
      </c>
      <c r="H64" s="331">
        <v>3</v>
      </c>
      <c r="I64" s="331">
        <v>4</v>
      </c>
      <c r="J64" s="331">
        <v>5</v>
      </c>
      <c r="K64" s="331" t="s">
        <v>1606</v>
      </c>
      <c r="L64" s="331" t="s">
        <v>1606</v>
      </c>
      <c r="M64" s="331" t="s">
        <v>1606</v>
      </c>
      <c r="N64" s="331" t="s">
        <v>1606</v>
      </c>
      <c r="O64" s="331">
        <v>1</v>
      </c>
      <c r="P64" s="331">
        <v>2</v>
      </c>
      <c r="Q64" s="331">
        <v>3</v>
      </c>
      <c r="R64" s="331">
        <v>5</v>
      </c>
      <c r="S64" s="331">
        <v>1</v>
      </c>
      <c r="T64" s="331">
        <v>2</v>
      </c>
      <c r="U64" s="331">
        <v>3</v>
      </c>
      <c r="V64" s="331">
        <v>1</v>
      </c>
      <c r="W64" s="331">
        <v>2</v>
      </c>
      <c r="X64" s="331">
        <v>1</v>
      </c>
      <c r="Y64" s="331" t="s">
        <v>1606</v>
      </c>
    </row>
    <row r="65" spans="3:25" x14ac:dyDescent="0.3">
      <c r="C65" s="52" t="str">
        <f>'G-1 All Habitats'!B63</f>
        <v>Urban - Built linear features</v>
      </c>
      <c r="D65" s="331" t="s">
        <v>1606</v>
      </c>
      <c r="E65" s="331" t="s">
        <v>1606</v>
      </c>
      <c r="F65" s="331" t="s">
        <v>1606</v>
      </c>
      <c r="G65" s="331" t="s">
        <v>1606</v>
      </c>
      <c r="H65" s="331" t="s">
        <v>1606</v>
      </c>
      <c r="I65" s="331" t="s">
        <v>1606</v>
      </c>
      <c r="J65" s="331" t="s">
        <v>1606</v>
      </c>
      <c r="K65" s="331" t="s">
        <v>1606</v>
      </c>
      <c r="L65" s="331" t="s">
        <v>1606</v>
      </c>
      <c r="M65" s="331" t="s">
        <v>1606</v>
      </c>
      <c r="N65" s="331" t="s">
        <v>1606</v>
      </c>
      <c r="O65" s="331" t="s">
        <v>1606</v>
      </c>
      <c r="P65" s="331" t="s">
        <v>1606</v>
      </c>
      <c r="Q65" s="331" t="s">
        <v>1606</v>
      </c>
      <c r="R65" s="331" t="s">
        <v>1606</v>
      </c>
      <c r="S65" s="331" t="s">
        <v>1606</v>
      </c>
      <c r="T65" s="331" t="s">
        <v>1606</v>
      </c>
      <c r="U65" s="331" t="s">
        <v>1606</v>
      </c>
      <c r="V65" s="331" t="s">
        <v>1606</v>
      </c>
      <c r="W65" s="331" t="s">
        <v>1606</v>
      </c>
      <c r="X65" s="331" t="s">
        <v>1606</v>
      </c>
      <c r="Y65" s="331" t="s">
        <v>1606</v>
      </c>
    </row>
    <row r="66" spans="3:25" x14ac:dyDescent="0.3">
      <c r="C66" s="52" t="str">
        <f>'G-1 All Habitats'!B64</f>
        <v>Urban - Cemeteries and churchyards</v>
      </c>
      <c r="D66" s="331" t="s">
        <v>1606</v>
      </c>
      <c r="E66" s="331" t="s">
        <v>1606</v>
      </c>
      <c r="F66" s="331">
        <v>10</v>
      </c>
      <c r="G66" s="331">
        <v>12</v>
      </c>
      <c r="H66" s="331">
        <v>15</v>
      </c>
      <c r="I66" s="331">
        <v>17</v>
      </c>
      <c r="J66" s="331">
        <v>20</v>
      </c>
      <c r="K66" s="331" t="s">
        <v>1606</v>
      </c>
      <c r="L66" s="331" t="s">
        <v>1606</v>
      </c>
      <c r="M66" s="331" t="s">
        <v>1606</v>
      </c>
      <c r="N66" s="331" t="s">
        <v>1606</v>
      </c>
      <c r="O66" s="331">
        <v>5</v>
      </c>
      <c r="P66" s="331">
        <v>10</v>
      </c>
      <c r="Q66" s="331">
        <v>15</v>
      </c>
      <c r="R66" s="331">
        <v>20</v>
      </c>
      <c r="S66" s="331">
        <v>10</v>
      </c>
      <c r="T66" s="331">
        <v>15</v>
      </c>
      <c r="U66" s="331">
        <v>20</v>
      </c>
      <c r="V66" s="331">
        <v>10</v>
      </c>
      <c r="W66" s="331">
        <v>15</v>
      </c>
      <c r="X66" s="331">
        <v>5</v>
      </c>
      <c r="Y66" s="331" t="s">
        <v>1606</v>
      </c>
    </row>
    <row r="67" spans="3:25" x14ac:dyDescent="0.3">
      <c r="C67" s="52" t="str">
        <f>'G-1 All Habitats'!B65</f>
        <v>Urban - Developed land; sealed surface</v>
      </c>
      <c r="D67" s="331" t="s">
        <v>1606</v>
      </c>
      <c r="E67" s="331" t="s">
        <v>1606</v>
      </c>
      <c r="F67" s="331" t="s">
        <v>1606</v>
      </c>
      <c r="G67" s="331" t="s">
        <v>1606</v>
      </c>
      <c r="H67" s="331" t="s">
        <v>1606</v>
      </c>
      <c r="I67" s="331" t="s">
        <v>1606</v>
      </c>
      <c r="J67" s="331" t="s">
        <v>1606</v>
      </c>
      <c r="K67" s="331" t="s">
        <v>1606</v>
      </c>
      <c r="L67" s="331" t="s">
        <v>1606</v>
      </c>
      <c r="M67" s="331" t="s">
        <v>1606</v>
      </c>
      <c r="N67" s="331" t="s">
        <v>1606</v>
      </c>
      <c r="O67" s="331" t="s">
        <v>1606</v>
      </c>
      <c r="P67" s="331" t="s">
        <v>1606</v>
      </c>
      <c r="Q67" s="331" t="s">
        <v>1606</v>
      </c>
      <c r="R67" s="331" t="s">
        <v>1606</v>
      </c>
      <c r="S67" s="331" t="s">
        <v>1606</v>
      </c>
      <c r="T67" s="331" t="s">
        <v>1606</v>
      </c>
      <c r="U67" s="331" t="s">
        <v>1606</v>
      </c>
      <c r="V67" s="331" t="s">
        <v>1606</v>
      </c>
      <c r="W67" s="331" t="s">
        <v>1606</v>
      </c>
      <c r="X67" s="331" t="s">
        <v>1606</v>
      </c>
      <c r="Y67" s="331" t="s">
        <v>1606</v>
      </c>
    </row>
    <row r="68" spans="3:25" x14ac:dyDescent="0.3">
      <c r="C68" s="52" t="str">
        <f>'G-1 All Habitats'!B66</f>
        <v>Urban - Other green roof</v>
      </c>
      <c r="D68" s="331" t="s">
        <v>1606</v>
      </c>
      <c r="E68" s="331" t="s">
        <v>1606</v>
      </c>
      <c r="F68" s="331" t="s">
        <v>1606</v>
      </c>
      <c r="G68" s="331" t="s">
        <v>1606</v>
      </c>
      <c r="H68" s="331" t="s">
        <v>1606</v>
      </c>
      <c r="I68" s="331" t="s">
        <v>1606</v>
      </c>
      <c r="J68" s="331" t="s">
        <v>1606</v>
      </c>
      <c r="K68" s="331" t="s">
        <v>1606</v>
      </c>
      <c r="L68" s="331" t="s">
        <v>1606</v>
      </c>
      <c r="M68" s="331" t="s">
        <v>1606</v>
      </c>
      <c r="N68" s="331" t="s">
        <v>1606</v>
      </c>
      <c r="O68" s="331" t="s">
        <v>1606</v>
      </c>
      <c r="P68" s="331" t="s">
        <v>1606</v>
      </c>
      <c r="Q68" s="331" t="s">
        <v>1606</v>
      </c>
      <c r="R68" s="331" t="s">
        <v>1606</v>
      </c>
      <c r="S68" s="331" t="s">
        <v>1606</v>
      </c>
      <c r="T68" s="331" t="s">
        <v>1606</v>
      </c>
      <c r="U68" s="331" t="s">
        <v>1606</v>
      </c>
      <c r="V68" s="331" t="s">
        <v>1606</v>
      </c>
      <c r="W68" s="331" t="s">
        <v>1606</v>
      </c>
      <c r="X68" s="331" t="s">
        <v>1606</v>
      </c>
      <c r="Y68" s="331" t="s">
        <v>1606</v>
      </c>
    </row>
    <row r="69" spans="3:25" x14ac:dyDescent="0.3">
      <c r="C69" s="52" t="str">
        <f>'G-1 All Habitats'!B67</f>
        <v>Urban - Facade-bound green wall</v>
      </c>
      <c r="D69" s="331" t="s">
        <v>1606</v>
      </c>
      <c r="E69" s="331" t="s">
        <v>1606</v>
      </c>
      <c r="F69" s="331">
        <v>1</v>
      </c>
      <c r="G69" s="331">
        <v>2</v>
      </c>
      <c r="H69" s="331">
        <v>3</v>
      </c>
      <c r="I69" s="331">
        <v>4</v>
      </c>
      <c r="J69" s="331">
        <v>5</v>
      </c>
      <c r="K69" s="331" t="s">
        <v>1606</v>
      </c>
      <c r="L69" s="331" t="s">
        <v>1606</v>
      </c>
      <c r="M69" s="331" t="s">
        <v>1606</v>
      </c>
      <c r="N69" s="331" t="s">
        <v>1606</v>
      </c>
      <c r="O69" s="331">
        <v>1</v>
      </c>
      <c r="P69" s="331">
        <v>2</v>
      </c>
      <c r="Q69" s="331">
        <v>3</v>
      </c>
      <c r="R69" s="331">
        <v>5</v>
      </c>
      <c r="S69" s="331">
        <v>1</v>
      </c>
      <c r="T69" s="331">
        <v>2</v>
      </c>
      <c r="U69" s="331">
        <v>3</v>
      </c>
      <c r="V69" s="331">
        <v>1</v>
      </c>
      <c r="W69" s="331">
        <v>2</v>
      </c>
      <c r="X69" s="331">
        <v>1</v>
      </c>
      <c r="Y69" s="331" t="s">
        <v>1606</v>
      </c>
    </row>
    <row r="70" spans="3:25" x14ac:dyDescent="0.3">
      <c r="C70" s="52" t="str">
        <f>'G-1 All Habitats'!B68</f>
        <v>Urban - Ground based green wall</v>
      </c>
      <c r="D70" s="331" t="s">
        <v>1606</v>
      </c>
      <c r="E70" s="331" t="s">
        <v>1606</v>
      </c>
      <c r="F70" s="331">
        <v>1</v>
      </c>
      <c r="G70" s="331">
        <v>2</v>
      </c>
      <c r="H70" s="331">
        <v>3</v>
      </c>
      <c r="I70" s="331">
        <v>4</v>
      </c>
      <c r="J70" s="331">
        <v>5</v>
      </c>
      <c r="K70" s="331" t="s">
        <v>1606</v>
      </c>
      <c r="L70" s="331" t="s">
        <v>1606</v>
      </c>
      <c r="M70" s="331" t="s">
        <v>1606</v>
      </c>
      <c r="N70" s="331" t="s">
        <v>1606</v>
      </c>
      <c r="O70" s="331">
        <v>1</v>
      </c>
      <c r="P70" s="331">
        <v>2</v>
      </c>
      <c r="Q70" s="331">
        <v>3</v>
      </c>
      <c r="R70" s="331">
        <v>5</v>
      </c>
      <c r="S70" s="331">
        <v>1</v>
      </c>
      <c r="T70" s="331">
        <v>2</v>
      </c>
      <c r="U70" s="331">
        <v>3</v>
      </c>
      <c r="V70" s="331">
        <v>1</v>
      </c>
      <c r="W70" s="331">
        <v>2</v>
      </c>
      <c r="X70" s="331">
        <v>1</v>
      </c>
      <c r="Y70" s="331" t="s">
        <v>1606</v>
      </c>
    </row>
    <row r="71" spans="3:25" x14ac:dyDescent="0.3">
      <c r="C71" s="52" t="str">
        <f>'G-1 All Habitats'!B69</f>
        <v>Urban - Ground level planters</v>
      </c>
      <c r="D71" s="331" t="s">
        <v>1606</v>
      </c>
      <c r="E71" s="331" t="s">
        <v>1606</v>
      </c>
      <c r="F71" s="331" t="s">
        <v>1606</v>
      </c>
      <c r="G71" s="331" t="s">
        <v>1606</v>
      </c>
      <c r="H71" s="331" t="s">
        <v>1606</v>
      </c>
      <c r="I71" s="331" t="s">
        <v>1606</v>
      </c>
      <c r="J71" s="331" t="s">
        <v>1606</v>
      </c>
      <c r="K71" s="331" t="s">
        <v>1606</v>
      </c>
      <c r="L71" s="331" t="s">
        <v>1606</v>
      </c>
      <c r="M71" s="331" t="s">
        <v>1606</v>
      </c>
      <c r="N71" s="331" t="s">
        <v>1606</v>
      </c>
      <c r="O71" s="331" t="s">
        <v>1606</v>
      </c>
      <c r="P71" s="331" t="s">
        <v>1606</v>
      </c>
      <c r="Q71" s="331" t="s">
        <v>1606</v>
      </c>
      <c r="R71" s="331" t="s">
        <v>1606</v>
      </c>
      <c r="S71" s="331" t="s">
        <v>1606</v>
      </c>
      <c r="T71" s="331" t="s">
        <v>1606</v>
      </c>
      <c r="U71" s="331" t="s">
        <v>1606</v>
      </c>
      <c r="V71" s="331" t="s">
        <v>1606</v>
      </c>
      <c r="W71" s="331" t="s">
        <v>1606</v>
      </c>
      <c r="X71" s="331" t="s">
        <v>1606</v>
      </c>
      <c r="Y71" s="331" t="s">
        <v>1606</v>
      </c>
    </row>
    <row r="72" spans="3:25" x14ac:dyDescent="0.3">
      <c r="C72" s="52" t="str">
        <f>'G-1 All Habitats'!B70</f>
        <v>Urban - Biodiverse green roof</v>
      </c>
      <c r="D72" s="331" t="s">
        <v>1606</v>
      </c>
      <c r="E72" s="331" t="s">
        <v>1606</v>
      </c>
      <c r="F72" s="331">
        <v>1</v>
      </c>
      <c r="G72" s="331">
        <v>3</v>
      </c>
      <c r="H72" s="331">
        <v>5</v>
      </c>
      <c r="I72" s="331">
        <v>8</v>
      </c>
      <c r="J72" s="331">
        <v>10</v>
      </c>
      <c r="K72" s="331" t="s">
        <v>1606</v>
      </c>
      <c r="L72" s="331" t="s">
        <v>1606</v>
      </c>
      <c r="M72" s="331" t="s">
        <v>1606</v>
      </c>
      <c r="N72" s="331" t="s">
        <v>1606</v>
      </c>
      <c r="O72" s="331">
        <v>3</v>
      </c>
      <c r="P72" s="331">
        <v>5</v>
      </c>
      <c r="Q72" s="331">
        <v>8</v>
      </c>
      <c r="R72" s="331">
        <v>10</v>
      </c>
      <c r="S72" s="331">
        <v>3</v>
      </c>
      <c r="T72" s="331">
        <v>8</v>
      </c>
      <c r="U72" s="331">
        <v>8</v>
      </c>
      <c r="V72" s="331">
        <v>3</v>
      </c>
      <c r="W72" s="331">
        <v>5</v>
      </c>
      <c r="X72" s="331">
        <v>2</v>
      </c>
      <c r="Y72" s="331" t="s">
        <v>1606</v>
      </c>
    </row>
    <row r="73" spans="3:25" x14ac:dyDescent="0.3">
      <c r="C73" s="52" t="str">
        <f>'G-1 All Habitats'!B71</f>
        <v>Urban - Introduced shrub</v>
      </c>
      <c r="D73" s="331" t="s">
        <v>1606</v>
      </c>
      <c r="E73" s="331" t="s">
        <v>1606</v>
      </c>
      <c r="F73" s="331" t="s">
        <v>1606</v>
      </c>
      <c r="G73" s="331" t="s">
        <v>1606</v>
      </c>
      <c r="H73" s="331" t="s">
        <v>1606</v>
      </c>
      <c r="I73" s="331" t="s">
        <v>1606</v>
      </c>
      <c r="J73" s="331" t="s">
        <v>1606</v>
      </c>
      <c r="K73" s="331" t="s">
        <v>1606</v>
      </c>
      <c r="L73" s="331" t="s">
        <v>1606</v>
      </c>
      <c r="M73" s="331" t="s">
        <v>1606</v>
      </c>
      <c r="N73" s="331" t="s">
        <v>1606</v>
      </c>
      <c r="O73" s="331" t="s">
        <v>1606</v>
      </c>
      <c r="P73" s="331" t="s">
        <v>1606</v>
      </c>
      <c r="Q73" s="331" t="s">
        <v>1606</v>
      </c>
      <c r="R73" s="331" t="s">
        <v>1606</v>
      </c>
      <c r="S73" s="331" t="s">
        <v>1606</v>
      </c>
      <c r="T73" s="331" t="s">
        <v>1606</v>
      </c>
      <c r="U73" s="331" t="s">
        <v>1606</v>
      </c>
      <c r="V73" s="331" t="s">
        <v>1606</v>
      </c>
      <c r="W73" s="331" t="s">
        <v>1606</v>
      </c>
      <c r="X73" s="331" t="s">
        <v>1606</v>
      </c>
      <c r="Y73" s="331" t="s">
        <v>1606</v>
      </c>
    </row>
    <row r="74" spans="3:25" x14ac:dyDescent="0.3">
      <c r="C74" s="52" t="str">
        <f>'G-1 All Habitats'!B72</f>
        <v>Urban - Open mosaic habitats on previously developed land</v>
      </c>
      <c r="D74" s="331" t="s">
        <v>1606</v>
      </c>
      <c r="E74" s="331" t="s">
        <v>1606</v>
      </c>
      <c r="F74" s="331">
        <v>0</v>
      </c>
      <c r="G74" s="331">
        <v>2</v>
      </c>
      <c r="H74" s="331">
        <v>4</v>
      </c>
      <c r="I74" s="331">
        <v>7</v>
      </c>
      <c r="J74" s="331">
        <v>10</v>
      </c>
      <c r="K74" s="331" t="s">
        <v>1606</v>
      </c>
      <c r="L74" s="331" t="s">
        <v>1606</v>
      </c>
      <c r="M74" s="331" t="s">
        <v>1606</v>
      </c>
      <c r="N74" s="331" t="s">
        <v>1606</v>
      </c>
      <c r="O74" s="331">
        <v>2</v>
      </c>
      <c r="P74" s="331">
        <v>4</v>
      </c>
      <c r="Q74" s="331">
        <v>7</v>
      </c>
      <c r="R74" s="331">
        <v>10</v>
      </c>
      <c r="S74" s="331">
        <v>2</v>
      </c>
      <c r="T74" s="331">
        <v>5</v>
      </c>
      <c r="U74" s="331">
        <v>8</v>
      </c>
      <c r="V74" s="331">
        <v>3</v>
      </c>
      <c r="W74" s="331">
        <v>4</v>
      </c>
      <c r="X74" s="331">
        <v>3</v>
      </c>
      <c r="Y74" s="331" t="s">
        <v>1606</v>
      </c>
    </row>
    <row r="75" spans="3:25" x14ac:dyDescent="0.3">
      <c r="C75" s="52" t="str">
        <f>'G-1 All Habitats'!B73</f>
        <v>Urban - Rain garden</v>
      </c>
      <c r="D75" s="331" t="s">
        <v>1606</v>
      </c>
      <c r="E75" s="331" t="s">
        <v>1606</v>
      </c>
      <c r="F75" s="331">
        <v>1</v>
      </c>
      <c r="G75" s="331">
        <v>1</v>
      </c>
      <c r="H75" s="331">
        <v>1</v>
      </c>
      <c r="I75" s="331">
        <v>1</v>
      </c>
      <c r="J75" s="331">
        <v>1</v>
      </c>
      <c r="K75" s="331" t="s">
        <v>1606</v>
      </c>
      <c r="L75" s="331" t="s">
        <v>1606</v>
      </c>
      <c r="M75" s="331" t="s">
        <v>1606</v>
      </c>
      <c r="N75" s="331" t="s">
        <v>1606</v>
      </c>
      <c r="O75" s="331">
        <v>1</v>
      </c>
      <c r="P75" s="331">
        <v>1</v>
      </c>
      <c r="Q75" s="331">
        <v>1</v>
      </c>
      <c r="R75" s="331">
        <v>1</v>
      </c>
      <c r="S75" s="331">
        <v>1</v>
      </c>
      <c r="T75" s="331">
        <v>1</v>
      </c>
      <c r="U75" s="331">
        <v>1</v>
      </c>
      <c r="V75" s="331">
        <v>1</v>
      </c>
      <c r="W75" s="331">
        <v>1</v>
      </c>
      <c r="X75" s="331">
        <v>1</v>
      </c>
      <c r="Y75" s="331" t="s">
        <v>1606</v>
      </c>
    </row>
    <row r="76" spans="3:25" x14ac:dyDescent="0.3">
      <c r="C76" s="52" t="str">
        <f>'G-1 All Habitats'!B74</f>
        <v>Urban - Actively worked sand pit quarry or open cast mine</v>
      </c>
      <c r="D76" s="331" t="s">
        <v>1606</v>
      </c>
      <c r="E76" s="331" t="s">
        <v>1606</v>
      </c>
      <c r="F76" s="331">
        <v>1</v>
      </c>
      <c r="G76" s="331" t="s">
        <v>1606</v>
      </c>
      <c r="H76" s="331" t="s">
        <v>1606</v>
      </c>
      <c r="I76" s="331" t="s">
        <v>1606</v>
      </c>
      <c r="J76" s="331" t="s">
        <v>1606</v>
      </c>
      <c r="K76" s="331" t="s">
        <v>1606</v>
      </c>
      <c r="L76" s="331" t="s">
        <v>1606</v>
      </c>
      <c r="M76" s="331" t="s">
        <v>1606</v>
      </c>
      <c r="N76" s="331" t="s">
        <v>1606</v>
      </c>
      <c r="O76" s="331" t="s">
        <v>1606</v>
      </c>
      <c r="P76" s="331" t="s">
        <v>1606</v>
      </c>
      <c r="Q76" s="331" t="s">
        <v>1606</v>
      </c>
      <c r="R76" s="331" t="s">
        <v>1606</v>
      </c>
      <c r="S76" s="331" t="s">
        <v>1606</v>
      </c>
      <c r="T76" s="331" t="s">
        <v>1606</v>
      </c>
      <c r="U76" s="331" t="s">
        <v>1606</v>
      </c>
      <c r="V76" s="331" t="s">
        <v>1606</v>
      </c>
      <c r="W76" s="331" t="s">
        <v>1606</v>
      </c>
      <c r="X76" s="331" t="s">
        <v>1606</v>
      </c>
      <c r="Y76" s="331" t="s">
        <v>1606</v>
      </c>
    </row>
    <row r="77" spans="3:25" x14ac:dyDescent="0.3">
      <c r="C77" s="52" t="str">
        <f>'G-1 All Habitats'!B80</f>
        <v>Individual trees - Urban tree</v>
      </c>
      <c r="D77" s="331" t="s">
        <v>1606</v>
      </c>
      <c r="E77" s="331" t="s">
        <v>1606</v>
      </c>
      <c r="F77" s="331" t="s">
        <v>1606</v>
      </c>
      <c r="G77" s="331" t="s">
        <v>1606</v>
      </c>
      <c r="H77" s="331" t="s">
        <v>1606</v>
      </c>
      <c r="I77" s="331" t="s">
        <v>1606</v>
      </c>
      <c r="J77" s="331" t="s">
        <v>1606</v>
      </c>
      <c r="K77" s="331" t="s">
        <v>1606</v>
      </c>
      <c r="L77" s="331" t="s">
        <v>1606</v>
      </c>
      <c r="M77" s="331" t="s">
        <v>1606</v>
      </c>
      <c r="N77" s="331" t="s">
        <v>1606</v>
      </c>
      <c r="O77" s="331">
        <v>8</v>
      </c>
      <c r="P77" s="331">
        <v>16</v>
      </c>
      <c r="Q77" s="331">
        <v>24</v>
      </c>
      <c r="R77" s="331" t="s">
        <v>868</v>
      </c>
      <c r="S77" s="331">
        <v>8</v>
      </c>
      <c r="T77" s="331">
        <v>16</v>
      </c>
      <c r="U77" s="331">
        <v>24</v>
      </c>
      <c r="V77" s="331">
        <v>8</v>
      </c>
      <c r="W77" s="331">
        <v>16</v>
      </c>
      <c r="X77" s="331">
        <v>8</v>
      </c>
      <c r="Y77" s="331" t="s">
        <v>1606</v>
      </c>
    </row>
    <row r="78" spans="3:25" x14ac:dyDescent="0.3">
      <c r="C78" s="52" t="str">
        <f>'G-1 All Habitats'!B75</f>
        <v>Urban - Sustainable drainage system</v>
      </c>
      <c r="D78" s="331" t="s">
        <v>1606</v>
      </c>
      <c r="E78" s="331" t="s">
        <v>1606</v>
      </c>
      <c r="F78" s="331">
        <v>1</v>
      </c>
      <c r="G78" s="331">
        <v>2</v>
      </c>
      <c r="H78" s="331">
        <v>3</v>
      </c>
      <c r="I78" s="331">
        <v>4</v>
      </c>
      <c r="J78" s="331">
        <v>5</v>
      </c>
      <c r="K78" s="331" t="s">
        <v>1606</v>
      </c>
      <c r="L78" s="331" t="s">
        <v>1606</v>
      </c>
      <c r="M78" s="331" t="s">
        <v>1606</v>
      </c>
      <c r="N78" s="331" t="s">
        <v>1606</v>
      </c>
      <c r="O78" s="331">
        <v>1</v>
      </c>
      <c r="P78" s="331">
        <v>2</v>
      </c>
      <c r="Q78" s="331">
        <v>3</v>
      </c>
      <c r="R78" s="331">
        <v>5</v>
      </c>
      <c r="S78" s="331">
        <v>1</v>
      </c>
      <c r="T78" s="331">
        <v>2</v>
      </c>
      <c r="U78" s="331">
        <v>3</v>
      </c>
      <c r="V78" s="331">
        <v>1</v>
      </c>
      <c r="W78" s="331">
        <v>2</v>
      </c>
      <c r="X78" s="331">
        <v>1</v>
      </c>
      <c r="Y78" s="331" t="s">
        <v>1606</v>
      </c>
    </row>
    <row r="79" spans="3:25" x14ac:dyDescent="0.3">
      <c r="C79" s="52" t="str">
        <f>'G-1 All Habitats'!B76</f>
        <v>Urban - Unvegetated garden</v>
      </c>
      <c r="D79" s="331" t="s">
        <v>1606</v>
      </c>
      <c r="E79" s="331" t="s">
        <v>1606</v>
      </c>
      <c r="F79" s="331" t="s">
        <v>1606</v>
      </c>
      <c r="G79" s="331" t="s">
        <v>1606</v>
      </c>
      <c r="H79" s="331" t="s">
        <v>1606</v>
      </c>
      <c r="I79" s="331" t="s">
        <v>1606</v>
      </c>
      <c r="J79" s="331" t="s">
        <v>1606</v>
      </c>
      <c r="K79" s="331" t="s">
        <v>1606</v>
      </c>
      <c r="L79" s="331" t="s">
        <v>1606</v>
      </c>
      <c r="M79" s="331" t="s">
        <v>1606</v>
      </c>
      <c r="N79" s="331" t="s">
        <v>1606</v>
      </c>
      <c r="O79" s="331" t="s">
        <v>1606</v>
      </c>
      <c r="P79" s="331" t="s">
        <v>1606</v>
      </c>
      <c r="Q79" s="331" t="s">
        <v>1606</v>
      </c>
      <c r="R79" s="331" t="s">
        <v>1606</v>
      </c>
      <c r="S79" s="331" t="s">
        <v>1606</v>
      </c>
      <c r="T79" s="331" t="s">
        <v>1606</v>
      </c>
      <c r="U79" s="331" t="s">
        <v>1606</v>
      </c>
      <c r="V79" s="331" t="s">
        <v>1606</v>
      </c>
      <c r="W79" s="331" t="s">
        <v>1606</v>
      </c>
      <c r="X79" s="331" t="s">
        <v>1606</v>
      </c>
      <c r="Y79" s="331" t="s">
        <v>1606</v>
      </c>
    </row>
    <row r="80" spans="3:25" x14ac:dyDescent="0.3">
      <c r="C80" s="52" t="str">
        <f>'G-1 All Habitats'!B77</f>
        <v>Urban - Vacant or derelict land</v>
      </c>
      <c r="D80" s="331" t="s">
        <v>1606</v>
      </c>
      <c r="E80" s="331" t="s">
        <v>1606</v>
      </c>
      <c r="F80" s="331">
        <v>1</v>
      </c>
      <c r="G80" s="331">
        <v>1</v>
      </c>
      <c r="H80" s="331">
        <v>1</v>
      </c>
      <c r="I80" s="331">
        <v>1</v>
      </c>
      <c r="J80" s="331">
        <v>1</v>
      </c>
      <c r="K80" s="331" t="s">
        <v>1606</v>
      </c>
      <c r="L80" s="331" t="s">
        <v>1606</v>
      </c>
      <c r="M80" s="331" t="s">
        <v>1606</v>
      </c>
      <c r="N80" s="331" t="s">
        <v>1606</v>
      </c>
      <c r="O80" s="331">
        <v>1</v>
      </c>
      <c r="P80" s="331">
        <v>1</v>
      </c>
      <c r="Q80" s="331">
        <v>1</v>
      </c>
      <c r="R80" s="331">
        <v>1</v>
      </c>
      <c r="S80" s="331">
        <v>1</v>
      </c>
      <c r="T80" s="331">
        <v>1</v>
      </c>
      <c r="U80" s="331">
        <v>1</v>
      </c>
      <c r="V80" s="331">
        <v>1</v>
      </c>
      <c r="W80" s="331">
        <v>1</v>
      </c>
      <c r="X80" s="331">
        <v>1</v>
      </c>
      <c r="Y80" s="331" t="s">
        <v>1606</v>
      </c>
    </row>
    <row r="81" spans="3:25" x14ac:dyDescent="0.3">
      <c r="C81" s="52" t="s">
        <v>559</v>
      </c>
      <c r="D81" s="331" t="s">
        <v>1606</v>
      </c>
      <c r="E81" s="331" t="s">
        <v>1606</v>
      </c>
      <c r="F81" s="331">
        <v>1</v>
      </c>
      <c r="G81" s="331">
        <v>1</v>
      </c>
      <c r="H81" s="331">
        <v>1</v>
      </c>
      <c r="I81" s="331">
        <v>1</v>
      </c>
      <c r="J81" s="331">
        <v>1</v>
      </c>
      <c r="K81" s="331" t="s">
        <v>1606</v>
      </c>
      <c r="L81" s="331" t="s">
        <v>1606</v>
      </c>
      <c r="M81" s="331" t="s">
        <v>1606</v>
      </c>
      <c r="N81" s="331" t="s">
        <v>1606</v>
      </c>
      <c r="O81" s="331">
        <v>1</v>
      </c>
      <c r="P81" s="331">
        <v>1</v>
      </c>
      <c r="Q81" s="331">
        <v>1</v>
      </c>
      <c r="R81" s="331">
        <v>1</v>
      </c>
      <c r="S81" s="331">
        <v>1</v>
      </c>
      <c r="T81" s="331">
        <v>1</v>
      </c>
      <c r="U81" s="331">
        <v>1</v>
      </c>
      <c r="V81" s="331">
        <v>1</v>
      </c>
      <c r="W81" s="331">
        <v>1</v>
      </c>
      <c r="X81" s="331">
        <v>1</v>
      </c>
      <c r="Y81" s="331" t="s">
        <v>1606</v>
      </c>
    </row>
    <row r="82" spans="3:25" x14ac:dyDescent="0.3">
      <c r="C82" s="52" t="str">
        <f>'G-1 All Habitats'!B79</f>
        <v>Urban - Vegetated garden</v>
      </c>
      <c r="D82" s="331" t="s">
        <v>1606</v>
      </c>
      <c r="E82" s="331" t="s">
        <v>1606</v>
      </c>
      <c r="F82" s="331">
        <v>1</v>
      </c>
      <c r="G82" s="331">
        <v>2</v>
      </c>
      <c r="H82" s="331">
        <v>3</v>
      </c>
      <c r="I82" s="331">
        <v>4</v>
      </c>
      <c r="J82" s="331">
        <v>5</v>
      </c>
      <c r="K82" s="331" t="s">
        <v>1606</v>
      </c>
      <c r="L82" s="331" t="s">
        <v>1606</v>
      </c>
      <c r="M82" s="331" t="s">
        <v>1606</v>
      </c>
      <c r="N82" s="331" t="s">
        <v>1606</v>
      </c>
      <c r="O82" s="331">
        <v>1</v>
      </c>
      <c r="P82" s="331">
        <v>2</v>
      </c>
      <c r="Q82" s="331">
        <v>3</v>
      </c>
      <c r="R82" s="331">
        <v>5</v>
      </c>
      <c r="S82" s="331">
        <v>1</v>
      </c>
      <c r="T82" s="331">
        <v>2</v>
      </c>
      <c r="U82" s="331">
        <v>3</v>
      </c>
      <c r="V82" s="331">
        <v>1</v>
      </c>
      <c r="W82" s="331">
        <v>2</v>
      </c>
      <c r="X82" s="331">
        <v>1</v>
      </c>
      <c r="Y82" s="331" t="s">
        <v>1606</v>
      </c>
    </row>
    <row r="83" spans="3:25" x14ac:dyDescent="0.3">
      <c r="C83" s="52" t="str">
        <f>'G-1 All Habitats'!B82</f>
        <v>Wetland - Blanket bog</v>
      </c>
      <c r="D83" s="331" t="s">
        <v>1606</v>
      </c>
      <c r="E83" s="331" t="s">
        <v>1606</v>
      </c>
      <c r="F83" s="331">
        <v>15</v>
      </c>
      <c r="G83" s="331">
        <v>25</v>
      </c>
      <c r="H83" s="331">
        <v>30</v>
      </c>
      <c r="I83" s="331" t="s">
        <v>868</v>
      </c>
      <c r="J83" s="331" t="s">
        <v>868</v>
      </c>
      <c r="K83" s="331" t="s">
        <v>1606</v>
      </c>
      <c r="L83" s="331" t="s">
        <v>1606</v>
      </c>
      <c r="M83" s="331" t="s">
        <v>1606</v>
      </c>
      <c r="N83" s="331" t="s">
        <v>1606</v>
      </c>
      <c r="O83" s="331">
        <v>10</v>
      </c>
      <c r="P83" s="331">
        <v>20</v>
      </c>
      <c r="Q83" s="331" t="s">
        <v>868</v>
      </c>
      <c r="R83" s="331">
        <v>30</v>
      </c>
      <c r="S83" s="331">
        <v>10</v>
      </c>
      <c r="T83" s="331" t="s">
        <v>868</v>
      </c>
      <c r="U83" s="331" t="s">
        <v>868</v>
      </c>
      <c r="V83" s="331">
        <v>30</v>
      </c>
      <c r="W83" s="331" t="s">
        <v>868</v>
      </c>
      <c r="X83" s="331">
        <v>30</v>
      </c>
      <c r="Y83" s="331" t="s">
        <v>1606</v>
      </c>
    </row>
    <row r="84" spans="3:25" x14ac:dyDescent="0.3">
      <c r="C84" s="52" t="str">
        <f>'G-1 All Habitats'!B83</f>
        <v>Wetland - Depressions on peat substrates (H7150)</v>
      </c>
      <c r="D84" s="331" t="s">
        <v>1606</v>
      </c>
      <c r="E84" s="331" t="s">
        <v>1606</v>
      </c>
      <c r="F84" s="331">
        <v>15</v>
      </c>
      <c r="G84" s="331">
        <v>25</v>
      </c>
      <c r="H84" s="331">
        <v>30</v>
      </c>
      <c r="I84" s="331" t="s">
        <v>868</v>
      </c>
      <c r="J84" s="331" t="s">
        <v>868</v>
      </c>
      <c r="K84" s="331" t="s">
        <v>1606</v>
      </c>
      <c r="L84" s="331" t="s">
        <v>1606</v>
      </c>
      <c r="M84" s="331" t="s">
        <v>1606</v>
      </c>
      <c r="N84" s="331" t="s">
        <v>1606</v>
      </c>
      <c r="O84" s="331">
        <v>10</v>
      </c>
      <c r="P84" s="331">
        <v>20</v>
      </c>
      <c r="Q84" s="331">
        <v>25</v>
      </c>
      <c r="R84" s="331">
        <v>30</v>
      </c>
      <c r="S84" s="331">
        <v>10</v>
      </c>
      <c r="T84" s="331">
        <v>20</v>
      </c>
      <c r="U84" s="331">
        <v>25</v>
      </c>
      <c r="V84" s="331">
        <v>10</v>
      </c>
      <c r="W84" s="331">
        <v>20</v>
      </c>
      <c r="X84" s="331">
        <v>10</v>
      </c>
      <c r="Y84" s="331" t="s">
        <v>1606</v>
      </c>
    </row>
    <row r="85" spans="3:25" x14ac:dyDescent="0.3">
      <c r="C85" s="52" t="str">
        <f>'G-1 All Habitats'!B84</f>
        <v>Wetland - Fens (upland and lowland)</v>
      </c>
      <c r="D85" s="331" t="s">
        <v>1606</v>
      </c>
      <c r="E85" s="331" t="s">
        <v>1606</v>
      </c>
      <c r="F85" s="331">
        <v>10</v>
      </c>
      <c r="G85" s="331">
        <v>12</v>
      </c>
      <c r="H85" s="331">
        <v>15</v>
      </c>
      <c r="I85" s="331">
        <v>25</v>
      </c>
      <c r="J85" s="331">
        <v>30</v>
      </c>
      <c r="K85" s="331" t="s">
        <v>1606</v>
      </c>
      <c r="L85" s="331" t="s">
        <v>1606</v>
      </c>
      <c r="M85" s="331" t="s">
        <v>1606</v>
      </c>
      <c r="N85" s="331" t="s">
        <v>1606</v>
      </c>
      <c r="O85" s="331">
        <v>10</v>
      </c>
      <c r="P85" s="331">
        <v>12</v>
      </c>
      <c r="Q85" s="331">
        <v>15</v>
      </c>
      <c r="R85" s="331">
        <v>18</v>
      </c>
      <c r="S85" s="331">
        <v>10</v>
      </c>
      <c r="T85" s="331">
        <v>12</v>
      </c>
      <c r="U85" s="331">
        <v>15</v>
      </c>
      <c r="V85" s="331">
        <v>10</v>
      </c>
      <c r="W85" s="331">
        <v>12</v>
      </c>
      <c r="X85" s="331">
        <v>10</v>
      </c>
      <c r="Y85" s="331" t="s">
        <v>1606</v>
      </c>
    </row>
    <row r="86" spans="3:25" x14ac:dyDescent="0.3">
      <c r="C86" s="52" t="str">
        <f>'G-1 All Habitats'!B85</f>
        <v>Wetland - Lowland raised bog</v>
      </c>
      <c r="D86" s="331" t="s">
        <v>1606</v>
      </c>
      <c r="E86" s="331" t="s">
        <v>1606</v>
      </c>
      <c r="F86" s="331">
        <v>15</v>
      </c>
      <c r="G86" s="331">
        <v>20</v>
      </c>
      <c r="H86" s="331">
        <v>30</v>
      </c>
      <c r="I86" s="331" t="s">
        <v>868</v>
      </c>
      <c r="J86" s="331" t="s">
        <v>868</v>
      </c>
      <c r="K86" s="331" t="s">
        <v>1606</v>
      </c>
      <c r="L86" s="331" t="s">
        <v>1606</v>
      </c>
      <c r="M86" s="331" t="s">
        <v>1606</v>
      </c>
      <c r="N86" s="331" t="s">
        <v>1606</v>
      </c>
      <c r="O86" s="331">
        <v>10</v>
      </c>
      <c r="P86" s="331">
        <v>20</v>
      </c>
      <c r="Q86" s="331">
        <v>25</v>
      </c>
      <c r="R86" s="331">
        <v>30</v>
      </c>
      <c r="S86" s="331">
        <v>10</v>
      </c>
      <c r="T86" s="331">
        <v>20</v>
      </c>
      <c r="U86" s="331">
        <v>20</v>
      </c>
      <c r="V86" s="331">
        <v>10</v>
      </c>
      <c r="W86" s="331">
        <v>15</v>
      </c>
      <c r="X86" s="331">
        <v>10</v>
      </c>
      <c r="Y86" s="331" t="s">
        <v>1606</v>
      </c>
    </row>
    <row r="87" spans="3:25" x14ac:dyDescent="0.3">
      <c r="C87" s="52" t="str">
        <f>'G-1 All Habitats'!B86</f>
        <v>Wetland - Oceanic valley mire[1] (D2.1)</v>
      </c>
      <c r="D87" s="331" t="s">
        <v>1606</v>
      </c>
      <c r="E87" s="331" t="s">
        <v>1606</v>
      </c>
      <c r="F87" s="331">
        <v>15</v>
      </c>
      <c r="G87" s="331">
        <v>20</v>
      </c>
      <c r="H87" s="331">
        <v>30</v>
      </c>
      <c r="I87" s="331" t="s">
        <v>868</v>
      </c>
      <c r="J87" s="331" t="s">
        <v>868</v>
      </c>
      <c r="K87" s="331" t="s">
        <v>1606</v>
      </c>
      <c r="L87" s="331" t="s">
        <v>1606</v>
      </c>
      <c r="M87" s="331" t="s">
        <v>1606</v>
      </c>
      <c r="N87" s="331" t="s">
        <v>1606</v>
      </c>
      <c r="O87" s="331">
        <v>10</v>
      </c>
      <c r="P87" s="331">
        <v>20</v>
      </c>
      <c r="Q87" s="331">
        <v>25</v>
      </c>
      <c r="R87" s="331">
        <v>30</v>
      </c>
      <c r="S87" s="331">
        <v>10</v>
      </c>
      <c r="T87" s="331">
        <v>20</v>
      </c>
      <c r="U87" s="331">
        <v>20</v>
      </c>
      <c r="V87" s="331">
        <v>10</v>
      </c>
      <c r="W87" s="331">
        <v>15</v>
      </c>
      <c r="X87" s="331">
        <v>10</v>
      </c>
      <c r="Y87" s="331" t="s">
        <v>1606</v>
      </c>
    </row>
    <row r="88" spans="3:25" x14ac:dyDescent="0.3">
      <c r="C88" s="52" t="str">
        <f>'G-1 All Habitats'!B87</f>
        <v>Wetland - Purple moor grass and rush pastures</v>
      </c>
      <c r="D88" s="331" t="s">
        <v>1606</v>
      </c>
      <c r="E88" s="331" t="s">
        <v>1606</v>
      </c>
      <c r="F88" s="331">
        <v>10</v>
      </c>
      <c r="G88" s="331">
        <v>12</v>
      </c>
      <c r="H88" s="331">
        <v>15</v>
      </c>
      <c r="I88" s="331">
        <v>17</v>
      </c>
      <c r="J88" s="331">
        <v>20</v>
      </c>
      <c r="K88" s="331" t="s">
        <v>1606</v>
      </c>
      <c r="L88" s="331" t="s">
        <v>1606</v>
      </c>
      <c r="M88" s="331" t="s">
        <v>1606</v>
      </c>
      <c r="N88" s="331" t="s">
        <v>1606</v>
      </c>
      <c r="O88" s="331">
        <v>10</v>
      </c>
      <c r="P88" s="331">
        <v>10</v>
      </c>
      <c r="Q88" s="331">
        <v>15</v>
      </c>
      <c r="R88" s="331">
        <v>20</v>
      </c>
      <c r="S88" s="331">
        <v>10</v>
      </c>
      <c r="T88" s="331">
        <v>15</v>
      </c>
      <c r="U88" s="331">
        <v>20</v>
      </c>
      <c r="V88" s="331">
        <v>10</v>
      </c>
      <c r="W88" s="331">
        <v>15</v>
      </c>
      <c r="X88" s="331">
        <v>10</v>
      </c>
      <c r="Y88" s="331" t="s">
        <v>1606</v>
      </c>
    </row>
    <row r="89" spans="3:25" x14ac:dyDescent="0.3">
      <c r="C89" s="52" t="str">
        <f>'G-1 All Habitats'!B88</f>
        <v>Wetland - Reedbeds</v>
      </c>
      <c r="D89" s="331" t="s">
        <v>1606</v>
      </c>
      <c r="E89" s="331" t="s">
        <v>1606</v>
      </c>
      <c r="F89" s="331">
        <v>5</v>
      </c>
      <c r="G89" s="331">
        <v>7</v>
      </c>
      <c r="H89" s="331">
        <v>10</v>
      </c>
      <c r="I89" s="331">
        <v>12</v>
      </c>
      <c r="J89" s="331">
        <v>15</v>
      </c>
      <c r="K89" s="331" t="s">
        <v>1606</v>
      </c>
      <c r="L89" s="331" t="s">
        <v>1606</v>
      </c>
      <c r="M89" s="331" t="s">
        <v>1606</v>
      </c>
      <c r="N89" s="331" t="s">
        <v>1606</v>
      </c>
      <c r="O89" s="331">
        <v>5</v>
      </c>
      <c r="P89" s="331">
        <v>7</v>
      </c>
      <c r="Q89" s="331">
        <v>10</v>
      </c>
      <c r="R89" s="331">
        <v>12</v>
      </c>
      <c r="S89" s="331">
        <v>5</v>
      </c>
      <c r="T89" s="331">
        <v>7</v>
      </c>
      <c r="U89" s="331">
        <v>10</v>
      </c>
      <c r="V89" s="331">
        <v>5</v>
      </c>
      <c r="W89" s="331">
        <v>7</v>
      </c>
      <c r="X89" s="331">
        <v>5</v>
      </c>
      <c r="Y89" s="331" t="s">
        <v>1606</v>
      </c>
    </row>
    <row r="90" spans="3:25" x14ac:dyDescent="0.3">
      <c r="C90" s="52" t="str">
        <f>'G-1 All Habitats'!B89</f>
        <v>Wetland - Transition mires and quaking bogs (H7140)</v>
      </c>
      <c r="D90" s="331" t="s">
        <v>1606</v>
      </c>
      <c r="E90" s="331" t="s">
        <v>1606</v>
      </c>
      <c r="F90" s="331">
        <v>15</v>
      </c>
      <c r="G90" s="331">
        <v>25</v>
      </c>
      <c r="H90" s="331">
        <v>30</v>
      </c>
      <c r="I90" s="331" t="s">
        <v>868</v>
      </c>
      <c r="J90" s="331" t="s">
        <v>868</v>
      </c>
      <c r="K90" s="331" t="s">
        <v>1606</v>
      </c>
      <c r="L90" s="331" t="s">
        <v>1606</v>
      </c>
      <c r="M90" s="331" t="s">
        <v>1606</v>
      </c>
      <c r="N90" s="331" t="s">
        <v>1606</v>
      </c>
      <c r="O90" s="331">
        <v>10</v>
      </c>
      <c r="P90" s="331">
        <v>20</v>
      </c>
      <c r="Q90" s="331">
        <v>25</v>
      </c>
      <c r="R90" s="331">
        <v>30</v>
      </c>
      <c r="S90" s="331">
        <v>10</v>
      </c>
      <c r="T90" s="331">
        <v>20</v>
      </c>
      <c r="U90" s="331">
        <v>20</v>
      </c>
      <c r="V90" s="331">
        <v>10</v>
      </c>
      <c r="W90" s="331">
        <v>15</v>
      </c>
      <c r="X90" s="331">
        <v>10</v>
      </c>
      <c r="Y90" s="331" t="s">
        <v>1606</v>
      </c>
    </row>
    <row r="91" spans="3:25" x14ac:dyDescent="0.3">
      <c r="C91" s="52" t="str">
        <f>'G-1 All Habitats'!B90</f>
        <v>Woodland and forest - Felled</v>
      </c>
      <c r="D91" s="331" t="s">
        <v>1606</v>
      </c>
      <c r="E91" s="331" t="s">
        <v>1606</v>
      </c>
      <c r="F91" s="331" t="s">
        <v>1606</v>
      </c>
      <c r="G91" s="331" t="s">
        <v>1606</v>
      </c>
      <c r="H91" s="331" t="s">
        <v>1606</v>
      </c>
      <c r="I91" s="331" t="s">
        <v>1606</v>
      </c>
      <c r="J91" s="331" t="s">
        <v>1606</v>
      </c>
      <c r="K91" s="331" t="s">
        <v>1606</v>
      </c>
      <c r="L91" s="331" t="s">
        <v>1606</v>
      </c>
      <c r="M91" s="331" t="s">
        <v>1606</v>
      </c>
      <c r="N91" s="331" t="s">
        <v>1606</v>
      </c>
      <c r="O91" s="331" t="s">
        <v>1606</v>
      </c>
      <c r="P91" s="331" t="s">
        <v>1606</v>
      </c>
      <c r="Q91" s="331" t="s">
        <v>1606</v>
      </c>
      <c r="R91" s="331" t="s">
        <v>1606</v>
      </c>
      <c r="S91" s="331" t="s">
        <v>1606</v>
      </c>
      <c r="T91" s="331" t="s">
        <v>1606</v>
      </c>
      <c r="U91" s="331" t="s">
        <v>1606</v>
      </c>
      <c r="V91" s="331" t="s">
        <v>1606</v>
      </c>
      <c r="W91" s="331" t="s">
        <v>1606</v>
      </c>
      <c r="X91" s="331" t="s">
        <v>1606</v>
      </c>
      <c r="Y91" s="331" t="s">
        <v>1606</v>
      </c>
    </row>
    <row r="92" spans="3:25" x14ac:dyDescent="0.3">
      <c r="C92" s="52" t="str">
        <f>'G-1 All Habitats'!B91</f>
        <v>Woodland and forest - Lowland beech and yew woodland</v>
      </c>
      <c r="D92" s="331" t="s">
        <v>1606</v>
      </c>
      <c r="E92" s="331" t="s">
        <v>1606</v>
      </c>
      <c r="F92" s="331">
        <v>10</v>
      </c>
      <c r="G92" s="331">
        <v>25</v>
      </c>
      <c r="H92" s="331" t="s">
        <v>868</v>
      </c>
      <c r="I92" s="331" t="s">
        <v>868</v>
      </c>
      <c r="J92" s="331" t="s">
        <v>868</v>
      </c>
      <c r="K92" s="331" t="s">
        <v>1606</v>
      </c>
      <c r="L92" s="331" t="s">
        <v>1606</v>
      </c>
      <c r="M92" s="331" t="s">
        <v>1606</v>
      </c>
      <c r="N92" s="331" t="s">
        <v>1606</v>
      </c>
      <c r="O92" s="331">
        <v>25</v>
      </c>
      <c r="P92" s="331" t="s">
        <v>868</v>
      </c>
      <c r="Q92" s="331" t="s">
        <v>868</v>
      </c>
      <c r="R92" s="331" t="s">
        <v>868</v>
      </c>
      <c r="S92" s="331" t="s">
        <v>868</v>
      </c>
      <c r="T92" s="331" t="s">
        <v>868</v>
      </c>
      <c r="U92" s="331" t="s">
        <v>868</v>
      </c>
      <c r="V92" s="331" t="s">
        <v>868</v>
      </c>
      <c r="W92" s="331" t="s">
        <v>868</v>
      </c>
      <c r="X92" s="331" t="s">
        <v>868</v>
      </c>
      <c r="Y92" s="331" t="s">
        <v>1606</v>
      </c>
    </row>
    <row r="93" spans="3:25" x14ac:dyDescent="0.3">
      <c r="C93" s="52" t="str">
        <f>'G-1 All Habitats'!B92</f>
        <v>Woodland and forest - Lowland mixed deciduous woodland</v>
      </c>
      <c r="D93" s="331" t="s">
        <v>1606</v>
      </c>
      <c r="E93" s="331" t="s">
        <v>1606</v>
      </c>
      <c r="F93" s="331">
        <v>10</v>
      </c>
      <c r="G93" s="331">
        <v>25</v>
      </c>
      <c r="H93" s="331" t="s">
        <v>868</v>
      </c>
      <c r="I93" s="331" t="s">
        <v>868</v>
      </c>
      <c r="J93" s="331" t="s">
        <v>868</v>
      </c>
      <c r="K93" s="331" t="s">
        <v>1606</v>
      </c>
      <c r="L93" s="331" t="s">
        <v>1606</v>
      </c>
      <c r="M93" s="331" t="s">
        <v>1606</v>
      </c>
      <c r="N93" s="331" t="s">
        <v>1606</v>
      </c>
      <c r="O93" s="331">
        <v>10</v>
      </c>
      <c r="P93" s="331">
        <v>20</v>
      </c>
      <c r="Q93" s="331">
        <v>25</v>
      </c>
      <c r="R93" s="331" t="s">
        <v>868</v>
      </c>
      <c r="S93" s="331">
        <v>10</v>
      </c>
      <c r="T93" s="331">
        <v>20</v>
      </c>
      <c r="U93" s="331">
        <v>25</v>
      </c>
      <c r="V93" s="331">
        <v>10</v>
      </c>
      <c r="W93" s="331">
        <v>20</v>
      </c>
      <c r="X93" s="331">
        <v>10</v>
      </c>
      <c r="Y93" s="331" t="s">
        <v>1606</v>
      </c>
    </row>
    <row r="94" spans="3:25" x14ac:dyDescent="0.3">
      <c r="C94" s="52" t="str">
        <f>'G-1 All Habitats'!B93</f>
        <v>Woodland and forest - Native pine woodlands</v>
      </c>
      <c r="D94" s="331" t="s">
        <v>1606</v>
      </c>
      <c r="E94" s="331" t="s">
        <v>1606</v>
      </c>
      <c r="F94" s="331">
        <v>25</v>
      </c>
      <c r="G94" s="331">
        <v>30</v>
      </c>
      <c r="H94" s="331" t="s">
        <v>868</v>
      </c>
      <c r="I94" s="331" t="s">
        <v>868</v>
      </c>
      <c r="J94" s="331" t="s">
        <v>868</v>
      </c>
      <c r="K94" s="331" t="s">
        <v>1606</v>
      </c>
      <c r="L94" s="331" t="s">
        <v>1606</v>
      </c>
      <c r="M94" s="331" t="s">
        <v>1606</v>
      </c>
      <c r="N94" s="331" t="s">
        <v>1606</v>
      </c>
      <c r="O94" s="331">
        <v>10</v>
      </c>
      <c r="P94" s="331">
        <v>15</v>
      </c>
      <c r="Q94" s="331">
        <v>20</v>
      </c>
      <c r="R94" s="331" t="s">
        <v>868</v>
      </c>
      <c r="S94" s="331">
        <v>15</v>
      </c>
      <c r="T94" s="331">
        <v>20</v>
      </c>
      <c r="U94" s="331">
        <v>25</v>
      </c>
      <c r="V94" s="331">
        <v>10</v>
      </c>
      <c r="W94" s="331">
        <v>15</v>
      </c>
      <c r="X94" s="331">
        <v>10</v>
      </c>
      <c r="Y94" s="331" t="s">
        <v>1606</v>
      </c>
    </row>
    <row r="95" spans="3:25" x14ac:dyDescent="0.3">
      <c r="C95" s="52" t="str">
        <f>'G-1 All Habitats'!B94</f>
        <v>Woodland and forest - Other coniferous woodland</v>
      </c>
      <c r="D95" s="331" t="s">
        <v>1606</v>
      </c>
      <c r="E95" s="331" t="s">
        <v>1606</v>
      </c>
      <c r="F95" s="331" t="s">
        <v>1606</v>
      </c>
      <c r="G95" s="331" t="s">
        <v>1606</v>
      </c>
      <c r="H95" s="331" t="s">
        <v>1606</v>
      </c>
      <c r="I95" s="331" t="s">
        <v>1606</v>
      </c>
      <c r="J95" s="331" t="s">
        <v>1606</v>
      </c>
      <c r="K95" s="331" t="s">
        <v>1606</v>
      </c>
      <c r="L95" s="331" t="s">
        <v>1606</v>
      </c>
      <c r="M95" s="331" t="s">
        <v>1606</v>
      </c>
      <c r="N95" s="331" t="s">
        <v>1606</v>
      </c>
      <c r="O95" s="331">
        <v>5</v>
      </c>
      <c r="P95" s="331">
        <v>25</v>
      </c>
      <c r="Q95" s="331" t="s">
        <v>868</v>
      </c>
      <c r="R95" s="331" t="s">
        <v>868</v>
      </c>
      <c r="S95" s="331">
        <v>20</v>
      </c>
      <c r="T95" s="331">
        <v>15</v>
      </c>
      <c r="U95" s="331">
        <v>25</v>
      </c>
      <c r="V95" s="331">
        <v>5</v>
      </c>
      <c r="W95" s="331">
        <v>7</v>
      </c>
      <c r="X95" s="331">
        <v>10</v>
      </c>
      <c r="Y95" s="331" t="s">
        <v>1606</v>
      </c>
    </row>
    <row r="96" spans="3:25" x14ac:dyDescent="0.3">
      <c r="C96" s="52" t="str">
        <f>'G-1 All Habitats'!B95</f>
        <v>Woodland and forest - Other Scot's pine woodland</v>
      </c>
      <c r="D96" s="331" t="s">
        <v>1606</v>
      </c>
      <c r="E96" s="331" t="s">
        <v>1606</v>
      </c>
      <c r="F96" s="331">
        <v>20</v>
      </c>
      <c r="G96" s="331">
        <v>25</v>
      </c>
      <c r="H96" s="331" t="s">
        <v>868</v>
      </c>
      <c r="I96" s="331" t="s">
        <v>868</v>
      </c>
      <c r="J96" s="331" t="s">
        <v>868</v>
      </c>
      <c r="K96" s="331" t="s">
        <v>1606</v>
      </c>
      <c r="L96" s="331" t="s">
        <v>1606</v>
      </c>
      <c r="M96" s="331" t="s">
        <v>1606</v>
      </c>
      <c r="N96" s="331" t="s">
        <v>1606</v>
      </c>
      <c r="O96" s="331">
        <v>10</v>
      </c>
      <c r="P96" s="331">
        <v>15</v>
      </c>
      <c r="Q96" s="331">
        <v>20</v>
      </c>
      <c r="R96" s="331" t="s">
        <v>868</v>
      </c>
      <c r="S96" s="331">
        <v>15</v>
      </c>
      <c r="T96" s="331">
        <v>20</v>
      </c>
      <c r="U96" s="331">
        <v>25</v>
      </c>
      <c r="V96" s="331">
        <v>10</v>
      </c>
      <c r="W96" s="331">
        <v>15</v>
      </c>
      <c r="X96" s="331">
        <v>10</v>
      </c>
      <c r="Y96" s="331" t="s">
        <v>1606</v>
      </c>
    </row>
    <row r="97" spans="3:25" x14ac:dyDescent="0.3">
      <c r="C97" s="52" t="str">
        <f>'G-1 All Habitats'!B96</f>
        <v>Woodland and forest - Other woodland; broadleaved</v>
      </c>
      <c r="D97" s="331" t="s">
        <v>1606</v>
      </c>
      <c r="E97" s="331" t="s">
        <v>1606</v>
      </c>
      <c r="F97" s="331">
        <v>5</v>
      </c>
      <c r="G97" s="331">
        <v>10</v>
      </c>
      <c r="H97" s="331">
        <v>15</v>
      </c>
      <c r="I97" s="331">
        <v>20</v>
      </c>
      <c r="J97" s="331">
        <v>25</v>
      </c>
      <c r="K97" s="331" t="s">
        <v>1606</v>
      </c>
      <c r="L97" s="331" t="s">
        <v>1606</v>
      </c>
      <c r="M97" s="331" t="s">
        <v>1606</v>
      </c>
      <c r="N97" s="331" t="s">
        <v>1606</v>
      </c>
      <c r="O97" s="331">
        <v>5</v>
      </c>
      <c r="P97" s="331">
        <v>10</v>
      </c>
      <c r="Q97" s="331">
        <v>15</v>
      </c>
      <c r="R97" s="331">
        <v>20</v>
      </c>
      <c r="S97" s="331">
        <v>5</v>
      </c>
      <c r="T97" s="331">
        <v>10</v>
      </c>
      <c r="U97" s="331">
        <v>15</v>
      </c>
      <c r="V97" s="331">
        <v>5</v>
      </c>
      <c r="W97" s="331">
        <v>10</v>
      </c>
      <c r="X97" s="331">
        <v>5</v>
      </c>
      <c r="Y97" s="331" t="s">
        <v>1606</v>
      </c>
    </row>
    <row r="98" spans="3:25" x14ac:dyDescent="0.3">
      <c r="C98" s="52" t="str">
        <f>'G-1 All Habitats'!B97</f>
        <v>Woodland and forest - Other woodland; mixed</v>
      </c>
      <c r="D98" s="331" t="s">
        <v>1606</v>
      </c>
      <c r="E98" s="331" t="s">
        <v>1606</v>
      </c>
      <c r="F98" s="331">
        <v>5</v>
      </c>
      <c r="G98" s="331">
        <v>10</v>
      </c>
      <c r="H98" s="331">
        <v>15</v>
      </c>
      <c r="I98" s="331">
        <v>20</v>
      </c>
      <c r="J98" s="331">
        <v>25</v>
      </c>
      <c r="K98" s="331" t="s">
        <v>1606</v>
      </c>
      <c r="L98" s="331" t="s">
        <v>1606</v>
      </c>
      <c r="M98" s="331" t="s">
        <v>1606</v>
      </c>
      <c r="N98" s="331" t="s">
        <v>1606</v>
      </c>
      <c r="O98" s="331">
        <v>5</v>
      </c>
      <c r="P98" s="331">
        <v>10</v>
      </c>
      <c r="Q98" s="331">
        <v>15</v>
      </c>
      <c r="R98" s="331">
        <v>20</v>
      </c>
      <c r="S98" s="331">
        <v>5</v>
      </c>
      <c r="T98" s="331">
        <v>10</v>
      </c>
      <c r="U98" s="331">
        <v>15</v>
      </c>
      <c r="V98" s="331">
        <v>5</v>
      </c>
      <c r="W98" s="331">
        <v>10</v>
      </c>
      <c r="X98" s="331">
        <v>5</v>
      </c>
      <c r="Y98" s="331" t="s">
        <v>1606</v>
      </c>
    </row>
    <row r="99" spans="3:25" x14ac:dyDescent="0.3">
      <c r="C99" s="52" t="str">
        <f>'G-1 All Habitats'!B98</f>
        <v>Woodland and forest - Upland birchwoods</v>
      </c>
      <c r="D99" s="331" t="s">
        <v>1606</v>
      </c>
      <c r="E99" s="331" t="s">
        <v>1606</v>
      </c>
      <c r="F99" s="331">
        <v>10</v>
      </c>
      <c r="G99" s="331">
        <v>20</v>
      </c>
      <c r="H99" s="331">
        <v>25</v>
      </c>
      <c r="I99" s="331">
        <v>30</v>
      </c>
      <c r="J99" s="331" t="s">
        <v>868</v>
      </c>
      <c r="K99" s="331" t="s">
        <v>1606</v>
      </c>
      <c r="L99" s="331" t="s">
        <v>1606</v>
      </c>
      <c r="M99" s="331" t="s">
        <v>1606</v>
      </c>
      <c r="N99" s="331" t="s">
        <v>1606</v>
      </c>
      <c r="O99" s="331">
        <v>10</v>
      </c>
      <c r="P99" s="331">
        <v>15</v>
      </c>
      <c r="Q99" s="331">
        <v>20</v>
      </c>
      <c r="R99" s="331" t="s">
        <v>868</v>
      </c>
      <c r="S99" s="331">
        <v>15</v>
      </c>
      <c r="T99" s="331">
        <v>20</v>
      </c>
      <c r="U99" s="331">
        <v>25</v>
      </c>
      <c r="V99" s="331">
        <v>10</v>
      </c>
      <c r="W99" s="331">
        <v>15</v>
      </c>
      <c r="X99" s="331">
        <v>10</v>
      </c>
      <c r="Y99" s="331" t="s">
        <v>1606</v>
      </c>
    </row>
    <row r="100" spans="3:25" x14ac:dyDescent="0.3">
      <c r="C100" s="52" t="str">
        <f>'G-1 All Habitats'!B99</f>
        <v>Woodland and forest - Upland mixed ashwoods</v>
      </c>
      <c r="D100" s="331" t="s">
        <v>1606</v>
      </c>
      <c r="E100" s="331" t="s">
        <v>1606</v>
      </c>
      <c r="F100" s="331">
        <v>10</v>
      </c>
      <c r="G100" s="331">
        <v>25</v>
      </c>
      <c r="H100" s="331" t="s">
        <v>868</v>
      </c>
      <c r="I100" s="331" t="s">
        <v>868</v>
      </c>
      <c r="J100" s="331" t="s">
        <v>868</v>
      </c>
      <c r="K100" s="331" t="s">
        <v>1606</v>
      </c>
      <c r="L100" s="331" t="s">
        <v>1606</v>
      </c>
      <c r="M100" s="331" t="s">
        <v>1606</v>
      </c>
      <c r="N100" s="331" t="s">
        <v>1606</v>
      </c>
      <c r="O100" s="331">
        <v>10</v>
      </c>
      <c r="P100" s="331">
        <v>15</v>
      </c>
      <c r="Q100" s="331">
        <v>20</v>
      </c>
      <c r="R100" s="331" t="s">
        <v>868</v>
      </c>
      <c r="S100" s="331">
        <v>15</v>
      </c>
      <c r="T100" s="331">
        <v>20</v>
      </c>
      <c r="U100" s="331">
        <v>25</v>
      </c>
      <c r="V100" s="331">
        <v>10</v>
      </c>
      <c r="W100" s="331">
        <v>15</v>
      </c>
      <c r="X100" s="331">
        <v>10</v>
      </c>
      <c r="Y100" s="331" t="s">
        <v>1606</v>
      </c>
    </row>
    <row r="101" spans="3:25" x14ac:dyDescent="0.3">
      <c r="C101" s="52" t="str">
        <f>'G-1 All Habitats'!B100</f>
        <v>Woodland and forest - Upland oakwood</v>
      </c>
      <c r="D101" s="331" t="s">
        <v>1606</v>
      </c>
      <c r="E101" s="331" t="s">
        <v>1606</v>
      </c>
      <c r="F101" s="331">
        <v>10</v>
      </c>
      <c r="G101" s="331">
        <v>25</v>
      </c>
      <c r="H101" s="331" t="s">
        <v>868</v>
      </c>
      <c r="I101" s="331" t="s">
        <v>868</v>
      </c>
      <c r="J101" s="331" t="s">
        <v>868</v>
      </c>
      <c r="K101" s="331" t="s">
        <v>1606</v>
      </c>
      <c r="L101" s="331" t="s">
        <v>1606</v>
      </c>
      <c r="M101" s="331" t="s">
        <v>1606</v>
      </c>
      <c r="N101" s="331" t="s">
        <v>1606</v>
      </c>
      <c r="O101" s="331">
        <v>25</v>
      </c>
      <c r="P101" s="331" t="s">
        <v>868</v>
      </c>
      <c r="Q101" s="331" t="s">
        <v>868</v>
      </c>
      <c r="R101" s="331" t="s">
        <v>868</v>
      </c>
      <c r="S101" s="331" t="s">
        <v>868</v>
      </c>
      <c r="T101" s="331" t="s">
        <v>868</v>
      </c>
      <c r="U101" s="331" t="s">
        <v>868</v>
      </c>
      <c r="V101" s="331" t="s">
        <v>868</v>
      </c>
      <c r="W101" s="331" t="s">
        <v>868</v>
      </c>
      <c r="X101" s="331" t="s">
        <v>868</v>
      </c>
      <c r="Y101" s="331" t="s">
        <v>1606</v>
      </c>
    </row>
    <row r="102" spans="3:25" x14ac:dyDescent="0.3">
      <c r="C102" s="52" t="str">
        <f>'G-1 All Habitats'!B101</f>
        <v>Woodland and forest - Wet woodland</v>
      </c>
      <c r="D102" s="331" t="s">
        <v>1606</v>
      </c>
      <c r="E102" s="331" t="s">
        <v>1606</v>
      </c>
      <c r="F102" s="331">
        <v>10</v>
      </c>
      <c r="G102" s="331">
        <v>20</v>
      </c>
      <c r="H102" s="331">
        <v>25</v>
      </c>
      <c r="I102" s="331">
        <v>30</v>
      </c>
      <c r="J102" s="331" t="s">
        <v>868</v>
      </c>
      <c r="K102" s="331" t="s">
        <v>1606</v>
      </c>
      <c r="L102" s="331" t="s">
        <v>1606</v>
      </c>
      <c r="M102" s="331" t="s">
        <v>1606</v>
      </c>
      <c r="N102" s="331" t="s">
        <v>1606</v>
      </c>
      <c r="O102" s="331">
        <v>10</v>
      </c>
      <c r="P102" s="331">
        <v>10</v>
      </c>
      <c r="Q102" s="331">
        <v>15</v>
      </c>
      <c r="R102" s="331" t="s">
        <v>868</v>
      </c>
      <c r="S102" s="331">
        <v>15</v>
      </c>
      <c r="T102" s="331">
        <v>20</v>
      </c>
      <c r="U102" s="331">
        <v>25</v>
      </c>
      <c r="V102" s="331">
        <v>10</v>
      </c>
      <c r="W102" s="331">
        <v>15</v>
      </c>
      <c r="X102" s="331">
        <v>10</v>
      </c>
      <c r="Y102" s="331" t="s">
        <v>1606</v>
      </c>
    </row>
    <row r="103" spans="3:25" x14ac:dyDescent="0.3">
      <c r="C103" s="52" t="str">
        <f>'G-1 All Habitats'!B102</f>
        <v>Woodland and forest - Wood-pasture and parkland</v>
      </c>
      <c r="D103" s="331" t="s">
        <v>1606</v>
      </c>
      <c r="E103" s="331" t="s">
        <v>1606</v>
      </c>
      <c r="F103" s="331">
        <v>10</v>
      </c>
      <c r="G103" s="331">
        <v>25</v>
      </c>
      <c r="H103" s="331" t="s">
        <v>868</v>
      </c>
      <c r="I103" s="331" t="s">
        <v>868</v>
      </c>
      <c r="J103" s="331" t="s">
        <v>868</v>
      </c>
      <c r="K103" s="331" t="s">
        <v>1606</v>
      </c>
      <c r="L103" s="331" t="s">
        <v>1606</v>
      </c>
      <c r="M103" s="331" t="s">
        <v>1606</v>
      </c>
      <c r="N103" s="331" t="s">
        <v>1606</v>
      </c>
      <c r="O103" s="331">
        <v>25</v>
      </c>
      <c r="P103" s="331" t="s">
        <v>868</v>
      </c>
      <c r="Q103" s="331" t="s">
        <v>868</v>
      </c>
      <c r="R103" s="331" t="s">
        <v>868</v>
      </c>
      <c r="S103" s="331" t="s">
        <v>868</v>
      </c>
      <c r="T103" s="331" t="s">
        <v>868</v>
      </c>
      <c r="U103" s="331" t="s">
        <v>868</v>
      </c>
      <c r="V103" s="331" t="s">
        <v>868</v>
      </c>
      <c r="W103" s="331" t="s">
        <v>868</v>
      </c>
      <c r="X103" s="331" t="s">
        <v>868</v>
      </c>
      <c r="Y103" s="331" t="s">
        <v>1606</v>
      </c>
    </row>
    <row r="104" spans="3:25" x14ac:dyDescent="0.3">
      <c r="C104" s="52" t="str">
        <f>'G-1 All Habitats'!B104</f>
        <v>Coastal lagoons - Coastal lagoons</v>
      </c>
      <c r="D104" s="331" t="s">
        <v>1606</v>
      </c>
      <c r="E104" s="331" t="s">
        <v>1606</v>
      </c>
      <c r="F104" s="331" t="s">
        <v>1606</v>
      </c>
      <c r="G104" s="331" t="s">
        <v>1606</v>
      </c>
      <c r="H104" s="331" t="s">
        <v>1606</v>
      </c>
      <c r="I104" s="331" t="s">
        <v>1606</v>
      </c>
      <c r="J104" s="331" t="s">
        <v>1606</v>
      </c>
      <c r="K104" s="331" t="s">
        <v>1606</v>
      </c>
      <c r="L104" s="331" t="s">
        <v>1606</v>
      </c>
      <c r="M104" s="331" t="s">
        <v>1606</v>
      </c>
      <c r="N104" s="331" t="s">
        <v>1606</v>
      </c>
      <c r="O104" s="331">
        <v>1</v>
      </c>
      <c r="P104" s="331">
        <v>4</v>
      </c>
      <c r="Q104" s="331">
        <v>8</v>
      </c>
      <c r="R104" s="331">
        <v>12</v>
      </c>
      <c r="S104" s="331">
        <v>3</v>
      </c>
      <c r="T104" s="331">
        <v>7</v>
      </c>
      <c r="U104" s="331">
        <v>11</v>
      </c>
      <c r="V104" s="331">
        <v>4</v>
      </c>
      <c r="W104" s="331">
        <v>8</v>
      </c>
      <c r="X104" s="331">
        <v>4</v>
      </c>
      <c r="Y104" s="331" t="s">
        <v>1606</v>
      </c>
    </row>
    <row r="105" spans="3:25" x14ac:dyDescent="0.3">
      <c r="C105" s="52" t="str">
        <f>'G-1 All Habitats'!B105</f>
        <v>Rocky shore - High energy littoral rock</v>
      </c>
      <c r="D105" s="331" t="s">
        <v>1606</v>
      </c>
      <c r="E105" s="331" t="s">
        <v>1606</v>
      </c>
      <c r="F105" s="331" t="s">
        <v>1606</v>
      </c>
      <c r="G105" s="331" t="s">
        <v>1606</v>
      </c>
      <c r="H105" s="331" t="s">
        <v>1606</v>
      </c>
      <c r="I105" s="331" t="s">
        <v>1606</v>
      </c>
      <c r="J105" s="331" t="s">
        <v>1606</v>
      </c>
      <c r="K105" s="331" t="s">
        <v>1606</v>
      </c>
      <c r="L105" s="331" t="s">
        <v>1606</v>
      </c>
      <c r="M105" s="331" t="s">
        <v>1606</v>
      </c>
      <c r="N105" s="331" t="s">
        <v>1606</v>
      </c>
      <c r="O105" s="331">
        <v>2</v>
      </c>
      <c r="P105" s="331">
        <v>4</v>
      </c>
      <c r="Q105" s="331">
        <v>6</v>
      </c>
      <c r="R105" s="331">
        <v>10</v>
      </c>
      <c r="S105" s="331">
        <v>2</v>
      </c>
      <c r="T105" s="331">
        <v>4</v>
      </c>
      <c r="U105" s="331">
        <v>8</v>
      </c>
      <c r="V105" s="331">
        <v>2</v>
      </c>
      <c r="W105" s="331">
        <v>6</v>
      </c>
      <c r="X105" s="331">
        <v>4</v>
      </c>
      <c r="Y105" s="331" t="s">
        <v>1606</v>
      </c>
    </row>
    <row r="106" spans="3:25" x14ac:dyDescent="0.3">
      <c r="C106" s="52" t="str">
        <f>'G-1 All Habitats'!B106</f>
        <v>Rocky shore - High energy littoral rock - on peat, clay or chalk</v>
      </c>
      <c r="D106" s="331" t="s">
        <v>1606</v>
      </c>
      <c r="E106" s="331" t="s">
        <v>1606</v>
      </c>
      <c r="F106" s="331" t="s">
        <v>1606</v>
      </c>
      <c r="G106" s="331" t="s">
        <v>1606</v>
      </c>
      <c r="H106" s="331" t="s">
        <v>1606</v>
      </c>
      <c r="I106" s="331" t="s">
        <v>1606</v>
      </c>
      <c r="J106" s="331" t="s">
        <v>1606</v>
      </c>
      <c r="K106" s="331" t="s">
        <v>1606</v>
      </c>
      <c r="L106" s="331" t="s">
        <v>1606</v>
      </c>
      <c r="M106" s="331" t="s">
        <v>1606</v>
      </c>
      <c r="N106" s="331" t="s">
        <v>1606</v>
      </c>
      <c r="O106" s="331">
        <v>2</v>
      </c>
      <c r="P106" s="331">
        <v>4</v>
      </c>
      <c r="Q106" s="331">
        <v>6</v>
      </c>
      <c r="R106" s="331">
        <v>10</v>
      </c>
      <c r="S106" s="331">
        <v>2</v>
      </c>
      <c r="T106" s="331">
        <v>4</v>
      </c>
      <c r="U106" s="331">
        <v>8</v>
      </c>
      <c r="V106" s="331">
        <v>2</v>
      </c>
      <c r="W106" s="331">
        <v>6</v>
      </c>
      <c r="X106" s="331">
        <v>4</v>
      </c>
      <c r="Y106" s="331" t="s">
        <v>1606</v>
      </c>
    </row>
    <row r="107" spans="3:25" x14ac:dyDescent="0.3">
      <c r="C107" s="52" t="str">
        <f>'G-1 All Habitats'!B107</f>
        <v>Rocky shore - Moderate energy littoral rock</v>
      </c>
      <c r="D107" s="331" t="s">
        <v>1606</v>
      </c>
      <c r="E107" s="331" t="s">
        <v>1606</v>
      </c>
      <c r="F107" s="331" t="s">
        <v>1606</v>
      </c>
      <c r="G107" s="331" t="s">
        <v>1606</v>
      </c>
      <c r="H107" s="331" t="s">
        <v>1606</v>
      </c>
      <c r="I107" s="331" t="s">
        <v>1606</v>
      </c>
      <c r="J107" s="331" t="s">
        <v>1606</v>
      </c>
      <c r="K107" s="331" t="s">
        <v>1606</v>
      </c>
      <c r="L107" s="331" t="s">
        <v>1606</v>
      </c>
      <c r="M107" s="331" t="s">
        <v>1606</v>
      </c>
      <c r="N107" s="331" t="s">
        <v>1606</v>
      </c>
      <c r="O107" s="331">
        <v>2</v>
      </c>
      <c r="P107" s="331">
        <v>4</v>
      </c>
      <c r="Q107" s="331">
        <v>6</v>
      </c>
      <c r="R107" s="331">
        <v>11</v>
      </c>
      <c r="S107" s="331">
        <v>2</v>
      </c>
      <c r="T107" s="331">
        <v>4</v>
      </c>
      <c r="U107" s="331">
        <v>9</v>
      </c>
      <c r="V107" s="331">
        <v>2</v>
      </c>
      <c r="W107" s="331">
        <v>7</v>
      </c>
      <c r="X107" s="331">
        <v>5</v>
      </c>
      <c r="Y107" s="331" t="s">
        <v>1606</v>
      </c>
    </row>
    <row r="108" spans="3:25" x14ac:dyDescent="0.3">
      <c r="C108" s="52" t="str">
        <f>'G-1 All Habitats'!B108</f>
        <v>Rocky shore - Moderate energy littoral rock - on peat, clay or chalk</v>
      </c>
      <c r="D108" s="331" t="s">
        <v>1606</v>
      </c>
      <c r="E108" s="331" t="s">
        <v>1606</v>
      </c>
      <c r="F108" s="331" t="s">
        <v>1606</v>
      </c>
      <c r="G108" s="331" t="s">
        <v>1606</v>
      </c>
      <c r="H108" s="331" t="s">
        <v>1606</v>
      </c>
      <c r="I108" s="331" t="s">
        <v>1606</v>
      </c>
      <c r="J108" s="331" t="s">
        <v>1606</v>
      </c>
      <c r="K108" s="331" t="s">
        <v>1606</v>
      </c>
      <c r="L108" s="331" t="s">
        <v>1606</v>
      </c>
      <c r="M108" s="331" t="s">
        <v>1606</v>
      </c>
      <c r="N108" s="331" t="s">
        <v>1606</v>
      </c>
      <c r="O108" s="331">
        <v>2</v>
      </c>
      <c r="P108" s="331">
        <v>4</v>
      </c>
      <c r="Q108" s="331">
        <v>6</v>
      </c>
      <c r="R108" s="331">
        <v>11</v>
      </c>
      <c r="S108" s="331">
        <v>2</v>
      </c>
      <c r="T108" s="331">
        <v>4</v>
      </c>
      <c r="U108" s="331">
        <v>9</v>
      </c>
      <c r="V108" s="331">
        <v>2</v>
      </c>
      <c r="W108" s="331">
        <v>7</v>
      </c>
      <c r="X108" s="331">
        <v>5</v>
      </c>
      <c r="Y108" s="331" t="s">
        <v>1606</v>
      </c>
    </row>
    <row r="109" spans="3:25" x14ac:dyDescent="0.3">
      <c r="C109" s="52" t="str">
        <f>'G-1 All Habitats'!B109</f>
        <v>Rocky shore - Low energy littoral rock</v>
      </c>
      <c r="D109" s="331" t="s">
        <v>1606</v>
      </c>
      <c r="E109" s="331" t="s">
        <v>1606</v>
      </c>
      <c r="F109" s="331" t="s">
        <v>1606</v>
      </c>
      <c r="G109" s="331" t="s">
        <v>1606</v>
      </c>
      <c r="H109" s="331" t="s">
        <v>1606</v>
      </c>
      <c r="I109" s="331" t="s">
        <v>1606</v>
      </c>
      <c r="J109" s="331" t="s">
        <v>1606</v>
      </c>
      <c r="K109" s="331" t="s">
        <v>1606</v>
      </c>
      <c r="L109" s="331" t="s">
        <v>1606</v>
      </c>
      <c r="M109" s="331" t="s">
        <v>1606</v>
      </c>
      <c r="N109" s="331" t="s">
        <v>1606</v>
      </c>
      <c r="O109" s="331">
        <v>2</v>
      </c>
      <c r="P109" s="331">
        <v>4</v>
      </c>
      <c r="Q109" s="331">
        <v>6</v>
      </c>
      <c r="R109" s="331">
        <v>12</v>
      </c>
      <c r="S109" s="331">
        <v>2</v>
      </c>
      <c r="T109" s="331">
        <v>4</v>
      </c>
      <c r="U109" s="331">
        <v>10</v>
      </c>
      <c r="V109" s="331">
        <v>2</v>
      </c>
      <c r="W109" s="331">
        <v>8</v>
      </c>
      <c r="X109" s="331">
        <v>6</v>
      </c>
      <c r="Y109" s="331" t="s">
        <v>1606</v>
      </c>
    </row>
    <row r="110" spans="3:25" x14ac:dyDescent="0.3">
      <c r="C110" s="52" t="str">
        <f>'G-1 All Habitats'!B110</f>
        <v>Rocky shore - Low energy littoral rock - on peat, clay or chalk</v>
      </c>
      <c r="D110" s="331" t="s">
        <v>1606</v>
      </c>
      <c r="E110" s="331" t="s">
        <v>1606</v>
      </c>
      <c r="F110" s="331" t="s">
        <v>1606</v>
      </c>
      <c r="G110" s="331" t="s">
        <v>1606</v>
      </c>
      <c r="H110" s="331" t="s">
        <v>1606</v>
      </c>
      <c r="I110" s="331" t="s">
        <v>1606</v>
      </c>
      <c r="J110" s="331" t="s">
        <v>1606</v>
      </c>
      <c r="K110" s="331" t="s">
        <v>1606</v>
      </c>
      <c r="L110" s="331" t="s">
        <v>1606</v>
      </c>
      <c r="M110" s="331" t="s">
        <v>1606</v>
      </c>
      <c r="N110" s="331" t="s">
        <v>1606</v>
      </c>
      <c r="O110" s="331">
        <v>2</v>
      </c>
      <c r="P110" s="331">
        <v>4</v>
      </c>
      <c r="Q110" s="331">
        <v>6</v>
      </c>
      <c r="R110" s="331">
        <v>12</v>
      </c>
      <c r="S110" s="331">
        <v>2</v>
      </c>
      <c r="T110" s="331">
        <v>4</v>
      </c>
      <c r="U110" s="331">
        <v>10</v>
      </c>
      <c r="V110" s="331">
        <v>2</v>
      </c>
      <c r="W110" s="331">
        <v>8</v>
      </c>
      <c r="X110" s="331">
        <v>6</v>
      </c>
      <c r="Y110" s="331" t="s">
        <v>1606</v>
      </c>
    </row>
    <row r="111" spans="3:25" x14ac:dyDescent="0.3">
      <c r="C111" s="52" t="str">
        <f>'G-1 All Habitats'!B111</f>
        <v>Rocky shore - Features of littoral rock</v>
      </c>
      <c r="D111" s="331" t="s">
        <v>1606</v>
      </c>
      <c r="E111" s="331" t="s">
        <v>1606</v>
      </c>
      <c r="F111" s="331" t="s">
        <v>1606</v>
      </c>
      <c r="G111" s="331" t="s">
        <v>1606</v>
      </c>
      <c r="H111" s="331" t="s">
        <v>1606</v>
      </c>
      <c r="I111" s="331" t="s">
        <v>1606</v>
      </c>
      <c r="J111" s="331" t="s">
        <v>1606</v>
      </c>
      <c r="K111" s="331" t="s">
        <v>1606</v>
      </c>
      <c r="L111" s="331" t="s">
        <v>1606</v>
      </c>
      <c r="M111" s="331" t="s">
        <v>1606</v>
      </c>
      <c r="N111" s="331" t="s">
        <v>1606</v>
      </c>
      <c r="O111" s="331">
        <v>2</v>
      </c>
      <c r="P111" s="331">
        <v>4</v>
      </c>
      <c r="Q111" s="331">
        <v>6</v>
      </c>
      <c r="R111" s="331">
        <v>11</v>
      </c>
      <c r="S111" s="331">
        <v>2</v>
      </c>
      <c r="T111" s="331">
        <v>4</v>
      </c>
      <c r="U111" s="331">
        <v>9</v>
      </c>
      <c r="V111" s="331">
        <v>2</v>
      </c>
      <c r="W111" s="331">
        <v>7</v>
      </c>
      <c r="X111" s="331">
        <v>5</v>
      </c>
      <c r="Y111" s="331" t="s">
        <v>1606</v>
      </c>
    </row>
    <row r="112" spans="3:25" x14ac:dyDescent="0.3">
      <c r="C112" s="52" t="str">
        <f>'G-1 All Habitats'!B112</f>
        <v>Rocky shore - Features of littoral rock - on peat, clay or chalk</v>
      </c>
      <c r="D112" s="331" t="s">
        <v>1606</v>
      </c>
      <c r="E112" s="331" t="s">
        <v>1606</v>
      </c>
      <c r="F112" s="331" t="s">
        <v>1606</v>
      </c>
      <c r="G112" s="331" t="s">
        <v>1606</v>
      </c>
      <c r="H112" s="331" t="s">
        <v>1606</v>
      </c>
      <c r="I112" s="331" t="s">
        <v>1606</v>
      </c>
      <c r="J112" s="331" t="s">
        <v>1606</v>
      </c>
      <c r="K112" s="331" t="s">
        <v>1606</v>
      </c>
      <c r="L112" s="331" t="s">
        <v>1606</v>
      </c>
      <c r="M112" s="331" t="s">
        <v>1606</v>
      </c>
      <c r="N112" s="331" t="s">
        <v>1606</v>
      </c>
      <c r="O112" s="331">
        <v>2</v>
      </c>
      <c r="P112" s="331">
        <v>4</v>
      </c>
      <c r="Q112" s="331">
        <v>6</v>
      </c>
      <c r="R112" s="331">
        <v>11</v>
      </c>
      <c r="S112" s="331">
        <v>2</v>
      </c>
      <c r="T112" s="331">
        <v>4</v>
      </c>
      <c r="U112" s="331">
        <v>9</v>
      </c>
      <c r="V112" s="331">
        <v>2</v>
      </c>
      <c r="W112" s="331">
        <v>7</v>
      </c>
      <c r="X112" s="331">
        <v>5</v>
      </c>
      <c r="Y112" s="331" t="s">
        <v>1606</v>
      </c>
    </row>
    <row r="113" spans="3:25" x14ac:dyDescent="0.3">
      <c r="C113" s="52" t="str">
        <f>'G-1 All Habitats'!B115</f>
        <v>Intertidal sediment - Littoral coarse sediment</v>
      </c>
      <c r="D113" s="331" t="s">
        <v>1606</v>
      </c>
      <c r="E113" s="331" t="s">
        <v>1606</v>
      </c>
      <c r="F113" s="331" t="s">
        <v>1606</v>
      </c>
      <c r="G113" s="331" t="s">
        <v>1606</v>
      </c>
      <c r="H113" s="331" t="s">
        <v>1606</v>
      </c>
      <c r="I113" s="331" t="s">
        <v>1606</v>
      </c>
      <c r="J113" s="331" t="s">
        <v>1606</v>
      </c>
      <c r="K113" s="331" t="s">
        <v>1606</v>
      </c>
      <c r="L113" s="331" t="s">
        <v>1606</v>
      </c>
      <c r="M113" s="331" t="s">
        <v>1606</v>
      </c>
      <c r="N113" s="331" t="s">
        <v>1606</v>
      </c>
      <c r="O113" s="331">
        <v>1</v>
      </c>
      <c r="P113" s="331">
        <v>2</v>
      </c>
      <c r="Q113" s="331">
        <v>3</v>
      </c>
      <c r="R113" s="331">
        <v>4</v>
      </c>
      <c r="S113" s="331">
        <v>1</v>
      </c>
      <c r="T113" s="331">
        <v>2</v>
      </c>
      <c r="U113" s="331">
        <v>3</v>
      </c>
      <c r="V113" s="331">
        <v>1</v>
      </c>
      <c r="W113" s="331">
        <v>2</v>
      </c>
      <c r="X113" s="331">
        <v>1</v>
      </c>
      <c r="Y113" s="331" t="s">
        <v>1606</v>
      </c>
    </row>
    <row r="114" spans="3:25" x14ac:dyDescent="0.3">
      <c r="C114" s="52" t="str">
        <f>'G-1 All Habitats'!B116</f>
        <v>Intertidal sediment - Littoral mud</v>
      </c>
      <c r="D114" s="331" t="s">
        <v>1606</v>
      </c>
      <c r="E114" s="331" t="s">
        <v>1606</v>
      </c>
      <c r="F114" s="331" t="s">
        <v>1606</v>
      </c>
      <c r="G114" s="331" t="s">
        <v>1606</v>
      </c>
      <c r="H114" s="331" t="s">
        <v>1606</v>
      </c>
      <c r="I114" s="331" t="s">
        <v>1606</v>
      </c>
      <c r="J114" s="331" t="s">
        <v>1606</v>
      </c>
      <c r="K114" s="331" t="s">
        <v>1606</v>
      </c>
      <c r="L114" s="331" t="s">
        <v>1606</v>
      </c>
      <c r="M114" s="331" t="s">
        <v>1606</v>
      </c>
      <c r="N114" s="331" t="s">
        <v>1606</v>
      </c>
      <c r="O114" s="331">
        <v>2</v>
      </c>
      <c r="P114" s="331">
        <v>4</v>
      </c>
      <c r="Q114" s="331">
        <v>6</v>
      </c>
      <c r="R114" s="331">
        <v>8</v>
      </c>
      <c r="S114" s="331">
        <v>2</v>
      </c>
      <c r="T114" s="331">
        <v>4</v>
      </c>
      <c r="U114" s="331">
        <v>6</v>
      </c>
      <c r="V114" s="331">
        <v>2</v>
      </c>
      <c r="W114" s="331">
        <v>4</v>
      </c>
      <c r="X114" s="331">
        <v>2</v>
      </c>
      <c r="Y114" s="331" t="s">
        <v>1606</v>
      </c>
    </row>
    <row r="115" spans="3:25" x14ac:dyDescent="0.3">
      <c r="C115" s="52" t="str">
        <f>'G-1 All Habitats'!B117</f>
        <v>Intertidal sediment - Littoral mixed sediments</v>
      </c>
      <c r="D115" s="331" t="s">
        <v>1606</v>
      </c>
      <c r="E115" s="331" t="s">
        <v>1606</v>
      </c>
      <c r="F115" s="331" t="s">
        <v>1606</v>
      </c>
      <c r="G115" s="331" t="s">
        <v>1606</v>
      </c>
      <c r="H115" s="331" t="s">
        <v>1606</v>
      </c>
      <c r="I115" s="331" t="s">
        <v>1606</v>
      </c>
      <c r="J115" s="331" t="s">
        <v>1606</v>
      </c>
      <c r="K115" s="331" t="s">
        <v>1606</v>
      </c>
      <c r="L115" s="331" t="s">
        <v>1606</v>
      </c>
      <c r="M115" s="331" t="s">
        <v>1606</v>
      </c>
      <c r="N115" s="331" t="s">
        <v>1606</v>
      </c>
      <c r="O115" s="331">
        <v>1</v>
      </c>
      <c r="P115" s="331">
        <v>2</v>
      </c>
      <c r="Q115" s="331">
        <v>3</v>
      </c>
      <c r="R115" s="331">
        <v>4</v>
      </c>
      <c r="S115" s="331">
        <v>1</v>
      </c>
      <c r="T115" s="331">
        <v>2</v>
      </c>
      <c r="U115" s="331">
        <v>3</v>
      </c>
      <c r="V115" s="331">
        <v>1</v>
      </c>
      <c r="W115" s="331">
        <v>2</v>
      </c>
      <c r="X115" s="331">
        <v>1</v>
      </c>
      <c r="Y115" s="331" t="s">
        <v>1606</v>
      </c>
    </row>
    <row r="116" spans="3:25" x14ac:dyDescent="0.3">
      <c r="C116" s="52" t="str">
        <f>'G-1 All Habitats'!B113</f>
        <v>Coastal saltmarsh - Saltmarshes and saline reedbeds</v>
      </c>
      <c r="D116" s="331" t="s">
        <v>1606</v>
      </c>
      <c r="E116" s="331" t="s">
        <v>1606</v>
      </c>
      <c r="F116" s="331" t="s">
        <v>1606</v>
      </c>
      <c r="G116" s="331" t="s">
        <v>1606</v>
      </c>
      <c r="H116" s="331" t="s">
        <v>1606</v>
      </c>
      <c r="I116" s="331" t="s">
        <v>1606</v>
      </c>
      <c r="J116" s="331" t="s">
        <v>1606</v>
      </c>
      <c r="K116" s="331" t="s">
        <v>1606</v>
      </c>
      <c r="L116" s="331" t="s">
        <v>1606</v>
      </c>
      <c r="M116" s="331" t="s">
        <v>1606</v>
      </c>
      <c r="N116" s="331" t="s">
        <v>1606</v>
      </c>
      <c r="O116" s="331">
        <v>2</v>
      </c>
      <c r="P116" s="331">
        <v>6</v>
      </c>
      <c r="Q116" s="331">
        <v>10</v>
      </c>
      <c r="R116" s="331">
        <v>20</v>
      </c>
      <c r="S116" s="331">
        <v>4</v>
      </c>
      <c r="T116" s="331">
        <v>8</v>
      </c>
      <c r="U116" s="331">
        <v>18</v>
      </c>
      <c r="V116" s="331">
        <v>4</v>
      </c>
      <c r="W116" s="331">
        <v>14</v>
      </c>
      <c r="X116" s="331">
        <v>10</v>
      </c>
      <c r="Y116" s="331" t="s">
        <v>1606</v>
      </c>
    </row>
    <row r="117" spans="3:25" x14ac:dyDescent="0.3">
      <c r="C117" s="52" t="str">
        <f>'G-1 All Habitats'!B114</f>
        <v>Coastal saltmarsh - Artificial saltmarshes and saline reedbeds</v>
      </c>
      <c r="D117" s="331" t="s">
        <v>1606</v>
      </c>
      <c r="E117" s="331" t="s">
        <v>1606</v>
      </c>
      <c r="F117" s="331" t="s">
        <v>1606</v>
      </c>
      <c r="G117" s="331" t="s">
        <v>1606</v>
      </c>
      <c r="H117" s="331" t="s">
        <v>1606</v>
      </c>
      <c r="I117" s="331" t="s">
        <v>1606</v>
      </c>
      <c r="J117" s="331" t="s">
        <v>1606</v>
      </c>
      <c r="K117" s="331" t="s">
        <v>1606</v>
      </c>
      <c r="L117" s="331" t="s">
        <v>1606</v>
      </c>
      <c r="M117" s="331" t="s">
        <v>1606</v>
      </c>
      <c r="N117" s="331" t="s">
        <v>1606</v>
      </c>
      <c r="O117" s="331">
        <v>2</v>
      </c>
      <c r="P117" s="331">
        <v>6</v>
      </c>
      <c r="Q117" s="331">
        <v>10</v>
      </c>
      <c r="R117" s="331">
        <v>20</v>
      </c>
      <c r="S117" s="331">
        <v>4</v>
      </c>
      <c r="T117" s="331">
        <v>8</v>
      </c>
      <c r="U117" s="331">
        <v>18</v>
      </c>
      <c r="V117" s="331">
        <v>4</v>
      </c>
      <c r="W117" s="331">
        <v>14</v>
      </c>
      <c r="X117" s="331">
        <v>10</v>
      </c>
      <c r="Y117" s="331" t="s">
        <v>1606</v>
      </c>
    </row>
    <row r="118" spans="3:25" x14ac:dyDescent="0.3">
      <c r="C118" s="52" t="str">
        <f>'G-1 All Habitats'!B118</f>
        <v>Intertidal sediment - Littoral seagrass</v>
      </c>
      <c r="D118" s="331" t="s">
        <v>1606</v>
      </c>
      <c r="E118" s="331" t="s">
        <v>1606</v>
      </c>
      <c r="F118" s="331" t="s">
        <v>1606</v>
      </c>
      <c r="G118" s="331" t="s">
        <v>1606</v>
      </c>
      <c r="H118" s="331" t="s">
        <v>1606</v>
      </c>
      <c r="I118" s="331" t="s">
        <v>1606</v>
      </c>
      <c r="J118" s="331" t="s">
        <v>1606</v>
      </c>
      <c r="K118" s="331" t="s">
        <v>1606</v>
      </c>
      <c r="L118" s="331" t="s">
        <v>1606</v>
      </c>
      <c r="M118" s="331" t="s">
        <v>1606</v>
      </c>
      <c r="N118" s="331" t="s">
        <v>1606</v>
      </c>
      <c r="O118" s="331">
        <v>3</v>
      </c>
      <c r="P118" s="331">
        <v>13</v>
      </c>
      <c r="Q118" s="331">
        <v>23</v>
      </c>
      <c r="R118" s="331" t="s">
        <v>868</v>
      </c>
      <c r="S118" s="331">
        <v>10</v>
      </c>
      <c r="T118" s="331">
        <v>20</v>
      </c>
      <c r="U118" s="331">
        <v>30</v>
      </c>
      <c r="V118" s="331">
        <v>10</v>
      </c>
      <c r="W118" s="331">
        <v>20</v>
      </c>
      <c r="X118" s="331">
        <v>10</v>
      </c>
      <c r="Y118" s="331" t="s">
        <v>1606</v>
      </c>
    </row>
    <row r="119" spans="3:25" x14ac:dyDescent="0.3">
      <c r="C119" s="52" t="str">
        <f>'G-1 All Habitats'!B119</f>
        <v>Intertidal sediment - Littoral seagrass on peat, clay or chalk</v>
      </c>
      <c r="D119" s="331" t="s">
        <v>1606</v>
      </c>
      <c r="E119" s="331" t="s">
        <v>1606</v>
      </c>
      <c r="F119" s="331" t="s">
        <v>1606</v>
      </c>
      <c r="G119" s="331" t="s">
        <v>1606</v>
      </c>
      <c r="H119" s="331" t="s">
        <v>1606</v>
      </c>
      <c r="I119" s="331" t="s">
        <v>1606</v>
      </c>
      <c r="J119" s="331" t="s">
        <v>1606</v>
      </c>
      <c r="K119" s="331" t="s">
        <v>1606</v>
      </c>
      <c r="L119" s="331" t="s">
        <v>1606</v>
      </c>
      <c r="M119" s="331" t="s">
        <v>1606</v>
      </c>
      <c r="N119" s="331" t="s">
        <v>1606</v>
      </c>
      <c r="O119" s="331">
        <v>2</v>
      </c>
      <c r="P119" s="331">
        <v>4</v>
      </c>
      <c r="Q119" s="331">
        <v>7</v>
      </c>
      <c r="R119" s="331" t="s">
        <v>868</v>
      </c>
      <c r="S119" s="331">
        <v>2</v>
      </c>
      <c r="T119" s="331">
        <v>3</v>
      </c>
      <c r="U119" s="331">
        <v>8</v>
      </c>
      <c r="V119" s="331">
        <v>3</v>
      </c>
      <c r="W119" s="331">
        <v>6</v>
      </c>
      <c r="X119" s="331">
        <v>3</v>
      </c>
      <c r="Y119" s="331" t="s">
        <v>1606</v>
      </c>
    </row>
    <row r="120" spans="3:25" x14ac:dyDescent="0.3">
      <c r="C120" s="52" t="str">
        <f>'G-1 All Habitats'!B120</f>
        <v>Intertidal sediment - Littoral biogenic reefs - Mussels</v>
      </c>
      <c r="D120" s="331" t="s">
        <v>1606</v>
      </c>
      <c r="E120" s="331" t="s">
        <v>1606</v>
      </c>
      <c r="F120" s="331" t="s">
        <v>1606</v>
      </c>
      <c r="G120" s="331" t="s">
        <v>1606</v>
      </c>
      <c r="H120" s="331" t="s">
        <v>1606</v>
      </c>
      <c r="I120" s="331" t="s">
        <v>1606</v>
      </c>
      <c r="J120" s="331" t="s">
        <v>1606</v>
      </c>
      <c r="K120" s="331" t="s">
        <v>1606</v>
      </c>
      <c r="L120" s="331" t="s">
        <v>1606</v>
      </c>
      <c r="M120" s="331" t="s">
        <v>1606</v>
      </c>
      <c r="N120" s="331" t="s">
        <v>1606</v>
      </c>
      <c r="O120" s="331">
        <v>2</v>
      </c>
      <c r="P120" s="331">
        <v>4</v>
      </c>
      <c r="Q120" s="331">
        <v>7</v>
      </c>
      <c r="R120" s="331">
        <v>10</v>
      </c>
      <c r="S120" s="331">
        <v>2</v>
      </c>
      <c r="T120" s="331">
        <v>3</v>
      </c>
      <c r="U120" s="331">
        <v>8</v>
      </c>
      <c r="V120" s="331">
        <v>3</v>
      </c>
      <c r="W120" s="331">
        <v>6</v>
      </c>
      <c r="X120" s="331">
        <v>3</v>
      </c>
      <c r="Y120" s="331" t="s">
        <v>1606</v>
      </c>
    </row>
    <row r="121" spans="3:25" x14ac:dyDescent="0.3">
      <c r="C121" s="52" t="str">
        <f>'G-1 All Habitats'!B121</f>
        <v>Intertidal sediment - Littoral biogenic reefs - Sabellaria</v>
      </c>
      <c r="D121" s="331" t="s">
        <v>1606</v>
      </c>
      <c r="E121" s="331" t="s">
        <v>1606</v>
      </c>
      <c r="F121" s="331" t="s">
        <v>1606</v>
      </c>
      <c r="G121" s="331" t="s">
        <v>1606</v>
      </c>
      <c r="H121" s="331" t="s">
        <v>1606</v>
      </c>
      <c r="I121" s="331" t="s">
        <v>1606</v>
      </c>
      <c r="J121" s="331" t="s">
        <v>1606</v>
      </c>
      <c r="K121" s="331" t="s">
        <v>1606</v>
      </c>
      <c r="L121" s="331" t="s">
        <v>1606</v>
      </c>
      <c r="M121" s="331" t="s">
        <v>1606</v>
      </c>
      <c r="N121" s="331" t="s">
        <v>1606</v>
      </c>
      <c r="O121" s="331">
        <v>2</v>
      </c>
      <c r="P121" s="331">
        <v>4</v>
      </c>
      <c r="Q121" s="331">
        <v>7</v>
      </c>
      <c r="R121" s="331">
        <v>10</v>
      </c>
      <c r="S121" s="331">
        <v>2</v>
      </c>
      <c r="T121" s="331">
        <v>3</v>
      </c>
      <c r="U121" s="331">
        <v>8</v>
      </c>
      <c r="V121" s="331">
        <v>3</v>
      </c>
      <c r="W121" s="331">
        <v>6</v>
      </c>
      <c r="X121" s="331">
        <v>3</v>
      </c>
      <c r="Y121" s="331" t="s">
        <v>1606</v>
      </c>
    </row>
    <row r="122" spans="3:25" x14ac:dyDescent="0.3">
      <c r="C122" s="52" t="str">
        <f>'G-1 All Habitats'!B122</f>
        <v>Intertidal sediment - Features of littoral sediment</v>
      </c>
      <c r="D122" s="331" t="s">
        <v>1606</v>
      </c>
      <c r="E122" s="331" t="s">
        <v>1606</v>
      </c>
      <c r="F122" s="331" t="s">
        <v>1606</v>
      </c>
      <c r="G122" s="331" t="s">
        <v>1606</v>
      </c>
      <c r="H122" s="331" t="s">
        <v>1606</v>
      </c>
      <c r="I122" s="331" t="s">
        <v>1606</v>
      </c>
      <c r="J122" s="331" t="s">
        <v>1606</v>
      </c>
      <c r="K122" s="331" t="s">
        <v>1606</v>
      </c>
      <c r="L122" s="331" t="s">
        <v>1606</v>
      </c>
      <c r="M122" s="331" t="s">
        <v>1606</v>
      </c>
      <c r="N122" s="331" t="s">
        <v>1606</v>
      </c>
      <c r="O122" s="331">
        <v>1</v>
      </c>
      <c r="P122" s="331">
        <v>2</v>
      </c>
      <c r="Q122" s="331">
        <v>3</v>
      </c>
      <c r="R122" s="331">
        <v>5</v>
      </c>
      <c r="S122" s="331">
        <v>1</v>
      </c>
      <c r="T122" s="331">
        <v>2</v>
      </c>
      <c r="U122" s="331">
        <v>4</v>
      </c>
      <c r="V122" s="331">
        <v>1</v>
      </c>
      <c r="W122" s="331">
        <v>3</v>
      </c>
      <c r="X122" s="331">
        <v>2</v>
      </c>
      <c r="Y122" s="331" t="s">
        <v>1606</v>
      </c>
    </row>
    <row r="123" spans="3:25" x14ac:dyDescent="0.3">
      <c r="C123" s="52" t="str">
        <f>'G-1 All Habitats'!B123</f>
        <v>Intertidal sediment - Artificial littoral coarse sediment</v>
      </c>
      <c r="D123" s="331" t="s">
        <v>1606</v>
      </c>
      <c r="E123" s="331" t="s">
        <v>1606</v>
      </c>
      <c r="F123" s="331" t="s">
        <v>1606</v>
      </c>
      <c r="G123" s="331" t="s">
        <v>1606</v>
      </c>
      <c r="H123" s="331" t="s">
        <v>1606</v>
      </c>
      <c r="I123" s="331" t="s">
        <v>1606</v>
      </c>
      <c r="J123" s="331" t="s">
        <v>1606</v>
      </c>
      <c r="K123" s="331" t="s">
        <v>1606</v>
      </c>
      <c r="L123" s="331" t="s">
        <v>1606</v>
      </c>
      <c r="M123" s="331" t="s">
        <v>1606</v>
      </c>
      <c r="N123" s="331" t="s">
        <v>1606</v>
      </c>
      <c r="O123" s="331">
        <v>1</v>
      </c>
      <c r="P123" s="331">
        <v>2</v>
      </c>
      <c r="Q123" s="331">
        <v>3</v>
      </c>
      <c r="R123" s="331">
        <v>4</v>
      </c>
      <c r="S123" s="331">
        <v>1</v>
      </c>
      <c r="T123" s="331">
        <v>2</v>
      </c>
      <c r="U123" s="331">
        <v>3</v>
      </c>
      <c r="V123" s="331">
        <v>1</v>
      </c>
      <c r="W123" s="331">
        <v>2</v>
      </c>
      <c r="X123" s="331">
        <v>1</v>
      </c>
      <c r="Y123" s="331" t="s">
        <v>1606</v>
      </c>
    </row>
    <row r="124" spans="3:25" x14ac:dyDescent="0.3">
      <c r="C124" s="52" t="str">
        <f>'G-1 All Habitats'!B124</f>
        <v>Intertidal sediment - Artificial littoral mud</v>
      </c>
      <c r="D124" s="331" t="s">
        <v>1606</v>
      </c>
      <c r="E124" s="331" t="s">
        <v>1606</v>
      </c>
      <c r="F124" s="331" t="s">
        <v>1606</v>
      </c>
      <c r="G124" s="331" t="s">
        <v>1606</v>
      </c>
      <c r="H124" s="331" t="s">
        <v>1606</v>
      </c>
      <c r="I124" s="331" t="s">
        <v>1606</v>
      </c>
      <c r="J124" s="331" t="s">
        <v>1606</v>
      </c>
      <c r="K124" s="331" t="s">
        <v>1606</v>
      </c>
      <c r="L124" s="331" t="s">
        <v>1606</v>
      </c>
      <c r="M124" s="331" t="s">
        <v>1606</v>
      </c>
      <c r="N124" s="331" t="s">
        <v>1606</v>
      </c>
      <c r="O124" s="331">
        <v>2</v>
      </c>
      <c r="P124" s="331">
        <v>4</v>
      </c>
      <c r="Q124" s="331">
        <v>6</v>
      </c>
      <c r="R124" s="331">
        <v>8</v>
      </c>
      <c r="S124" s="331">
        <v>2</v>
      </c>
      <c r="T124" s="331">
        <v>4</v>
      </c>
      <c r="U124" s="331">
        <v>6</v>
      </c>
      <c r="V124" s="331">
        <v>2</v>
      </c>
      <c r="W124" s="331">
        <v>4</v>
      </c>
      <c r="X124" s="331">
        <v>2</v>
      </c>
      <c r="Y124" s="331" t="s">
        <v>1606</v>
      </c>
    </row>
    <row r="125" spans="3:25" x14ac:dyDescent="0.3">
      <c r="C125" s="52" t="str">
        <f>'G-1 All Habitats'!B125</f>
        <v>Intertidal sediment - Artificial littoral sand</v>
      </c>
      <c r="D125" s="331" t="s">
        <v>1606</v>
      </c>
      <c r="E125" s="331" t="s">
        <v>1606</v>
      </c>
      <c r="F125" s="331" t="s">
        <v>1606</v>
      </c>
      <c r="G125" s="331" t="s">
        <v>1606</v>
      </c>
      <c r="H125" s="331" t="s">
        <v>1606</v>
      </c>
      <c r="I125" s="331" t="s">
        <v>1606</v>
      </c>
      <c r="J125" s="331" t="s">
        <v>1606</v>
      </c>
      <c r="K125" s="331" t="s">
        <v>1606</v>
      </c>
      <c r="L125" s="331" t="s">
        <v>1606</v>
      </c>
      <c r="M125" s="331" t="s">
        <v>1606</v>
      </c>
      <c r="N125" s="331" t="s">
        <v>1606</v>
      </c>
      <c r="O125" s="331">
        <v>2</v>
      </c>
      <c r="P125" s="331">
        <v>3</v>
      </c>
      <c r="Q125" s="331">
        <v>4</v>
      </c>
      <c r="R125" s="331">
        <v>6</v>
      </c>
      <c r="S125" s="331">
        <v>1</v>
      </c>
      <c r="T125" s="331">
        <v>2</v>
      </c>
      <c r="U125" s="331">
        <v>4</v>
      </c>
      <c r="V125" s="331">
        <v>1</v>
      </c>
      <c r="W125" s="331">
        <v>3</v>
      </c>
      <c r="X125" s="331">
        <v>2</v>
      </c>
      <c r="Y125" s="331" t="s">
        <v>1606</v>
      </c>
    </row>
    <row r="126" spans="3:25" x14ac:dyDescent="0.3">
      <c r="C126" s="52" t="str">
        <f>'G-1 All Habitats'!B126</f>
        <v>Intertidal sediment - Artificial littoral muddy sand</v>
      </c>
      <c r="D126" s="331" t="s">
        <v>1606</v>
      </c>
      <c r="E126" s="331" t="s">
        <v>1606</v>
      </c>
      <c r="F126" s="331" t="s">
        <v>1606</v>
      </c>
      <c r="G126" s="331" t="s">
        <v>1606</v>
      </c>
      <c r="H126" s="331" t="s">
        <v>1606</v>
      </c>
      <c r="I126" s="331" t="s">
        <v>1606</v>
      </c>
      <c r="J126" s="331" t="s">
        <v>1606</v>
      </c>
      <c r="K126" s="331" t="s">
        <v>1606</v>
      </c>
      <c r="L126" s="331" t="s">
        <v>1606</v>
      </c>
      <c r="M126" s="331" t="s">
        <v>1606</v>
      </c>
      <c r="N126" s="331" t="s">
        <v>1606</v>
      </c>
      <c r="O126" s="331">
        <v>2</v>
      </c>
      <c r="P126" s="331">
        <v>4</v>
      </c>
      <c r="Q126" s="331">
        <v>6</v>
      </c>
      <c r="R126" s="331">
        <v>8</v>
      </c>
      <c r="S126" s="331">
        <v>2</v>
      </c>
      <c r="T126" s="331">
        <v>4</v>
      </c>
      <c r="U126" s="331">
        <v>6</v>
      </c>
      <c r="V126" s="331">
        <v>2</v>
      </c>
      <c r="W126" s="331">
        <v>4</v>
      </c>
      <c r="X126" s="331">
        <v>2</v>
      </c>
      <c r="Y126" s="331" t="s">
        <v>1606</v>
      </c>
    </row>
    <row r="127" spans="3:25" x14ac:dyDescent="0.3">
      <c r="C127" s="52" t="str">
        <f>'G-1 All Habitats'!B127</f>
        <v>Intertidal sediment - Artificial littoral mixed sediments</v>
      </c>
      <c r="D127" s="331" t="s">
        <v>1606</v>
      </c>
      <c r="E127" s="331" t="s">
        <v>1606</v>
      </c>
      <c r="F127" s="331" t="s">
        <v>1606</v>
      </c>
      <c r="G127" s="331" t="s">
        <v>1606</v>
      </c>
      <c r="H127" s="331" t="s">
        <v>1606</v>
      </c>
      <c r="I127" s="331" t="s">
        <v>1606</v>
      </c>
      <c r="J127" s="331" t="s">
        <v>1606</v>
      </c>
      <c r="K127" s="331" t="s">
        <v>1606</v>
      </c>
      <c r="L127" s="331" t="s">
        <v>1606</v>
      </c>
      <c r="M127" s="331" t="s">
        <v>1606</v>
      </c>
      <c r="N127" s="331" t="s">
        <v>1606</v>
      </c>
      <c r="O127" s="331">
        <v>1</v>
      </c>
      <c r="P127" s="331">
        <v>2</v>
      </c>
      <c r="Q127" s="331">
        <v>3</v>
      </c>
      <c r="R127" s="331">
        <v>4</v>
      </c>
      <c r="S127" s="331">
        <v>1</v>
      </c>
      <c r="T127" s="331">
        <v>2</v>
      </c>
      <c r="U127" s="331">
        <v>3</v>
      </c>
      <c r="V127" s="331">
        <v>1</v>
      </c>
      <c r="W127" s="331">
        <v>2</v>
      </c>
      <c r="X127" s="331">
        <v>1</v>
      </c>
      <c r="Y127" s="331" t="s">
        <v>1606</v>
      </c>
    </row>
    <row r="128" spans="3:25" x14ac:dyDescent="0.3">
      <c r="C128" s="52" t="str">
        <f>'G-1 All Habitats'!B128</f>
        <v>Intertidal sediment - Artificial littoral seagrass</v>
      </c>
      <c r="D128" s="331" t="s">
        <v>1606</v>
      </c>
      <c r="E128" s="331" t="s">
        <v>1606</v>
      </c>
      <c r="F128" s="331" t="s">
        <v>1606</v>
      </c>
      <c r="G128" s="331" t="s">
        <v>1606</v>
      </c>
      <c r="H128" s="331" t="s">
        <v>1606</v>
      </c>
      <c r="I128" s="331" t="s">
        <v>1606</v>
      </c>
      <c r="J128" s="331" t="s">
        <v>1606</v>
      </c>
      <c r="K128" s="331" t="s">
        <v>1606</v>
      </c>
      <c r="L128" s="331" t="s">
        <v>1606</v>
      </c>
      <c r="M128" s="331" t="s">
        <v>1606</v>
      </c>
      <c r="N128" s="331" t="s">
        <v>1606</v>
      </c>
      <c r="O128" s="331">
        <v>3</v>
      </c>
      <c r="P128" s="331">
        <v>13</v>
      </c>
      <c r="Q128" s="331">
        <v>23</v>
      </c>
      <c r="R128" s="331" t="s">
        <v>868</v>
      </c>
      <c r="S128" s="331">
        <v>10</v>
      </c>
      <c r="T128" s="331">
        <v>20</v>
      </c>
      <c r="U128" s="331">
        <v>30</v>
      </c>
      <c r="V128" s="331">
        <v>10</v>
      </c>
      <c r="W128" s="331">
        <v>20</v>
      </c>
      <c r="X128" s="331">
        <v>10</v>
      </c>
      <c r="Y128" s="331" t="s">
        <v>1606</v>
      </c>
    </row>
    <row r="129" spans="3:25" x14ac:dyDescent="0.3">
      <c r="C129" s="52" t="str">
        <f>'G-1 All Habitats'!B129</f>
        <v>Intertidal sediment - Artificial littoral biogenic reefs</v>
      </c>
      <c r="D129" s="331" t="s">
        <v>1606</v>
      </c>
      <c r="E129" s="331" t="s">
        <v>1606</v>
      </c>
      <c r="F129" s="331" t="s">
        <v>1606</v>
      </c>
      <c r="G129" s="331" t="s">
        <v>1606</v>
      </c>
      <c r="H129" s="331" t="s">
        <v>1606</v>
      </c>
      <c r="I129" s="331" t="s">
        <v>1606</v>
      </c>
      <c r="J129" s="331" t="s">
        <v>1606</v>
      </c>
      <c r="K129" s="331" t="s">
        <v>1606</v>
      </c>
      <c r="L129" s="331" t="s">
        <v>1606</v>
      </c>
      <c r="M129" s="331" t="s">
        <v>1606</v>
      </c>
      <c r="N129" s="331" t="s">
        <v>1606</v>
      </c>
      <c r="O129" s="331">
        <v>2</v>
      </c>
      <c r="P129" s="331">
        <v>4</v>
      </c>
      <c r="Q129" s="331">
        <v>7</v>
      </c>
      <c r="R129" s="331">
        <v>10</v>
      </c>
      <c r="S129" s="331">
        <v>2</v>
      </c>
      <c r="T129" s="331">
        <v>3</v>
      </c>
      <c r="U129" s="331">
        <v>8</v>
      </c>
      <c r="V129" s="331">
        <v>3</v>
      </c>
      <c r="W129" s="331">
        <v>6</v>
      </c>
      <c r="X129" s="331">
        <v>3</v>
      </c>
      <c r="Y129" s="331" t="s">
        <v>1606</v>
      </c>
    </row>
    <row r="130" spans="3:25" x14ac:dyDescent="0.3">
      <c r="C130" s="52" t="str">
        <f>'G-1 All Habitats'!B130</f>
        <v>Intertidal sediment - Littoral sand</v>
      </c>
      <c r="D130" s="331" t="s">
        <v>1606</v>
      </c>
      <c r="E130" s="331" t="s">
        <v>1606</v>
      </c>
      <c r="F130" s="331" t="s">
        <v>1606</v>
      </c>
      <c r="G130" s="331" t="s">
        <v>1606</v>
      </c>
      <c r="H130" s="331" t="s">
        <v>1606</v>
      </c>
      <c r="I130" s="331" t="s">
        <v>1606</v>
      </c>
      <c r="J130" s="331" t="s">
        <v>1606</v>
      </c>
      <c r="K130" s="331" t="s">
        <v>1606</v>
      </c>
      <c r="L130" s="331" t="s">
        <v>1606</v>
      </c>
      <c r="M130" s="331" t="s">
        <v>1606</v>
      </c>
      <c r="N130" s="331" t="s">
        <v>1606</v>
      </c>
      <c r="O130" s="331">
        <v>2</v>
      </c>
      <c r="P130" s="331">
        <v>3</v>
      </c>
      <c r="Q130" s="331">
        <v>4</v>
      </c>
      <c r="R130" s="331">
        <v>6</v>
      </c>
      <c r="S130" s="331">
        <v>1</v>
      </c>
      <c r="T130" s="331">
        <v>2</v>
      </c>
      <c r="U130" s="331">
        <v>4</v>
      </c>
      <c r="V130" s="331">
        <v>1</v>
      </c>
      <c r="W130" s="331">
        <v>3</v>
      </c>
      <c r="X130" s="331">
        <v>2</v>
      </c>
      <c r="Y130" s="331" t="s">
        <v>1606</v>
      </c>
    </row>
    <row r="131" spans="3:25" x14ac:dyDescent="0.3">
      <c r="C131" s="52" t="str">
        <f>'G-1 All Habitats'!B131</f>
        <v>Intertidal sediment - Littoral muddy sand</v>
      </c>
      <c r="D131" s="331" t="s">
        <v>1606</v>
      </c>
      <c r="E131" s="331" t="s">
        <v>1606</v>
      </c>
      <c r="F131" s="331" t="s">
        <v>1606</v>
      </c>
      <c r="G131" s="331" t="s">
        <v>1606</v>
      </c>
      <c r="H131" s="331" t="s">
        <v>1606</v>
      </c>
      <c r="I131" s="331" t="s">
        <v>1606</v>
      </c>
      <c r="J131" s="331" t="s">
        <v>1606</v>
      </c>
      <c r="K131" s="331" t="s">
        <v>1606</v>
      </c>
      <c r="L131" s="331" t="s">
        <v>1606</v>
      </c>
      <c r="M131" s="331" t="s">
        <v>1606</v>
      </c>
      <c r="N131" s="331" t="s">
        <v>1606</v>
      </c>
      <c r="O131" s="331">
        <v>2</v>
      </c>
      <c r="P131" s="331">
        <v>4</v>
      </c>
      <c r="Q131" s="331">
        <v>6</v>
      </c>
      <c r="R131" s="331">
        <v>8</v>
      </c>
      <c r="S131" s="331">
        <v>2</v>
      </c>
      <c r="T131" s="331">
        <v>4</v>
      </c>
      <c r="U131" s="331">
        <v>6</v>
      </c>
      <c r="V131" s="331">
        <v>2</v>
      </c>
      <c r="W131" s="331">
        <v>4</v>
      </c>
      <c r="X131" s="331">
        <v>2</v>
      </c>
      <c r="Y131" s="331" t="s">
        <v>1606</v>
      </c>
    </row>
    <row r="132" spans="3:25" x14ac:dyDescent="0.3">
      <c r="C132" s="52" t="str">
        <f>'G-1 All Habitats'!B132</f>
        <v>Intertidal hard structures - Artificial hard structures</v>
      </c>
      <c r="D132" s="331" t="s">
        <v>1606</v>
      </c>
      <c r="E132" s="331" t="s">
        <v>1606</v>
      </c>
      <c r="F132" s="331" t="s">
        <v>1606</v>
      </c>
      <c r="G132" s="331" t="s">
        <v>1606</v>
      </c>
      <c r="H132" s="331" t="s">
        <v>1606</v>
      </c>
      <c r="I132" s="331" t="s">
        <v>1606</v>
      </c>
      <c r="J132" s="331" t="s">
        <v>1606</v>
      </c>
      <c r="K132" s="331" t="s">
        <v>1606</v>
      </c>
      <c r="L132" s="331" t="s">
        <v>1606</v>
      </c>
      <c r="M132" s="331" t="s">
        <v>1606</v>
      </c>
      <c r="N132" s="331" t="s">
        <v>1606</v>
      </c>
      <c r="O132" s="331">
        <v>6</v>
      </c>
      <c r="P132" s="331">
        <v>4</v>
      </c>
      <c r="Q132" s="331">
        <v>10</v>
      </c>
      <c r="R132" s="331">
        <v>2</v>
      </c>
      <c r="S132" s="331">
        <v>2</v>
      </c>
      <c r="T132" s="331">
        <v>8</v>
      </c>
      <c r="U132" s="331">
        <v>6</v>
      </c>
      <c r="V132" s="331">
        <v>2</v>
      </c>
      <c r="W132" s="331">
        <v>12</v>
      </c>
      <c r="X132" s="331">
        <v>4</v>
      </c>
      <c r="Y132" s="331" t="s">
        <v>1606</v>
      </c>
    </row>
    <row r="133" spans="3:25" x14ac:dyDescent="0.3">
      <c r="C133" s="52" t="str">
        <f>'G-1 All Habitats'!B133</f>
        <v>Intertidal hard structures - Artificial features of hard structures</v>
      </c>
      <c r="D133" s="331" t="s">
        <v>1606</v>
      </c>
      <c r="E133" s="331" t="s">
        <v>1606</v>
      </c>
      <c r="F133" s="331" t="s">
        <v>1606</v>
      </c>
      <c r="G133" s="331" t="s">
        <v>1606</v>
      </c>
      <c r="H133" s="331" t="s">
        <v>1606</v>
      </c>
      <c r="I133" s="331" t="s">
        <v>1606</v>
      </c>
      <c r="J133" s="331" t="s">
        <v>1606</v>
      </c>
      <c r="K133" s="331" t="s">
        <v>1606</v>
      </c>
      <c r="L133" s="331" t="s">
        <v>1606</v>
      </c>
      <c r="M133" s="331" t="s">
        <v>1606</v>
      </c>
      <c r="N133" s="331" t="s">
        <v>1606</v>
      </c>
      <c r="O133" s="331">
        <v>5</v>
      </c>
      <c r="P133" s="331">
        <v>4</v>
      </c>
      <c r="Q133" s="331">
        <v>9</v>
      </c>
      <c r="R133" s="331">
        <v>2</v>
      </c>
      <c r="S133" s="331">
        <v>2</v>
      </c>
      <c r="T133" s="331">
        <v>7</v>
      </c>
      <c r="U133" s="331">
        <v>6</v>
      </c>
      <c r="V133" s="331">
        <v>2</v>
      </c>
      <c r="W133" s="331">
        <v>11</v>
      </c>
      <c r="X133" s="331">
        <v>4</v>
      </c>
      <c r="Y133" s="331" t="s">
        <v>1606</v>
      </c>
    </row>
    <row r="134" spans="3:25" x14ac:dyDescent="0.3">
      <c r="C134" s="52" t="str">
        <f>'G-1 All Habitats'!B134</f>
        <v>Intertidal hard structures - Artificial hard structures with integrated greening of grey infrastructure (IGGI)</v>
      </c>
      <c r="D134" s="331" t="s">
        <v>1606</v>
      </c>
      <c r="E134" s="331" t="s">
        <v>1606</v>
      </c>
      <c r="F134" s="331" t="s">
        <v>1606</v>
      </c>
      <c r="G134" s="331" t="s">
        <v>1606</v>
      </c>
      <c r="H134" s="331" t="s">
        <v>1606</v>
      </c>
      <c r="I134" s="331" t="s">
        <v>1606</v>
      </c>
      <c r="J134" s="331" t="s">
        <v>1606</v>
      </c>
      <c r="K134" s="331" t="s">
        <v>1606</v>
      </c>
      <c r="L134" s="331" t="s">
        <v>1606</v>
      </c>
      <c r="M134" s="331" t="s">
        <v>1606</v>
      </c>
      <c r="N134" s="331" t="s">
        <v>1606</v>
      </c>
      <c r="O134" s="331">
        <v>5</v>
      </c>
      <c r="P134" s="331">
        <v>4</v>
      </c>
      <c r="Q134" s="331">
        <v>9</v>
      </c>
      <c r="R134" s="331">
        <v>2</v>
      </c>
      <c r="S134" s="331">
        <v>2</v>
      </c>
      <c r="T134" s="331">
        <v>7</v>
      </c>
      <c r="U134" s="331">
        <v>6</v>
      </c>
      <c r="V134" s="331">
        <v>2</v>
      </c>
      <c r="W134" s="331">
        <v>11</v>
      </c>
      <c r="X134" s="331">
        <v>4</v>
      </c>
      <c r="Y134" s="331" t="s">
        <v>1606</v>
      </c>
    </row>
    <row r="135" spans="3:25" x14ac:dyDescent="0.3">
      <c r="C135" s="52" t="str">
        <f>'G-1 All Habitats'!B135</f>
        <v>Watercourse footprint - Watercourse footprint</v>
      </c>
      <c r="D135" s="331" t="s">
        <v>1606</v>
      </c>
      <c r="E135" s="331" t="s">
        <v>1606</v>
      </c>
      <c r="F135" s="331" t="s">
        <v>1606</v>
      </c>
      <c r="G135" s="331" t="s">
        <v>1606</v>
      </c>
      <c r="H135" s="331" t="s">
        <v>1606</v>
      </c>
      <c r="I135" s="331" t="s">
        <v>1606</v>
      </c>
      <c r="J135" s="331" t="s">
        <v>1606</v>
      </c>
      <c r="K135" s="331" t="s">
        <v>1606</v>
      </c>
      <c r="L135" s="331" t="s">
        <v>1606</v>
      </c>
      <c r="M135" s="331" t="s">
        <v>1606</v>
      </c>
      <c r="N135" s="331" t="s">
        <v>1606</v>
      </c>
      <c r="O135" s="331" t="s">
        <v>1606</v>
      </c>
      <c r="P135" s="331" t="s">
        <v>1606</v>
      </c>
      <c r="Q135" s="331" t="s">
        <v>1606</v>
      </c>
      <c r="R135" s="331" t="s">
        <v>1606</v>
      </c>
      <c r="S135" s="331" t="s">
        <v>1606</v>
      </c>
      <c r="T135" s="331" t="s">
        <v>1606</v>
      </c>
      <c r="U135" s="331" t="s">
        <v>1606</v>
      </c>
      <c r="V135" s="331" t="s">
        <v>1606</v>
      </c>
      <c r="W135" s="331" t="s">
        <v>1606</v>
      </c>
      <c r="X135" s="331" t="s">
        <v>1606</v>
      </c>
      <c r="Y135" s="331" t="s">
        <v>1606</v>
      </c>
    </row>
    <row r="136" spans="3:25" x14ac:dyDescent="0.3">
      <c r="C136" s="52" t="str">
        <f>'G-1 All Habitats'!B81</f>
        <v>Individual trees - Rural tree</v>
      </c>
      <c r="D136" s="331" t="s">
        <v>1606</v>
      </c>
      <c r="E136" s="331" t="s">
        <v>1606</v>
      </c>
      <c r="F136" s="331" t="s">
        <v>1606</v>
      </c>
      <c r="G136" s="331" t="s">
        <v>1606</v>
      </c>
      <c r="H136" s="331" t="s">
        <v>1606</v>
      </c>
      <c r="I136" s="331" t="s">
        <v>1606</v>
      </c>
      <c r="J136" s="331" t="s">
        <v>1606</v>
      </c>
      <c r="K136" s="331" t="s">
        <v>1606</v>
      </c>
      <c r="L136" s="331" t="s">
        <v>1606</v>
      </c>
      <c r="M136" s="331" t="s">
        <v>1606</v>
      </c>
      <c r="N136" s="331" t="s">
        <v>1606</v>
      </c>
      <c r="O136" s="331">
        <v>8</v>
      </c>
      <c r="P136" s="331">
        <v>16</v>
      </c>
      <c r="Q136" s="331">
        <v>24</v>
      </c>
      <c r="R136" s="331" t="s">
        <v>868</v>
      </c>
      <c r="S136" s="331">
        <v>8</v>
      </c>
      <c r="T136" s="331">
        <v>16</v>
      </c>
      <c r="U136" s="331">
        <v>24</v>
      </c>
      <c r="V136" s="331">
        <v>8</v>
      </c>
      <c r="W136" s="331">
        <v>16</v>
      </c>
      <c r="X136" s="331">
        <v>8</v>
      </c>
      <c r="Y136" s="331" t="s">
        <v>1606</v>
      </c>
    </row>
    <row r="147" x14ac:dyDescent="0.3"/>
    <row r="273" x14ac:dyDescent="0.3"/>
    <row r="274" x14ac:dyDescent="0.3"/>
    <row r="275" x14ac:dyDescent="0.3"/>
    <row r="279" x14ac:dyDescent="0.3"/>
    <row r="280" x14ac:dyDescent="0.3"/>
    <row r="281" x14ac:dyDescent="0.3"/>
    <row r="282" x14ac:dyDescent="0.3"/>
    <row r="283" x14ac:dyDescent="0.3"/>
    <row r="284" x14ac:dyDescent="0.3"/>
    <row r="285" x14ac:dyDescent="0.3"/>
    <row r="286" x14ac:dyDescent="0.3"/>
    <row r="287" x14ac:dyDescent="0.3"/>
    <row r="288" x14ac:dyDescent="0.3"/>
    <row r="289" x14ac:dyDescent="0.3"/>
    <row r="290" x14ac:dyDescent="0.3"/>
    <row r="291" x14ac:dyDescent="0.3"/>
    <row r="292" x14ac:dyDescent="0.3"/>
    <row r="293" x14ac:dyDescent="0.3"/>
    <row r="294" x14ac:dyDescent="0.3"/>
    <row r="295" x14ac:dyDescent="0.3"/>
  </sheetData>
  <sheetProtection algorithmName="SHA-512" hashValue="hU8dpsoT75oRTvJ7npzHWfXjDq92ZQ9Fl4yerCaWLpqUVH2nmRVqldFVg0I8PUDXQPYARYZk0Ptw1X8ZYLhvpA==" saltValue="Ied47Z4TCgJAxFxpMhdScg==" spinCount="100000" sheet="1" objects="1" scenarios="1"/>
  <customSheetViews>
    <customSheetView guid="{8BDA793C-C9C5-4FC6-A0A5-F1109F6D4F22}" state="hidden">
      <pane xSplit="3" ySplit="4" topLeftCell="D127" activePane="bottomRight" state="frozen"/>
      <selection pane="bottomRight" activeCell="D14" sqref="D14"/>
    </customSheetView>
  </customSheetView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'G-4 Temporal multipliers'!$A$4:$A$37</xm:f>
          </x14:formula1>
          <xm:sqref>D5:Y136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tabColor rgb="FFFFC000"/>
  </sheetPr>
  <dimension ref="A1:BW20"/>
  <sheetViews>
    <sheetView zoomScale="110" zoomScaleNormal="80" workbookViewId="0">
      <pane xSplit="2" ySplit="2" topLeftCell="E3" activePane="bottomRight" state="frozen"/>
      <selection activeCell="U12" sqref="U12"/>
      <selection pane="topRight" activeCell="U12" sqref="U12"/>
      <selection pane="bottomLeft" activeCell="U12" sqref="U12"/>
      <selection pane="bottomRight" activeCell="T4" sqref="T4"/>
    </sheetView>
  </sheetViews>
  <sheetFormatPr defaultColWidth="0" defaultRowHeight="14" zeroHeight="1" x14ac:dyDescent="0.3"/>
  <cols>
    <col min="1" max="1" width="8.26953125" style="15" customWidth="1"/>
    <col min="2" max="2" width="66.453125" style="15" bestFit="1" customWidth="1"/>
    <col min="3" max="3" width="17.26953125" style="15" customWidth="1"/>
    <col min="4" max="4" width="17.1796875" style="15" customWidth="1"/>
    <col min="5" max="5" width="10.26953125" style="15" customWidth="1"/>
    <col min="6" max="6" width="9.54296875" style="15" hidden="1" customWidth="1"/>
    <col min="7" max="7" width="13.81640625" style="15" customWidth="1"/>
    <col min="8" max="8" width="10" style="15" hidden="1" customWidth="1"/>
    <col min="9" max="9" width="13.7265625" style="15" customWidth="1"/>
    <col min="10" max="10" width="8.1796875" style="15" hidden="1" customWidth="1"/>
    <col min="11" max="11" width="16.1796875" style="15" customWidth="1"/>
    <col min="12" max="12" width="7.81640625" style="15" hidden="1" customWidth="1"/>
    <col min="13" max="13" width="14.81640625" style="15" customWidth="1"/>
    <col min="14" max="14" width="10.54296875" style="15" hidden="1" customWidth="1"/>
    <col min="15" max="15" width="10.7265625" style="15" hidden="1" customWidth="1"/>
    <col min="16" max="16" width="4.1796875" style="15" hidden="1" customWidth="1"/>
    <col min="17" max="17" width="14.1796875" style="136" customWidth="1"/>
    <col min="18" max="18" width="4.1796875" style="15" hidden="1" customWidth="1"/>
    <col min="19" max="19" width="8.26953125" style="791" customWidth="1"/>
    <col min="20" max="31" width="5.26953125" style="791" bestFit="1" customWidth="1"/>
    <col min="32" max="32" width="12.7265625" style="15" customWidth="1"/>
    <col min="33" max="33" width="15.7265625" style="15" customWidth="1"/>
    <col min="34" max="34" width="32.1796875" style="15" customWidth="1"/>
    <col min="35" max="35" width="8.81640625" style="15" customWidth="1"/>
    <col min="36" max="37" width="14" style="15" customWidth="1"/>
    <col min="38" max="38" width="8.81640625" style="15" customWidth="1"/>
    <col min="39" max="39" width="66.453125" style="15" bestFit="1" customWidth="1"/>
    <col min="40" max="40" width="14.54296875" style="15" bestFit="1" customWidth="1"/>
    <col min="41" max="43" width="16.81640625" style="15" bestFit="1" customWidth="1"/>
    <col min="44" max="44" width="16.81640625" style="791" bestFit="1" customWidth="1"/>
    <col min="45" max="52" width="16.81640625" style="780" bestFit="1" customWidth="1"/>
    <col min="53" max="56" width="8.81640625" style="15" customWidth="1"/>
    <col min="57" max="61" width="8.81640625" style="15" hidden="1" customWidth="1"/>
    <col min="62" max="62" width="12.453125" style="123" hidden="1" customWidth="1"/>
    <col min="63" max="64" width="12" style="15" hidden="1" customWidth="1"/>
    <col min="65" max="75" width="0" style="15" hidden="1" customWidth="1"/>
    <col min="76" max="16384" width="8.81640625" style="15" hidden="1"/>
  </cols>
  <sheetData>
    <row r="1" spans="1:64" ht="66.75" customHeight="1" thickBot="1" x14ac:dyDescent="0.45">
      <c r="A1" s="1286"/>
      <c r="B1" s="1316"/>
      <c r="C1" s="1320" t="s">
        <v>137</v>
      </c>
      <c r="D1" s="1321"/>
      <c r="E1" s="1317" t="s">
        <v>895</v>
      </c>
      <c r="F1" s="1318"/>
      <c r="G1" s="1318"/>
      <c r="H1" s="1318"/>
      <c r="I1" s="1319"/>
      <c r="J1" s="1317" t="s">
        <v>896</v>
      </c>
      <c r="K1" s="1318"/>
      <c r="L1" s="1318"/>
      <c r="M1" s="1318"/>
      <c r="N1" s="1318"/>
      <c r="O1" s="1318"/>
      <c r="P1" s="1318"/>
      <c r="Q1" s="1318"/>
      <c r="R1" s="1319"/>
      <c r="S1" s="1317" t="s">
        <v>897</v>
      </c>
      <c r="T1" s="1318"/>
      <c r="U1" s="1318"/>
      <c r="V1" s="1318"/>
      <c r="W1" s="1318"/>
      <c r="X1" s="1318"/>
      <c r="Y1" s="1318"/>
      <c r="Z1" s="1318"/>
      <c r="AA1" s="1318"/>
      <c r="AB1" s="1318"/>
      <c r="AC1" s="1318"/>
      <c r="AD1" s="1318"/>
      <c r="AE1" s="1319"/>
      <c r="AF1" s="1320" t="s">
        <v>225</v>
      </c>
      <c r="AG1" s="1321"/>
      <c r="AH1" s="1232" t="s">
        <v>898</v>
      </c>
      <c r="AJ1" s="1320" t="s">
        <v>222</v>
      </c>
      <c r="AK1" s="1321"/>
      <c r="AM1" s="122" t="s">
        <v>899</v>
      </c>
      <c r="AN1" s="1324" t="s">
        <v>900</v>
      </c>
      <c r="AO1" s="1324"/>
      <c r="AP1" s="1324"/>
      <c r="AQ1" s="1324"/>
      <c r="AR1" s="1324"/>
      <c r="AS1" s="1324"/>
      <c r="AT1" s="1324"/>
      <c r="AU1" s="1324"/>
      <c r="AV1" s="1324"/>
      <c r="AW1" s="1324"/>
      <c r="AX1" s="1324"/>
      <c r="AY1" s="1324"/>
      <c r="AZ1" s="1324"/>
      <c r="BK1" s="1322" t="s">
        <v>901</v>
      </c>
      <c r="BL1" s="1323"/>
    </row>
    <row r="2" spans="1:64" ht="182.25" customHeight="1" thickBot="1" x14ac:dyDescent="0.35">
      <c r="B2" s="124" t="s">
        <v>754</v>
      </c>
      <c r="C2" s="121" t="s">
        <v>278</v>
      </c>
      <c r="D2" s="125" t="s">
        <v>279</v>
      </c>
      <c r="E2" s="121" t="s">
        <v>194</v>
      </c>
      <c r="F2" s="126"/>
      <c r="G2" s="126" t="s">
        <v>35</v>
      </c>
      <c r="H2" s="126"/>
      <c r="I2" s="125" t="s">
        <v>36</v>
      </c>
      <c r="J2" s="121"/>
      <c r="K2" s="126" t="s">
        <v>885</v>
      </c>
      <c r="L2" s="126"/>
      <c r="M2" s="126" t="s">
        <v>887</v>
      </c>
      <c r="N2" s="126"/>
      <c r="O2" s="126"/>
      <c r="P2" s="126"/>
      <c r="Q2" s="125" t="s">
        <v>892</v>
      </c>
      <c r="R2" s="127"/>
      <c r="S2" s="792" t="s">
        <v>66</v>
      </c>
      <c r="T2" s="793" t="s">
        <v>67</v>
      </c>
      <c r="U2" s="793" t="s">
        <v>68</v>
      </c>
      <c r="V2" s="793" t="s">
        <v>69</v>
      </c>
      <c r="W2" s="793" t="s">
        <v>70</v>
      </c>
      <c r="X2" s="793" t="s">
        <v>71</v>
      </c>
      <c r="Y2" s="793" t="s">
        <v>72</v>
      </c>
      <c r="Z2" s="793" t="s">
        <v>73</v>
      </c>
      <c r="AA2" s="793" t="s">
        <v>74</v>
      </c>
      <c r="AB2" s="793" t="s">
        <v>75</v>
      </c>
      <c r="AC2" s="793" t="s">
        <v>76</v>
      </c>
      <c r="AD2" s="793" t="s">
        <v>902</v>
      </c>
      <c r="AE2" s="793" t="s">
        <v>77</v>
      </c>
      <c r="AF2" s="121" t="s">
        <v>281</v>
      </c>
      <c r="AG2" s="125" t="s">
        <v>282</v>
      </c>
      <c r="AH2" s="1251"/>
      <c r="AJ2" s="121" t="s">
        <v>903</v>
      </c>
      <c r="AK2" s="125" t="s">
        <v>904</v>
      </c>
      <c r="AM2" s="128" t="s">
        <v>905</v>
      </c>
      <c r="AN2" s="113" t="s">
        <v>66</v>
      </c>
      <c r="AO2" s="113" t="s">
        <v>67</v>
      </c>
      <c r="AP2" s="113" t="s">
        <v>68</v>
      </c>
      <c r="AQ2" s="113" t="s">
        <v>69</v>
      </c>
      <c r="AR2" s="790" t="s">
        <v>70</v>
      </c>
      <c r="AS2" s="779" t="s">
        <v>71</v>
      </c>
      <c r="AT2" s="779" t="s">
        <v>72</v>
      </c>
      <c r="AU2" s="779" t="s">
        <v>73</v>
      </c>
      <c r="AV2" s="779" t="s">
        <v>74</v>
      </c>
      <c r="AW2" s="779" t="s">
        <v>75</v>
      </c>
      <c r="AX2" s="779" t="s">
        <v>76</v>
      </c>
      <c r="AY2" s="779" t="s">
        <v>902</v>
      </c>
      <c r="AZ2" s="779" t="s">
        <v>77</v>
      </c>
      <c r="BK2" s="53" t="s">
        <v>906</v>
      </c>
      <c r="BL2" s="53" t="s">
        <v>907</v>
      </c>
    </row>
    <row r="3" spans="1:64" ht="30.75" customHeight="1" thickBot="1" x14ac:dyDescent="0.35">
      <c r="A3" s="129"/>
      <c r="B3" s="386" t="s">
        <v>66</v>
      </c>
      <c r="C3" s="363" t="s">
        <v>297</v>
      </c>
      <c r="D3" s="364">
        <v>8</v>
      </c>
      <c r="E3" s="365">
        <v>1</v>
      </c>
      <c r="F3" s="366"/>
      <c r="G3" s="366">
        <v>10</v>
      </c>
      <c r="H3" s="366"/>
      <c r="I3" s="364">
        <v>20</v>
      </c>
      <c r="J3" s="365"/>
      <c r="K3" s="366">
        <v>6</v>
      </c>
      <c r="L3" s="366"/>
      <c r="M3" s="366">
        <v>10</v>
      </c>
      <c r="N3" s="366"/>
      <c r="O3" s="366"/>
      <c r="P3" s="366"/>
      <c r="Q3" s="364">
        <v>4</v>
      </c>
      <c r="R3" s="367"/>
      <c r="S3" s="794" t="s">
        <v>1613</v>
      </c>
      <c r="T3" s="379" t="s">
        <v>1613</v>
      </c>
      <c r="U3" s="379" t="s">
        <v>1613</v>
      </c>
      <c r="V3" s="379" t="s">
        <v>1613</v>
      </c>
      <c r="W3" s="379" t="s">
        <v>1613</v>
      </c>
      <c r="X3" s="379" t="s">
        <v>1613</v>
      </c>
      <c r="Y3" s="379" t="s">
        <v>1613</v>
      </c>
      <c r="Z3" s="379" t="s">
        <v>1613</v>
      </c>
      <c r="AA3" s="379" t="s">
        <v>1613</v>
      </c>
      <c r="AB3" s="379" t="s">
        <v>1613</v>
      </c>
      <c r="AC3" s="379" t="s">
        <v>1613</v>
      </c>
      <c r="AD3" s="379" t="s">
        <v>1613</v>
      </c>
      <c r="AE3" s="795" t="s">
        <v>1613</v>
      </c>
      <c r="AF3" s="369" t="s">
        <v>92</v>
      </c>
      <c r="AG3" s="370" t="s">
        <v>92</v>
      </c>
      <c r="AH3" s="371" t="s">
        <v>908</v>
      </c>
      <c r="AJ3" s="131" t="s">
        <v>36</v>
      </c>
      <c r="AK3" s="376">
        <v>3</v>
      </c>
      <c r="AM3" s="130" t="s">
        <v>66</v>
      </c>
      <c r="AN3" s="368" t="s">
        <v>909</v>
      </c>
      <c r="AO3" s="379" t="s">
        <v>1605</v>
      </c>
      <c r="AP3" s="368" t="s">
        <v>1605</v>
      </c>
      <c r="AQ3" s="379" t="s">
        <v>1605</v>
      </c>
      <c r="AR3" s="379" t="s">
        <v>1605</v>
      </c>
      <c r="AS3" s="379" t="s">
        <v>1605</v>
      </c>
      <c r="AT3" s="379" t="s">
        <v>1605</v>
      </c>
      <c r="AU3" s="379" t="s">
        <v>1605</v>
      </c>
      <c r="AV3" s="379" t="s">
        <v>1605</v>
      </c>
      <c r="AW3" s="379" t="s">
        <v>1605</v>
      </c>
      <c r="AX3" s="379" t="s">
        <v>1605</v>
      </c>
      <c r="AY3" s="379" t="s">
        <v>1605</v>
      </c>
      <c r="AZ3" s="379" t="s">
        <v>1605</v>
      </c>
      <c r="BJ3" s="123" t="s">
        <v>906</v>
      </c>
      <c r="BK3" s="132" t="s">
        <v>36</v>
      </c>
      <c r="BL3" s="132" t="s">
        <v>194</v>
      </c>
    </row>
    <row r="4" spans="1:64" ht="54.65" customHeight="1" thickBot="1" x14ac:dyDescent="0.35">
      <c r="A4" s="129"/>
      <c r="B4" s="387" t="s">
        <v>67</v>
      </c>
      <c r="C4" s="325" t="s">
        <v>90</v>
      </c>
      <c r="D4" s="370">
        <v>6</v>
      </c>
      <c r="E4" s="369">
        <v>1</v>
      </c>
      <c r="F4" s="331"/>
      <c r="G4" s="331">
        <v>10</v>
      </c>
      <c r="H4" s="331"/>
      <c r="I4" s="370">
        <v>20</v>
      </c>
      <c r="J4" s="369"/>
      <c r="K4" s="331">
        <v>6</v>
      </c>
      <c r="L4" s="331"/>
      <c r="M4" s="331">
        <v>10</v>
      </c>
      <c r="N4" s="331"/>
      <c r="O4" s="331"/>
      <c r="P4" s="331"/>
      <c r="Q4" s="370">
        <v>4</v>
      </c>
      <c r="R4" s="372"/>
      <c r="S4" s="369">
        <v>5</v>
      </c>
      <c r="T4" s="379" t="s">
        <v>1613</v>
      </c>
      <c r="U4" s="379" t="s">
        <v>1613</v>
      </c>
      <c r="V4" s="379" t="s">
        <v>1613</v>
      </c>
      <c r="W4" s="379" t="s">
        <v>1613</v>
      </c>
      <c r="X4" s="379" t="s">
        <v>1613</v>
      </c>
      <c r="Y4" s="379" t="s">
        <v>1613</v>
      </c>
      <c r="Z4" s="379" t="s">
        <v>1613</v>
      </c>
      <c r="AA4" s="379" t="s">
        <v>1613</v>
      </c>
      <c r="AB4" s="379" t="s">
        <v>1613</v>
      </c>
      <c r="AC4" s="379" t="s">
        <v>1613</v>
      </c>
      <c r="AD4" s="379" t="s">
        <v>1613</v>
      </c>
      <c r="AE4" s="795" t="s">
        <v>1613</v>
      </c>
      <c r="AF4" s="369" t="s">
        <v>92</v>
      </c>
      <c r="AG4" s="370" t="s">
        <v>92</v>
      </c>
      <c r="AH4" s="373" t="s">
        <v>111</v>
      </c>
      <c r="AJ4" s="51" t="s">
        <v>35</v>
      </c>
      <c r="AK4" s="377">
        <v>2</v>
      </c>
      <c r="AM4" s="130" t="s">
        <v>67</v>
      </c>
      <c r="AN4" s="310" t="s">
        <v>910</v>
      </c>
      <c r="AO4" s="379" t="s">
        <v>911</v>
      </c>
      <c r="AP4" s="310" t="s">
        <v>1604</v>
      </c>
      <c r="AQ4" s="310" t="s">
        <v>1604</v>
      </c>
      <c r="AR4" s="379" t="s">
        <v>1605</v>
      </c>
      <c r="AS4" s="379" t="s">
        <v>1605</v>
      </c>
      <c r="AT4" s="379" t="s">
        <v>1605</v>
      </c>
      <c r="AU4" s="379" t="s">
        <v>1605</v>
      </c>
      <c r="AV4" s="379" t="s">
        <v>1605</v>
      </c>
      <c r="AW4" s="379" t="s">
        <v>1605</v>
      </c>
      <c r="AX4" s="379" t="s">
        <v>1605</v>
      </c>
      <c r="AY4" s="379" t="s">
        <v>1605</v>
      </c>
      <c r="AZ4" s="379" t="s">
        <v>1605</v>
      </c>
      <c r="BJ4" s="123" t="s">
        <v>906</v>
      </c>
      <c r="BK4" s="132" t="s">
        <v>35</v>
      </c>
    </row>
    <row r="5" spans="1:64" ht="51.65" customHeight="1" thickBot="1" x14ac:dyDescent="0.35">
      <c r="A5" s="129"/>
      <c r="B5" s="387" t="s">
        <v>68</v>
      </c>
      <c r="C5" s="325" t="s">
        <v>90</v>
      </c>
      <c r="D5" s="370">
        <v>6</v>
      </c>
      <c r="E5" s="369">
        <v>1</v>
      </c>
      <c r="F5" s="331"/>
      <c r="G5" s="331">
        <v>5</v>
      </c>
      <c r="H5" s="331"/>
      <c r="I5" s="370">
        <v>12</v>
      </c>
      <c r="J5" s="369"/>
      <c r="K5" s="331">
        <v>3</v>
      </c>
      <c r="L5" s="331"/>
      <c r="M5" s="331">
        <v>5</v>
      </c>
      <c r="N5" s="331"/>
      <c r="O5" s="331"/>
      <c r="P5" s="331"/>
      <c r="Q5" s="370">
        <v>2</v>
      </c>
      <c r="R5" s="372"/>
      <c r="S5" s="369">
        <v>10</v>
      </c>
      <c r="T5" s="379" t="s">
        <v>1613</v>
      </c>
      <c r="U5" s="379" t="s">
        <v>1613</v>
      </c>
      <c r="V5" s="379" t="s">
        <v>1613</v>
      </c>
      <c r="W5" s="379" t="s">
        <v>1613</v>
      </c>
      <c r="X5" s="379" t="s">
        <v>1613</v>
      </c>
      <c r="Y5" s="379" t="s">
        <v>1613</v>
      </c>
      <c r="Z5" s="379" t="s">
        <v>1613</v>
      </c>
      <c r="AA5" s="379" t="s">
        <v>1613</v>
      </c>
      <c r="AB5" s="379" t="s">
        <v>1613</v>
      </c>
      <c r="AC5" s="379" t="s">
        <v>1613</v>
      </c>
      <c r="AD5" s="379" t="s">
        <v>1613</v>
      </c>
      <c r="AE5" s="795" t="s">
        <v>1613</v>
      </c>
      <c r="AF5" s="369" t="s">
        <v>92</v>
      </c>
      <c r="AG5" s="370" t="s">
        <v>92</v>
      </c>
      <c r="AH5" s="373" t="s">
        <v>111</v>
      </c>
      <c r="AJ5" s="53" t="s">
        <v>194</v>
      </c>
      <c r="AK5" s="378">
        <v>1</v>
      </c>
      <c r="AM5" s="130" t="s">
        <v>68</v>
      </c>
      <c r="AN5" s="368" t="s">
        <v>910</v>
      </c>
      <c r="AO5" s="310" t="s">
        <v>1604</v>
      </c>
      <c r="AP5" s="310" t="s">
        <v>911</v>
      </c>
      <c r="AQ5" s="310" t="s">
        <v>1604</v>
      </c>
      <c r="AR5" s="379" t="s">
        <v>1605</v>
      </c>
      <c r="AS5" s="379" t="s">
        <v>1605</v>
      </c>
      <c r="AT5" s="379" t="s">
        <v>1605</v>
      </c>
      <c r="AU5" s="379" t="s">
        <v>1605</v>
      </c>
      <c r="AV5" s="379" t="s">
        <v>1605</v>
      </c>
      <c r="AW5" s="379" t="s">
        <v>1605</v>
      </c>
      <c r="AX5" s="379" t="s">
        <v>1605</v>
      </c>
      <c r="AY5" s="379" t="s">
        <v>1605</v>
      </c>
      <c r="AZ5" s="379" t="s">
        <v>1605</v>
      </c>
      <c r="BJ5" s="123" t="s">
        <v>906</v>
      </c>
      <c r="BK5" s="132" t="s">
        <v>194</v>
      </c>
    </row>
    <row r="6" spans="1:64" ht="55.5" customHeight="1" thickBot="1" x14ac:dyDescent="0.35">
      <c r="A6" s="129"/>
      <c r="B6" s="387" t="s">
        <v>69</v>
      </c>
      <c r="C6" s="325" t="s">
        <v>90</v>
      </c>
      <c r="D6" s="370">
        <v>6</v>
      </c>
      <c r="E6" s="369">
        <v>1</v>
      </c>
      <c r="F6" s="331"/>
      <c r="G6" s="331">
        <v>10</v>
      </c>
      <c r="H6" s="331"/>
      <c r="I6" s="370">
        <v>20</v>
      </c>
      <c r="J6" s="369"/>
      <c r="K6" s="331">
        <v>6</v>
      </c>
      <c r="L6" s="331"/>
      <c r="M6" s="331">
        <v>10</v>
      </c>
      <c r="N6" s="331"/>
      <c r="O6" s="331"/>
      <c r="P6" s="331"/>
      <c r="Q6" s="370">
        <v>4</v>
      </c>
      <c r="R6" s="372"/>
      <c r="S6" s="369">
        <v>5</v>
      </c>
      <c r="T6" s="379" t="s">
        <v>1613</v>
      </c>
      <c r="U6" s="379" t="s">
        <v>1613</v>
      </c>
      <c r="V6" s="379" t="s">
        <v>1613</v>
      </c>
      <c r="W6" s="379" t="s">
        <v>1613</v>
      </c>
      <c r="X6" s="379" t="s">
        <v>1613</v>
      </c>
      <c r="Y6" s="379" t="s">
        <v>1613</v>
      </c>
      <c r="Z6" s="379" t="s">
        <v>1613</v>
      </c>
      <c r="AA6" s="379" t="s">
        <v>1613</v>
      </c>
      <c r="AB6" s="379" t="s">
        <v>1613</v>
      </c>
      <c r="AC6" s="379" t="s">
        <v>1613</v>
      </c>
      <c r="AD6" s="379" t="s">
        <v>1613</v>
      </c>
      <c r="AE6" s="795" t="s">
        <v>1613</v>
      </c>
      <c r="AF6" s="369" t="s">
        <v>92</v>
      </c>
      <c r="AG6" s="370" t="s">
        <v>92</v>
      </c>
      <c r="AH6" s="373" t="s">
        <v>111</v>
      </c>
      <c r="AM6" s="130" t="s">
        <v>69</v>
      </c>
      <c r="AN6" s="310" t="s">
        <v>910</v>
      </c>
      <c r="AO6" s="310" t="s">
        <v>1604</v>
      </c>
      <c r="AP6" s="310" t="s">
        <v>1604</v>
      </c>
      <c r="AQ6" s="379" t="s">
        <v>911</v>
      </c>
      <c r="AR6" s="379" t="s">
        <v>1605</v>
      </c>
      <c r="AS6" s="379" t="s">
        <v>1605</v>
      </c>
      <c r="AT6" s="379" t="s">
        <v>1605</v>
      </c>
      <c r="AU6" s="379" t="s">
        <v>1605</v>
      </c>
      <c r="AV6" s="379" t="s">
        <v>1605</v>
      </c>
      <c r="AW6" s="379" t="s">
        <v>1605</v>
      </c>
      <c r="AX6" s="379" t="s">
        <v>1605</v>
      </c>
      <c r="AY6" s="379" t="s">
        <v>1605</v>
      </c>
      <c r="AZ6" s="379" t="s">
        <v>1605</v>
      </c>
      <c r="BJ6" s="123" t="s">
        <v>906</v>
      </c>
    </row>
    <row r="7" spans="1:64" ht="42.5" thickBot="1" x14ac:dyDescent="0.35">
      <c r="A7" s="129"/>
      <c r="B7" s="387" t="s">
        <v>70</v>
      </c>
      <c r="C7" s="325" t="s">
        <v>38</v>
      </c>
      <c r="D7" s="370">
        <v>4</v>
      </c>
      <c r="E7" s="369">
        <v>1</v>
      </c>
      <c r="F7" s="331"/>
      <c r="G7" s="331">
        <v>5</v>
      </c>
      <c r="H7" s="331"/>
      <c r="I7" s="370">
        <v>12</v>
      </c>
      <c r="J7" s="369"/>
      <c r="K7" s="331">
        <v>3</v>
      </c>
      <c r="L7" s="331"/>
      <c r="M7" s="331">
        <v>5</v>
      </c>
      <c r="N7" s="331"/>
      <c r="O7" s="331"/>
      <c r="P7" s="331"/>
      <c r="Q7" s="370">
        <v>2</v>
      </c>
      <c r="R7" s="372"/>
      <c r="S7" s="369">
        <v>10</v>
      </c>
      <c r="T7" s="331">
        <v>10</v>
      </c>
      <c r="U7" s="331">
        <v>5</v>
      </c>
      <c r="V7" s="331">
        <v>10</v>
      </c>
      <c r="W7" s="379" t="s">
        <v>1613</v>
      </c>
      <c r="X7" s="379" t="s">
        <v>1613</v>
      </c>
      <c r="Y7" s="379" t="s">
        <v>1613</v>
      </c>
      <c r="Z7" s="379" t="s">
        <v>1613</v>
      </c>
      <c r="AA7" s="379" t="s">
        <v>1613</v>
      </c>
      <c r="AB7" s="379" t="s">
        <v>1613</v>
      </c>
      <c r="AC7" s="379" t="s">
        <v>1613</v>
      </c>
      <c r="AD7" s="379" t="s">
        <v>1613</v>
      </c>
      <c r="AE7" s="795" t="s">
        <v>1613</v>
      </c>
      <c r="AF7" s="369" t="s">
        <v>92</v>
      </c>
      <c r="AG7" s="370" t="s">
        <v>92</v>
      </c>
      <c r="AH7" s="373" t="s">
        <v>912</v>
      </c>
      <c r="AM7" s="130" t="s">
        <v>70</v>
      </c>
      <c r="AN7" s="379" t="s">
        <v>913</v>
      </c>
      <c r="AO7" s="310" t="s">
        <v>914</v>
      </c>
      <c r="AP7" s="310" t="s">
        <v>914</v>
      </c>
      <c r="AQ7" s="310" t="s">
        <v>1604</v>
      </c>
      <c r="AR7" s="310" t="s">
        <v>915</v>
      </c>
      <c r="AS7" s="310" t="s">
        <v>1604</v>
      </c>
      <c r="AT7" s="310" t="s">
        <v>1604</v>
      </c>
      <c r="AU7" s="310" t="s">
        <v>1604</v>
      </c>
      <c r="AV7" s="310" t="s">
        <v>1604</v>
      </c>
      <c r="AW7" s="379" t="s">
        <v>1605</v>
      </c>
      <c r="AX7" s="379" t="s">
        <v>1605</v>
      </c>
      <c r="AY7" s="379" t="s">
        <v>1605</v>
      </c>
      <c r="AZ7" s="379" t="s">
        <v>1605</v>
      </c>
      <c r="BJ7" s="123" t="s">
        <v>906</v>
      </c>
    </row>
    <row r="8" spans="1:64" ht="42.5" thickBot="1" x14ac:dyDescent="0.35">
      <c r="A8" s="129"/>
      <c r="B8" s="387" t="s">
        <v>71</v>
      </c>
      <c r="C8" s="325" t="s">
        <v>38</v>
      </c>
      <c r="D8" s="370">
        <v>4</v>
      </c>
      <c r="E8" s="369">
        <v>1</v>
      </c>
      <c r="F8" s="331"/>
      <c r="G8" s="331">
        <v>5</v>
      </c>
      <c r="H8" s="331"/>
      <c r="I8" s="370">
        <v>12</v>
      </c>
      <c r="J8" s="369"/>
      <c r="K8" s="331">
        <v>3</v>
      </c>
      <c r="L8" s="331"/>
      <c r="M8" s="331">
        <v>5</v>
      </c>
      <c r="N8" s="331"/>
      <c r="O8" s="331"/>
      <c r="P8" s="331"/>
      <c r="Q8" s="370">
        <v>2</v>
      </c>
      <c r="R8" s="372"/>
      <c r="S8" s="369">
        <v>10</v>
      </c>
      <c r="T8" s="331">
        <v>10</v>
      </c>
      <c r="U8" s="331">
        <v>5</v>
      </c>
      <c r="V8" s="331">
        <v>10</v>
      </c>
      <c r="W8" s="379" t="s">
        <v>1613</v>
      </c>
      <c r="X8" s="379" t="s">
        <v>1613</v>
      </c>
      <c r="Y8" s="379" t="s">
        <v>1613</v>
      </c>
      <c r="Z8" s="379" t="s">
        <v>1613</v>
      </c>
      <c r="AA8" s="379" t="s">
        <v>1613</v>
      </c>
      <c r="AB8" s="379" t="s">
        <v>1613</v>
      </c>
      <c r="AC8" s="379" t="s">
        <v>1613</v>
      </c>
      <c r="AD8" s="379" t="s">
        <v>1613</v>
      </c>
      <c r="AE8" s="795" t="s">
        <v>1613</v>
      </c>
      <c r="AF8" s="369" t="s">
        <v>92</v>
      </c>
      <c r="AG8" s="370" t="s">
        <v>92</v>
      </c>
      <c r="AH8" s="373" t="s">
        <v>912</v>
      </c>
      <c r="AM8" s="130" t="s">
        <v>71</v>
      </c>
      <c r="AN8" s="379" t="s">
        <v>913</v>
      </c>
      <c r="AO8" s="310" t="s">
        <v>1604</v>
      </c>
      <c r="AP8" s="310" t="s">
        <v>914</v>
      </c>
      <c r="AQ8" s="310" t="s">
        <v>914</v>
      </c>
      <c r="AR8" s="310" t="s">
        <v>1604</v>
      </c>
      <c r="AS8" s="310" t="s">
        <v>915</v>
      </c>
      <c r="AT8" s="310" t="s">
        <v>1604</v>
      </c>
      <c r="AU8" s="310" t="s">
        <v>1604</v>
      </c>
      <c r="AV8" s="310" t="s">
        <v>1604</v>
      </c>
      <c r="AW8" s="379" t="s">
        <v>1605</v>
      </c>
      <c r="AX8" s="379" t="s">
        <v>1605</v>
      </c>
      <c r="AY8" s="379" t="s">
        <v>1605</v>
      </c>
      <c r="AZ8" s="379" t="s">
        <v>1605</v>
      </c>
      <c r="BJ8" s="123" t="s">
        <v>906</v>
      </c>
    </row>
    <row r="9" spans="1:64" ht="48.65" customHeight="1" thickBot="1" x14ac:dyDescent="0.35">
      <c r="B9" s="387" t="s">
        <v>72</v>
      </c>
      <c r="C9" s="325" t="s">
        <v>38</v>
      </c>
      <c r="D9" s="370">
        <v>4</v>
      </c>
      <c r="E9" s="369">
        <v>1</v>
      </c>
      <c r="F9" s="331"/>
      <c r="G9" s="331">
        <v>10</v>
      </c>
      <c r="H9" s="331"/>
      <c r="I9" s="370">
        <v>20</v>
      </c>
      <c r="J9" s="369"/>
      <c r="K9" s="331">
        <v>6</v>
      </c>
      <c r="L9" s="331"/>
      <c r="M9" s="331">
        <v>10</v>
      </c>
      <c r="N9" s="331"/>
      <c r="O9" s="331"/>
      <c r="P9" s="331"/>
      <c r="Q9" s="370">
        <v>4</v>
      </c>
      <c r="R9" s="372"/>
      <c r="S9" s="369">
        <v>5</v>
      </c>
      <c r="T9" s="331">
        <v>5</v>
      </c>
      <c r="U9" s="331">
        <v>5</v>
      </c>
      <c r="V9" s="331">
        <v>5</v>
      </c>
      <c r="W9" s="379" t="s">
        <v>1613</v>
      </c>
      <c r="X9" s="379" t="s">
        <v>1613</v>
      </c>
      <c r="Y9" s="379" t="s">
        <v>1613</v>
      </c>
      <c r="Z9" s="379" t="s">
        <v>1613</v>
      </c>
      <c r="AA9" s="379" t="s">
        <v>1613</v>
      </c>
      <c r="AB9" s="379" t="s">
        <v>1613</v>
      </c>
      <c r="AC9" s="379" t="s">
        <v>1613</v>
      </c>
      <c r="AD9" s="379" t="s">
        <v>1613</v>
      </c>
      <c r="AE9" s="795" t="s">
        <v>1613</v>
      </c>
      <c r="AF9" s="369" t="s">
        <v>92</v>
      </c>
      <c r="AG9" s="370" t="s">
        <v>92</v>
      </c>
      <c r="AH9" s="373" t="s">
        <v>912</v>
      </c>
      <c r="AM9" s="130" t="s">
        <v>72</v>
      </c>
      <c r="AN9" s="379" t="s">
        <v>913</v>
      </c>
      <c r="AO9" s="310" t="s">
        <v>914</v>
      </c>
      <c r="AP9" s="310" t="s">
        <v>914</v>
      </c>
      <c r="AQ9" s="310" t="s">
        <v>914</v>
      </c>
      <c r="AR9" s="310" t="s">
        <v>1604</v>
      </c>
      <c r="AS9" s="310" t="s">
        <v>1604</v>
      </c>
      <c r="AT9" s="310" t="s">
        <v>915</v>
      </c>
      <c r="AU9" s="310" t="s">
        <v>1604</v>
      </c>
      <c r="AV9" s="310" t="s">
        <v>1604</v>
      </c>
      <c r="AW9" s="379" t="s">
        <v>1605</v>
      </c>
      <c r="AX9" s="379" t="s">
        <v>1605</v>
      </c>
      <c r="AY9" s="379" t="s">
        <v>1605</v>
      </c>
      <c r="AZ9" s="379" t="s">
        <v>1605</v>
      </c>
      <c r="BJ9" s="123" t="s">
        <v>906</v>
      </c>
    </row>
    <row r="10" spans="1:64" ht="42.5" thickBot="1" x14ac:dyDescent="0.35">
      <c r="B10" s="387" t="s">
        <v>73</v>
      </c>
      <c r="C10" s="325" t="s">
        <v>38</v>
      </c>
      <c r="D10" s="370">
        <v>4</v>
      </c>
      <c r="E10" s="369">
        <v>5</v>
      </c>
      <c r="F10" s="331"/>
      <c r="G10" s="331">
        <v>20</v>
      </c>
      <c r="H10" s="331"/>
      <c r="I10" s="370" t="s">
        <v>868</v>
      </c>
      <c r="J10" s="369"/>
      <c r="K10" s="331">
        <v>20</v>
      </c>
      <c r="L10" s="331"/>
      <c r="M10" s="331">
        <v>30</v>
      </c>
      <c r="N10" s="331"/>
      <c r="O10" s="331"/>
      <c r="P10" s="331"/>
      <c r="Q10" s="370">
        <v>10</v>
      </c>
      <c r="R10" s="372"/>
      <c r="S10" s="369">
        <v>12</v>
      </c>
      <c r="T10" s="331">
        <v>12</v>
      </c>
      <c r="U10" s="379" t="s">
        <v>1613</v>
      </c>
      <c r="V10" s="331">
        <v>12</v>
      </c>
      <c r="W10" s="379" t="s">
        <v>1613</v>
      </c>
      <c r="X10" s="379" t="s">
        <v>1613</v>
      </c>
      <c r="Y10" s="379" t="s">
        <v>1613</v>
      </c>
      <c r="Z10" s="379" t="s">
        <v>1613</v>
      </c>
      <c r="AA10" s="379" t="s">
        <v>1613</v>
      </c>
      <c r="AB10" s="379" t="s">
        <v>1613</v>
      </c>
      <c r="AC10" s="379" t="s">
        <v>1613</v>
      </c>
      <c r="AD10" s="379" t="s">
        <v>1613</v>
      </c>
      <c r="AE10" s="795" t="s">
        <v>1613</v>
      </c>
      <c r="AF10" s="369" t="s">
        <v>92</v>
      </c>
      <c r="AG10" s="370" t="s">
        <v>92</v>
      </c>
      <c r="AH10" s="373" t="s">
        <v>912</v>
      </c>
      <c r="AM10" s="130" t="s">
        <v>73</v>
      </c>
      <c r="AN10" s="379" t="s">
        <v>913</v>
      </c>
      <c r="AO10" s="310" t="s">
        <v>914</v>
      </c>
      <c r="AP10" s="310" t="s">
        <v>1604</v>
      </c>
      <c r="AQ10" s="310" t="s">
        <v>914</v>
      </c>
      <c r="AR10" s="310" t="s">
        <v>1604</v>
      </c>
      <c r="AS10" s="310" t="s">
        <v>1604</v>
      </c>
      <c r="AT10" s="310" t="s">
        <v>1604</v>
      </c>
      <c r="AU10" s="310" t="s">
        <v>915</v>
      </c>
      <c r="AV10" s="310" t="s">
        <v>915</v>
      </c>
      <c r="AW10" s="379" t="s">
        <v>1605</v>
      </c>
      <c r="AX10" s="379" t="s">
        <v>1605</v>
      </c>
      <c r="AY10" s="379" t="s">
        <v>1605</v>
      </c>
      <c r="AZ10" s="379" t="s">
        <v>1605</v>
      </c>
      <c r="BJ10" s="123" t="s">
        <v>906</v>
      </c>
    </row>
    <row r="11" spans="1:64" ht="42.5" thickBot="1" x14ac:dyDescent="0.35">
      <c r="B11" s="387" t="s">
        <v>74</v>
      </c>
      <c r="C11" s="325" t="s">
        <v>38</v>
      </c>
      <c r="D11" s="370">
        <v>4</v>
      </c>
      <c r="E11" s="369">
        <v>5</v>
      </c>
      <c r="F11" s="331"/>
      <c r="G11" s="331">
        <v>20</v>
      </c>
      <c r="H11" s="331"/>
      <c r="I11" s="370" t="s">
        <v>868</v>
      </c>
      <c r="J11" s="369"/>
      <c r="K11" s="331">
        <v>20</v>
      </c>
      <c r="L11" s="331"/>
      <c r="M11" s="331">
        <v>30</v>
      </c>
      <c r="N11" s="331"/>
      <c r="O11" s="331"/>
      <c r="P11" s="331"/>
      <c r="Q11" s="370">
        <v>10</v>
      </c>
      <c r="R11" s="372"/>
      <c r="S11" s="369">
        <v>12</v>
      </c>
      <c r="T11" s="331">
        <v>12</v>
      </c>
      <c r="U11" s="379" t="s">
        <v>1613</v>
      </c>
      <c r="V11" s="331">
        <v>12</v>
      </c>
      <c r="W11" s="379" t="s">
        <v>1613</v>
      </c>
      <c r="X11" s="379" t="s">
        <v>1613</v>
      </c>
      <c r="Y11" s="379" t="s">
        <v>1613</v>
      </c>
      <c r="Z11" s="379" t="s">
        <v>1613</v>
      </c>
      <c r="AA11" s="379" t="s">
        <v>1613</v>
      </c>
      <c r="AB11" s="379" t="s">
        <v>1613</v>
      </c>
      <c r="AC11" s="379" t="s">
        <v>1613</v>
      </c>
      <c r="AD11" s="379" t="s">
        <v>1613</v>
      </c>
      <c r="AE11" s="795" t="s">
        <v>1613</v>
      </c>
      <c r="AF11" s="369" t="s">
        <v>92</v>
      </c>
      <c r="AG11" s="370" t="s">
        <v>92</v>
      </c>
      <c r="AH11" s="373" t="s">
        <v>912</v>
      </c>
      <c r="AM11" s="130" t="s">
        <v>74</v>
      </c>
      <c r="AN11" s="379" t="s">
        <v>913</v>
      </c>
      <c r="AO11" s="310" t="s">
        <v>1604</v>
      </c>
      <c r="AP11" s="310" t="s">
        <v>1604</v>
      </c>
      <c r="AQ11" s="310" t="s">
        <v>914</v>
      </c>
      <c r="AR11" s="310" t="s">
        <v>1604</v>
      </c>
      <c r="AS11" s="310" t="s">
        <v>1604</v>
      </c>
      <c r="AT11" s="310" t="s">
        <v>1604</v>
      </c>
      <c r="AU11" s="310" t="s">
        <v>1604</v>
      </c>
      <c r="AV11" s="310" t="s">
        <v>915</v>
      </c>
      <c r="AW11" s="379" t="s">
        <v>1605</v>
      </c>
      <c r="AX11" s="379" t="s">
        <v>1605</v>
      </c>
      <c r="AY11" s="379" t="s">
        <v>1605</v>
      </c>
      <c r="AZ11" s="379" t="s">
        <v>1605</v>
      </c>
      <c r="BJ11" s="123" t="s">
        <v>906</v>
      </c>
    </row>
    <row r="12" spans="1:64" ht="42.5" thickBot="1" x14ac:dyDescent="0.35">
      <c r="B12" s="387" t="s">
        <v>75</v>
      </c>
      <c r="C12" s="325" t="s">
        <v>92</v>
      </c>
      <c r="D12" s="370">
        <v>2</v>
      </c>
      <c r="E12" s="369">
        <v>1</v>
      </c>
      <c r="F12" s="331"/>
      <c r="G12" s="331">
        <v>5</v>
      </c>
      <c r="H12" s="331"/>
      <c r="I12" s="370">
        <v>12</v>
      </c>
      <c r="J12" s="369"/>
      <c r="K12" s="331">
        <v>3</v>
      </c>
      <c r="L12" s="331"/>
      <c r="M12" s="331">
        <v>5</v>
      </c>
      <c r="N12" s="331"/>
      <c r="O12" s="331"/>
      <c r="P12" s="331"/>
      <c r="Q12" s="370">
        <v>2</v>
      </c>
      <c r="R12" s="372"/>
      <c r="S12" s="369">
        <v>10</v>
      </c>
      <c r="T12" s="331">
        <v>10</v>
      </c>
      <c r="U12" s="331">
        <v>5</v>
      </c>
      <c r="V12" s="331">
        <v>10</v>
      </c>
      <c r="W12" s="331">
        <v>5</v>
      </c>
      <c r="X12" s="331">
        <v>6</v>
      </c>
      <c r="Y12" s="331">
        <v>10</v>
      </c>
      <c r="Z12" s="379" t="s">
        <v>1613</v>
      </c>
      <c r="AA12" s="379" t="s">
        <v>1613</v>
      </c>
      <c r="AB12" s="379" t="s">
        <v>1613</v>
      </c>
      <c r="AC12" s="379" t="s">
        <v>1613</v>
      </c>
      <c r="AD12" s="379" t="s">
        <v>1613</v>
      </c>
      <c r="AE12" s="795" t="s">
        <v>1613</v>
      </c>
      <c r="AF12" s="369" t="s">
        <v>92</v>
      </c>
      <c r="AG12" s="370" t="s">
        <v>92</v>
      </c>
      <c r="AH12" s="373" t="s">
        <v>912</v>
      </c>
      <c r="AM12" s="130" t="s">
        <v>75</v>
      </c>
      <c r="AN12" s="379" t="s">
        <v>916</v>
      </c>
      <c r="AO12" s="379" t="s">
        <v>917</v>
      </c>
      <c r="AP12" s="379" t="s">
        <v>917</v>
      </c>
      <c r="AQ12" s="379" t="s">
        <v>917</v>
      </c>
      <c r="AR12" s="379" t="s">
        <v>918</v>
      </c>
      <c r="AS12" s="379" t="s">
        <v>918</v>
      </c>
      <c r="AT12" s="379" t="s">
        <v>918</v>
      </c>
      <c r="AU12" s="310" t="s">
        <v>1604</v>
      </c>
      <c r="AV12" s="310" t="s">
        <v>1604</v>
      </c>
      <c r="AW12" s="310" t="s">
        <v>919</v>
      </c>
      <c r="AX12" s="310" t="s">
        <v>1604</v>
      </c>
      <c r="AY12" s="310" t="s">
        <v>1604</v>
      </c>
      <c r="AZ12" s="379" t="s">
        <v>1605</v>
      </c>
      <c r="BJ12" s="123" t="s">
        <v>906</v>
      </c>
    </row>
    <row r="13" spans="1:64" ht="42.5" thickBot="1" x14ac:dyDescent="0.35">
      <c r="B13" s="387" t="s">
        <v>76</v>
      </c>
      <c r="C13" s="325" t="s">
        <v>92</v>
      </c>
      <c r="D13" s="370">
        <v>2</v>
      </c>
      <c r="E13" s="369">
        <v>5</v>
      </c>
      <c r="F13" s="331"/>
      <c r="G13" s="331">
        <v>20</v>
      </c>
      <c r="H13" s="331"/>
      <c r="I13" s="370" t="s">
        <v>868</v>
      </c>
      <c r="J13" s="369"/>
      <c r="K13" s="331">
        <v>20</v>
      </c>
      <c r="L13" s="331"/>
      <c r="M13" s="331">
        <v>30</v>
      </c>
      <c r="N13" s="331"/>
      <c r="O13" s="331"/>
      <c r="P13" s="331"/>
      <c r="Q13" s="370">
        <v>10</v>
      </c>
      <c r="R13" s="372"/>
      <c r="S13" s="369">
        <v>12</v>
      </c>
      <c r="T13" s="331">
        <v>12</v>
      </c>
      <c r="U13" s="379" t="s">
        <v>1613</v>
      </c>
      <c r="V13" s="331">
        <v>12</v>
      </c>
      <c r="W13" s="379" t="s">
        <v>1613</v>
      </c>
      <c r="X13" s="379" t="s">
        <v>1613</v>
      </c>
      <c r="Y13" s="331">
        <v>12</v>
      </c>
      <c r="Z13" s="379" t="s">
        <v>1613</v>
      </c>
      <c r="AA13" s="379" t="s">
        <v>1613</v>
      </c>
      <c r="AB13" s="379" t="s">
        <v>1613</v>
      </c>
      <c r="AC13" s="379" t="s">
        <v>1613</v>
      </c>
      <c r="AD13" s="379" t="s">
        <v>1613</v>
      </c>
      <c r="AE13" s="795" t="s">
        <v>1613</v>
      </c>
      <c r="AF13" s="369" t="s">
        <v>92</v>
      </c>
      <c r="AG13" s="370" t="s">
        <v>92</v>
      </c>
      <c r="AH13" s="373" t="s">
        <v>912</v>
      </c>
      <c r="AM13" s="130" t="s">
        <v>76</v>
      </c>
      <c r="AN13" s="379" t="s">
        <v>916</v>
      </c>
      <c r="AO13" s="379" t="s">
        <v>917</v>
      </c>
      <c r="AP13" s="310" t="s">
        <v>1604</v>
      </c>
      <c r="AQ13" s="379" t="s">
        <v>917</v>
      </c>
      <c r="AR13" s="310" t="s">
        <v>1604</v>
      </c>
      <c r="AS13" s="310" t="s">
        <v>1604</v>
      </c>
      <c r="AT13" s="379" t="s">
        <v>918</v>
      </c>
      <c r="AU13" s="310" t="s">
        <v>1604</v>
      </c>
      <c r="AV13" s="310" t="s">
        <v>1604</v>
      </c>
      <c r="AW13" s="310" t="s">
        <v>1604</v>
      </c>
      <c r="AX13" s="310" t="s">
        <v>919</v>
      </c>
      <c r="AY13" s="310" t="s">
        <v>919</v>
      </c>
      <c r="AZ13" s="379" t="s">
        <v>1605</v>
      </c>
      <c r="BJ13" s="123" t="s">
        <v>906</v>
      </c>
    </row>
    <row r="14" spans="1:64" ht="42.5" thickBot="1" x14ac:dyDescent="0.35">
      <c r="B14" s="387" t="s">
        <v>902</v>
      </c>
      <c r="C14" s="325" t="s">
        <v>92</v>
      </c>
      <c r="D14" s="370">
        <v>2</v>
      </c>
      <c r="E14" s="369">
        <v>5</v>
      </c>
      <c r="F14" s="331"/>
      <c r="G14" s="331">
        <v>20</v>
      </c>
      <c r="H14" s="331"/>
      <c r="I14" s="370" t="s">
        <v>868</v>
      </c>
      <c r="J14" s="369"/>
      <c r="K14" s="331">
        <v>20</v>
      </c>
      <c r="L14" s="331"/>
      <c r="M14" s="331">
        <v>30</v>
      </c>
      <c r="N14" s="331"/>
      <c r="O14" s="331"/>
      <c r="P14" s="331"/>
      <c r="Q14" s="370">
        <v>10</v>
      </c>
      <c r="R14" s="372"/>
      <c r="S14" s="369">
        <v>12</v>
      </c>
      <c r="T14" s="331">
        <v>12</v>
      </c>
      <c r="U14" s="379" t="s">
        <v>1613</v>
      </c>
      <c r="V14" s="331">
        <v>12</v>
      </c>
      <c r="W14" s="379" t="s">
        <v>1613</v>
      </c>
      <c r="X14" s="379" t="s">
        <v>1613</v>
      </c>
      <c r="Y14" s="331">
        <v>12</v>
      </c>
      <c r="Z14" s="379" t="s">
        <v>1613</v>
      </c>
      <c r="AA14" s="379" t="s">
        <v>1613</v>
      </c>
      <c r="AB14" s="379" t="s">
        <v>1613</v>
      </c>
      <c r="AC14" s="379" t="s">
        <v>1613</v>
      </c>
      <c r="AD14" s="379" t="s">
        <v>1613</v>
      </c>
      <c r="AE14" s="795" t="s">
        <v>1613</v>
      </c>
      <c r="AF14" s="369" t="s">
        <v>92</v>
      </c>
      <c r="AG14" s="370" t="s">
        <v>92</v>
      </c>
      <c r="AH14" s="373" t="s">
        <v>912</v>
      </c>
      <c r="AM14" s="130" t="s">
        <v>902</v>
      </c>
      <c r="AN14" s="379" t="s">
        <v>916</v>
      </c>
      <c r="AO14" s="310" t="s">
        <v>1604</v>
      </c>
      <c r="AP14" s="310" t="s">
        <v>1604</v>
      </c>
      <c r="AQ14" s="379" t="s">
        <v>917</v>
      </c>
      <c r="AR14" s="310" t="s">
        <v>1604</v>
      </c>
      <c r="AS14" s="310" t="s">
        <v>1604</v>
      </c>
      <c r="AT14" s="310" t="s">
        <v>1604</v>
      </c>
      <c r="AU14" s="310" t="s">
        <v>1604</v>
      </c>
      <c r="AV14" s="310" t="s">
        <v>1604</v>
      </c>
      <c r="AW14" s="310" t="s">
        <v>1604</v>
      </c>
      <c r="AX14" s="310" t="s">
        <v>1604</v>
      </c>
      <c r="AY14" s="310" t="s">
        <v>919</v>
      </c>
      <c r="AZ14" s="379" t="s">
        <v>1605</v>
      </c>
      <c r="BJ14" s="123" t="s">
        <v>906</v>
      </c>
    </row>
    <row r="15" spans="1:64" ht="42.5" thickBot="1" x14ac:dyDescent="0.35">
      <c r="B15" s="388" t="s">
        <v>77</v>
      </c>
      <c r="C15" s="292" t="s">
        <v>316</v>
      </c>
      <c r="D15" s="362">
        <v>1</v>
      </c>
      <c r="E15" s="374">
        <v>1</v>
      </c>
      <c r="F15" s="315"/>
      <c r="G15" s="315" t="s">
        <v>1612</v>
      </c>
      <c r="H15" s="315"/>
      <c r="I15" s="362" t="s">
        <v>1612</v>
      </c>
      <c r="J15" s="374"/>
      <c r="K15" s="315" t="s">
        <v>1612</v>
      </c>
      <c r="L15" s="315"/>
      <c r="M15" s="315" t="s">
        <v>1612</v>
      </c>
      <c r="N15" s="315"/>
      <c r="O15" s="315"/>
      <c r="P15" s="315"/>
      <c r="Q15" s="362" t="s">
        <v>1612</v>
      </c>
      <c r="R15" s="375"/>
      <c r="S15" s="796" t="s">
        <v>1613</v>
      </c>
      <c r="T15" s="797" t="s">
        <v>1613</v>
      </c>
      <c r="U15" s="797" t="s">
        <v>1613</v>
      </c>
      <c r="V15" s="797" t="s">
        <v>1613</v>
      </c>
      <c r="W15" s="797" t="s">
        <v>1613</v>
      </c>
      <c r="X15" s="797" t="s">
        <v>1613</v>
      </c>
      <c r="Y15" s="797" t="s">
        <v>1613</v>
      </c>
      <c r="Z15" s="797" t="s">
        <v>1613</v>
      </c>
      <c r="AA15" s="797" t="s">
        <v>1613</v>
      </c>
      <c r="AB15" s="797" t="s">
        <v>1613</v>
      </c>
      <c r="AC15" s="797" t="s">
        <v>1613</v>
      </c>
      <c r="AD15" s="797" t="s">
        <v>1613</v>
      </c>
      <c r="AE15" s="798" t="s">
        <v>1613</v>
      </c>
      <c r="AF15" s="374" t="s">
        <v>92</v>
      </c>
      <c r="AG15" s="362" t="s">
        <v>92</v>
      </c>
      <c r="AH15" s="347" t="s">
        <v>912</v>
      </c>
      <c r="AM15" s="130" t="s">
        <v>77</v>
      </c>
      <c r="AN15" s="310" t="s">
        <v>1604</v>
      </c>
      <c r="AO15" s="310" t="s">
        <v>1604</v>
      </c>
      <c r="AP15" s="310" t="s">
        <v>1604</v>
      </c>
      <c r="AQ15" s="310" t="s">
        <v>1604</v>
      </c>
      <c r="AR15" s="310" t="s">
        <v>1604</v>
      </c>
      <c r="AS15" s="310" t="s">
        <v>1604</v>
      </c>
      <c r="AT15" s="310" t="s">
        <v>1604</v>
      </c>
      <c r="AU15" s="310" t="s">
        <v>1604</v>
      </c>
      <c r="AV15" s="310" t="s">
        <v>1604</v>
      </c>
      <c r="AW15" s="310" t="s">
        <v>1604</v>
      </c>
      <c r="AX15" s="310" t="s">
        <v>1604</v>
      </c>
      <c r="AY15" s="310" t="s">
        <v>1604</v>
      </c>
      <c r="AZ15" s="310" t="s">
        <v>920</v>
      </c>
      <c r="BJ15" s="123" t="s">
        <v>907</v>
      </c>
    </row>
    <row r="16" spans="1:64" x14ac:dyDescent="0.3">
      <c r="Q16" s="19"/>
    </row>
    <row r="17" spans="17:17" x14ac:dyDescent="0.3">
      <c r="Q17" s="15"/>
    </row>
    <row r="18" spans="17:17" x14ac:dyDescent="0.3">
      <c r="Q18" s="15"/>
    </row>
    <row r="19" spans="17:17" x14ac:dyDescent="0.3">
      <c r="Q19" s="15"/>
    </row>
    <row r="20" spans="17:17" ht="184.5" hidden="1" customHeight="1" x14ac:dyDescent="0.3"/>
  </sheetData>
  <sheetProtection algorithmName="SHA-512" hashValue="SnsD0ys0QmjjyXOnxl+iKdFQN/D6clH8EcoOlcCbZx3GRQKFaJx7HstiHrAQB6aJIZE39kzaEByVMsh3eF8EdQ==" saltValue="pRll7qZg2Isp2BXc1PfKQg==" spinCount="100000" sheet="1" objects="1" scenarios="1"/>
  <customSheetViews>
    <customSheetView guid="{8BDA793C-C9C5-4FC6-A0A5-F1109F6D4F22}" scale="110" state="hidden">
      <pane xSplit="2" ySplit="2" topLeftCell="S15" activePane="bottomRight" state="frozen"/>
      <selection pane="bottomRight" activeCell="D14" sqref="D14"/>
    </customSheetView>
  </customSheetViews>
  <mergeCells count="10">
    <mergeCell ref="BK1:BL1"/>
    <mergeCell ref="AF1:AG1"/>
    <mergeCell ref="AH1:AH2"/>
    <mergeCell ref="AJ1:AK1"/>
    <mergeCell ref="AN1:AZ1"/>
    <mergeCell ref="A1:B1"/>
    <mergeCell ref="E1:I1"/>
    <mergeCell ref="C1:D1"/>
    <mergeCell ref="J1:R1"/>
    <mergeCell ref="S1:AE1"/>
  </mergeCells>
  <phoneticPr fontId="9" type="noConversion"/>
  <dataValidations count="1">
    <dataValidation type="list" allowBlank="1" showInputMessage="1" showErrorMessage="1" sqref="R3:R15" xr:uid="{00000000-0002-0000-1600-000000000000}">
      <formula1>$AR$16:$AR$43</formula1>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1000000}">
          <x14:formula1>
            <xm:f>'\\LYN264DF\m312897$\Net Gain\[Latest Tool with updated hedgerows 06 11 2020.xlsm]G-3 Multipliers'!#REF!</xm:f>
          </x14:formula1>
          <xm:sqref>AF3:AG15</xm:sqref>
        </x14:dataValidation>
        <x14:dataValidation type="list" allowBlank="1" showInputMessage="1" showErrorMessage="1" xr:uid="{00000000-0002-0000-1600-000002000000}">
          <x14:formula1>
            <xm:f>'\\LYN264DF\m312897$\Net Gain\[Latest Tool with updated hedgerows 06 11 2020.xlsm]G-1 All Habitats'!#REF!</xm:f>
          </x14:formula1>
          <xm:sqref>C3:C15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0">
    <tabColor rgb="FFFFC000"/>
  </sheetPr>
  <dimension ref="A1:ES30"/>
  <sheetViews>
    <sheetView zoomScaleNormal="80" workbookViewId="0">
      <selection activeCell="V12" sqref="V12"/>
    </sheetView>
  </sheetViews>
  <sheetFormatPr defaultColWidth="0" defaultRowHeight="14" zeroHeight="1" outlineLevelCol="1" x14ac:dyDescent="0.3"/>
  <cols>
    <col min="1" max="1" width="9.1796875" style="15" customWidth="1"/>
    <col min="2" max="2" width="37.26953125" style="15" customWidth="1"/>
    <col min="3" max="4" width="17.7265625" style="15" customWidth="1"/>
    <col min="5" max="5" width="14.54296875" style="15" customWidth="1"/>
    <col min="6" max="6" width="15.7265625" style="15" customWidth="1"/>
    <col min="7" max="7" width="14.453125" style="15" customWidth="1"/>
    <col min="8" max="8" width="13.81640625" style="15" customWidth="1"/>
    <col min="9" max="9" width="13.1796875" style="15" customWidth="1"/>
    <col min="10" max="10" width="13" style="15" customWidth="1"/>
    <col min="11" max="11" width="13.26953125" style="15" customWidth="1"/>
    <col min="12" max="12" width="11.54296875" style="15" customWidth="1"/>
    <col min="13" max="13" width="18.54296875" style="15" customWidth="1"/>
    <col min="14" max="14" width="14.1796875" style="15" customWidth="1"/>
    <col min="15" max="15" width="8.54296875" style="15" customWidth="1"/>
    <col min="16" max="16" width="10.7265625" style="15" customWidth="1"/>
    <col min="17" max="17" width="19" style="15" customWidth="1"/>
    <col min="18" max="18" width="16" style="15" customWidth="1"/>
    <col min="19" max="19" width="14.453125" style="15" customWidth="1"/>
    <col min="20" max="20" width="15.81640625" style="15" customWidth="1"/>
    <col min="21" max="22" width="15.7265625" style="15" customWidth="1"/>
    <col min="23" max="26" width="10.7265625" style="15" customWidth="1"/>
    <col min="27" max="27" width="18.81640625" style="15" bestFit="1" customWidth="1"/>
    <col min="28" max="28" width="13.453125" style="15" customWidth="1"/>
    <col min="29" max="29" width="9.1796875" style="15" customWidth="1"/>
    <col min="30" max="30" width="18" style="15" customWidth="1"/>
    <col min="31" max="31" width="12.453125" style="15" customWidth="1"/>
    <col min="32" max="32" width="9.1796875" style="15" customWidth="1"/>
    <col min="33" max="33" width="59.81640625" style="15" customWidth="1"/>
    <col min="34" max="34" width="24.7265625" style="15" customWidth="1"/>
    <col min="35" max="35" width="18.81640625" style="15" customWidth="1"/>
    <col min="36" max="36" width="9.1796875" style="15" customWidth="1"/>
    <col min="37" max="37" width="46.7265625" style="15" bestFit="1" customWidth="1"/>
    <col min="38" max="38" width="24.26953125" style="15" customWidth="1"/>
    <col min="39" max="39" width="13.7265625" style="15" customWidth="1"/>
    <col min="40" max="40" width="9.1796875" style="15" customWidth="1"/>
    <col min="41" max="41" width="28.26953125" style="15" customWidth="1"/>
    <col min="42" max="42" width="13" style="15" customWidth="1"/>
    <col min="43" max="44" width="9.1796875" style="15" customWidth="1"/>
    <col min="45" max="45" width="25.1796875" style="15" bestFit="1" customWidth="1"/>
    <col min="46" max="46" width="20.453125" style="15" bestFit="1" customWidth="1"/>
    <col min="47" max="47" width="31.26953125" style="15" customWidth="1"/>
    <col min="48" max="48" width="9.1796875" style="15" customWidth="1"/>
    <col min="49" max="49" width="13" style="15" hidden="1" customWidth="1" outlineLevel="1"/>
    <col min="50" max="50" width="9.1796875" style="15" hidden="1" customWidth="1" outlineLevel="1"/>
    <col min="51" max="51" width="23.7265625" style="15" hidden="1" customWidth="1" outlineLevel="1"/>
    <col min="52" max="52" width="31.1796875" style="15" hidden="1" customWidth="1" outlineLevel="1"/>
    <col min="53" max="53" width="9.1796875" style="15" hidden="1" customWidth="1" outlineLevel="1"/>
    <col min="54" max="54" width="17.81640625" style="15" hidden="1" customWidth="1" outlineLevel="1"/>
    <col min="55" max="55" width="15.1796875" style="15" hidden="1" customWidth="1" outlineLevel="1"/>
    <col min="56" max="102" width="9.1796875" style="15" hidden="1" customWidth="1" outlineLevel="1"/>
    <col min="103" max="103" width="9.1796875" style="15" hidden="1" customWidth="1" outlineLevel="1" collapsed="1"/>
    <col min="104" max="104" width="17.81640625" style="15" hidden="1" customWidth="1" collapsed="1"/>
    <col min="105" max="149" width="17.81640625" style="15" hidden="1" customWidth="1"/>
    <col min="150" max="16384" width="9.1796875" style="15" hidden="1"/>
  </cols>
  <sheetData>
    <row r="1" spans="1:55" ht="14.5" thickBot="1" x14ac:dyDescent="0.35">
      <c r="A1" s="1286"/>
      <c r="B1" s="1286"/>
    </row>
    <row r="2" spans="1:55" ht="31.5" customHeight="1" thickBot="1" x14ac:dyDescent="0.4">
      <c r="A2" s="1286"/>
      <c r="B2" s="1286"/>
      <c r="C2" s="1327" t="s">
        <v>137</v>
      </c>
      <c r="D2" s="1328"/>
      <c r="E2" s="1317" t="s">
        <v>225</v>
      </c>
      <c r="F2" s="1318"/>
      <c r="G2" s="1318"/>
      <c r="H2" s="1317" t="s">
        <v>222</v>
      </c>
      <c r="I2" s="1318"/>
      <c r="J2" s="1318"/>
      <c r="K2" s="1318"/>
      <c r="L2" s="1319"/>
      <c r="M2" s="1127" t="s">
        <v>1495</v>
      </c>
      <c r="N2" s="1329" t="s">
        <v>921</v>
      </c>
      <c r="O2" s="1330"/>
      <c r="Q2" s="1325" t="s">
        <v>922</v>
      </c>
      <c r="R2" s="1326"/>
      <c r="T2" s="1233" t="s">
        <v>923</v>
      </c>
      <c r="U2" s="1234"/>
      <c r="V2" s="1234"/>
      <c r="W2" s="1234"/>
      <c r="X2" s="1234"/>
      <c r="Y2" s="1333"/>
      <c r="AA2" s="1334" t="s">
        <v>924</v>
      </c>
      <c r="AB2" s="1335"/>
      <c r="AC2" s="86"/>
      <c r="AD2" s="1334" t="s">
        <v>924</v>
      </c>
      <c r="AE2" s="1335"/>
      <c r="AG2" s="1334" t="s">
        <v>925</v>
      </c>
      <c r="AH2" s="1336"/>
      <c r="AI2" s="1335"/>
      <c r="AK2" s="1334" t="s">
        <v>925</v>
      </c>
      <c r="AL2" s="1336"/>
      <c r="AM2" s="1335"/>
      <c r="AO2" s="1331" t="s">
        <v>925</v>
      </c>
      <c r="AP2" s="1332"/>
      <c r="AQ2" s="193"/>
      <c r="AS2" s="1242" t="s">
        <v>926</v>
      </c>
      <c r="AT2" s="1243"/>
      <c r="AU2" s="1244"/>
      <c r="AY2" s="194"/>
      <c r="AZ2" s="195" t="s">
        <v>148</v>
      </c>
      <c r="BB2" s="194" t="s">
        <v>927</v>
      </c>
      <c r="BC2" s="195" t="s">
        <v>928</v>
      </c>
    </row>
    <row r="3" spans="1:55" ht="42.5" thickBot="1" x14ac:dyDescent="0.35">
      <c r="B3" s="196" t="s">
        <v>754</v>
      </c>
      <c r="C3" s="174" t="s">
        <v>278</v>
      </c>
      <c r="D3" s="89" t="s">
        <v>279</v>
      </c>
      <c r="E3" s="389" t="s">
        <v>281</v>
      </c>
      <c r="F3" s="89" t="s">
        <v>282</v>
      </c>
      <c r="G3" s="391" t="s">
        <v>280</v>
      </c>
      <c r="H3" s="390" t="s">
        <v>36</v>
      </c>
      <c r="I3" s="197" t="s">
        <v>302</v>
      </c>
      <c r="J3" s="197" t="s">
        <v>35</v>
      </c>
      <c r="K3" s="197" t="s">
        <v>312</v>
      </c>
      <c r="L3" s="198" t="s">
        <v>194</v>
      </c>
      <c r="M3" s="1170"/>
      <c r="N3" s="620" t="s">
        <v>36</v>
      </c>
      <c r="O3" s="295">
        <v>10</v>
      </c>
      <c r="Q3" s="225" t="s">
        <v>899</v>
      </c>
      <c r="R3" s="362">
        <v>10</v>
      </c>
      <c r="T3" s="174"/>
      <c r="U3" s="1233" t="s">
        <v>929</v>
      </c>
      <c r="V3" s="1234"/>
      <c r="W3" s="1234"/>
      <c r="X3" s="1234"/>
      <c r="Y3" s="1333"/>
      <c r="AA3" s="174" t="s">
        <v>930</v>
      </c>
      <c r="AB3" s="173" t="s">
        <v>931</v>
      </c>
      <c r="AC3" s="86"/>
      <c r="AD3" s="174" t="s">
        <v>932</v>
      </c>
      <c r="AE3" s="173" t="s">
        <v>931</v>
      </c>
      <c r="AG3" s="173" t="s">
        <v>933</v>
      </c>
      <c r="AH3" s="172" t="s">
        <v>45</v>
      </c>
      <c r="AI3" s="89" t="s">
        <v>934</v>
      </c>
      <c r="AK3" s="88" t="s">
        <v>933</v>
      </c>
      <c r="AL3" s="89" t="s">
        <v>45</v>
      </c>
      <c r="AM3" s="90" t="s">
        <v>934</v>
      </c>
      <c r="AO3" s="467" t="s">
        <v>933</v>
      </c>
      <c r="AP3" s="62" t="s">
        <v>934</v>
      </c>
      <c r="AS3" s="194" t="s">
        <v>935</v>
      </c>
      <c r="AT3" s="199" t="s">
        <v>936</v>
      </c>
      <c r="AU3" s="195" t="s">
        <v>898</v>
      </c>
      <c r="AY3" s="200" t="s">
        <v>937</v>
      </c>
      <c r="AZ3" s="201" t="s">
        <v>927</v>
      </c>
      <c r="BB3" s="93" t="s">
        <v>36</v>
      </c>
      <c r="BC3" s="94" t="s">
        <v>194</v>
      </c>
    </row>
    <row r="4" spans="1:55" ht="56.5" thickBot="1" x14ac:dyDescent="0.35">
      <c r="B4" s="52" t="s">
        <v>79</v>
      </c>
      <c r="C4" s="331" t="s">
        <v>297</v>
      </c>
      <c r="D4" s="310">
        <v>8</v>
      </c>
      <c r="E4" s="331" t="s">
        <v>90</v>
      </c>
      <c r="F4" s="331" t="s">
        <v>38</v>
      </c>
      <c r="G4" s="310" t="s">
        <v>89</v>
      </c>
      <c r="H4" s="331">
        <v>3</v>
      </c>
      <c r="I4" s="331">
        <v>2.5</v>
      </c>
      <c r="J4" s="331">
        <v>2</v>
      </c>
      <c r="K4" s="331">
        <v>1.5</v>
      </c>
      <c r="L4" s="310">
        <v>1</v>
      </c>
      <c r="M4" s="622" t="s">
        <v>32</v>
      </c>
      <c r="N4" s="621" t="s">
        <v>302</v>
      </c>
      <c r="O4" s="310">
        <v>8</v>
      </c>
      <c r="T4" s="115" t="s">
        <v>938</v>
      </c>
      <c r="U4" s="392" t="s">
        <v>194</v>
      </c>
      <c r="V4" s="202" t="s">
        <v>312</v>
      </c>
      <c r="W4" s="202" t="s">
        <v>35</v>
      </c>
      <c r="X4" s="202" t="s">
        <v>302</v>
      </c>
      <c r="Y4" s="202" t="s">
        <v>36</v>
      </c>
      <c r="AA4" s="63" t="s">
        <v>939</v>
      </c>
      <c r="AB4" s="331">
        <v>1</v>
      </c>
      <c r="AC4" s="86"/>
      <c r="AD4" s="221" t="s">
        <v>940</v>
      </c>
      <c r="AE4" s="331">
        <v>0.75</v>
      </c>
      <c r="AG4" s="63" t="s">
        <v>941</v>
      </c>
      <c r="AH4" s="310" t="s">
        <v>855</v>
      </c>
      <c r="AI4" s="331">
        <v>1</v>
      </c>
      <c r="AK4" s="83" t="s">
        <v>846</v>
      </c>
      <c r="AL4" s="310" t="s">
        <v>847</v>
      </c>
      <c r="AM4" s="370">
        <v>1.1499999999999999</v>
      </c>
      <c r="AO4" s="221" t="s">
        <v>859</v>
      </c>
      <c r="AP4" s="331">
        <v>1</v>
      </c>
      <c r="AS4" s="203" t="s">
        <v>297</v>
      </c>
      <c r="AT4" s="311">
        <v>8</v>
      </c>
      <c r="AU4" s="395" t="s">
        <v>942</v>
      </c>
      <c r="AY4" s="51" t="s">
        <v>943</v>
      </c>
      <c r="AZ4" s="201" t="s">
        <v>927</v>
      </c>
      <c r="BB4" s="133" t="s">
        <v>302</v>
      </c>
      <c r="BC4" s="204"/>
    </row>
    <row r="5" spans="1:55" ht="28" x14ac:dyDescent="0.3">
      <c r="B5" s="52" t="s">
        <v>80</v>
      </c>
      <c r="C5" s="331" t="s">
        <v>90</v>
      </c>
      <c r="D5" s="310">
        <v>6</v>
      </c>
      <c r="E5" s="331" t="s">
        <v>90</v>
      </c>
      <c r="F5" s="331" t="s">
        <v>38</v>
      </c>
      <c r="G5" s="310" t="s">
        <v>110</v>
      </c>
      <c r="H5" s="331">
        <v>3</v>
      </c>
      <c r="I5" s="331">
        <v>2.5</v>
      </c>
      <c r="J5" s="331">
        <v>2</v>
      </c>
      <c r="K5" s="331">
        <v>1.5</v>
      </c>
      <c r="L5" s="310">
        <v>1</v>
      </c>
      <c r="M5" s="622" t="s">
        <v>32</v>
      </c>
      <c r="N5" s="621" t="s">
        <v>35</v>
      </c>
      <c r="O5" s="310">
        <v>5</v>
      </c>
      <c r="T5" s="84" t="s">
        <v>194</v>
      </c>
      <c r="U5" s="393">
        <v>1</v>
      </c>
      <c r="V5" s="357">
        <v>2</v>
      </c>
      <c r="W5" s="357">
        <v>4</v>
      </c>
      <c r="X5" s="357">
        <v>6</v>
      </c>
      <c r="Y5" s="357">
        <v>8</v>
      </c>
      <c r="AA5" s="63" t="s">
        <v>944</v>
      </c>
      <c r="AB5" s="331">
        <v>0.8</v>
      </c>
      <c r="AC5" s="86"/>
      <c r="AD5" s="221" t="s">
        <v>945</v>
      </c>
      <c r="AE5" s="331">
        <v>0.8</v>
      </c>
      <c r="AG5" s="63" t="s">
        <v>946</v>
      </c>
      <c r="AH5" s="310" t="s">
        <v>847</v>
      </c>
      <c r="AI5" s="331">
        <v>1.1499999999999999</v>
      </c>
      <c r="AK5" s="83" t="s">
        <v>850</v>
      </c>
      <c r="AL5" s="310" t="s">
        <v>851</v>
      </c>
      <c r="AM5" s="370">
        <v>1.1000000000000001</v>
      </c>
      <c r="AO5" s="84" t="s">
        <v>947</v>
      </c>
      <c r="AP5" s="331">
        <v>1</v>
      </c>
      <c r="AS5" s="175" t="s">
        <v>90</v>
      </c>
      <c r="AT5" s="331">
        <v>6</v>
      </c>
      <c r="AU5" s="314" t="s">
        <v>948</v>
      </c>
      <c r="AY5" s="51" t="s">
        <v>81</v>
      </c>
      <c r="AZ5" s="201" t="s">
        <v>927</v>
      </c>
      <c r="BB5" s="133" t="s">
        <v>35</v>
      </c>
      <c r="BC5" s="204"/>
    </row>
    <row r="6" spans="1:55" ht="42.5" thickBot="1" x14ac:dyDescent="0.35">
      <c r="B6" s="52" t="s">
        <v>81</v>
      </c>
      <c r="C6" s="331" t="s">
        <v>38</v>
      </c>
      <c r="D6" s="331">
        <v>4</v>
      </c>
      <c r="E6" s="331" t="s">
        <v>92</v>
      </c>
      <c r="F6" s="331" t="s">
        <v>38</v>
      </c>
      <c r="G6" s="310" t="s">
        <v>110</v>
      </c>
      <c r="H6" s="331">
        <v>3</v>
      </c>
      <c r="I6" s="331">
        <v>2.5</v>
      </c>
      <c r="J6" s="331">
        <v>2</v>
      </c>
      <c r="K6" s="331">
        <v>1.5</v>
      </c>
      <c r="L6" s="310">
        <v>1</v>
      </c>
      <c r="M6" s="622" t="s">
        <v>32</v>
      </c>
      <c r="N6" s="621" t="s">
        <v>312</v>
      </c>
      <c r="O6" s="310">
        <v>2</v>
      </c>
      <c r="T6" s="84" t="s">
        <v>312</v>
      </c>
      <c r="U6" s="394" t="s">
        <v>857</v>
      </c>
      <c r="V6" s="358">
        <v>1</v>
      </c>
      <c r="W6" s="358">
        <v>2</v>
      </c>
      <c r="X6" s="358">
        <v>4</v>
      </c>
      <c r="Y6" s="358">
        <v>6</v>
      </c>
      <c r="AA6" s="63" t="s">
        <v>949</v>
      </c>
      <c r="AB6" s="331">
        <v>0.5</v>
      </c>
      <c r="AC6" s="86"/>
      <c r="AD6" s="221" t="s">
        <v>950</v>
      </c>
      <c r="AE6" s="331">
        <v>0.84</v>
      </c>
      <c r="AG6" s="63" t="s">
        <v>951</v>
      </c>
      <c r="AH6" s="310" t="s">
        <v>847</v>
      </c>
      <c r="AI6" s="331">
        <v>1.1499999999999999</v>
      </c>
      <c r="AK6" s="58" t="s">
        <v>854</v>
      </c>
      <c r="AL6" s="299" t="s">
        <v>855</v>
      </c>
      <c r="AM6" s="362">
        <v>1</v>
      </c>
      <c r="AO6" s="84" t="s">
        <v>952</v>
      </c>
      <c r="AP6" s="331">
        <v>0.75</v>
      </c>
      <c r="AS6" s="175" t="s">
        <v>38</v>
      </c>
      <c r="AT6" s="331">
        <v>4</v>
      </c>
      <c r="AU6" s="314" t="s">
        <v>953</v>
      </c>
      <c r="AY6" s="51" t="s">
        <v>82</v>
      </c>
      <c r="AZ6" s="201" t="s">
        <v>927</v>
      </c>
      <c r="BB6" s="133" t="s">
        <v>312</v>
      </c>
      <c r="BC6" s="204"/>
    </row>
    <row r="7" spans="1:55" ht="28.5" thickBot="1" x14ac:dyDescent="0.35">
      <c r="B7" s="52" t="s">
        <v>82</v>
      </c>
      <c r="C7" s="331" t="s">
        <v>38</v>
      </c>
      <c r="D7" s="331">
        <v>4</v>
      </c>
      <c r="E7" s="331" t="s">
        <v>92</v>
      </c>
      <c r="F7" s="331" t="s">
        <v>38</v>
      </c>
      <c r="G7" s="310" t="s">
        <v>110</v>
      </c>
      <c r="H7" s="331">
        <v>3</v>
      </c>
      <c r="I7" s="331">
        <v>2.5</v>
      </c>
      <c r="J7" s="331">
        <v>2</v>
      </c>
      <c r="K7" s="331">
        <v>1.5</v>
      </c>
      <c r="L7" s="310">
        <v>1</v>
      </c>
      <c r="M7" s="622" t="s">
        <v>32</v>
      </c>
      <c r="N7" s="621" t="s">
        <v>194</v>
      </c>
      <c r="O7" s="310">
        <v>1</v>
      </c>
      <c r="T7" s="84" t="s">
        <v>35</v>
      </c>
      <c r="U7" s="394" t="s">
        <v>857</v>
      </c>
      <c r="V7" s="358" t="s">
        <v>857</v>
      </c>
      <c r="W7" s="358">
        <v>1</v>
      </c>
      <c r="X7" s="358">
        <v>2</v>
      </c>
      <c r="Y7" s="358">
        <v>4</v>
      </c>
      <c r="AA7" s="63" t="s">
        <v>954</v>
      </c>
      <c r="AB7" s="331">
        <v>0.68</v>
      </c>
      <c r="AC7" s="86"/>
      <c r="AD7" s="221" t="s">
        <v>955</v>
      </c>
      <c r="AE7" s="331">
        <v>0.87</v>
      </c>
      <c r="AG7" s="63" t="s">
        <v>956</v>
      </c>
      <c r="AH7" s="310" t="s">
        <v>847</v>
      </c>
      <c r="AI7" s="331">
        <v>1.1499999999999999</v>
      </c>
      <c r="AK7" s="21"/>
      <c r="AL7" s="23"/>
      <c r="AM7" s="21"/>
      <c r="AO7" s="84" t="s">
        <v>957</v>
      </c>
      <c r="AP7" s="331">
        <v>0.5</v>
      </c>
      <c r="AS7" s="171" t="s">
        <v>92</v>
      </c>
      <c r="AT7" s="315">
        <v>2</v>
      </c>
      <c r="AU7" s="362" t="s">
        <v>958</v>
      </c>
      <c r="AY7" s="53" t="s">
        <v>83</v>
      </c>
      <c r="AZ7" s="201" t="s">
        <v>928</v>
      </c>
      <c r="BB7" s="135" t="s">
        <v>194</v>
      </c>
      <c r="BC7" s="205"/>
    </row>
    <row r="8" spans="1:55" ht="56" x14ac:dyDescent="0.3">
      <c r="B8" s="69" t="s">
        <v>83</v>
      </c>
      <c r="C8" s="331" t="s">
        <v>92</v>
      </c>
      <c r="D8" s="331">
        <v>2</v>
      </c>
      <c r="E8" s="331" t="s">
        <v>92</v>
      </c>
      <c r="F8" s="331" t="s">
        <v>38</v>
      </c>
      <c r="G8" s="310" t="s">
        <v>115</v>
      </c>
      <c r="H8" s="310" t="s">
        <v>1606</v>
      </c>
      <c r="I8" s="310" t="s">
        <v>1606</v>
      </c>
      <c r="J8" s="310" t="s">
        <v>1606</v>
      </c>
      <c r="K8" s="310" t="s">
        <v>1606</v>
      </c>
      <c r="L8" s="310">
        <v>1</v>
      </c>
      <c r="M8" s="622" t="s">
        <v>32</v>
      </c>
      <c r="T8" s="84" t="s">
        <v>302</v>
      </c>
      <c r="U8" s="394" t="s">
        <v>857</v>
      </c>
      <c r="V8" s="358" t="s">
        <v>857</v>
      </c>
      <c r="W8" s="358" t="s">
        <v>857</v>
      </c>
      <c r="X8" s="358">
        <v>1</v>
      </c>
      <c r="Y8" s="358">
        <v>2</v>
      </c>
      <c r="AC8" s="86"/>
      <c r="AD8" s="221" t="s">
        <v>959</v>
      </c>
      <c r="AE8" s="331">
        <v>0.85</v>
      </c>
      <c r="AG8" s="63" t="s">
        <v>960</v>
      </c>
      <c r="AH8" s="310" t="s">
        <v>847</v>
      </c>
      <c r="AI8" s="331">
        <v>1.1499999999999999</v>
      </c>
      <c r="AK8" s="21"/>
      <c r="AL8" s="23"/>
      <c r="AM8" s="21"/>
    </row>
    <row r="9" spans="1:55" x14ac:dyDescent="0.3">
      <c r="T9" s="84" t="s">
        <v>36</v>
      </c>
      <c r="U9" s="394" t="s">
        <v>857</v>
      </c>
      <c r="V9" s="358" t="s">
        <v>857</v>
      </c>
      <c r="W9" s="358" t="s">
        <v>857</v>
      </c>
      <c r="X9" s="358" t="s">
        <v>857</v>
      </c>
      <c r="Y9" s="358">
        <v>1</v>
      </c>
      <c r="AD9" s="221" t="s">
        <v>961</v>
      </c>
      <c r="AE9" s="331">
        <v>0.9</v>
      </c>
      <c r="AG9" s="63" t="s">
        <v>962</v>
      </c>
      <c r="AH9" s="310" t="s">
        <v>847</v>
      </c>
      <c r="AI9" s="331">
        <v>1.1499999999999999</v>
      </c>
      <c r="AK9" s="21"/>
      <c r="AL9" s="23"/>
      <c r="AM9" s="21"/>
      <c r="AY9" s="20"/>
      <c r="AZ9" s="20"/>
      <c r="BA9" s="20"/>
      <c r="BB9" s="20"/>
      <c r="BC9" s="20"/>
    </row>
    <row r="10" spans="1:55" ht="28" x14ac:dyDescent="0.3">
      <c r="AD10" s="221" t="s">
        <v>963</v>
      </c>
      <c r="AE10" s="331">
        <v>0.92</v>
      </c>
      <c r="AF10" s="86"/>
      <c r="AY10" s="20"/>
      <c r="AZ10" s="20"/>
      <c r="BA10" s="20"/>
      <c r="BB10" s="23"/>
      <c r="BC10" s="23"/>
    </row>
    <row r="11" spans="1:55" x14ac:dyDescent="0.3">
      <c r="AD11" s="221" t="s">
        <v>964</v>
      </c>
      <c r="AE11" s="331">
        <v>0.95</v>
      </c>
      <c r="AF11" s="86"/>
      <c r="AY11" s="20"/>
      <c r="AZ11" s="20"/>
      <c r="BA11" s="20"/>
      <c r="BB11" s="23"/>
      <c r="BC11" s="20"/>
    </row>
    <row r="12" spans="1:55" ht="28" x14ac:dyDescent="0.3">
      <c r="B12" s="26"/>
      <c r="C12" s="50"/>
      <c r="D12" s="50"/>
      <c r="E12" s="50"/>
      <c r="F12" s="50"/>
      <c r="G12" s="24"/>
      <c r="AD12" s="221" t="s">
        <v>965</v>
      </c>
      <c r="AE12" s="331">
        <v>0.98</v>
      </c>
      <c r="AF12" s="86"/>
      <c r="AY12" s="20"/>
      <c r="AZ12" s="20"/>
      <c r="BA12" s="20"/>
      <c r="BB12" s="23"/>
      <c r="BC12" s="20"/>
    </row>
    <row r="13" spans="1:55" ht="28" x14ac:dyDescent="0.3">
      <c r="B13" s="20"/>
      <c r="C13" s="21"/>
      <c r="D13" s="23"/>
      <c r="E13" s="21"/>
      <c r="F13" s="21"/>
      <c r="G13" s="23"/>
      <c r="AD13" s="221" t="s">
        <v>966</v>
      </c>
      <c r="AE13" s="331">
        <v>1</v>
      </c>
      <c r="AF13" s="86"/>
      <c r="AG13" s="86"/>
      <c r="AH13" s="86"/>
      <c r="AY13" s="20"/>
      <c r="AZ13" s="20"/>
      <c r="BA13" s="20"/>
      <c r="BB13" s="23"/>
      <c r="BC13" s="20"/>
    </row>
    <row r="14" spans="1:55" x14ac:dyDescent="0.3">
      <c r="B14" s="20"/>
      <c r="C14" s="21"/>
      <c r="D14" s="23"/>
      <c r="E14" s="21"/>
      <c r="F14" s="21"/>
      <c r="G14" s="23"/>
      <c r="AD14" s="228" t="s">
        <v>954</v>
      </c>
      <c r="AE14" s="331">
        <v>1</v>
      </c>
      <c r="AF14" s="86"/>
      <c r="AY14" s="20"/>
      <c r="AZ14" s="20"/>
      <c r="BA14" s="20"/>
      <c r="BB14" s="23"/>
      <c r="BC14" s="20"/>
    </row>
    <row r="15" spans="1:55" x14ac:dyDescent="0.3">
      <c r="B15" s="20"/>
      <c r="C15" s="21"/>
      <c r="D15" s="23"/>
      <c r="E15" s="21"/>
      <c r="F15" s="21"/>
      <c r="G15" s="23"/>
    </row>
    <row r="16" spans="1:55" x14ac:dyDescent="0.3">
      <c r="B16" s="20"/>
      <c r="C16" s="21"/>
      <c r="D16" s="23"/>
      <c r="E16" s="21"/>
      <c r="F16" s="21"/>
      <c r="G16" s="23"/>
    </row>
    <row r="17" spans="2:7" x14ac:dyDescent="0.3">
      <c r="B17" s="462"/>
      <c r="C17" s="21"/>
      <c r="D17" s="21"/>
      <c r="E17" s="21"/>
      <c r="F17" s="21"/>
      <c r="G17" s="23"/>
    </row>
    <row r="18" spans="2:7" x14ac:dyDescent="0.3"/>
    <row r="19" spans="2:7" x14ac:dyDescent="0.3"/>
    <row r="20" spans="2:7" x14ac:dyDescent="0.3"/>
    <row r="21" spans="2:7" x14ac:dyDescent="0.3"/>
    <row r="22" spans="2:7" x14ac:dyDescent="0.3"/>
    <row r="23" spans="2:7" x14ac:dyDescent="0.3"/>
    <row r="24" spans="2:7" x14ac:dyDescent="0.3"/>
    <row r="25" spans="2:7" x14ac:dyDescent="0.3"/>
    <row r="26" spans="2:7" x14ac:dyDescent="0.3"/>
    <row r="27" spans="2:7" x14ac:dyDescent="0.3"/>
    <row r="28" spans="2:7" x14ac:dyDescent="0.3"/>
    <row r="29" spans="2:7" x14ac:dyDescent="0.3"/>
    <row r="30" spans="2:7" x14ac:dyDescent="0.3"/>
  </sheetData>
  <sheetProtection algorithmName="SHA-512" hashValue="YgKJb1UKq0liYSOtufLi2H19vrLrkBjpCye1GsCEdIqi91wT214rRt2t+fs9cBtuq4zIknE/nXtBUmP5d2uMGQ==" saltValue="gtzYVCUQIc88Cp3ODcwL7g==" spinCount="100000" sheet="1" objects="1" scenarios="1"/>
  <customSheetViews>
    <customSheetView guid="{8BDA793C-C9C5-4FC6-A0A5-F1109F6D4F22}" state="hidden">
      <selection activeCell="D14" sqref="D14"/>
    </customSheetView>
  </customSheetViews>
  <mergeCells count="15">
    <mergeCell ref="AO2:AP2"/>
    <mergeCell ref="AS2:AU2"/>
    <mergeCell ref="U3:Y3"/>
    <mergeCell ref="T2:Y2"/>
    <mergeCell ref="AA2:AB2"/>
    <mergeCell ref="AD2:AE2"/>
    <mergeCell ref="AG2:AI2"/>
    <mergeCell ref="AK2:AM2"/>
    <mergeCell ref="Q2:R2"/>
    <mergeCell ref="A1:B2"/>
    <mergeCell ref="C2:D2"/>
    <mergeCell ref="E2:G2"/>
    <mergeCell ref="H2:L2"/>
    <mergeCell ref="N2:O2"/>
    <mergeCell ref="M2:M3"/>
  </mergeCells>
  <pageMargins left="0.7" right="0.7" top="0.75" bottom="0.75" header="0.3" footer="0.3"/>
  <pageSetup paperSize="9" orientation="portrait" horizontalDpi="90" verticalDpi="9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tabColor rgb="FFFFC000"/>
  </sheetPr>
  <dimension ref="A1:Q151"/>
  <sheetViews>
    <sheetView zoomScaleNormal="80" workbookViewId="0">
      <pane xSplit="1" ySplit="3" topLeftCell="B58" activePane="bottomRight" state="frozen"/>
      <selection pane="topRight" activeCell="B1" sqref="B1"/>
      <selection pane="bottomLeft" activeCell="A4" sqref="A4"/>
      <selection pane="bottomRight" activeCell="H80" sqref="H80"/>
    </sheetView>
  </sheetViews>
  <sheetFormatPr defaultColWidth="0" defaultRowHeight="0" customHeight="1" zeroHeight="1" x14ac:dyDescent="0.3"/>
  <cols>
    <col min="1" max="1" width="88.81640625" style="15" bestFit="1" customWidth="1"/>
    <col min="2" max="2" width="14.453125" style="15" customWidth="1"/>
    <col min="3" max="3" width="18.26953125" style="15" customWidth="1"/>
    <col min="4" max="4" width="16.453125" style="15" customWidth="1"/>
    <col min="5" max="5" width="17.453125" style="15" customWidth="1"/>
    <col min="6" max="6" width="13.81640625" style="15" customWidth="1"/>
    <col min="7" max="7" width="22" style="15" bestFit="1" customWidth="1"/>
    <col min="8" max="8" width="18.1796875" style="15" customWidth="1"/>
    <col min="9" max="9" width="21.453125" style="15" hidden="1" customWidth="1"/>
    <col min="10" max="10" width="21.81640625" style="15" hidden="1" customWidth="1"/>
    <col min="11" max="11" width="19.453125" style="15" hidden="1" customWidth="1"/>
    <col min="12" max="12" width="21.26953125" style="15" hidden="1" customWidth="1"/>
    <col min="13" max="13" width="31.26953125" style="15" hidden="1" customWidth="1"/>
    <col min="14" max="14" width="40.1796875" style="15" hidden="1" customWidth="1"/>
    <col min="15" max="15" width="15.1796875" style="15" customWidth="1"/>
    <col min="16" max="17" width="9.1796875" style="15" customWidth="1"/>
    <col min="18" max="16384" width="9.1796875" style="15" hidden="1"/>
  </cols>
  <sheetData>
    <row r="1" spans="1:14" ht="28.9" customHeight="1" x14ac:dyDescent="0.6">
      <c r="A1" s="1339"/>
      <c r="B1" s="185"/>
      <c r="C1" s="185"/>
      <c r="D1" s="185"/>
      <c r="E1" s="185"/>
      <c r="F1" s="185"/>
      <c r="G1" s="185"/>
      <c r="H1" s="207"/>
    </row>
    <row r="2" spans="1:14" ht="29.5" customHeight="1" x14ac:dyDescent="0.6">
      <c r="A2" s="1340"/>
      <c r="B2" s="1337" t="s">
        <v>222</v>
      </c>
      <c r="C2" s="1337"/>
      <c r="D2" s="1337"/>
      <c r="E2" s="1337"/>
      <c r="F2" s="1337"/>
      <c r="G2" s="1337"/>
      <c r="H2" s="1338"/>
    </row>
    <row r="3" spans="1:14" ht="28" x14ac:dyDescent="0.45">
      <c r="A3" s="187" t="s">
        <v>754</v>
      </c>
      <c r="B3" s="63" t="s">
        <v>36</v>
      </c>
      <c r="C3" s="63" t="s">
        <v>302</v>
      </c>
      <c r="D3" s="63" t="s">
        <v>35</v>
      </c>
      <c r="E3" s="63" t="s">
        <v>312</v>
      </c>
      <c r="F3" s="84" t="s">
        <v>194</v>
      </c>
      <c r="G3" s="84" t="s">
        <v>322</v>
      </c>
      <c r="H3" s="63" t="s">
        <v>326</v>
      </c>
      <c r="I3" s="15" t="s">
        <v>148</v>
      </c>
      <c r="J3" s="1341" t="s">
        <v>967</v>
      </c>
      <c r="K3" s="1342"/>
      <c r="L3" s="1342"/>
      <c r="M3" s="1343"/>
    </row>
    <row r="4" spans="1:14" ht="14" x14ac:dyDescent="0.3">
      <c r="A4" s="52" t="str">
        <f>'G-1 All Habitats'!B3</f>
        <v>Cropland - Arable field margins cultivated annually</v>
      </c>
      <c r="B4" s="331" t="s">
        <v>1606</v>
      </c>
      <c r="C4" s="331" t="s">
        <v>1606</v>
      </c>
      <c r="D4" s="331" t="s">
        <v>1606</v>
      </c>
      <c r="E4" s="331" t="s">
        <v>1606</v>
      </c>
      <c r="F4" s="331" t="s">
        <v>1606</v>
      </c>
      <c r="G4" s="331">
        <v>1</v>
      </c>
      <c r="H4" s="331" t="s">
        <v>1606</v>
      </c>
      <c r="I4" s="15" t="str">
        <f>IF(G4=1,"Cond1",IF(H4=0,"Cond2",IF(AND(B4=3,C4=2.5,D4=2,E4=1.5,F4=1),"Cond4",IF(F4=1,"Cond3","Check"))))</f>
        <v>Cond1</v>
      </c>
      <c r="J4" s="206" t="s">
        <v>968</v>
      </c>
      <c r="K4" s="206" t="s">
        <v>969</v>
      </c>
      <c r="L4" s="206" t="s">
        <v>970</v>
      </c>
      <c r="M4" s="206" t="s">
        <v>971</v>
      </c>
      <c r="N4" s="15" t="s">
        <v>972</v>
      </c>
    </row>
    <row r="5" spans="1:14" ht="14" x14ac:dyDescent="0.3">
      <c r="A5" s="52" t="str">
        <f>'G-1 All Habitats'!B4</f>
        <v>Cropland - Arable field margins game bird mix</v>
      </c>
      <c r="B5" s="331" t="s">
        <v>1606</v>
      </c>
      <c r="C5" s="331" t="s">
        <v>1606</v>
      </c>
      <c r="D5" s="331" t="s">
        <v>1606</v>
      </c>
      <c r="E5" s="331" t="s">
        <v>1606</v>
      </c>
      <c r="F5" s="331" t="s">
        <v>1606</v>
      </c>
      <c r="G5" s="331">
        <v>1</v>
      </c>
      <c r="H5" s="331" t="s">
        <v>1606</v>
      </c>
      <c r="I5" s="15" t="str">
        <f>IF(G5=1,"Cond1",IF(H5=0,"Cond2",IF(AND(B5=3,C5=2.5,D5=2,E5=1.5,F5=1),"Cond4",IF(F5=1,"Cond3","Check"))))</f>
        <v>Cond1</v>
      </c>
      <c r="J5" s="151" t="s">
        <v>322</v>
      </c>
      <c r="K5" s="151" t="s">
        <v>326</v>
      </c>
      <c r="L5" s="182" t="s">
        <v>194</v>
      </c>
      <c r="M5" s="151" t="s">
        <v>36</v>
      </c>
      <c r="N5" s="15" t="s">
        <v>36</v>
      </c>
    </row>
    <row r="6" spans="1:14" ht="14" x14ac:dyDescent="0.3">
      <c r="A6" s="52" t="str">
        <f>'G-1 All Habitats'!B5</f>
        <v>Cropland - Arable field margins pollen and nectar</v>
      </c>
      <c r="B6" s="331" t="s">
        <v>1606</v>
      </c>
      <c r="C6" s="331" t="s">
        <v>1606</v>
      </c>
      <c r="D6" s="331" t="s">
        <v>1606</v>
      </c>
      <c r="E6" s="331" t="s">
        <v>1606</v>
      </c>
      <c r="F6" s="331" t="s">
        <v>1606</v>
      </c>
      <c r="G6" s="331">
        <v>1</v>
      </c>
      <c r="H6" s="331" t="s">
        <v>1606</v>
      </c>
      <c r="I6" s="15" t="str">
        <f>IF(G6=1,"Cond1",IF(H6=0,"Cond2",IF(AND(B6=3,C6=2.5,D6=2,E6=1.5,F6=1),"Cond4",IF(F6=1,"Cond3","Check"))))</f>
        <v>Cond1</v>
      </c>
      <c r="M6" s="151" t="s">
        <v>302</v>
      </c>
    </row>
    <row r="7" spans="1:14" ht="14" x14ac:dyDescent="0.3">
      <c r="A7" s="52" t="str">
        <f>'G-1 All Habitats'!B6</f>
        <v>Cropland - Arable field margins tussocky</v>
      </c>
      <c r="B7" s="331" t="s">
        <v>1606</v>
      </c>
      <c r="C7" s="331" t="s">
        <v>1606</v>
      </c>
      <c r="D7" s="331" t="s">
        <v>1606</v>
      </c>
      <c r="E7" s="331" t="s">
        <v>1606</v>
      </c>
      <c r="F7" s="331" t="s">
        <v>1606</v>
      </c>
      <c r="G7" s="331">
        <v>1</v>
      </c>
      <c r="H7" s="331" t="s">
        <v>1606</v>
      </c>
      <c r="I7" s="15" t="str">
        <f>IF(G7=1,"Cond1",IF(H7=0,"Cond2",IF(AND(B7=3,C7=2.5,D7=2,E7=1.5,F7=1),"Cond4",IF(F7=1,"Cond3","Check"))))</f>
        <v>Cond1</v>
      </c>
      <c r="M7" s="151" t="s">
        <v>35</v>
      </c>
    </row>
    <row r="8" spans="1:14" ht="14" x14ac:dyDescent="0.3">
      <c r="A8" s="52" t="str">
        <f>'G-1 All Habitats'!B7</f>
        <v>Cropland - Cereal crops</v>
      </c>
      <c r="B8" s="331" t="s">
        <v>1606</v>
      </c>
      <c r="C8" s="331" t="s">
        <v>1606</v>
      </c>
      <c r="D8" s="331" t="s">
        <v>1606</v>
      </c>
      <c r="E8" s="331" t="s">
        <v>1606</v>
      </c>
      <c r="F8" s="331" t="s">
        <v>1606</v>
      </c>
      <c r="G8" s="331">
        <v>1</v>
      </c>
      <c r="H8" s="331" t="s">
        <v>1606</v>
      </c>
      <c r="I8" s="15" t="str">
        <f>IF(G8=1,"Cond1",IF(H8=0,"Cond2",IF(AND(B8=3,C8=2.5,D8=2,E8=1.5,F8=1),"Cond4",IF(F8=1,"Cond3","Check"))))</f>
        <v>Cond1</v>
      </c>
      <c r="M8" s="151" t="s">
        <v>312</v>
      </c>
    </row>
    <row r="9" spans="1:14" ht="14" x14ac:dyDescent="0.3">
      <c r="A9" s="52" t="str">
        <f>'G-1 All Habitats'!B8</f>
        <v>Cropland - Winter stubble</v>
      </c>
      <c r="B9" s="331" t="s">
        <v>1606</v>
      </c>
      <c r="C9" s="331" t="s">
        <v>1606</v>
      </c>
      <c r="D9" s="331" t="s">
        <v>1606</v>
      </c>
      <c r="E9" s="331" t="s">
        <v>1606</v>
      </c>
      <c r="F9" s="331" t="s">
        <v>1606</v>
      </c>
      <c r="G9" s="331">
        <v>1</v>
      </c>
      <c r="H9" s="331" t="s">
        <v>1606</v>
      </c>
      <c r="I9" s="15" t="str">
        <f t="shared" ref="I9:I41" si="0">IF(G9=1,"Cond1",IF(H9=0,"Cond2",IF(AND(B9=3,C9=2.5,D9=2,E9=1.5,F9=1),"Cond4",IF(F9=1,"Cond3","Check"))))</f>
        <v>Cond1</v>
      </c>
      <c r="M9" s="182" t="s">
        <v>194</v>
      </c>
    </row>
    <row r="10" spans="1:14" ht="14" x14ac:dyDescent="0.3">
      <c r="A10" s="52" t="str">
        <f>'G-1 All Habitats'!B9</f>
        <v>Cropland - Horticulture</v>
      </c>
      <c r="B10" s="331" t="s">
        <v>1606</v>
      </c>
      <c r="C10" s="331" t="s">
        <v>1606</v>
      </c>
      <c r="D10" s="331" t="s">
        <v>1606</v>
      </c>
      <c r="E10" s="331" t="s">
        <v>1606</v>
      </c>
      <c r="F10" s="331" t="s">
        <v>1606</v>
      </c>
      <c r="G10" s="331">
        <v>1</v>
      </c>
      <c r="H10" s="331" t="s">
        <v>1606</v>
      </c>
      <c r="I10" s="15" t="str">
        <f t="shared" si="0"/>
        <v>Cond1</v>
      </c>
    </row>
    <row r="11" spans="1:14" ht="14" x14ac:dyDescent="0.3">
      <c r="A11" s="52" t="str">
        <f>'G-1 All Habitats'!B10</f>
        <v>Cropland - Intensive orchards</v>
      </c>
      <c r="B11" s="331" t="s">
        <v>1606</v>
      </c>
      <c r="C11" s="331" t="s">
        <v>1606</v>
      </c>
      <c r="D11" s="331" t="s">
        <v>1606</v>
      </c>
      <c r="E11" s="331" t="s">
        <v>1606</v>
      </c>
      <c r="F11" s="331" t="s">
        <v>1606</v>
      </c>
      <c r="G11" s="331">
        <v>1</v>
      </c>
      <c r="H11" s="331" t="s">
        <v>1606</v>
      </c>
      <c r="I11" s="15" t="str">
        <f t="shared" si="0"/>
        <v>Cond1</v>
      </c>
    </row>
    <row r="12" spans="1:14" ht="14" x14ac:dyDescent="0.3">
      <c r="A12" s="52" t="str">
        <f>'G-1 All Habitats'!B11</f>
        <v>Cropland - Non-cereal crops</v>
      </c>
      <c r="B12" s="331" t="s">
        <v>1606</v>
      </c>
      <c r="C12" s="331" t="s">
        <v>1606</v>
      </c>
      <c r="D12" s="331" t="s">
        <v>1606</v>
      </c>
      <c r="E12" s="331" t="s">
        <v>1606</v>
      </c>
      <c r="F12" s="331" t="s">
        <v>1606</v>
      </c>
      <c r="G12" s="331">
        <v>1</v>
      </c>
      <c r="H12" s="331" t="s">
        <v>1606</v>
      </c>
      <c r="I12" s="15" t="str">
        <f t="shared" si="0"/>
        <v>Cond1</v>
      </c>
    </row>
    <row r="13" spans="1:14" ht="14" x14ac:dyDescent="0.3">
      <c r="A13" s="52" t="str">
        <f>'G-1 All Habitats'!B12</f>
        <v>Cropland - Temporary grass and clover leys</v>
      </c>
      <c r="B13" s="331" t="s">
        <v>1606</v>
      </c>
      <c r="C13" s="331" t="s">
        <v>1606</v>
      </c>
      <c r="D13" s="331" t="s">
        <v>1606</v>
      </c>
      <c r="E13" s="331" t="s">
        <v>1606</v>
      </c>
      <c r="F13" s="331" t="s">
        <v>1606</v>
      </c>
      <c r="G13" s="331">
        <v>1</v>
      </c>
      <c r="H13" s="331" t="s">
        <v>1606</v>
      </c>
      <c r="I13" s="15" t="str">
        <f t="shared" si="0"/>
        <v>Cond1</v>
      </c>
    </row>
    <row r="14" spans="1:14" ht="14" x14ac:dyDescent="0.3">
      <c r="A14" s="52" t="str">
        <f>'G-1 All Habitats'!B13</f>
        <v>Grassland - Traditional orchards</v>
      </c>
      <c r="B14" s="331">
        <v>3</v>
      </c>
      <c r="C14" s="331">
        <v>2.5</v>
      </c>
      <c r="D14" s="331">
        <v>2</v>
      </c>
      <c r="E14" s="331">
        <v>1.5</v>
      </c>
      <c r="F14" s="331">
        <v>1</v>
      </c>
      <c r="G14" s="331" t="s">
        <v>1606</v>
      </c>
      <c r="H14" s="331" t="s">
        <v>1606</v>
      </c>
      <c r="I14" s="15" t="str">
        <f t="shared" si="0"/>
        <v>Cond4</v>
      </c>
    </row>
    <row r="15" spans="1:14" ht="14" x14ac:dyDescent="0.3">
      <c r="A15" s="52" t="str">
        <f>'G-1 All Habitats'!B14</f>
        <v>Grassland - Bracken</v>
      </c>
      <c r="B15" s="331" t="s">
        <v>1606</v>
      </c>
      <c r="C15" s="331" t="s">
        <v>1606</v>
      </c>
      <c r="D15" s="331" t="s">
        <v>1606</v>
      </c>
      <c r="E15" s="331" t="s">
        <v>1606</v>
      </c>
      <c r="F15" s="331" t="s">
        <v>1606</v>
      </c>
      <c r="G15" s="331">
        <v>1</v>
      </c>
      <c r="H15" s="331" t="s">
        <v>1606</v>
      </c>
      <c r="I15" s="15" t="str">
        <f t="shared" si="0"/>
        <v>Cond1</v>
      </c>
    </row>
    <row r="16" spans="1:14" ht="14" x14ac:dyDescent="0.3">
      <c r="A16" s="52" t="str">
        <f>'G-1 All Habitats'!B15</f>
        <v>Grassland - Floodplain wetland mosaic and CFGM</v>
      </c>
      <c r="B16" s="331">
        <v>3</v>
      </c>
      <c r="C16" s="331">
        <v>2.5</v>
      </c>
      <c r="D16" s="331">
        <v>2</v>
      </c>
      <c r="E16" s="331">
        <v>1.5</v>
      </c>
      <c r="F16" s="331">
        <v>1</v>
      </c>
      <c r="G16" s="331" t="s">
        <v>1606</v>
      </c>
      <c r="H16" s="331" t="s">
        <v>1606</v>
      </c>
      <c r="I16" s="15" t="str">
        <f t="shared" si="0"/>
        <v>Cond4</v>
      </c>
    </row>
    <row r="17" spans="1:9" ht="14" x14ac:dyDescent="0.3">
      <c r="A17" s="52" t="str">
        <f>'G-1 All Habitats'!B16</f>
        <v>Grassland - Lowland calcareous grassland</v>
      </c>
      <c r="B17" s="331">
        <v>3</v>
      </c>
      <c r="C17" s="331">
        <v>2.5</v>
      </c>
      <c r="D17" s="331">
        <v>2</v>
      </c>
      <c r="E17" s="331">
        <v>1.5</v>
      </c>
      <c r="F17" s="331">
        <v>1</v>
      </c>
      <c r="G17" s="331" t="s">
        <v>1606</v>
      </c>
      <c r="H17" s="331" t="s">
        <v>1606</v>
      </c>
      <c r="I17" s="15" t="str">
        <f t="shared" si="0"/>
        <v>Cond4</v>
      </c>
    </row>
    <row r="18" spans="1:9" ht="14" x14ac:dyDescent="0.3">
      <c r="A18" s="52" t="str">
        <f>'G-1 All Habitats'!B17</f>
        <v>Grassland - Lowland dry acid grassland</v>
      </c>
      <c r="B18" s="331">
        <v>3</v>
      </c>
      <c r="C18" s="331">
        <v>2.5</v>
      </c>
      <c r="D18" s="331">
        <v>2</v>
      </c>
      <c r="E18" s="331">
        <v>1.5</v>
      </c>
      <c r="F18" s="331">
        <v>1</v>
      </c>
      <c r="G18" s="331" t="s">
        <v>1606</v>
      </c>
      <c r="H18" s="331" t="s">
        <v>1606</v>
      </c>
      <c r="I18" s="15" t="str">
        <f t="shared" si="0"/>
        <v>Cond4</v>
      </c>
    </row>
    <row r="19" spans="1:9" ht="14" x14ac:dyDescent="0.3">
      <c r="A19" s="52" t="str">
        <f>'G-1 All Habitats'!B18</f>
        <v>Grassland - Lowland meadows</v>
      </c>
      <c r="B19" s="331">
        <v>3</v>
      </c>
      <c r="C19" s="331">
        <v>2.5</v>
      </c>
      <c r="D19" s="331">
        <v>2</v>
      </c>
      <c r="E19" s="331">
        <v>1.5</v>
      </c>
      <c r="F19" s="331">
        <v>1</v>
      </c>
      <c r="G19" s="331" t="s">
        <v>1606</v>
      </c>
      <c r="H19" s="331" t="s">
        <v>1606</v>
      </c>
      <c r="I19" s="15" t="str">
        <f t="shared" si="0"/>
        <v>Cond4</v>
      </c>
    </row>
    <row r="20" spans="1:9" ht="14" x14ac:dyDescent="0.3">
      <c r="A20" s="52" t="str">
        <f>'G-1 All Habitats'!B19</f>
        <v>Grassland - Modified grassland</v>
      </c>
      <c r="B20" s="331">
        <v>3</v>
      </c>
      <c r="C20" s="331">
        <v>2.5</v>
      </c>
      <c r="D20" s="331">
        <v>2</v>
      </c>
      <c r="E20" s="331">
        <v>1.5</v>
      </c>
      <c r="F20" s="331">
        <v>1</v>
      </c>
      <c r="G20" s="331" t="s">
        <v>1606</v>
      </c>
      <c r="H20" s="331" t="s">
        <v>1606</v>
      </c>
      <c r="I20" s="15" t="str">
        <f t="shared" si="0"/>
        <v>Cond4</v>
      </c>
    </row>
    <row r="21" spans="1:9" ht="15" customHeight="1" x14ac:dyDescent="0.3">
      <c r="A21" s="52" t="str">
        <f>'G-1 All Habitats'!B20</f>
        <v>Grassland - Other lowland acid grassland</v>
      </c>
      <c r="B21" s="331">
        <v>3</v>
      </c>
      <c r="C21" s="331">
        <v>2.5</v>
      </c>
      <c r="D21" s="331">
        <v>2</v>
      </c>
      <c r="E21" s="331">
        <v>1.5</v>
      </c>
      <c r="F21" s="331">
        <v>1</v>
      </c>
      <c r="G21" s="331" t="s">
        <v>1606</v>
      </c>
      <c r="H21" s="331" t="s">
        <v>1606</v>
      </c>
      <c r="I21" s="15" t="str">
        <f t="shared" si="0"/>
        <v>Cond4</v>
      </c>
    </row>
    <row r="22" spans="1:9" ht="15" customHeight="1" x14ac:dyDescent="0.3">
      <c r="A22" s="52" t="str">
        <f>'G-1 All Habitats'!B21</f>
        <v>Grassland - Other neutral grassland</v>
      </c>
      <c r="B22" s="331">
        <v>3</v>
      </c>
      <c r="C22" s="331">
        <v>2.5</v>
      </c>
      <c r="D22" s="331">
        <v>2</v>
      </c>
      <c r="E22" s="331">
        <v>1.5</v>
      </c>
      <c r="F22" s="331">
        <v>1</v>
      </c>
      <c r="G22" s="331" t="s">
        <v>1606</v>
      </c>
      <c r="H22" s="331" t="s">
        <v>1606</v>
      </c>
      <c r="I22" s="15" t="str">
        <f t="shared" si="0"/>
        <v>Cond4</v>
      </c>
    </row>
    <row r="23" spans="1:9" ht="15" customHeight="1" x14ac:dyDescent="0.3">
      <c r="A23" s="52" t="str">
        <f>'G-1 All Habitats'!B22</f>
        <v>Grassland - Tall herb communities (H6430)</v>
      </c>
      <c r="B23" s="331">
        <v>3</v>
      </c>
      <c r="C23" s="331">
        <v>2.5</v>
      </c>
      <c r="D23" s="331">
        <v>2</v>
      </c>
      <c r="E23" s="331">
        <v>1.5</v>
      </c>
      <c r="F23" s="331">
        <v>1</v>
      </c>
      <c r="G23" s="331" t="s">
        <v>1606</v>
      </c>
      <c r="H23" s="331" t="s">
        <v>1606</v>
      </c>
      <c r="I23" s="15" t="str">
        <f t="shared" si="0"/>
        <v>Cond4</v>
      </c>
    </row>
    <row r="24" spans="1:9" ht="15" customHeight="1" x14ac:dyDescent="0.3">
      <c r="A24" s="52" t="str">
        <f>'G-1 All Habitats'!B23</f>
        <v>Grassland - Upland acid grassland</v>
      </c>
      <c r="B24" s="331">
        <v>3</v>
      </c>
      <c r="C24" s="331">
        <v>2.5</v>
      </c>
      <c r="D24" s="331">
        <v>2</v>
      </c>
      <c r="E24" s="331">
        <v>1.5</v>
      </c>
      <c r="F24" s="331">
        <v>1</v>
      </c>
      <c r="G24" s="331" t="s">
        <v>1606</v>
      </c>
      <c r="H24" s="331" t="s">
        <v>1606</v>
      </c>
      <c r="I24" s="15" t="str">
        <f t="shared" si="0"/>
        <v>Cond4</v>
      </c>
    </row>
    <row r="25" spans="1:9" ht="15" customHeight="1" x14ac:dyDescent="0.3">
      <c r="A25" s="52" t="str">
        <f>'G-1 All Habitats'!B24</f>
        <v>Grassland - Upland calcareous grassland</v>
      </c>
      <c r="B25" s="331">
        <v>3</v>
      </c>
      <c r="C25" s="331">
        <v>2.5</v>
      </c>
      <c r="D25" s="331">
        <v>2</v>
      </c>
      <c r="E25" s="331">
        <v>1.5</v>
      </c>
      <c r="F25" s="331">
        <v>1</v>
      </c>
      <c r="G25" s="331" t="s">
        <v>1606</v>
      </c>
      <c r="H25" s="331" t="s">
        <v>1606</v>
      </c>
      <c r="I25" s="15" t="str">
        <f t="shared" si="0"/>
        <v>Cond4</v>
      </c>
    </row>
    <row r="26" spans="1:9" ht="15" customHeight="1" x14ac:dyDescent="0.3">
      <c r="A26" s="52" t="str">
        <f>'G-1 All Habitats'!B25</f>
        <v>Grassland - Upland hay meadows</v>
      </c>
      <c r="B26" s="331">
        <v>3</v>
      </c>
      <c r="C26" s="331">
        <v>2.5</v>
      </c>
      <c r="D26" s="331">
        <v>2</v>
      </c>
      <c r="E26" s="331">
        <v>1.5</v>
      </c>
      <c r="F26" s="331">
        <v>1</v>
      </c>
      <c r="G26" s="331" t="s">
        <v>1606</v>
      </c>
      <c r="H26" s="331" t="s">
        <v>1606</v>
      </c>
      <c r="I26" s="15" t="str">
        <f t="shared" si="0"/>
        <v>Cond4</v>
      </c>
    </row>
    <row r="27" spans="1:9" ht="14" x14ac:dyDescent="0.3">
      <c r="A27" s="52" t="str">
        <f>'G-1 All Habitats'!B26</f>
        <v>Heathland and shrub - Blackthorn scrub</v>
      </c>
      <c r="B27" s="331">
        <v>3</v>
      </c>
      <c r="C27" s="331">
        <v>2.5</v>
      </c>
      <c r="D27" s="331">
        <v>2</v>
      </c>
      <c r="E27" s="331">
        <v>1.5</v>
      </c>
      <c r="F27" s="331">
        <v>1</v>
      </c>
      <c r="G27" s="331" t="s">
        <v>1606</v>
      </c>
      <c r="H27" s="331" t="s">
        <v>1606</v>
      </c>
      <c r="I27" s="15" t="str">
        <f t="shared" si="0"/>
        <v>Cond4</v>
      </c>
    </row>
    <row r="28" spans="1:9" ht="14" x14ac:dyDescent="0.3">
      <c r="A28" s="52" t="str">
        <f>'G-1 All Habitats'!B27</f>
        <v>Heathland and shrub - Bramble scrub</v>
      </c>
      <c r="B28" s="331" t="s">
        <v>1606</v>
      </c>
      <c r="C28" s="331" t="s">
        <v>1606</v>
      </c>
      <c r="D28" s="331" t="s">
        <v>1606</v>
      </c>
      <c r="E28" s="331" t="s">
        <v>1606</v>
      </c>
      <c r="F28" s="331" t="s">
        <v>1606</v>
      </c>
      <c r="G28" s="331">
        <v>1</v>
      </c>
      <c r="H28" s="331" t="s">
        <v>1606</v>
      </c>
      <c r="I28" s="15" t="str">
        <f t="shared" si="0"/>
        <v>Cond1</v>
      </c>
    </row>
    <row r="29" spans="1:9" ht="14" x14ac:dyDescent="0.3">
      <c r="A29" s="52" t="str">
        <f>'G-1 All Habitats'!B28</f>
        <v>Heathland and shrub - Gorse scrub</v>
      </c>
      <c r="B29" s="331">
        <v>3</v>
      </c>
      <c r="C29" s="331">
        <v>2.5</v>
      </c>
      <c r="D29" s="331">
        <v>2</v>
      </c>
      <c r="E29" s="331">
        <v>1.5</v>
      </c>
      <c r="F29" s="331">
        <v>1</v>
      </c>
      <c r="G29" s="331" t="s">
        <v>1606</v>
      </c>
      <c r="H29" s="331" t="s">
        <v>1606</v>
      </c>
      <c r="I29" s="15" t="str">
        <f t="shared" si="0"/>
        <v>Cond4</v>
      </c>
    </row>
    <row r="30" spans="1:9" ht="14" x14ac:dyDescent="0.3">
      <c r="A30" s="52" t="str">
        <f>'G-1 All Habitats'!B29</f>
        <v>Heathland and shrub - Hawthorn scrub</v>
      </c>
      <c r="B30" s="331">
        <v>3</v>
      </c>
      <c r="C30" s="331">
        <v>2.5</v>
      </c>
      <c r="D30" s="331">
        <v>2</v>
      </c>
      <c r="E30" s="331">
        <v>1.5</v>
      </c>
      <c r="F30" s="331">
        <v>1</v>
      </c>
      <c r="G30" s="331" t="s">
        <v>1606</v>
      </c>
      <c r="H30" s="331" t="s">
        <v>1606</v>
      </c>
      <c r="I30" s="15" t="str">
        <f t="shared" si="0"/>
        <v>Cond4</v>
      </c>
    </row>
    <row r="31" spans="1:9" ht="14" x14ac:dyDescent="0.3">
      <c r="A31" s="52" t="str">
        <f>'G-1 All Habitats'!B30</f>
        <v>Heathland and shrub - Hazel scrub</v>
      </c>
      <c r="B31" s="331">
        <v>3</v>
      </c>
      <c r="C31" s="331">
        <v>2.5</v>
      </c>
      <c r="D31" s="331">
        <v>2</v>
      </c>
      <c r="E31" s="331">
        <v>1.5</v>
      </c>
      <c r="F31" s="331">
        <v>1</v>
      </c>
      <c r="G31" s="331" t="s">
        <v>1606</v>
      </c>
      <c r="H31" s="331" t="s">
        <v>1606</v>
      </c>
      <c r="I31" s="15" t="str">
        <f t="shared" si="0"/>
        <v>Cond4</v>
      </c>
    </row>
    <row r="32" spans="1:9" ht="14" x14ac:dyDescent="0.3">
      <c r="A32" s="52" t="str">
        <f>'G-1 All Habitats'!B31</f>
        <v>Heathland and shrub - Lowland heathland</v>
      </c>
      <c r="B32" s="331">
        <v>3</v>
      </c>
      <c r="C32" s="331">
        <v>2.5</v>
      </c>
      <c r="D32" s="331">
        <v>2</v>
      </c>
      <c r="E32" s="331">
        <v>1.5</v>
      </c>
      <c r="F32" s="331">
        <v>1</v>
      </c>
      <c r="G32" s="331" t="s">
        <v>1606</v>
      </c>
      <c r="H32" s="331" t="s">
        <v>1606</v>
      </c>
      <c r="I32" s="15" t="str">
        <f t="shared" si="0"/>
        <v>Cond4</v>
      </c>
    </row>
    <row r="33" spans="1:9" ht="14" x14ac:dyDescent="0.3">
      <c r="A33" s="52" t="str">
        <f>'G-1 All Habitats'!B32</f>
        <v>Heathland and shrub - Mixed scrub</v>
      </c>
      <c r="B33" s="331">
        <v>3</v>
      </c>
      <c r="C33" s="331">
        <v>2.5</v>
      </c>
      <c r="D33" s="331">
        <v>2</v>
      </c>
      <c r="E33" s="331">
        <v>1.5</v>
      </c>
      <c r="F33" s="331">
        <v>1</v>
      </c>
      <c r="G33" s="331" t="s">
        <v>1606</v>
      </c>
      <c r="H33" s="331" t="s">
        <v>1606</v>
      </c>
      <c r="I33" s="15" t="str">
        <f t="shared" si="0"/>
        <v>Cond4</v>
      </c>
    </row>
    <row r="34" spans="1:9" ht="14" x14ac:dyDescent="0.3">
      <c r="A34" s="52" t="str">
        <f>'G-1 All Habitats'!B33</f>
        <v>Heathland and shrub - Mountain heaths and willow scrub</v>
      </c>
      <c r="B34" s="331">
        <v>3</v>
      </c>
      <c r="C34" s="331">
        <v>2.5</v>
      </c>
      <c r="D34" s="331">
        <v>2</v>
      </c>
      <c r="E34" s="331">
        <v>1.5</v>
      </c>
      <c r="F34" s="331">
        <v>1</v>
      </c>
      <c r="G34" s="331" t="s">
        <v>1606</v>
      </c>
      <c r="H34" s="331" t="s">
        <v>1606</v>
      </c>
      <c r="I34" s="15" t="str">
        <f t="shared" si="0"/>
        <v>Cond4</v>
      </c>
    </row>
    <row r="35" spans="1:9" ht="14" x14ac:dyDescent="0.3">
      <c r="A35" s="52" t="str">
        <f>'G-1 All Habitats'!B34</f>
        <v>Heathland and shrub - Rhododendron scrub</v>
      </c>
      <c r="B35" s="331" t="s">
        <v>1606</v>
      </c>
      <c r="C35" s="331" t="s">
        <v>1606</v>
      </c>
      <c r="D35" s="331" t="s">
        <v>1606</v>
      </c>
      <c r="E35" s="331" t="s">
        <v>1606</v>
      </c>
      <c r="F35" s="331" t="s">
        <v>1606</v>
      </c>
      <c r="G35" s="331">
        <v>1</v>
      </c>
      <c r="H35" s="331" t="s">
        <v>1606</v>
      </c>
      <c r="I35" s="15" t="str">
        <f t="shared" si="0"/>
        <v>Cond1</v>
      </c>
    </row>
    <row r="36" spans="1:9" ht="14" x14ac:dyDescent="0.3">
      <c r="A36" s="52" t="str">
        <f>'G-1 All Habitats'!B35</f>
        <v>Heathland and shrub - Dunes with sea buckthorn (H2160)</v>
      </c>
      <c r="B36" s="331">
        <v>3</v>
      </c>
      <c r="C36" s="331">
        <v>2.5</v>
      </c>
      <c r="D36" s="331">
        <v>2</v>
      </c>
      <c r="E36" s="331">
        <v>1.5</v>
      </c>
      <c r="F36" s="331">
        <v>1</v>
      </c>
      <c r="G36" s="331" t="s">
        <v>1606</v>
      </c>
      <c r="H36" s="331" t="s">
        <v>1606</v>
      </c>
      <c r="I36" s="15" t="str">
        <f t="shared" si="0"/>
        <v>Cond4</v>
      </c>
    </row>
    <row r="37" spans="1:9" ht="14" x14ac:dyDescent="0.3">
      <c r="A37" s="52" t="str">
        <f>'G-1 All Habitats'!B36</f>
        <v>Heathland and shrub - Other sea buckthorn scrub</v>
      </c>
      <c r="B37" s="331" t="s">
        <v>1606</v>
      </c>
      <c r="C37" s="331" t="s">
        <v>1606</v>
      </c>
      <c r="D37" s="331" t="s">
        <v>1606</v>
      </c>
      <c r="E37" s="331" t="s">
        <v>1606</v>
      </c>
      <c r="F37" s="331" t="s">
        <v>1606</v>
      </c>
      <c r="G37" s="331">
        <v>1</v>
      </c>
      <c r="H37" s="331" t="s">
        <v>1606</v>
      </c>
      <c r="I37" s="15" t="str">
        <f t="shared" si="0"/>
        <v>Cond1</v>
      </c>
    </row>
    <row r="38" spans="1:9" ht="14" x14ac:dyDescent="0.3">
      <c r="A38" s="52" t="s">
        <v>434</v>
      </c>
      <c r="B38" s="331">
        <v>3</v>
      </c>
      <c r="C38" s="331">
        <v>2.5</v>
      </c>
      <c r="D38" s="331">
        <v>2</v>
      </c>
      <c r="E38" s="331">
        <v>1.5</v>
      </c>
      <c r="F38" s="331">
        <v>1</v>
      </c>
      <c r="G38" s="331" t="s">
        <v>1606</v>
      </c>
      <c r="H38" s="331" t="s">
        <v>1606</v>
      </c>
      <c r="I38" s="15" t="str">
        <f t="shared" si="0"/>
        <v>Cond4</v>
      </c>
    </row>
    <row r="39" spans="1:9" ht="14" x14ac:dyDescent="0.3">
      <c r="A39" s="52" t="str">
        <f>'G-1 All Habitats'!B38</f>
        <v>Heathland and shrub - Upland heathland</v>
      </c>
      <c r="B39" s="331">
        <v>3</v>
      </c>
      <c r="C39" s="331">
        <v>2.5</v>
      </c>
      <c r="D39" s="331">
        <v>2</v>
      </c>
      <c r="E39" s="331">
        <v>1.5</v>
      </c>
      <c r="F39" s="331">
        <v>1</v>
      </c>
      <c r="G39" s="331" t="s">
        <v>1606</v>
      </c>
      <c r="H39" s="331" t="s">
        <v>1606</v>
      </c>
      <c r="I39" s="15" t="str">
        <f t="shared" si="0"/>
        <v>Cond4</v>
      </c>
    </row>
    <row r="40" spans="1:9" ht="14" x14ac:dyDescent="0.3">
      <c r="A40" s="52" t="str">
        <f>'G-1 All Habitats'!B39</f>
        <v>Lakes - Aquifer fed naturally fluctuating water bodies</v>
      </c>
      <c r="B40" s="331">
        <v>3</v>
      </c>
      <c r="C40" s="331">
        <v>2.5</v>
      </c>
      <c r="D40" s="331">
        <v>2</v>
      </c>
      <c r="E40" s="331">
        <v>1.5</v>
      </c>
      <c r="F40" s="331">
        <v>1</v>
      </c>
      <c r="G40" s="331" t="s">
        <v>1606</v>
      </c>
      <c r="H40" s="331" t="s">
        <v>1606</v>
      </c>
      <c r="I40" s="15" t="str">
        <f t="shared" si="0"/>
        <v>Cond4</v>
      </c>
    </row>
    <row r="41" spans="1:9" ht="14" x14ac:dyDescent="0.3">
      <c r="A41" s="52" t="str">
        <f>'G-1 All Habitats'!B41</f>
        <v>Lakes - High alkalinity lakes</v>
      </c>
      <c r="B41" s="331">
        <v>3</v>
      </c>
      <c r="C41" s="331">
        <v>2.5</v>
      </c>
      <c r="D41" s="331">
        <v>2</v>
      </c>
      <c r="E41" s="331">
        <v>1.5</v>
      </c>
      <c r="F41" s="331">
        <v>1</v>
      </c>
      <c r="G41" s="331" t="s">
        <v>1606</v>
      </c>
      <c r="H41" s="331" t="s">
        <v>1606</v>
      </c>
      <c r="I41" s="15" t="str">
        <f t="shared" si="0"/>
        <v>Cond4</v>
      </c>
    </row>
    <row r="42" spans="1:9" ht="14" x14ac:dyDescent="0.3">
      <c r="A42" s="52" t="str">
        <f>'G-1 All Habitats'!B42</f>
        <v>Lakes - Low alkalinity lakes</v>
      </c>
      <c r="B42" s="331">
        <v>3</v>
      </c>
      <c r="C42" s="331">
        <v>2.5</v>
      </c>
      <c r="D42" s="331">
        <v>2</v>
      </c>
      <c r="E42" s="331">
        <v>1.5</v>
      </c>
      <c r="F42" s="331">
        <v>1</v>
      </c>
      <c r="G42" s="331" t="s">
        <v>1606</v>
      </c>
      <c r="H42" s="331" t="s">
        <v>1606</v>
      </c>
      <c r="I42" s="15" t="str">
        <f t="shared" ref="I42:I74" si="1">IF(G42=1,"Cond1",IF(H42=0,"Cond2",IF(AND(B42=3,C42=2.5,D42=2,E42=1.5,F42=1),"Cond4",IF(F42=1,"Cond3","Check"))))</f>
        <v>Cond4</v>
      </c>
    </row>
    <row r="43" spans="1:9" ht="14" x14ac:dyDescent="0.3">
      <c r="A43" s="52" t="str">
        <f>'G-1 All Habitats'!B43</f>
        <v>Lakes - Marl lakes</v>
      </c>
      <c r="B43" s="331">
        <v>3</v>
      </c>
      <c r="C43" s="331">
        <v>2.5</v>
      </c>
      <c r="D43" s="331">
        <v>2</v>
      </c>
      <c r="E43" s="331">
        <v>1.5</v>
      </c>
      <c r="F43" s="331">
        <v>1</v>
      </c>
      <c r="G43" s="331" t="s">
        <v>1606</v>
      </c>
      <c r="H43" s="331" t="s">
        <v>1606</v>
      </c>
      <c r="I43" s="15" t="str">
        <f t="shared" si="1"/>
        <v>Cond4</v>
      </c>
    </row>
    <row r="44" spans="1:9" ht="14" x14ac:dyDescent="0.3">
      <c r="A44" s="52" t="str">
        <f>'G-1 All Habitats'!B44</f>
        <v>Lakes - Moderate alkalinity lakes</v>
      </c>
      <c r="B44" s="331">
        <v>3</v>
      </c>
      <c r="C44" s="331">
        <v>2.5</v>
      </c>
      <c r="D44" s="331">
        <v>2</v>
      </c>
      <c r="E44" s="331">
        <v>1.5</v>
      </c>
      <c r="F44" s="331">
        <v>1</v>
      </c>
      <c r="G44" s="331" t="s">
        <v>1606</v>
      </c>
      <c r="H44" s="331" t="s">
        <v>1606</v>
      </c>
      <c r="I44" s="15" t="str">
        <f t="shared" si="1"/>
        <v>Cond4</v>
      </c>
    </row>
    <row r="45" spans="1:9" ht="14" x14ac:dyDescent="0.3">
      <c r="A45" s="52" t="str">
        <f>'G-1 All Habitats'!B45</f>
        <v>Lakes - Peat lakes</v>
      </c>
      <c r="B45" s="331">
        <v>3</v>
      </c>
      <c r="C45" s="331">
        <v>2.5</v>
      </c>
      <c r="D45" s="331">
        <v>2</v>
      </c>
      <c r="E45" s="331">
        <v>1.5</v>
      </c>
      <c r="F45" s="331">
        <v>1</v>
      </c>
      <c r="G45" s="331" t="s">
        <v>1606</v>
      </c>
      <c r="H45" s="331" t="s">
        <v>1606</v>
      </c>
      <c r="I45" s="15" t="str">
        <f t="shared" si="1"/>
        <v>Cond4</v>
      </c>
    </row>
    <row r="46" spans="1:9" ht="14" x14ac:dyDescent="0.3">
      <c r="A46" s="52" t="str">
        <f>'G-1 All Habitats'!B46</f>
        <v>Lakes - Ponds (priority habitat)</v>
      </c>
      <c r="B46" s="331">
        <v>3</v>
      </c>
      <c r="C46" s="331">
        <v>2.5</v>
      </c>
      <c r="D46" s="331">
        <v>2</v>
      </c>
      <c r="E46" s="331">
        <v>1.5</v>
      </c>
      <c r="F46" s="331">
        <v>1</v>
      </c>
      <c r="G46" s="331" t="s">
        <v>1606</v>
      </c>
      <c r="H46" s="331" t="s">
        <v>1606</v>
      </c>
      <c r="I46" s="15" t="str">
        <f t="shared" si="1"/>
        <v>Cond4</v>
      </c>
    </row>
    <row r="47" spans="1:9" ht="14" x14ac:dyDescent="0.3">
      <c r="A47" s="52" t="str">
        <f>'G-1 All Habitats'!B47</f>
        <v>Lakes - Ponds (non-priority habitat)</v>
      </c>
      <c r="B47" s="331">
        <v>3</v>
      </c>
      <c r="C47" s="331">
        <v>2.5</v>
      </c>
      <c r="D47" s="331">
        <v>2</v>
      </c>
      <c r="E47" s="331">
        <v>1.5</v>
      </c>
      <c r="F47" s="331">
        <v>1</v>
      </c>
      <c r="G47" s="331" t="s">
        <v>1606</v>
      </c>
      <c r="H47" s="331" t="s">
        <v>1606</v>
      </c>
      <c r="I47" s="15" t="str">
        <f t="shared" si="1"/>
        <v>Cond4</v>
      </c>
    </row>
    <row r="48" spans="1:9" ht="14" x14ac:dyDescent="0.3">
      <c r="A48" s="52" t="str">
        <f>'G-1 All Habitats'!B48</f>
        <v>Lakes - Reservoirs</v>
      </c>
      <c r="B48" s="331">
        <v>3</v>
      </c>
      <c r="C48" s="331">
        <v>2.5</v>
      </c>
      <c r="D48" s="331">
        <v>2</v>
      </c>
      <c r="E48" s="331">
        <v>1.5</v>
      </c>
      <c r="F48" s="331">
        <v>1</v>
      </c>
      <c r="G48" s="331" t="s">
        <v>1606</v>
      </c>
      <c r="H48" s="331" t="s">
        <v>1606</v>
      </c>
      <c r="I48" s="15" t="str">
        <f t="shared" si="1"/>
        <v>Cond4</v>
      </c>
    </row>
    <row r="49" spans="1:9" ht="14" x14ac:dyDescent="0.3">
      <c r="A49" s="52" t="str">
        <f>'G-1 All Habitats'!B49</f>
        <v>Lakes - Temporary lakes ponds and pools (H3170)</v>
      </c>
      <c r="B49" s="331">
        <v>3</v>
      </c>
      <c r="C49" s="331">
        <v>2.5</v>
      </c>
      <c r="D49" s="331">
        <v>2</v>
      </c>
      <c r="E49" s="331">
        <v>1.5</v>
      </c>
      <c r="F49" s="331">
        <v>1</v>
      </c>
      <c r="G49" s="331" t="s">
        <v>1606</v>
      </c>
      <c r="H49" s="331" t="s">
        <v>1606</v>
      </c>
      <c r="I49" s="15" t="str">
        <f t="shared" si="1"/>
        <v>Cond4</v>
      </c>
    </row>
    <row r="50" spans="1:9" ht="14" x14ac:dyDescent="0.3">
      <c r="A50" s="52" t="str">
        <f>'G-1 All Habitats'!B50</f>
        <v>Sparsely vegetated land - Calaminarian grasslands</v>
      </c>
      <c r="B50" s="331">
        <v>3</v>
      </c>
      <c r="C50" s="331">
        <v>2.5</v>
      </c>
      <c r="D50" s="331">
        <v>2</v>
      </c>
      <c r="E50" s="331">
        <v>1.5</v>
      </c>
      <c r="F50" s="331">
        <v>1</v>
      </c>
      <c r="G50" s="331" t="s">
        <v>1606</v>
      </c>
      <c r="H50" s="331" t="s">
        <v>1606</v>
      </c>
      <c r="I50" s="15" t="str">
        <f t="shared" si="1"/>
        <v>Cond4</v>
      </c>
    </row>
    <row r="51" spans="1:9" ht="14" x14ac:dyDescent="0.3">
      <c r="A51" s="52" t="str">
        <f>'G-1 All Habitats'!B51</f>
        <v>Sparsely vegetated land - Coastal sand dunes</v>
      </c>
      <c r="B51" s="331">
        <v>3</v>
      </c>
      <c r="C51" s="331">
        <v>2.5</v>
      </c>
      <c r="D51" s="331">
        <v>2</v>
      </c>
      <c r="E51" s="331">
        <v>1.5</v>
      </c>
      <c r="F51" s="331">
        <v>1</v>
      </c>
      <c r="G51" s="331" t="s">
        <v>1606</v>
      </c>
      <c r="H51" s="331" t="s">
        <v>1606</v>
      </c>
      <c r="I51" s="15" t="str">
        <f t="shared" si="1"/>
        <v>Cond4</v>
      </c>
    </row>
    <row r="52" spans="1:9" ht="14" x14ac:dyDescent="0.3">
      <c r="A52" s="52" t="str">
        <f>'G-1 All Habitats'!B52</f>
        <v>Sparsely vegetated land - Coastal vegetated shingle</v>
      </c>
      <c r="B52" s="331">
        <v>3</v>
      </c>
      <c r="C52" s="331">
        <v>2.5</v>
      </c>
      <c r="D52" s="331">
        <v>2</v>
      </c>
      <c r="E52" s="331">
        <v>1.5</v>
      </c>
      <c r="F52" s="331">
        <v>1</v>
      </c>
      <c r="G52" s="331" t="s">
        <v>1606</v>
      </c>
      <c r="H52" s="331" t="s">
        <v>1606</v>
      </c>
      <c r="I52" s="15" t="str">
        <f t="shared" si="1"/>
        <v>Cond4</v>
      </c>
    </row>
    <row r="53" spans="1:9" ht="14" x14ac:dyDescent="0.3">
      <c r="A53" s="52" t="str">
        <f>'G-1 All Habitats'!B53</f>
        <v>Sparsely vegetated land - Ruderal/Ephemeral</v>
      </c>
      <c r="B53" s="331">
        <v>3</v>
      </c>
      <c r="C53" s="331">
        <v>2.5</v>
      </c>
      <c r="D53" s="331">
        <v>2</v>
      </c>
      <c r="E53" s="331">
        <v>1.5</v>
      </c>
      <c r="F53" s="331">
        <v>1</v>
      </c>
      <c r="G53" s="331" t="s">
        <v>1606</v>
      </c>
      <c r="H53" s="331" t="s">
        <v>1606</v>
      </c>
      <c r="I53" s="15" t="str">
        <f t="shared" si="1"/>
        <v>Cond4</v>
      </c>
    </row>
    <row r="54" spans="1:9" ht="14" x14ac:dyDescent="0.3">
      <c r="A54" s="52" t="s">
        <v>491</v>
      </c>
      <c r="B54" s="331">
        <v>3</v>
      </c>
      <c r="C54" s="331">
        <v>2.5</v>
      </c>
      <c r="D54" s="331">
        <v>2</v>
      </c>
      <c r="E54" s="331">
        <v>1.5</v>
      </c>
      <c r="F54" s="331">
        <v>1</v>
      </c>
      <c r="G54" s="331" t="s">
        <v>1606</v>
      </c>
      <c r="H54" s="331" t="s">
        <v>1606</v>
      </c>
      <c r="I54" s="15" t="str">
        <f t="shared" si="1"/>
        <v>Cond4</v>
      </c>
    </row>
    <row r="55" spans="1:9" ht="14" x14ac:dyDescent="0.3">
      <c r="A55" s="52" t="str">
        <f>'G-1 All Habitats'!B55</f>
        <v>Sparsely vegetated land - Inland rock outcrop and scree habitats</v>
      </c>
      <c r="B55" s="331">
        <v>3</v>
      </c>
      <c r="C55" s="331">
        <v>2.5</v>
      </c>
      <c r="D55" s="331">
        <v>2</v>
      </c>
      <c r="E55" s="331">
        <v>1.5</v>
      </c>
      <c r="F55" s="331">
        <v>1</v>
      </c>
      <c r="G55" s="331" t="s">
        <v>1606</v>
      </c>
      <c r="H55" s="331" t="s">
        <v>1606</v>
      </c>
      <c r="I55" s="15" t="str">
        <f t="shared" si="1"/>
        <v>Cond4</v>
      </c>
    </row>
    <row r="56" spans="1:9" ht="14" x14ac:dyDescent="0.3">
      <c r="A56" s="52" t="str">
        <f>'G-1 All Habitats'!B56</f>
        <v>Sparsely vegetated land - Limestone pavement</v>
      </c>
      <c r="B56" s="331">
        <v>3</v>
      </c>
      <c r="C56" s="331">
        <v>2.5</v>
      </c>
      <c r="D56" s="331">
        <v>2</v>
      </c>
      <c r="E56" s="331">
        <v>1.5</v>
      </c>
      <c r="F56" s="331">
        <v>1</v>
      </c>
      <c r="G56" s="331" t="s">
        <v>1606</v>
      </c>
      <c r="H56" s="331" t="s">
        <v>1606</v>
      </c>
      <c r="I56" s="15" t="str">
        <f t="shared" si="1"/>
        <v>Cond4</v>
      </c>
    </row>
    <row r="57" spans="1:9" ht="14" x14ac:dyDescent="0.3">
      <c r="A57" s="52" t="str">
        <f>'G-1 All Habitats'!B57</f>
        <v>Sparsely vegetated land - Maritime cliff and slopes</v>
      </c>
      <c r="B57" s="331">
        <v>3</v>
      </c>
      <c r="C57" s="331">
        <v>2.5</v>
      </c>
      <c r="D57" s="331">
        <v>2</v>
      </c>
      <c r="E57" s="331">
        <v>1.5</v>
      </c>
      <c r="F57" s="331">
        <v>1</v>
      </c>
      <c r="G57" s="331" t="s">
        <v>1606</v>
      </c>
      <c r="H57" s="331" t="s">
        <v>1606</v>
      </c>
      <c r="I57" s="15" t="str">
        <f t="shared" si="1"/>
        <v>Cond4</v>
      </c>
    </row>
    <row r="58" spans="1:9" ht="14" x14ac:dyDescent="0.3">
      <c r="A58" s="52" t="str">
        <f>'G-1 All Habitats'!B58</f>
        <v>Sparsely vegetated land - Other inland rock and scree</v>
      </c>
      <c r="B58" s="331">
        <v>3</v>
      </c>
      <c r="C58" s="331">
        <v>2.5</v>
      </c>
      <c r="D58" s="331">
        <v>2</v>
      </c>
      <c r="E58" s="331">
        <v>1.5</v>
      </c>
      <c r="F58" s="331">
        <v>1</v>
      </c>
      <c r="G58" s="331" t="s">
        <v>1606</v>
      </c>
      <c r="H58" s="331" t="s">
        <v>1606</v>
      </c>
      <c r="I58" s="15" t="str">
        <f t="shared" si="1"/>
        <v>Cond4</v>
      </c>
    </row>
    <row r="59" spans="1:9" ht="14" x14ac:dyDescent="0.3">
      <c r="A59" s="52" t="str">
        <f>'G-1 All Habitats'!B59</f>
        <v>Urban - Allotments</v>
      </c>
      <c r="B59" s="331">
        <v>3</v>
      </c>
      <c r="C59" s="331">
        <v>2.5</v>
      </c>
      <c r="D59" s="331">
        <v>2</v>
      </c>
      <c r="E59" s="331">
        <v>1.5</v>
      </c>
      <c r="F59" s="331">
        <v>1</v>
      </c>
      <c r="G59" s="331" t="s">
        <v>1606</v>
      </c>
      <c r="H59" s="331" t="s">
        <v>1606</v>
      </c>
      <c r="I59" s="15" t="str">
        <f t="shared" si="1"/>
        <v>Cond4</v>
      </c>
    </row>
    <row r="60" spans="1:9" ht="14" x14ac:dyDescent="0.3">
      <c r="A60" s="52" t="str">
        <f>'G-1 All Habitats'!B40</f>
        <v>Lakes - Ornamental lake or pond</v>
      </c>
      <c r="B60" s="331">
        <v>3</v>
      </c>
      <c r="C60" s="331">
        <v>2.5</v>
      </c>
      <c r="D60" s="331">
        <v>2</v>
      </c>
      <c r="E60" s="331">
        <v>1.5</v>
      </c>
      <c r="F60" s="331">
        <v>1</v>
      </c>
      <c r="G60" s="331" t="s">
        <v>1606</v>
      </c>
      <c r="H60" s="331" t="s">
        <v>1606</v>
      </c>
      <c r="I60" s="15" t="str">
        <f t="shared" si="1"/>
        <v>Cond4</v>
      </c>
    </row>
    <row r="61" spans="1:9" ht="14" x14ac:dyDescent="0.3">
      <c r="A61" s="52" t="str">
        <f>'G-1 All Habitats'!B60</f>
        <v>Urban - Artificial unvegetated, unsealed surface</v>
      </c>
      <c r="B61" s="331" t="s">
        <v>1606</v>
      </c>
      <c r="C61" s="331" t="s">
        <v>1606</v>
      </c>
      <c r="D61" s="331" t="s">
        <v>1606</v>
      </c>
      <c r="E61" s="331" t="s">
        <v>1606</v>
      </c>
      <c r="F61" s="331" t="s">
        <v>1606</v>
      </c>
      <c r="G61" s="331" t="s">
        <v>1606</v>
      </c>
      <c r="H61" s="360">
        <v>0</v>
      </c>
      <c r="I61" s="15" t="str">
        <f t="shared" si="1"/>
        <v>Cond2</v>
      </c>
    </row>
    <row r="62" spans="1:9" ht="14" x14ac:dyDescent="0.3">
      <c r="A62" s="52" t="str">
        <f>'G-1 All Habitats'!B61</f>
        <v>Urban - Bioswale</v>
      </c>
      <c r="B62" s="331">
        <v>3</v>
      </c>
      <c r="C62" s="331">
        <v>2.5</v>
      </c>
      <c r="D62" s="331">
        <v>2</v>
      </c>
      <c r="E62" s="331">
        <v>1.5</v>
      </c>
      <c r="F62" s="331">
        <v>1</v>
      </c>
      <c r="G62" s="331" t="s">
        <v>1606</v>
      </c>
      <c r="H62" s="331" t="s">
        <v>1606</v>
      </c>
      <c r="I62" s="15" t="str">
        <f t="shared" si="1"/>
        <v>Cond4</v>
      </c>
    </row>
    <row r="63" spans="1:9" ht="14" x14ac:dyDescent="0.3">
      <c r="A63" s="52" t="str">
        <f>'G-1 All Habitats'!B62</f>
        <v>Urban - Intensive green roof</v>
      </c>
      <c r="B63" s="331">
        <v>3</v>
      </c>
      <c r="C63" s="331">
        <v>2.5</v>
      </c>
      <c r="D63" s="331">
        <v>2</v>
      </c>
      <c r="E63" s="331">
        <v>1.5</v>
      </c>
      <c r="F63" s="331">
        <v>1</v>
      </c>
      <c r="G63" s="331" t="s">
        <v>1606</v>
      </c>
      <c r="H63" s="331" t="s">
        <v>1606</v>
      </c>
      <c r="I63" s="15" t="str">
        <f t="shared" si="1"/>
        <v>Cond4</v>
      </c>
    </row>
    <row r="64" spans="1:9" ht="14" x14ac:dyDescent="0.3">
      <c r="A64" s="52" t="str">
        <f>'G-1 All Habitats'!B63</f>
        <v>Urban - Built linear features</v>
      </c>
      <c r="B64" s="331" t="s">
        <v>1606</v>
      </c>
      <c r="C64" s="331" t="s">
        <v>1606</v>
      </c>
      <c r="D64" s="331" t="s">
        <v>1606</v>
      </c>
      <c r="E64" s="331" t="s">
        <v>1606</v>
      </c>
      <c r="F64" s="331" t="s">
        <v>1606</v>
      </c>
      <c r="G64" s="331" t="s">
        <v>1606</v>
      </c>
      <c r="H64" s="360">
        <v>0</v>
      </c>
      <c r="I64" s="15" t="str">
        <f t="shared" si="1"/>
        <v>Cond2</v>
      </c>
    </row>
    <row r="65" spans="1:9" ht="14" x14ac:dyDescent="0.3">
      <c r="A65" s="52" t="str">
        <f>'G-1 All Habitats'!B64</f>
        <v>Urban - Cemeteries and churchyards</v>
      </c>
      <c r="B65" s="331">
        <v>3</v>
      </c>
      <c r="C65" s="331">
        <v>2.5</v>
      </c>
      <c r="D65" s="331">
        <v>2</v>
      </c>
      <c r="E65" s="331">
        <v>1.5</v>
      </c>
      <c r="F65" s="331">
        <v>1</v>
      </c>
      <c r="G65" s="331" t="s">
        <v>1606</v>
      </c>
      <c r="H65" s="331" t="s">
        <v>1606</v>
      </c>
      <c r="I65" s="15" t="str">
        <f t="shared" si="1"/>
        <v>Cond4</v>
      </c>
    </row>
    <row r="66" spans="1:9" ht="14" x14ac:dyDescent="0.3">
      <c r="A66" s="52" t="str">
        <f>'G-1 All Habitats'!B65</f>
        <v>Urban - Developed land; sealed surface</v>
      </c>
      <c r="B66" s="331" t="s">
        <v>1606</v>
      </c>
      <c r="C66" s="331" t="s">
        <v>1606</v>
      </c>
      <c r="D66" s="331" t="s">
        <v>1606</v>
      </c>
      <c r="E66" s="331" t="s">
        <v>1606</v>
      </c>
      <c r="F66" s="331" t="s">
        <v>1606</v>
      </c>
      <c r="G66" s="331" t="s">
        <v>1606</v>
      </c>
      <c r="H66" s="360">
        <v>0</v>
      </c>
      <c r="I66" s="15" t="str">
        <f t="shared" si="1"/>
        <v>Cond2</v>
      </c>
    </row>
    <row r="67" spans="1:9" ht="14" x14ac:dyDescent="0.3">
      <c r="A67" s="52" t="str">
        <f>'G-1 All Habitats'!B66</f>
        <v>Urban - Other green roof</v>
      </c>
      <c r="B67" s="331" t="s">
        <v>1606</v>
      </c>
      <c r="C67" s="331" t="s">
        <v>1606</v>
      </c>
      <c r="D67" s="331" t="s">
        <v>1606</v>
      </c>
      <c r="E67" s="331" t="s">
        <v>1606</v>
      </c>
      <c r="F67" s="331" t="s">
        <v>1606</v>
      </c>
      <c r="G67" s="331">
        <v>1</v>
      </c>
      <c r="H67" s="331" t="s">
        <v>1606</v>
      </c>
      <c r="I67" s="15" t="str">
        <f t="shared" si="1"/>
        <v>Cond1</v>
      </c>
    </row>
    <row r="68" spans="1:9" ht="14" x14ac:dyDescent="0.3">
      <c r="A68" s="52" t="str">
        <f>'G-1 All Habitats'!B67</f>
        <v>Urban - Facade-bound green wall</v>
      </c>
      <c r="B68" s="331">
        <v>3</v>
      </c>
      <c r="C68" s="331">
        <v>2.5</v>
      </c>
      <c r="D68" s="331">
        <v>2</v>
      </c>
      <c r="E68" s="331">
        <v>1.5</v>
      </c>
      <c r="F68" s="331">
        <v>1</v>
      </c>
      <c r="G68" s="331" t="s">
        <v>1606</v>
      </c>
      <c r="H68" s="331" t="s">
        <v>1606</v>
      </c>
      <c r="I68" s="15" t="str">
        <f t="shared" si="1"/>
        <v>Cond4</v>
      </c>
    </row>
    <row r="69" spans="1:9" ht="14" x14ac:dyDescent="0.3">
      <c r="A69" s="52" t="str">
        <f>'G-1 All Habitats'!B68</f>
        <v>Urban - Ground based green wall</v>
      </c>
      <c r="B69" s="331">
        <v>3</v>
      </c>
      <c r="C69" s="331">
        <v>2.5</v>
      </c>
      <c r="D69" s="331">
        <v>2</v>
      </c>
      <c r="E69" s="331">
        <v>1.5</v>
      </c>
      <c r="F69" s="331">
        <v>1</v>
      </c>
      <c r="G69" s="331" t="s">
        <v>1606</v>
      </c>
      <c r="H69" s="331" t="s">
        <v>1606</v>
      </c>
      <c r="I69" s="15" t="str">
        <f t="shared" si="1"/>
        <v>Cond4</v>
      </c>
    </row>
    <row r="70" spans="1:9" ht="14" x14ac:dyDescent="0.3">
      <c r="A70" s="52" t="str">
        <f>'G-1 All Habitats'!B69</f>
        <v>Urban - Ground level planters</v>
      </c>
      <c r="B70" s="331" t="s">
        <v>1606</v>
      </c>
      <c r="C70" s="331" t="s">
        <v>1606</v>
      </c>
      <c r="D70" s="331" t="s">
        <v>1606</v>
      </c>
      <c r="E70" s="331" t="s">
        <v>1606</v>
      </c>
      <c r="F70" s="331" t="s">
        <v>1606</v>
      </c>
      <c r="G70" s="331">
        <v>1</v>
      </c>
      <c r="H70" s="331" t="s">
        <v>1606</v>
      </c>
      <c r="I70" s="15" t="str">
        <f t="shared" si="1"/>
        <v>Cond1</v>
      </c>
    </row>
    <row r="71" spans="1:9" ht="14" x14ac:dyDescent="0.3">
      <c r="A71" s="52" t="str">
        <f>'G-1 All Habitats'!B70</f>
        <v>Urban - Biodiverse green roof</v>
      </c>
      <c r="B71" s="331">
        <v>3</v>
      </c>
      <c r="C71" s="331">
        <v>2.5</v>
      </c>
      <c r="D71" s="331">
        <v>2</v>
      </c>
      <c r="E71" s="331">
        <v>1.5</v>
      </c>
      <c r="F71" s="331">
        <v>1</v>
      </c>
      <c r="G71" s="331" t="s">
        <v>1606</v>
      </c>
      <c r="H71" s="331" t="s">
        <v>1606</v>
      </c>
      <c r="I71" s="15" t="str">
        <f t="shared" si="1"/>
        <v>Cond4</v>
      </c>
    </row>
    <row r="72" spans="1:9" ht="14" x14ac:dyDescent="0.3">
      <c r="A72" s="52" t="str">
        <f>'G-1 All Habitats'!B71</f>
        <v>Urban - Introduced shrub</v>
      </c>
      <c r="B72" s="331" t="s">
        <v>1606</v>
      </c>
      <c r="C72" s="331" t="s">
        <v>1606</v>
      </c>
      <c r="D72" s="331" t="s">
        <v>1606</v>
      </c>
      <c r="E72" s="331" t="s">
        <v>1606</v>
      </c>
      <c r="F72" s="331" t="s">
        <v>1606</v>
      </c>
      <c r="G72" s="331">
        <v>1</v>
      </c>
      <c r="H72" s="331" t="s">
        <v>1606</v>
      </c>
      <c r="I72" s="15" t="str">
        <f t="shared" si="1"/>
        <v>Cond1</v>
      </c>
    </row>
    <row r="73" spans="1:9" ht="14" x14ac:dyDescent="0.3">
      <c r="A73" s="52" t="str">
        <f>'G-1 All Habitats'!B72</f>
        <v>Urban - Open mosaic habitats on previously developed land</v>
      </c>
      <c r="B73" s="331">
        <v>3</v>
      </c>
      <c r="C73" s="331">
        <v>2.5</v>
      </c>
      <c r="D73" s="331">
        <v>2</v>
      </c>
      <c r="E73" s="331">
        <v>1.5</v>
      </c>
      <c r="F73" s="331">
        <v>1</v>
      </c>
      <c r="G73" s="331" t="s">
        <v>1606</v>
      </c>
      <c r="H73" s="331" t="s">
        <v>1606</v>
      </c>
      <c r="I73" s="15" t="str">
        <f t="shared" si="1"/>
        <v>Cond4</v>
      </c>
    </row>
    <row r="74" spans="1:9" ht="14" x14ac:dyDescent="0.3">
      <c r="A74" s="52" t="str">
        <f>'G-1 All Habitats'!B73</f>
        <v>Urban - Rain garden</v>
      </c>
      <c r="B74" s="331">
        <v>3</v>
      </c>
      <c r="C74" s="331">
        <v>2.5</v>
      </c>
      <c r="D74" s="331">
        <v>2</v>
      </c>
      <c r="E74" s="331">
        <v>1.5</v>
      </c>
      <c r="F74" s="331">
        <v>1</v>
      </c>
      <c r="G74" s="331" t="s">
        <v>1606</v>
      </c>
      <c r="H74" s="331" t="s">
        <v>1606</v>
      </c>
      <c r="I74" s="15" t="str">
        <f t="shared" si="1"/>
        <v>Cond4</v>
      </c>
    </row>
    <row r="75" spans="1:9" ht="14" x14ac:dyDescent="0.3">
      <c r="A75" s="52" t="str">
        <f>'G-1 All Habitats'!B74</f>
        <v>Urban - Actively worked sand pit quarry or open cast mine</v>
      </c>
      <c r="B75" s="331" t="s">
        <v>1606</v>
      </c>
      <c r="C75" s="331" t="s">
        <v>1606</v>
      </c>
      <c r="D75" s="331" t="s">
        <v>1606</v>
      </c>
      <c r="E75" s="331" t="s">
        <v>1606</v>
      </c>
      <c r="F75" s="331" t="s">
        <v>1606</v>
      </c>
      <c r="G75" s="331">
        <v>1</v>
      </c>
      <c r="H75" s="331" t="s">
        <v>1606</v>
      </c>
      <c r="I75" s="15" t="str">
        <f t="shared" ref="I75:I89" si="2">IF(G75=1,"Cond1",IF(H75=0,"Cond2",IF(AND(B75=3,C75=2.5,D75=2,E75=1.5,F75=1),"Cond4",IF(F75=1,"Cond3","Check"))))</f>
        <v>Cond1</v>
      </c>
    </row>
    <row r="76" spans="1:9" ht="14" x14ac:dyDescent="0.3">
      <c r="A76" s="52" t="str">
        <f>'G-1 All Habitats'!B80</f>
        <v>Individual trees - Urban tree</v>
      </c>
      <c r="B76" s="331">
        <v>3</v>
      </c>
      <c r="C76" s="331">
        <v>2.5</v>
      </c>
      <c r="D76" s="331">
        <v>2</v>
      </c>
      <c r="E76" s="331">
        <v>1.5</v>
      </c>
      <c r="F76" s="331">
        <v>1</v>
      </c>
      <c r="G76" s="331" t="s">
        <v>1606</v>
      </c>
      <c r="H76" s="331" t="s">
        <v>1606</v>
      </c>
      <c r="I76" s="15" t="str">
        <f t="shared" si="2"/>
        <v>Cond4</v>
      </c>
    </row>
    <row r="77" spans="1:9" ht="14" x14ac:dyDescent="0.3">
      <c r="A77" s="52" t="str">
        <f>'G-1 All Habitats'!B75</f>
        <v>Urban - Sustainable drainage system</v>
      </c>
      <c r="B77" s="331">
        <v>3</v>
      </c>
      <c r="C77" s="331">
        <v>2.5</v>
      </c>
      <c r="D77" s="331">
        <v>2</v>
      </c>
      <c r="E77" s="331">
        <v>1.5</v>
      </c>
      <c r="F77" s="331">
        <v>1</v>
      </c>
      <c r="G77" s="331" t="s">
        <v>1606</v>
      </c>
      <c r="H77" s="331" t="s">
        <v>1606</v>
      </c>
      <c r="I77" s="15" t="str">
        <f t="shared" si="2"/>
        <v>Cond4</v>
      </c>
    </row>
    <row r="78" spans="1:9" ht="14" x14ac:dyDescent="0.3">
      <c r="A78" s="52" t="str">
        <f>'G-1 All Habitats'!B76</f>
        <v>Urban - Unvegetated garden</v>
      </c>
      <c r="B78" s="331" t="s">
        <v>1606</v>
      </c>
      <c r="C78" s="331" t="s">
        <v>1606</v>
      </c>
      <c r="D78" s="331" t="s">
        <v>1606</v>
      </c>
      <c r="E78" s="331" t="s">
        <v>1606</v>
      </c>
      <c r="F78" s="331" t="s">
        <v>1606</v>
      </c>
      <c r="G78" s="331" t="s">
        <v>1606</v>
      </c>
      <c r="H78" s="331">
        <v>0</v>
      </c>
      <c r="I78" s="15" t="str">
        <f t="shared" si="2"/>
        <v>Cond2</v>
      </c>
    </row>
    <row r="79" spans="1:9" ht="14" x14ac:dyDescent="0.3">
      <c r="A79" s="52" t="str">
        <f>'G-1 All Habitats'!B77</f>
        <v>Urban - Vacant or derelict land</v>
      </c>
      <c r="B79" s="331">
        <v>3</v>
      </c>
      <c r="C79" s="331">
        <v>2.5</v>
      </c>
      <c r="D79" s="331">
        <v>2</v>
      </c>
      <c r="E79" s="331">
        <v>1.5</v>
      </c>
      <c r="F79" s="331">
        <v>1</v>
      </c>
      <c r="G79" s="331" t="s">
        <v>1606</v>
      </c>
      <c r="H79" s="331" t="s">
        <v>1606</v>
      </c>
      <c r="I79" s="15" t="str">
        <f t="shared" si="2"/>
        <v>Cond4</v>
      </c>
    </row>
    <row r="80" spans="1:9" ht="14" x14ac:dyDescent="0.3">
      <c r="A80" s="52" t="s">
        <v>559</v>
      </c>
      <c r="B80" s="331">
        <v>3</v>
      </c>
      <c r="C80" s="331">
        <v>2.5</v>
      </c>
      <c r="D80" s="331">
        <v>2</v>
      </c>
      <c r="E80" s="331">
        <v>1.5</v>
      </c>
      <c r="F80" s="331">
        <v>1</v>
      </c>
      <c r="G80" s="331" t="s">
        <v>1606</v>
      </c>
      <c r="H80" s="331" t="s">
        <v>1606</v>
      </c>
      <c r="I80" s="15" t="str">
        <f t="shared" si="2"/>
        <v>Cond4</v>
      </c>
    </row>
    <row r="81" spans="1:9" ht="14" x14ac:dyDescent="0.3">
      <c r="A81" s="52" t="str">
        <f>'G-1 All Habitats'!B79</f>
        <v>Urban - Vegetated garden</v>
      </c>
      <c r="B81" s="331" t="s">
        <v>1606</v>
      </c>
      <c r="C81" s="331" t="s">
        <v>1606</v>
      </c>
      <c r="D81" s="331" t="s">
        <v>1606</v>
      </c>
      <c r="E81" s="331" t="s">
        <v>1606</v>
      </c>
      <c r="F81" s="331" t="s">
        <v>1606</v>
      </c>
      <c r="G81" s="331">
        <v>1</v>
      </c>
      <c r="H81" s="331" t="s">
        <v>1606</v>
      </c>
      <c r="I81" s="15" t="str">
        <f t="shared" si="2"/>
        <v>Cond1</v>
      </c>
    </row>
    <row r="82" spans="1:9" ht="14" x14ac:dyDescent="0.3">
      <c r="A82" s="52" t="str">
        <f>'G-1 All Habitats'!B82</f>
        <v>Wetland - Blanket bog</v>
      </c>
      <c r="B82" s="331">
        <v>3</v>
      </c>
      <c r="C82" s="331">
        <v>2.5</v>
      </c>
      <c r="D82" s="331">
        <v>2</v>
      </c>
      <c r="E82" s="331">
        <v>1.5</v>
      </c>
      <c r="F82" s="331">
        <v>1</v>
      </c>
      <c r="G82" s="331" t="s">
        <v>1606</v>
      </c>
      <c r="H82" s="331" t="s">
        <v>1606</v>
      </c>
      <c r="I82" s="15" t="str">
        <f t="shared" si="2"/>
        <v>Cond4</v>
      </c>
    </row>
    <row r="83" spans="1:9" ht="14" x14ac:dyDescent="0.3">
      <c r="A83" s="52" t="str">
        <f>'G-1 All Habitats'!B83</f>
        <v>Wetland - Depressions on peat substrates (H7150)</v>
      </c>
      <c r="B83" s="331">
        <v>3</v>
      </c>
      <c r="C83" s="331">
        <v>2.5</v>
      </c>
      <c r="D83" s="331">
        <v>2</v>
      </c>
      <c r="E83" s="331">
        <v>1.5</v>
      </c>
      <c r="F83" s="331">
        <v>1</v>
      </c>
      <c r="G83" s="331" t="s">
        <v>1606</v>
      </c>
      <c r="H83" s="331" t="s">
        <v>1606</v>
      </c>
      <c r="I83" s="15" t="str">
        <f t="shared" si="2"/>
        <v>Cond4</v>
      </c>
    </row>
    <row r="84" spans="1:9" ht="14" x14ac:dyDescent="0.3">
      <c r="A84" s="52" t="str">
        <f>'G-1 All Habitats'!B84</f>
        <v>Wetland - Fens (upland and lowland)</v>
      </c>
      <c r="B84" s="331">
        <v>3</v>
      </c>
      <c r="C84" s="331">
        <v>2.5</v>
      </c>
      <c r="D84" s="331">
        <v>2</v>
      </c>
      <c r="E84" s="331">
        <v>1.5</v>
      </c>
      <c r="F84" s="331">
        <v>1</v>
      </c>
      <c r="G84" s="331" t="s">
        <v>1606</v>
      </c>
      <c r="H84" s="331" t="s">
        <v>1606</v>
      </c>
      <c r="I84" s="15" t="str">
        <f t="shared" si="2"/>
        <v>Cond4</v>
      </c>
    </row>
    <row r="85" spans="1:9" ht="14" x14ac:dyDescent="0.3">
      <c r="A85" s="52" t="str">
        <f>'G-1 All Habitats'!B85</f>
        <v>Wetland - Lowland raised bog</v>
      </c>
      <c r="B85" s="331">
        <v>3</v>
      </c>
      <c r="C85" s="331">
        <v>2.5</v>
      </c>
      <c r="D85" s="331">
        <v>2</v>
      </c>
      <c r="E85" s="331">
        <v>1.5</v>
      </c>
      <c r="F85" s="331">
        <v>1</v>
      </c>
      <c r="G85" s="331" t="s">
        <v>1606</v>
      </c>
      <c r="H85" s="331" t="s">
        <v>1606</v>
      </c>
      <c r="I85" s="15" t="str">
        <f t="shared" si="2"/>
        <v>Cond4</v>
      </c>
    </row>
    <row r="86" spans="1:9" ht="14" x14ac:dyDescent="0.3">
      <c r="A86" s="52" t="str">
        <f>'G-1 All Habitats'!B86</f>
        <v>Wetland - Oceanic valley mire[1] (D2.1)</v>
      </c>
      <c r="B86" s="331">
        <v>3</v>
      </c>
      <c r="C86" s="331">
        <v>2.5</v>
      </c>
      <c r="D86" s="331">
        <v>2</v>
      </c>
      <c r="E86" s="331">
        <v>1.5</v>
      </c>
      <c r="F86" s="331">
        <v>1</v>
      </c>
      <c r="G86" s="331" t="s">
        <v>1606</v>
      </c>
      <c r="H86" s="331" t="s">
        <v>1606</v>
      </c>
      <c r="I86" s="15" t="str">
        <f t="shared" si="2"/>
        <v>Cond4</v>
      </c>
    </row>
    <row r="87" spans="1:9" ht="14" x14ac:dyDescent="0.3">
      <c r="A87" s="52" t="str">
        <f>'G-1 All Habitats'!B87</f>
        <v>Wetland - Purple moor grass and rush pastures</v>
      </c>
      <c r="B87" s="331">
        <v>3</v>
      </c>
      <c r="C87" s="331">
        <v>2.5</v>
      </c>
      <c r="D87" s="331">
        <v>2</v>
      </c>
      <c r="E87" s="331">
        <v>1.5</v>
      </c>
      <c r="F87" s="331">
        <v>1</v>
      </c>
      <c r="G87" s="331" t="s">
        <v>1606</v>
      </c>
      <c r="H87" s="331" t="s">
        <v>1606</v>
      </c>
      <c r="I87" s="15" t="str">
        <f t="shared" si="2"/>
        <v>Cond4</v>
      </c>
    </row>
    <row r="88" spans="1:9" ht="14" x14ac:dyDescent="0.3">
      <c r="A88" s="52" t="str">
        <f>'G-1 All Habitats'!B88</f>
        <v>Wetland - Reedbeds</v>
      </c>
      <c r="B88" s="331">
        <v>3</v>
      </c>
      <c r="C88" s="331">
        <v>2.5</v>
      </c>
      <c r="D88" s="331">
        <v>2</v>
      </c>
      <c r="E88" s="331">
        <v>1.5</v>
      </c>
      <c r="F88" s="331">
        <v>1</v>
      </c>
      <c r="G88" s="331" t="s">
        <v>1606</v>
      </c>
      <c r="H88" s="331" t="s">
        <v>1606</v>
      </c>
      <c r="I88" s="15" t="str">
        <f t="shared" si="2"/>
        <v>Cond4</v>
      </c>
    </row>
    <row r="89" spans="1:9" ht="14" x14ac:dyDescent="0.3">
      <c r="A89" s="52" t="str">
        <f>'G-1 All Habitats'!B89</f>
        <v>Wetland - Transition mires and quaking bogs (H7140)</v>
      </c>
      <c r="B89" s="331">
        <v>3</v>
      </c>
      <c r="C89" s="331">
        <v>2.5</v>
      </c>
      <c r="D89" s="331">
        <v>2</v>
      </c>
      <c r="E89" s="331">
        <v>1.5</v>
      </c>
      <c r="F89" s="331">
        <v>1</v>
      </c>
      <c r="G89" s="331" t="s">
        <v>1606</v>
      </c>
      <c r="H89" s="331" t="s">
        <v>1606</v>
      </c>
      <c r="I89" s="15" t="str">
        <f t="shared" si="2"/>
        <v>Cond4</v>
      </c>
    </row>
    <row r="90" spans="1:9" ht="14" x14ac:dyDescent="0.3">
      <c r="A90" s="52" t="str">
        <f>'G-1 All Habitats'!B90</f>
        <v>Woodland and forest - Felled</v>
      </c>
      <c r="B90" s="331">
        <v>3</v>
      </c>
      <c r="C90" s="331" t="s">
        <v>1606</v>
      </c>
      <c r="D90" s="331" t="s">
        <v>1606</v>
      </c>
      <c r="E90" s="331" t="s">
        <v>1606</v>
      </c>
      <c r="F90" s="331" t="s">
        <v>1606</v>
      </c>
      <c r="G90" s="331" t="s">
        <v>1606</v>
      </c>
      <c r="H90" s="331" t="s">
        <v>1606</v>
      </c>
      <c r="I90" s="15" t="s">
        <v>972</v>
      </c>
    </row>
    <row r="91" spans="1:9" ht="14" x14ac:dyDescent="0.3">
      <c r="A91" s="52" t="str">
        <f>'G-1 All Habitats'!B91</f>
        <v>Woodland and forest - Lowland beech and yew woodland</v>
      </c>
      <c r="B91" s="331">
        <v>3</v>
      </c>
      <c r="C91" s="331">
        <v>2.5</v>
      </c>
      <c r="D91" s="331">
        <v>2</v>
      </c>
      <c r="E91" s="331">
        <v>1.5</v>
      </c>
      <c r="F91" s="331">
        <v>1</v>
      </c>
      <c r="G91" s="331" t="s">
        <v>1606</v>
      </c>
      <c r="H91" s="331" t="s">
        <v>1606</v>
      </c>
      <c r="I91" s="15" t="str">
        <f t="shared" ref="I91:I135" si="3">IF(G91=1,"Cond1",IF(H91=0,"Cond2",IF(AND(B91=3,C91=2.5,D91=2,E91=1.5,F91=1),"Cond4",IF(F91=1,"Cond3","Check"))))</f>
        <v>Cond4</v>
      </c>
    </row>
    <row r="92" spans="1:9" ht="14" x14ac:dyDescent="0.3">
      <c r="A92" s="52" t="str">
        <f>'G-1 All Habitats'!B92</f>
        <v>Woodland and forest - Lowland mixed deciduous woodland</v>
      </c>
      <c r="B92" s="331">
        <v>3</v>
      </c>
      <c r="C92" s="331">
        <v>2.5</v>
      </c>
      <c r="D92" s="331">
        <v>2</v>
      </c>
      <c r="E92" s="331">
        <v>1.5</v>
      </c>
      <c r="F92" s="331">
        <v>1</v>
      </c>
      <c r="G92" s="331" t="s">
        <v>1606</v>
      </c>
      <c r="H92" s="331" t="s">
        <v>1606</v>
      </c>
      <c r="I92" s="15" t="str">
        <f t="shared" si="3"/>
        <v>Cond4</v>
      </c>
    </row>
    <row r="93" spans="1:9" ht="14" x14ac:dyDescent="0.3">
      <c r="A93" s="52" t="str">
        <f>'G-1 All Habitats'!B93</f>
        <v>Woodland and forest - Native pine woodlands</v>
      </c>
      <c r="B93" s="331">
        <v>3</v>
      </c>
      <c r="C93" s="331">
        <v>2.5</v>
      </c>
      <c r="D93" s="331">
        <v>2</v>
      </c>
      <c r="E93" s="331">
        <v>1.5</v>
      </c>
      <c r="F93" s="331">
        <v>1</v>
      </c>
      <c r="G93" s="331" t="s">
        <v>1606</v>
      </c>
      <c r="H93" s="331" t="s">
        <v>1606</v>
      </c>
      <c r="I93" s="15" t="str">
        <f t="shared" si="3"/>
        <v>Cond4</v>
      </c>
    </row>
    <row r="94" spans="1:9" ht="14" x14ac:dyDescent="0.3">
      <c r="A94" s="52" t="str">
        <f>'G-1 All Habitats'!B94</f>
        <v>Woodland and forest - Other coniferous woodland</v>
      </c>
      <c r="B94" s="331">
        <v>3</v>
      </c>
      <c r="C94" s="331">
        <v>2.5</v>
      </c>
      <c r="D94" s="331">
        <v>2</v>
      </c>
      <c r="E94" s="331">
        <v>1.5</v>
      </c>
      <c r="F94" s="331">
        <v>1</v>
      </c>
      <c r="G94" s="331" t="s">
        <v>1606</v>
      </c>
      <c r="H94" s="331" t="s">
        <v>1606</v>
      </c>
      <c r="I94" s="15" t="str">
        <f t="shared" si="3"/>
        <v>Cond4</v>
      </c>
    </row>
    <row r="95" spans="1:9" ht="14" x14ac:dyDescent="0.3">
      <c r="A95" s="52" t="str">
        <f>'G-1 All Habitats'!B95</f>
        <v>Woodland and forest - Other Scot's pine woodland</v>
      </c>
      <c r="B95" s="331">
        <v>3</v>
      </c>
      <c r="C95" s="331">
        <v>2.5</v>
      </c>
      <c r="D95" s="331">
        <v>2</v>
      </c>
      <c r="E95" s="331">
        <v>1.5</v>
      </c>
      <c r="F95" s="331">
        <v>1</v>
      </c>
      <c r="G95" s="331" t="s">
        <v>1606</v>
      </c>
      <c r="H95" s="331" t="s">
        <v>1606</v>
      </c>
      <c r="I95" s="15" t="str">
        <f t="shared" si="3"/>
        <v>Cond4</v>
      </c>
    </row>
    <row r="96" spans="1:9" ht="14" x14ac:dyDescent="0.3">
      <c r="A96" s="52" t="str">
        <f>'G-1 All Habitats'!B96</f>
        <v>Woodland and forest - Other woodland; broadleaved</v>
      </c>
      <c r="B96" s="331">
        <v>3</v>
      </c>
      <c r="C96" s="331">
        <v>2.5</v>
      </c>
      <c r="D96" s="331">
        <v>2</v>
      </c>
      <c r="E96" s="331">
        <v>1.5</v>
      </c>
      <c r="F96" s="331">
        <v>1</v>
      </c>
      <c r="G96" s="331" t="s">
        <v>1606</v>
      </c>
      <c r="H96" s="331" t="s">
        <v>1606</v>
      </c>
      <c r="I96" s="15" t="str">
        <f t="shared" si="3"/>
        <v>Cond4</v>
      </c>
    </row>
    <row r="97" spans="1:9" ht="14" x14ac:dyDescent="0.3">
      <c r="A97" s="52" t="str">
        <f>'G-1 All Habitats'!B97</f>
        <v>Woodland and forest - Other woodland; mixed</v>
      </c>
      <c r="B97" s="331">
        <v>3</v>
      </c>
      <c r="C97" s="331">
        <v>2.5</v>
      </c>
      <c r="D97" s="331">
        <v>2</v>
      </c>
      <c r="E97" s="331">
        <v>1.5</v>
      </c>
      <c r="F97" s="331">
        <v>1</v>
      </c>
      <c r="G97" s="331" t="s">
        <v>1606</v>
      </c>
      <c r="H97" s="331" t="s">
        <v>1606</v>
      </c>
      <c r="I97" s="15" t="str">
        <f t="shared" si="3"/>
        <v>Cond4</v>
      </c>
    </row>
    <row r="98" spans="1:9" ht="14" x14ac:dyDescent="0.3">
      <c r="A98" s="52" t="str">
        <f>'G-1 All Habitats'!B98</f>
        <v>Woodland and forest - Upland birchwoods</v>
      </c>
      <c r="B98" s="331">
        <v>3</v>
      </c>
      <c r="C98" s="331">
        <v>2.5</v>
      </c>
      <c r="D98" s="331">
        <v>2</v>
      </c>
      <c r="E98" s="331">
        <v>1.5</v>
      </c>
      <c r="F98" s="331">
        <v>1</v>
      </c>
      <c r="G98" s="331" t="s">
        <v>1606</v>
      </c>
      <c r="H98" s="331" t="s">
        <v>1606</v>
      </c>
      <c r="I98" s="15" t="str">
        <f t="shared" si="3"/>
        <v>Cond4</v>
      </c>
    </row>
    <row r="99" spans="1:9" ht="14" x14ac:dyDescent="0.3">
      <c r="A99" s="52" t="str">
        <f>'G-1 All Habitats'!B99</f>
        <v>Woodland and forest - Upland mixed ashwoods</v>
      </c>
      <c r="B99" s="331">
        <v>3</v>
      </c>
      <c r="C99" s="331">
        <v>2.5</v>
      </c>
      <c r="D99" s="331">
        <v>2</v>
      </c>
      <c r="E99" s="331">
        <v>1.5</v>
      </c>
      <c r="F99" s="331">
        <v>1</v>
      </c>
      <c r="G99" s="331" t="s">
        <v>1606</v>
      </c>
      <c r="H99" s="331" t="s">
        <v>1606</v>
      </c>
      <c r="I99" s="15" t="str">
        <f t="shared" si="3"/>
        <v>Cond4</v>
      </c>
    </row>
    <row r="100" spans="1:9" ht="14" x14ac:dyDescent="0.3">
      <c r="A100" s="52" t="str">
        <f>'G-1 All Habitats'!B100</f>
        <v>Woodland and forest - Upland oakwood</v>
      </c>
      <c r="B100" s="331">
        <v>3</v>
      </c>
      <c r="C100" s="331">
        <v>2.5</v>
      </c>
      <c r="D100" s="331">
        <v>2</v>
      </c>
      <c r="E100" s="331">
        <v>1.5</v>
      </c>
      <c r="F100" s="331">
        <v>1</v>
      </c>
      <c r="G100" s="331" t="s">
        <v>1606</v>
      </c>
      <c r="H100" s="331" t="s">
        <v>1606</v>
      </c>
      <c r="I100" s="15" t="str">
        <f t="shared" si="3"/>
        <v>Cond4</v>
      </c>
    </row>
    <row r="101" spans="1:9" ht="14" x14ac:dyDescent="0.3">
      <c r="A101" s="52" t="str">
        <f>'G-1 All Habitats'!B101</f>
        <v>Woodland and forest - Wet woodland</v>
      </c>
      <c r="B101" s="331">
        <v>3</v>
      </c>
      <c r="C101" s="331">
        <v>2.5</v>
      </c>
      <c r="D101" s="331">
        <v>2</v>
      </c>
      <c r="E101" s="331">
        <v>1.5</v>
      </c>
      <c r="F101" s="331">
        <v>1</v>
      </c>
      <c r="G101" s="331" t="s">
        <v>1606</v>
      </c>
      <c r="H101" s="331" t="s">
        <v>1606</v>
      </c>
      <c r="I101" s="15" t="str">
        <f t="shared" si="3"/>
        <v>Cond4</v>
      </c>
    </row>
    <row r="102" spans="1:9" ht="14" x14ac:dyDescent="0.3">
      <c r="A102" s="52" t="str">
        <f>'G-1 All Habitats'!B102</f>
        <v>Woodland and forest - Wood-pasture and parkland</v>
      </c>
      <c r="B102" s="331">
        <v>3</v>
      </c>
      <c r="C102" s="331">
        <v>2.5</v>
      </c>
      <c r="D102" s="331">
        <v>2</v>
      </c>
      <c r="E102" s="331">
        <v>1.5</v>
      </c>
      <c r="F102" s="331">
        <v>1</v>
      </c>
      <c r="G102" s="331" t="s">
        <v>1606</v>
      </c>
      <c r="H102" s="331" t="s">
        <v>1606</v>
      </c>
      <c r="I102" s="15" t="str">
        <f t="shared" si="3"/>
        <v>Cond4</v>
      </c>
    </row>
    <row r="103" spans="1:9" ht="14" x14ac:dyDescent="0.3">
      <c r="A103" s="52" t="str">
        <f>'G-1 All Habitats'!B104</f>
        <v>Coastal lagoons - Coastal lagoons</v>
      </c>
      <c r="B103" s="331">
        <v>3</v>
      </c>
      <c r="C103" s="331">
        <v>2.5</v>
      </c>
      <c r="D103" s="331">
        <v>2</v>
      </c>
      <c r="E103" s="331">
        <v>1.5</v>
      </c>
      <c r="F103" s="331">
        <v>1</v>
      </c>
      <c r="G103" s="331" t="s">
        <v>1606</v>
      </c>
      <c r="H103" s="331" t="s">
        <v>1606</v>
      </c>
      <c r="I103" s="15" t="str">
        <f t="shared" si="3"/>
        <v>Cond4</v>
      </c>
    </row>
    <row r="104" spans="1:9" ht="14" x14ac:dyDescent="0.3">
      <c r="A104" s="52" t="str">
        <f>'G-1 All Habitats'!B105</f>
        <v>Rocky shore - High energy littoral rock</v>
      </c>
      <c r="B104" s="331">
        <v>3</v>
      </c>
      <c r="C104" s="331">
        <v>2.5</v>
      </c>
      <c r="D104" s="331">
        <v>2</v>
      </c>
      <c r="E104" s="331">
        <v>1.5</v>
      </c>
      <c r="F104" s="331">
        <v>1</v>
      </c>
      <c r="G104" s="331" t="s">
        <v>1606</v>
      </c>
      <c r="H104" s="331" t="s">
        <v>1606</v>
      </c>
      <c r="I104" s="15" t="str">
        <f t="shared" si="3"/>
        <v>Cond4</v>
      </c>
    </row>
    <row r="105" spans="1:9" ht="14" x14ac:dyDescent="0.3">
      <c r="A105" s="52" t="str">
        <f>'G-1 All Habitats'!B106</f>
        <v>Rocky shore - High energy littoral rock - on peat, clay or chalk</v>
      </c>
      <c r="B105" s="331">
        <v>3</v>
      </c>
      <c r="C105" s="331">
        <v>2.5</v>
      </c>
      <c r="D105" s="331">
        <v>2</v>
      </c>
      <c r="E105" s="331">
        <v>1.5</v>
      </c>
      <c r="F105" s="331">
        <v>1</v>
      </c>
      <c r="G105" s="331" t="s">
        <v>1606</v>
      </c>
      <c r="H105" s="331" t="s">
        <v>1606</v>
      </c>
      <c r="I105" s="15" t="str">
        <f t="shared" si="3"/>
        <v>Cond4</v>
      </c>
    </row>
    <row r="106" spans="1:9" ht="14" x14ac:dyDescent="0.3">
      <c r="A106" s="52" t="str">
        <f>'G-1 All Habitats'!B107</f>
        <v>Rocky shore - Moderate energy littoral rock</v>
      </c>
      <c r="B106" s="331">
        <v>3</v>
      </c>
      <c r="C106" s="331">
        <v>2.5</v>
      </c>
      <c r="D106" s="331">
        <v>2</v>
      </c>
      <c r="E106" s="331">
        <v>1.5</v>
      </c>
      <c r="F106" s="331">
        <v>1</v>
      </c>
      <c r="G106" s="331" t="s">
        <v>1606</v>
      </c>
      <c r="H106" s="331" t="s">
        <v>1606</v>
      </c>
      <c r="I106" s="15" t="str">
        <f t="shared" si="3"/>
        <v>Cond4</v>
      </c>
    </row>
    <row r="107" spans="1:9" ht="14" x14ac:dyDescent="0.3">
      <c r="A107" s="52" t="str">
        <f>'G-1 All Habitats'!B108</f>
        <v>Rocky shore - Moderate energy littoral rock - on peat, clay or chalk</v>
      </c>
      <c r="B107" s="331">
        <v>3</v>
      </c>
      <c r="C107" s="331">
        <v>2.5</v>
      </c>
      <c r="D107" s="331">
        <v>2</v>
      </c>
      <c r="E107" s="331">
        <v>1.5</v>
      </c>
      <c r="F107" s="331">
        <v>1</v>
      </c>
      <c r="G107" s="331" t="s">
        <v>1606</v>
      </c>
      <c r="H107" s="331" t="s">
        <v>1606</v>
      </c>
      <c r="I107" s="15" t="str">
        <f t="shared" si="3"/>
        <v>Cond4</v>
      </c>
    </row>
    <row r="108" spans="1:9" ht="14" x14ac:dyDescent="0.3">
      <c r="A108" s="52" t="str">
        <f>'G-1 All Habitats'!B109</f>
        <v>Rocky shore - Low energy littoral rock</v>
      </c>
      <c r="B108" s="331">
        <v>3</v>
      </c>
      <c r="C108" s="331">
        <v>2.5</v>
      </c>
      <c r="D108" s="331">
        <v>2</v>
      </c>
      <c r="E108" s="331">
        <v>1.5</v>
      </c>
      <c r="F108" s="331">
        <v>1</v>
      </c>
      <c r="G108" s="331" t="s">
        <v>1606</v>
      </c>
      <c r="H108" s="331" t="s">
        <v>1606</v>
      </c>
      <c r="I108" s="15" t="str">
        <f t="shared" si="3"/>
        <v>Cond4</v>
      </c>
    </row>
    <row r="109" spans="1:9" ht="14" x14ac:dyDescent="0.3">
      <c r="A109" s="52" t="str">
        <f>'G-1 All Habitats'!B110</f>
        <v>Rocky shore - Low energy littoral rock - on peat, clay or chalk</v>
      </c>
      <c r="B109" s="331">
        <v>3</v>
      </c>
      <c r="C109" s="331">
        <v>2.5</v>
      </c>
      <c r="D109" s="331">
        <v>2</v>
      </c>
      <c r="E109" s="331">
        <v>1.5</v>
      </c>
      <c r="F109" s="331">
        <v>1</v>
      </c>
      <c r="G109" s="331" t="s">
        <v>1606</v>
      </c>
      <c r="H109" s="331" t="s">
        <v>1606</v>
      </c>
      <c r="I109" s="15" t="str">
        <f t="shared" si="3"/>
        <v>Cond4</v>
      </c>
    </row>
    <row r="110" spans="1:9" ht="14" x14ac:dyDescent="0.3">
      <c r="A110" s="52" t="str">
        <f>'G-1 All Habitats'!B111</f>
        <v>Rocky shore - Features of littoral rock</v>
      </c>
      <c r="B110" s="331">
        <v>3</v>
      </c>
      <c r="C110" s="331">
        <v>2.5</v>
      </c>
      <c r="D110" s="331">
        <v>2</v>
      </c>
      <c r="E110" s="331">
        <v>1.5</v>
      </c>
      <c r="F110" s="331">
        <v>1</v>
      </c>
      <c r="G110" s="331" t="s">
        <v>1606</v>
      </c>
      <c r="H110" s="331" t="s">
        <v>1606</v>
      </c>
      <c r="I110" s="15" t="str">
        <f t="shared" si="3"/>
        <v>Cond4</v>
      </c>
    </row>
    <row r="111" spans="1:9" ht="14" x14ac:dyDescent="0.3">
      <c r="A111" s="52" t="str">
        <f>'G-1 All Habitats'!B112</f>
        <v>Rocky shore - Features of littoral rock - on peat, clay or chalk</v>
      </c>
      <c r="B111" s="331">
        <v>3</v>
      </c>
      <c r="C111" s="331">
        <v>2.5</v>
      </c>
      <c r="D111" s="331">
        <v>2</v>
      </c>
      <c r="E111" s="331">
        <v>1.5</v>
      </c>
      <c r="F111" s="331">
        <v>1</v>
      </c>
      <c r="G111" s="331" t="s">
        <v>1606</v>
      </c>
      <c r="H111" s="331" t="s">
        <v>1606</v>
      </c>
      <c r="I111" s="15" t="str">
        <f t="shared" si="3"/>
        <v>Cond4</v>
      </c>
    </row>
    <row r="112" spans="1:9" ht="14" x14ac:dyDescent="0.3">
      <c r="A112" s="52" t="str">
        <f>'G-1 All Habitats'!B115</f>
        <v>Intertidal sediment - Littoral coarse sediment</v>
      </c>
      <c r="B112" s="331">
        <v>3</v>
      </c>
      <c r="C112" s="331">
        <v>2.5</v>
      </c>
      <c r="D112" s="331">
        <v>2</v>
      </c>
      <c r="E112" s="331">
        <v>1.5</v>
      </c>
      <c r="F112" s="331">
        <v>1</v>
      </c>
      <c r="G112" s="331" t="s">
        <v>1606</v>
      </c>
      <c r="H112" s="331" t="s">
        <v>1606</v>
      </c>
      <c r="I112" s="15" t="str">
        <f t="shared" si="3"/>
        <v>Cond4</v>
      </c>
    </row>
    <row r="113" spans="1:9" ht="14" x14ac:dyDescent="0.3">
      <c r="A113" s="52" t="str">
        <f>'G-1 All Habitats'!B116</f>
        <v>Intertidal sediment - Littoral mud</v>
      </c>
      <c r="B113" s="331">
        <v>3</v>
      </c>
      <c r="C113" s="331">
        <v>2.5</v>
      </c>
      <c r="D113" s="331">
        <v>2</v>
      </c>
      <c r="E113" s="331">
        <v>1.5</v>
      </c>
      <c r="F113" s="331">
        <v>1</v>
      </c>
      <c r="G113" s="331" t="s">
        <v>1606</v>
      </c>
      <c r="H113" s="331" t="s">
        <v>1606</v>
      </c>
      <c r="I113" s="15" t="str">
        <f t="shared" si="3"/>
        <v>Cond4</v>
      </c>
    </row>
    <row r="114" spans="1:9" ht="14" x14ac:dyDescent="0.3">
      <c r="A114" s="52" t="str">
        <f>'G-1 All Habitats'!B117</f>
        <v>Intertidal sediment - Littoral mixed sediments</v>
      </c>
      <c r="B114" s="331">
        <v>3</v>
      </c>
      <c r="C114" s="331">
        <v>2.5</v>
      </c>
      <c r="D114" s="331">
        <v>2</v>
      </c>
      <c r="E114" s="331">
        <v>1.5</v>
      </c>
      <c r="F114" s="331">
        <v>1</v>
      </c>
      <c r="G114" s="331" t="s">
        <v>1606</v>
      </c>
      <c r="H114" s="331" t="s">
        <v>1606</v>
      </c>
      <c r="I114" s="15" t="str">
        <f t="shared" si="3"/>
        <v>Cond4</v>
      </c>
    </row>
    <row r="115" spans="1:9" ht="14" x14ac:dyDescent="0.3">
      <c r="A115" s="52" t="str">
        <f>'G-1 All Habitats'!B113</f>
        <v>Coastal saltmarsh - Saltmarshes and saline reedbeds</v>
      </c>
      <c r="B115" s="331">
        <v>3</v>
      </c>
      <c r="C115" s="331">
        <v>2.5</v>
      </c>
      <c r="D115" s="331">
        <v>2</v>
      </c>
      <c r="E115" s="331">
        <v>1.5</v>
      </c>
      <c r="F115" s="331">
        <v>1</v>
      </c>
      <c r="G115" s="331" t="s">
        <v>1606</v>
      </c>
      <c r="H115" s="331" t="s">
        <v>1606</v>
      </c>
      <c r="I115" s="15" t="str">
        <f t="shared" si="3"/>
        <v>Cond4</v>
      </c>
    </row>
    <row r="116" spans="1:9" ht="14" x14ac:dyDescent="0.3">
      <c r="A116" s="52" t="str">
        <f>'G-1 All Habitats'!B114</f>
        <v>Coastal saltmarsh - Artificial saltmarshes and saline reedbeds</v>
      </c>
      <c r="B116" s="331">
        <v>3</v>
      </c>
      <c r="C116" s="331">
        <v>2.5</v>
      </c>
      <c r="D116" s="331">
        <v>2</v>
      </c>
      <c r="E116" s="331">
        <v>1.5</v>
      </c>
      <c r="F116" s="331">
        <v>1</v>
      </c>
      <c r="G116" s="331" t="s">
        <v>1606</v>
      </c>
      <c r="H116" s="331" t="s">
        <v>1606</v>
      </c>
      <c r="I116" s="15" t="str">
        <f t="shared" si="3"/>
        <v>Cond4</v>
      </c>
    </row>
    <row r="117" spans="1:9" ht="14" x14ac:dyDescent="0.3">
      <c r="A117" s="52" t="str">
        <f>'G-1 All Habitats'!B118</f>
        <v>Intertidal sediment - Littoral seagrass</v>
      </c>
      <c r="B117" s="331">
        <v>3</v>
      </c>
      <c r="C117" s="331">
        <v>2.5</v>
      </c>
      <c r="D117" s="331">
        <v>2</v>
      </c>
      <c r="E117" s="331">
        <v>1.5</v>
      </c>
      <c r="F117" s="331">
        <v>1</v>
      </c>
      <c r="G117" s="331" t="s">
        <v>1606</v>
      </c>
      <c r="H117" s="331" t="s">
        <v>1606</v>
      </c>
      <c r="I117" s="15" t="str">
        <f t="shared" si="3"/>
        <v>Cond4</v>
      </c>
    </row>
    <row r="118" spans="1:9" ht="14" x14ac:dyDescent="0.3">
      <c r="A118" s="52" t="str">
        <f>'G-1 All Habitats'!B119</f>
        <v>Intertidal sediment - Littoral seagrass on peat, clay or chalk</v>
      </c>
      <c r="B118" s="331">
        <v>3</v>
      </c>
      <c r="C118" s="331">
        <v>2.5</v>
      </c>
      <c r="D118" s="331">
        <v>2</v>
      </c>
      <c r="E118" s="331">
        <v>1.5</v>
      </c>
      <c r="F118" s="331">
        <v>1</v>
      </c>
      <c r="G118" s="331" t="s">
        <v>1606</v>
      </c>
      <c r="H118" s="331" t="s">
        <v>1606</v>
      </c>
      <c r="I118" s="15" t="str">
        <f t="shared" si="3"/>
        <v>Cond4</v>
      </c>
    </row>
    <row r="119" spans="1:9" ht="14" x14ac:dyDescent="0.3">
      <c r="A119" s="52" t="str">
        <f>'G-1 All Habitats'!B120</f>
        <v>Intertidal sediment - Littoral biogenic reefs - Mussels</v>
      </c>
      <c r="B119" s="331">
        <v>3</v>
      </c>
      <c r="C119" s="331">
        <v>2.5</v>
      </c>
      <c r="D119" s="331">
        <v>2</v>
      </c>
      <c r="E119" s="331">
        <v>1.5</v>
      </c>
      <c r="F119" s="331">
        <v>1</v>
      </c>
      <c r="G119" s="331" t="s">
        <v>1606</v>
      </c>
      <c r="H119" s="331" t="s">
        <v>1606</v>
      </c>
      <c r="I119" s="15" t="str">
        <f t="shared" si="3"/>
        <v>Cond4</v>
      </c>
    </row>
    <row r="120" spans="1:9" ht="14" x14ac:dyDescent="0.3">
      <c r="A120" s="52" t="str">
        <f>'G-1 All Habitats'!B121</f>
        <v>Intertidal sediment - Littoral biogenic reefs - Sabellaria</v>
      </c>
      <c r="B120" s="331">
        <v>3</v>
      </c>
      <c r="C120" s="331">
        <v>2.5</v>
      </c>
      <c r="D120" s="331">
        <v>2</v>
      </c>
      <c r="E120" s="331">
        <v>1.5</v>
      </c>
      <c r="F120" s="331">
        <v>1</v>
      </c>
      <c r="G120" s="331" t="s">
        <v>1606</v>
      </c>
      <c r="H120" s="331" t="s">
        <v>1606</v>
      </c>
      <c r="I120" s="15" t="str">
        <f t="shared" si="3"/>
        <v>Cond4</v>
      </c>
    </row>
    <row r="121" spans="1:9" ht="14" x14ac:dyDescent="0.3">
      <c r="A121" s="52" t="str">
        <f>'G-1 All Habitats'!B122</f>
        <v>Intertidal sediment - Features of littoral sediment</v>
      </c>
      <c r="B121" s="331">
        <v>3</v>
      </c>
      <c r="C121" s="331">
        <v>2.5</v>
      </c>
      <c r="D121" s="331">
        <v>2</v>
      </c>
      <c r="E121" s="331">
        <v>1.5</v>
      </c>
      <c r="F121" s="331">
        <v>1</v>
      </c>
      <c r="G121" s="331" t="s">
        <v>1606</v>
      </c>
      <c r="H121" s="331" t="s">
        <v>1606</v>
      </c>
      <c r="I121" s="15" t="str">
        <f t="shared" si="3"/>
        <v>Cond4</v>
      </c>
    </row>
    <row r="122" spans="1:9" ht="14" x14ac:dyDescent="0.3">
      <c r="A122" s="52" t="str">
        <f>'G-1 All Habitats'!B123</f>
        <v>Intertidal sediment - Artificial littoral coarse sediment</v>
      </c>
      <c r="B122" s="331">
        <v>3</v>
      </c>
      <c r="C122" s="331">
        <v>2.5</v>
      </c>
      <c r="D122" s="331">
        <v>2</v>
      </c>
      <c r="E122" s="331">
        <v>1.5</v>
      </c>
      <c r="F122" s="331">
        <v>1</v>
      </c>
      <c r="G122" s="331" t="s">
        <v>1606</v>
      </c>
      <c r="H122" s="331" t="s">
        <v>1606</v>
      </c>
      <c r="I122" s="15" t="str">
        <f t="shared" si="3"/>
        <v>Cond4</v>
      </c>
    </row>
    <row r="123" spans="1:9" ht="14" x14ac:dyDescent="0.3">
      <c r="A123" s="52" t="str">
        <f>'G-1 All Habitats'!B124</f>
        <v>Intertidal sediment - Artificial littoral mud</v>
      </c>
      <c r="B123" s="331">
        <v>3</v>
      </c>
      <c r="C123" s="331">
        <v>2.5</v>
      </c>
      <c r="D123" s="331">
        <v>2</v>
      </c>
      <c r="E123" s="331">
        <v>1.5</v>
      </c>
      <c r="F123" s="331">
        <v>1</v>
      </c>
      <c r="G123" s="331" t="s">
        <v>1606</v>
      </c>
      <c r="H123" s="331" t="s">
        <v>1606</v>
      </c>
      <c r="I123" s="15" t="str">
        <f t="shared" si="3"/>
        <v>Cond4</v>
      </c>
    </row>
    <row r="124" spans="1:9" ht="14" x14ac:dyDescent="0.3">
      <c r="A124" s="52" t="str">
        <f>'G-1 All Habitats'!B125</f>
        <v>Intertidal sediment - Artificial littoral sand</v>
      </c>
      <c r="B124" s="331">
        <v>3</v>
      </c>
      <c r="C124" s="331">
        <v>2.5</v>
      </c>
      <c r="D124" s="331">
        <v>2</v>
      </c>
      <c r="E124" s="331">
        <v>1.5</v>
      </c>
      <c r="F124" s="331">
        <v>1</v>
      </c>
      <c r="G124" s="331" t="s">
        <v>1606</v>
      </c>
      <c r="H124" s="331" t="s">
        <v>1606</v>
      </c>
      <c r="I124" s="15" t="str">
        <f t="shared" si="3"/>
        <v>Cond4</v>
      </c>
    </row>
    <row r="125" spans="1:9" ht="14" x14ac:dyDescent="0.3">
      <c r="A125" s="52" t="str">
        <f>'G-1 All Habitats'!B126</f>
        <v>Intertidal sediment - Artificial littoral muddy sand</v>
      </c>
      <c r="B125" s="331">
        <v>3</v>
      </c>
      <c r="C125" s="331">
        <v>2.5</v>
      </c>
      <c r="D125" s="331">
        <v>2</v>
      </c>
      <c r="E125" s="331">
        <v>1.5</v>
      </c>
      <c r="F125" s="331">
        <v>1</v>
      </c>
      <c r="G125" s="331" t="s">
        <v>1606</v>
      </c>
      <c r="H125" s="331" t="s">
        <v>1606</v>
      </c>
      <c r="I125" s="15" t="str">
        <f t="shared" si="3"/>
        <v>Cond4</v>
      </c>
    </row>
    <row r="126" spans="1:9" ht="14" x14ac:dyDescent="0.3">
      <c r="A126" s="52" t="str">
        <f>'G-1 All Habitats'!B127</f>
        <v>Intertidal sediment - Artificial littoral mixed sediments</v>
      </c>
      <c r="B126" s="331">
        <v>3</v>
      </c>
      <c r="C126" s="331">
        <v>2.5</v>
      </c>
      <c r="D126" s="331">
        <v>2</v>
      </c>
      <c r="E126" s="331">
        <v>1.5</v>
      </c>
      <c r="F126" s="331">
        <v>1</v>
      </c>
      <c r="G126" s="331" t="s">
        <v>1606</v>
      </c>
      <c r="H126" s="331" t="s">
        <v>1606</v>
      </c>
      <c r="I126" s="15" t="str">
        <f t="shared" si="3"/>
        <v>Cond4</v>
      </c>
    </row>
    <row r="127" spans="1:9" ht="14" x14ac:dyDescent="0.3">
      <c r="A127" s="52" t="str">
        <f>'G-1 All Habitats'!B128</f>
        <v>Intertidal sediment - Artificial littoral seagrass</v>
      </c>
      <c r="B127" s="331">
        <v>3</v>
      </c>
      <c r="C127" s="331">
        <v>2.5</v>
      </c>
      <c r="D127" s="331">
        <v>2</v>
      </c>
      <c r="E127" s="331">
        <v>1.5</v>
      </c>
      <c r="F127" s="331">
        <v>1</v>
      </c>
      <c r="G127" s="331" t="s">
        <v>1606</v>
      </c>
      <c r="H127" s="331" t="s">
        <v>1606</v>
      </c>
      <c r="I127" s="15" t="str">
        <f t="shared" si="3"/>
        <v>Cond4</v>
      </c>
    </row>
    <row r="128" spans="1:9" ht="14" x14ac:dyDescent="0.3">
      <c r="A128" s="52" t="str">
        <f>'G-1 All Habitats'!B129</f>
        <v>Intertidal sediment - Artificial littoral biogenic reefs</v>
      </c>
      <c r="B128" s="331">
        <v>3</v>
      </c>
      <c r="C128" s="331">
        <v>2.5</v>
      </c>
      <c r="D128" s="331">
        <v>2</v>
      </c>
      <c r="E128" s="331">
        <v>1.5</v>
      </c>
      <c r="F128" s="331">
        <v>1</v>
      </c>
      <c r="G128" s="331" t="s">
        <v>1606</v>
      </c>
      <c r="H128" s="331" t="s">
        <v>1606</v>
      </c>
      <c r="I128" s="15" t="str">
        <f t="shared" si="3"/>
        <v>Cond4</v>
      </c>
    </row>
    <row r="129" spans="1:9" ht="14" x14ac:dyDescent="0.3">
      <c r="A129" s="52" t="str">
        <f>'G-1 All Habitats'!B130</f>
        <v>Intertidal sediment - Littoral sand</v>
      </c>
      <c r="B129" s="331">
        <v>3</v>
      </c>
      <c r="C129" s="331">
        <v>2.5</v>
      </c>
      <c r="D129" s="331">
        <v>2</v>
      </c>
      <c r="E129" s="331">
        <v>1.5</v>
      </c>
      <c r="F129" s="331">
        <v>1</v>
      </c>
      <c r="G129" s="331" t="s">
        <v>1606</v>
      </c>
      <c r="H129" s="331" t="s">
        <v>1606</v>
      </c>
      <c r="I129" s="15" t="str">
        <f t="shared" si="3"/>
        <v>Cond4</v>
      </c>
    </row>
    <row r="130" spans="1:9" ht="14" x14ac:dyDescent="0.3">
      <c r="A130" s="52" t="str">
        <f>'G-1 All Habitats'!B131</f>
        <v>Intertidal sediment - Littoral muddy sand</v>
      </c>
      <c r="B130" s="331">
        <v>3</v>
      </c>
      <c r="C130" s="331">
        <v>2.5</v>
      </c>
      <c r="D130" s="331">
        <v>2</v>
      </c>
      <c r="E130" s="331">
        <v>1.5</v>
      </c>
      <c r="F130" s="331">
        <v>1</v>
      </c>
      <c r="G130" s="331" t="s">
        <v>1606</v>
      </c>
      <c r="H130" s="331" t="s">
        <v>1606</v>
      </c>
      <c r="I130" s="15" t="str">
        <f t="shared" si="3"/>
        <v>Cond4</v>
      </c>
    </row>
    <row r="131" spans="1:9" ht="14" x14ac:dyDescent="0.3">
      <c r="A131" s="52" t="str">
        <f>'G-1 All Habitats'!B132</f>
        <v>Intertidal hard structures - Artificial hard structures</v>
      </c>
      <c r="B131" s="331">
        <v>3</v>
      </c>
      <c r="C131" s="331">
        <v>2.5</v>
      </c>
      <c r="D131" s="331">
        <v>2</v>
      </c>
      <c r="E131" s="331">
        <v>1.5</v>
      </c>
      <c r="F131" s="331">
        <v>1</v>
      </c>
      <c r="G131" s="331" t="s">
        <v>1606</v>
      </c>
      <c r="H131" s="331" t="s">
        <v>1606</v>
      </c>
      <c r="I131" s="15" t="str">
        <f t="shared" si="3"/>
        <v>Cond4</v>
      </c>
    </row>
    <row r="132" spans="1:9" ht="14" x14ac:dyDescent="0.3">
      <c r="A132" s="52" t="str">
        <f>'G-1 All Habitats'!B133</f>
        <v>Intertidal hard structures - Artificial features of hard structures</v>
      </c>
      <c r="B132" s="331">
        <v>3</v>
      </c>
      <c r="C132" s="331">
        <v>2.5</v>
      </c>
      <c r="D132" s="331">
        <v>2</v>
      </c>
      <c r="E132" s="331">
        <v>1.5</v>
      </c>
      <c r="F132" s="331">
        <v>1</v>
      </c>
      <c r="G132" s="331" t="s">
        <v>1606</v>
      </c>
      <c r="H132" s="331" t="s">
        <v>1606</v>
      </c>
      <c r="I132" s="15" t="str">
        <f t="shared" si="3"/>
        <v>Cond4</v>
      </c>
    </row>
    <row r="133" spans="1:9" ht="14" x14ac:dyDescent="0.3">
      <c r="A133" s="52" t="str">
        <f>'G-1 All Habitats'!B134</f>
        <v>Intertidal hard structures - Artificial hard structures with integrated greening of grey infrastructure (IGGI)</v>
      </c>
      <c r="B133" s="331">
        <v>3</v>
      </c>
      <c r="C133" s="331">
        <v>2.5</v>
      </c>
      <c r="D133" s="331">
        <v>2</v>
      </c>
      <c r="E133" s="331">
        <v>1.5</v>
      </c>
      <c r="F133" s="331">
        <v>1</v>
      </c>
      <c r="G133" s="331" t="s">
        <v>1606</v>
      </c>
      <c r="H133" s="331" t="s">
        <v>1606</v>
      </c>
      <c r="I133" s="15" t="str">
        <f t="shared" si="3"/>
        <v>Cond4</v>
      </c>
    </row>
    <row r="134" spans="1:9" ht="14" x14ac:dyDescent="0.3">
      <c r="A134" s="52" t="s">
        <v>748</v>
      </c>
      <c r="B134" s="331" t="s">
        <v>1606</v>
      </c>
      <c r="C134" s="331" t="s">
        <v>1606</v>
      </c>
      <c r="D134" s="331" t="s">
        <v>1606</v>
      </c>
      <c r="E134" s="331" t="s">
        <v>1606</v>
      </c>
      <c r="F134" s="331" t="s">
        <v>1606</v>
      </c>
      <c r="G134" s="331" t="s">
        <v>1606</v>
      </c>
      <c r="H134" s="331">
        <v>0</v>
      </c>
      <c r="I134" s="15" t="str">
        <f t="shared" si="3"/>
        <v>Cond2</v>
      </c>
    </row>
    <row r="135" spans="1:9" ht="14" x14ac:dyDescent="0.3">
      <c r="A135" s="52" t="s">
        <v>567</v>
      </c>
      <c r="B135" s="331">
        <v>3</v>
      </c>
      <c r="C135" s="331">
        <v>2.5</v>
      </c>
      <c r="D135" s="331">
        <v>2</v>
      </c>
      <c r="E135" s="331">
        <v>1.5</v>
      </c>
      <c r="F135" s="331">
        <v>1</v>
      </c>
      <c r="G135" s="331" t="s">
        <v>1606</v>
      </c>
      <c r="H135" s="331" t="s">
        <v>1606</v>
      </c>
      <c r="I135" s="15" t="str">
        <f t="shared" si="3"/>
        <v>Cond4</v>
      </c>
    </row>
    <row r="136" spans="1:9" ht="14" x14ac:dyDescent="0.3"/>
    <row r="137" spans="1:9" ht="14.5" customHeight="1" x14ac:dyDescent="0.3"/>
    <row r="138" spans="1:9" ht="14.5" customHeight="1" x14ac:dyDescent="0.3"/>
    <row r="139" spans="1:9" ht="14.5" customHeight="1" x14ac:dyDescent="0.3"/>
    <row r="140" spans="1:9" ht="14.5" customHeight="1" x14ac:dyDescent="0.3"/>
    <row r="141" spans="1:9" ht="14.5" customHeight="1" x14ac:dyDescent="0.3"/>
    <row r="142" spans="1:9" ht="14.5" customHeight="1" x14ac:dyDescent="0.3"/>
    <row r="143" spans="1:9" ht="14.5" customHeight="1" x14ac:dyDescent="0.3"/>
    <row r="144" spans="1:9" ht="14.5" customHeight="1" x14ac:dyDescent="0.3"/>
    <row r="145" ht="14.5" customHeight="1" x14ac:dyDescent="0.3"/>
    <row r="146" ht="14.5" customHeight="1" x14ac:dyDescent="0.3"/>
    <row r="147" ht="14.5" customHeight="1" x14ac:dyDescent="0.3"/>
    <row r="148" ht="14.5" customHeight="1" x14ac:dyDescent="0.3"/>
    <row r="149" ht="14.5" customHeight="1" x14ac:dyDescent="0.3"/>
    <row r="150" ht="14.5" customHeight="1" x14ac:dyDescent="0.3"/>
    <row r="151" ht="14.5" customHeight="1" x14ac:dyDescent="0.3"/>
  </sheetData>
  <sheetProtection algorithmName="SHA-512" hashValue="ZmCskQFvXLJ6IagV36UeaREDwz0211Bf2FMJVeNh0wFSEXCkgOFe2XVn+a6Ux6g5h570zJtaBmmfauYvgSqrQQ==" saltValue="eXJ9RXH9SV1yEo2QgYHv4Q==" spinCount="100000" sheet="1" objects="1" scenarios="1"/>
  <customSheetViews>
    <customSheetView guid="{8BDA793C-C9C5-4FC6-A0A5-F1109F6D4F22}" state="hidden">
      <pane xSplit="1" ySplit="3" topLeftCell="B4" activePane="bottomRight" state="frozen"/>
      <selection pane="bottomRight" activeCell="D14" sqref="D14"/>
    </customSheetView>
  </customSheetViews>
  <mergeCells count="3">
    <mergeCell ref="B2:H2"/>
    <mergeCell ref="A1:A2"/>
    <mergeCell ref="J3:M3"/>
  </mergeCell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tabColor rgb="FFE0DCD3"/>
  </sheetPr>
  <dimension ref="A1:S216"/>
  <sheetViews>
    <sheetView zoomScaleNormal="80" workbookViewId="0">
      <selection activeCell="D14" sqref="D14"/>
    </sheetView>
  </sheetViews>
  <sheetFormatPr defaultColWidth="0" defaultRowHeight="14.5" zeroHeight="1" x14ac:dyDescent="0.35"/>
  <cols>
    <col min="1" max="1" width="9.1796875" style="178" customWidth="1"/>
    <col min="2" max="2" width="47" style="178" customWidth="1"/>
    <col min="3" max="3" width="60.54296875" style="178" customWidth="1"/>
    <col min="4" max="4" width="31.81640625" style="178" customWidth="1"/>
    <col min="5" max="19" width="9.1796875" style="178" customWidth="1"/>
    <col min="20" max="16384" width="9.1796875" style="178" hidden="1"/>
  </cols>
  <sheetData>
    <row r="1" spans="2:4" ht="61.15" customHeight="1" thickBot="1" x14ac:dyDescent="0.4"/>
    <row r="2" spans="2:4" ht="61.15" customHeight="1" thickBot="1" x14ac:dyDescent="0.4">
      <c r="B2" s="1344" t="s">
        <v>973</v>
      </c>
      <c r="C2" s="1345"/>
      <c r="D2" s="1346"/>
    </row>
    <row r="3" spans="2:4" ht="16" thickBot="1" x14ac:dyDescent="0.4">
      <c r="B3" s="477" t="s">
        <v>974</v>
      </c>
      <c r="C3" s="478" t="s">
        <v>975</v>
      </c>
      <c r="D3" s="479" t="s">
        <v>976</v>
      </c>
    </row>
    <row r="4" spans="2:4" x14ac:dyDescent="0.35">
      <c r="B4" s="480" t="s">
        <v>977</v>
      </c>
      <c r="C4" s="366" t="s">
        <v>626</v>
      </c>
      <c r="D4" s="364" t="s">
        <v>38</v>
      </c>
    </row>
    <row r="5" spans="2:4" x14ac:dyDescent="0.35">
      <c r="B5" s="458" t="s">
        <v>978</v>
      </c>
      <c r="C5" s="331" t="s">
        <v>623</v>
      </c>
      <c r="D5" s="370" t="s">
        <v>38</v>
      </c>
    </row>
    <row r="6" spans="2:4" x14ac:dyDescent="0.35">
      <c r="B6" s="458" t="s">
        <v>979</v>
      </c>
      <c r="C6" s="331" t="s">
        <v>608</v>
      </c>
      <c r="D6" s="370" t="s">
        <v>90</v>
      </c>
    </row>
    <row r="7" spans="2:4" x14ac:dyDescent="0.35">
      <c r="B7" s="458" t="s">
        <v>980</v>
      </c>
      <c r="C7" s="331" t="s">
        <v>623</v>
      </c>
      <c r="D7" s="370" t="s">
        <v>38</v>
      </c>
    </row>
    <row r="8" spans="2:4" x14ac:dyDescent="0.35">
      <c r="B8" s="458" t="s">
        <v>614</v>
      </c>
      <c r="C8" s="331" t="s">
        <v>616</v>
      </c>
      <c r="D8" s="370" t="s">
        <v>92</v>
      </c>
    </row>
    <row r="9" spans="2:4" x14ac:dyDescent="0.35">
      <c r="B9" s="458" t="s">
        <v>981</v>
      </c>
      <c r="C9" s="331" t="s">
        <v>611</v>
      </c>
      <c r="D9" s="370" t="s">
        <v>90</v>
      </c>
    </row>
    <row r="10" spans="2:4" x14ac:dyDescent="0.35">
      <c r="B10" s="458" t="s">
        <v>982</v>
      </c>
      <c r="C10" s="331" t="s">
        <v>616</v>
      </c>
      <c r="D10" s="370" t="s">
        <v>92</v>
      </c>
    </row>
    <row r="11" spans="2:4" x14ac:dyDescent="0.35">
      <c r="B11" s="458" t="s">
        <v>983</v>
      </c>
      <c r="C11" s="331" t="s">
        <v>626</v>
      </c>
      <c r="D11" s="370" t="s">
        <v>38</v>
      </c>
    </row>
    <row r="12" spans="2:4" x14ac:dyDescent="0.35">
      <c r="B12" s="458" t="s">
        <v>984</v>
      </c>
      <c r="C12" s="331" t="s">
        <v>608</v>
      </c>
      <c r="D12" s="370" t="s">
        <v>90</v>
      </c>
    </row>
    <row r="13" spans="2:4" x14ac:dyDescent="0.35">
      <c r="B13" s="458" t="s">
        <v>985</v>
      </c>
      <c r="C13" s="331" t="s">
        <v>626</v>
      </c>
      <c r="D13" s="370" t="s">
        <v>38</v>
      </c>
    </row>
    <row r="14" spans="2:4" x14ac:dyDescent="0.35">
      <c r="B14" s="458" t="s">
        <v>986</v>
      </c>
      <c r="C14" s="331" t="s">
        <v>415</v>
      </c>
      <c r="D14" s="370" t="s">
        <v>38</v>
      </c>
    </row>
    <row r="15" spans="2:4" x14ac:dyDescent="0.35">
      <c r="B15" s="458" t="s">
        <v>987</v>
      </c>
      <c r="C15" s="331" t="s">
        <v>415</v>
      </c>
      <c r="D15" s="370" t="s">
        <v>38</v>
      </c>
    </row>
    <row r="16" spans="2:4" x14ac:dyDescent="0.35">
      <c r="B16" s="458" t="s">
        <v>988</v>
      </c>
      <c r="C16" s="331" t="s">
        <v>415</v>
      </c>
      <c r="D16" s="370" t="s">
        <v>38</v>
      </c>
    </row>
    <row r="17" spans="2:4" x14ac:dyDescent="0.35">
      <c r="B17" s="458" t="s">
        <v>989</v>
      </c>
      <c r="C17" s="331" t="s">
        <v>643</v>
      </c>
      <c r="D17" s="370" t="s">
        <v>297</v>
      </c>
    </row>
    <row r="18" spans="2:4" x14ac:dyDescent="0.35">
      <c r="B18" s="458" t="s">
        <v>990</v>
      </c>
      <c r="C18" s="331" t="s">
        <v>643</v>
      </c>
      <c r="D18" s="370" t="s">
        <v>297</v>
      </c>
    </row>
    <row r="19" spans="2:4" x14ac:dyDescent="0.35">
      <c r="B19" s="458" t="s">
        <v>991</v>
      </c>
      <c r="C19" s="331" t="s">
        <v>616</v>
      </c>
      <c r="D19" s="370" t="s">
        <v>38</v>
      </c>
    </row>
    <row r="20" spans="2:4" x14ac:dyDescent="0.35">
      <c r="B20" s="458" t="s">
        <v>992</v>
      </c>
      <c r="C20" s="331" t="s">
        <v>643</v>
      </c>
      <c r="D20" s="370" t="s">
        <v>297</v>
      </c>
    </row>
    <row r="21" spans="2:4" x14ac:dyDescent="0.35">
      <c r="B21" s="458" t="s">
        <v>993</v>
      </c>
      <c r="C21" s="331" t="s">
        <v>563</v>
      </c>
      <c r="D21" s="370" t="s">
        <v>38</v>
      </c>
    </row>
    <row r="22" spans="2:4" x14ac:dyDescent="0.35">
      <c r="B22" s="458" t="s">
        <v>993</v>
      </c>
      <c r="C22" s="331" t="s">
        <v>567</v>
      </c>
      <c r="D22" s="370" t="s">
        <v>38</v>
      </c>
    </row>
    <row r="23" spans="2:4" x14ac:dyDescent="0.35">
      <c r="B23" s="458" t="s">
        <v>994</v>
      </c>
      <c r="C23" s="331" t="s">
        <v>601</v>
      </c>
      <c r="D23" s="370" t="s">
        <v>90</v>
      </c>
    </row>
    <row r="24" spans="2:4" x14ac:dyDescent="0.35">
      <c r="B24" s="458" t="s">
        <v>995</v>
      </c>
      <c r="C24" s="331" t="s">
        <v>601</v>
      </c>
      <c r="D24" s="370" t="s">
        <v>90</v>
      </c>
    </row>
    <row r="25" spans="2:4" x14ac:dyDescent="0.35">
      <c r="B25" s="458" t="s">
        <v>996</v>
      </c>
      <c r="C25" s="331" t="s">
        <v>601</v>
      </c>
      <c r="D25" s="370" t="s">
        <v>90</v>
      </c>
    </row>
    <row r="26" spans="2:4" x14ac:dyDescent="0.35">
      <c r="B26" s="458" t="s">
        <v>997</v>
      </c>
      <c r="C26" s="331" t="s">
        <v>601</v>
      </c>
      <c r="D26" s="370" t="s">
        <v>90</v>
      </c>
    </row>
    <row r="27" spans="2:4" x14ac:dyDescent="0.35">
      <c r="B27" s="458" t="s">
        <v>343</v>
      </c>
      <c r="C27" s="331" t="s">
        <v>372</v>
      </c>
      <c r="D27" s="370" t="s">
        <v>38</v>
      </c>
    </row>
    <row r="28" spans="2:4" x14ac:dyDescent="0.35">
      <c r="B28" s="458" t="s">
        <v>343</v>
      </c>
      <c r="C28" s="331" t="s">
        <v>382</v>
      </c>
      <c r="D28" s="370" t="s">
        <v>38</v>
      </c>
    </row>
    <row r="29" spans="2:4" x14ac:dyDescent="0.35">
      <c r="B29" s="458" t="s">
        <v>998</v>
      </c>
      <c r="C29" s="331" t="s">
        <v>357</v>
      </c>
      <c r="D29" s="370" t="s">
        <v>297</v>
      </c>
    </row>
    <row r="30" spans="2:4" x14ac:dyDescent="0.35">
      <c r="B30" s="458" t="s">
        <v>998</v>
      </c>
      <c r="C30" s="331" t="s">
        <v>388</v>
      </c>
      <c r="D30" s="370" t="s">
        <v>297</v>
      </c>
    </row>
    <row r="31" spans="2:4" x14ac:dyDescent="0.35">
      <c r="B31" s="458" t="s">
        <v>999</v>
      </c>
      <c r="C31" s="331" t="s">
        <v>382</v>
      </c>
      <c r="D31" s="370" t="s">
        <v>38</v>
      </c>
    </row>
    <row r="32" spans="2:4" x14ac:dyDescent="0.35">
      <c r="B32" s="458" t="s">
        <v>999</v>
      </c>
      <c r="C32" s="331" t="s">
        <v>372</v>
      </c>
      <c r="D32" s="370" t="s">
        <v>38</v>
      </c>
    </row>
    <row r="33" spans="2:4" x14ac:dyDescent="0.35">
      <c r="B33" s="458" t="s">
        <v>1000</v>
      </c>
      <c r="C33" s="331" t="s">
        <v>368</v>
      </c>
      <c r="D33" s="370" t="s">
        <v>92</v>
      </c>
    </row>
    <row r="34" spans="2:4" x14ac:dyDescent="0.35">
      <c r="B34" s="458" t="s">
        <v>366</v>
      </c>
      <c r="C34" s="331" t="s">
        <v>375</v>
      </c>
      <c r="D34" s="370" t="s">
        <v>38</v>
      </c>
    </row>
    <row r="35" spans="2:4" x14ac:dyDescent="0.35">
      <c r="B35" s="458" t="s">
        <v>1001</v>
      </c>
      <c r="C35" s="331" t="s">
        <v>363</v>
      </c>
      <c r="D35" s="370" t="s">
        <v>297</v>
      </c>
    </row>
    <row r="36" spans="2:4" x14ac:dyDescent="0.35">
      <c r="B36" s="459" t="s">
        <v>1002</v>
      </c>
      <c r="C36" s="348" t="s">
        <v>375</v>
      </c>
      <c r="D36" s="460" t="s">
        <v>38</v>
      </c>
    </row>
    <row r="37" spans="2:4" x14ac:dyDescent="0.35">
      <c r="B37" s="458" t="s">
        <v>1003</v>
      </c>
      <c r="C37" s="331" t="s">
        <v>368</v>
      </c>
      <c r="D37" s="370" t="s">
        <v>92</v>
      </c>
    </row>
    <row r="38" spans="2:4" x14ac:dyDescent="0.35">
      <c r="B38" s="458" t="s">
        <v>354</v>
      </c>
      <c r="C38" s="331" t="s">
        <v>385</v>
      </c>
      <c r="D38" s="370" t="s">
        <v>90</v>
      </c>
    </row>
    <row r="39" spans="2:4" x14ac:dyDescent="0.35">
      <c r="B39" s="458" t="s">
        <v>354</v>
      </c>
      <c r="C39" s="331" t="s">
        <v>351</v>
      </c>
      <c r="D39" s="370" t="s">
        <v>90</v>
      </c>
    </row>
    <row r="40" spans="2:4" x14ac:dyDescent="0.35">
      <c r="B40" s="458" t="s">
        <v>1004</v>
      </c>
      <c r="C40" s="331" t="s">
        <v>351</v>
      </c>
      <c r="D40" s="370" t="s">
        <v>90</v>
      </c>
    </row>
    <row r="41" spans="2:4" x14ac:dyDescent="0.35">
      <c r="B41" s="458" t="s">
        <v>1004</v>
      </c>
      <c r="C41" s="331" t="s">
        <v>385</v>
      </c>
      <c r="D41" s="370" t="s">
        <v>90</v>
      </c>
    </row>
    <row r="42" spans="2:4" ht="29.5" customHeight="1" x14ac:dyDescent="0.35">
      <c r="B42" s="458" t="s">
        <v>1005</v>
      </c>
      <c r="C42" s="331" t="s">
        <v>385</v>
      </c>
      <c r="D42" s="370" t="s">
        <v>90</v>
      </c>
    </row>
    <row r="43" spans="2:4" ht="29.5" customHeight="1" x14ac:dyDescent="0.35">
      <c r="B43" s="458" t="s">
        <v>1005</v>
      </c>
      <c r="C43" s="331" t="s">
        <v>351</v>
      </c>
      <c r="D43" s="370" t="s">
        <v>90</v>
      </c>
    </row>
    <row r="44" spans="2:4" ht="22" customHeight="1" x14ac:dyDescent="0.35">
      <c r="B44" s="458" t="s">
        <v>1006</v>
      </c>
      <c r="C44" s="331" t="s">
        <v>368</v>
      </c>
      <c r="D44" s="370" t="s">
        <v>92</v>
      </c>
    </row>
    <row r="45" spans="2:4" x14ac:dyDescent="0.35">
      <c r="B45" s="458" t="s">
        <v>1007</v>
      </c>
      <c r="C45" s="331" t="s">
        <v>368</v>
      </c>
      <c r="D45" s="370" t="s">
        <v>92</v>
      </c>
    </row>
    <row r="46" spans="2:4" x14ac:dyDescent="0.35">
      <c r="B46" s="458" t="s">
        <v>1008</v>
      </c>
      <c r="C46" s="331" t="s">
        <v>593</v>
      </c>
      <c r="D46" s="370" t="s">
        <v>297</v>
      </c>
    </row>
    <row r="47" spans="2:4" x14ac:dyDescent="0.35">
      <c r="B47" s="458" t="s">
        <v>1008</v>
      </c>
      <c r="C47" s="331" t="s">
        <v>375</v>
      </c>
      <c r="D47" s="370" t="s">
        <v>38</v>
      </c>
    </row>
    <row r="48" spans="2:4" x14ac:dyDescent="0.35">
      <c r="B48" s="458" t="s">
        <v>1008</v>
      </c>
      <c r="C48" s="331" t="s">
        <v>368</v>
      </c>
      <c r="D48" s="370" t="s">
        <v>92</v>
      </c>
    </row>
    <row r="49" spans="2:4" x14ac:dyDescent="0.35">
      <c r="B49" s="458" t="s">
        <v>1009</v>
      </c>
      <c r="C49" s="331" t="s">
        <v>368</v>
      </c>
      <c r="D49" s="370" t="s">
        <v>92</v>
      </c>
    </row>
    <row r="50" spans="2:4" x14ac:dyDescent="0.35">
      <c r="B50" s="458" t="s">
        <v>1010</v>
      </c>
      <c r="C50" s="331" t="s">
        <v>484</v>
      </c>
      <c r="D50" s="370" t="s">
        <v>90</v>
      </c>
    </row>
    <row r="51" spans="2:4" x14ac:dyDescent="0.35">
      <c r="B51" s="458" t="s">
        <v>1011</v>
      </c>
      <c r="C51" s="331" t="s">
        <v>480</v>
      </c>
      <c r="D51" s="370" t="s">
        <v>90</v>
      </c>
    </row>
    <row r="52" spans="2:4" x14ac:dyDescent="0.35">
      <c r="B52" s="458" t="s">
        <v>1012</v>
      </c>
      <c r="C52" s="331" t="s">
        <v>480</v>
      </c>
      <c r="D52" s="370" t="s">
        <v>90</v>
      </c>
    </row>
    <row r="53" spans="2:4" x14ac:dyDescent="0.35">
      <c r="B53" s="458" t="s">
        <v>1013</v>
      </c>
      <c r="C53" s="331" t="s">
        <v>480</v>
      </c>
      <c r="D53" s="370" t="s">
        <v>90</v>
      </c>
    </row>
    <row r="54" spans="2:4" x14ac:dyDescent="0.35">
      <c r="B54" s="458" t="s">
        <v>1014</v>
      </c>
      <c r="C54" s="331" t="s">
        <v>480</v>
      </c>
      <c r="D54" s="370" t="s">
        <v>90</v>
      </c>
    </row>
    <row r="55" spans="2:4" x14ac:dyDescent="0.35">
      <c r="B55" s="458" t="s">
        <v>1015</v>
      </c>
      <c r="C55" s="331" t="s">
        <v>480</v>
      </c>
      <c r="D55" s="370" t="s">
        <v>90</v>
      </c>
    </row>
    <row r="56" spans="2:4" x14ac:dyDescent="0.35">
      <c r="B56" s="458" t="s">
        <v>1016</v>
      </c>
      <c r="C56" s="331" t="s">
        <v>480</v>
      </c>
      <c r="D56" s="370" t="s">
        <v>90</v>
      </c>
    </row>
    <row r="57" spans="2:4" x14ac:dyDescent="0.35">
      <c r="B57" s="458" t="s">
        <v>1017</v>
      </c>
      <c r="C57" s="331" t="s">
        <v>501</v>
      </c>
      <c r="D57" s="370" t="s">
        <v>90</v>
      </c>
    </row>
    <row r="58" spans="2:4" x14ac:dyDescent="0.35">
      <c r="B58" s="458" t="s">
        <v>1018</v>
      </c>
      <c r="C58" s="331" t="s">
        <v>501</v>
      </c>
      <c r="D58" s="370" t="s">
        <v>90</v>
      </c>
    </row>
    <row r="59" spans="2:4" x14ac:dyDescent="0.35">
      <c r="B59" s="458" t="s">
        <v>1019</v>
      </c>
      <c r="C59" s="331" t="s">
        <v>501</v>
      </c>
      <c r="D59" s="370" t="s">
        <v>90</v>
      </c>
    </row>
    <row r="60" spans="2:4" x14ac:dyDescent="0.35">
      <c r="B60" s="458" t="s">
        <v>1020</v>
      </c>
      <c r="C60" s="331" t="s">
        <v>501</v>
      </c>
      <c r="D60" s="370" t="s">
        <v>90</v>
      </c>
    </row>
    <row r="61" spans="2:4" x14ac:dyDescent="0.35">
      <c r="B61" s="458" t="s">
        <v>1020</v>
      </c>
      <c r="C61" s="331" t="s">
        <v>1021</v>
      </c>
      <c r="D61" s="370" t="s">
        <v>90</v>
      </c>
    </row>
    <row r="62" spans="2:4" x14ac:dyDescent="0.35">
      <c r="B62" s="458" t="s">
        <v>1022</v>
      </c>
      <c r="C62" s="331" t="s">
        <v>501</v>
      </c>
      <c r="D62" s="370" t="s">
        <v>90</v>
      </c>
    </row>
    <row r="63" spans="2:4" x14ac:dyDescent="0.35">
      <c r="B63" s="458" t="s">
        <v>1022</v>
      </c>
      <c r="C63" s="331" t="s">
        <v>363</v>
      </c>
      <c r="D63" s="370" t="s">
        <v>297</v>
      </c>
    </row>
    <row r="64" spans="2:4" x14ac:dyDescent="0.35">
      <c r="B64" s="458" t="s">
        <v>1022</v>
      </c>
      <c r="C64" s="331" t="s">
        <v>357</v>
      </c>
      <c r="D64" s="370" t="s">
        <v>297</v>
      </c>
    </row>
    <row r="65" spans="2:4" x14ac:dyDescent="0.35">
      <c r="B65" s="458" t="s">
        <v>1022</v>
      </c>
      <c r="C65" s="331" t="s">
        <v>372</v>
      </c>
      <c r="D65" s="370" t="s">
        <v>38</v>
      </c>
    </row>
    <row r="66" spans="2:4" x14ac:dyDescent="0.35">
      <c r="B66" s="458" t="s">
        <v>1023</v>
      </c>
      <c r="C66" s="331" t="s">
        <v>501</v>
      </c>
      <c r="D66" s="370" t="s">
        <v>90</v>
      </c>
    </row>
    <row r="67" spans="2:4" x14ac:dyDescent="0.35">
      <c r="B67" s="458" t="s">
        <v>1023</v>
      </c>
      <c r="C67" s="350" t="s">
        <v>408</v>
      </c>
      <c r="D67" s="370" t="s">
        <v>90</v>
      </c>
    </row>
    <row r="68" spans="2:4" x14ac:dyDescent="0.35">
      <c r="B68" s="458" t="s">
        <v>1024</v>
      </c>
      <c r="C68" s="331" t="s">
        <v>1025</v>
      </c>
      <c r="D68" s="370" t="s">
        <v>297</v>
      </c>
    </row>
    <row r="69" spans="2:4" x14ac:dyDescent="0.35">
      <c r="B69" s="458" t="s">
        <v>1024</v>
      </c>
      <c r="C69" s="331" t="s">
        <v>1026</v>
      </c>
      <c r="D69" s="370" t="s">
        <v>38</v>
      </c>
    </row>
    <row r="70" spans="2:4" x14ac:dyDescent="0.35">
      <c r="B70" s="458" t="s">
        <v>1024</v>
      </c>
      <c r="C70" s="331" t="s">
        <v>449</v>
      </c>
      <c r="D70" s="370" t="s">
        <v>90</v>
      </c>
    </row>
    <row r="71" spans="2:4" x14ac:dyDescent="0.35">
      <c r="B71" s="458" t="s">
        <v>1024</v>
      </c>
      <c r="C71" s="331" t="s">
        <v>452</v>
      </c>
      <c r="D71" s="370" t="s">
        <v>90</v>
      </c>
    </row>
    <row r="72" spans="2:4" x14ac:dyDescent="0.35">
      <c r="B72" s="458" t="s">
        <v>1024</v>
      </c>
      <c r="C72" s="331" t="s">
        <v>455</v>
      </c>
      <c r="D72" s="370" t="s">
        <v>90</v>
      </c>
    </row>
    <row r="73" spans="2:4" x14ac:dyDescent="0.35">
      <c r="B73" s="458" t="s">
        <v>1024</v>
      </c>
      <c r="C73" s="331" t="s">
        <v>458</v>
      </c>
      <c r="D73" s="370" t="s">
        <v>90</v>
      </c>
    </row>
    <row r="74" spans="2:4" x14ac:dyDescent="0.35">
      <c r="B74" s="458" t="s">
        <v>1024</v>
      </c>
      <c r="C74" s="331" t="s">
        <v>1027</v>
      </c>
      <c r="D74" s="370" t="s">
        <v>90</v>
      </c>
    </row>
    <row r="75" spans="2:4" x14ac:dyDescent="0.35">
      <c r="B75" s="458" t="s">
        <v>1024</v>
      </c>
      <c r="C75" s="331" t="s">
        <v>1028</v>
      </c>
      <c r="D75" s="370" t="s">
        <v>90</v>
      </c>
    </row>
    <row r="76" spans="2:4" x14ac:dyDescent="0.35">
      <c r="B76" s="458" t="s">
        <v>1024</v>
      </c>
      <c r="C76" s="331" t="s">
        <v>1029</v>
      </c>
      <c r="D76" s="370" t="s">
        <v>38</v>
      </c>
    </row>
    <row r="77" spans="2:4" x14ac:dyDescent="0.35">
      <c r="B77" s="458" t="s">
        <v>1024</v>
      </c>
      <c r="C77" s="331" t="s">
        <v>1030</v>
      </c>
      <c r="D77" s="370" t="s">
        <v>38</v>
      </c>
    </row>
    <row r="78" spans="2:4" x14ac:dyDescent="0.35">
      <c r="B78" s="458" t="s">
        <v>1024</v>
      </c>
      <c r="C78" s="331" t="s">
        <v>1031</v>
      </c>
      <c r="D78" s="370" t="s">
        <v>90</v>
      </c>
    </row>
    <row r="79" spans="2:4" x14ac:dyDescent="0.35">
      <c r="B79" s="458" t="s">
        <v>1032</v>
      </c>
      <c r="C79" s="331" t="s">
        <v>408</v>
      </c>
      <c r="D79" s="370" t="s">
        <v>90</v>
      </c>
    </row>
    <row r="80" spans="2:4" x14ac:dyDescent="0.35">
      <c r="B80" s="458" t="s">
        <v>1032</v>
      </c>
      <c r="C80" s="331" t="s">
        <v>437</v>
      </c>
      <c r="D80" s="370" t="s">
        <v>90</v>
      </c>
    </row>
    <row r="81" spans="2:4" x14ac:dyDescent="0.35">
      <c r="B81" s="458" t="s">
        <v>1033</v>
      </c>
      <c r="C81" s="331" t="s">
        <v>408</v>
      </c>
      <c r="D81" s="370" t="s">
        <v>90</v>
      </c>
    </row>
    <row r="82" spans="2:4" x14ac:dyDescent="0.35">
      <c r="B82" s="458" t="s">
        <v>1033</v>
      </c>
      <c r="C82" s="331" t="s">
        <v>437</v>
      </c>
      <c r="D82" s="370" t="s">
        <v>90</v>
      </c>
    </row>
    <row r="83" spans="2:4" x14ac:dyDescent="0.35">
      <c r="B83" s="458" t="s">
        <v>1034</v>
      </c>
      <c r="C83" s="331" t="s">
        <v>408</v>
      </c>
      <c r="D83" s="370" t="s">
        <v>90</v>
      </c>
    </row>
    <row r="84" spans="2:4" x14ac:dyDescent="0.35">
      <c r="B84" s="458" t="s">
        <v>1034</v>
      </c>
      <c r="C84" s="331" t="s">
        <v>437</v>
      </c>
      <c r="D84" s="370" t="s">
        <v>90</v>
      </c>
    </row>
    <row r="85" spans="2:4" x14ac:dyDescent="0.35">
      <c r="B85" s="458" t="s">
        <v>1035</v>
      </c>
      <c r="C85" s="331" t="s">
        <v>408</v>
      </c>
      <c r="D85" s="370" t="s">
        <v>90</v>
      </c>
    </row>
    <row r="86" spans="2:4" x14ac:dyDescent="0.35">
      <c r="B86" s="458" t="s">
        <v>1035</v>
      </c>
      <c r="C86" s="331" t="s">
        <v>437</v>
      </c>
      <c r="D86" s="370" t="s">
        <v>90</v>
      </c>
    </row>
    <row r="87" spans="2:4" x14ac:dyDescent="0.35">
      <c r="B87" s="458" t="s">
        <v>1036</v>
      </c>
      <c r="C87" s="331" t="s">
        <v>408</v>
      </c>
      <c r="D87" s="370" t="s">
        <v>90</v>
      </c>
    </row>
    <row r="88" spans="2:4" x14ac:dyDescent="0.35">
      <c r="B88" s="458" t="s">
        <v>1036</v>
      </c>
      <c r="C88" s="331" t="s">
        <v>437</v>
      </c>
      <c r="D88" s="370" t="s">
        <v>90</v>
      </c>
    </row>
    <row r="89" spans="2:4" x14ac:dyDescent="0.35">
      <c r="B89" s="458" t="s">
        <v>1037</v>
      </c>
      <c r="C89" s="331" t="s">
        <v>419</v>
      </c>
      <c r="D89" s="370" t="s">
        <v>297</v>
      </c>
    </row>
    <row r="90" spans="2:4" x14ac:dyDescent="0.35">
      <c r="B90" s="458" t="s">
        <v>1038</v>
      </c>
      <c r="C90" s="331" t="s">
        <v>408</v>
      </c>
      <c r="D90" s="370" t="s">
        <v>90</v>
      </c>
    </row>
    <row r="91" spans="2:4" x14ac:dyDescent="0.35">
      <c r="B91" s="458" t="s">
        <v>1039</v>
      </c>
      <c r="C91" s="331" t="s">
        <v>408</v>
      </c>
      <c r="D91" s="370" t="s">
        <v>90</v>
      </c>
    </row>
    <row r="92" spans="2:4" x14ac:dyDescent="0.35">
      <c r="B92" s="458" t="s">
        <v>1038</v>
      </c>
      <c r="C92" s="331" t="s">
        <v>437</v>
      </c>
      <c r="D92" s="370" t="s">
        <v>90</v>
      </c>
    </row>
    <row r="93" spans="2:4" x14ac:dyDescent="0.35">
      <c r="B93" s="458" t="s">
        <v>1039</v>
      </c>
      <c r="C93" s="331" t="s">
        <v>437</v>
      </c>
      <c r="D93" s="370" t="s">
        <v>90</v>
      </c>
    </row>
    <row r="94" spans="2:4" x14ac:dyDescent="0.35">
      <c r="B94" s="458" t="s">
        <v>340</v>
      </c>
      <c r="C94" s="331" t="s">
        <v>341</v>
      </c>
      <c r="D94" s="370" t="s">
        <v>92</v>
      </c>
    </row>
    <row r="95" spans="2:4" x14ac:dyDescent="0.35">
      <c r="B95" s="458" t="s">
        <v>1040</v>
      </c>
      <c r="C95" s="331" t="s">
        <v>341</v>
      </c>
      <c r="D95" s="370" t="s">
        <v>92</v>
      </c>
    </row>
    <row r="96" spans="2:4" x14ac:dyDescent="0.35">
      <c r="B96" s="458" t="s">
        <v>1041</v>
      </c>
      <c r="C96" s="331" t="s">
        <v>341</v>
      </c>
      <c r="D96" s="370" t="s">
        <v>92</v>
      </c>
    </row>
    <row r="97" spans="2:4" x14ac:dyDescent="0.35">
      <c r="B97" s="458" t="s">
        <v>1042</v>
      </c>
      <c r="C97" s="350" t="s">
        <v>493</v>
      </c>
      <c r="D97" s="370" t="s">
        <v>90</v>
      </c>
    </row>
    <row r="98" spans="2:4" x14ac:dyDescent="0.35">
      <c r="B98" s="458" t="s">
        <v>1043</v>
      </c>
      <c r="C98" s="331" t="s">
        <v>341</v>
      </c>
      <c r="D98" s="370" t="s">
        <v>38</v>
      </c>
    </row>
    <row r="99" spans="2:4" x14ac:dyDescent="0.35">
      <c r="B99" s="458" t="s">
        <v>1044</v>
      </c>
      <c r="C99" s="350" t="s">
        <v>810</v>
      </c>
      <c r="D99" s="370" t="s">
        <v>92</v>
      </c>
    </row>
    <row r="100" spans="2:4" x14ac:dyDescent="0.35">
      <c r="B100" s="458" t="s">
        <v>1044</v>
      </c>
      <c r="C100" s="350" t="s">
        <v>491</v>
      </c>
      <c r="D100" s="370" t="s">
        <v>92</v>
      </c>
    </row>
    <row r="101" spans="2:4" x14ac:dyDescent="0.35">
      <c r="B101" s="458" t="s">
        <v>1045</v>
      </c>
      <c r="C101" s="350" t="s">
        <v>810</v>
      </c>
      <c r="D101" s="370" t="s">
        <v>92</v>
      </c>
    </row>
    <row r="102" spans="2:4" x14ac:dyDescent="0.35">
      <c r="B102" s="458" t="s">
        <v>572</v>
      </c>
      <c r="C102" s="331" t="s">
        <v>585</v>
      </c>
      <c r="D102" s="370" t="s">
        <v>297</v>
      </c>
    </row>
    <row r="103" spans="2:4" x14ac:dyDescent="0.35">
      <c r="B103" s="458" t="s">
        <v>1046</v>
      </c>
      <c r="C103" s="331" t="s">
        <v>585</v>
      </c>
      <c r="D103" s="370" t="s">
        <v>297</v>
      </c>
    </row>
    <row r="104" spans="2:4" x14ac:dyDescent="0.35">
      <c r="B104" s="458" t="s">
        <v>569</v>
      </c>
      <c r="C104" s="331" t="s">
        <v>570</v>
      </c>
      <c r="D104" s="370" t="s">
        <v>297</v>
      </c>
    </row>
    <row r="105" spans="2:4" x14ac:dyDescent="0.35">
      <c r="B105" s="458" t="s">
        <v>1047</v>
      </c>
      <c r="C105" s="331" t="s">
        <v>585</v>
      </c>
      <c r="D105" s="370" t="s">
        <v>297</v>
      </c>
    </row>
    <row r="106" spans="2:4" x14ac:dyDescent="0.35">
      <c r="B106" s="458" t="s">
        <v>1048</v>
      </c>
      <c r="C106" s="350" t="s">
        <v>599</v>
      </c>
      <c r="D106" s="370" t="s">
        <v>297</v>
      </c>
    </row>
    <row r="107" spans="2:4" x14ac:dyDescent="0.35">
      <c r="B107" s="458" t="s">
        <v>1049</v>
      </c>
      <c r="C107" s="331" t="s">
        <v>570</v>
      </c>
      <c r="D107" s="370" t="s">
        <v>297</v>
      </c>
    </row>
    <row r="108" spans="2:4" x14ac:dyDescent="0.35">
      <c r="B108" s="458" t="s">
        <v>1049</v>
      </c>
      <c r="C108" s="331" t="s">
        <v>585</v>
      </c>
      <c r="D108" s="370" t="s">
        <v>297</v>
      </c>
    </row>
    <row r="109" spans="2:4" x14ac:dyDescent="0.35">
      <c r="B109" s="458" t="s">
        <v>1050</v>
      </c>
      <c r="C109" s="331" t="s">
        <v>579</v>
      </c>
      <c r="D109" s="370" t="s">
        <v>297</v>
      </c>
    </row>
    <row r="110" spans="2:4" x14ac:dyDescent="0.35">
      <c r="B110" s="458" t="s">
        <v>1051</v>
      </c>
      <c r="C110" s="331" t="s">
        <v>579</v>
      </c>
      <c r="D110" s="370" t="s">
        <v>297</v>
      </c>
    </row>
    <row r="111" spans="2:4" x14ac:dyDescent="0.35">
      <c r="B111" s="458" t="s">
        <v>1052</v>
      </c>
      <c r="C111" s="331" t="s">
        <v>579</v>
      </c>
      <c r="D111" s="370" t="s">
        <v>297</v>
      </c>
    </row>
    <row r="112" spans="2:4" x14ac:dyDescent="0.35">
      <c r="B112" s="458" t="s">
        <v>1053</v>
      </c>
      <c r="C112" s="331" t="s">
        <v>579</v>
      </c>
      <c r="D112" s="370" t="s">
        <v>297</v>
      </c>
    </row>
    <row r="113" spans="2:4" x14ac:dyDescent="0.35">
      <c r="B113" s="458" t="s">
        <v>1054</v>
      </c>
      <c r="C113" s="331" t="s">
        <v>579</v>
      </c>
      <c r="D113" s="370" t="s">
        <v>297</v>
      </c>
    </row>
    <row r="114" spans="2:4" x14ac:dyDescent="0.35">
      <c r="B114" s="458" t="s">
        <v>1055</v>
      </c>
      <c r="C114" s="331" t="s">
        <v>1056</v>
      </c>
      <c r="D114" s="370" t="s">
        <v>297</v>
      </c>
    </row>
    <row r="115" spans="2:4" x14ac:dyDescent="0.35">
      <c r="B115" s="458" t="s">
        <v>1057</v>
      </c>
      <c r="C115" s="331" t="s">
        <v>1056</v>
      </c>
      <c r="D115" s="370" t="s">
        <v>297</v>
      </c>
    </row>
    <row r="116" spans="2:4" x14ac:dyDescent="0.35">
      <c r="B116" s="458" t="s">
        <v>1058</v>
      </c>
      <c r="C116" s="331" t="s">
        <v>1056</v>
      </c>
      <c r="D116" s="370" t="s">
        <v>297</v>
      </c>
    </row>
    <row r="117" spans="2:4" x14ac:dyDescent="0.35">
      <c r="B117" s="458" t="s">
        <v>1059</v>
      </c>
      <c r="C117" s="331" t="s">
        <v>574</v>
      </c>
      <c r="D117" s="370" t="s">
        <v>297</v>
      </c>
    </row>
    <row r="118" spans="2:4" x14ac:dyDescent="0.35">
      <c r="B118" s="458" t="s">
        <v>1060</v>
      </c>
      <c r="C118" s="331" t="s">
        <v>579</v>
      </c>
      <c r="D118" s="370" t="s">
        <v>297</v>
      </c>
    </row>
    <row r="119" spans="2:4" x14ac:dyDescent="0.35">
      <c r="B119" s="458" t="s">
        <v>1061</v>
      </c>
      <c r="C119" s="331" t="s">
        <v>579</v>
      </c>
      <c r="D119" s="370" t="s">
        <v>297</v>
      </c>
    </row>
    <row r="120" spans="2:4" x14ac:dyDescent="0.35">
      <c r="B120" s="458" t="s">
        <v>1061</v>
      </c>
      <c r="C120" s="350" t="s">
        <v>596</v>
      </c>
      <c r="D120" s="460" t="s">
        <v>90</v>
      </c>
    </row>
    <row r="121" spans="2:4" x14ac:dyDescent="0.35">
      <c r="B121" s="458" t="s">
        <v>1062</v>
      </c>
      <c r="C121" s="331" t="s">
        <v>1063</v>
      </c>
      <c r="D121" s="377"/>
    </row>
    <row r="122" spans="2:4" x14ac:dyDescent="0.35">
      <c r="B122" s="458" t="s">
        <v>1064</v>
      </c>
      <c r="C122" s="350" t="s">
        <v>596</v>
      </c>
      <c r="D122" s="460" t="s">
        <v>90</v>
      </c>
    </row>
    <row r="123" spans="2:4" ht="19" customHeight="1" x14ac:dyDescent="0.35">
      <c r="B123" s="458" t="s">
        <v>1065</v>
      </c>
      <c r="C123" s="331" t="s">
        <v>493</v>
      </c>
      <c r="D123" s="370" t="s">
        <v>90</v>
      </c>
    </row>
    <row r="124" spans="2:4" x14ac:dyDescent="0.35">
      <c r="B124" s="458" t="s">
        <v>1066</v>
      </c>
      <c r="C124" s="350" t="s">
        <v>506</v>
      </c>
      <c r="D124" s="370" t="s">
        <v>38</v>
      </c>
    </row>
    <row r="125" spans="2:4" x14ac:dyDescent="0.35">
      <c r="B125" s="458" t="s">
        <v>1067</v>
      </c>
      <c r="C125" s="331" t="s">
        <v>493</v>
      </c>
      <c r="D125" s="370" t="s">
        <v>90</v>
      </c>
    </row>
    <row r="126" spans="2:4" x14ac:dyDescent="0.35">
      <c r="B126" s="458" t="s">
        <v>1068</v>
      </c>
      <c r="C126" s="350" t="s">
        <v>506</v>
      </c>
      <c r="D126" s="370" t="s">
        <v>38</v>
      </c>
    </row>
    <row r="127" spans="2:4" x14ac:dyDescent="0.35">
      <c r="B127" s="458" t="s">
        <v>1069</v>
      </c>
      <c r="C127" s="331" t="s">
        <v>493</v>
      </c>
      <c r="D127" s="370" t="s">
        <v>90</v>
      </c>
    </row>
    <row r="128" spans="2:4" x14ac:dyDescent="0.35">
      <c r="B128" s="458" t="s">
        <v>1070</v>
      </c>
      <c r="C128" s="331" t="s">
        <v>493</v>
      </c>
      <c r="D128" s="370" t="s">
        <v>90</v>
      </c>
    </row>
    <row r="129" spans="2:4" x14ac:dyDescent="0.35">
      <c r="B129" s="458" t="s">
        <v>1071</v>
      </c>
      <c r="C129" s="331" t="s">
        <v>493</v>
      </c>
      <c r="D129" s="370" t="s">
        <v>90</v>
      </c>
    </row>
    <row r="130" spans="2:4" x14ac:dyDescent="0.35">
      <c r="B130" s="458" t="s">
        <v>1072</v>
      </c>
      <c r="C130" s="331" t="s">
        <v>493</v>
      </c>
      <c r="D130" s="370" t="s">
        <v>90</v>
      </c>
    </row>
    <row r="131" spans="2:4" x14ac:dyDescent="0.35">
      <c r="B131" s="458" t="s">
        <v>1073</v>
      </c>
      <c r="C131" s="331" t="s">
        <v>493</v>
      </c>
      <c r="D131" s="370" t="s">
        <v>90</v>
      </c>
    </row>
    <row r="132" spans="2:4" x14ac:dyDescent="0.35">
      <c r="B132" s="458" t="s">
        <v>497</v>
      </c>
      <c r="C132" s="331" t="s">
        <v>498</v>
      </c>
      <c r="D132" s="370" t="s">
        <v>297</v>
      </c>
    </row>
    <row r="133" spans="2:4" x14ac:dyDescent="0.35">
      <c r="B133" s="458" t="s">
        <v>1074</v>
      </c>
      <c r="C133" s="331" t="s">
        <v>506</v>
      </c>
      <c r="D133" s="370" t="s">
        <v>38</v>
      </c>
    </row>
    <row r="134" spans="2:4" x14ac:dyDescent="0.35">
      <c r="B134" s="458" t="s">
        <v>1075</v>
      </c>
      <c r="C134" s="331" t="s">
        <v>506</v>
      </c>
      <c r="D134" s="370" t="s">
        <v>38</v>
      </c>
    </row>
    <row r="135" spans="2:4" x14ac:dyDescent="0.35">
      <c r="B135" s="458" t="s">
        <v>1076</v>
      </c>
      <c r="C135" s="331" t="s">
        <v>506</v>
      </c>
      <c r="D135" s="370" t="s">
        <v>38</v>
      </c>
    </row>
    <row r="136" spans="2:4" x14ac:dyDescent="0.35">
      <c r="B136" s="458" t="s">
        <v>1077</v>
      </c>
      <c r="C136" s="331" t="s">
        <v>506</v>
      </c>
      <c r="D136" s="370" t="s">
        <v>38</v>
      </c>
    </row>
    <row r="137" spans="2:4" x14ac:dyDescent="0.35">
      <c r="B137" s="458" t="s">
        <v>1077</v>
      </c>
      <c r="C137" s="331" t="s">
        <v>506</v>
      </c>
      <c r="D137" s="370" t="s">
        <v>38</v>
      </c>
    </row>
    <row r="138" spans="2:4" x14ac:dyDescent="0.35">
      <c r="B138" s="458" t="s">
        <v>1077</v>
      </c>
      <c r="C138" s="331" t="s">
        <v>506</v>
      </c>
      <c r="D138" s="370" t="s">
        <v>38</v>
      </c>
    </row>
    <row r="139" spans="2:4" x14ac:dyDescent="0.35">
      <c r="B139" s="458" t="s">
        <v>1077</v>
      </c>
      <c r="C139" s="331" t="s">
        <v>506</v>
      </c>
      <c r="D139" s="370" t="s">
        <v>38</v>
      </c>
    </row>
    <row r="140" spans="2:4" x14ac:dyDescent="0.35">
      <c r="B140" s="458" t="s">
        <v>1077</v>
      </c>
      <c r="C140" s="331" t="s">
        <v>506</v>
      </c>
      <c r="D140" s="370" t="s">
        <v>38</v>
      </c>
    </row>
    <row r="141" spans="2:4" x14ac:dyDescent="0.35">
      <c r="B141" s="458" t="s">
        <v>1077</v>
      </c>
      <c r="C141" s="331" t="s">
        <v>506</v>
      </c>
      <c r="D141" s="370" t="s">
        <v>38</v>
      </c>
    </row>
    <row r="142" spans="2:4" x14ac:dyDescent="0.35">
      <c r="B142" s="458" t="s">
        <v>1078</v>
      </c>
      <c r="C142" s="331" t="s">
        <v>1079</v>
      </c>
      <c r="D142" s="370" t="s">
        <v>92</v>
      </c>
    </row>
    <row r="143" spans="2:4" x14ac:dyDescent="0.35">
      <c r="B143" s="458" t="s">
        <v>1080</v>
      </c>
      <c r="C143" s="331" t="s">
        <v>1079</v>
      </c>
      <c r="D143" s="370" t="s">
        <v>92</v>
      </c>
    </row>
    <row r="144" spans="2:4" x14ac:dyDescent="0.35">
      <c r="B144" s="458" t="s">
        <v>1081</v>
      </c>
      <c r="C144" s="331" t="s">
        <v>1079</v>
      </c>
      <c r="D144" s="370" t="s">
        <v>92</v>
      </c>
    </row>
    <row r="145" spans="2:4" x14ac:dyDescent="0.35">
      <c r="B145" s="458" t="s">
        <v>1082</v>
      </c>
      <c r="C145" s="331" t="s">
        <v>511</v>
      </c>
      <c r="D145" s="370" t="s">
        <v>316</v>
      </c>
    </row>
    <row r="146" spans="2:4" x14ac:dyDescent="0.35">
      <c r="B146" s="458" t="s">
        <v>1083</v>
      </c>
      <c r="C146" s="331" t="s">
        <v>314</v>
      </c>
      <c r="D146" s="370" t="s">
        <v>92</v>
      </c>
    </row>
    <row r="147" spans="2:4" ht="36.65" customHeight="1" x14ac:dyDescent="0.35">
      <c r="B147" s="458" t="s">
        <v>1084</v>
      </c>
      <c r="C147" s="310" t="s">
        <v>1085</v>
      </c>
      <c r="D147" s="370" t="s">
        <v>92</v>
      </c>
    </row>
    <row r="148" spans="2:4" x14ac:dyDescent="0.35">
      <c r="B148" s="458" t="s">
        <v>1086</v>
      </c>
      <c r="C148" s="331" t="s">
        <v>368</v>
      </c>
      <c r="D148" s="370" t="s">
        <v>92</v>
      </c>
    </row>
    <row r="149" spans="2:4" x14ac:dyDescent="0.35">
      <c r="B149" s="458" t="s">
        <v>1087</v>
      </c>
      <c r="C149" s="350" t="s">
        <v>810</v>
      </c>
      <c r="D149" s="370" t="s">
        <v>92</v>
      </c>
    </row>
    <row r="150" spans="2:4" x14ac:dyDescent="0.35">
      <c r="B150" s="458" t="s">
        <v>536</v>
      </c>
      <c r="C150" s="331" t="s">
        <v>537</v>
      </c>
      <c r="D150" s="370" t="s">
        <v>92</v>
      </c>
    </row>
    <row r="151" spans="2:4" x14ac:dyDescent="0.35">
      <c r="B151" s="458" t="s">
        <v>1088</v>
      </c>
      <c r="C151" s="331" t="s">
        <v>518</v>
      </c>
      <c r="D151" s="370" t="s">
        <v>316</v>
      </c>
    </row>
    <row r="152" spans="2:4" x14ac:dyDescent="0.35">
      <c r="B152" s="458" t="s">
        <v>1089</v>
      </c>
      <c r="C152" s="331" t="s">
        <v>518</v>
      </c>
      <c r="D152" s="370" t="s">
        <v>316</v>
      </c>
    </row>
    <row r="153" spans="2:4" x14ac:dyDescent="0.35">
      <c r="B153" s="458" t="s">
        <v>1090</v>
      </c>
      <c r="C153" s="331" t="s">
        <v>523</v>
      </c>
      <c r="D153" s="370" t="s">
        <v>316</v>
      </c>
    </row>
    <row r="154" spans="2:4" x14ac:dyDescent="0.35">
      <c r="B154" s="458" t="s">
        <v>1091</v>
      </c>
      <c r="C154" s="331" t="s">
        <v>523</v>
      </c>
      <c r="D154" s="370" t="s">
        <v>316</v>
      </c>
    </row>
    <row r="155" spans="2:4" x14ac:dyDescent="0.35">
      <c r="B155" s="458" t="s">
        <v>1092</v>
      </c>
      <c r="C155" s="331" t="s">
        <v>523</v>
      </c>
      <c r="D155" s="370" t="s">
        <v>316</v>
      </c>
    </row>
    <row r="156" spans="2:4" x14ac:dyDescent="0.35">
      <c r="B156" s="458" t="s">
        <v>1093</v>
      </c>
      <c r="C156" s="331" t="s">
        <v>523</v>
      </c>
      <c r="D156" s="370" t="s">
        <v>316</v>
      </c>
    </row>
    <row r="157" spans="2:4" x14ac:dyDescent="0.35">
      <c r="B157" s="458" t="s">
        <v>558</v>
      </c>
      <c r="C157" s="331" t="s">
        <v>556</v>
      </c>
      <c r="D157" s="370" t="s">
        <v>92</v>
      </c>
    </row>
    <row r="158" spans="2:4" ht="15" thickBot="1" x14ac:dyDescent="0.4">
      <c r="B158" s="461" t="s">
        <v>558</v>
      </c>
      <c r="C158" s="315" t="s">
        <v>559</v>
      </c>
      <c r="D158" s="362" t="s">
        <v>92</v>
      </c>
    </row>
    <row r="159" spans="2:4" x14ac:dyDescent="0.35"/>
    <row r="160" spans="2:4" x14ac:dyDescent="0.35"/>
    <row r="161" spans="2:2" x14ac:dyDescent="0.35"/>
    <row r="162" spans="2:2" x14ac:dyDescent="0.35"/>
    <row r="163" spans="2:2" x14ac:dyDescent="0.35">
      <c r="B163" s="208"/>
    </row>
    <row r="164" spans="2:2" x14ac:dyDescent="0.35">
      <c r="B164" s="208"/>
    </row>
    <row r="165" spans="2:2" x14ac:dyDescent="0.35">
      <c r="B165" s="208"/>
    </row>
    <row r="166" spans="2:2" x14ac:dyDescent="0.35">
      <c r="B166" s="208"/>
    </row>
    <row r="167" spans="2:2" x14ac:dyDescent="0.35">
      <c r="B167" s="208"/>
    </row>
    <row r="168" spans="2:2" x14ac:dyDescent="0.35">
      <c r="B168" s="208"/>
    </row>
    <row r="169" spans="2:2" hidden="1" x14ac:dyDescent="0.35">
      <c r="B169" s="208"/>
    </row>
    <row r="170" spans="2:2" hidden="1" x14ac:dyDescent="0.35">
      <c r="B170" s="208"/>
    </row>
    <row r="171" spans="2:2" hidden="1" x14ac:dyDescent="0.35">
      <c r="B171" s="208"/>
    </row>
    <row r="172" spans="2:2" hidden="1" x14ac:dyDescent="0.35">
      <c r="B172" s="208"/>
    </row>
    <row r="173" spans="2:2" hidden="1" x14ac:dyDescent="0.35">
      <c r="B173" s="208"/>
    </row>
    <row r="174" spans="2:2" hidden="1" x14ac:dyDescent="0.35">
      <c r="B174" s="208"/>
    </row>
    <row r="175" spans="2:2" hidden="1" x14ac:dyDescent="0.35">
      <c r="B175" s="208"/>
    </row>
    <row r="176" spans="2:2" hidden="1" x14ac:dyDescent="0.35">
      <c r="B176" s="208"/>
    </row>
    <row r="177" spans="2:2" hidden="1" x14ac:dyDescent="0.35">
      <c r="B177" s="208"/>
    </row>
    <row r="178" spans="2:2" hidden="1" x14ac:dyDescent="0.35">
      <c r="B178" s="208"/>
    </row>
    <row r="179" spans="2:2" hidden="1" x14ac:dyDescent="0.35">
      <c r="B179" s="208"/>
    </row>
    <row r="180" spans="2:2" hidden="1" x14ac:dyDescent="0.35">
      <c r="B180" s="208"/>
    </row>
    <row r="181" spans="2:2" hidden="1" x14ac:dyDescent="0.35">
      <c r="B181" s="208"/>
    </row>
    <row r="182" spans="2:2" hidden="1" x14ac:dyDescent="0.35">
      <c r="B182" s="208"/>
    </row>
    <row r="183" spans="2:2" hidden="1" x14ac:dyDescent="0.35">
      <c r="B183" s="208"/>
    </row>
    <row r="184" spans="2:2" hidden="1" x14ac:dyDescent="0.35">
      <c r="B184" s="208"/>
    </row>
    <row r="185" spans="2:2" hidden="1" x14ac:dyDescent="0.35">
      <c r="B185" s="208"/>
    </row>
    <row r="186" spans="2:2" hidden="1" x14ac:dyDescent="0.35">
      <c r="B186" s="208"/>
    </row>
    <row r="187" spans="2:2" hidden="1" x14ac:dyDescent="0.35">
      <c r="B187" s="208"/>
    </row>
    <row r="188" spans="2:2" hidden="1" x14ac:dyDescent="0.35">
      <c r="B188" s="208"/>
    </row>
    <row r="189" spans="2:2" hidden="1" x14ac:dyDescent="0.35">
      <c r="B189" s="208"/>
    </row>
    <row r="190" spans="2:2" hidden="1" x14ac:dyDescent="0.35">
      <c r="B190" s="208"/>
    </row>
    <row r="191" spans="2:2" hidden="1" x14ac:dyDescent="0.35">
      <c r="B191" s="208"/>
    </row>
    <row r="192" spans="2:2" hidden="1" x14ac:dyDescent="0.35">
      <c r="B192" s="208"/>
    </row>
    <row r="193" spans="2:2" hidden="1" x14ac:dyDescent="0.35">
      <c r="B193" s="208"/>
    </row>
    <row r="194" spans="2:2" hidden="1" x14ac:dyDescent="0.35">
      <c r="B194" s="208"/>
    </row>
    <row r="195" spans="2:2" hidden="1" x14ac:dyDescent="0.35">
      <c r="B195" s="208"/>
    </row>
    <row r="196" spans="2:2" hidden="1" x14ac:dyDescent="0.35">
      <c r="B196" s="208"/>
    </row>
    <row r="197" spans="2:2" hidden="1" x14ac:dyDescent="0.35">
      <c r="B197" s="208"/>
    </row>
    <row r="198" spans="2:2" hidden="1" x14ac:dyDescent="0.35">
      <c r="B198" s="208"/>
    </row>
    <row r="199" spans="2:2" hidden="1" x14ac:dyDescent="0.35">
      <c r="B199" s="208"/>
    </row>
    <row r="200" spans="2:2" hidden="1" x14ac:dyDescent="0.35">
      <c r="B200" s="208"/>
    </row>
    <row r="201" spans="2:2" hidden="1" x14ac:dyDescent="0.35">
      <c r="B201" s="208"/>
    </row>
    <row r="202" spans="2:2" hidden="1" x14ac:dyDescent="0.35">
      <c r="B202" s="208"/>
    </row>
    <row r="203" spans="2:2" hidden="1" x14ac:dyDescent="0.35">
      <c r="B203" s="208"/>
    </row>
    <row r="204" spans="2:2" hidden="1" x14ac:dyDescent="0.35">
      <c r="B204" s="208"/>
    </row>
    <row r="205" spans="2:2" hidden="1" x14ac:dyDescent="0.35">
      <c r="B205" s="208"/>
    </row>
    <row r="206" spans="2:2" hidden="1" x14ac:dyDescent="0.35">
      <c r="B206" s="208"/>
    </row>
    <row r="207" spans="2:2" hidden="1" x14ac:dyDescent="0.35">
      <c r="B207" s="208"/>
    </row>
    <row r="208" spans="2:2" hidden="1" x14ac:dyDescent="0.35">
      <c r="B208" s="208"/>
    </row>
    <row r="209" spans="2:2" hidden="1" x14ac:dyDescent="0.35">
      <c r="B209" s="208"/>
    </row>
    <row r="210" spans="2:2" hidden="1" x14ac:dyDescent="0.35">
      <c r="B210" s="208"/>
    </row>
    <row r="211" spans="2:2" hidden="1" x14ac:dyDescent="0.35">
      <c r="B211" s="208"/>
    </row>
    <row r="212" spans="2:2" hidden="1" x14ac:dyDescent="0.35">
      <c r="B212" s="208"/>
    </row>
    <row r="213" spans="2:2" hidden="1" x14ac:dyDescent="0.35">
      <c r="B213" s="208"/>
    </row>
    <row r="214" spans="2:2" hidden="1" x14ac:dyDescent="0.35">
      <c r="B214" s="208"/>
    </row>
    <row r="215" spans="2:2" hidden="1" x14ac:dyDescent="0.35">
      <c r="B215" s="208"/>
    </row>
    <row r="216" spans="2:2" hidden="1" x14ac:dyDescent="0.35">
      <c r="B216" s="209"/>
    </row>
  </sheetData>
  <sheetProtection algorithmName="SHA-512" hashValue="rchqpH2XveEndGYuFZ9JW3AmlDUVNRuHXdIhcDUh9gJvUIiTLeFSj9ekoI5FNMotgeEYEC+86AVIUZo04uabUA==" saltValue="ZVJ4LVqUfNLKOWaGWcsNLw==" spinCount="100000" sheet="1" objects="1" scenarios="1"/>
  <customSheetViews>
    <customSheetView guid="{8BDA793C-C9C5-4FC6-A0A5-F1109F6D4F22}" state="hidden">
      <selection activeCell="D14" sqref="D14"/>
    </customSheetView>
  </customSheetViews>
  <mergeCells count="1">
    <mergeCell ref="B2:D2"/>
  </mergeCell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0" tint="-0.249977111117893"/>
  </sheetPr>
  <dimension ref="A1:R52"/>
  <sheetViews>
    <sheetView zoomScaleNormal="80" workbookViewId="0"/>
  </sheetViews>
  <sheetFormatPr defaultColWidth="9.1796875" defaultRowHeight="14.5" customHeight="1" zeroHeight="1" x14ac:dyDescent="0.35"/>
  <cols>
    <col min="1" max="3" width="2.1796875" style="3" customWidth="1"/>
    <col min="4" max="4" width="18.7265625" style="3" customWidth="1"/>
    <col min="5" max="8" width="9.1796875" style="3" customWidth="1"/>
    <col min="9" max="9" width="7" style="3" customWidth="1"/>
    <col min="10" max="12" width="9.1796875" style="3" customWidth="1"/>
    <col min="13" max="13" width="12.1796875" style="3" customWidth="1"/>
    <col min="14" max="14" width="5.7265625" style="3" customWidth="1"/>
    <col min="15" max="15" width="9.1796875" style="3" customWidth="1"/>
    <col min="16" max="16" width="34.54296875" style="3" customWidth="1"/>
    <col min="17" max="17" width="13.7265625" style="3" bestFit="1" customWidth="1"/>
    <col min="18" max="18" width="19.26953125" style="3" customWidth="1"/>
    <col min="19" max="20" width="9.1796875" style="3" customWidth="1"/>
    <col min="21" max="16384" width="9.1796875" style="3"/>
  </cols>
  <sheetData>
    <row r="1" spans="1:18" ht="15.75" customHeight="1" x14ac:dyDescent="0.7">
      <c r="B1" s="10"/>
      <c r="C1" s="10"/>
      <c r="E1" s="11"/>
      <c r="F1" s="870"/>
      <c r="G1" s="870"/>
      <c r="H1" s="870"/>
      <c r="I1" s="870"/>
      <c r="J1" s="870"/>
      <c r="K1" s="871"/>
      <c r="L1" s="871"/>
      <c r="M1" s="871"/>
      <c r="N1" s="871"/>
      <c r="O1" s="871"/>
    </row>
    <row r="2" spans="1:18" ht="15.75" customHeight="1" x14ac:dyDescent="0.7">
      <c r="B2" s="10"/>
      <c r="C2" s="10"/>
      <c r="E2" s="11"/>
    </row>
    <row r="3" spans="1:18" ht="15.75" customHeight="1" x14ac:dyDescent="0.7">
      <c r="A3" s="11"/>
      <c r="B3" s="11"/>
      <c r="C3" s="11"/>
      <c r="D3" s="11"/>
      <c r="E3" s="11"/>
      <c r="F3" s="12"/>
      <c r="G3" s="12"/>
      <c r="H3" s="12"/>
      <c r="I3" s="12"/>
      <c r="J3" s="12"/>
      <c r="K3" s="12"/>
      <c r="L3" s="12"/>
      <c r="M3" s="12"/>
      <c r="N3" s="12"/>
      <c r="O3" s="12"/>
      <c r="P3" s="12"/>
    </row>
    <row r="4" spans="1:18" ht="16.5" customHeight="1" x14ac:dyDescent="0.7">
      <c r="A4" s="11"/>
      <c r="B4" s="11"/>
      <c r="C4" s="11"/>
      <c r="D4" s="11"/>
      <c r="E4" s="11"/>
      <c r="F4" s="12"/>
      <c r="G4" s="12"/>
      <c r="H4" s="12"/>
      <c r="I4" s="12"/>
      <c r="J4" s="12"/>
      <c r="K4" s="12"/>
      <c r="L4" s="12"/>
      <c r="M4" s="12"/>
      <c r="N4" s="12"/>
      <c r="O4" s="12"/>
      <c r="P4" s="12"/>
    </row>
    <row r="5" spans="1:18" ht="16.5" customHeight="1" x14ac:dyDescent="0.7">
      <c r="A5" s="11"/>
      <c r="B5" s="11"/>
      <c r="C5" s="11"/>
      <c r="D5" s="11"/>
      <c r="E5" s="11"/>
      <c r="F5" s="13"/>
      <c r="G5" s="13"/>
      <c r="H5" s="13"/>
      <c r="I5" s="13"/>
      <c r="J5" s="13"/>
      <c r="K5" s="13"/>
      <c r="L5" s="13"/>
      <c r="M5" s="13"/>
      <c r="N5" s="13"/>
      <c r="O5" s="13"/>
      <c r="P5" s="13"/>
      <c r="Q5" s="13"/>
      <c r="R5" s="13"/>
    </row>
    <row r="6" spans="1:18" ht="16.5" customHeight="1" x14ac:dyDescent="0.7">
      <c r="B6" s="10"/>
      <c r="C6" s="10"/>
      <c r="D6" s="11"/>
      <c r="E6" s="11"/>
      <c r="F6" s="13"/>
      <c r="G6" s="13"/>
      <c r="H6" s="13"/>
      <c r="I6" s="13"/>
      <c r="J6" s="13"/>
      <c r="K6" s="13"/>
      <c r="L6" s="13"/>
      <c r="M6" s="13"/>
      <c r="N6" s="13"/>
      <c r="O6" s="13"/>
      <c r="P6" s="13"/>
      <c r="Q6" s="13"/>
      <c r="R6" s="13"/>
    </row>
    <row r="7" spans="1:18" ht="16.5" customHeight="1" x14ac:dyDescent="0.7">
      <c r="B7" s="10"/>
      <c r="C7" s="11"/>
      <c r="D7" s="11"/>
      <c r="E7" s="11"/>
      <c r="F7" s="13"/>
      <c r="G7" s="13"/>
      <c r="H7" s="13"/>
      <c r="I7" s="13"/>
      <c r="J7" s="13"/>
      <c r="K7" s="13"/>
      <c r="L7" s="13"/>
      <c r="M7" s="13"/>
      <c r="N7" s="13"/>
      <c r="O7" s="13"/>
      <c r="P7" s="13"/>
      <c r="Q7" s="13"/>
      <c r="R7" s="13"/>
    </row>
    <row r="8" spans="1:18" ht="16.5" customHeight="1" x14ac:dyDescent="0.7">
      <c r="B8" s="10"/>
      <c r="C8" s="10"/>
      <c r="D8" s="11"/>
      <c r="E8" s="11"/>
      <c r="F8" s="13"/>
      <c r="G8" s="13"/>
      <c r="H8" s="13"/>
      <c r="I8" s="13"/>
      <c r="J8" s="13"/>
      <c r="K8" s="13"/>
      <c r="L8" s="13"/>
      <c r="M8" s="13"/>
      <c r="N8" s="13"/>
      <c r="O8" s="13"/>
      <c r="P8" s="13"/>
      <c r="Q8" s="13"/>
      <c r="R8" s="13"/>
    </row>
    <row r="9" spans="1:18" ht="16.5" customHeight="1" x14ac:dyDescent="0.35">
      <c r="B9" s="10"/>
      <c r="C9" s="10"/>
      <c r="D9" s="14"/>
      <c r="E9" s="14"/>
      <c r="F9" s="13"/>
      <c r="G9" s="13"/>
      <c r="H9" s="13"/>
      <c r="I9" s="13"/>
      <c r="J9" s="13"/>
      <c r="K9" s="13"/>
      <c r="L9" s="13"/>
      <c r="M9" s="13"/>
      <c r="N9" s="13"/>
      <c r="O9" s="13"/>
      <c r="P9" s="13"/>
      <c r="Q9" s="13"/>
      <c r="R9" s="13"/>
    </row>
    <row r="10" spans="1:18" ht="30" customHeight="1" x14ac:dyDescent="0.5">
      <c r="B10" s="10"/>
      <c r="C10" s="10"/>
      <c r="D10" s="1347"/>
      <c r="E10" s="1347"/>
      <c r="F10" s="1347"/>
      <c r="G10" s="1347"/>
      <c r="H10" s="1347"/>
      <c r="I10" s="1347"/>
      <c r="J10" s="1347"/>
      <c r="K10" s="1347"/>
      <c r="L10" s="1347"/>
      <c r="M10" s="1347"/>
    </row>
    <row r="11" spans="1:18" ht="16.5" customHeight="1" x14ac:dyDescent="0.35">
      <c r="B11" s="10"/>
      <c r="C11" s="10"/>
    </row>
    <row r="12" spans="1:18" ht="16.5" customHeight="1" x14ac:dyDescent="0.35">
      <c r="B12" s="10"/>
      <c r="C12" s="10"/>
    </row>
    <row r="13" spans="1:18" ht="16.5" customHeight="1" x14ac:dyDescent="0.35">
      <c r="B13" s="10"/>
      <c r="C13" s="10"/>
    </row>
    <row r="14" spans="1:18" ht="16.5" customHeight="1" x14ac:dyDescent="0.35">
      <c r="B14" s="10"/>
      <c r="C14" s="10"/>
    </row>
    <row r="15" spans="1:18" ht="16.5" customHeight="1" x14ac:dyDescent="0.35">
      <c r="B15" s="10"/>
      <c r="C15" s="10"/>
    </row>
    <row r="16" spans="1:18" ht="16.5" customHeight="1" x14ac:dyDescent="0.35"/>
    <row r="17" ht="16.5" customHeight="1" x14ac:dyDescent="0.35"/>
    <row r="18" ht="16.5" customHeight="1" x14ac:dyDescent="0.35"/>
    <row r="19" ht="16.5" customHeight="1" x14ac:dyDescent="0.35"/>
    <row r="20" ht="16.5" customHeight="1" x14ac:dyDescent="0.35"/>
    <row r="21" ht="16.5" customHeight="1" x14ac:dyDescent="0.35"/>
    <row r="22" ht="16.5" customHeight="1" x14ac:dyDescent="0.35"/>
    <row r="23" ht="16.5" customHeight="1" x14ac:dyDescent="0.35"/>
    <row r="24" ht="16.5" customHeight="1" x14ac:dyDescent="0.35"/>
    <row r="25" ht="16.5" customHeight="1" x14ac:dyDescent="0.35"/>
    <row r="26" ht="16.5" customHeight="1"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sheetData>
  <sheetProtection algorithmName="SHA-512" hashValue="ppeQeMVV5KD1iXeQCzivd04EoQxFSl+VeDusnrut6zqo8YPXbZSEnsWaT/k8CLajU/Xp/okB9iEEzVF8fHtdsQ==" saltValue="YX/pSlCxXN9+7UmIuU2Dgw==" spinCount="100000" sheet="1" objects="1" scenarios="1"/>
  <customSheetViews>
    <customSheetView guid="{8BDA793C-C9C5-4FC6-A0A5-F1109F6D4F22}" state="hidden">
      <selection activeCell="D14" sqref="D14"/>
    </customSheetView>
  </customSheetViews>
  <mergeCells count="3">
    <mergeCell ref="F1:J1"/>
    <mergeCell ref="K1:O1"/>
    <mergeCell ref="D10:M10"/>
  </mergeCell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tabColor theme="0" tint="-0.249977111117893"/>
  </sheetPr>
  <dimension ref="A1:D378"/>
  <sheetViews>
    <sheetView topLeftCell="B1" zoomScaleNormal="80" workbookViewId="0">
      <selection activeCell="B7" sqref="B7"/>
    </sheetView>
  </sheetViews>
  <sheetFormatPr defaultColWidth="9.1796875" defaultRowHeight="14.5" x14ac:dyDescent="0.35"/>
  <cols>
    <col min="1" max="1" width="41.26953125" style="178" customWidth="1"/>
    <col min="2" max="2" width="56.453125" style="178" bestFit="1" customWidth="1"/>
    <col min="3" max="3" width="9.1796875" style="178"/>
    <col min="4" max="4" width="55.54296875" style="178" customWidth="1"/>
    <col min="5" max="16384" width="9.1796875" style="178"/>
  </cols>
  <sheetData>
    <row r="1" spans="1:4" s="179" customFormat="1" x14ac:dyDescent="0.35">
      <c r="A1" s="210" t="s">
        <v>1094</v>
      </c>
      <c r="B1" s="211" t="s">
        <v>1095</v>
      </c>
      <c r="D1" s="183" t="s">
        <v>1096</v>
      </c>
    </row>
    <row r="2" spans="1:4" x14ac:dyDescent="0.35">
      <c r="A2" s="400" t="s">
        <v>1097</v>
      </c>
      <c r="B2" s="401" t="s">
        <v>1098</v>
      </c>
      <c r="D2" s="400" t="str">
        <f>'G-1 All Habitats'!B3</f>
        <v>Cropland - Arable field margins cultivated annually</v>
      </c>
    </row>
    <row r="3" spans="1:4" x14ac:dyDescent="0.35">
      <c r="A3" s="400" t="s">
        <v>1099</v>
      </c>
      <c r="B3" s="401" t="s">
        <v>1100</v>
      </c>
      <c r="D3" s="400" t="str">
        <f>'G-1 All Habitats'!B4</f>
        <v>Cropland - Arable field margins game bird mix</v>
      </c>
    </row>
    <row r="4" spans="1:4" x14ac:dyDescent="0.35">
      <c r="A4" s="400" t="s">
        <v>1101</v>
      </c>
      <c r="B4" s="401" t="s">
        <v>1102</v>
      </c>
      <c r="D4" s="400" t="str">
        <f>'G-1 All Habitats'!B5</f>
        <v>Cropland - Arable field margins pollen and nectar</v>
      </c>
    </row>
    <row r="5" spans="1:4" x14ac:dyDescent="0.35">
      <c r="A5" s="400" t="s">
        <v>1103</v>
      </c>
      <c r="B5" s="401" t="s">
        <v>1104</v>
      </c>
      <c r="D5" s="400" t="str">
        <f>'G-1 All Habitats'!B6</f>
        <v>Cropland - Arable field margins tussocky</v>
      </c>
    </row>
    <row r="6" spans="1:4" x14ac:dyDescent="0.35">
      <c r="A6" s="400" t="s">
        <v>1105</v>
      </c>
      <c r="B6" s="401" t="s">
        <v>1106</v>
      </c>
      <c r="D6" s="400" t="str">
        <f>'G-1 All Habitats'!B7</f>
        <v>Cropland - Cereal crops</v>
      </c>
    </row>
    <row r="7" spans="1:4" x14ac:dyDescent="0.35">
      <c r="A7" s="400" t="s">
        <v>1107</v>
      </c>
      <c r="B7" s="401" t="s">
        <v>1108</v>
      </c>
      <c r="D7" s="400" t="str">
        <f>'G-1 All Habitats'!B8</f>
        <v>Cropland - Winter stubble</v>
      </c>
    </row>
    <row r="8" spans="1:4" x14ac:dyDescent="0.35">
      <c r="A8" s="400" t="s">
        <v>1109</v>
      </c>
      <c r="B8" s="401" t="s">
        <v>1110</v>
      </c>
      <c r="D8" s="400" t="str">
        <f>'G-1 All Habitats'!B9</f>
        <v>Cropland - Horticulture</v>
      </c>
    </row>
    <row r="9" spans="1:4" x14ac:dyDescent="0.35">
      <c r="A9" s="400" t="s">
        <v>1111</v>
      </c>
      <c r="B9" s="401" t="s">
        <v>1112</v>
      </c>
      <c r="D9" s="400" t="str">
        <f>'G-1 All Habitats'!B10</f>
        <v>Cropland - Intensive orchards</v>
      </c>
    </row>
    <row r="10" spans="1:4" x14ac:dyDescent="0.35">
      <c r="A10" s="400" t="s">
        <v>1113</v>
      </c>
      <c r="B10" s="401" t="s">
        <v>1114</v>
      </c>
      <c r="D10" s="400" t="str">
        <f>'G-1 All Habitats'!B11</f>
        <v>Cropland - Non-cereal crops</v>
      </c>
    </row>
    <row r="11" spans="1:4" x14ac:dyDescent="0.35">
      <c r="A11" s="400" t="s">
        <v>1115</v>
      </c>
      <c r="B11" s="401" t="s">
        <v>1116</v>
      </c>
      <c r="D11" s="400" t="str">
        <f>'G-1 All Habitats'!B12</f>
        <v>Cropland - Temporary grass and clover leys</v>
      </c>
    </row>
    <row r="12" spans="1:4" x14ac:dyDescent="0.35">
      <c r="A12" s="400" t="s">
        <v>1117</v>
      </c>
      <c r="B12" s="401" t="s">
        <v>1118</v>
      </c>
      <c r="D12" s="400" t="str">
        <f>'G-1 All Habitats'!B13</f>
        <v>Grassland - Traditional orchards</v>
      </c>
    </row>
    <row r="13" spans="1:4" x14ac:dyDescent="0.35">
      <c r="A13" s="400" t="s">
        <v>1119</v>
      </c>
      <c r="B13" s="401" t="s">
        <v>1120</v>
      </c>
      <c r="D13" s="400" t="str">
        <f>'G-1 All Habitats'!B14</f>
        <v>Grassland - Bracken</v>
      </c>
    </row>
    <row r="14" spans="1:4" x14ac:dyDescent="0.35">
      <c r="A14" s="400" t="s">
        <v>1121</v>
      </c>
      <c r="B14" s="401" t="s">
        <v>1122</v>
      </c>
      <c r="D14" s="400" t="str">
        <f>'G-1 All Habitats'!B15</f>
        <v>Grassland - Floodplain wetland mosaic and CFGM</v>
      </c>
    </row>
    <row r="15" spans="1:4" x14ac:dyDescent="0.35">
      <c r="A15" s="400" t="s">
        <v>1123</v>
      </c>
      <c r="B15" s="401" t="s">
        <v>1124</v>
      </c>
      <c r="D15" s="400" t="str">
        <f>'G-1 All Habitats'!B16</f>
        <v>Grassland - Lowland calcareous grassland</v>
      </c>
    </row>
    <row r="16" spans="1:4" x14ac:dyDescent="0.35">
      <c r="A16" s="400" t="s">
        <v>1125</v>
      </c>
      <c r="B16" s="401" t="s">
        <v>1126</v>
      </c>
      <c r="D16" s="400" t="str">
        <f>'G-1 All Habitats'!B17</f>
        <v>Grassland - Lowland dry acid grassland</v>
      </c>
    </row>
    <row r="17" spans="1:4" x14ac:dyDescent="0.35">
      <c r="A17" s="400" t="s">
        <v>1127</v>
      </c>
      <c r="D17" s="400" t="str">
        <f>'G-1 All Habitats'!B18</f>
        <v>Grassland - Lowland meadows</v>
      </c>
    </row>
    <row r="18" spans="1:4" x14ac:dyDescent="0.35">
      <c r="A18" s="400" t="s">
        <v>1128</v>
      </c>
      <c r="D18" s="400" t="str">
        <f>'G-1 All Habitats'!B19</f>
        <v>Grassland - Modified grassland</v>
      </c>
    </row>
    <row r="19" spans="1:4" x14ac:dyDescent="0.35">
      <c r="A19" s="400" t="s">
        <v>1129</v>
      </c>
      <c r="D19" s="400" t="str">
        <f>'G-1 All Habitats'!B20</f>
        <v>Grassland - Other lowland acid grassland</v>
      </c>
    </row>
    <row r="20" spans="1:4" x14ac:dyDescent="0.35">
      <c r="A20" s="400" t="s">
        <v>1130</v>
      </c>
      <c r="D20" s="400" t="str">
        <f>'G-1 All Habitats'!B21</f>
        <v>Grassland - Other neutral grassland</v>
      </c>
    </row>
    <row r="21" spans="1:4" x14ac:dyDescent="0.35">
      <c r="A21" s="400" t="s">
        <v>1131</v>
      </c>
      <c r="D21" s="400" t="str">
        <f>'G-1 All Habitats'!B22</f>
        <v>Grassland - Tall herb communities (H6430)</v>
      </c>
    </row>
    <row r="22" spans="1:4" x14ac:dyDescent="0.35">
      <c r="A22" s="400" t="s">
        <v>1132</v>
      </c>
      <c r="D22" s="400" t="str">
        <f>'G-1 All Habitats'!B23</f>
        <v>Grassland - Upland acid grassland</v>
      </c>
    </row>
    <row r="23" spans="1:4" x14ac:dyDescent="0.35">
      <c r="A23" s="400" t="s">
        <v>1133</v>
      </c>
      <c r="D23" s="400" t="str">
        <f>'G-1 All Habitats'!B24</f>
        <v>Grassland - Upland calcareous grassland</v>
      </c>
    </row>
    <row r="24" spans="1:4" x14ac:dyDescent="0.35">
      <c r="A24" s="400" t="s">
        <v>1134</v>
      </c>
      <c r="D24" s="400" t="str">
        <f>'G-1 All Habitats'!B25</f>
        <v>Grassland - Upland hay meadows</v>
      </c>
    </row>
    <row r="25" spans="1:4" x14ac:dyDescent="0.35">
      <c r="A25" s="400" t="s">
        <v>1135</v>
      </c>
      <c r="D25" s="400" t="str">
        <f>'G-1 All Habitats'!B26</f>
        <v>Heathland and shrub - Blackthorn scrub</v>
      </c>
    </row>
    <row r="26" spans="1:4" x14ac:dyDescent="0.35">
      <c r="A26" s="400" t="s">
        <v>1136</v>
      </c>
      <c r="D26" s="400" t="str">
        <f>'G-1 All Habitats'!B27</f>
        <v>Heathland and shrub - Bramble scrub</v>
      </c>
    </row>
    <row r="27" spans="1:4" x14ac:dyDescent="0.35">
      <c r="A27" s="400" t="s">
        <v>1137</v>
      </c>
      <c r="D27" s="400" t="str">
        <f>'G-1 All Habitats'!B28</f>
        <v>Heathland and shrub - Gorse scrub</v>
      </c>
    </row>
    <row r="28" spans="1:4" x14ac:dyDescent="0.35">
      <c r="A28" s="400" t="s">
        <v>1138</v>
      </c>
      <c r="D28" s="400" t="str">
        <f>'G-1 All Habitats'!B29</f>
        <v>Heathland and shrub - Hawthorn scrub</v>
      </c>
    </row>
    <row r="29" spans="1:4" x14ac:dyDescent="0.35">
      <c r="A29" s="400" t="s">
        <v>1139</v>
      </c>
      <c r="D29" s="400" t="str">
        <f>'G-1 All Habitats'!B30</f>
        <v>Heathland and shrub - Hazel scrub</v>
      </c>
    </row>
    <row r="30" spans="1:4" x14ac:dyDescent="0.35">
      <c r="A30" s="400" t="s">
        <v>1140</v>
      </c>
      <c r="D30" s="400" t="str">
        <f>'G-1 All Habitats'!B31</f>
        <v>Heathland and shrub - Lowland heathland</v>
      </c>
    </row>
    <row r="31" spans="1:4" x14ac:dyDescent="0.35">
      <c r="A31" s="400" t="s">
        <v>1141</v>
      </c>
      <c r="D31" s="400" t="str">
        <f>'G-1 All Habitats'!B32</f>
        <v>Heathland and shrub - Mixed scrub</v>
      </c>
    </row>
    <row r="32" spans="1:4" x14ac:dyDescent="0.35">
      <c r="A32" s="400" t="s">
        <v>1142</v>
      </c>
      <c r="D32" s="400" t="str">
        <f>'G-1 All Habitats'!B33</f>
        <v>Heathland and shrub - Mountain heaths and willow scrub</v>
      </c>
    </row>
    <row r="33" spans="1:4" x14ac:dyDescent="0.35">
      <c r="A33" s="400" t="s">
        <v>1143</v>
      </c>
      <c r="D33" s="400" t="str">
        <f>'G-1 All Habitats'!B34</f>
        <v>Heathland and shrub - Rhododendron scrub</v>
      </c>
    </row>
    <row r="34" spans="1:4" x14ac:dyDescent="0.35">
      <c r="A34" s="400" t="s">
        <v>1144</v>
      </c>
      <c r="D34" s="400" t="str">
        <f>'G-1 All Habitats'!B35</f>
        <v>Heathland and shrub - Dunes with sea buckthorn (H2160)</v>
      </c>
    </row>
    <row r="35" spans="1:4" x14ac:dyDescent="0.35">
      <c r="A35" s="400" t="s">
        <v>1145</v>
      </c>
      <c r="D35" s="400" t="str">
        <f>'G-1 All Habitats'!B36</f>
        <v>Heathland and shrub - Other sea buckthorn scrub</v>
      </c>
    </row>
    <row r="36" spans="1:4" x14ac:dyDescent="0.35">
      <c r="A36" s="400" t="s">
        <v>1146</v>
      </c>
      <c r="D36" s="400" t="str">
        <f>'G-1 All Habitats'!B38</f>
        <v>Heathland and shrub - Upland heathland</v>
      </c>
    </row>
    <row r="37" spans="1:4" x14ac:dyDescent="0.35">
      <c r="A37" s="400" t="s">
        <v>1147</v>
      </c>
      <c r="D37" s="400" t="str">
        <f>'G-1 All Habitats'!B39</f>
        <v>Lakes - Aquifer fed naturally fluctuating water bodies</v>
      </c>
    </row>
    <row r="38" spans="1:4" x14ac:dyDescent="0.35">
      <c r="A38" s="400" t="s">
        <v>1148</v>
      </c>
      <c r="D38" s="400" t="str">
        <f>'G-1 All Habitats'!B41</f>
        <v>Lakes - High alkalinity lakes</v>
      </c>
    </row>
    <row r="39" spans="1:4" x14ac:dyDescent="0.35">
      <c r="A39" s="400" t="s">
        <v>1149</v>
      </c>
      <c r="D39" s="400" t="str">
        <f>'G-1 All Habitats'!B42</f>
        <v>Lakes - Low alkalinity lakes</v>
      </c>
    </row>
    <row r="40" spans="1:4" x14ac:dyDescent="0.35">
      <c r="A40" s="400" t="s">
        <v>1150</v>
      </c>
      <c r="D40" s="400" t="str">
        <f>'G-1 All Habitats'!B43</f>
        <v>Lakes - Marl lakes</v>
      </c>
    </row>
    <row r="41" spans="1:4" x14ac:dyDescent="0.35">
      <c r="A41" s="400" t="s">
        <v>1151</v>
      </c>
      <c r="D41" s="400" t="str">
        <f>'G-1 All Habitats'!B44</f>
        <v>Lakes - Moderate alkalinity lakes</v>
      </c>
    </row>
    <row r="42" spans="1:4" x14ac:dyDescent="0.35">
      <c r="A42" s="400" t="s">
        <v>1152</v>
      </c>
      <c r="D42" s="400" t="str">
        <f>'G-1 All Habitats'!B45</f>
        <v>Lakes - Peat lakes</v>
      </c>
    </row>
    <row r="43" spans="1:4" x14ac:dyDescent="0.35">
      <c r="A43" s="400" t="s">
        <v>1153</v>
      </c>
      <c r="D43" s="400" t="str">
        <f>'G-1 All Habitats'!B46</f>
        <v>Lakes - Ponds (priority habitat)</v>
      </c>
    </row>
    <row r="44" spans="1:4" x14ac:dyDescent="0.35">
      <c r="A44" s="400" t="s">
        <v>1154</v>
      </c>
      <c r="D44" s="400" t="str">
        <f>'G-1 All Habitats'!B47</f>
        <v>Lakes - Ponds (non-priority habitat)</v>
      </c>
    </row>
    <row r="45" spans="1:4" x14ac:dyDescent="0.35">
      <c r="A45" s="400" t="s">
        <v>1155</v>
      </c>
      <c r="D45" s="400" t="str">
        <f>'G-1 All Habitats'!B48</f>
        <v>Lakes - Reservoirs</v>
      </c>
    </row>
    <row r="46" spans="1:4" x14ac:dyDescent="0.35">
      <c r="A46" s="400" t="s">
        <v>1156</v>
      </c>
      <c r="D46" s="400" t="str">
        <f>'G-1 All Habitats'!B49</f>
        <v>Lakes - Temporary lakes ponds and pools (H3170)</v>
      </c>
    </row>
    <row r="47" spans="1:4" x14ac:dyDescent="0.35">
      <c r="A47" s="400" t="s">
        <v>1157</v>
      </c>
      <c r="D47" s="400" t="str">
        <f>'G-1 All Habitats'!B50</f>
        <v>Sparsely vegetated land - Calaminarian grasslands</v>
      </c>
    </row>
    <row r="48" spans="1:4" x14ac:dyDescent="0.35">
      <c r="A48" s="400" t="s">
        <v>1158</v>
      </c>
      <c r="D48" s="400" t="str">
        <f>'G-1 All Habitats'!B51</f>
        <v>Sparsely vegetated land - Coastal sand dunes</v>
      </c>
    </row>
    <row r="49" spans="1:4" x14ac:dyDescent="0.35">
      <c r="A49" s="400" t="s">
        <v>1159</v>
      </c>
      <c r="D49" s="400" t="str">
        <f>'G-1 All Habitats'!B52</f>
        <v>Sparsely vegetated land - Coastal vegetated shingle</v>
      </c>
    </row>
    <row r="50" spans="1:4" x14ac:dyDescent="0.35">
      <c r="A50" s="400" t="s">
        <v>1160</v>
      </c>
      <c r="D50" s="400" t="str">
        <f>'G-1 All Habitats'!B53</f>
        <v>Sparsely vegetated land - Ruderal/Ephemeral</v>
      </c>
    </row>
    <row r="51" spans="1:4" x14ac:dyDescent="0.35">
      <c r="A51" s="400" t="s">
        <v>1161</v>
      </c>
      <c r="D51" s="400" t="str">
        <f>'G-1 All Habitats'!B55</f>
        <v>Sparsely vegetated land - Inland rock outcrop and scree habitats</v>
      </c>
    </row>
    <row r="52" spans="1:4" x14ac:dyDescent="0.35">
      <c r="A52" s="400" t="s">
        <v>1162</v>
      </c>
      <c r="D52" s="400" t="str">
        <f>'G-1 All Habitats'!B56</f>
        <v>Sparsely vegetated land - Limestone pavement</v>
      </c>
    </row>
    <row r="53" spans="1:4" x14ac:dyDescent="0.35">
      <c r="A53" s="400" t="s">
        <v>1163</v>
      </c>
      <c r="D53" s="400" t="str">
        <f>'G-1 All Habitats'!B57</f>
        <v>Sparsely vegetated land - Maritime cliff and slopes</v>
      </c>
    </row>
    <row r="54" spans="1:4" x14ac:dyDescent="0.35">
      <c r="A54" s="400" t="s">
        <v>1164</v>
      </c>
      <c r="D54" s="400" t="str">
        <f>'G-1 All Habitats'!B58</f>
        <v>Sparsely vegetated land - Other inland rock and scree</v>
      </c>
    </row>
    <row r="55" spans="1:4" x14ac:dyDescent="0.35">
      <c r="A55" s="400" t="s">
        <v>1165</v>
      </c>
      <c r="D55" s="400" t="str">
        <f>'G-1 All Habitats'!B59</f>
        <v>Urban - Allotments</v>
      </c>
    </row>
    <row r="56" spans="1:4" x14ac:dyDescent="0.35">
      <c r="A56" s="400" t="s">
        <v>1166</v>
      </c>
      <c r="D56" s="400" t="str">
        <f>'G-1 All Habitats'!B40</f>
        <v>Lakes - Ornamental lake or pond</v>
      </c>
    </row>
    <row r="57" spans="1:4" x14ac:dyDescent="0.35">
      <c r="A57" s="400" t="s">
        <v>1167</v>
      </c>
      <c r="D57" s="400" t="str">
        <f>'G-1 All Habitats'!B60</f>
        <v>Urban - Artificial unvegetated, unsealed surface</v>
      </c>
    </row>
    <row r="58" spans="1:4" x14ac:dyDescent="0.35">
      <c r="A58" s="400" t="s">
        <v>1168</v>
      </c>
      <c r="D58" s="400" t="str">
        <f>'G-1 All Habitats'!B61</f>
        <v>Urban - Bioswale</v>
      </c>
    </row>
    <row r="59" spans="1:4" x14ac:dyDescent="0.35">
      <c r="A59" s="400" t="s">
        <v>1169</v>
      </c>
      <c r="D59" s="400" t="str">
        <f>'G-1 All Habitats'!B62</f>
        <v>Urban - Intensive green roof</v>
      </c>
    </row>
    <row r="60" spans="1:4" x14ac:dyDescent="0.35">
      <c r="A60" s="400" t="s">
        <v>1170</v>
      </c>
      <c r="D60" s="400" t="str">
        <f>'G-1 All Habitats'!B63</f>
        <v>Urban - Built linear features</v>
      </c>
    </row>
    <row r="61" spans="1:4" x14ac:dyDescent="0.35">
      <c r="A61" s="400" t="s">
        <v>1171</v>
      </c>
      <c r="D61" s="400" t="str">
        <f>'G-1 All Habitats'!B64</f>
        <v>Urban - Cemeteries and churchyards</v>
      </c>
    </row>
    <row r="62" spans="1:4" x14ac:dyDescent="0.35">
      <c r="A62" s="400" t="s">
        <v>1172</v>
      </c>
      <c r="D62" s="400" t="str">
        <f>'G-1 All Habitats'!B65</f>
        <v>Urban - Developed land; sealed surface</v>
      </c>
    </row>
    <row r="63" spans="1:4" x14ac:dyDescent="0.35">
      <c r="A63" s="400" t="s">
        <v>1173</v>
      </c>
      <c r="D63" s="400" t="str">
        <f>'G-1 All Habitats'!B66</f>
        <v>Urban - Other green roof</v>
      </c>
    </row>
    <row r="64" spans="1:4" x14ac:dyDescent="0.35">
      <c r="A64" s="400" t="s">
        <v>1174</v>
      </c>
      <c r="D64" s="400" t="str">
        <f>'G-1 All Habitats'!B67</f>
        <v>Urban - Facade-bound green wall</v>
      </c>
    </row>
    <row r="65" spans="1:4" x14ac:dyDescent="0.35">
      <c r="A65" s="400" t="s">
        <v>1175</v>
      </c>
      <c r="D65" s="400" t="str">
        <f>'G-1 All Habitats'!B68</f>
        <v>Urban - Ground based green wall</v>
      </c>
    </row>
    <row r="66" spans="1:4" x14ac:dyDescent="0.35">
      <c r="A66" s="400" t="s">
        <v>1176</v>
      </c>
      <c r="D66" s="400" t="str">
        <f>'G-1 All Habitats'!B69</f>
        <v>Urban - Ground level planters</v>
      </c>
    </row>
    <row r="67" spans="1:4" x14ac:dyDescent="0.35">
      <c r="A67" s="400" t="s">
        <v>1177</v>
      </c>
      <c r="D67" s="400" t="str">
        <f>'G-1 All Habitats'!B70</f>
        <v>Urban - Biodiverse green roof</v>
      </c>
    </row>
    <row r="68" spans="1:4" x14ac:dyDescent="0.35">
      <c r="A68" s="400" t="s">
        <v>1178</v>
      </c>
      <c r="D68" s="400" t="str">
        <f>'G-1 All Habitats'!B71</f>
        <v>Urban - Introduced shrub</v>
      </c>
    </row>
    <row r="69" spans="1:4" x14ac:dyDescent="0.35">
      <c r="A69" s="400" t="s">
        <v>1179</v>
      </c>
      <c r="D69" s="400" t="str">
        <f>'G-1 All Habitats'!B72</f>
        <v>Urban - Open mosaic habitats on previously developed land</v>
      </c>
    </row>
    <row r="70" spans="1:4" x14ac:dyDescent="0.35">
      <c r="A70" s="400" t="s">
        <v>1180</v>
      </c>
      <c r="D70" s="400" t="str">
        <f>'G-1 All Habitats'!B73</f>
        <v>Urban - Rain garden</v>
      </c>
    </row>
    <row r="71" spans="1:4" x14ac:dyDescent="0.35">
      <c r="A71" s="400" t="s">
        <v>1181</v>
      </c>
      <c r="D71" s="400" t="str">
        <f>'G-1 All Habitats'!B74</f>
        <v>Urban - Actively worked sand pit quarry or open cast mine</v>
      </c>
    </row>
    <row r="72" spans="1:4" x14ac:dyDescent="0.35">
      <c r="A72" s="400" t="s">
        <v>1182</v>
      </c>
      <c r="D72" s="400" t="str">
        <f>'G-1 All Habitats'!B80</f>
        <v>Individual trees - Urban tree</v>
      </c>
    </row>
    <row r="73" spans="1:4" x14ac:dyDescent="0.35">
      <c r="A73" s="400" t="s">
        <v>1183</v>
      </c>
      <c r="D73" s="400" t="str">
        <f>'G-1 All Habitats'!B75</f>
        <v>Urban - Sustainable drainage system</v>
      </c>
    </row>
    <row r="74" spans="1:4" x14ac:dyDescent="0.35">
      <c r="A74" s="400" t="s">
        <v>1184</v>
      </c>
      <c r="D74" s="400" t="str">
        <f>'G-1 All Habitats'!B76</f>
        <v>Urban - Unvegetated garden</v>
      </c>
    </row>
    <row r="75" spans="1:4" x14ac:dyDescent="0.35">
      <c r="A75" s="400" t="s">
        <v>1185</v>
      </c>
      <c r="D75" s="400" t="str">
        <f>'G-1 All Habitats'!B77</f>
        <v>Urban - Vacant or derelict land</v>
      </c>
    </row>
    <row r="76" spans="1:4" x14ac:dyDescent="0.35">
      <c r="A76" s="400" t="s">
        <v>1186</v>
      </c>
      <c r="D76" s="400" t="str">
        <f>'G-1 All Habitats'!B79</f>
        <v>Urban - Vegetated garden</v>
      </c>
    </row>
    <row r="77" spans="1:4" x14ac:dyDescent="0.35">
      <c r="A77" s="400" t="s">
        <v>1187</v>
      </c>
      <c r="D77" s="400" t="str">
        <f>'G-1 All Habitats'!B82</f>
        <v>Wetland - Blanket bog</v>
      </c>
    </row>
    <row r="78" spans="1:4" x14ac:dyDescent="0.35">
      <c r="A78" s="400" t="s">
        <v>1188</v>
      </c>
      <c r="D78" s="400" t="str">
        <f>'G-1 All Habitats'!B83</f>
        <v>Wetland - Depressions on peat substrates (H7150)</v>
      </c>
    </row>
    <row r="79" spans="1:4" x14ac:dyDescent="0.35">
      <c r="A79" s="400" t="s">
        <v>1189</v>
      </c>
      <c r="D79" s="400" t="str">
        <f>'G-1 All Habitats'!B84</f>
        <v>Wetland - Fens (upland and lowland)</v>
      </c>
    </row>
    <row r="80" spans="1:4" x14ac:dyDescent="0.35">
      <c r="A80" s="400" t="s">
        <v>1190</v>
      </c>
      <c r="D80" s="400" t="str">
        <f>'G-1 All Habitats'!B85</f>
        <v>Wetland - Lowland raised bog</v>
      </c>
    </row>
    <row r="81" spans="1:4" x14ac:dyDescent="0.35">
      <c r="A81" s="400" t="s">
        <v>1191</v>
      </c>
      <c r="D81" s="400" t="str">
        <f>'G-1 All Habitats'!B86</f>
        <v>Wetland - Oceanic valley mire[1] (D2.1)</v>
      </c>
    </row>
    <row r="82" spans="1:4" x14ac:dyDescent="0.35">
      <c r="A82" s="400" t="s">
        <v>1192</v>
      </c>
      <c r="D82" s="400" t="str">
        <f>'G-1 All Habitats'!B87</f>
        <v>Wetland - Purple moor grass and rush pastures</v>
      </c>
    </row>
    <row r="83" spans="1:4" x14ac:dyDescent="0.35">
      <c r="A83" s="400" t="s">
        <v>1193</v>
      </c>
      <c r="D83" s="400" t="str">
        <f>'G-1 All Habitats'!B88</f>
        <v>Wetland - Reedbeds</v>
      </c>
    </row>
    <row r="84" spans="1:4" x14ac:dyDescent="0.35">
      <c r="A84" s="400" t="s">
        <v>1194</v>
      </c>
      <c r="D84" s="400" t="str">
        <f>'G-1 All Habitats'!B89</f>
        <v>Wetland - Transition mires and quaking bogs (H7140)</v>
      </c>
    </row>
    <row r="85" spans="1:4" x14ac:dyDescent="0.35">
      <c r="A85" s="400" t="s">
        <v>1195</v>
      </c>
      <c r="D85" s="400" t="str">
        <f>'G-1 All Habitats'!B90</f>
        <v>Woodland and forest - Felled</v>
      </c>
    </row>
    <row r="86" spans="1:4" x14ac:dyDescent="0.35">
      <c r="A86" s="400" t="s">
        <v>1196</v>
      </c>
      <c r="D86" s="400" t="str">
        <f>'G-1 All Habitats'!B91</f>
        <v>Woodland and forest - Lowland beech and yew woodland</v>
      </c>
    </row>
    <row r="87" spans="1:4" x14ac:dyDescent="0.35">
      <c r="A87" s="400" t="s">
        <v>1197</v>
      </c>
      <c r="D87" s="400" t="str">
        <f>'G-1 All Habitats'!B92</f>
        <v>Woodland and forest - Lowland mixed deciduous woodland</v>
      </c>
    </row>
    <row r="88" spans="1:4" x14ac:dyDescent="0.35">
      <c r="A88" s="400" t="s">
        <v>1198</v>
      </c>
      <c r="D88" s="400" t="str">
        <f>'G-1 All Habitats'!B93</f>
        <v>Woodland and forest - Native pine woodlands</v>
      </c>
    </row>
    <row r="89" spans="1:4" x14ac:dyDescent="0.35">
      <c r="A89" s="400" t="s">
        <v>1199</v>
      </c>
      <c r="D89" s="400" t="str">
        <f>'G-1 All Habitats'!B94</f>
        <v>Woodland and forest - Other coniferous woodland</v>
      </c>
    </row>
    <row r="90" spans="1:4" x14ac:dyDescent="0.35">
      <c r="A90" s="400" t="s">
        <v>1200</v>
      </c>
      <c r="D90" s="400" t="str">
        <f>'G-1 All Habitats'!B95</f>
        <v>Woodland and forest - Other Scot's pine woodland</v>
      </c>
    </row>
    <row r="91" spans="1:4" x14ac:dyDescent="0.35">
      <c r="A91" s="400" t="s">
        <v>1201</v>
      </c>
      <c r="D91" s="400" t="str">
        <f>'G-1 All Habitats'!B96</f>
        <v>Woodland and forest - Other woodland; broadleaved</v>
      </c>
    </row>
    <row r="92" spans="1:4" x14ac:dyDescent="0.35">
      <c r="A92" s="400" t="s">
        <v>1202</v>
      </c>
      <c r="D92" s="400" t="str">
        <f>'G-1 All Habitats'!B97</f>
        <v>Woodland and forest - Other woodland; mixed</v>
      </c>
    </row>
    <row r="93" spans="1:4" x14ac:dyDescent="0.35">
      <c r="A93" s="400" t="s">
        <v>1203</v>
      </c>
      <c r="D93" s="400" t="str">
        <f>'G-1 All Habitats'!B98</f>
        <v>Woodland and forest - Upland birchwoods</v>
      </c>
    </row>
    <row r="94" spans="1:4" x14ac:dyDescent="0.35">
      <c r="A94" s="400" t="s">
        <v>1204</v>
      </c>
      <c r="D94" s="400" t="str">
        <f>'G-1 All Habitats'!B99</f>
        <v>Woodland and forest - Upland mixed ashwoods</v>
      </c>
    </row>
    <row r="95" spans="1:4" x14ac:dyDescent="0.35">
      <c r="A95" s="400" t="s">
        <v>1205</v>
      </c>
      <c r="D95" s="400" t="str">
        <f>'G-1 All Habitats'!B100</f>
        <v>Woodland and forest - Upland oakwood</v>
      </c>
    </row>
    <row r="96" spans="1:4" x14ac:dyDescent="0.35">
      <c r="A96" s="400" t="s">
        <v>1206</v>
      </c>
      <c r="D96" s="400" t="str">
        <f>'G-1 All Habitats'!B101</f>
        <v>Woodland and forest - Wet woodland</v>
      </c>
    </row>
    <row r="97" spans="1:4" x14ac:dyDescent="0.35">
      <c r="A97" s="400" t="s">
        <v>1207</v>
      </c>
      <c r="D97" s="400" t="str">
        <f>'G-1 All Habitats'!B102</f>
        <v>Woodland and forest - Wood-pasture and parkland</v>
      </c>
    </row>
    <row r="98" spans="1:4" x14ac:dyDescent="0.35">
      <c r="A98" s="400" t="s">
        <v>1208</v>
      </c>
      <c r="D98" s="400" t="str">
        <f>'G-1 All Habitats'!B104</f>
        <v>Coastal lagoons - Coastal lagoons</v>
      </c>
    </row>
    <row r="99" spans="1:4" x14ac:dyDescent="0.35">
      <c r="A99" s="400" t="s">
        <v>1209</v>
      </c>
      <c r="D99" s="400" t="str">
        <f>'G-1 All Habitats'!B105</f>
        <v>Rocky shore - High energy littoral rock</v>
      </c>
    </row>
    <row r="100" spans="1:4" x14ac:dyDescent="0.35">
      <c r="A100" s="400" t="s">
        <v>1210</v>
      </c>
      <c r="D100" s="400" t="str">
        <f>'G-1 All Habitats'!B106</f>
        <v>Rocky shore - High energy littoral rock - on peat, clay or chalk</v>
      </c>
    </row>
    <row r="101" spans="1:4" x14ac:dyDescent="0.35">
      <c r="A101" s="400" t="s">
        <v>1211</v>
      </c>
      <c r="D101" s="400" t="str">
        <f>'G-1 All Habitats'!B107</f>
        <v>Rocky shore - Moderate energy littoral rock</v>
      </c>
    </row>
    <row r="102" spans="1:4" x14ac:dyDescent="0.35">
      <c r="A102" s="400" t="s">
        <v>1212</v>
      </c>
      <c r="D102" s="400" t="str">
        <f>'G-1 All Habitats'!B108</f>
        <v>Rocky shore - Moderate energy littoral rock - on peat, clay or chalk</v>
      </c>
    </row>
    <row r="103" spans="1:4" x14ac:dyDescent="0.35">
      <c r="A103" s="400" t="s">
        <v>1213</v>
      </c>
      <c r="D103" s="400" t="str">
        <f>'G-1 All Habitats'!B109</f>
        <v>Rocky shore - Low energy littoral rock</v>
      </c>
    </row>
    <row r="104" spans="1:4" x14ac:dyDescent="0.35">
      <c r="A104" s="400" t="s">
        <v>1214</v>
      </c>
      <c r="D104" s="400" t="str">
        <f>'G-1 All Habitats'!B110</f>
        <v>Rocky shore - Low energy littoral rock - on peat, clay or chalk</v>
      </c>
    </row>
    <row r="105" spans="1:4" x14ac:dyDescent="0.35">
      <c r="A105" s="400" t="s">
        <v>1215</v>
      </c>
      <c r="D105" s="400" t="str">
        <f>'G-1 All Habitats'!B111</f>
        <v>Rocky shore - Features of littoral rock</v>
      </c>
    </row>
    <row r="106" spans="1:4" x14ac:dyDescent="0.35">
      <c r="A106" s="400" t="s">
        <v>1216</v>
      </c>
      <c r="D106" s="400" t="str">
        <f>'G-1 All Habitats'!B112</f>
        <v>Rocky shore - Features of littoral rock - on peat, clay or chalk</v>
      </c>
    </row>
    <row r="107" spans="1:4" x14ac:dyDescent="0.35">
      <c r="A107" s="400" t="s">
        <v>1217</v>
      </c>
      <c r="D107" s="400" t="str">
        <f>'G-1 All Habitats'!B115</f>
        <v>Intertidal sediment - Littoral coarse sediment</v>
      </c>
    </row>
    <row r="108" spans="1:4" x14ac:dyDescent="0.35">
      <c r="A108" s="400" t="s">
        <v>1218</v>
      </c>
      <c r="D108" s="400" t="str">
        <f>'G-1 All Habitats'!B116</f>
        <v>Intertidal sediment - Littoral mud</v>
      </c>
    </row>
    <row r="109" spans="1:4" x14ac:dyDescent="0.35">
      <c r="A109" s="400" t="s">
        <v>1219</v>
      </c>
      <c r="D109" s="400" t="str">
        <f>'G-1 All Habitats'!B117</f>
        <v>Intertidal sediment - Littoral mixed sediments</v>
      </c>
    </row>
    <row r="110" spans="1:4" x14ac:dyDescent="0.35">
      <c r="A110" s="400" t="s">
        <v>1220</v>
      </c>
      <c r="D110" s="400" t="str">
        <f>'G-1 All Habitats'!B113</f>
        <v>Coastal saltmarsh - Saltmarshes and saline reedbeds</v>
      </c>
    </row>
    <row r="111" spans="1:4" x14ac:dyDescent="0.35">
      <c r="A111" s="400" t="s">
        <v>1221</v>
      </c>
      <c r="D111" s="400" t="str">
        <f>'G-1 All Habitats'!B118</f>
        <v>Intertidal sediment - Littoral seagrass</v>
      </c>
    </row>
    <row r="112" spans="1:4" x14ac:dyDescent="0.35">
      <c r="A112" s="400" t="s">
        <v>1222</v>
      </c>
      <c r="D112" s="400" t="str">
        <f>'G-1 All Habitats'!B119</f>
        <v>Intertidal sediment - Littoral seagrass on peat, clay or chalk</v>
      </c>
    </row>
    <row r="113" spans="1:4" x14ac:dyDescent="0.35">
      <c r="A113" s="400" t="s">
        <v>1223</v>
      </c>
      <c r="D113" s="400" t="str">
        <f>'G-1 All Habitats'!B121</f>
        <v>Intertidal sediment - Littoral biogenic reefs - Sabellaria</v>
      </c>
    </row>
    <row r="114" spans="1:4" x14ac:dyDescent="0.35">
      <c r="A114" s="400" t="s">
        <v>1224</v>
      </c>
      <c r="D114" s="400" t="str">
        <f>'G-1 All Habitats'!B122</f>
        <v>Intertidal sediment - Features of littoral sediment</v>
      </c>
    </row>
    <row r="115" spans="1:4" x14ac:dyDescent="0.35">
      <c r="A115" s="400" t="s">
        <v>1225</v>
      </c>
      <c r="D115" s="400" t="str">
        <f>'G-1 All Habitats'!B123</f>
        <v>Intertidal sediment - Artificial littoral coarse sediment</v>
      </c>
    </row>
    <row r="116" spans="1:4" x14ac:dyDescent="0.35">
      <c r="A116" s="400" t="s">
        <v>1226</v>
      </c>
      <c r="D116" s="400" t="str">
        <f>'G-1 All Habitats'!B126</f>
        <v>Intertidal sediment - Artificial littoral muddy sand</v>
      </c>
    </row>
    <row r="117" spans="1:4" x14ac:dyDescent="0.35">
      <c r="A117" s="400" t="s">
        <v>1227</v>
      </c>
      <c r="D117" s="400" t="str">
        <f>'G-1 All Habitats'!B127</f>
        <v>Intertidal sediment - Artificial littoral mixed sediments</v>
      </c>
    </row>
    <row r="118" spans="1:4" x14ac:dyDescent="0.35">
      <c r="A118" s="400" t="s">
        <v>1228</v>
      </c>
      <c r="D118" s="400" t="str">
        <f>'G-1 All Habitats'!B128</f>
        <v>Intertidal sediment - Artificial littoral seagrass</v>
      </c>
    </row>
    <row r="119" spans="1:4" x14ac:dyDescent="0.35">
      <c r="A119" s="400" t="s">
        <v>1229</v>
      </c>
      <c r="D119" s="400" t="str">
        <f>'G-1 All Habitats'!B129</f>
        <v>Intertidal sediment - Artificial littoral biogenic reefs</v>
      </c>
    </row>
    <row r="120" spans="1:4" x14ac:dyDescent="0.35">
      <c r="A120" s="400" t="s">
        <v>1230</v>
      </c>
      <c r="D120" s="400" t="str">
        <f>'G-1 All Habitats'!B81</f>
        <v>Individual trees - Rural tree</v>
      </c>
    </row>
    <row r="121" spans="1:4" x14ac:dyDescent="0.35">
      <c r="A121" s="400" t="s">
        <v>1231</v>
      </c>
      <c r="D121" s="400">
        <f>'G-1 All Habitats'!B136</f>
        <v>0</v>
      </c>
    </row>
    <row r="122" spans="1:4" x14ac:dyDescent="0.35">
      <c r="A122" s="400" t="s">
        <v>1232</v>
      </c>
      <c r="D122" s="400">
        <f>'G-1 All Habitats'!B137</f>
        <v>0</v>
      </c>
    </row>
    <row r="123" spans="1:4" x14ac:dyDescent="0.35">
      <c r="A123" s="400" t="s">
        <v>1233</v>
      </c>
      <c r="D123" s="400">
        <f>'G-1 All Habitats'!B138</f>
        <v>0</v>
      </c>
    </row>
    <row r="124" spans="1:4" x14ac:dyDescent="0.35">
      <c r="A124" s="400" t="s">
        <v>1234</v>
      </c>
      <c r="D124" s="400">
        <f>'G-1 All Habitats'!B139</f>
        <v>0</v>
      </c>
    </row>
    <row r="125" spans="1:4" x14ac:dyDescent="0.35">
      <c r="A125" s="400" t="s">
        <v>1235</v>
      </c>
      <c r="D125" s="400">
        <f>'G-1 All Habitats'!B140</f>
        <v>0</v>
      </c>
    </row>
    <row r="126" spans="1:4" x14ac:dyDescent="0.35">
      <c r="A126" s="400" t="s">
        <v>1236</v>
      </c>
      <c r="D126" s="400">
        <f>'G-1 All Habitats'!B141</f>
        <v>0</v>
      </c>
    </row>
    <row r="127" spans="1:4" x14ac:dyDescent="0.35">
      <c r="A127" s="400" t="s">
        <v>1237</v>
      </c>
      <c r="D127" s="400">
        <f>'G-1 All Habitats'!B142</f>
        <v>0</v>
      </c>
    </row>
    <row r="128" spans="1:4" x14ac:dyDescent="0.35">
      <c r="A128" s="400" t="s">
        <v>1238</v>
      </c>
      <c r="D128" s="400">
        <f>'G-1 All Habitats'!B143</f>
        <v>0</v>
      </c>
    </row>
    <row r="129" spans="1:4" x14ac:dyDescent="0.35">
      <c r="A129" s="400" t="s">
        <v>1239</v>
      </c>
      <c r="D129" s="400">
        <f>'G-1 All Habitats'!B144</f>
        <v>0</v>
      </c>
    </row>
    <row r="130" spans="1:4" x14ac:dyDescent="0.35">
      <c r="A130" s="400" t="s">
        <v>1240</v>
      </c>
      <c r="D130" s="400">
        <f>'G-1 All Habitats'!B145</f>
        <v>0</v>
      </c>
    </row>
    <row r="131" spans="1:4" x14ac:dyDescent="0.35">
      <c r="A131" s="400" t="s">
        <v>1241</v>
      </c>
      <c r="D131" s="400">
        <f>'G-1 All Habitats'!B146</f>
        <v>0</v>
      </c>
    </row>
    <row r="132" spans="1:4" x14ac:dyDescent="0.35">
      <c r="A132" s="400" t="s">
        <v>1242</v>
      </c>
      <c r="D132" s="400">
        <f>'G-1 All Habitats'!B147</f>
        <v>0</v>
      </c>
    </row>
    <row r="133" spans="1:4" x14ac:dyDescent="0.35">
      <c r="A133" s="400" t="s">
        <v>1243</v>
      </c>
      <c r="D133" s="400">
        <f>'G-1 All Habitats'!B148</f>
        <v>0</v>
      </c>
    </row>
    <row r="134" spans="1:4" x14ac:dyDescent="0.35">
      <c r="A134" s="400" t="s">
        <v>1244</v>
      </c>
      <c r="D134" s="400">
        <f>'G-1 All Habitats'!B149</f>
        <v>0</v>
      </c>
    </row>
    <row r="135" spans="1:4" x14ac:dyDescent="0.35">
      <c r="A135" s="400" t="s">
        <v>1245</v>
      </c>
      <c r="D135" s="400">
        <f>'G-1 All Habitats'!B150</f>
        <v>0</v>
      </c>
    </row>
    <row r="136" spans="1:4" x14ac:dyDescent="0.35">
      <c r="A136" s="400" t="s">
        <v>1246</v>
      </c>
      <c r="D136" s="400">
        <f>'G-1 All Habitats'!B151</f>
        <v>0</v>
      </c>
    </row>
    <row r="137" spans="1:4" x14ac:dyDescent="0.35">
      <c r="A137" s="400" t="s">
        <v>1247</v>
      </c>
      <c r="D137" s="400">
        <f>'G-1 All Habitats'!B152</f>
        <v>0</v>
      </c>
    </row>
    <row r="138" spans="1:4" x14ac:dyDescent="0.35">
      <c r="A138" s="400" t="s">
        <v>1248</v>
      </c>
      <c r="D138" s="400">
        <f>'G-1 All Habitats'!B153</f>
        <v>0</v>
      </c>
    </row>
    <row r="139" spans="1:4" x14ac:dyDescent="0.35">
      <c r="A139" s="400" t="s">
        <v>1249</v>
      </c>
      <c r="D139" s="400">
        <f>'G-1 All Habitats'!B154</f>
        <v>0</v>
      </c>
    </row>
    <row r="140" spans="1:4" x14ac:dyDescent="0.35">
      <c r="A140" s="400" t="s">
        <v>1250</v>
      </c>
      <c r="D140" s="400">
        <f>'G-1 All Habitats'!B155</f>
        <v>0</v>
      </c>
    </row>
    <row r="141" spans="1:4" x14ac:dyDescent="0.35">
      <c r="A141" s="400" t="s">
        <v>1251</v>
      </c>
    </row>
    <row r="142" spans="1:4" x14ac:dyDescent="0.35">
      <c r="A142" s="400" t="s">
        <v>1252</v>
      </c>
    </row>
    <row r="143" spans="1:4" x14ac:dyDescent="0.35">
      <c r="A143" s="400" t="s">
        <v>1253</v>
      </c>
    </row>
    <row r="144" spans="1:4" x14ac:dyDescent="0.35">
      <c r="A144" s="400" t="s">
        <v>1254</v>
      </c>
    </row>
    <row r="145" spans="1:1" x14ac:dyDescent="0.35">
      <c r="A145" s="400" t="s">
        <v>1255</v>
      </c>
    </row>
    <row r="146" spans="1:1" x14ac:dyDescent="0.35">
      <c r="A146" s="400" t="s">
        <v>1256</v>
      </c>
    </row>
    <row r="147" spans="1:1" x14ac:dyDescent="0.35">
      <c r="A147" s="400" t="s">
        <v>1257</v>
      </c>
    </row>
    <row r="148" spans="1:1" x14ac:dyDescent="0.35">
      <c r="A148" s="400" t="s">
        <v>1258</v>
      </c>
    </row>
    <row r="149" spans="1:1" x14ac:dyDescent="0.35">
      <c r="A149" s="400" t="s">
        <v>1259</v>
      </c>
    </row>
    <row r="150" spans="1:1" x14ac:dyDescent="0.35">
      <c r="A150" s="400" t="s">
        <v>1260</v>
      </c>
    </row>
    <row r="151" spans="1:1" x14ac:dyDescent="0.35">
      <c r="A151" s="400" t="s">
        <v>1261</v>
      </c>
    </row>
    <row r="152" spans="1:1" x14ac:dyDescent="0.35">
      <c r="A152" s="400" t="s">
        <v>1262</v>
      </c>
    </row>
    <row r="153" spans="1:1" x14ac:dyDescent="0.35">
      <c r="A153" s="400" t="s">
        <v>1263</v>
      </c>
    </row>
    <row r="154" spans="1:1" x14ac:dyDescent="0.35">
      <c r="A154" s="400" t="s">
        <v>1264</v>
      </c>
    </row>
    <row r="155" spans="1:1" x14ac:dyDescent="0.35">
      <c r="A155" s="400" t="s">
        <v>1265</v>
      </c>
    </row>
    <row r="156" spans="1:1" x14ac:dyDescent="0.35">
      <c r="A156" s="400" t="s">
        <v>1266</v>
      </c>
    </row>
    <row r="157" spans="1:1" x14ac:dyDescent="0.35">
      <c r="A157" s="400" t="s">
        <v>1267</v>
      </c>
    </row>
    <row r="158" spans="1:1" x14ac:dyDescent="0.35">
      <c r="A158" s="400" t="s">
        <v>1268</v>
      </c>
    </row>
    <row r="159" spans="1:1" x14ac:dyDescent="0.35">
      <c r="A159" s="400" t="s">
        <v>1269</v>
      </c>
    </row>
    <row r="160" spans="1:1" x14ac:dyDescent="0.35">
      <c r="A160" s="400" t="s">
        <v>1270</v>
      </c>
    </row>
    <row r="161" spans="1:1" x14ac:dyDescent="0.35">
      <c r="A161" s="400" t="s">
        <v>1271</v>
      </c>
    </row>
    <row r="162" spans="1:1" x14ac:dyDescent="0.35">
      <c r="A162" s="400" t="s">
        <v>1272</v>
      </c>
    </row>
    <row r="163" spans="1:1" x14ac:dyDescent="0.35">
      <c r="A163" s="400" t="s">
        <v>1273</v>
      </c>
    </row>
    <row r="164" spans="1:1" x14ac:dyDescent="0.35">
      <c r="A164" s="400" t="s">
        <v>1274</v>
      </c>
    </row>
    <row r="165" spans="1:1" x14ac:dyDescent="0.35">
      <c r="A165" s="400" t="s">
        <v>1275</v>
      </c>
    </row>
    <row r="166" spans="1:1" x14ac:dyDescent="0.35">
      <c r="A166" s="400" t="s">
        <v>1276</v>
      </c>
    </row>
    <row r="167" spans="1:1" x14ac:dyDescent="0.35">
      <c r="A167" s="400" t="s">
        <v>1277</v>
      </c>
    </row>
    <row r="168" spans="1:1" x14ac:dyDescent="0.35">
      <c r="A168" s="400" t="s">
        <v>1278</v>
      </c>
    </row>
    <row r="169" spans="1:1" x14ac:dyDescent="0.35">
      <c r="A169" s="400" t="s">
        <v>1279</v>
      </c>
    </row>
    <row r="170" spans="1:1" x14ac:dyDescent="0.35">
      <c r="A170" s="400" t="s">
        <v>1280</v>
      </c>
    </row>
    <row r="171" spans="1:1" x14ac:dyDescent="0.35">
      <c r="A171" s="400" t="s">
        <v>1281</v>
      </c>
    </row>
    <row r="172" spans="1:1" x14ac:dyDescent="0.35">
      <c r="A172" s="400" t="s">
        <v>1282</v>
      </c>
    </row>
    <row r="173" spans="1:1" x14ac:dyDescent="0.35">
      <c r="A173" s="400" t="s">
        <v>1283</v>
      </c>
    </row>
    <row r="174" spans="1:1" x14ac:dyDescent="0.35">
      <c r="A174" s="400" t="s">
        <v>1284</v>
      </c>
    </row>
    <row r="175" spans="1:1" x14ac:dyDescent="0.35">
      <c r="A175" s="400" t="s">
        <v>1285</v>
      </c>
    </row>
    <row r="176" spans="1:1" x14ac:dyDescent="0.35">
      <c r="A176" s="400" t="s">
        <v>1286</v>
      </c>
    </row>
    <row r="177" spans="1:1" x14ac:dyDescent="0.35">
      <c r="A177" s="400" t="s">
        <v>1287</v>
      </c>
    </row>
    <row r="178" spans="1:1" x14ac:dyDescent="0.35">
      <c r="A178" s="400" t="s">
        <v>1288</v>
      </c>
    </row>
    <row r="179" spans="1:1" x14ac:dyDescent="0.35">
      <c r="A179" s="400" t="s">
        <v>1289</v>
      </c>
    </row>
    <row r="180" spans="1:1" x14ac:dyDescent="0.35">
      <c r="A180" s="400" t="s">
        <v>1290</v>
      </c>
    </row>
    <row r="181" spans="1:1" x14ac:dyDescent="0.35">
      <c r="A181" s="400" t="s">
        <v>1291</v>
      </c>
    </row>
    <row r="182" spans="1:1" x14ac:dyDescent="0.35">
      <c r="A182" s="400" t="s">
        <v>1292</v>
      </c>
    </row>
    <row r="183" spans="1:1" x14ac:dyDescent="0.35">
      <c r="A183" s="400" t="s">
        <v>1293</v>
      </c>
    </row>
    <row r="184" spans="1:1" x14ac:dyDescent="0.35">
      <c r="A184" s="400" t="s">
        <v>1294</v>
      </c>
    </row>
    <row r="185" spans="1:1" x14ac:dyDescent="0.35">
      <c r="A185" s="400" t="s">
        <v>1295</v>
      </c>
    </row>
    <row r="186" spans="1:1" x14ac:dyDescent="0.35">
      <c r="A186" s="400" t="s">
        <v>1296</v>
      </c>
    </row>
    <row r="187" spans="1:1" x14ac:dyDescent="0.35">
      <c r="A187" s="400" t="s">
        <v>1297</v>
      </c>
    </row>
    <row r="188" spans="1:1" x14ac:dyDescent="0.35">
      <c r="A188" s="400" t="s">
        <v>1298</v>
      </c>
    </row>
    <row r="189" spans="1:1" x14ac:dyDescent="0.35">
      <c r="A189" s="400" t="s">
        <v>1299</v>
      </c>
    </row>
    <row r="190" spans="1:1" x14ac:dyDescent="0.35">
      <c r="A190" s="400" t="s">
        <v>1300</v>
      </c>
    </row>
    <row r="191" spans="1:1" x14ac:dyDescent="0.35">
      <c r="A191" s="400" t="s">
        <v>1301</v>
      </c>
    </row>
    <row r="192" spans="1:1" x14ac:dyDescent="0.35">
      <c r="A192" s="400" t="s">
        <v>1302</v>
      </c>
    </row>
    <row r="193" spans="1:1" x14ac:dyDescent="0.35">
      <c r="A193" s="400" t="s">
        <v>1303</v>
      </c>
    </row>
    <row r="194" spans="1:1" x14ac:dyDescent="0.35">
      <c r="A194" s="400" t="s">
        <v>1304</v>
      </c>
    </row>
    <row r="195" spans="1:1" x14ac:dyDescent="0.35">
      <c r="A195" s="400" t="s">
        <v>1305</v>
      </c>
    </row>
    <row r="196" spans="1:1" x14ac:dyDescent="0.35">
      <c r="A196" s="400" t="s">
        <v>1306</v>
      </c>
    </row>
    <row r="197" spans="1:1" x14ac:dyDescent="0.35">
      <c r="A197" s="400" t="s">
        <v>1307</v>
      </c>
    </row>
    <row r="198" spans="1:1" x14ac:dyDescent="0.35">
      <c r="A198" s="400" t="s">
        <v>1308</v>
      </c>
    </row>
    <row r="199" spans="1:1" x14ac:dyDescent="0.35">
      <c r="A199" s="400" t="s">
        <v>1309</v>
      </c>
    </row>
    <row r="200" spans="1:1" x14ac:dyDescent="0.35">
      <c r="A200" s="400" t="s">
        <v>1310</v>
      </c>
    </row>
    <row r="201" spans="1:1" x14ac:dyDescent="0.35">
      <c r="A201" s="400" t="s">
        <v>1311</v>
      </c>
    </row>
    <row r="202" spans="1:1" x14ac:dyDescent="0.35">
      <c r="A202" s="400" t="s">
        <v>1312</v>
      </c>
    </row>
    <row r="203" spans="1:1" x14ac:dyDescent="0.35">
      <c r="A203" s="400" t="s">
        <v>1313</v>
      </c>
    </row>
    <row r="204" spans="1:1" x14ac:dyDescent="0.35">
      <c r="A204" s="400" t="s">
        <v>1314</v>
      </c>
    </row>
    <row r="205" spans="1:1" x14ac:dyDescent="0.35">
      <c r="A205" s="400" t="s">
        <v>1315</v>
      </c>
    </row>
    <row r="206" spans="1:1" x14ac:dyDescent="0.35">
      <c r="A206" s="400" t="s">
        <v>1316</v>
      </c>
    </row>
    <row r="207" spans="1:1" x14ac:dyDescent="0.35">
      <c r="A207" s="400" t="s">
        <v>1317</v>
      </c>
    </row>
    <row r="208" spans="1:1" x14ac:dyDescent="0.35">
      <c r="A208" s="400" t="s">
        <v>1318</v>
      </c>
    </row>
    <row r="209" spans="1:1" x14ac:dyDescent="0.35">
      <c r="A209" s="400" t="s">
        <v>1319</v>
      </c>
    </row>
    <row r="210" spans="1:1" x14ac:dyDescent="0.35">
      <c r="A210" s="400" t="s">
        <v>1320</v>
      </c>
    </row>
    <row r="211" spans="1:1" x14ac:dyDescent="0.35">
      <c r="A211" s="400" t="s">
        <v>1321</v>
      </c>
    </row>
    <row r="212" spans="1:1" x14ac:dyDescent="0.35">
      <c r="A212" s="400" t="s">
        <v>1322</v>
      </c>
    </row>
    <row r="213" spans="1:1" x14ac:dyDescent="0.35">
      <c r="A213" s="400" t="s">
        <v>1323</v>
      </c>
    </row>
    <row r="214" spans="1:1" x14ac:dyDescent="0.35">
      <c r="A214" s="400" t="s">
        <v>1324</v>
      </c>
    </row>
    <row r="215" spans="1:1" x14ac:dyDescent="0.35">
      <c r="A215" s="400" t="s">
        <v>1325</v>
      </c>
    </row>
    <row r="216" spans="1:1" x14ac:dyDescent="0.35">
      <c r="A216" s="400" t="s">
        <v>1326</v>
      </c>
    </row>
    <row r="217" spans="1:1" x14ac:dyDescent="0.35">
      <c r="A217" s="400" t="s">
        <v>1327</v>
      </c>
    </row>
    <row r="218" spans="1:1" x14ac:dyDescent="0.35">
      <c r="A218" s="400" t="s">
        <v>1328</v>
      </c>
    </row>
    <row r="219" spans="1:1" x14ac:dyDescent="0.35">
      <c r="A219" s="400" t="s">
        <v>1329</v>
      </c>
    </row>
    <row r="220" spans="1:1" x14ac:dyDescent="0.35">
      <c r="A220" s="400" t="s">
        <v>1330</v>
      </c>
    </row>
    <row r="221" spans="1:1" x14ac:dyDescent="0.35">
      <c r="A221" s="400" t="s">
        <v>1331</v>
      </c>
    </row>
    <row r="222" spans="1:1" x14ac:dyDescent="0.35">
      <c r="A222" s="400" t="s">
        <v>1332</v>
      </c>
    </row>
    <row r="223" spans="1:1" x14ac:dyDescent="0.35">
      <c r="A223" s="400" t="s">
        <v>1333</v>
      </c>
    </row>
    <row r="224" spans="1:1" x14ac:dyDescent="0.35">
      <c r="A224" s="400" t="s">
        <v>1334</v>
      </c>
    </row>
    <row r="225" spans="1:1" x14ac:dyDescent="0.35">
      <c r="A225" s="400" t="s">
        <v>1335</v>
      </c>
    </row>
    <row r="226" spans="1:1" x14ac:dyDescent="0.35">
      <c r="A226" s="400" t="s">
        <v>1336</v>
      </c>
    </row>
    <row r="227" spans="1:1" x14ac:dyDescent="0.35">
      <c r="A227" s="400" t="s">
        <v>1337</v>
      </c>
    </row>
    <row r="228" spans="1:1" x14ac:dyDescent="0.35">
      <c r="A228" s="400" t="s">
        <v>1338</v>
      </c>
    </row>
    <row r="229" spans="1:1" x14ac:dyDescent="0.35">
      <c r="A229" s="400" t="s">
        <v>1339</v>
      </c>
    </row>
    <row r="230" spans="1:1" x14ac:dyDescent="0.35">
      <c r="A230" s="400" t="s">
        <v>1340</v>
      </c>
    </row>
    <row r="231" spans="1:1" x14ac:dyDescent="0.35">
      <c r="A231" s="400" t="s">
        <v>1341</v>
      </c>
    </row>
    <row r="232" spans="1:1" x14ac:dyDescent="0.35">
      <c r="A232" s="400" t="s">
        <v>1342</v>
      </c>
    </row>
    <row r="233" spans="1:1" x14ac:dyDescent="0.35">
      <c r="A233" s="400" t="s">
        <v>1343</v>
      </c>
    </row>
    <row r="234" spans="1:1" x14ac:dyDescent="0.35">
      <c r="A234" s="400" t="s">
        <v>1344</v>
      </c>
    </row>
    <row r="235" spans="1:1" x14ac:dyDescent="0.35">
      <c r="A235" s="400" t="s">
        <v>1345</v>
      </c>
    </row>
    <row r="236" spans="1:1" x14ac:dyDescent="0.35">
      <c r="A236" s="400" t="s">
        <v>1346</v>
      </c>
    </row>
    <row r="237" spans="1:1" x14ac:dyDescent="0.35">
      <c r="A237" s="400" t="s">
        <v>1347</v>
      </c>
    </row>
    <row r="238" spans="1:1" x14ac:dyDescent="0.35">
      <c r="A238" s="400" t="s">
        <v>1348</v>
      </c>
    </row>
    <row r="239" spans="1:1" x14ac:dyDescent="0.35">
      <c r="A239" s="400" t="s">
        <v>1349</v>
      </c>
    </row>
    <row r="240" spans="1:1" x14ac:dyDescent="0.35">
      <c r="A240" s="400" t="s">
        <v>1350</v>
      </c>
    </row>
    <row r="241" spans="1:1" x14ac:dyDescent="0.35">
      <c r="A241" s="400" t="s">
        <v>1351</v>
      </c>
    </row>
    <row r="242" spans="1:1" x14ac:dyDescent="0.35">
      <c r="A242" s="400" t="s">
        <v>1352</v>
      </c>
    </row>
    <row r="243" spans="1:1" x14ac:dyDescent="0.35">
      <c r="A243" s="400" t="s">
        <v>1353</v>
      </c>
    </row>
    <row r="244" spans="1:1" x14ac:dyDescent="0.35">
      <c r="A244" s="400" t="s">
        <v>1354</v>
      </c>
    </row>
    <row r="245" spans="1:1" x14ac:dyDescent="0.35">
      <c r="A245" s="400" t="s">
        <v>1355</v>
      </c>
    </row>
    <row r="246" spans="1:1" x14ac:dyDescent="0.35">
      <c r="A246" s="400" t="s">
        <v>1356</v>
      </c>
    </row>
    <row r="247" spans="1:1" x14ac:dyDescent="0.35">
      <c r="A247" s="400" t="s">
        <v>1357</v>
      </c>
    </row>
    <row r="248" spans="1:1" x14ac:dyDescent="0.35">
      <c r="A248" s="400" t="s">
        <v>1358</v>
      </c>
    </row>
    <row r="249" spans="1:1" x14ac:dyDescent="0.35">
      <c r="A249" s="400" t="s">
        <v>1359</v>
      </c>
    </row>
    <row r="250" spans="1:1" x14ac:dyDescent="0.35">
      <c r="A250" s="400" t="s">
        <v>1360</v>
      </c>
    </row>
    <row r="251" spans="1:1" x14ac:dyDescent="0.35">
      <c r="A251" s="400" t="s">
        <v>1361</v>
      </c>
    </row>
    <row r="252" spans="1:1" x14ac:dyDescent="0.35">
      <c r="A252" s="400" t="s">
        <v>1362</v>
      </c>
    </row>
    <row r="253" spans="1:1" x14ac:dyDescent="0.35">
      <c r="A253" s="400" t="s">
        <v>1363</v>
      </c>
    </row>
    <row r="254" spans="1:1" x14ac:dyDescent="0.35">
      <c r="A254" s="400" t="s">
        <v>1364</v>
      </c>
    </row>
    <row r="255" spans="1:1" x14ac:dyDescent="0.35">
      <c r="A255" s="400" t="s">
        <v>1365</v>
      </c>
    </row>
    <row r="256" spans="1:1" x14ac:dyDescent="0.35">
      <c r="A256" s="400" t="s">
        <v>1366</v>
      </c>
    </row>
    <row r="257" spans="1:1" x14ac:dyDescent="0.35">
      <c r="A257" s="400" t="s">
        <v>1367</v>
      </c>
    </row>
    <row r="258" spans="1:1" x14ac:dyDescent="0.35">
      <c r="A258" s="400" t="s">
        <v>1368</v>
      </c>
    </row>
    <row r="259" spans="1:1" x14ac:dyDescent="0.35">
      <c r="A259" s="400" t="s">
        <v>1369</v>
      </c>
    </row>
    <row r="260" spans="1:1" x14ac:dyDescent="0.35">
      <c r="A260" s="400" t="s">
        <v>1370</v>
      </c>
    </row>
    <row r="261" spans="1:1" x14ac:dyDescent="0.35">
      <c r="A261" s="400" t="s">
        <v>1371</v>
      </c>
    </row>
    <row r="262" spans="1:1" x14ac:dyDescent="0.35">
      <c r="A262" s="400" t="s">
        <v>1372</v>
      </c>
    </row>
    <row r="263" spans="1:1" x14ac:dyDescent="0.35">
      <c r="A263" s="400" t="s">
        <v>1373</v>
      </c>
    </row>
    <row r="264" spans="1:1" x14ac:dyDescent="0.35">
      <c r="A264" s="400" t="s">
        <v>1374</v>
      </c>
    </row>
    <row r="265" spans="1:1" x14ac:dyDescent="0.35">
      <c r="A265" s="400" t="s">
        <v>1375</v>
      </c>
    </row>
    <row r="266" spans="1:1" x14ac:dyDescent="0.35">
      <c r="A266" s="400" t="s">
        <v>1376</v>
      </c>
    </row>
    <row r="267" spans="1:1" x14ac:dyDescent="0.35">
      <c r="A267" s="400" t="s">
        <v>1377</v>
      </c>
    </row>
    <row r="268" spans="1:1" x14ac:dyDescent="0.35">
      <c r="A268" s="400" t="s">
        <v>1378</v>
      </c>
    </row>
    <row r="269" spans="1:1" x14ac:dyDescent="0.35">
      <c r="A269" s="400" t="s">
        <v>1379</v>
      </c>
    </row>
    <row r="270" spans="1:1" x14ac:dyDescent="0.35">
      <c r="A270" s="400" t="s">
        <v>1380</v>
      </c>
    </row>
    <row r="271" spans="1:1" x14ac:dyDescent="0.35">
      <c r="A271" s="400" t="s">
        <v>1381</v>
      </c>
    </row>
    <row r="272" spans="1:1" x14ac:dyDescent="0.35">
      <c r="A272" s="400" t="s">
        <v>1382</v>
      </c>
    </row>
    <row r="273" spans="1:1" x14ac:dyDescent="0.35">
      <c r="A273" s="400" t="s">
        <v>1383</v>
      </c>
    </row>
    <row r="274" spans="1:1" x14ac:dyDescent="0.35">
      <c r="A274" s="400" t="s">
        <v>1384</v>
      </c>
    </row>
    <row r="275" spans="1:1" x14ac:dyDescent="0.35">
      <c r="A275" s="400" t="s">
        <v>1385</v>
      </c>
    </row>
    <row r="276" spans="1:1" x14ac:dyDescent="0.35">
      <c r="A276" s="400" t="s">
        <v>1386</v>
      </c>
    </row>
    <row r="277" spans="1:1" x14ac:dyDescent="0.35">
      <c r="A277" s="400" t="s">
        <v>1387</v>
      </c>
    </row>
    <row r="278" spans="1:1" x14ac:dyDescent="0.35">
      <c r="A278" s="400" t="s">
        <v>1388</v>
      </c>
    </row>
    <row r="279" spans="1:1" x14ac:dyDescent="0.35">
      <c r="A279" s="400" t="s">
        <v>1389</v>
      </c>
    </row>
    <row r="280" spans="1:1" x14ac:dyDescent="0.35">
      <c r="A280" s="400" t="s">
        <v>1390</v>
      </c>
    </row>
    <row r="281" spans="1:1" x14ac:dyDescent="0.35">
      <c r="A281" s="400" t="s">
        <v>1391</v>
      </c>
    </row>
    <row r="282" spans="1:1" x14ac:dyDescent="0.35">
      <c r="A282" s="400" t="s">
        <v>1392</v>
      </c>
    </row>
    <row r="283" spans="1:1" x14ac:dyDescent="0.35">
      <c r="A283" s="400" t="s">
        <v>1393</v>
      </c>
    </row>
    <row r="284" spans="1:1" x14ac:dyDescent="0.35">
      <c r="A284" s="400" t="s">
        <v>1394</v>
      </c>
    </row>
    <row r="285" spans="1:1" x14ac:dyDescent="0.35">
      <c r="A285" s="400" t="s">
        <v>1395</v>
      </c>
    </row>
    <row r="286" spans="1:1" x14ac:dyDescent="0.35">
      <c r="A286" s="400" t="s">
        <v>1396</v>
      </c>
    </row>
    <row r="287" spans="1:1" x14ac:dyDescent="0.35">
      <c r="A287" s="400" t="s">
        <v>1397</v>
      </c>
    </row>
    <row r="288" spans="1:1" x14ac:dyDescent="0.35">
      <c r="A288" s="400" t="s">
        <v>1398</v>
      </c>
    </row>
    <row r="289" spans="1:1" x14ac:dyDescent="0.35">
      <c r="A289" s="400" t="s">
        <v>1399</v>
      </c>
    </row>
    <row r="290" spans="1:1" x14ac:dyDescent="0.35">
      <c r="A290" s="400" t="s">
        <v>1400</v>
      </c>
    </row>
    <row r="291" spans="1:1" x14ac:dyDescent="0.35">
      <c r="A291" s="400" t="s">
        <v>1401</v>
      </c>
    </row>
    <row r="292" spans="1:1" x14ac:dyDescent="0.35">
      <c r="A292" s="400" t="s">
        <v>1402</v>
      </c>
    </row>
    <row r="293" spans="1:1" x14ac:dyDescent="0.35">
      <c r="A293" s="400" t="s">
        <v>1403</v>
      </c>
    </row>
    <row r="294" spans="1:1" x14ac:dyDescent="0.35">
      <c r="A294" s="400" t="s">
        <v>1404</v>
      </c>
    </row>
    <row r="295" spans="1:1" x14ac:dyDescent="0.35">
      <c r="A295" s="400" t="s">
        <v>1405</v>
      </c>
    </row>
    <row r="296" spans="1:1" x14ac:dyDescent="0.35">
      <c r="A296" s="400" t="s">
        <v>1406</v>
      </c>
    </row>
    <row r="297" spans="1:1" x14ac:dyDescent="0.35">
      <c r="A297" s="400" t="s">
        <v>1407</v>
      </c>
    </row>
    <row r="298" spans="1:1" x14ac:dyDescent="0.35">
      <c r="A298" s="400" t="s">
        <v>1408</v>
      </c>
    </row>
    <row r="299" spans="1:1" x14ac:dyDescent="0.35">
      <c r="A299" s="400" t="s">
        <v>1409</v>
      </c>
    </row>
    <row r="300" spans="1:1" x14ac:dyDescent="0.35">
      <c r="A300" s="400" t="s">
        <v>1410</v>
      </c>
    </row>
    <row r="301" spans="1:1" x14ac:dyDescent="0.35">
      <c r="A301" s="400" t="s">
        <v>1411</v>
      </c>
    </row>
    <row r="302" spans="1:1" x14ac:dyDescent="0.35">
      <c r="A302" s="400" t="s">
        <v>1412</v>
      </c>
    </row>
    <row r="303" spans="1:1" x14ac:dyDescent="0.35">
      <c r="A303" s="400" t="s">
        <v>1413</v>
      </c>
    </row>
    <row r="304" spans="1:1" x14ac:dyDescent="0.35">
      <c r="A304" s="400" t="s">
        <v>1414</v>
      </c>
    </row>
    <row r="305" spans="1:1" x14ac:dyDescent="0.35">
      <c r="A305" s="400" t="s">
        <v>1415</v>
      </c>
    </row>
    <row r="306" spans="1:1" x14ac:dyDescent="0.35">
      <c r="A306" s="400" t="s">
        <v>1416</v>
      </c>
    </row>
    <row r="307" spans="1:1" x14ac:dyDescent="0.35">
      <c r="A307" s="400" t="s">
        <v>1417</v>
      </c>
    </row>
    <row r="308" spans="1:1" x14ac:dyDescent="0.35">
      <c r="A308" s="400" t="s">
        <v>1418</v>
      </c>
    </row>
    <row r="309" spans="1:1" x14ac:dyDescent="0.35">
      <c r="A309" s="400" t="s">
        <v>1419</v>
      </c>
    </row>
    <row r="310" spans="1:1" x14ac:dyDescent="0.35">
      <c r="A310" s="400" t="s">
        <v>1420</v>
      </c>
    </row>
    <row r="311" spans="1:1" x14ac:dyDescent="0.35">
      <c r="A311" s="400" t="s">
        <v>1421</v>
      </c>
    </row>
    <row r="312" spans="1:1" x14ac:dyDescent="0.35">
      <c r="A312" s="400" t="s">
        <v>1422</v>
      </c>
    </row>
    <row r="313" spans="1:1" x14ac:dyDescent="0.35">
      <c r="A313" s="400" t="s">
        <v>1423</v>
      </c>
    </row>
    <row r="314" spans="1:1" x14ac:dyDescent="0.35">
      <c r="A314" s="400" t="s">
        <v>1424</v>
      </c>
    </row>
    <row r="315" spans="1:1" x14ac:dyDescent="0.35">
      <c r="A315" s="400" t="s">
        <v>1425</v>
      </c>
    </row>
    <row r="316" spans="1:1" x14ac:dyDescent="0.35">
      <c r="A316" s="400" t="s">
        <v>1426</v>
      </c>
    </row>
    <row r="317" spans="1:1" x14ac:dyDescent="0.35">
      <c r="A317" s="400" t="s">
        <v>1427</v>
      </c>
    </row>
    <row r="318" spans="1:1" x14ac:dyDescent="0.35">
      <c r="A318" s="400" t="s">
        <v>1428</v>
      </c>
    </row>
    <row r="319" spans="1:1" x14ac:dyDescent="0.35">
      <c r="A319" s="400" t="s">
        <v>1429</v>
      </c>
    </row>
    <row r="320" spans="1:1" x14ac:dyDescent="0.35">
      <c r="A320" s="400" t="s">
        <v>1430</v>
      </c>
    </row>
    <row r="321" spans="1:1" x14ac:dyDescent="0.35">
      <c r="A321" s="400" t="s">
        <v>1431</v>
      </c>
    </row>
    <row r="322" spans="1:1" x14ac:dyDescent="0.35">
      <c r="A322" s="400" t="s">
        <v>1432</v>
      </c>
    </row>
    <row r="323" spans="1:1" x14ac:dyDescent="0.35">
      <c r="A323" s="400" t="s">
        <v>1433</v>
      </c>
    </row>
    <row r="324" spans="1:1" x14ac:dyDescent="0.35">
      <c r="A324" s="400" t="s">
        <v>1434</v>
      </c>
    </row>
    <row r="325" spans="1:1" x14ac:dyDescent="0.35">
      <c r="A325" s="400" t="s">
        <v>1435</v>
      </c>
    </row>
    <row r="326" spans="1:1" x14ac:dyDescent="0.35">
      <c r="A326" s="400" t="s">
        <v>1436</v>
      </c>
    </row>
    <row r="327" spans="1:1" x14ac:dyDescent="0.35">
      <c r="A327" s="400" t="s">
        <v>1437</v>
      </c>
    </row>
    <row r="328" spans="1:1" x14ac:dyDescent="0.35">
      <c r="A328" s="400" t="s">
        <v>1438</v>
      </c>
    </row>
    <row r="329" spans="1:1" x14ac:dyDescent="0.35">
      <c r="A329" s="400" t="s">
        <v>1439</v>
      </c>
    </row>
    <row r="330" spans="1:1" x14ac:dyDescent="0.35">
      <c r="A330" s="400" t="s">
        <v>1440</v>
      </c>
    </row>
    <row r="331" spans="1:1" x14ac:dyDescent="0.35">
      <c r="A331" s="400" t="s">
        <v>1441</v>
      </c>
    </row>
    <row r="332" spans="1:1" x14ac:dyDescent="0.35">
      <c r="A332" s="400" t="s">
        <v>1442</v>
      </c>
    </row>
    <row r="333" spans="1:1" x14ac:dyDescent="0.35">
      <c r="A333" s="400" t="s">
        <v>1443</v>
      </c>
    </row>
    <row r="334" spans="1:1" x14ac:dyDescent="0.35">
      <c r="A334" s="400" t="s">
        <v>1444</v>
      </c>
    </row>
    <row r="335" spans="1:1" x14ac:dyDescent="0.35">
      <c r="A335" s="400" t="s">
        <v>1445</v>
      </c>
    </row>
    <row r="336" spans="1:1" x14ac:dyDescent="0.35">
      <c r="A336" s="400" t="s">
        <v>1446</v>
      </c>
    </row>
    <row r="337" spans="1:1" x14ac:dyDescent="0.35">
      <c r="A337" s="400" t="s">
        <v>1447</v>
      </c>
    </row>
    <row r="338" spans="1:1" x14ac:dyDescent="0.35">
      <c r="A338" s="400" t="s">
        <v>1448</v>
      </c>
    </row>
    <row r="339" spans="1:1" x14ac:dyDescent="0.35">
      <c r="A339" s="400" t="s">
        <v>1449</v>
      </c>
    </row>
    <row r="340" spans="1:1" x14ac:dyDescent="0.35">
      <c r="A340" s="400" t="s">
        <v>1450</v>
      </c>
    </row>
    <row r="341" spans="1:1" x14ac:dyDescent="0.35">
      <c r="A341" s="400" t="s">
        <v>1451</v>
      </c>
    </row>
    <row r="342" spans="1:1" x14ac:dyDescent="0.35">
      <c r="A342" s="400" t="s">
        <v>1452</v>
      </c>
    </row>
    <row r="343" spans="1:1" x14ac:dyDescent="0.35">
      <c r="A343" s="400" t="s">
        <v>1453</v>
      </c>
    </row>
    <row r="344" spans="1:1" x14ac:dyDescent="0.35">
      <c r="A344" s="400" t="s">
        <v>1454</v>
      </c>
    </row>
    <row r="345" spans="1:1" x14ac:dyDescent="0.35">
      <c r="A345" s="400" t="s">
        <v>1455</v>
      </c>
    </row>
    <row r="346" spans="1:1" x14ac:dyDescent="0.35">
      <c r="A346" s="400" t="s">
        <v>1456</v>
      </c>
    </row>
    <row r="347" spans="1:1" x14ac:dyDescent="0.35">
      <c r="A347" s="400" t="s">
        <v>1457</v>
      </c>
    </row>
    <row r="348" spans="1:1" x14ac:dyDescent="0.35">
      <c r="A348" s="400" t="s">
        <v>1458</v>
      </c>
    </row>
    <row r="349" spans="1:1" x14ac:dyDescent="0.35">
      <c r="A349" s="400" t="s">
        <v>1459</v>
      </c>
    </row>
    <row r="350" spans="1:1" x14ac:dyDescent="0.35">
      <c r="A350" s="400" t="s">
        <v>1460</v>
      </c>
    </row>
    <row r="351" spans="1:1" x14ac:dyDescent="0.35">
      <c r="A351" s="400" t="s">
        <v>1461</v>
      </c>
    </row>
    <row r="352" spans="1:1" x14ac:dyDescent="0.35">
      <c r="A352" s="400" t="s">
        <v>1462</v>
      </c>
    </row>
    <row r="353" spans="1:1" x14ac:dyDescent="0.35">
      <c r="A353" s="400" t="s">
        <v>1463</v>
      </c>
    </row>
    <row r="354" spans="1:1" x14ac:dyDescent="0.35">
      <c r="A354" s="400" t="s">
        <v>1464</v>
      </c>
    </row>
    <row r="355" spans="1:1" x14ac:dyDescent="0.35">
      <c r="A355" s="400" t="s">
        <v>1465</v>
      </c>
    </row>
    <row r="356" spans="1:1" x14ac:dyDescent="0.35">
      <c r="A356" s="400" t="s">
        <v>1466</v>
      </c>
    </row>
    <row r="357" spans="1:1" x14ac:dyDescent="0.35">
      <c r="A357" s="400" t="s">
        <v>1467</v>
      </c>
    </row>
    <row r="358" spans="1:1" x14ac:dyDescent="0.35">
      <c r="A358" s="400" t="s">
        <v>1468</v>
      </c>
    </row>
    <row r="359" spans="1:1" x14ac:dyDescent="0.35">
      <c r="A359" s="400" t="s">
        <v>1469</v>
      </c>
    </row>
    <row r="360" spans="1:1" x14ac:dyDescent="0.35">
      <c r="A360" s="400" t="s">
        <v>1470</v>
      </c>
    </row>
    <row r="361" spans="1:1" x14ac:dyDescent="0.35">
      <c r="A361" s="400" t="s">
        <v>1471</v>
      </c>
    </row>
    <row r="362" spans="1:1" x14ac:dyDescent="0.35">
      <c r="A362" s="400" t="s">
        <v>1472</v>
      </c>
    </row>
    <row r="363" spans="1:1" x14ac:dyDescent="0.35">
      <c r="A363" s="400" t="s">
        <v>1473</v>
      </c>
    </row>
    <row r="364" spans="1:1" x14ac:dyDescent="0.35">
      <c r="A364" s="400" t="s">
        <v>1474</v>
      </c>
    </row>
    <row r="365" spans="1:1" x14ac:dyDescent="0.35">
      <c r="A365" s="400" t="s">
        <v>1475</v>
      </c>
    </row>
    <row r="366" spans="1:1" x14ac:dyDescent="0.35">
      <c r="A366" s="400" t="s">
        <v>1476</v>
      </c>
    </row>
    <row r="367" spans="1:1" x14ac:dyDescent="0.35">
      <c r="A367" s="400" t="s">
        <v>1477</v>
      </c>
    </row>
    <row r="368" spans="1:1" x14ac:dyDescent="0.35">
      <c r="A368" s="400" t="s">
        <v>1478</v>
      </c>
    </row>
    <row r="369" spans="1:1" x14ac:dyDescent="0.35">
      <c r="A369" s="400" t="s">
        <v>1479</v>
      </c>
    </row>
    <row r="370" spans="1:1" x14ac:dyDescent="0.35">
      <c r="A370" s="400" t="s">
        <v>1480</v>
      </c>
    </row>
    <row r="371" spans="1:1" x14ac:dyDescent="0.35">
      <c r="A371" s="400" t="s">
        <v>1481</v>
      </c>
    </row>
    <row r="372" spans="1:1" x14ac:dyDescent="0.35">
      <c r="A372" s="400" t="s">
        <v>1482</v>
      </c>
    </row>
    <row r="373" spans="1:1" x14ac:dyDescent="0.35">
      <c r="A373" s="400" t="s">
        <v>1483</v>
      </c>
    </row>
    <row r="374" spans="1:1" x14ac:dyDescent="0.35">
      <c r="A374" s="400" t="s">
        <v>1484</v>
      </c>
    </row>
    <row r="375" spans="1:1" x14ac:dyDescent="0.35">
      <c r="A375" s="400" t="s">
        <v>1485</v>
      </c>
    </row>
    <row r="376" spans="1:1" x14ac:dyDescent="0.35">
      <c r="A376" s="400" t="s">
        <v>1486</v>
      </c>
    </row>
    <row r="377" spans="1:1" x14ac:dyDescent="0.35">
      <c r="A377" s="400" t="s">
        <v>1487</v>
      </c>
    </row>
    <row r="378" spans="1:1" x14ac:dyDescent="0.35">
      <c r="A378" s="400" t="s">
        <v>1488</v>
      </c>
    </row>
  </sheetData>
  <sheetProtection algorithmName="SHA-512" hashValue="nCT+F8vFE8QTBMNj/vaO3mWLgGzlIYUDNU8d2zQ5YyPkt/u1hstmrwrTyPYPB/c3fW5yVvwisNOt0VtEbciNLA==" saltValue="/HVOV5nhl61eivCmsuxolA==" spinCount="100000" sheet="1" objects="1" scenarios="1"/>
  <customSheetViews>
    <customSheetView guid="{8BDA793C-C9C5-4FC6-A0A5-F1109F6D4F22}" state="hidden" topLeftCell="B1">
      <selection activeCell="B7" sqref="B7"/>
    </customSheetView>
  </customSheetView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831A8755ECE0BB488F001DAB6ED05879" ma:contentTypeVersion="27" ma:contentTypeDescription="Create a new document." ma:contentTypeScope="" ma:versionID="a25fc2281acf0b9f83e5adf45c1b8f67">
  <xsd:schema xmlns:xsd="http://www.w3.org/2001/XMLSchema" xmlns:xs="http://www.w3.org/2001/XMLSchema" xmlns:p="http://schemas.microsoft.com/office/2006/metadata/properties" xmlns:ns2="662745e8-e224-48e8-a2e3-254862b8c2f5" xmlns:ns3="e76eb3f9-f7d4-4afe-8d75-1839375753c6" xmlns:ns4="c2882a20-fcb3-4e62-b082-ac21ed701140" targetNamespace="http://schemas.microsoft.com/office/2006/metadata/properties" ma:root="true" ma:fieldsID="5df3a8e7b63931b058383709fc1c9cde" ns2:_="" ns3:_="" ns4:_="">
    <xsd:import namespace="662745e8-e224-48e8-a2e3-254862b8c2f5"/>
    <xsd:import namespace="e76eb3f9-f7d4-4afe-8d75-1839375753c6"/>
    <xsd:import namespace="c2882a20-fcb3-4e62-b082-ac21ed701140"/>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SharedWithUsers" minOccurs="0"/>
                <xsd:element ref="ns3:SharedWithDetails" minOccurs="0"/>
                <xsd:element ref="ns4:MediaServiceMetadata" minOccurs="0"/>
                <xsd:element ref="ns4:MediaServiceFastMetadata" minOccurs="0"/>
                <xsd:element ref="ns4:lcf76f155ced4ddcb4097134ff3c332f"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dec63c44-425c-414d-a6e6-a807e41fd98e}"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dec63c44-425c-414d-a6e6-a807e41fd98e}"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Team|ff0485df-0575-416f-802f-e999165821b7"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C21 Change Support Programme" ma:internalName="Team">
      <xsd:simpleType>
        <xsd:restriction base="dms:Text"/>
      </xsd:simpleType>
    </xsd:element>
    <xsd:element name="Topic" ma:index="20" nillable="true" ma:displayName="Topic" ma:default="External Sharing"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NE|70a74972-c838-4a08-aeb8-2c6aad14b4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NE|275df9ce-cd92-4318-adfe-db572e51c7ff"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2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2882a20-fcb3-4e62-b082-ac21ed701140" elementFormDefault="qualified">
    <xsd:import namespace="http://schemas.microsoft.com/office/2006/documentManagement/types"/>
    <xsd:import namespace="http://schemas.microsoft.com/office/infopath/2007/PartnerControls"/>
    <xsd:element name="MediaServiceMetadata" ma:index="27" nillable="true" ma:displayName="MediaServiceMetadata" ma:hidden="true" ma:internalName="MediaServiceMetadata" ma:readOnly="true">
      <xsd:simpleType>
        <xsd:restriction base="dms:Note"/>
      </xsd:simpleType>
    </xsd:element>
    <xsd:element name="MediaServiceFastMetadata" ma:index="28" nillable="true" ma:displayName="MediaServiceFastMetadata" ma:hidden="true" ma:internalName="MediaServiceFastMetadata" ma:readOnly="true">
      <xsd:simpleType>
        <xsd:restriction base="dms:Note"/>
      </xsd:simpleType>
    </xsd:element>
    <xsd:element name="lcf76f155ced4ddcb4097134ff3c332f" ma:index="30" nillable="true" ma:taxonomy="true" ma:internalName="lcf76f155ced4ddcb4097134ff3c332f" ma:taxonomyFieldName="MediaServiceImageTags" ma:displayName="Image Tags" ma:readOnly="false" ma:fieldId="{5cf76f15-5ced-4ddc-b409-7134ff3c332f}" ma:taxonomyMulti="true" ma:sspId="d1117845-93f6-4da3-abaa-fcb4fa669c78" ma:termSetId="09814cd3-568e-fe90-9814-8d621ff8fb84" ma:anchorId="fba54fb3-c3e1-fe81-a776-ca4b69148c4d" ma:open="true" ma:isKeyword="false">
      <xsd:complexType>
        <xsd:sequence>
          <xsd:element ref="pc:Terms" minOccurs="0" maxOccurs="1"/>
        </xsd:sequence>
      </xsd:complex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LengthInSeconds" ma:index="35" nillable="true" ma:displayName="MediaLengthInSeconds" ma:hidden="true" ma:internalName="MediaLengthInSeconds" ma:readOnly="true">
      <xsd:simpleType>
        <xsd:restriction base="dms:Unknown"/>
      </xsd:simpleType>
    </xsd:element>
    <xsd:element name="MediaServiceObjectDetectorVersions" ma:index="36"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lcf76f155ced4ddcb4097134ff3c332f xmlns="c2882a20-fcb3-4e62-b082-ac21ed701140">
      <Terms xmlns="http://schemas.microsoft.com/office/infopath/2007/PartnerControls"/>
    </lcf76f155ced4ddcb4097134ff3c332f>
    <Topic xmlns="662745e8-e224-48e8-a2e3-254862b8c2f5">External Sharing</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NE</TermName>
          <TermId xmlns="http://schemas.microsoft.com/office/infopath/2007/PartnerControls">70a74972-c838-4a08-aeb8-2c6aad14b4d9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NE</TermName>
          <TermId xmlns="http://schemas.microsoft.com/office/infopath/2007/PartnerControls">275df9ce-cd92-4318-adfe-db572e51c7ff</TermId>
        </TermInfo>
      </Terms>
    </fe59e9859d6a491389c5b03567f5dda5>
    <Team xmlns="662745e8-e224-48e8-a2e3-254862b8c2f5">C21 Change Support Programme</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Team</TermName>
          <TermId xmlns="http://schemas.microsoft.com/office/infopath/2007/PartnerControls">ff0485df-0575-416f-802f-e999165821b7</TermId>
        </TermInfo>
      </Terms>
    </n7493b4506bf40e28c373b1e51a33445>
  </documentManagement>
</p:properties>
</file>

<file path=customXml/itemProps1.xml><?xml version="1.0" encoding="utf-8"?>
<ds:datastoreItem xmlns:ds="http://schemas.openxmlformats.org/officeDocument/2006/customXml" ds:itemID="{B7C79828-1C1E-4281-88C2-8F0B389907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2745e8-e224-48e8-a2e3-254862b8c2f5"/>
    <ds:schemaRef ds:uri="e76eb3f9-f7d4-4afe-8d75-1839375753c6"/>
    <ds:schemaRef ds:uri="c2882a20-fcb3-4e62-b082-ac21ed7011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547E49-D978-42D5-83A3-830A6F3A0B9B}">
  <ds:schemaRefs>
    <ds:schemaRef ds:uri="Microsoft.SharePoint.Taxonomy.ContentTypeSync"/>
  </ds:schemaRefs>
</ds:datastoreItem>
</file>

<file path=customXml/itemProps3.xml><?xml version="1.0" encoding="utf-8"?>
<ds:datastoreItem xmlns:ds="http://schemas.openxmlformats.org/officeDocument/2006/customXml" ds:itemID="{58239782-4E07-4B04-8FC6-10B477E7F061}">
  <ds:schemaRefs>
    <ds:schemaRef ds:uri="http://schemas.microsoft.com/sharepoint/v3/contenttype/forms"/>
  </ds:schemaRefs>
</ds:datastoreItem>
</file>

<file path=customXml/itemProps4.xml><?xml version="1.0" encoding="utf-8"?>
<ds:datastoreItem xmlns:ds="http://schemas.openxmlformats.org/officeDocument/2006/customXml" ds:itemID="{D5D8E80E-3650-4921-9D0F-F779F71661B1}">
  <ds:schemaRefs>
    <ds:schemaRef ds:uri="http://purl.org/dc/dcmitype/"/>
    <ds:schemaRef ds:uri="http://schemas.microsoft.com/office/2006/documentManagement/types"/>
    <ds:schemaRef ds:uri="http://schemas.microsoft.com/office/infopath/2007/PartnerControls"/>
    <ds:schemaRef ds:uri="http://purl.org/dc/terms/"/>
    <ds:schemaRef ds:uri="http://www.w3.org/XML/1998/namespace"/>
    <ds:schemaRef ds:uri="http://purl.org/dc/elements/1.1/"/>
    <ds:schemaRef ds:uri="662745e8-e224-48e8-a2e3-254862b8c2f5"/>
    <ds:schemaRef ds:uri="http://schemas.openxmlformats.org/package/2006/metadata/core-properties"/>
    <ds:schemaRef ds:uri="c2882a20-fcb3-4e62-b082-ac21ed701140"/>
    <ds:schemaRef ds:uri="e76eb3f9-f7d4-4afe-8d75-1839375753c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72</vt:i4>
      </vt:variant>
    </vt:vector>
  </HeadingPairs>
  <TitlesOfParts>
    <vt:vector size="101" baseType="lpstr">
      <vt:lpstr>Introduction</vt:lpstr>
      <vt:lpstr>Start</vt:lpstr>
      <vt:lpstr>Instructions</vt:lpstr>
      <vt:lpstr>Unit shortfall calculations</vt:lpstr>
      <vt:lpstr>Unit shortfall summary</vt:lpstr>
      <vt:lpstr>Trading Summary Hedgerows</vt:lpstr>
      <vt:lpstr>Trading Summary WaterC's</vt:lpstr>
      <vt:lpstr>Off-site gain site summary</vt:lpstr>
      <vt:lpstr>Irreplaceable Habitats</vt:lpstr>
      <vt:lpstr>A-1 On-Site Habitat Baseline</vt:lpstr>
      <vt:lpstr>A-2 On-Site Habitat Creation</vt:lpstr>
      <vt:lpstr>A-3 On-Site Habitat Enhancement</vt:lpstr>
      <vt:lpstr>B-1 On-Site Hedge Baseline</vt:lpstr>
      <vt:lpstr>B-2 On-Site Hedge Creation</vt:lpstr>
      <vt:lpstr>B-3 On-Site Hedge Enhancement</vt:lpstr>
      <vt:lpstr>C-1 On-Site WaterC' Baseline</vt:lpstr>
      <vt:lpstr>C-2 On-Site WaterC' Creation</vt:lpstr>
      <vt:lpstr>C-3 On-Site WaterC' Enhancement</vt:lpstr>
      <vt:lpstr>G-1 All Habitats</vt:lpstr>
      <vt:lpstr>G-2 Habitat groups</vt:lpstr>
      <vt:lpstr>G-3 Multipliers</vt:lpstr>
      <vt:lpstr>G-4 Temporal multipliers</vt:lpstr>
      <vt:lpstr>G-5 Enhancement Temporal</vt:lpstr>
      <vt:lpstr>G-6 Hedgerow Data</vt:lpstr>
      <vt:lpstr>G-7 WaterC' Data</vt:lpstr>
      <vt:lpstr>G-8 Condition Look up</vt:lpstr>
      <vt:lpstr>Phase 1 Translation Tool</vt:lpstr>
      <vt:lpstr>Technical Data</vt:lpstr>
      <vt:lpstr>Lists</vt:lpstr>
      <vt:lpstr>AA</vt:lpstr>
      <vt:lpstr>'Unit shortfall calculations'!AllHabsSummaryData</vt:lpstr>
      <vt:lpstr>AllHabsSummaryData</vt:lpstr>
      <vt:lpstr>'Unit shortfall calculations'!BaselineHabSite</vt:lpstr>
      <vt:lpstr>BaselineHabSite</vt:lpstr>
      <vt:lpstr>baselineimage</vt:lpstr>
      <vt:lpstr>Start!baselineimageOS</vt:lpstr>
      <vt:lpstr>Coastal_lagoons</vt:lpstr>
      <vt:lpstr>Coastal_saltmarsh</vt:lpstr>
      <vt:lpstr>Cond1</vt:lpstr>
      <vt:lpstr>Cond2</vt:lpstr>
      <vt:lpstr>Cond3</vt:lpstr>
      <vt:lpstr>Cond4</vt:lpstr>
      <vt:lpstr>Cond5</vt:lpstr>
      <vt:lpstr>'G-8 Condition Look up'!Condition</vt:lpstr>
      <vt:lpstr>'G-8 Condition Look up'!ConditionData</vt:lpstr>
      <vt:lpstr>'G-8 Condition Look up'!ConditionHabitats</vt:lpstr>
      <vt:lpstr>Cropland</vt:lpstr>
      <vt:lpstr>'Unit shortfall calculations'!Difficulty</vt:lpstr>
      <vt:lpstr>Difficulty</vt:lpstr>
      <vt:lpstr>'Unit shortfall calculations'!Encroachment1</vt:lpstr>
      <vt:lpstr>Encroachment1</vt:lpstr>
      <vt:lpstr>'Unit shortfall calculations'!Encroachment2</vt:lpstr>
      <vt:lpstr>Encroachment2</vt:lpstr>
      <vt:lpstr>'Unit shortfall calculations'!EnhanceCondition</vt:lpstr>
      <vt:lpstr>EnhanceCondition</vt:lpstr>
      <vt:lpstr>'Unit shortfall calculations'!EnhanceHabitat</vt:lpstr>
      <vt:lpstr>EnhanceHabitat</vt:lpstr>
      <vt:lpstr>'Unit shortfall calculations'!EnhanceTemporal</vt:lpstr>
      <vt:lpstr>EnhanceTemporal</vt:lpstr>
      <vt:lpstr>Grassland</vt:lpstr>
      <vt:lpstr>Heathland_and_shrub</vt:lpstr>
      <vt:lpstr>HedgeCond</vt:lpstr>
      <vt:lpstr>Hedgecond1</vt:lpstr>
      <vt:lpstr>Hedgecond2</vt:lpstr>
      <vt:lpstr>HedgeData</vt:lpstr>
      <vt:lpstr>HedgeType</vt:lpstr>
      <vt:lpstr>Individual_trees</vt:lpstr>
      <vt:lpstr>Individualtrees</vt:lpstr>
      <vt:lpstr>Intertidal_hard_structures</vt:lpstr>
      <vt:lpstr>Intertidal_sediment</vt:lpstr>
      <vt:lpstr>Lakes</vt:lpstr>
      <vt:lpstr>LPAList</vt:lpstr>
      <vt:lpstr>postdevelopmentimage</vt:lpstr>
      <vt:lpstr>postdevelopmentimageOS</vt:lpstr>
      <vt:lpstr>RetCatChecks</vt:lpstr>
      <vt:lpstr>'Unit shortfall calculations'!riparianencroachment1</vt:lpstr>
      <vt:lpstr>riparianencroachment1</vt:lpstr>
      <vt:lpstr>'Unit shortfall calculations'!riparianencroachment2</vt:lpstr>
      <vt:lpstr>riparianencroachment2</vt:lpstr>
      <vt:lpstr>Rivercond1</vt:lpstr>
      <vt:lpstr>Rivercond2</vt:lpstr>
      <vt:lpstr>RiverCondition</vt:lpstr>
      <vt:lpstr>RiverEnhanceTemporal</vt:lpstr>
      <vt:lpstr>RiverHabitat</vt:lpstr>
      <vt:lpstr>RiversEnhancment</vt:lpstr>
      <vt:lpstr>Rocky_shore</vt:lpstr>
      <vt:lpstr>Sparsely_vegetated_land</vt:lpstr>
      <vt:lpstr>'Unit shortfall calculations'!TemporalConditions</vt:lpstr>
      <vt:lpstr>TemporalConditions</vt:lpstr>
      <vt:lpstr>'Unit shortfall calculations'!TemporalData</vt:lpstr>
      <vt:lpstr>TemporalData</vt:lpstr>
      <vt:lpstr>'Unit shortfall calculations'!TemporalHabitats</vt:lpstr>
      <vt:lpstr>TemporalHabitats</vt:lpstr>
      <vt:lpstr>'Unit shortfall calculations'!TemporalMultipliers</vt:lpstr>
      <vt:lpstr>TemporalMultipliers</vt:lpstr>
      <vt:lpstr>Urban</vt:lpstr>
      <vt:lpstr>Watercourse_footprint</vt:lpstr>
      <vt:lpstr>Wetland</vt:lpstr>
      <vt:lpstr>Woodland_and_forest</vt:lpstr>
      <vt:lpstr>Woodland_and_forest_2</vt:lpstr>
      <vt:lpstr>Woodland_and_forest_3</vt:lpstr>
    </vt:vector>
  </TitlesOfParts>
  <Manager/>
  <Company>Defra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Panks, Stephen (NE)</dc:creator>
  <cp:keywords/>
  <dc:description/>
  <cp:lastModifiedBy>Vijayan, Sooraj (DEFRA)</cp:lastModifiedBy>
  <cp:revision/>
  <dcterms:created xsi:type="dcterms:W3CDTF">2018-04-09T09:41:18Z</dcterms:created>
  <dcterms:modified xsi:type="dcterms:W3CDTF">2023-11-05T00:05:43Z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MapLocation">
    <vt:lpwstr>IbAjPaSbk3ePRHtS6hz5DWtEIsxudnHPtMNhDhxK/Zs79O84/d8/EiESmCX3O4x+iGBozFVQ86iLJKWIiqy1KTolDvSi8Vf8OjM1i1ZxWJ7MAGn8olQ11OJy4VLUlVZ0Z6pgzsrdXPmjjZOZTCI/60HwxqUaMIFhOJ4P7vT/u+ZioL1SuhHsL7f0GlbGbnCH4AskcBE27qcvInPsX4CsXdnyGPJJwpXkYbNZEPf+lE/Jz3lsCvpWvKMfevzMUjJ</vt:lpwstr>
  </property>
  <property fmtid="{D5CDD505-2E9C-101B-9397-08002B2CF9AE}" pid="3" name="PriorMapLocation">
    <vt:lpwstr>1Set2jh5Jw4elU2PPoGKHvcvzumfxFPbHIuhbuJMhLjnfLTfON8J/Ye95xpJpw92aaWAk2/ZLWGEpKYsye/kp3Ju4yUsLU5KCZY2t+t2kDTU=</vt:lpwstr>
  </property>
  <property fmtid="{D5CDD505-2E9C-101B-9397-08002B2CF9AE}" pid="4" name="MAPCITE Version">
    <vt:lpwstr>Version 1.5.7.0</vt:lpwstr>
  </property>
  <property fmtid="{D5CDD505-2E9C-101B-9397-08002B2CF9AE}" pid="5" name="ContentTypeId">
    <vt:lpwstr>0x010100A5BF1C78D9F64B679A5EBDE1C6598EBC0100831A8755ECE0BB488F001DAB6ED05879</vt:lpwstr>
  </property>
  <property fmtid="{D5CDD505-2E9C-101B-9397-08002B2CF9AE}" pid="6" name="InformationType">
    <vt:lpwstr/>
  </property>
  <property fmtid="{D5CDD505-2E9C-101B-9397-08002B2CF9AE}" pid="7" name="Distribution">
    <vt:lpwstr>9;#Internal NE|70a74972-c838-4a08-aeb8-2c6aad14b4d9</vt:lpwstr>
  </property>
  <property fmtid="{D5CDD505-2E9C-101B-9397-08002B2CF9AE}" pid="8" name="HOCopyrightLevel">
    <vt:lpwstr>7;#Crown|69589897-2828-4761-976e-717fd8e631c9</vt:lpwstr>
  </property>
  <property fmtid="{D5CDD505-2E9C-101B-9397-08002B2CF9AE}" pid="9" name="HOGovernmentSecurityClassification">
    <vt:lpwstr>6;#Official|14c80daa-741b-422c-9722-f71693c9ede4</vt:lpwstr>
  </property>
  <property fmtid="{D5CDD505-2E9C-101B-9397-08002B2CF9AE}" pid="10" name="HOSiteType">
    <vt:lpwstr>10;#Team|ff0485df-0575-416f-802f-e999165821b7</vt:lpwstr>
  </property>
  <property fmtid="{D5CDD505-2E9C-101B-9397-08002B2CF9AE}" pid="11" name="OrganisationalUnit">
    <vt:lpwstr>8;#NE|275df9ce-cd92-4318-adfe-db572e51c7ff</vt:lpwstr>
  </property>
  <property fmtid="{D5CDD505-2E9C-101B-9397-08002B2CF9AE}" pid="12" name="MediaServiceImageTags">
    <vt:lpwstr/>
  </property>
</Properties>
</file>